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uyenNTM" sheetId="1" r:id="rId5"/>
    <sheet state="hidden" name="HuyTC" sheetId="2" r:id="rId6"/>
    <sheet state="hidden" name="DuongNB" sheetId="3" r:id="rId7"/>
    <sheet state="hidden" name="Tracking code" sheetId="4" r:id="rId8"/>
    <sheet state="hidden" name="HieuPM" sheetId="5" r:id="rId9"/>
    <sheet state="visible" name="NamNH" sheetId="6" r:id="rId10"/>
    <sheet state="visible" name="NamNH Tiktok" sheetId="7" r:id="rId11"/>
    <sheet state="visible" name="SangBD Facebook" sheetId="8" r:id="rId12"/>
    <sheet state="visible" name="SangBD GA" sheetId="9" r:id="rId13"/>
    <sheet state="visible" name="HuyLG" sheetId="10" r:id="rId14"/>
    <sheet state="hidden" name="DungNT" sheetId="11" r:id="rId15"/>
    <sheet state="hidden" name="Sheet5" sheetId="12" r:id="rId16"/>
    <sheet state="hidden" name="DungNTkids" sheetId="13" r:id="rId17"/>
    <sheet state="hidden" name="AnhDP" sheetId="14" r:id="rId18"/>
    <sheet state="hidden" name="NamNH Instagram" sheetId="15" r:id="rId19"/>
    <sheet state="visible" name="HuyLG SEA" sheetId="16" r:id="rId20"/>
    <sheet state="hidden" name="Sheet9" sheetId="17" r:id="rId21"/>
    <sheet state="visible" name="Định nghĩa content" sheetId="18" r:id="rId22"/>
    <sheet state="visible" name="Data" sheetId="19" r:id="rId23"/>
  </sheets>
  <definedNames>
    <definedName hidden="1" localSheetId="6" name="Z_24EFF1FC_519A_4255_99C0_8464DF1D4EED_.wvu.FilterData">'NamNH Tiktok'!$A$1:$U$14</definedName>
    <definedName hidden="1" localSheetId="7" name="Z_24EFF1FC_519A_4255_99C0_8464DF1D4EED_.wvu.FilterData">'SangBD Facebook'!$A$1:$U$190</definedName>
    <definedName hidden="1" localSheetId="8" name="Z_24EFF1FC_519A_4255_99C0_8464DF1D4EED_.wvu.FilterData">'SangBD GA'!$A$1:$U$9</definedName>
    <definedName hidden="1" localSheetId="14" name="Z_24EFF1FC_519A_4255_99C0_8464DF1D4EED_.wvu.FilterData">'NamNH Instagram'!$A$1:$U$13</definedName>
    <definedName hidden="1" localSheetId="9" name="Z_24EFF1FC_519A_4255_99C0_8464DF1D4EED_.wvu.FilterData">HuyLG!$A$1:$U$980</definedName>
    <definedName hidden="1" localSheetId="13" name="Z_24EFF1FC_519A_4255_99C0_8464DF1D4EED_.wvu.FilterData">AnhDP!$A$1:$U$151</definedName>
    <definedName hidden="1" localSheetId="15" name="Z_24EFF1FC_519A_4255_99C0_8464DF1D4EED_.wvu.FilterData">'HuyLG SEA'!$A$1:$T$662</definedName>
    <definedName hidden="1" localSheetId="5" name="Z_24EFF1FC_519A_4255_99C0_8464DF1D4EED_.wvu.FilterData">NamNH!$A$1:$U$152</definedName>
    <definedName hidden="1" localSheetId="6" name="Z_B9FC2153_85FE_4597_B01F_2D8A49A1D991_.wvu.FilterData">'NamNH Tiktok'!$A$1:$U$14</definedName>
    <definedName hidden="1" localSheetId="7" name="Z_B9FC2153_85FE_4597_B01F_2D8A49A1D991_.wvu.FilterData">'SangBD Facebook'!$A$1:$U$190</definedName>
    <definedName hidden="1" localSheetId="8" name="Z_B9FC2153_85FE_4597_B01F_2D8A49A1D991_.wvu.FilterData">'SangBD GA'!$A$1:$U$9</definedName>
    <definedName hidden="1" localSheetId="14" name="Z_B9FC2153_85FE_4597_B01F_2D8A49A1D991_.wvu.FilterData">'NamNH Instagram'!$A$1:$U$13</definedName>
    <definedName hidden="1" localSheetId="9" name="Z_B9FC2153_85FE_4597_B01F_2D8A49A1D991_.wvu.FilterData">HuyLG!$A$1:$U$980</definedName>
    <definedName hidden="1" localSheetId="13" name="Z_B9FC2153_85FE_4597_B01F_2D8A49A1D991_.wvu.FilterData">AnhDP!$A$1:$U$151</definedName>
    <definedName hidden="1" localSheetId="15" name="Z_B9FC2153_85FE_4597_B01F_2D8A49A1D991_.wvu.FilterData">'HuyLG SEA'!$A$1:$T$662</definedName>
    <definedName hidden="1" localSheetId="5" name="Z_B9FC2153_85FE_4597_B01F_2D8A49A1D991_.wvu.FilterData">NamNH!$A$1:$U$152</definedName>
  </definedNames>
  <calcPr/>
  <customWorkbookViews>
    <customWorkbookView activeSheetId="0" maximized="1" windowHeight="0" windowWidth="0" guid="{24EFF1FC-519A-4255-99C0-8464DF1D4EED}" name="Filter 1"/>
    <customWorkbookView activeSheetId="0" maximized="1" windowHeight="0" windowWidth="0" guid="{B9FC2153-85FE-4597-B01F-2D8A49A1D991}" name="Filter 2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Instagram</t>
      </text>
    </comment>
    <comment authorId="0" ref="D20">
      <text>
        <t xml:space="preserve">Zalo</t>
      </text>
    </comment>
    <comment authorId="0" ref="D19">
      <text>
        <t xml:space="preserve">VTC</t>
      </text>
    </comment>
    <comment authorId="0" ref="C66">
      <text>
        <t xml:space="preserve">Booking media Expend</t>
      </text>
    </comment>
    <comment authorId="0" ref="F2">
      <text>
        <t xml:space="preserve">Long điền thêm ở đây</t>
      </text>
    </comment>
    <comment authorId="0" ref="D15">
      <text>
        <t xml:space="preserve">Search</t>
      </text>
    </comment>
    <comment authorId="0" ref="D12">
      <text>
        <t xml:space="preserve">chatbot
</t>
      </text>
    </comment>
    <comment authorId="0" ref="D8">
      <text>
        <t xml:space="preserve">Seeding group HoaDM</t>
      </text>
    </comment>
    <comment authorId="0" ref="D7">
      <text>
        <t xml:space="preserve">ReMarketing</t>
      </text>
    </comment>
    <comment authorId="0" ref="D6">
      <text>
        <t xml:space="preserve">Seeding group HuyLG</t>
      </text>
    </comment>
    <comment authorId="0" ref="D21">
      <text>
        <t xml:space="preserve">Zing
</t>
      </text>
    </comment>
  </commentList>
</comments>
</file>

<file path=xl/sharedStrings.xml><?xml version="1.0" encoding="utf-8"?>
<sst xmlns="http://schemas.openxmlformats.org/spreadsheetml/2006/main" count="55312" uniqueCount="8250">
  <si>
    <t>Date</t>
  </si>
  <si>
    <t>Source</t>
  </si>
  <si>
    <t>Medium</t>
  </si>
  <si>
    <t>Term</t>
  </si>
  <si>
    <t>Location</t>
  </si>
  <si>
    <t>Agent</t>
  </si>
  <si>
    <t>campaign</t>
  </si>
  <si>
    <t>Adset</t>
  </si>
  <si>
    <t>Link LDP</t>
  </si>
  <si>
    <t>content</t>
  </si>
  <si>
    <t>Mã LDP</t>
  </si>
  <si>
    <t>Độ tuổi</t>
  </si>
  <si>
    <t>Date
(ddmmyy)</t>
  </si>
  <si>
    <t>Mã Agent</t>
  </si>
  <si>
    <t>Tên campain</t>
  </si>
  <si>
    <t>Tên content</t>
  </si>
  <si>
    <t>Tên chiến dịch</t>
  </si>
  <si>
    <t>Tên Target</t>
  </si>
  <si>
    <t>Tên tệp loại trừ</t>
  </si>
  <si>
    <t>Mã tài khoản</t>
  </si>
  <si>
    <t>Mã Content</t>
  </si>
  <si>
    <t>Mã hình thức chạy</t>
  </si>
  <si>
    <t>Chuyên mục content</t>
  </si>
  <si>
    <t>Mã Fanpage</t>
  </si>
  <si>
    <t>Account</t>
  </si>
  <si>
    <t>Mã target</t>
  </si>
  <si>
    <t>Tên Campain ( lấy ra để đặt tên cho campain)</t>
  </si>
  <si>
    <t>Tên Ad set( lấy ra để đặt tên cho tên adset)</t>
  </si>
  <si>
    <t>Tên Content</t>
  </si>
  <si>
    <t>Tebe campain</t>
  </si>
  <si>
    <t>Link</t>
  </si>
  <si>
    <t>Tên ad set</t>
  </si>
  <si>
    <t>utm_term</t>
  </si>
  <si>
    <t>Điền ngày theo format ddmmyy</t>
  </si>
  <si>
    <t>Vùng chọn
Import chọn link landing page từ file khác</t>
  </si>
  <si>
    <t>https://toandien.tienganh24h.net/khoahocgiaotiep/</t>
  </si>
  <si>
    <t>Vùng chọn</t>
  </si>
  <si>
    <t>Rongfly</t>
  </si>
  <si>
    <t>Phần agent tự điền (không dấu viết liền không kí tự đặc biệt)</t>
  </si>
  <si>
    <t>sinhvien1823</t>
  </si>
  <si>
    <t>batman</t>
  </si>
  <si>
    <t>anhche</t>
  </si>
  <si>
    <t>Facebook</t>
  </si>
  <si>
    <t>FA</t>
  </si>
  <si>
    <t>Phần agent tự điền (không dấu viết liền không kí tự đặc biệt)
Tên content.Fomat bài.loại tiêu đề. sản phẩm</t>
  </si>
  <si>
    <t>TAH</t>
  </si>
  <si>
    <t>HN</t>
  </si>
  <si>
    <t>Badt</t>
  </si>
  <si>
    <t>Phần agent chọn option</t>
  </si>
  <si>
    <t>Phần Agent điền tự do</t>
  </si>
  <si>
    <t>Phần nhảy tự động</t>
  </si>
  <si>
    <t>Patado.net</t>
  </si>
  <si>
    <t>https://patadovietnam.edu.vn/blog/kinh-nghiem-thi/tat-tan-tat-ve-tu-vung-ielts/</t>
  </si>
  <si>
    <t>SEE</t>
  </si>
  <si>
    <t>Tên Ad ( lấy ra để đặt tên cho tên adset)</t>
  </si>
  <si>
    <t>Vlook up file để lấy mã tự động từ file landing page khác</t>
  </si>
  <si>
    <t>ThanhPT</t>
  </si>
  <si>
    <t>hocielts</t>
  </si>
  <si>
    <t>giamgia50phantram</t>
  </si>
  <si>
    <t>yyy</t>
  </si>
  <si>
    <t>NONE</t>
  </si>
  <si>
    <t>none</t>
  </si>
  <si>
    <t>Tên campain_Mã tài khoản_Mã hình thức chạy_Mã agent_ddmmyy</t>
  </si>
  <si>
    <t>Mã Target_Location_tuổi_tệp loại trừ_ngày lên adset(ddmmyy)</t>
  </si>
  <si>
    <t>Mã content_têncontent_mã fanpage_mã LDP</t>
  </si>
  <si>
    <t>HuyTC</t>
  </si>
  <si>
    <t>PDK</t>
  </si>
  <si>
    <t>KQ</t>
  </si>
  <si>
    <t>h4hocvien</t>
  </si>
  <si>
    <t>CVS</t>
  </si>
  <si>
    <t>NON</t>
  </si>
  <si>
    <t>TAGTTDP</t>
  </si>
  <si>
    <t>RMK</t>
  </si>
  <si>
    <t>https://patadovietnam.edu.vn/blog/</t>
  </si>
  <si>
    <t>210820</t>
  </si>
  <si>
    <t>HuyNV</t>
  </si>
  <si>
    <t>TAGT.NDL</t>
  </si>
  <si>
    <t>TAGTNDL.CamKetDauRa</t>
  </si>
  <si>
    <t>saletructiep</t>
  </si>
  <si>
    <t>MES</t>
  </si>
  <si>
    <t>https://www.patado.net/mainpage</t>
  </si>
  <si>
    <t>SEE1</t>
  </si>
  <si>
    <t>020621</t>
  </si>
  <si>
    <t>https://patadovietnam.edu.vn/</t>
  </si>
  <si>
    <t>HoaDM</t>
  </si>
  <si>
    <t>Sau4ThangIELTS</t>
  </si>
  <si>
    <t>Grammar</t>
  </si>
  <si>
    <t>inbox</t>
  </si>
  <si>
    <t>Content2</t>
  </si>
  <si>
    <t>260521</t>
  </si>
  <si>
    <t>https://patadovietnam.edu.vn/tai-tai-lieu/</t>
  </si>
  <si>
    <t>DuyenNTM</t>
  </si>
  <si>
    <t>Momphuong</t>
  </si>
  <si>
    <t>250820</t>
  </si>
  <si>
    <t>kol</t>
  </si>
  <si>
    <t>KOL</t>
  </si>
  <si>
    <t>KHTT.1Anh</t>
  </si>
  <si>
    <t>Patado1</t>
  </si>
  <si>
    <t>270820</t>
  </si>
  <si>
    <t>https://www.patado.net/tieng-anh-giao-tiep</t>
  </si>
  <si>
    <t>ielts</t>
  </si>
  <si>
    <t>tailieu</t>
  </si>
  <si>
    <t>KHTAGT1Kem1</t>
  </si>
  <si>
    <t>kienthuc</t>
  </si>
  <si>
    <t>010920</t>
  </si>
  <si>
    <t>https://patadovietnam.edu.vn/blog/ielts-reading/de-thi-ielts-reading-thu/</t>
  </si>
  <si>
    <t>https://patadovietnam.edu.vn/blog/tin-tuc-tieng-anh/idioms-ielts-speaking/</t>
  </si>
  <si>
    <t>UnitedStates</t>
  </si>
  <si>
    <t>UnitedStates.ChamDut6Nam</t>
  </si>
  <si>
    <t>Storytell</t>
  </si>
  <si>
    <t>NEW</t>
  </si>
  <si>
    <t>https://patadovietnam.edu.vn/test-trinh-do/</t>
  </si>
  <si>
    <t>Canada</t>
  </si>
  <si>
    <t>Canada.ChamDut6Nam</t>
  </si>
  <si>
    <t>idioms</t>
  </si>
  <si>
    <t>identifying information</t>
  </si>
  <si>
    <t>khac</t>
  </si>
  <si>
    <t>testtrinhdo</t>
  </si>
  <si>
    <t>test</t>
  </si>
  <si>
    <t>NewZealand</t>
  </si>
  <si>
    <t>NewZealand.ChamDut6Nam</t>
  </si>
  <si>
    <t>https://patadovietnam.edu.vn/blog/ielts-speaking/patado-tong-hop-de-thi-ielts-speaking-2020/</t>
  </si>
  <si>
    <t>https://patadovietnam.edu.vn/tai-lieu/doi-thoai-hang-ngay-everyday-conversations/</t>
  </si>
  <si>
    <t>SouthKorea</t>
  </si>
  <si>
    <t>SouthKorea.ChamDut6Nam</t>
  </si>
  <si>
    <t>CTW</t>
  </si>
  <si>
    <t>Document</t>
  </si>
  <si>
    <t>clip</t>
  </si>
  <si>
    <t>speaking</t>
  </si>
  <si>
    <t>Australia</t>
  </si>
  <si>
    <t>Australia.ChamDut6Nam</t>
  </si>
  <si>
    <t>https://www.patado.net/tieng-anh-giao-tiep-nuoc-ngoai/</t>
  </si>
  <si>
    <t>030920</t>
  </si>
  <si>
    <t>Japan</t>
  </si>
  <si>
    <t>chatbotuudai30</t>
  </si>
  <si>
    <t>Jaxpan.ChamDut6Nam</t>
  </si>
  <si>
    <t>quatanguudai</t>
  </si>
  <si>
    <t>040920</t>
  </si>
  <si>
    <t>UnitedStates.TADD.ChamDut6Nam</t>
  </si>
  <si>
    <t>Patado4</t>
  </si>
  <si>
    <t>050920</t>
  </si>
  <si>
    <t>https://patadovietnam.edu.vn/blog/vocab-grammar/3000-tu-vung-ielts-thong-dung-nhat/</t>
  </si>
  <si>
    <t>Canada.TADD.HTAXQG</t>
  </si>
  <si>
    <t>https://patadovietnam.edu.vn/tai-lieu/english-made-easy/</t>
  </si>
  <si>
    <t>tienganh</t>
  </si>
  <si>
    <t>SouthKorea.TADD.HTAXQG</t>
  </si>
  <si>
    <t>070920</t>
  </si>
  <si>
    <t>NewZealand.TADD.HTAXQG</t>
  </si>
  <si>
    <t>tuvung</t>
  </si>
  <si>
    <t>080920</t>
  </si>
  <si>
    <t>Canada.TAGTTDP.HTAXQG</t>
  </si>
  <si>
    <t>090920</t>
  </si>
  <si>
    <t>Japan.TAGTTDP.TTGTTAS3T</t>
  </si>
  <si>
    <t>Patado3</t>
  </si>
  <si>
    <t>100920</t>
  </si>
  <si>
    <t>UnitedStates.KBTA.1AnhGlobal</t>
  </si>
  <si>
    <t>https://patadovietnam.edu.vn/blog/kinh-nghiem-thi/ielts/</t>
  </si>
  <si>
    <t>Canada.TAGT1K1.1AnhNguoiViet</t>
  </si>
  <si>
    <t>SouthKorea.TTGTTAS3T</t>
  </si>
  <si>
    <t>Canada.TAGT1K1.AnhXQG</t>
  </si>
  <si>
    <t>NewZealand.TAGT1K1.AnhXQG</t>
  </si>
  <si>
    <t>170920</t>
  </si>
  <si>
    <t>Singapore</t>
  </si>
  <si>
    <t>Singapore.TAGT1K1.AnhXQG</t>
  </si>
  <si>
    <t>Taiwan</t>
  </si>
  <si>
    <t>Taiwan.TAGT1K1.AnhXQG</t>
  </si>
  <si>
    <t>https://www.patado.net/tieng-anh-giao-tiep-nuoc-ngoai</t>
  </si>
  <si>
    <t>Canada.H4trungtam.Anhdo</t>
  </si>
  <si>
    <t>h4trungtam</t>
  </si>
  <si>
    <t>190920</t>
  </si>
  <si>
    <t>NewZealand.H4trungtam.Anhdo</t>
  </si>
  <si>
    <t>ptd</t>
  </si>
  <si>
    <t>ct</t>
  </si>
  <si>
    <t>260920</t>
  </si>
  <si>
    <t>Philippines</t>
  </si>
  <si>
    <t>Philippines.AnhBiQuyet</t>
  </si>
  <si>
    <t>290920</t>
  </si>
  <si>
    <t>UnitedStates.AnhNoiTANhuGio.ANTN</t>
  </si>
  <si>
    <t>021020</t>
  </si>
  <si>
    <t>https://patadovietnam.edu.vn/tai-lieu-giao-tiep/</t>
  </si>
  <si>
    <t>NewZealand.AnhNoiTANhuGio</t>
  </si>
  <si>
    <t>071020</t>
  </si>
  <si>
    <t>Malaysia</t>
  </si>
  <si>
    <t>Malaysia.AnhBiQuyet</t>
  </si>
  <si>
    <t>com</t>
  </si>
  <si>
    <t>VietNam</t>
  </si>
  <si>
    <t>VietNam.AnhBiQuyet</t>
  </si>
  <si>
    <t>020820</t>
  </si>
  <si>
    <t>Google</t>
  </si>
  <si>
    <t>Search</t>
  </si>
  <si>
    <t>BaDT</t>
  </si>
  <si>
    <t>IELTS</t>
  </si>
  <si>
    <t>abc</t>
  </si>
  <si>
    <t>SEA</t>
  </si>
  <si>
    <t>https://www.patado.net/mainpage/?utm_source=Google&amp;utm_medium=Search&amp;utm_term=NEW_VietNam_1865_abc_020820&amp;utm_content=saletructiep_abc_TAGTTDP_LD003&amp;utm_campaign=IELTS_Patado1_SEA_BaDT_020820</t>
  </si>
  <si>
    <t>https://patadovietnam.edu.vn/blog/kinh-nghiem-thi/hinh-thuc-thi-ielts/</t>
  </si>
  <si>
    <t>081020</t>
  </si>
  <si>
    <t>TADD</t>
  </si>
  <si>
    <t>UnitedStates.Video1Kem1</t>
  </si>
  <si>
    <t>Vietnam</t>
  </si>
  <si>
    <t>https://patadovietnam.edu.vn/tai-lieu/cambridge-instant-ielts/</t>
  </si>
  <si>
    <t>Japan.AnhBiQuyet</t>
  </si>
  <si>
    <t>VietNam.Video1Kem1</t>
  </si>
  <si>
    <t>VietNam.KHTAGT1Kem1</t>
  </si>
  <si>
    <t>121020</t>
  </si>
  <si>
    <t>https://www.patado.net/hoc-tieng-anh-giao-tiep</t>
  </si>
  <si>
    <t>https://patadovietnam.edu.vn/khoa-hoc-ielts/</t>
  </si>
  <si>
    <t>GDN</t>
  </si>
  <si>
    <t>Retargeting</t>
  </si>
  <si>
    <t>HocTiengAnhTrucTuyen1kem1</t>
  </si>
  <si>
    <t>DIS</t>
  </si>
  <si>
    <t>151020</t>
  </si>
  <si>
    <t>Website</t>
  </si>
  <si>
    <t>SEO</t>
  </si>
  <si>
    <t>TuanTQ</t>
  </si>
  <si>
    <t>031120</t>
  </si>
  <si>
    <t>UnitedStates.AnhGlobal.PTATTNDL</t>
  </si>
  <si>
    <t>PTV.9355</t>
  </si>
  <si>
    <t>PTATTNDL</t>
  </si>
  <si>
    <t>191020</t>
  </si>
  <si>
    <t>Canada.AnhGlobal.PTATTNDL</t>
  </si>
  <si>
    <t>041120</t>
  </si>
  <si>
    <t>https://patadovietnam.edu.vn/blog/ielts-writting/cau-truc-bai-thi-ielts-academic-writing/</t>
  </si>
  <si>
    <t>NewZealand.VIdeo1Kem1</t>
  </si>
  <si>
    <t>PTATT</t>
  </si>
  <si>
    <t>071120</t>
  </si>
  <si>
    <t>wr</t>
  </si>
  <si>
    <t>AJZianra.9650</t>
  </si>
  <si>
    <t>Pat1TATTTD</t>
  </si>
  <si>
    <t>091120</t>
  </si>
  <si>
    <t>UnitedStates.VIdeo1Kem1.PTATTNDL</t>
  </si>
  <si>
    <t>Antaiam.4982</t>
  </si>
  <si>
    <t>https://patadovietnam.edu.vn/tai-lieu/chinh-phuc-ielts-writing-course/</t>
  </si>
  <si>
    <t>VietNam.AnhCongNghe</t>
  </si>
  <si>
    <t>Novaon1</t>
  </si>
  <si>
    <t>101120</t>
  </si>
  <si>
    <t>Switzerland</t>
  </si>
  <si>
    <t>Switzerland.VIdeo1vs1.Patado2TATTTD</t>
  </si>
  <si>
    <t>Switzerland.VIdeo1Kem1.Patado2TATTTD</t>
  </si>
  <si>
    <t>SarongIson7038</t>
  </si>
  <si>
    <t>Pat2TATTTD</t>
  </si>
  <si>
    <t>111020</t>
  </si>
  <si>
    <t>Pat4TATTTD</t>
  </si>
  <si>
    <t>Novaon</t>
  </si>
  <si>
    <t>VietNam.Uudai</t>
  </si>
  <si>
    <t>https://patadovietnam.edu.vn/blog/vocab-grammar/16-thi-trong-tieng-anh/</t>
  </si>
  <si>
    <t>131020</t>
  </si>
  <si>
    <t>Philippines.VIdeo1Kem1.PTATTNDL</t>
  </si>
  <si>
    <t>161120</t>
  </si>
  <si>
    <t>Taiwan.VIdeo1Kem1.PTATT2</t>
  </si>
  <si>
    <t>171120</t>
  </si>
  <si>
    <t>Singapore.AnhCongNghe.PTATTNDL</t>
  </si>
  <si>
    <t>Canada.AnhBiQuyet.PTATT2</t>
  </si>
  <si>
    <t>DKO.7687</t>
  </si>
  <si>
    <t>https://patadovietnam.edu.vn/tai-lieu-ielts/</t>
  </si>
  <si>
    <t>Australia.AnhBiQuyet.PTATT</t>
  </si>
  <si>
    <t>221120</t>
  </si>
  <si>
    <t>UnitedStates.AnhBiQuyet.PTATTNDL</t>
  </si>
  <si>
    <t>Germany</t>
  </si>
  <si>
    <t>Germany.AnhBiQuyet.PTATTNDL</t>
  </si>
  <si>
    <t>SouthKorea.VIdeo1Kem1.PTATT</t>
  </si>
  <si>
    <t>https://patadovietnam.edu.vn/blog/vocab-grammar/bang-dong-tu-bat-quy-tac/</t>
  </si>
  <si>
    <t>Malaysia.VIdeo1Kem1.PTATT</t>
  </si>
  <si>
    <t>231120</t>
  </si>
  <si>
    <t>Russia</t>
  </si>
  <si>
    <t>Russia.VIdeo1Kem1.PTATT</t>
  </si>
  <si>
    <t>ĐTBQT</t>
  </si>
  <si>
    <t>241120</t>
  </si>
  <si>
    <t>Czechia</t>
  </si>
  <si>
    <t>Czechia.VIdeo1Kem1.PTATT</t>
  </si>
  <si>
    <t>MatthewNguyen.7687</t>
  </si>
  <si>
    <t>251120</t>
  </si>
  <si>
    <t>France</t>
  </si>
  <si>
    <t>France.VIdeo1Kem1.PTATT</t>
  </si>
  <si>
    <t>UnitedKingdom</t>
  </si>
  <si>
    <t>UnitedKingdom.VIdeo1Kem1.PTATT</t>
  </si>
  <si>
    <t>https://patadovietnam.edu.vn/blog/vocab-grammar/tu-loai/</t>
  </si>
  <si>
    <t>UnitedKingdom.AnhBiQuyet.PTATTNDL</t>
  </si>
  <si>
    <t>Malaysia.AnhBiQuyet.PTATTNDL</t>
  </si>
  <si>
    <t>tuloai</t>
  </si>
  <si>
    <t>Indonesia</t>
  </si>
  <si>
    <t>Indonesia.AnhBiQuyet.PTATTNDL</t>
  </si>
  <si>
    <t>021220</t>
  </si>
  <si>
    <t>Canada.Retro.Khoa1vs1.PTATT</t>
  </si>
  <si>
    <t>SouthKorea.Retro.Khoa1vs1.PTATT</t>
  </si>
  <si>
    <t>https://patadovietnam.edu.vn/test-trinh-do/grammar-level-test-01/</t>
  </si>
  <si>
    <t>UnitedStates.KHTACNV.VIdeo1vs1.PTATT</t>
  </si>
  <si>
    <t>testG</t>
  </si>
  <si>
    <t>Canada.KHTACNV.VIdeo1vs1.PTATT</t>
  </si>
  <si>
    <t>Japan.KHTACNV.VIdeo1vs1.PTATT</t>
  </si>
  <si>
    <t>Vietnam.VIdeo1vs1.PTATT</t>
  </si>
  <si>
    <t>https://patadovietnam.edu.vn/tai-lieu/bo-complete-ielts/</t>
  </si>
  <si>
    <t>Canada.AnhBiQuyetl.PTATTNDL</t>
  </si>
  <si>
    <t>id</t>
  </si>
  <si>
    <t>061220</t>
  </si>
  <si>
    <t>UnitedStates.AnhBiQuyetlRetro.PTATTNDL</t>
  </si>
  <si>
    <t>Canada.AnhBiQuyetlRetro.PTATTNDL</t>
  </si>
  <si>
    <t>071220</t>
  </si>
  <si>
    <t>Philippines.VIdeo1vs1.PTATT</t>
  </si>
  <si>
    <t>https://patadovietnam.edu.vn/tai-lieu/tron-bo-practical-ielts-strategies/</t>
  </si>
  <si>
    <t>Czechia.VIdeo1vs1.PTATT</t>
  </si>
  <si>
    <t>ie writing</t>
  </si>
  <si>
    <t>iw</t>
  </si>
  <si>
    <t>Cambodia</t>
  </si>
  <si>
    <t>Cambodia.VIdeo1vs1.PTATT</t>
  </si>
  <si>
    <t>https://patadovietnam.edu.vn/tai-lieu/basic-ielts-full-pdf/</t>
  </si>
  <si>
    <t>Philippines.AnhBiQuyetlRetro.PTATTNDL</t>
  </si>
  <si>
    <t>HongKong</t>
  </si>
  <si>
    <t>HongKong.AnhBiQuyetlRetro.PTATTNDL</t>
  </si>
  <si>
    <t>listening</t>
  </si>
  <si>
    <t>il</t>
  </si>
  <si>
    <t>Mexico</t>
  </si>
  <si>
    <t>Mexico.AnhBiQuyetlRetro.PTATTNDL</t>
  </si>
  <si>
    <t>ENG</t>
  </si>
  <si>
    <t>TaiTroNgoaiThuong</t>
  </si>
  <si>
    <t>PageNgoaiThuong</t>
  </si>
  <si>
    <t>baituongtac1</t>
  </si>
  <si>
    <t>XuBen.5018</t>
  </si>
  <si>
    <t>091220</t>
  </si>
  <si>
    <t>https://www.patado.net/anhtuanchik</t>
  </si>
  <si>
    <t>Patadovietnam</t>
  </si>
  <si>
    <t>all</t>
  </si>
  <si>
    <t>None</t>
  </si>
  <si>
    <t>HongKong.VIdeo1vs1.PTATT</t>
  </si>
  <si>
    <t>ttac</t>
  </si>
  <si>
    <t>web</t>
  </si>
  <si>
    <t>Patado1.BMAR</t>
  </si>
  <si>
    <t>141220</t>
  </si>
  <si>
    <t>Australia.VIdeo1vs1.PTATT</t>
  </si>
  <si>
    <t>like</t>
  </si>
  <si>
    <t>Japan.VIdeo1vs1.PTATT</t>
  </si>
  <si>
    <t>https://patadovietnam.edu.vn/tai-lieu/ielts-vocabulary-booster/</t>
  </si>
  <si>
    <t>181220</t>
  </si>
  <si>
    <t>UnitedKingdom.VIdeo1vs1.PTATT</t>
  </si>
  <si>
    <t>vo</t>
  </si>
  <si>
    <t>251220</t>
  </si>
  <si>
    <t>LongNV</t>
  </si>
  <si>
    <t>None.resale.none</t>
  </si>
  <si>
    <t>261220</t>
  </si>
  <si>
    <t>None.raicmt.none</t>
  </si>
  <si>
    <t>CMT</t>
  </si>
  <si>
    <t>DuongNB</t>
  </si>
  <si>
    <t>mail</t>
  </si>
  <si>
    <t>https://patadovietnam.edu.vn/tai-lieu/focus-on-academic-skills-for-ielts/</t>
  </si>
  <si>
    <t>https://patadovietnam.edu.vn/blog/sach-luyen-thi-ielts/ielts-cambridge/</t>
  </si>
  <si>
    <t>https://patadovietnam.edu.vn/tai-lieu/cambridge-grammar-for-ielts/</t>
  </si>
  <si>
    <t>cambridge</t>
  </si>
  <si>
    <t>https://patadovietnam.edu.vn/tai-lieu/tips-for-ielts-meo-hoc-ielts/</t>
  </si>
  <si>
    <t>https://patadovietnam.edu.vn/tai-lieu/ielts-advantage-speaking-listening-skills/</t>
  </si>
  <si>
    <t>IELTSAdvantageSpeakingListeningSkills</t>
  </si>
  <si>
    <t>https://patadovietnam.edu.vn/tai-lieu/destination-b1-b2-va-c1c2/</t>
  </si>
  <si>
    <t>https://patadovietnam.edu.vn/tai-lieu/reading-strategies-for-the-ielts-test/</t>
  </si>
  <si>
    <t>https://patadovietnam.edu.vn/tai-lieu/ielts-listening-actual-test/</t>
  </si>
  <si>
    <t>https://patadovietnam.edu.vn/tai-lieu/listening-strategies-for-the-ielts-test/</t>
  </si>
  <si>
    <t>IELTSListeningActualTest</t>
  </si>
  <si>
    <t>https://patadovietnam.edu.vn/tai-lieu/top-tips-for-ielts-academic/</t>
  </si>
  <si>
    <t>https://patadovietnam.edu.vn/tai-lieu/full-bo-check-your-english-vocabulary/</t>
  </si>
  <si>
    <t>https://patadovietnam.edu.vn/tai-lieu/hoc-tieng-anh-cho-nguoi-di-lam-voi-cuon-sach-market-leader/</t>
  </si>
  <si>
    <t>https://patadovietnam.edu.vn/tai-lieu/barrons-ielts-practice-exams/</t>
  </si>
  <si>
    <t xml:space="preserve">IELTSPracticeExam </t>
  </si>
  <si>
    <t>https://patadovietnam.edu.vn/tai-lieu/barrons-ielts-practice-exams/?utm_source=Facebook&amp;utm_medium=SEE1&amp;utm_term=NON_NONE_none_none_271221&amp;utm_content=khac_tailieu_NON_LD083&amp;utm_campaign=IELTSPracticeExam_NON_NON_DuongNB_271221</t>
  </si>
  <si>
    <t>https://patadovietnam.edu.vn/tai-lieu/tu-vung-co-ban-english-vocabulary-in-use-elementary/</t>
  </si>
  <si>
    <t>https://patadovietnam.edu.vn/tai-lieu/a-book-for-ielts/</t>
  </si>
  <si>
    <t>https://patadovietnam.edu.vn/tai-lieu/english-grammar-in-use/</t>
  </si>
  <si>
    <t>AbookforIELTS</t>
  </si>
  <si>
    <t>https://patadovietnam.edu.vn/blog/tieng-anh-giao-tiep/phat-am-tieng-anh-chuan/</t>
  </si>
  <si>
    <t>https://patadovietnam.edu.vn/blog/tieng-anh-giao-tiep/10-website-luyen-nghe-online/</t>
  </si>
  <si>
    <t>Destination</t>
  </si>
  <si>
    <t>https://forms.gle/YZ7FebbSC6Upf7yu9</t>
  </si>
  <si>
    <t>https://patadovietnam.edu.vn/blog/tieng-anh-giao-tiep/phan-mem-hoc-tieng-anh-mien-phi/</t>
  </si>
  <si>
    <t>5s</t>
  </si>
  <si>
    <t>050121</t>
  </si>
  <si>
    <t>Canada.VIdeo1vs1.Contentnew.PTATT</t>
  </si>
  <si>
    <t>https://patadovietnam.edu.vn/tai-lieu/academic-vocabulary-in-use/</t>
  </si>
  <si>
    <t>090121</t>
  </si>
  <si>
    <t>https://patadovietnam.edu.vn/cam-nhan-hoc-vien/</t>
  </si>
  <si>
    <t>AcademicVocabulary</t>
  </si>
  <si>
    <t>120121</t>
  </si>
  <si>
    <t>hocsinh</t>
  </si>
  <si>
    <t>DangbainhomKGXTA</t>
  </si>
  <si>
    <t>khoahocIELTS</t>
  </si>
  <si>
    <t>PIN</t>
  </si>
  <si>
    <t>HelloUnitedStates</t>
  </si>
  <si>
    <t>HVnail41tuoichiase</t>
  </si>
  <si>
    <t>camnhan</t>
  </si>
  <si>
    <t>https://patadovietnam.edu.vn/tai-lieu/tron-bo-english-vocabulary-in-use/</t>
  </si>
  <si>
    <t>HelloAustralia</t>
  </si>
  <si>
    <t>EnglishVocabularyinUse</t>
  </si>
  <si>
    <t>HelloCanada</t>
  </si>
  <si>
    <t>HelloJapan</t>
  </si>
  <si>
    <t>HVkhachsan32tuoichiase</t>
  </si>
  <si>
    <t>UnitedStates.PTATTNDL</t>
  </si>
  <si>
    <t>ReadingStrategiesfortheIELTSTest</t>
  </si>
  <si>
    <t>BiQuyet.Philippines.PTATT</t>
  </si>
  <si>
    <t>https://patadovietnam.edu.vn/tai-lieu/bo-improve-your-ielts-4-ky-nang/</t>
  </si>
  <si>
    <t>AndyArcillaDuque</t>
  </si>
  <si>
    <t>ImproveyourIELTS</t>
  </si>
  <si>
    <t>UnitedArabEmirates</t>
  </si>
  <si>
    <t>HelloUnitedArabEmirates</t>
  </si>
  <si>
    <t>010221</t>
  </si>
  <si>
    <t>Cambodia.Video1Kem1.PTATTNDL</t>
  </si>
  <si>
    <t>Vietnam.Video1Kem1.PTATTNDL</t>
  </si>
  <si>
    <t>https://patadovietnam.edu.vn/tai-lieu/tron-bo-collins-for-ielts/</t>
  </si>
  <si>
    <t>Japan.Video1Kem1.PTATTNDL</t>
  </si>
  <si>
    <t>Philippines.AnhBiQuyet.PTATTNDL</t>
  </si>
  <si>
    <t>http://patadovietnam.edu.vn</t>
  </si>
  <si>
    <t>CollinsforIELTS</t>
  </si>
  <si>
    <t>VietNam.KIDS.PTATT</t>
  </si>
  <si>
    <t>060321</t>
  </si>
  <si>
    <t>Australia.Video1Kem1.PTATT</t>
  </si>
  <si>
    <t>UAE.Video1Kem1.PTATTNDL</t>
  </si>
  <si>
    <t>240321</t>
  </si>
  <si>
    <t>https://patadovietnam.edu.vn/tai-lieu/tron-bo-mindset-for-ielts-ban-pdf/</t>
  </si>
  <si>
    <t>Canada.Video1Kem1.PTATTNDL</t>
  </si>
  <si>
    <t>UnitedStates.Video1Kem1.TATTPVN</t>
  </si>
  <si>
    <t>TATTPVN</t>
  </si>
  <si>
    <t>https://patadovietnam.edu.vn/luyenthiquoctichmy/</t>
  </si>
  <si>
    <t>MindsetforIELTS</t>
  </si>
  <si>
    <t>UnitedStates.LuyenThiQuocTichClone.PTATTNDL</t>
  </si>
  <si>
    <t>https://www.patado.net/tienganhgiaotiepnails</t>
  </si>
  <si>
    <t>https://patadovietnam.edu.vn/tai-lieu/academic-writing-practice-for-ielts/</t>
  </si>
  <si>
    <t>UnitedStates.NailClone.PTATTNDL</t>
  </si>
  <si>
    <t>AcademicWritingPracticeforIELTS</t>
  </si>
  <si>
    <t>SouthKorea.Video1Kem1.PTATT</t>
  </si>
  <si>
    <t>https://patadovietnam.edu.vn/lop-luyen-thi-quoc-tich-my/</t>
  </si>
  <si>
    <t>https://patadovietnam.edu.vn/tai-lieu/tron-bo-intensive-ielts/</t>
  </si>
  <si>
    <t>HieuPM</t>
  </si>
  <si>
    <t>ClickTuWebChinh</t>
  </si>
  <si>
    <t>TiengAnhNail</t>
  </si>
  <si>
    <t>Intensive</t>
  </si>
  <si>
    <t>QuocTichMy</t>
  </si>
  <si>
    <t>Australia.AnhBiQuyet.PTATTNDL</t>
  </si>
  <si>
    <t>https://patadovietnam.edu.vn/tai-lieu/marvellous-techniques-for-ielts-writing/</t>
  </si>
  <si>
    <t>Cambodia.VideoOanhnew.PTATTNDL</t>
  </si>
  <si>
    <t>NewZealand.VideoOanhnew.PTATTNDL</t>
  </si>
  <si>
    <t>Canada.AnhBiQuyet.PTATT</t>
  </si>
  <si>
    <t>MarvellousTechniques</t>
  </si>
  <si>
    <t>Germany.AnhBiQuyet.PTATT</t>
  </si>
  <si>
    <t>Czechia.AnhBiQuyet.PTATT</t>
  </si>
  <si>
    <t>https://patadovietnam.edu.vn/nailspatado/</t>
  </si>
  <si>
    <t>UnitedKingdom.VidNail.PTATTNDL</t>
  </si>
  <si>
    <t>SouthKorea.VidH4TrungTam.PTATTNDL</t>
  </si>
  <si>
    <t>KOLs.DinhLanPhuong</t>
  </si>
  <si>
    <t>MevaBe</t>
  </si>
  <si>
    <t>China</t>
  </si>
  <si>
    <t>EverydayConversations</t>
  </si>
  <si>
    <t>China.AnhKhaiGiang.PTATTNDL</t>
  </si>
  <si>
    <t>China.AnhPassport.PTATTNDL</t>
  </si>
  <si>
    <t>HongKong.AnhKhaiGiang.PTATTNDL</t>
  </si>
  <si>
    <t>France.AnhPassport.PTATTNDL</t>
  </si>
  <si>
    <t>https://patadovietnam.edu.vn/ielts_patado/</t>
  </si>
  <si>
    <t>Toptips</t>
  </si>
  <si>
    <t>UnitedStates.VideoJenneyHuynh.TATTPVN</t>
  </si>
  <si>
    <t>Vietnam.VideoJenneyHuynh.TATTPVN</t>
  </si>
  <si>
    <t>VOCABULARYBOOSTER</t>
  </si>
  <si>
    <t>HongKong.AnhKhaiGiang.PTATT</t>
  </si>
  <si>
    <t>China.AnhKhaiGiang.PTATT</t>
  </si>
  <si>
    <t>https://patadovietnam.edu.vn/tai-lieu/oxford-word-skills-basic/</t>
  </si>
  <si>
    <t>SouthKorea.AnhKhaiGiang.PTATT</t>
  </si>
  <si>
    <t>OxfordWordSkills</t>
  </si>
  <si>
    <t>SouthKorea.VideoJenneyHuynh.PATT</t>
  </si>
  <si>
    <t>CzechRepublic</t>
  </si>
  <si>
    <t>CzechRepublic.VideoJenneyHuynh.PATT</t>
  </si>
  <si>
    <t>UnitedKingdom.VideoJenneyHuynh.PATT</t>
  </si>
  <si>
    <t>060721</t>
  </si>
  <si>
    <t>Austria</t>
  </si>
  <si>
    <t>Austria.Video11Vang.PTATT</t>
  </si>
  <si>
    <t>Poland</t>
  </si>
  <si>
    <t>Poland.AnhKhaiGiang.PTATT</t>
  </si>
  <si>
    <t>Belgium</t>
  </si>
  <si>
    <t>Belgium.Video11Vang.PTATT</t>
  </si>
  <si>
    <t>Portugal</t>
  </si>
  <si>
    <t>Portugal.Video11Vang.PTATT</t>
  </si>
  <si>
    <t>focusonacademicskillsforielts</t>
  </si>
  <si>
    <t>Spain</t>
  </si>
  <si>
    <t>Spain.Video11Vang.PTATT</t>
  </si>
  <si>
    <t>070721</t>
  </si>
  <si>
    <t>Canada.AnhKhaiGiang.PTATT</t>
  </si>
  <si>
    <t>Taiwan.AnhKhaiGiang.PTATT</t>
  </si>
  <si>
    <t>https://patadovietnam.edu.vn/tai-lieu/3000-tu-vung-tieng-anh/</t>
  </si>
  <si>
    <t>Japan.AnhKhaiGiang.PTATT</t>
  </si>
  <si>
    <t>3000tuvung</t>
  </si>
  <si>
    <t>UnitedStates.VideoH4TrungTam.PTATT</t>
  </si>
  <si>
    <t>090721</t>
  </si>
  <si>
    <t>Malaysia.AnhKhaiGiang.PTATT</t>
  </si>
  <si>
    <t>Singapore.AnhKhaiGiang.PTATT</t>
  </si>
  <si>
    <t>https://patadovietnam.edu.vn/tai-lieu/bo-4000-essential-english-words/</t>
  </si>
  <si>
    <t>Indonesia.AnhKhaiGiang.PTATT</t>
  </si>
  <si>
    <t>Thailand</t>
  </si>
  <si>
    <t>Thailand.AnhKhaiGiang.PTATT</t>
  </si>
  <si>
    <t>4000ESSENTIAL</t>
  </si>
  <si>
    <t>Canada.VideoH4TrungTam.PTATT</t>
  </si>
  <si>
    <t>130721</t>
  </si>
  <si>
    <t>HongKong.VideoH4TrungTam.PTATT</t>
  </si>
  <si>
    <t>Singapore.VideoH4TrungTam.PTATT</t>
  </si>
  <si>
    <t>140721</t>
  </si>
  <si>
    <t>China.VideoH4TrungTam.PTATT</t>
  </si>
  <si>
    <t>Taiwan.VideoH4TrungTam.PTATT</t>
  </si>
  <si>
    <t>Australia.VideoH4TrungTam.PTATT</t>
  </si>
  <si>
    <t>EnglishMadeEasyVloume1</t>
  </si>
  <si>
    <t>SouthKorea.VideoH4TrungTam.PTATT</t>
  </si>
  <si>
    <t>CzechRepublic.VideoH4TrungTam.PTATT</t>
  </si>
  <si>
    <t>UnitedKingdom.VideoH4TrungTam.PTATT</t>
  </si>
  <si>
    <t>CambridgeGrammarforIELTS</t>
  </si>
  <si>
    <t>190721</t>
  </si>
  <si>
    <t>Japan.VideoH4TrungTam.PTATT</t>
  </si>
  <si>
    <t>210721</t>
  </si>
  <si>
    <t>https://patadovietnam.edu.vn/tai-lieu/english-collocations-in-use/</t>
  </si>
  <si>
    <t>070821</t>
  </si>
  <si>
    <t>Philippines.VideoH4TrungTam.PTATT</t>
  </si>
  <si>
    <t>Germany.VideoH4TrungTam.PTATT</t>
  </si>
  <si>
    <t>ENGLISHCOLLOCATIONS</t>
  </si>
  <si>
    <t>NewZealand.VideoH4TrungTam.PTATT</t>
  </si>
  <si>
    <t>France.VideoH4TrungTam.PTATT</t>
  </si>
  <si>
    <t>Italy</t>
  </si>
  <si>
    <t>Italy.VideoH4TrungTam.PTATT</t>
  </si>
  <si>
    <t>https://patadovietnam.edu.vn/tai-lieu/tron-bo-cambridge-ielts-1-15/</t>
  </si>
  <si>
    <t>Poland.VideoH4TrungTam.PTATT</t>
  </si>
  <si>
    <t>Laos</t>
  </si>
  <si>
    <t>Laos.VideoH4TrungTam.PTATT</t>
  </si>
  <si>
    <t>Cambodia.VideoH4TrungTam.PTATT</t>
  </si>
  <si>
    <t>tronbocambridge</t>
  </si>
  <si>
    <t>Canada.VidVTV.PTATT</t>
  </si>
  <si>
    <t>Australia.VidVTV.PTATT</t>
  </si>
  <si>
    <t>UnitedStates.VidVTV.PTATT</t>
  </si>
  <si>
    <t>https://patadovietnam.edu.vn/tai-lieu/tron-bo-barrons-ielts/</t>
  </si>
  <si>
    <t>Singapore.VidVTV.PTATT</t>
  </si>
  <si>
    <t>barron</t>
  </si>
  <si>
    <t>NewZealand.VidVTV.PTATT</t>
  </si>
  <si>
    <t>CzechRepublic.VidVTV.PTATT</t>
  </si>
  <si>
    <t>HongKong.VidVTV.PTATT</t>
  </si>
  <si>
    <t>Taiwan.VidVTV.PTATT</t>
  </si>
  <si>
    <t>complete</t>
  </si>
  <si>
    <t>Philippines.VidVTV.PTATT</t>
  </si>
  <si>
    <t>Malaysia.VidVTV.PTATT</t>
  </si>
  <si>
    <t>https://patadovietnam.edu.vn/tai-lieu/the-official-cambridge-guide-to-ielts/</t>
  </si>
  <si>
    <t>UnitedKingdom.VidVTV.PTATT</t>
  </si>
  <si>
    <t>Email</t>
  </si>
  <si>
    <t>EmailMarketing</t>
  </si>
  <si>
    <t>ALL</t>
  </si>
  <si>
    <t>HaNV</t>
  </si>
  <si>
    <t>WelcomeSeries2021</t>
  </si>
  <si>
    <t>WelcomeSeries2021.List1600</t>
  </si>
  <si>
    <t>TheOfficialCambridge</t>
  </si>
  <si>
    <t>WelcomeSeries2021.List3200.Email1</t>
  </si>
  <si>
    <t>091121</t>
  </si>
  <si>
    <t>HongKong.H4TrungTam.PTATT</t>
  </si>
  <si>
    <t>Singapore.H4TrungTam.PTATT</t>
  </si>
  <si>
    <t>https://patadovietnam.edu.vn/tai-lieu/focus-on-ielts-foundation/</t>
  </si>
  <si>
    <t>Kazakhstan</t>
  </si>
  <si>
    <t>Kazakhstan.H4TrungTam.PTATT</t>
  </si>
  <si>
    <t>FocusonIELTSFoundation</t>
  </si>
  <si>
    <t>Thailand.H4TrungTam.PTATT</t>
  </si>
  <si>
    <t>Indonesia.H4TrungTam.PTATT</t>
  </si>
  <si>
    <t>121121</t>
  </si>
  <si>
    <t>Canada.H4TrungTam.PTATT</t>
  </si>
  <si>
    <t>https://patadovietnam.edu.vn/tai-lieu/essential-phonetics-for-ielts/</t>
  </si>
  <si>
    <t>UnitedArabEmirates.H4TrungTam.PTATT</t>
  </si>
  <si>
    <t>France.H4TrungTam.PTATT</t>
  </si>
  <si>
    <t>Germany.H4TrungTam.PTATT</t>
  </si>
  <si>
    <t>EssentialWriting</t>
  </si>
  <si>
    <t>131121</t>
  </si>
  <si>
    <t>UnitedKingdom.H4TrungTam.PTATT</t>
  </si>
  <si>
    <t>REC</t>
  </si>
  <si>
    <r>
      <rPr>
        <color rgb="FF1155CC"/>
        <u/>
      </rPr>
      <t>VietNam.kienthuc.T</t>
    </r>
    <r>
      <rPr>
        <color rgb="FF000000"/>
        <u/>
      </rPr>
      <t>ATTPVN</t>
    </r>
  </si>
  <si>
    <t>https://patadovietnam.edu.vn/tai-lieu/bridge-to-ielts-pre-intermediate/</t>
  </si>
  <si>
    <t>VietNam.kienthuc.TATTP</t>
  </si>
  <si>
    <t xml:space="preserve">BridgetoIELTS </t>
  </si>
  <si>
    <t>LinhDK</t>
  </si>
  <si>
    <t>Vietnam.kienthuc.TATTPVN</t>
  </si>
  <si>
    <t>Vietnam.kienthuc.TATTP</t>
  </si>
  <si>
    <t>https://patadovietnam.edu.vn/test-trinh-do/ielts-reading-level-4-5-test/</t>
  </si>
  <si>
    <t>Vietnam.test.TATTPVN</t>
  </si>
  <si>
    <t>https://patadovietnam.edu.vn/blog/vocab-grammar/tu-vung-ielts-chu-de/</t>
  </si>
  <si>
    <t>Malaysia.H4TrungTam.PTATT</t>
  </si>
  <si>
    <t>Japan.H4TrungTam.PTATT</t>
  </si>
  <si>
    <t>061221</t>
  </si>
  <si>
    <t>Malaysia.IntroLopHoc.PTATT</t>
  </si>
  <si>
    <t>UnitedArabEmirates.IntroLopHoc.PTATT</t>
  </si>
  <si>
    <t>Canada.IntroLopHoc.PTATT</t>
  </si>
  <si>
    <t>Vietnam.quatanguudai.TATTPVN</t>
  </si>
  <si>
    <t>Australia.H4TrungTam.PTATT</t>
  </si>
  <si>
    <t>Laos.H4TrungTam.PTATT</t>
  </si>
  <si>
    <t>Philippines.H4TrungTam.PTATT</t>
  </si>
  <si>
    <t>Myanmar</t>
  </si>
  <si>
    <t>Myanmar.H4TrungTam.PTATT</t>
  </si>
  <si>
    <t>Taiwan.H4TrungTam.PTATT</t>
  </si>
  <si>
    <t>https://patadovietnam.edu.vn/tai-lieu/bo-sach-chuyen-nganh-oxford-business-english/</t>
  </si>
  <si>
    <t>Tailieu.SachDanVanPhong.PTATT</t>
  </si>
  <si>
    <t>tips</t>
  </si>
  <si>
    <t>Tailieu.MarketLeader.PTATT</t>
  </si>
  <si>
    <t>Taiwan.VTV.PTATT</t>
  </si>
  <si>
    <t>Philippines.VTV.PTATT</t>
  </si>
  <si>
    <t>Australia.VTV.PTATT</t>
  </si>
  <si>
    <t>020122</t>
  </si>
  <si>
    <t>Canada.VTV.PTATT</t>
  </si>
  <si>
    <t>Singapore.VTV.PTATT</t>
  </si>
  <si>
    <t>UnitedKingdom.VTV.PTATT</t>
  </si>
  <si>
    <t>Germany.VTV.PTATT</t>
  </si>
  <si>
    <t>CzechRepublic.VTV.PTATT</t>
  </si>
  <si>
    <t>Malaysia.VTV.PTATT</t>
  </si>
  <si>
    <t>NewZealand.VTV.PTATT</t>
  </si>
  <si>
    <t>020722</t>
  </si>
  <si>
    <t>Other</t>
  </si>
  <si>
    <t>Leak</t>
  </si>
  <si>
    <t>non</t>
  </si>
  <si>
    <t>LEAK</t>
  </si>
  <si>
    <t>HongKong.VTV.PTATT</t>
  </si>
  <si>
    <t>Macao</t>
  </si>
  <si>
    <t>Macao.VTV.PTATT</t>
  </si>
  <si>
    <t>Qatar</t>
  </si>
  <si>
    <t>Qatar.VTV.PTATT</t>
  </si>
  <si>
    <t>210222</t>
  </si>
  <si>
    <t>020322</t>
  </si>
  <si>
    <t>Korea</t>
  </si>
  <si>
    <t>Korea.H4TrungTam.PTATT</t>
  </si>
  <si>
    <t>India</t>
  </si>
  <si>
    <t>India.H4TrungTam.PTATT</t>
  </si>
  <si>
    <t>030322</t>
  </si>
  <si>
    <t>UnitedStates.AnhThongBao.PTATT</t>
  </si>
  <si>
    <t>Japan.AnhThongBao.PTATT</t>
  </si>
  <si>
    <t>Canada.AnhThongBao.PTATT</t>
  </si>
  <si>
    <t>040322</t>
  </si>
  <si>
    <t>Australia.AnhThongBao.PTATT</t>
  </si>
  <si>
    <t>060322</t>
  </si>
  <si>
    <t>KoreaSouth</t>
  </si>
  <si>
    <t>KoreaSouth.AnhThongBao.PTATT</t>
  </si>
  <si>
    <t>Singapore.AnhThongBao.PTATT</t>
  </si>
  <si>
    <t>Macao.AnhThongBao.PTATT</t>
  </si>
  <si>
    <t>Philippines.AnhThongBao.PTATT</t>
  </si>
  <si>
    <t>Organic</t>
  </si>
  <si>
    <t>Group</t>
  </si>
  <si>
    <t>GroupTuXay</t>
  </si>
  <si>
    <t>CzechRepublic.AnhThongBao.PTATT</t>
  </si>
  <si>
    <t>NewZealand.AnhThongBao.PTATT</t>
  </si>
  <si>
    <t>Vietnam.IELTS.AnhLoTrinh.PTATT</t>
  </si>
  <si>
    <t>UnitedKingdom.AnhThongBao.PTATT</t>
  </si>
  <si>
    <t>Vietnam.VideoSVTinhLe.PTATT</t>
  </si>
  <si>
    <t>UnitedArabEmirates.AnhThongBao.PTATT</t>
  </si>
  <si>
    <t>Germany.AnhThongBao.PTATT</t>
  </si>
  <si>
    <t>France.AnhThongBao.PTATT</t>
  </si>
  <si>
    <t>UnitedStates.IELTS.AnhVang.PTATT</t>
  </si>
  <si>
    <t>010422</t>
  </si>
  <si>
    <t>UnitedStates.AnhMoLopexcell.PTATT</t>
  </si>
  <si>
    <t>Japan.AnhMoLopexcell.PTATT</t>
  </si>
  <si>
    <t>NewZealand.AnhMoLopexcell.PTATT</t>
  </si>
  <si>
    <t>CzechRepublic.AnhMoLopexcell.PTATT</t>
  </si>
  <si>
    <t>020422</t>
  </si>
  <si>
    <t>UnitedStates.AnhShortThongBao.PTATT</t>
  </si>
  <si>
    <t>Japan.AnhShortThongBao.PTATT</t>
  </si>
  <si>
    <t>KoreaSouth.AnhShortThongBao.PTATT</t>
  </si>
  <si>
    <t>Taiwan.AnhShortThongBao.PTATT</t>
  </si>
  <si>
    <t>Canada.AnhShortThongBao.PTATT</t>
  </si>
  <si>
    <t>Macao.AnhShortThongBao.PTATT</t>
  </si>
  <si>
    <t>050422</t>
  </si>
  <si>
    <t>KoreaSouth.VideoH4.PTATT</t>
  </si>
  <si>
    <t>Canada.VideoH4.PTATT</t>
  </si>
  <si>
    <t>070422</t>
  </si>
  <si>
    <t>Japan.AnhThongBao2.PTATT</t>
  </si>
  <si>
    <t>Canada.AnhThongBao2.PTATT</t>
  </si>
  <si>
    <t>080422</t>
  </si>
  <si>
    <t>Australia.AnhThongBao2.PTATT</t>
  </si>
  <si>
    <t>KoreaSouth.AnhThongBao2.PTATT</t>
  </si>
  <si>
    <t>Malaysia.AnhThongBao2.PTATT</t>
  </si>
  <si>
    <t>UnitedStates.HopDongDaoTao.PTATT</t>
  </si>
  <si>
    <t>Canada.HopDongDaoTao.PTATT</t>
  </si>
  <si>
    <t>030522</t>
  </si>
  <si>
    <t>KoreaSouth.HopDongDaoTao.PTATT</t>
  </si>
  <si>
    <t>Australia.HopDongDaoTao.PTATT</t>
  </si>
  <si>
    <t>Japan.HopDongDaoTao.PTATT</t>
  </si>
  <si>
    <t>CzechRepublic.HopDongDaoTao.PTATT</t>
  </si>
  <si>
    <t>NewZealand.HopDongDaoTao.PTATT</t>
  </si>
  <si>
    <t>040522</t>
  </si>
  <si>
    <t>ALL.VideoH4TrungTam.PTATT</t>
  </si>
  <si>
    <t>Europe</t>
  </si>
  <si>
    <t>Europe.VideoH4TrungTam.PTATT</t>
  </si>
  <si>
    <t>060522</t>
  </si>
  <si>
    <t>Vietnam.VideoH4TrungTam.PTATT</t>
  </si>
  <si>
    <t>100522</t>
  </si>
  <si>
    <t>ALL.HopDongDaoTao.PTATT</t>
  </si>
  <si>
    <t>110522</t>
  </si>
  <si>
    <t>UnitedStates.GreenBoard.PTATT</t>
  </si>
  <si>
    <t>Canada.GreenBoard.PTATT</t>
  </si>
  <si>
    <t>Japan.GreenBoard.PTATT</t>
  </si>
  <si>
    <t>KoreaSouth.GreenBoard.PTATT</t>
  </si>
  <si>
    <t>Australia.GreenBoard.PTATT</t>
  </si>
  <si>
    <t>140522</t>
  </si>
  <si>
    <t>UnitedStates.VideoH4TrungTam.TATTTD</t>
  </si>
  <si>
    <t>Japan.VideoH4TrungTam.TATTTD</t>
  </si>
  <si>
    <t>UnitedStates.AnhThongBao12.PTATT</t>
  </si>
  <si>
    <t>Japan.AnhThongBao12.PTATT</t>
  </si>
  <si>
    <t>KoreaSouth.AnhThongBao12.PTATT</t>
  </si>
  <si>
    <t>Australia.AnhThongBao12.PTATT</t>
  </si>
  <si>
    <t>Taiwan.AnhThongBao12.PTATT</t>
  </si>
  <si>
    <t>Malaysia.AnhThongBao12.PTATT</t>
  </si>
  <si>
    <t>Philippines.AnhThongBao12.PTATT</t>
  </si>
  <si>
    <t>Canada.AnhThongBao12.PTATT</t>
  </si>
  <si>
    <t>ALL.HopDongDaoTao2.PTATT</t>
  </si>
  <si>
    <t>UnitedStates.HopDongDaoTao2.PTATT</t>
  </si>
  <si>
    <t>Australia.HopDongDaoTao2.PTATT</t>
  </si>
  <si>
    <t>KoreaSouth.HopDongDaoTao2.PTATT</t>
  </si>
  <si>
    <t>Japan.HopDongDaoTao2.PTATT</t>
  </si>
  <si>
    <t>Singapore.AnhThongBao12.PTATT</t>
  </si>
  <si>
    <t>UnitedStates.BaeminxPatado.PTATT</t>
  </si>
  <si>
    <t>KoreaSouth.BaeminxPatado.PTATT</t>
  </si>
  <si>
    <t>Japan.BaeminxPatado.PTATT</t>
  </si>
  <si>
    <t>Philippines.BaeminxPatado.PTATT</t>
  </si>
  <si>
    <t>Australia.BaeminxPatado.PTATT</t>
  </si>
  <si>
    <t>Canada.BaeminxPatado.PTATT</t>
  </si>
  <si>
    <t>Taiwan.BaeminxPatado.PTATT</t>
  </si>
  <si>
    <t>Malaysia.BaeminxPatado.PTATT</t>
  </si>
  <si>
    <t>010622</t>
  </si>
  <si>
    <t>https://patadovietnam.edu.vn/hoaky_cvs/</t>
  </si>
  <si>
    <t>UnitedStates.HoaKy.PTATT</t>
  </si>
  <si>
    <t>Australia.Uc.PTATT</t>
  </si>
  <si>
    <t>Japan.Nhat.PTATT</t>
  </si>
  <si>
    <t>KoreaSouth.Han.PTATT</t>
  </si>
  <si>
    <t>UnitedStates.Cauhoi.PTATT</t>
  </si>
  <si>
    <t>Taiwan.Cauhoi.PTATT</t>
  </si>
  <si>
    <t>KoreaSouth.Cauhoi.PTATT</t>
  </si>
  <si>
    <t>Japan.Cauhoi.PTATT</t>
  </si>
  <si>
    <t>060622</t>
  </si>
  <si>
    <t>UnitedStates.ChacChanGioi.PTATT</t>
  </si>
  <si>
    <t>Japan.ChacChanGioi.PTATT</t>
  </si>
  <si>
    <t>KoreaSouth.ChacChanGioi.PTATT</t>
  </si>
  <si>
    <t>Australia.ChacChanGioi.PTATT</t>
  </si>
  <si>
    <t>070622</t>
  </si>
  <si>
    <t>ALL.VideoH4.ChacChanGioi.PTATT</t>
  </si>
  <si>
    <t>UnitedArabEmirates.VideoH4.ChacChanGioi.PTATT</t>
  </si>
  <si>
    <t>UnitedStates.VideoH4.ChacChanGioi.PTATT</t>
  </si>
  <si>
    <t>080622</t>
  </si>
  <si>
    <t>Japan.VideoH4.ChacChanGioi.PTATT</t>
  </si>
  <si>
    <t>KoreaSouth.VideoH4.ChacChanGioi.PTATT</t>
  </si>
  <si>
    <t>Australia.VideoH4.ChacChanGioi.PTATT</t>
  </si>
  <si>
    <t>Taiwan.VideoH4.ChacChanGioi.PTATT</t>
  </si>
  <si>
    <t>090622</t>
  </si>
  <si>
    <t>Vietnam.VideoH4.ChacChanGioi.PTATT</t>
  </si>
  <si>
    <t>Singapore.VideoH4.ChacChanGioi.PTATT</t>
  </si>
  <si>
    <t>110622</t>
  </si>
  <si>
    <t>UnitedStates.4Anh.ChacChanGioi.PTATT</t>
  </si>
  <si>
    <t>Japan.4Anh.ChacChanGioi.PTATT</t>
  </si>
  <si>
    <t>170622</t>
  </si>
  <si>
    <t>UnitedStates.Shortcontent.PTATT</t>
  </si>
  <si>
    <t>KoreaSouth.Shortcontent.PTATT</t>
  </si>
  <si>
    <t>Japan.Shortcontent.PTATT</t>
  </si>
  <si>
    <t>Australia.Shortcontent.PTATT</t>
  </si>
  <si>
    <t>UnitedStates.ContentSau2Nam.PTATT</t>
  </si>
  <si>
    <t>Japan.ContentSau2Nam.PTATT</t>
  </si>
  <si>
    <t>UnitedArabEmirates.AnhGlobal.PTATT</t>
  </si>
  <si>
    <t>UnitedStates.AnhGlobal.PTATT</t>
  </si>
  <si>
    <t>Australia.AnhGlobal.PTATT</t>
  </si>
  <si>
    <t>Canada.VideoH4.ChacChanGioi.PTATT</t>
  </si>
  <si>
    <t>UnitedStates.AnhMuaHe.PTATT</t>
  </si>
  <si>
    <t>Australia.AnhMuaHe.PTATT</t>
  </si>
  <si>
    <t>Singapore.AnhMuaHe.PTATT</t>
  </si>
  <si>
    <t>Philippines.AnhMuaHe.PTATT</t>
  </si>
  <si>
    <t>Malaysia.AnhMuaHe.PTATT</t>
  </si>
  <si>
    <t>Taiwan.AnhMuaHe.PTATT</t>
  </si>
  <si>
    <t>KoreaSouth.AnhMuaHe.PTATT</t>
  </si>
  <si>
    <t>010722</t>
  </si>
  <si>
    <t>UnitedStates.4Anh.PTATT</t>
  </si>
  <si>
    <t>Japan.4Anh.PTATT</t>
  </si>
  <si>
    <t>KoreaSouth.4Anh.PTATT</t>
  </si>
  <si>
    <t>040722</t>
  </si>
  <si>
    <t>UnitedStates.1AnhXanh.PTATT</t>
  </si>
  <si>
    <t>KoreaSouth.1AnhXanh.PTATT</t>
  </si>
  <si>
    <t>Australia.1AnhXanh.PTATT</t>
  </si>
  <si>
    <t>Taiwan.1AnhXanh.PTATT</t>
  </si>
  <si>
    <t>050722</t>
  </si>
  <si>
    <t>https://patadovietnam.edu.vn/ielts_cvs/</t>
  </si>
  <si>
    <t>060722</t>
  </si>
  <si>
    <t>UnitedStates.AnhThongBao.TATTTD</t>
  </si>
  <si>
    <t>https://patadovietnam.edu.vn/japancvs/</t>
  </si>
  <si>
    <t>Japan.AnhThongBao.TATTTD</t>
  </si>
  <si>
    <t>KoreaSouth.AnhThongBao.TATTTD</t>
  </si>
  <si>
    <t>Australia.AnhThongBao.TATTTD</t>
  </si>
  <si>
    <t>https://patadovietnam.edu.vn/korea_cvs/</t>
  </si>
  <si>
    <t>https://patadovietnam.edu.vn/khoa-hoc-giao-tiep/</t>
  </si>
  <si>
    <t>Europe.AnhShortThongBao.PTATT</t>
  </si>
  <si>
    <t>070722</t>
  </si>
  <si>
    <t>Australia.AnhShortThongBao.PTATT</t>
  </si>
  <si>
    <t>CzechRepublic.AnhShortThongBao.PTATT</t>
  </si>
  <si>
    <t>Singapore.AnhShortThongBao.PTATT</t>
  </si>
  <si>
    <t>090722</t>
  </si>
  <si>
    <t>UnitedStates.AnhShortThongBao.TATTTD</t>
  </si>
  <si>
    <t>Japan.AnhShortThongBao.TATTTD</t>
  </si>
  <si>
    <t>KoreaSouth.AnhShortThongBao.TATTTD</t>
  </si>
  <si>
    <t>Europe.AnhShortThongBao.TATTTD</t>
  </si>
  <si>
    <t>Taiwan.AnhShortThongBao.TATTTD</t>
  </si>
  <si>
    <t>Australia.AnhShortThongBao.TATTTD</t>
  </si>
  <si>
    <t>140722</t>
  </si>
  <si>
    <t>UnitedStates.AnhShortTBXanh.PTATT</t>
  </si>
  <si>
    <t>Japan.AnhShortTBXanh.PTATT</t>
  </si>
  <si>
    <t>KoreaSouth.AnhShortTBXanh.PTATT</t>
  </si>
  <si>
    <t>Europe.AnhShortTBXanh.PTATT</t>
  </si>
  <si>
    <t>Taiwan.AnhShortTBXanh.PTATT</t>
  </si>
  <si>
    <t>Australia.AnhShortTBXanh.PTATT</t>
  </si>
  <si>
    <t>Malaysia.AnhShortTBXanh.PTATT</t>
  </si>
  <si>
    <t>Philippines.AnhShortTBXanh.PTATT</t>
  </si>
  <si>
    <t>190722</t>
  </si>
  <si>
    <t>210722</t>
  </si>
  <si>
    <t>UnitedStates.AnhStress.PTATT</t>
  </si>
  <si>
    <t>Taiwan.AnhStress.PTATT</t>
  </si>
  <si>
    <t>Japan.AnhStress.PTATT</t>
  </si>
  <si>
    <t>010822</t>
  </si>
  <si>
    <t>UnitedStates.AnhVang.PTATT</t>
  </si>
  <si>
    <t>Japan.AnhVang.PTATT</t>
  </si>
  <si>
    <t>KoreaSouth.AnhVang.PTATT</t>
  </si>
  <si>
    <t>Australia.AnhVang.PTATT</t>
  </si>
  <si>
    <t>Taiwan.AnhVang.PTATT</t>
  </si>
  <si>
    <t>040822</t>
  </si>
  <si>
    <t>UnitedStates.AnhOLy.PTATT</t>
  </si>
  <si>
    <t>Japan.AnhOLy.PTATT</t>
  </si>
  <si>
    <t>KoreaSouth.AnhOLy.PTATT</t>
  </si>
  <si>
    <t>Malaysia.AnhOLy.PTATT</t>
  </si>
  <si>
    <t>060822</t>
  </si>
  <si>
    <t>Australia.AnhOLy.PTATT</t>
  </si>
  <si>
    <t>090822</t>
  </si>
  <si>
    <t>UnitedStates.ThongBao.PTATT</t>
  </si>
  <si>
    <t>Japan.ThongBao.PTATT</t>
  </si>
  <si>
    <t>KoreaSouth.ThongBao.PTATT</t>
  </si>
  <si>
    <t>Australia.ThongBao.PTATT</t>
  </si>
  <si>
    <t>110822</t>
  </si>
  <si>
    <t>Europe.90hHoc.PTATT</t>
  </si>
  <si>
    <t>Canada.90hHoc.PTATT</t>
  </si>
  <si>
    <t>ALL.90hHoc.PTATT</t>
  </si>
  <si>
    <t>Philippines.90hHoc.PTATT</t>
  </si>
  <si>
    <t>CzechRepublic.90hHoc.PTATT</t>
  </si>
  <si>
    <t>Asia</t>
  </si>
  <si>
    <t>Asia.90hHoc.PTATT</t>
  </si>
  <si>
    <t>Japan.90hHoc.PTATT</t>
  </si>
  <si>
    <t>Germany.90hHoc.PTATT</t>
  </si>
  <si>
    <t>Poland.90hHoc.PTATT</t>
  </si>
  <si>
    <t>170822</t>
  </si>
  <si>
    <t>Japan.TaiSaoChonPat.PTATT</t>
  </si>
  <si>
    <t>Taiwan.AnhOly.PTATT</t>
  </si>
  <si>
    <t>UnitedStates.AnhOly.PTATT</t>
  </si>
  <si>
    <t>Japan.AnhTaiSao.PTATT</t>
  </si>
  <si>
    <t>KoreaSouth.AnhTaiSao.PTATT</t>
  </si>
  <si>
    <t>UnitedStates.AnhTaiSao.PTATT</t>
  </si>
  <si>
    <t>Taiwan.AnhTaiSao.PTATT</t>
  </si>
  <si>
    <t>Europe.4Anh.PTATT</t>
  </si>
  <si>
    <t>Taiwan.ShortThongBao.PTATT</t>
  </si>
  <si>
    <t>060922</t>
  </si>
  <si>
    <t>KoreaSouth.ShortThongBao.PTATT</t>
  </si>
  <si>
    <t>070922</t>
  </si>
  <si>
    <t>UnitedStates.ShortThongBao.PTATT</t>
  </si>
  <si>
    <t>Japan.ShortThongBao.PTATT</t>
  </si>
  <si>
    <t>Philippines.ShortThongBao.PTATT</t>
  </si>
  <si>
    <t>Malaysia.ShortThongBao.PTATT</t>
  </si>
  <si>
    <t>080922</t>
  </si>
  <si>
    <t>Australia.ShortThongBao.PTATT</t>
  </si>
  <si>
    <t>130922</t>
  </si>
  <si>
    <t>Japan.ShortThongBaoDen.PTATT</t>
  </si>
  <si>
    <t>UnitedStates.ShortThongBaoDen.PTATT</t>
  </si>
  <si>
    <t>Australia.ShortThongBaoDen.PTATT</t>
  </si>
  <si>
    <t>KoreaSouth.ShortThongBaoDen.PTATT</t>
  </si>
  <si>
    <t>140922</t>
  </si>
  <si>
    <t>Europe.ShortThongBaoDen.PTATT</t>
  </si>
  <si>
    <t>031022</t>
  </si>
  <si>
    <t>UnitedStates.GTChuanMy.PTATT</t>
  </si>
  <si>
    <t>Japan.GTChuanMy.PTATT</t>
  </si>
  <si>
    <t>KoreaSouth.GTChuanMy.PTATT</t>
  </si>
  <si>
    <t>061022</t>
  </si>
  <si>
    <t>Australia.GTChuanMy.PTATT</t>
  </si>
  <si>
    <t>Australia.AnhTaiSao.PTATT</t>
  </si>
  <si>
    <t>151022</t>
  </si>
  <si>
    <t>Canada.Thogbao.PTATT</t>
  </si>
  <si>
    <t>UnitedStates.Thogbao.PTATT</t>
  </si>
  <si>
    <t>KoreaSouth.Thogbao.PTATT</t>
  </si>
  <si>
    <t>171022</t>
  </si>
  <si>
    <t>Taiwan.Thogbao.PTATT</t>
  </si>
  <si>
    <t>Japan.Thogbao.PTATT</t>
  </si>
  <si>
    <t>Malaysia.Thogbao.PTATT</t>
  </si>
  <si>
    <t>Philippines.Thogbao.PTATT</t>
  </si>
  <si>
    <t>Japan.Only.tai.LHTT.Liennth.PTATT</t>
  </si>
  <si>
    <t>Philippines.Only.tai.LHTT.Liennth.PTATT</t>
  </si>
  <si>
    <t>Malaysia.Only.tai.LHTT.Liennth.PTATT</t>
  </si>
  <si>
    <t>UnitedStates.Only.tai.LHTT.Liennth.PTATT</t>
  </si>
  <si>
    <t>KoreaSouth.Only.tai.LHTT.Liennth.PTATT</t>
  </si>
  <si>
    <t>Australia.Only.tai.LHTT.Liennth.PTATT</t>
  </si>
  <si>
    <t>Taiwan.Only.tai.LHTT.Liennth.PTATT</t>
  </si>
  <si>
    <t>Canada.Only.tai.LHTT.Liennth.PTATT</t>
  </si>
  <si>
    <t>Japan.Anhtext.KG.Liennth.PTATT</t>
  </si>
  <si>
    <t>Philippines.Anhtext.KG.LHTT.Liennth.PTATT</t>
  </si>
  <si>
    <t>Malaysia.Anhtext.KG.Liennth.PTATT</t>
  </si>
  <si>
    <t>UnitedStates.Anhtext.KG.Liennth.PTATT</t>
  </si>
  <si>
    <t>KoreaSouth.Anhtext.KG.Liennth.PTATT</t>
  </si>
  <si>
    <t>Australia.Anhtext.KG.Liennth.PTATT</t>
  </si>
  <si>
    <t>Taiwan.Anhtext.KG.Liennth.PTATT</t>
  </si>
  <si>
    <t>Canada.Anhtext.KG.Liennth.PTATT</t>
  </si>
  <si>
    <t>011122</t>
  </si>
  <si>
    <t>Japan.KHTA.LNTH.PTATT</t>
  </si>
  <si>
    <t>Japan.KHTA.Liennth.PTATT</t>
  </si>
  <si>
    <t>Philippines.KHTA.LNTH.PTATT</t>
  </si>
  <si>
    <t>Philippines.KHTA.Liennth.PTATT</t>
  </si>
  <si>
    <t>Malaysia.KHTA.LNTH.PTATT</t>
  </si>
  <si>
    <t>Malaysia.KHTA.Liennth.PTATT</t>
  </si>
  <si>
    <t>UnitedStates.KHTA.LNTH.PTATT</t>
  </si>
  <si>
    <t>UnitedStates.KHTA.Liennth.PTATT</t>
  </si>
  <si>
    <t>KoreaSouth.KHTA.LNTH.PTATT</t>
  </si>
  <si>
    <t>KoreaSouth.KHTA.Liennth.PTATT</t>
  </si>
  <si>
    <t>Australia.KHTA.LNTH.PTATT</t>
  </si>
  <si>
    <t>Australia.KHTA.Liennth.PTATT</t>
  </si>
  <si>
    <t>Taiwan.KHTA.LNTH.PTATT</t>
  </si>
  <si>
    <t>Taiwan.KHTA.Liennth.PTATT</t>
  </si>
  <si>
    <t>Canada.KHTA.LNTH.PTATT</t>
  </si>
  <si>
    <t>Canada.KHTA.Liennth.PTATT</t>
  </si>
  <si>
    <r>
      <rPr>
        <color rgb="FF1155CC"/>
        <u/>
      </rPr>
      <t>Japan.GT</t>
    </r>
    <r>
      <rPr/>
      <t>.Baodau.LNTH.TATTP</t>
    </r>
  </si>
  <si>
    <t>Japan.GT.Baodau.LNTH.TATTP</t>
  </si>
  <si>
    <t>TATTP</t>
  </si>
  <si>
    <r>
      <rPr>
        <color rgb="FF1155CC"/>
        <u/>
      </rPr>
      <t>Philippines.GT</t>
    </r>
    <r>
      <rPr/>
      <t>.Baodau.LNTH.TATTP</t>
    </r>
  </si>
  <si>
    <t>Philippines.GT.Baodau.LNTH.TATTP</t>
  </si>
  <si>
    <t>Malaysia.Baodau.LNTH.TATTP</t>
  </si>
  <si>
    <r>
      <rPr>
        <color rgb="FF1155CC"/>
        <u/>
      </rPr>
      <t>UnitedStates.GT</t>
    </r>
    <r>
      <rPr/>
      <t>.Baodau.LNTH.TATTP</t>
    </r>
  </si>
  <si>
    <t>UnitedStates.GT.Baodau.LNTH.TATTP</t>
  </si>
  <si>
    <r>
      <rPr>
        <color rgb="FF1155CC"/>
        <u/>
      </rPr>
      <t>KoreaSouth.GT</t>
    </r>
    <r>
      <rPr/>
      <t>.Baodau.LNTH.TATTP</t>
    </r>
  </si>
  <si>
    <t>KoreaSouth.GT.Baodau.LNTH.TATTP</t>
  </si>
  <si>
    <r>
      <rPr>
        <color rgb="FF1155CC"/>
        <u/>
      </rPr>
      <t>Australia.GT</t>
    </r>
    <r>
      <rPr/>
      <t>.Baodau.LNTH.TATTP</t>
    </r>
  </si>
  <si>
    <t>Australia.GT.Baodau.LNTH.TATTP</t>
  </si>
  <si>
    <r>
      <rPr>
        <color rgb="FF1155CC"/>
        <u/>
      </rPr>
      <t>Taiwan.GT</t>
    </r>
    <r>
      <rPr/>
      <t>.Baodau.LNTH.TATTP</t>
    </r>
  </si>
  <si>
    <t>Taiwan.GT.Baodau.LNTH.TATTP</t>
  </si>
  <si>
    <r>
      <rPr>
        <color rgb="FF1155CC"/>
        <u/>
      </rPr>
      <t>Canada.GT</t>
    </r>
    <r>
      <rPr/>
      <t>.Baodau.LNTH.TATTP</t>
    </r>
  </si>
  <si>
    <t>Canada.GT.Baodau.LNTH.TATTP</t>
  </si>
  <si>
    <t>041122</t>
  </si>
  <si>
    <t>Japan.Text.KHTA.LNTH.PTATT</t>
  </si>
  <si>
    <r>
      <rPr>
        <color rgb="FF1155CC"/>
        <u/>
      </rPr>
      <t>Philippines.</t>
    </r>
    <r>
      <rPr/>
      <t>Text.KHTA.LNTH.TATTP</t>
    </r>
  </si>
  <si>
    <r>
      <rPr>
        <color rgb="FF1155CC"/>
        <u/>
      </rPr>
      <t>Philippines.</t>
    </r>
    <r>
      <rPr/>
      <t>Text.KHTA.LNTH.TATTP</t>
    </r>
  </si>
  <si>
    <t>Malaysia.Text.KHTA.LNTH.TATTP</t>
  </si>
  <si>
    <r>
      <rPr>
        <color rgb="FF1155CC"/>
        <u/>
      </rPr>
      <t>UnitedStates.</t>
    </r>
    <r>
      <rPr/>
      <t>Text.KHTA.LNTH.TATTP</t>
    </r>
  </si>
  <si>
    <r>
      <rPr>
        <color rgb="FF1155CC"/>
        <u/>
      </rPr>
      <t>UnitedStates.</t>
    </r>
    <r>
      <rPr/>
      <t>Text.KHTA.LNTH.TATTP</t>
    </r>
  </si>
  <si>
    <r>
      <rPr>
        <color rgb="FF1155CC"/>
        <u/>
      </rPr>
      <t>KoreaSouth.</t>
    </r>
    <r>
      <rPr/>
      <t>Text.KHTA.LNTH.TATTP</t>
    </r>
  </si>
  <si>
    <r>
      <rPr>
        <color rgb="FF1155CC"/>
        <u/>
      </rPr>
      <t>KoreaSouth.</t>
    </r>
    <r>
      <rPr/>
      <t>Text.KHTA.LNTH.TATTP</t>
    </r>
  </si>
  <si>
    <r>
      <rPr>
        <color rgb="FF1155CC"/>
        <u/>
      </rPr>
      <t>Australia.</t>
    </r>
    <r>
      <rPr/>
      <t>Text.KHTA.LNTH.TATTP</t>
    </r>
  </si>
  <si>
    <r>
      <rPr>
        <color rgb="FF1155CC"/>
        <u/>
      </rPr>
      <t>Australia.</t>
    </r>
    <r>
      <rPr/>
      <t>Text.KHTA.LNTH.TATTP</t>
    </r>
  </si>
  <si>
    <r>
      <rPr>
        <color rgb="FF1155CC"/>
        <u/>
      </rPr>
      <t>Taiwan.</t>
    </r>
    <r>
      <rPr/>
      <t>Text.KHTA.LNTH.TATTP</t>
    </r>
  </si>
  <si>
    <r>
      <rPr>
        <color rgb="FF1155CC"/>
        <u/>
      </rPr>
      <t>Taiwan.</t>
    </r>
    <r>
      <rPr/>
      <t>Text.KHTA.LNTH.TATTP</t>
    </r>
  </si>
  <si>
    <t>Canada.Text.KHTA.LNTH.PTATT</t>
  </si>
  <si>
    <t>051122</t>
  </si>
  <si>
    <t>Japan.TAGT.LNTH.PTATT</t>
  </si>
  <si>
    <r>
      <rPr>
        <color rgb="FF1155CC"/>
        <u/>
      </rPr>
      <t>Philippines.</t>
    </r>
    <r>
      <rPr/>
      <t>TAGT..LNTH.TATTP</t>
    </r>
  </si>
  <si>
    <r>
      <rPr>
        <color rgb="FF1155CC"/>
        <u/>
      </rPr>
      <t>Philippines.</t>
    </r>
    <r>
      <rPr/>
      <t>TAGT..LNTH.TATTP</t>
    </r>
  </si>
  <si>
    <t>Malaysia.TAGT.LNTH.TATTP</t>
  </si>
  <si>
    <r>
      <rPr>
        <color rgb="FF1155CC"/>
        <u/>
      </rPr>
      <t>UnitedStates.</t>
    </r>
    <r>
      <rPr/>
      <t>TAGT.LNTH.TATTP</t>
    </r>
  </si>
  <si>
    <r>
      <rPr>
        <color rgb="FF1155CC"/>
        <u/>
      </rPr>
      <t>UnitedStates.</t>
    </r>
    <r>
      <rPr/>
      <t>TAGT.LNTH.TATTP</t>
    </r>
  </si>
  <si>
    <r>
      <rPr>
        <color rgb="FF1155CC"/>
        <u/>
      </rPr>
      <t>KoreaSouth.</t>
    </r>
    <r>
      <rPr/>
      <t>TAGT.LNTH.TATTP</t>
    </r>
  </si>
  <si>
    <r>
      <rPr>
        <color rgb="FF1155CC"/>
        <u/>
      </rPr>
      <t>KoreaSouth.</t>
    </r>
    <r>
      <rPr/>
      <t>TAGT.LNTH.TATTP</t>
    </r>
  </si>
  <si>
    <r>
      <rPr>
        <color rgb="FF1155CC"/>
        <u/>
      </rPr>
      <t>Australia.</t>
    </r>
    <r>
      <rPr/>
      <t>TAGT.LNTH.TATTP</t>
    </r>
  </si>
  <si>
    <r>
      <rPr>
        <color rgb="FF1155CC"/>
        <u/>
      </rPr>
      <t>Australia.</t>
    </r>
    <r>
      <rPr/>
      <t>TAGT.LNTH.TATTP</t>
    </r>
  </si>
  <si>
    <r>
      <rPr>
        <color rgb="FF1155CC"/>
        <u/>
      </rPr>
      <t>Taiwan.</t>
    </r>
    <r>
      <rPr/>
      <t>TAGT.LNTH.TATTP</t>
    </r>
  </si>
  <si>
    <r>
      <rPr>
        <color rgb="FF1155CC"/>
        <u/>
      </rPr>
      <t>Taiwan.</t>
    </r>
    <r>
      <rPr/>
      <t>TAGT.LNTH.TATTP</t>
    </r>
  </si>
  <si>
    <t>Canada.TAGT.LNTH.PTATT</t>
  </si>
  <si>
    <t>111122</t>
  </si>
  <si>
    <r>
      <rPr>
        <color rgb="FF1155CC"/>
        <u/>
      </rPr>
      <t>Taiwan.GT</t>
    </r>
    <r>
      <rPr/>
      <t>.BaoDau.PTATT</t>
    </r>
  </si>
  <si>
    <r>
      <rPr>
        <color rgb="FF1155CC"/>
        <u/>
      </rPr>
      <t>Taiwan.GT</t>
    </r>
    <r>
      <rPr/>
      <t>.BaoDau.PTATT</t>
    </r>
  </si>
  <si>
    <r>
      <rPr>
        <color rgb="FF1155CC"/>
        <u/>
      </rPr>
      <t>Canada.GT</t>
    </r>
    <r>
      <rPr/>
      <t>.BaoDau.PTATT</t>
    </r>
  </si>
  <si>
    <r>
      <rPr>
        <color rgb="FF1155CC"/>
        <u/>
      </rPr>
      <t>Canada.GT</t>
    </r>
    <r>
      <rPr/>
      <t>.BaoDau.PTATT</t>
    </r>
  </si>
  <si>
    <r>
      <rPr>
        <color rgb="FF1155CC"/>
        <u/>
      </rPr>
      <t>Australia.GT</t>
    </r>
    <r>
      <rPr/>
      <t>.BaoDau.PTATT</t>
    </r>
  </si>
  <si>
    <r>
      <rPr>
        <color rgb="FF1155CC"/>
        <u/>
      </rPr>
      <t>Australia.GT</t>
    </r>
    <r>
      <rPr/>
      <t>.BaoDau.PTATT</t>
    </r>
  </si>
  <si>
    <r>
      <rPr>
        <color rgb="FF1155CC"/>
        <u/>
      </rPr>
      <t>UnitedStates.GT</t>
    </r>
    <r>
      <rPr/>
      <t>.BaoDau.PTATT</t>
    </r>
  </si>
  <si>
    <r>
      <rPr>
        <color rgb="FF1155CC"/>
        <u/>
      </rPr>
      <t>UnitedStates.GT</t>
    </r>
    <r>
      <rPr/>
      <t>.BaoDau.PTATT</t>
    </r>
  </si>
  <si>
    <r>
      <rPr>
        <color rgb="FF1155CC"/>
        <u/>
      </rPr>
      <t>KoreaSouth.GT</t>
    </r>
    <r>
      <rPr/>
      <t>.BaoDau.PTATT</t>
    </r>
  </si>
  <si>
    <r>
      <rPr>
        <color rgb="FF1155CC"/>
        <u/>
      </rPr>
      <t>KoreaSouth.GT</t>
    </r>
    <r>
      <rPr/>
      <t>.BaoDau.PTATT</t>
    </r>
  </si>
  <si>
    <r>
      <rPr>
        <color rgb="FF1155CC"/>
        <u/>
      </rPr>
      <t>Japan.GT</t>
    </r>
    <r>
      <rPr/>
      <t>.BaoDau.PTATT</t>
    </r>
  </si>
  <si>
    <r>
      <rPr>
        <color rgb="FF1155CC"/>
        <u/>
      </rPr>
      <t>Japan.GT</t>
    </r>
    <r>
      <rPr/>
      <t>.BaoDau.PTATT</t>
    </r>
  </si>
  <si>
    <t>Japan.HocTT.Camket.LNTH.PTATT</t>
  </si>
  <si>
    <t>KoreaSouth.HocTT.Camket.LNTH.PTATT</t>
  </si>
  <si>
    <t>UnitedStates.HocTT.Camket.LNTH.PTATT</t>
  </si>
  <si>
    <t>Australia.HocTT.Camket.LNTH.PTATT</t>
  </si>
  <si>
    <t>Europe.HocTT.Camket.LNTH.PTATT</t>
  </si>
  <si>
    <t>Japan.Thongbao.LNTH.PTATT</t>
  </si>
  <si>
    <t>KoreaSouth.Thongbao.LNTH.PTATT</t>
  </si>
  <si>
    <t>UnitedStates.Thongbao.LNTH.PTATT</t>
  </si>
  <si>
    <t>Australia.Thongbao.LNTH.PTATT</t>
  </si>
  <si>
    <t>Europe.Thongbao.LNTH.PTATT</t>
  </si>
  <si>
    <t>Japana.GioiTA.LNTH.PTATT</t>
  </si>
  <si>
    <t>KoreaSouth.GioiTA.LNTH.PTATT</t>
  </si>
  <si>
    <t>UnitedStates.GioiTA.LNTH.PTATT</t>
  </si>
  <si>
    <t>Australia.GioiTA.LNTH.PTATT</t>
  </si>
  <si>
    <t>Europe.GioiTA.LNTH.PTATT</t>
  </si>
  <si>
    <r>
      <rPr>
        <color rgb="FF1155CC"/>
        <u/>
      </rPr>
      <t>Japan.NMG.GT</t>
    </r>
    <r>
      <rPr/>
      <t>.Camket.LNTH.PTATT</t>
    </r>
  </si>
  <si>
    <t>Japan.NMG.GT.Camket.LNTH.PTATT</t>
  </si>
  <si>
    <r>
      <rPr>
        <color rgb="FF1155CC"/>
        <u/>
      </rPr>
      <t>KoreaSouth.NMG.GT</t>
    </r>
    <r>
      <rPr/>
      <t>.Camket.LNTH.PTATT</t>
    </r>
  </si>
  <si>
    <t>KoreaSouth.NMG.GT.Camket.LNTH.PTATT</t>
  </si>
  <si>
    <r>
      <rPr>
        <color rgb="FF1155CC"/>
        <u/>
      </rPr>
      <t>UnitedStates.NMG.GT</t>
    </r>
    <r>
      <rPr/>
      <t>.Camket.LNTH.PTATT</t>
    </r>
  </si>
  <si>
    <t>UnitedStates.NMG.GT.Camket.LNTH.PTATT</t>
  </si>
  <si>
    <r>
      <rPr>
        <color rgb="FF1155CC"/>
        <u/>
      </rPr>
      <t>Australia.NMG.GT</t>
    </r>
    <r>
      <rPr/>
      <t>.Camket.LNTH.PTATT</t>
    </r>
  </si>
  <si>
    <t>Australia.NMG.GT.Camket.LNTH.PTATT</t>
  </si>
  <si>
    <r>
      <rPr>
        <color rgb="FF1155CC"/>
        <u/>
      </rPr>
      <t>Europe.NMG.GT</t>
    </r>
    <r>
      <rPr/>
      <t>.Camket.LNTH.PTATT</t>
    </r>
  </si>
  <si>
    <t>Europe.NMG.GT.Camket.LNTH.PTATT</t>
  </si>
  <si>
    <t>Japan.TutinGT.LNTH.PTATT</t>
  </si>
  <si>
    <t>KoreaSouth.TutinGT.LNTH.PTATT</t>
  </si>
  <si>
    <t>UnitedStates.TutinGT.LNTH.PTATT</t>
  </si>
  <si>
    <t>Australia.TutinGT.LNTH.PTATT</t>
  </si>
  <si>
    <t>Europe.TutinGT.LNTH.PTATT</t>
  </si>
  <si>
    <r>
      <rPr>
        <color rgb="FF1155CC"/>
        <u/>
      </rPr>
      <t>Japan.Anhtext.GT</t>
    </r>
    <r>
      <rPr/>
      <t>.LNTH.PTATT</t>
    </r>
  </si>
  <si>
    <t>Japan.Anhtext.GT.LNTH.PTATT</t>
  </si>
  <si>
    <r>
      <rPr>
        <color rgb="FF1155CC"/>
        <u/>
      </rPr>
      <t>KoreaSouth.Anhtext.GT</t>
    </r>
    <r>
      <rPr/>
      <t>.LNTH.PTATT</t>
    </r>
  </si>
  <si>
    <t>KoreaSouth.Anhtext.GT.LNTH.PTATT</t>
  </si>
  <si>
    <r>
      <rPr>
        <color rgb="FF1155CC"/>
        <u/>
      </rPr>
      <t>UnitedStates.Anhtext.GT</t>
    </r>
    <r>
      <rPr/>
      <t>.LNTH.PTATT</t>
    </r>
  </si>
  <si>
    <t>UnitedStates.Anhtext.GT.LNTH.PTATT</t>
  </si>
  <si>
    <r>
      <rPr>
        <color rgb="FF1155CC"/>
        <u/>
      </rPr>
      <t>Australia.Anhtext.GT</t>
    </r>
    <r>
      <rPr/>
      <t>.LNTH.PTATT</t>
    </r>
  </si>
  <si>
    <t>Australia.Anhtext.GT.LNTH.PTATT</t>
  </si>
  <si>
    <r>
      <rPr>
        <color rgb="FF1155CC"/>
        <u/>
      </rPr>
      <t>Europe.Anhtext.GT</t>
    </r>
    <r>
      <rPr/>
      <t>.LNTH.PTATT</t>
    </r>
  </si>
  <si>
    <t>Europe.Anhtext.GT.LNTH.PTATT</t>
  </si>
  <si>
    <t>Japan.GTTA30.LNTH.PTATT</t>
  </si>
  <si>
    <t>KoreaSouth.GTTA30.LNTH.PTATT</t>
  </si>
  <si>
    <t>UnitedStates.GTTA30.LNTH.PTATT</t>
  </si>
  <si>
    <t>Australia.GTTA30.LNTH.PTATT</t>
  </si>
  <si>
    <t>Europe.GTTA30.LNTH.PTATT</t>
  </si>
  <si>
    <t>Malaysia.GTTA30.LNTH.PTATT</t>
  </si>
  <si>
    <t>Japan.TeamGT.LNTH.PTATT</t>
  </si>
  <si>
    <t>KoreaSouth.TeamGT.LNTH.PTATT</t>
  </si>
  <si>
    <t>UnitedStates.TeamGT.LNTH.PTATT</t>
  </si>
  <si>
    <t>Australia.TeamGT.LNTH.PTATT</t>
  </si>
  <si>
    <t>Europe.TeamGT.LNTH.PTATT</t>
  </si>
  <si>
    <t>Malaysia.TeamGT.LNTH.PTATT</t>
  </si>
  <si>
    <t>011222</t>
  </si>
  <si>
    <t>Japan.KHTA.NMG.LNTH.PTATT</t>
  </si>
  <si>
    <t>KoreaSouth.KHTA.NMG.LNTH.PTATT</t>
  </si>
  <si>
    <t>UnitedStates.KHTA.NMG.LNTH.PTATT</t>
  </si>
  <si>
    <t>Australia.KHTA.NMG.LNTH.PTATT</t>
  </si>
  <si>
    <t>Europe.KHTA.NMG.LNTH.PTATT</t>
  </si>
  <si>
    <t>Malaysia.KHTA.NMG.LNTH.PTATT</t>
  </si>
  <si>
    <t>031222</t>
  </si>
  <si>
    <t>Japan.LKG.thang12.LNTH.PTATT</t>
  </si>
  <si>
    <t>KoreaSouth.LKG.thang12.LNTH.PTATT</t>
  </si>
  <si>
    <t>UnitedStates.LKG.thang12.LNTH.PTATT</t>
  </si>
  <si>
    <t>Australia.LKG.thang12.LNTH.PTATT</t>
  </si>
  <si>
    <t>Europe.LKG.thang12.LNTH.PTATT</t>
  </si>
  <si>
    <t>Malaysia.LKG.thang12.LNTH.PTATT</t>
  </si>
  <si>
    <t>Philippines.LKG.thang12.LNTH.PTATT</t>
  </si>
  <si>
    <t>061222</t>
  </si>
  <si>
    <t>Japan.Lotrinh.TAGT.LNTH.PTATT</t>
  </si>
  <si>
    <t>KoreaSouth.Lotrinh.TAGT.LNTH.PTATT</t>
  </si>
  <si>
    <t>UnitedStates.Lotrinh.TAGT.LNTH.PTATT</t>
  </si>
  <si>
    <t>Australia.Lotrinh.TAGT.LNTH.PTATT</t>
  </si>
  <si>
    <t>Taiwan.Lotrinh.TAGT.LNTH.PTATT</t>
  </si>
  <si>
    <t>Canada.Lotrinh.TAGT.LNTH.PTATT</t>
  </si>
  <si>
    <t>Japan.MGGT.LNTH.TATTTD</t>
  </si>
  <si>
    <t>KoreaSouth.MGGT.LNTH.TATTTD</t>
  </si>
  <si>
    <t>UnitedStates.MGGT.LNTH.TATTTD</t>
  </si>
  <si>
    <t>Australia.MGGT.LNTH.TATTTD</t>
  </si>
  <si>
    <t>Taiwan.MGGT.LNTH.TATTTD</t>
  </si>
  <si>
    <t>Canada.MGGT.LNTH.TATTTD</t>
  </si>
  <si>
    <t>081222</t>
  </si>
  <si>
    <r>
      <rPr>
        <color rgb="FF1155CC"/>
        <u/>
      </rPr>
      <t>Japan.GT</t>
    </r>
    <r>
      <rPr/>
      <t>.1kem1.LNTH.PTATT</t>
    </r>
  </si>
  <si>
    <r>
      <rPr>
        <color rgb="FF1155CC"/>
        <u/>
      </rPr>
      <t>Japan.GT</t>
    </r>
    <r>
      <rPr/>
      <t>.1kem1.LNTH.PTATT</t>
    </r>
  </si>
  <si>
    <r>
      <rPr>
        <color rgb="FF1155CC"/>
        <u/>
      </rPr>
      <t>KoreaSouth.GT</t>
    </r>
    <r>
      <rPr/>
      <t>.1kem1.LNTH.PTATT</t>
    </r>
  </si>
  <si>
    <r>
      <rPr>
        <color rgb="FF1155CC"/>
        <u/>
      </rPr>
      <t>KoreaSouth.GT</t>
    </r>
    <r>
      <rPr/>
      <t>.1kem1.LNTH.PTATT</t>
    </r>
  </si>
  <si>
    <r>
      <rPr>
        <color rgb="FF1155CC"/>
        <u/>
      </rPr>
      <t>UnitedStates.GT</t>
    </r>
    <r>
      <rPr/>
      <t>.1kem1.LNTH.PTATT</t>
    </r>
  </si>
  <si>
    <r>
      <rPr>
        <color rgb="FF1155CC"/>
        <u/>
      </rPr>
      <t>UnitedStates.GT</t>
    </r>
    <r>
      <rPr/>
      <t>.1kem1.LNTH.PTATT</t>
    </r>
  </si>
  <si>
    <r>
      <rPr>
        <color rgb="FF1155CC"/>
        <u/>
      </rPr>
      <t>Australia.GT</t>
    </r>
    <r>
      <rPr/>
      <t>.1kem1.LNTH.PTATT</t>
    </r>
  </si>
  <si>
    <r>
      <rPr>
        <color rgb="FF1155CC"/>
        <u/>
      </rPr>
      <t>Australia.GT</t>
    </r>
    <r>
      <rPr/>
      <t>.1kem1.LNTH.PTATT</t>
    </r>
  </si>
  <si>
    <r>
      <rPr>
        <color rgb="FF1155CC"/>
        <u/>
      </rPr>
      <t>Taiwan.GT</t>
    </r>
    <r>
      <rPr/>
      <t>.1kem1.LNTH.PTATT</t>
    </r>
  </si>
  <si>
    <r>
      <rPr>
        <color rgb="FF1155CC"/>
        <u/>
      </rPr>
      <t>Taiwan.GT</t>
    </r>
    <r>
      <rPr/>
      <t>.1kem1.LNTH.PTATT</t>
    </r>
  </si>
  <si>
    <r>
      <rPr>
        <color rgb="FF1155CC"/>
        <u/>
      </rPr>
      <t>Canada.GT</t>
    </r>
    <r>
      <rPr/>
      <t>.1kem1.LNTH.PTATT</t>
    </r>
  </si>
  <si>
    <r>
      <rPr>
        <color rgb="FF1155CC"/>
        <u/>
      </rPr>
      <t>Canada.GT</t>
    </r>
    <r>
      <rPr/>
      <t>.1kem1.LNTH.PTATT</t>
    </r>
  </si>
  <si>
    <t>Japan.TOEIC.LNTH.PTATT</t>
  </si>
  <si>
    <t>KoreaSouth.TOEIC.LNTH.PTATT</t>
  </si>
  <si>
    <t>Japan.Thongbao.LNTH.</t>
  </si>
  <si>
    <t>KoreaSouth.Thongbao.LNTH.</t>
  </si>
  <si>
    <t>UnitedStates.Thongbao.LNTH.</t>
  </si>
  <si>
    <t>Australia.Thongbao.LNTH.</t>
  </si>
  <si>
    <t>Philippines.Thongbao.LNTH.</t>
  </si>
  <si>
    <t>Malaysia.Thongbao.LNTH.</t>
  </si>
  <si>
    <t>Canada.Thongbao.LNTH.</t>
  </si>
  <si>
    <t>Taiwan.Thongbao.LNTH.</t>
  </si>
  <si>
    <t>Japan.LopBaoDau.TA.LNTH</t>
  </si>
  <si>
    <t>KoreaSouth.LopBaoDau.TA.LNTH</t>
  </si>
  <si>
    <t>UnitedStates.LopBaoDau.TA.LNTH</t>
  </si>
  <si>
    <t>Australia.LopBaoDau.TA.LNTH</t>
  </si>
  <si>
    <t>Philippines.LopBaoDau.TA.LNTH</t>
  </si>
  <si>
    <t>Malaysia.LopBaoDau.TA.LNTH</t>
  </si>
  <si>
    <t>Canada.LopBaoDau.TA.LNTH</t>
  </si>
  <si>
    <t>Taiwan.LopBaoDau.TA.LNTH</t>
  </si>
  <si>
    <t>Japan.CPTA.LNTH</t>
  </si>
  <si>
    <t>KoreaSouth.CPTA.LNTH</t>
  </si>
  <si>
    <t>UnitedStates.CPTA.LNTH</t>
  </si>
  <si>
    <t>Australia.CPTA.LNTH</t>
  </si>
  <si>
    <t>Philippines.CPTA.LNTH</t>
  </si>
  <si>
    <t>Malaysia.CPTA.LNTH</t>
  </si>
  <si>
    <t>Canada.CPTA.LNTH</t>
  </si>
  <si>
    <t>Taiwan.CPTA.LNTH</t>
  </si>
  <si>
    <t>Japan.IELTS.01.LNTH</t>
  </si>
  <si>
    <t>KoreaSouth.IELTS.01.LNTH</t>
  </si>
  <si>
    <t>UnitedStates.IELTS.01.LNTH</t>
  </si>
  <si>
    <t>Australia.IELTS.01.LNTH</t>
  </si>
  <si>
    <t>Philippines.IELTS.01.LNTH</t>
  </si>
  <si>
    <t>Malaysia.IELTS.01.LNTH</t>
  </si>
  <si>
    <t>Canada.IELTS.01.LNTH</t>
  </si>
  <si>
    <t>Taiwan.IELTS.01.LNTH</t>
  </si>
  <si>
    <t>Japan.Thongbao.LNTH</t>
  </si>
  <si>
    <t>KoreaSouth.Thongbao.LNTH</t>
  </si>
  <si>
    <t>UnitedStates.Thongbao.LNTH</t>
  </si>
  <si>
    <t>Australia.Thongbao.LNTH</t>
  </si>
  <si>
    <t>Philippines.Thongbao.LNTH</t>
  </si>
  <si>
    <t>Malaysia.Thongbao.LNTH</t>
  </si>
  <si>
    <t>Canada.Thongbao.LNTH</t>
  </si>
  <si>
    <t>Taiwan.Thongbao.LNTH</t>
  </si>
  <si>
    <t>040123</t>
  </si>
  <si>
    <t>Sweden</t>
  </si>
  <si>
    <t>Sweden.Text.Thongbao.LNTH</t>
  </si>
  <si>
    <t>Switzerland.Text.Thongbao.LNTH</t>
  </si>
  <si>
    <t>Denmark</t>
  </si>
  <si>
    <t>Denmark.Text.Thongbao.LNTH</t>
  </si>
  <si>
    <t>Germany.Text.Thongbao.LNTH</t>
  </si>
  <si>
    <t>Italy.Text.Thongbao.LNTH</t>
  </si>
  <si>
    <r>
      <rPr>
        <color rgb="FF1155CC"/>
        <u/>
      </rPr>
      <t>Sweden.KG</t>
    </r>
    <r>
      <rPr/>
      <t>.GTTA.LNTH</t>
    </r>
  </si>
  <si>
    <t>Sweden.KG.GTTA.LNTH</t>
  </si>
  <si>
    <r>
      <rPr>
        <color rgb="FF1155CC"/>
        <u/>
      </rPr>
      <t>Switzerland.KG</t>
    </r>
    <r>
      <rPr/>
      <t>.GTTA.LNTH</t>
    </r>
  </si>
  <si>
    <t>Switzerland.KG.GTTA.LNTH</t>
  </si>
  <si>
    <r>
      <rPr>
        <color rgb="FF1155CC"/>
        <u/>
      </rPr>
      <t>Denmark.KG</t>
    </r>
    <r>
      <rPr/>
      <t>.GTTA.LNTH</t>
    </r>
  </si>
  <si>
    <t>Denmark.KG.GTTA.LNTH</t>
  </si>
  <si>
    <r>
      <rPr>
        <color rgb="FF1155CC"/>
        <u/>
      </rPr>
      <t>Germany.KG</t>
    </r>
    <r>
      <rPr/>
      <t>.GTTA.LNTH</t>
    </r>
  </si>
  <si>
    <t>Germany.KG.GTTA.LNTH</t>
  </si>
  <si>
    <r>
      <rPr>
        <color rgb="FF1155CC"/>
        <u/>
      </rPr>
      <t>Italy.KG</t>
    </r>
    <r>
      <rPr/>
      <t>.GTTA.LNTH</t>
    </r>
  </si>
  <si>
    <t>Italy.KG.GTTA.LNTH</t>
  </si>
  <si>
    <t>050123</t>
  </si>
  <si>
    <t>Korean.Thongbao.LNTH</t>
  </si>
  <si>
    <t>https://patadovietnam.edu.vn/japan_hlg/</t>
  </si>
  <si>
    <t>Korean.KHTA.LNTH</t>
  </si>
  <si>
    <t>Japan.KHTA.LNTH</t>
  </si>
  <si>
    <t>`</t>
  </si>
  <si>
    <t xml:space="preserve">sz </t>
  </si>
  <si>
    <t>Rút gọn</t>
  </si>
  <si>
    <t>Phần agent tự điền (không dấu viết liền không kí tự đặc biệt)
Quốc gia.loại content</t>
  </si>
  <si>
    <t>https://www.patado.net/tieng-anh-giao-tiep-online</t>
  </si>
  <si>
    <t>Hoctienganhonline1kem1</t>
  </si>
  <si>
    <t>khoahocmatgoc.tienichmorong</t>
  </si>
  <si>
    <t>Patado</t>
  </si>
  <si>
    <t>HuyLG</t>
  </si>
  <si>
    <t>Blog</t>
  </si>
  <si>
    <t>https://patadovietnam.edu.vn/jptt249/</t>
  </si>
  <si>
    <t>https://patadovietnam.edu.vn/tienganhgiaotiep_hn/</t>
  </si>
  <si>
    <t>Tiktok</t>
  </si>
  <si>
    <r>
      <rPr>
        <color rgb="FF1155CC"/>
        <u/>
      </rPr>
      <t>Japan.TN</t>
    </r>
    <r>
      <rPr/>
      <t>.M2</t>
    </r>
  </si>
  <si>
    <t>NamNH</t>
  </si>
  <si>
    <t>Vietnam.giaotiep.anhgiaotiep1</t>
  </si>
  <si>
    <t>Vietnam.anhgiaotiep1.2040.giaotiep</t>
  </si>
  <si>
    <r>
      <rPr>
        <color rgb="FF1155CC"/>
        <u/>
      </rPr>
      <t>Japan.TN</t>
    </r>
    <r>
      <rPr/>
      <t>.M2</t>
    </r>
  </si>
  <si>
    <t>PTD</t>
  </si>
  <si>
    <t>THCNGDP</t>
  </si>
  <si>
    <t>http://ldp.to/vietnam_namnh</t>
  </si>
  <si>
    <t>https://patadovietnam.edu.vn/hktt249/</t>
  </si>
  <si>
    <t>UnitedStates.giaotiep.anhgiaotiep2</t>
  </si>
  <si>
    <t>UnitedStates.anhgiaotiep2.2045.giaotiep</t>
  </si>
  <si>
    <r>
      <rPr>
        <color rgb="FF1155CC"/>
        <u/>
      </rPr>
      <t>UnitedStates.</t>
    </r>
    <r>
      <rPr/>
      <t>M1</t>
    </r>
  </si>
  <si>
    <r>
      <rPr>
        <color rgb="FF1155CC"/>
        <u/>
      </rPr>
      <t>UnitedStates.</t>
    </r>
    <r>
      <rPr/>
      <t>M1</t>
    </r>
  </si>
  <si>
    <t>http://ldp.to/USA_Namnh</t>
  </si>
  <si>
    <t>Australia.giaotiep.anhgiaotiep2</t>
  </si>
  <si>
    <t>Australia.anhgiaotiep2.2045.giaotiep</t>
  </si>
  <si>
    <t>https://patadovietnam.edu.vn/hqtt249/</t>
  </si>
  <si>
    <r>
      <rPr>
        <color rgb="FF1155CC"/>
        <u/>
      </rPr>
      <t>KoreaSouth.</t>
    </r>
    <r>
      <rPr/>
      <t>M1</t>
    </r>
  </si>
  <si>
    <t>http://ldp.to/Australia_NamNH</t>
  </si>
  <si>
    <r>
      <rPr>
        <color rgb="FF1155CC"/>
        <u/>
      </rPr>
      <t>KoreaSouth.</t>
    </r>
    <r>
      <rPr/>
      <t>M1</t>
    </r>
  </si>
  <si>
    <t>Singapore.giaotiep.anhgiaotiep3</t>
  </si>
  <si>
    <t>Singapore.anhgiaotiep3.2045.giaotiep</t>
  </si>
  <si>
    <t>https://patadovietnam.edu.vn/uctt249/</t>
  </si>
  <si>
    <t>http://ldp.to/Singapore_NAMNH</t>
  </si>
  <si>
    <t>Australia.M37</t>
  </si>
  <si>
    <t>Asia.giaotiep.anhgiaotiep4</t>
  </si>
  <si>
    <t>Asia.anhgiaotiep4.1843.giaotiep</t>
  </si>
  <si>
    <t>https://patadovietnam.edu.vn/ielts26923</t>
  </si>
  <si>
    <t>http://ldp.to/TAGTAsia_NamNH</t>
  </si>
  <si>
    <t>ALL.IELTS.M23</t>
  </si>
  <si>
    <t>Hungary</t>
  </si>
  <si>
    <t>Hungary.giaotiep.anhgiaotiep3hungary</t>
  </si>
  <si>
    <t>Hungary.anhgiaotiep3hungary.1842.giaotiep</t>
  </si>
  <si>
    <t>http://ldp.to/TagtHungary_Nhn</t>
  </si>
  <si>
    <t>https://patadovietnam.edu.vn/eutt249/</t>
  </si>
  <si>
    <t>Germany.giaotiep.TAgiaotiepDUC</t>
  </si>
  <si>
    <t>Germany.TAgiaotiepDUC.1840.giaotiep</t>
  </si>
  <si>
    <r>
      <rPr>
        <color rgb="FF1155CC"/>
        <u/>
      </rPr>
      <t>Europe.</t>
    </r>
    <r>
      <rPr/>
      <t>M8</t>
    </r>
  </si>
  <si>
    <r>
      <rPr>
        <color rgb="FF1155CC"/>
        <u/>
      </rPr>
      <t>Europe.</t>
    </r>
    <r>
      <rPr/>
      <t>M8</t>
    </r>
  </si>
  <si>
    <t>http://ldp.to/TAgiaotiepDUC_NamNH</t>
  </si>
  <si>
    <t>Canada.giaotiep.anhgiaotiepcanada</t>
  </si>
  <si>
    <t>Canada.anhgiaotiepcanada.2040.giaotiep</t>
  </si>
  <si>
    <t>https://patadovietnam.edu.vn/twtt249/</t>
  </si>
  <si>
    <r>
      <rPr>
        <color rgb="FF1155CC"/>
        <u/>
      </rPr>
      <t>Taiwan.TN</t>
    </r>
    <r>
      <rPr/>
      <t>.M1</t>
    </r>
  </si>
  <si>
    <t>http://ldp.to/TAgiaotiepcanada_NamNH</t>
  </si>
  <si>
    <r>
      <rPr>
        <color rgb="FF1155CC"/>
        <u/>
      </rPr>
      <t>Taiwan.TN</t>
    </r>
    <r>
      <rPr/>
      <t>.M1</t>
    </r>
  </si>
  <si>
    <t>UnitedStates.giaotiep.TAgiaotiepHOAKY</t>
  </si>
  <si>
    <t>UnitedStates.TAgiaotiepHOAKY.1838.giaotiep</t>
  </si>
  <si>
    <t>https://patadovietnam.edu.vn/catt249/</t>
  </si>
  <si>
    <t>Canada.HT6T1844</t>
  </si>
  <si>
    <t>Australia.giaotiep.TAgiaotiepAUSTRALIA1</t>
  </si>
  <si>
    <t>Australia.TAgiaotiepAUSTRALIA1.1842.giaotiep</t>
  </si>
  <si>
    <t>https://patadovietnam.edu.vn/altiktok21923</t>
  </si>
  <si>
    <t>Europe.giaotiep.TAgiaotiepEurope</t>
  </si>
  <si>
    <t>Europe.TAgiaotiepeurope.2042.giaotiep</t>
  </si>
  <si>
    <t>ALL.M183</t>
  </si>
  <si>
    <t>https://patadovietnam.edu.vn/hkfb2910</t>
  </si>
  <si>
    <t>http://ldp.to/giaotiepEurope_NHN</t>
  </si>
  <si>
    <t>https://patadovietnam.edu.vn/tienganhgiaotiepkorea_nhn</t>
  </si>
  <si>
    <r>
      <rPr>
        <color rgb="FF1155CC"/>
        <u/>
      </rPr>
      <t>UnitedStates.GT</t>
    </r>
    <r>
      <rPr/>
      <t>.M</t>
    </r>
  </si>
  <si>
    <r>
      <rPr>
        <color rgb="FF1155CC"/>
        <u/>
      </rPr>
      <t>UnitedStates.GT</t>
    </r>
    <r>
      <rPr/>
      <t>.M</t>
    </r>
  </si>
  <si>
    <t>Korea.giaotiep.giaotiepkorea1</t>
  </si>
  <si>
    <t>Korea.giaotiepkorea1.2045.giaotiep</t>
  </si>
  <si>
    <t>http://ldp.to/giaotiepkorea1_NHN</t>
  </si>
  <si>
    <t>https://patadovietnam.edu.vn/jpfb2910</t>
  </si>
  <si>
    <r>
      <rPr>
        <color rgb="FF1155CC"/>
        <u/>
      </rPr>
      <t>Japan.GT</t>
    </r>
    <r>
      <rPr/>
      <t>.M0</t>
    </r>
  </si>
  <si>
    <r>
      <rPr>
        <color rgb="FF1155CC"/>
        <u/>
      </rPr>
      <t>Japan.GT</t>
    </r>
    <r>
      <rPr/>
      <t>.M0</t>
    </r>
  </si>
  <si>
    <t>https://patadovietnam.edu.vn/gtjapan_namnh</t>
  </si>
  <si>
    <t>Japan.giaotiep.giaotiepjapan1</t>
  </si>
  <si>
    <t>Japan.giaotiepjapan1.1842.giaotiep</t>
  </si>
  <si>
    <t>https://patadovietnam.edu.vn/hqfb2910</t>
  </si>
  <si>
    <t>KoreaSouth.M32C51</t>
  </si>
  <si>
    <t>KoreaSouth.M69C4</t>
  </si>
  <si>
    <t>http://ldp.to/gtjapan_namnh</t>
  </si>
  <si>
    <t>Philipines.giao.tiep.GTPHILIPINES1</t>
  </si>
  <si>
    <t>Philipines.GTPHILIPINES1.1840.giaotiep</t>
  </si>
  <si>
    <t>https://patadovietnam.edu.vn/allfb91123</t>
  </si>
  <si>
    <r>
      <rPr>
        <color rgb="FF1155CC"/>
        <u/>
      </rPr>
      <t>ALL.GT</t>
    </r>
    <r>
      <rPr/>
      <t>.M37</t>
    </r>
  </si>
  <si>
    <t>http://ldp.to/GTphilipines_NHN</t>
  </si>
  <si>
    <r>
      <rPr>
        <color rgb="FF1155CC"/>
        <u/>
      </rPr>
      <t>ALL.GT</t>
    </r>
    <r>
      <rPr/>
      <t>.M37</t>
    </r>
  </si>
  <si>
    <t>https://patadovietnam.edu.vn/gtjapan_namnh1</t>
  </si>
  <si>
    <t>Japan.giaotiep.giaotiepjapan2</t>
  </si>
  <si>
    <t>Japan.giaotiepjapan2.2043.giaotiep</t>
  </si>
  <si>
    <r>
      <rPr>
        <color rgb="FF1155CC"/>
        <u/>
      </rPr>
      <t>Australia.GT</t>
    </r>
    <r>
      <rPr/>
      <t>.M32C51</t>
    </r>
  </si>
  <si>
    <t>http://ldp.to/gtjapan_namnh1</t>
  </si>
  <si>
    <r>
      <rPr>
        <color rgb="FF1155CC"/>
        <u/>
      </rPr>
      <t>Australia.GT</t>
    </r>
    <r>
      <rPr/>
      <t>.M69C43</t>
    </r>
  </si>
  <si>
    <t>Japan.giaotiep.M355CVS</t>
  </si>
  <si>
    <r>
      <rPr/>
      <t>Japan</t>
    </r>
    <r>
      <rPr>
        <color rgb="FF1155CC"/>
        <u/>
      </rPr>
      <t>.</t>
    </r>
    <r>
      <rPr/>
      <t>C1.1840.M355</t>
    </r>
  </si>
  <si>
    <t>https://patadovietnam.edu.vn/gtusa_namnh</t>
  </si>
  <si>
    <t>Unitedstates.giaotiep.giaotiepmy_nhn</t>
  </si>
  <si>
    <t>Unitedstates.giaotiepmy_nhn.2043.giaotiep</t>
  </si>
  <si>
    <r>
      <rPr>
        <color rgb="FF1155CC"/>
        <u/>
      </rPr>
      <t>Canada.GT</t>
    </r>
    <r>
      <rPr/>
      <t>.M32C51</t>
    </r>
  </si>
  <si>
    <r>
      <rPr>
        <color rgb="FF1155CC"/>
        <u/>
      </rPr>
      <t>Canada.GT</t>
    </r>
    <r>
      <rPr/>
      <t>.M69C43</t>
    </r>
  </si>
  <si>
    <t>https://patadovietnam.edu.vn/gtjapan_nhn3</t>
  </si>
  <si>
    <t>http://ldp.to/GTUSA_NHN</t>
  </si>
  <si>
    <t>https://patadovietnam.edu.vn/tagiaotiep_nhn</t>
  </si>
  <si>
    <t>Japan.giaotiep.M364TTCVS</t>
  </si>
  <si>
    <t>Japan.C1.1840.M356</t>
  </si>
  <si>
    <t>Asia.anhgiaotiep4.2043.giaotiep</t>
  </si>
  <si>
    <r>
      <rPr>
        <color rgb="FF1155CC"/>
        <u/>
      </rPr>
      <t>Philippine.GT</t>
    </r>
    <r>
      <rPr/>
      <t>.M32C51</t>
    </r>
  </si>
  <si>
    <r>
      <rPr>
        <color rgb="FF1155CC"/>
        <u/>
      </rPr>
      <t>Philippine.GT</t>
    </r>
    <r>
      <rPr/>
      <t>.M69C43</t>
    </r>
  </si>
  <si>
    <t>http://ldp.to/GTAsia_nhn1</t>
  </si>
  <si>
    <t>Europe.giaotiep.M364TTCVS</t>
  </si>
  <si>
    <t>Japan.C1.1840.M364TTCVS</t>
  </si>
  <si>
    <t>https://patadovietnam.edu.vn/gtjapannm_nhn</t>
  </si>
  <si>
    <r>
      <rPr>
        <color rgb="FF1155CC"/>
        <u/>
      </rPr>
      <t>Europe.GT</t>
    </r>
    <r>
      <rPr/>
      <t>.M0</t>
    </r>
  </si>
  <si>
    <t>Japan.giaotiep.GTJAPAN</t>
  </si>
  <si>
    <t>Japan.GTJAPAN.1840.giaotiep</t>
  </si>
  <si>
    <r>
      <rPr>
        <color rgb="FF1155CC"/>
        <u/>
      </rPr>
      <t>Europe.GT</t>
    </r>
    <r>
      <rPr/>
      <t>.M0</t>
    </r>
  </si>
  <si>
    <t>https://patadovietnam.edu.vn/gtusa1_nhn</t>
  </si>
  <si>
    <t>http://ldp.to/gtJAPANNM_nhn</t>
  </si>
  <si>
    <t>ALL.IELTS.M81C56</t>
  </si>
  <si>
    <t>Unitedstates.giaotiepmy_nhn.2045.giaotiep</t>
  </si>
  <si>
    <t>KoreaSouth.giaotiep.M364TTCVS</t>
  </si>
  <si>
    <t>KoreaSouth.C1.1840.M364TTCVS</t>
  </si>
  <si>
    <t>http://ldp.to/GTUSA1_nhn</t>
  </si>
  <si>
    <t>UnitedStates.giaotiep.M364TTMES</t>
  </si>
  <si>
    <t>UnitedStates.C1.1840.M364TTMES</t>
  </si>
  <si>
    <t>Japan.giaotiep.GTJAPAN2</t>
  </si>
  <si>
    <t>Japan.GTJAPAN2.2040.giaotiep</t>
  </si>
  <si>
    <t>https://patadovietnam.edu.vn/khoa-giao-tiep-unitedstates/</t>
  </si>
  <si>
    <t>Australia.giaotiep.M364TTMES</t>
  </si>
  <si>
    <t>Australia.C1.1840.M364TTMES</t>
  </si>
  <si>
    <t>Taiwan.giaotiep.GTtaiwan</t>
  </si>
  <si>
    <t>Taiwan.GTtaiwan.1840.giaotiep</t>
  </si>
  <si>
    <t>HoaNT</t>
  </si>
  <si>
    <t>UnitedStates.giaotiep.M498</t>
  </si>
  <si>
    <t>UnitedStates.M498.2045.giaotiep</t>
  </si>
  <si>
    <t>LHV.9822</t>
  </si>
  <si>
    <t>http://ldp.to/GTtaiwan_NHN</t>
  </si>
  <si>
    <t>Japan.giaotiep.JHCVS</t>
  </si>
  <si>
    <t>Japan.JHCVS.1840.M356</t>
  </si>
  <si>
    <t>https://tinyurl.com/M498USM</t>
  </si>
  <si>
    <t>https://patadovietnam.edu.vn/gteurope_nhn</t>
  </si>
  <si>
    <t>https://patadovietnam.edu.vn/tieng-anh-giao-tiep-japan/</t>
  </si>
  <si>
    <t>Europe.giaotiep.GTeurope2</t>
  </si>
  <si>
    <t>Europe.GTeurope2.2045.giaotiep</t>
  </si>
  <si>
    <t>Japan.giaotiep.M498</t>
  </si>
  <si>
    <t>Japan.M498.2045.giaotiep</t>
  </si>
  <si>
    <t>Europe.giaotiep.JHCVS</t>
  </si>
  <si>
    <t>Europe.C1.1840.JHCVS</t>
  </si>
  <si>
    <t>http://ldp.to/GTeurope_NHN</t>
  </si>
  <si>
    <t>UnitedStates.giaotiep.JHCVS</t>
  </si>
  <si>
    <t>UnitedStates.C1.1840.JHCVS</t>
  </si>
  <si>
    <t>https://tinyurl.com/M498JAP</t>
  </si>
  <si>
    <t>https://patadovietnam.edu.vn/khoa-tieng-anh-giao-tiep-o-nhat-ban/</t>
  </si>
  <si>
    <t>https://patadovietnam.edu.vn/gtjapan_nhn2</t>
  </si>
  <si>
    <t>Japan.giaotiep.M609</t>
  </si>
  <si>
    <t>Japan.M609.2045.giaotiep</t>
  </si>
  <si>
    <t>Japan.giaotiep.M331</t>
  </si>
  <si>
    <t>Japan.M331.1840.M356</t>
  </si>
  <si>
    <t>Japan.giaotiep.GTjapan3</t>
  </si>
  <si>
    <t>Japan.GTjapan3.2045.giaotiep</t>
  </si>
  <si>
    <t>https://tinyurl.com/M609JAP</t>
  </si>
  <si>
    <t>https://patadovietnam.edu.vn/khoa-giao-tiep-tieng-anh-online-all/</t>
  </si>
  <si>
    <t>Taiwan.giaotiep.M599</t>
  </si>
  <si>
    <t>Taiwan.M599.2045.giaotiep</t>
  </si>
  <si>
    <t>http://ldp.to/gtjapan_nhn2</t>
  </si>
  <si>
    <t>Europe.giaotiep.M369CVS</t>
  </si>
  <si>
    <t>Europe.C2.1840.M369</t>
  </si>
  <si>
    <t>Australia.giaotiep.Gtaustra2</t>
  </si>
  <si>
    <t>Australia.GTaustra2.2045.giaotiep</t>
  </si>
  <si>
    <t>KoreaSouth.giaotiep.M599</t>
  </si>
  <si>
    <t>KoreaSouth.M599.2045.giaotiep</t>
  </si>
  <si>
    <t>Japan.giaotiep.M369CVS</t>
  </si>
  <si>
    <t>Japan.M369CVS.1840.M356</t>
  </si>
  <si>
    <t>https://tinyurl.com/M599KOREA</t>
  </si>
  <si>
    <t>Australia.giaotiep.M494</t>
  </si>
  <si>
    <t>Australia.M494.2045.giaotiep</t>
  </si>
  <si>
    <t>Japan.giaotiep.TNM123CVS</t>
  </si>
  <si>
    <t>Japan.TNM123CVS.1840.M123</t>
  </si>
  <si>
    <t>https://tinyurl.com/M494AUS</t>
  </si>
  <si>
    <t>ALL.giaotiep.M498</t>
  </si>
  <si>
    <t>ALL.M498.none.giaotiep</t>
  </si>
  <si>
    <t>Japan.giaotiep.M300MES</t>
  </si>
  <si>
    <t>Japan.M300MES.1840.M123</t>
  </si>
  <si>
    <t>https://tinyurl.com/M498GTALL</t>
  </si>
  <si>
    <t>Europe.giaotiep.M599</t>
  </si>
  <si>
    <t>Europe.M599.none.giaotiep</t>
  </si>
  <si>
    <t>Japan.giaotiep.M106CVS</t>
  </si>
  <si>
    <t>Japan.M106CVS.1840.M123</t>
  </si>
  <si>
    <t>http://ldp.to/GTAustralia2_NHN</t>
  </si>
  <si>
    <t>https://tinyurl.com/M599EURO</t>
  </si>
  <si>
    <t>Japan.giaotiep.GTjapan4</t>
  </si>
  <si>
    <t>Japan.GTjapan4.1840.giaotiep</t>
  </si>
  <si>
    <t>Japan.giaotiep.M48CVS</t>
  </si>
  <si>
    <t>Japan.M48CVS.1840.M356</t>
  </si>
  <si>
    <t>UnitedStates.giaotiep.M601</t>
  </si>
  <si>
    <t>UnitedStates.M601.none.giaotiep</t>
  </si>
  <si>
    <t>http://ldp.to/gtjapan_hn3</t>
  </si>
  <si>
    <t>https://tinyurl.com/M601USA</t>
  </si>
  <si>
    <t>Unitedstates.giaotiep.giaotiepmynhn</t>
  </si>
  <si>
    <t>Japan.giaotiep.M12CVS</t>
  </si>
  <si>
    <t>Japan.M12CVS.1840.M356</t>
  </si>
  <si>
    <t>Australia.giaotiep.M512</t>
  </si>
  <si>
    <t>Australia.M512.none.giaotiep</t>
  </si>
  <si>
    <t>https://tinyurl.com/M512AUSTRA</t>
  </si>
  <si>
    <t>Europe.giaotiep.M391CVS</t>
  </si>
  <si>
    <t>Europe.C2.1840.M369CVS</t>
  </si>
  <si>
    <t>KoreaSouth.giaotiep.M520</t>
  </si>
  <si>
    <t>KoreaSouth.M520.none.giaotiep</t>
  </si>
  <si>
    <t>Europe.giaotiep.M300MES</t>
  </si>
  <si>
    <t>Europe.M300MES.1840.M300MES</t>
  </si>
  <si>
    <t>https://tinyurl.com/M520KORE</t>
  </si>
  <si>
    <t>http://ldp.to/gtjapannhn3</t>
  </si>
  <si>
    <t>Japan.giaotiep.M520</t>
  </si>
  <si>
    <t>Japan.M520.2045.giaotiep</t>
  </si>
  <si>
    <t>Japan.giaotiep.M391CVS</t>
  </si>
  <si>
    <t>Japan.M391CVS.1840.M391</t>
  </si>
  <si>
    <t>https://tinyurl.com/M520JAP</t>
  </si>
  <si>
    <t>Japan.giaotiep.M393MES</t>
  </si>
  <si>
    <t>Japan.M393MES.1840.M123</t>
  </si>
  <si>
    <t>http://ldp.to/GTAustralia3_hn</t>
  </si>
  <si>
    <t>Unitedstates.giaotiep.anhGTmy3</t>
  </si>
  <si>
    <t>https://tinyurl.com/M520CVSJP</t>
  </si>
  <si>
    <t>Europe.giaotiep.M520</t>
  </si>
  <si>
    <t>KoreaSouth.giaotiep.M123CVS</t>
  </si>
  <si>
    <t>Europe.M520.2045.giaotiep</t>
  </si>
  <si>
    <t>KoreaSouth.M123CVS.1840.M123CVS</t>
  </si>
  <si>
    <t>http://ldp.to/GTusa2_nhn</t>
  </si>
  <si>
    <t>https://patadovietnam.edu.vn/gtchauau_nhn</t>
  </si>
  <si>
    <t>https://tinyurl.com/M520EURO</t>
  </si>
  <si>
    <t>ALL.giaotiep.M520</t>
  </si>
  <si>
    <t>ALL.M520.none.giaotiep</t>
  </si>
  <si>
    <t>Europe.giaotiep.anhgteurope3</t>
  </si>
  <si>
    <t>Europe.anhgteurope3.2040.giaotiep</t>
  </si>
  <si>
    <t>UnitedStates.giaotiep.M123CVS</t>
  </si>
  <si>
    <t>UnitedStates.M123CVS.1840.M123CVS</t>
  </si>
  <si>
    <t>https://tinyurl.com/M520ALL</t>
  </si>
  <si>
    <t>http://ldp.to/gteurope3_nhn</t>
  </si>
  <si>
    <t>Australia.giaotiep.M520</t>
  </si>
  <si>
    <t>Australia.M520.2045.giaotiep</t>
  </si>
  <si>
    <t>Australia.giaotiep.M123MES</t>
  </si>
  <si>
    <t>Australia.M123MES.1840.M123</t>
  </si>
  <si>
    <t>Canada.giaotiep.anhgiaotiepcanada2</t>
  </si>
  <si>
    <t>Canada.anhgiaotiepcanada2.2045.giaotiep</t>
  </si>
  <si>
    <t>https://tinyurl.com/M520AUSTRA</t>
  </si>
  <si>
    <t>Europe.giaotiep.M105</t>
  </si>
  <si>
    <t>Europe.M105.3055.giaotiep</t>
  </si>
  <si>
    <t>http://ldp.to/GTCanada_nhn</t>
  </si>
  <si>
    <t>Europe.giaotiep.M123CVS</t>
  </si>
  <si>
    <t>Europe.M123CVS.1840.M123CVS</t>
  </si>
  <si>
    <t>https://tinyurl.com/M105EUR0</t>
  </si>
  <si>
    <t>https://patadovietnam.edu.vn/gtkorea_nhn</t>
  </si>
  <si>
    <t>UnitedStates.giaotiep.M332</t>
  </si>
  <si>
    <t>UnitedStates.M332.3555.giaotiep</t>
  </si>
  <si>
    <t>Korea.giaotiep.GTkorea3</t>
  </si>
  <si>
    <t>Korea.GTkorea3.1840.giaotiep</t>
  </si>
  <si>
    <t>https://tinyurl.com/M332USA</t>
  </si>
  <si>
    <t>Japan.giaotiep.M382CVS</t>
  </si>
  <si>
    <t>Japan.M382CVS.1840.M382CVS</t>
  </si>
  <si>
    <t>Europe.giaotiep.M200</t>
  </si>
  <si>
    <t>Europe.M200.2040.giaotiep</t>
  </si>
  <si>
    <t>http://ldp.to/Gtkorea3_nhn</t>
  </si>
  <si>
    <t>https://tinyurl.com/M200EUR</t>
  </si>
  <si>
    <t>Japan.giaotiep.M384CVS</t>
  </si>
  <si>
    <t>Japan.M384CVS.1840.M384CVS</t>
  </si>
  <si>
    <t>Australia.giaotiep.M200</t>
  </si>
  <si>
    <t>Australia.M200.2040.giaotiep</t>
  </si>
  <si>
    <t>https://tinyurl.com/M200AUST</t>
  </si>
  <si>
    <t>Europe.giaotiep.M382CVS</t>
  </si>
  <si>
    <t>Europe.M382CVS.1840.M382CVS</t>
  </si>
  <si>
    <t>ALL.giaotiep.M200</t>
  </si>
  <si>
    <t>ALL.M200.2040.giaotiep</t>
  </si>
  <si>
    <t>http://ldp.to/GTusa3_nhn</t>
  </si>
  <si>
    <t>https://tinyurl.com/M200ALLCVS</t>
  </si>
  <si>
    <t>Japan.GTjapan3.1840.giaotiep</t>
  </si>
  <si>
    <t>Europe.giaotiep.M384CVS</t>
  </si>
  <si>
    <t>Europe.M384CVS.1840.M384CVS</t>
  </si>
  <si>
    <t>KoreaSouth.giaotiep.M200</t>
  </si>
  <si>
    <t>KoreaSouth.M200.2040.giaotiep</t>
  </si>
  <si>
    <t>http://ldp.to/GTjapan4_hn</t>
  </si>
  <si>
    <t>https://tinyurl.com/M200KORE</t>
  </si>
  <si>
    <t>LEAD</t>
  </si>
  <si>
    <t>Japan.giaotiep.M385LEAD</t>
  </si>
  <si>
    <t>Japan.M385LEAD.1840.M385LEAD</t>
  </si>
  <si>
    <t>Japan.giaotiep.M200</t>
  </si>
  <si>
    <t>Japan.M200.2040.giaotiep</t>
  </si>
  <si>
    <t>http://ldp.to/GTAustralia4_hn</t>
  </si>
  <si>
    <t>https://tinyurl.com/M200JAP</t>
  </si>
  <si>
    <t>Europe.anhgteurope3.2045.giaotiep</t>
  </si>
  <si>
    <t>Japan.giaotiep.M300LEAD</t>
  </si>
  <si>
    <t>Japan.M300LEAD.1840.M300LEAD</t>
  </si>
  <si>
    <t>Japan.giaotiep.M617</t>
  </si>
  <si>
    <t>Japan.M617.none.giaotiep</t>
  </si>
  <si>
    <t>https://tinyurl.com/M617JAPAN</t>
  </si>
  <si>
    <t>UnitedStates.giaotiep.M617</t>
  </si>
  <si>
    <t>UnitedStates.M617.none.giaotiep</t>
  </si>
  <si>
    <t>http://ldp.to/gteurope4_nhn</t>
  </si>
  <si>
    <t>Japan.giaotiep.M392MES</t>
  </si>
  <si>
    <t>Japan.M392MES.1840.M392MES</t>
  </si>
  <si>
    <t>https://tinyurl.com/M617USA</t>
  </si>
  <si>
    <t>KoreaSouth.giaotiep.M617</t>
  </si>
  <si>
    <t>KoreaSouth.M617.1840.giaotiep</t>
  </si>
  <si>
    <t>http://ldp.to/GTAustralia5_hn</t>
  </si>
  <si>
    <t>ALL.giaotiep.M300CVS</t>
  </si>
  <si>
    <t>ALL.M300CVS.1840.M300CVS</t>
  </si>
  <si>
    <t>https://tinyurl.com/M617KORE</t>
  </si>
  <si>
    <t>Southkorea.giaotiep.videoGT</t>
  </si>
  <si>
    <t>Southkorea.videoGT.1838.giaotiep</t>
  </si>
  <si>
    <t>ALL.giaotiep.M617</t>
  </si>
  <si>
    <t>ALL.M617.2040.giaotiep</t>
  </si>
  <si>
    <t>ALL.giaotiep.M123CVS</t>
  </si>
  <si>
    <t>ALL.M123CVS.1840.M123CVS</t>
  </si>
  <si>
    <t>https://tinyurl.com/M617AL</t>
  </si>
  <si>
    <t>http://ldp.to/GTkorea4_HN</t>
  </si>
  <si>
    <t>Japan.giaotiep.videoGT</t>
  </si>
  <si>
    <t>Japan.videoGT.1840.giaotiep</t>
  </si>
  <si>
    <t>Australia.giaotiep.M617</t>
  </si>
  <si>
    <t>Australia.M617.2040.giaotiep</t>
  </si>
  <si>
    <t>KoreaSouth.giaotiep.M300CVS</t>
  </si>
  <si>
    <t>KoreaSouth.M300CVS.1840.M300CVS</t>
  </si>
  <si>
    <t>http://ldp.to/GTjapan5_hn</t>
  </si>
  <si>
    <t>https://tinyurl.com/M617AUST</t>
  </si>
  <si>
    <t>Japan.GTjapan3.1838.giaotiep</t>
  </si>
  <si>
    <t>KoreaSouth.giaotiep.JHCVS</t>
  </si>
  <si>
    <t>KoreaSouth.JHCVS.1840.JHCVS</t>
  </si>
  <si>
    <t>Japan.giaotiep.M264xM616</t>
  </si>
  <si>
    <t>Japan.M264xM616.1840.giaotiep</t>
  </si>
  <si>
    <t>http://ldp.to/GTjapan6_hn</t>
  </si>
  <si>
    <t>Europe.giaotiep.M18CVS</t>
  </si>
  <si>
    <t>Europe.M18CVS.1840.M18CVS</t>
  </si>
  <si>
    <t>Japan.giaotiep.jhuynh</t>
  </si>
  <si>
    <t>Japan.jhuynh.1840.giaotiep</t>
  </si>
  <si>
    <t>https://tinyurl.com/M264-616JP</t>
  </si>
  <si>
    <t>Europe.giaotiep.M264xM616</t>
  </si>
  <si>
    <t>Europe.M264xM616.1840.giaotiep</t>
  </si>
  <si>
    <t>http://ldp.to/GTjapan7_hn</t>
  </si>
  <si>
    <t>Japan.jhuynh.1838.giaotiep</t>
  </si>
  <si>
    <t>https://tinyurl.com/M264-616EU</t>
  </si>
  <si>
    <t>ALL.giaotiep.M264xM616</t>
  </si>
  <si>
    <t>ALL.M264xM616.1840.giaotiep</t>
  </si>
  <si>
    <t>http://ldp.to/GTjapan8_hn</t>
  </si>
  <si>
    <t>https://tinyurl.com/M264-616ALL</t>
  </si>
  <si>
    <t>Australia.GTaustra2.2540.giaotiep</t>
  </si>
  <si>
    <t>Japan.giaotiep.M616xM624</t>
  </si>
  <si>
    <t>Japan.M616xM624.1840.giaotiep</t>
  </si>
  <si>
    <t>http://ldp.to/GTAustralia6_hn</t>
  </si>
  <si>
    <t>https://tinyurl.com/M616-624JP</t>
  </si>
  <si>
    <t>UnitedStates.giaotiep.anhttmy</t>
  </si>
  <si>
    <t>Unitedstates.giaotiep.anhttmy</t>
  </si>
  <si>
    <t>Europe.giaotiep.M616xM624</t>
  </si>
  <si>
    <t>Europe.M616xM624.1855.giaotiep</t>
  </si>
  <si>
    <t>http://ldp.to/GTusa3_HN</t>
  </si>
  <si>
    <t>https://tinyurl.com/M616-624EU</t>
  </si>
  <si>
    <t>Japan.giaotiep.dhsnhat</t>
  </si>
  <si>
    <t>Japan.dhsnhat.1840.giaotiep</t>
  </si>
  <si>
    <t>Japan.giaotiep.M18CVS</t>
  </si>
  <si>
    <t>Japan.M18CVS.1840.M18CVS</t>
  </si>
  <si>
    <t>SangBD</t>
  </si>
  <si>
    <t>ALL.giaotiep.M264</t>
  </si>
  <si>
    <t>ALL.giaotiep.M264.1855.giaotiep</t>
  </si>
  <si>
    <t>https://tinyurl.com/AllM264-GTTA</t>
  </si>
  <si>
    <t>http://ldp.to/GTjapan9_HN</t>
  </si>
  <si>
    <t>Japan.JHCVS.1840.JHCVS</t>
  </si>
  <si>
    <t>ALL.giaotiep.M616</t>
  </si>
  <si>
    <t>ALL.giaotiep.M616.1855.giaotiep</t>
  </si>
  <si>
    <t>CzechRepublic.giaotiep.jh</t>
  </si>
  <si>
    <t>CzechRepublic.jh.2545.giaotiep</t>
  </si>
  <si>
    <t>https://tinyurl.com/AllM616-GTTA</t>
  </si>
  <si>
    <t>http://ldp.to/Czechrepublic_HN</t>
  </si>
  <si>
    <t>Europe.JHCVS.1840.MJHCVS</t>
  </si>
  <si>
    <t>ALL.giaotiep.M498.1855.giaotiep</t>
  </si>
  <si>
    <t>Japan.giaotiep.anhlt</t>
  </si>
  <si>
    <t>Japan.anhlt.1838.giaotiep</t>
  </si>
  <si>
    <t>https://tinyurl.com/All498</t>
  </si>
  <si>
    <t>Japan.giaotiep.NGHOA</t>
  </si>
  <si>
    <t>Japan.NGHOA.1840.NGHOA</t>
  </si>
  <si>
    <t>UnitedStates.M617.1855.giaotiep</t>
  </si>
  <si>
    <t>http://ldp.ink/GTjapan10_HN</t>
  </si>
  <si>
    <t>UnitedStates.giaotiep.anhlt</t>
  </si>
  <si>
    <t>https://tinyurl.com/UnitedStates617</t>
  </si>
  <si>
    <t>Unitedstates.anhlt.2045.giaotiep</t>
  </si>
  <si>
    <t>Japan.giaotiep.M404</t>
  </si>
  <si>
    <t>Japan.M404.1840.M404</t>
  </si>
  <si>
    <t>Japan.giaotiep.M645</t>
  </si>
  <si>
    <t>Japan.M645.1850.giaotiep</t>
  </si>
  <si>
    <t>http://ldp.to/gtusa5_HN</t>
  </si>
  <si>
    <t>https://tinyurl.com/CVS-M645GTTA</t>
  </si>
  <si>
    <t>KoreaSouth.giaotiep.NGHOA</t>
  </si>
  <si>
    <t>KoreaSouth.NGHOA.1840.NGHOA</t>
  </si>
  <si>
    <t>UnitedStates.giaotiep.qcpatado</t>
  </si>
  <si>
    <t>Unitedstates.qcpatado.2045.giaotiep</t>
  </si>
  <si>
    <t>Europe.giaotiep.M645</t>
  </si>
  <si>
    <t>Europe.M645.1855.giaotiep</t>
  </si>
  <si>
    <t>http://ldp.to/GTusa6_hn</t>
  </si>
  <si>
    <t>Europe.giaotiep.NGHOA</t>
  </si>
  <si>
    <t>Europe.NGHOA.1840.NGHOA</t>
  </si>
  <si>
    <t>https://tinyurl.com/MESEU645-GTTA</t>
  </si>
  <si>
    <t>Philipines.giao.tiep.qcpatado</t>
  </si>
  <si>
    <t>Philipines.qcpatado.2038.giaotiep</t>
  </si>
  <si>
    <t>Europe.giaotiep.M405</t>
  </si>
  <si>
    <t>Europe.M405.1840.M405</t>
  </si>
  <si>
    <t>https://tinyurl.com/AllM624-070426</t>
  </si>
  <si>
    <t>http://ldp.to/GTphilipines_Hn2</t>
  </si>
  <si>
    <t>Europe.giaotiep.M479</t>
  </si>
  <si>
    <t>Europe.M479.1855.giaotiep</t>
  </si>
  <si>
    <t>Vietnam.giaotiep.videoGT</t>
  </si>
  <si>
    <t>Vietnam.videoGT.1836.giaotiep</t>
  </si>
  <si>
    <t>Europe.giaotiep.M106CVS</t>
  </si>
  <si>
    <t>Europe.M106CVS.1840.M106CVS</t>
  </si>
  <si>
    <t>https://tinyurl.com/M479-GTTA</t>
  </si>
  <si>
    <t>https://tinyurl.com/CVSM479-GTTA</t>
  </si>
  <si>
    <t>ALL.giaotiep.M106CVS</t>
  </si>
  <si>
    <t>ALL.M106CVS.1840.M106CVS</t>
  </si>
  <si>
    <t>http://ldp.to/vietnam2_HN</t>
  </si>
  <si>
    <t>Southkorea.giaotiep.anhtbkorea</t>
  </si>
  <si>
    <t>Southkorea.anhtbkorea.1836.giaotiep</t>
  </si>
  <si>
    <t>https://tinyurl.com/CVSM645JP-080426</t>
  </si>
  <si>
    <t>ALL.giaotiep.M106CVS2</t>
  </si>
  <si>
    <t>ALL.M106CVS2.1840.M106CVS2</t>
  </si>
  <si>
    <t>http://ldp.to/GTkorea6_Hn</t>
  </si>
  <si>
    <t>https://tinyurl.com/M264-090426</t>
  </si>
  <si>
    <t>KoreaSouth.giaotiep.LTKTCVS</t>
  </si>
  <si>
    <t>Japan.giaotiep.dich</t>
  </si>
  <si>
    <t>KoreaSouth.LTKTCVS.1840.LTKTCVS</t>
  </si>
  <si>
    <t>Japan.dich.1840.giaotiep</t>
  </si>
  <si>
    <t>https://patado.edu.vn/khoa-giao-tiep-tieng-anh-online-all</t>
  </si>
  <si>
    <t>Japan.giaotiep.M408CVS</t>
  </si>
  <si>
    <t>Japan.M408CVS.1840.M408CVS</t>
  </si>
  <si>
    <t>http://ldp.to/GTjapan11_HN</t>
  </si>
  <si>
    <t>https://tinyurl.com/CVS617-090426</t>
  </si>
  <si>
    <t>UnitedStates.giaotiep.dich</t>
  </si>
  <si>
    <t>Unitedstates.dich.2040.giaotiep</t>
  </si>
  <si>
    <t>Japan.giaotiep.LTKTMES</t>
  </si>
  <si>
    <t>Japan.LTKTMES.1840.LTKTMES</t>
  </si>
  <si>
    <t>https://tinyurl.com/JPM645-Mess</t>
  </si>
  <si>
    <t>http://ldp.to/GTusa8_HN</t>
  </si>
  <si>
    <t>https://patado.edu.vn/khoa-tieng-anh-giao-tiep-o-nhat-ban</t>
  </si>
  <si>
    <t>Japan.M645.1855.giaotiep</t>
  </si>
  <si>
    <t>KoreaSouth.giaotiep.M106MES</t>
  </si>
  <si>
    <t>KoreaSouth.M106MES.1840.M106MES</t>
  </si>
  <si>
    <t>https://tinyurl.com/JPM645-CVS</t>
  </si>
  <si>
    <t>http://ldp.to/GTjapan12_hn</t>
  </si>
  <si>
    <t>Europe.giaotiep.LTKTCVS</t>
  </si>
  <si>
    <t>Europe.LTKTCVS.1840.LTKTCVS</t>
  </si>
  <si>
    <t>Australia.giaotiep.anhtbuc</t>
  </si>
  <si>
    <t>Australia.anhtbuc.2045.giaotiep</t>
  </si>
  <si>
    <t>Europe.giaotiep.M404MES</t>
  </si>
  <si>
    <t>Europe.M404MES.1840.M404MES</t>
  </si>
  <si>
    <t>https://tinyurl.com/EUM479-CVS</t>
  </si>
  <si>
    <t>http://ldp.to/TBuc_hn</t>
  </si>
  <si>
    <t>Malaysia.giaotiep.jh</t>
  </si>
  <si>
    <t>malaysia.jh.2040.giaotiep</t>
  </si>
  <si>
    <t>Japan.giaotiep.M417MES</t>
  </si>
  <si>
    <t>Japan.M417MES.1840.M417MES</t>
  </si>
  <si>
    <t>http://ldp.to/Malaysia_HN</t>
  </si>
  <si>
    <t>Europe.giaotiep.M417CVS</t>
  </si>
  <si>
    <t>Australia.giaotiep.M645</t>
  </si>
  <si>
    <t>Japan.giaotiep.jh2</t>
  </si>
  <si>
    <t>Europe.M417CVS.1840.M417CVS</t>
  </si>
  <si>
    <t>Australia.M645.1855.giaotiep</t>
  </si>
  <si>
    <t>Japan.jh2.1838.giaotiep</t>
  </si>
  <si>
    <t>http://ldp.to/japan_nhn</t>
  </si>
  <si>
    <t>KoreaSouth.giaotiep.M645</t>
  </si>
  <si>
    <t>KoreaSouth.M645.1855.giaotiep</t>
  </si>
  <si>
    <t>KoreaSouth.giaotiep.M417MES</t>
  </si>
  <si>
    <t>KoreaSouth.M417MES.1840.M417MES</t>
  </si>
  <si>
    <t>https://patadovietnam.edu.vn/gtall_namnh</t>
  </si>
  <si>
    <t>Europe.giaotiep.jh2</t>
  </si>
  <si>
    <t>Europe.jh2.2045.giaotiep</t>
  </si>
  <si>
    <t>ALL.giaotiep.M417MES</t>
  </si>
  <si>
    <t>ALL.M417MES.1840.M417MES</t>
  </si>
  <si>
    <t>https://tinyurl.com/AllM616-100426</t>
  </si>
  <si>
    <t>http://ldp.to/europegt_hn</t>
  </si>
  <si>
    <t>Korea.giaotiep.jh2</t>
  </si>
  <si>
    <t>Korea.jh2.1838.giaotiep</t>
  </si>
  <si>
    <t>Japan.giaotiep.M500</t>
  </si>
  <si>
    <t>Japan.M500.1855.giaotiep</t>
  </si>
  <si>
    <t>https://tinyurl.com/JPM500</t>
  </si>
  <si>
    <t>http://ldp.to/koreagt_hn</t>
  </si>
  <si>
    <t>https://patadovietnam.edu.vn/allcvs_hn</t>
  </si>
  <si>
    <t>Europe.giaotiep.M626</t>
  </si>
  <si>
    <t>Europe.M626.1855.giaotiep</t>
  </si>
  <si>
    <t>Japan.giaotiep.anhsale</t>
  </si>
  <si>
    <t>Japan.anhsale.1838.giaotiep</t>
  </si>
  <si>
    <t>https://tinyurl.com/EUM626</t>
  </si>
  <si>
    <t>ALL.giaotiep.M624</t>
  </si>
  <si>
    <t>ALL.giaotiep.M624.1855.giaotiep</t>
  </si>
  <si>
    <t>http://ldp.to/Japancvs_NHN</t>
  </si>
  <si>
    <t>https://tinyurl.com/ALLM624</t>
  </si>
  <si>
    <t>ALL.giaotiep.M417MES2</t>
  </si>
  <si>
    <t>ALL.M417MES2.1840.M417MES2</t>
  </si>
  <si>
    <t>http://ldp.to/europegt1_hn</t>
  </si>
  <si>
    <t>https://patadovietnam.edu.vn/japanall_nhn</t>
  </si>
  <si>
    <t>UnitedStates.giaotiep.M264</t>
  </si>
  <si>
    <t>UnitedStates.M264.1855.giaotiep</t>
  </si>
  <si>
    <t>Japan.giaotiep.jh1</t>
  </si>
  <si>
    <t>Japan.jh1.1838.giaotiep</t>
  </si>
  <si>
    <t>REACH</t>
  </si>
  <si>
    <t>ALL.giaotiep.M415xM417xM418</t>
  </si>
  <si>
    <t>ALL.M415xM417xM418.1840.M415xM417xM418</t>
  </si>
  <si>
    <t>http://ldp.ink/Japancvs2_nhn</t>
  </si>
  <si>
    <t>Philippines.giaotiep.anhlt</t>
  </si>
  <si>
    <t>Philipines.anhlt.2038.giaotiep</t>
  </si>
  <si>
    <t>ALL.giaotiep.M300MES</t>
  </si>
  <si>
    <t>ALL.M300MES.1840.M300MES</t>
  </si>
  <si>
    <t>UnitedStates.giaotiep.M645</t>
  </si>
  <si>
    <t>UnitedStates.M645.1855.giaotiep</t>
  </si>
  <si>
    <t>http://ldp.to/GTphilippines_hn3</t>
  </si>
  <si>
    <t>Europe.giaotiep.M416CVS</t>
  </si>
  <si>
    <t>Europe.M416CVS.1840.M416CVS</t>
  </si>
  <si>
    <t>ALL.giaotiep.M645</t>
  </si>
  <si>
    <t>ALL.giaotiep.M645.1855.giaotiep</t>
  </si>
  <si>
    <t>Taiwan.giaotiep.anhlt</t>
  </si>
  <si>
    <t>Taiwan.anhlt.1840.giaotiep</t>
  </si>
  <si>
    <t>https://patado.edu.vn/khoa-tieng-anh-giao-tiep-chau-au</t>
  </si>
  <si>
    <t>Europe.giaotiep.M410CVS</t>
  </si>
  <si>
    <t>Europe.M410CVS.1840.M410CVS</t>
  </si>
  <si>
    <t>http://ldp.to/taiwanall_hn</t>
  </si>
  <si>
    <t>Singapore.giaotiep.jh1</t>
  </si>
  <si>
    <t>Singapore.jh1.2040.giaotiep</t>
  </si>
  <si>
    <t>https://tinyurl.com/EUM645-CVS</t>
  </si>
  <si>
    <t>KoreaSouth.giaotiep.M416CVS</t>
  </si>
  <si>
    <t>KoreaSouth.M416CVS.1840.M416CVS</t>
  </si>
  <si>
    <t>https://patado.edu.vn/khoa-giao-tiep-unitedstates/</t>
  </si>
  <si>
    <t>http://ldp.to/Singaporeall_hn</t>
  </si>
  <si>
    <t>https://tinyurl.com/UnM645</t>
  </si>
  <si>
    <t>KoreaSouth.giaotiep.M410MES</t>
  </si>
  <si>
    <t>KoreaSouth.M410MES.1840.M410MES</t>
  </si>
  <si>
    <t>Europe.giaotiep.Patadottam</t>
  </si>
  <si>
    <t>Europe.Patadottam.2045.giaotiep</t>
  </si>
  <si>
    <t>Japan.giaotiep.M600xM614</t>
  </si>
  <si>
    <t>Japan.M600.1855.giaotiep</t>
  </si>
  <si>
    <t>http://ldp.to/Patadottam_hn</t>
  </si>
  <si>
    <t>Japan.giaotiep.M416CVS</t>
  </si>
  <si>
    <t>Japan.M416CVS.1840.M416CVS</t>
  </si>
  <si>
    <t>https://tinyurl.com/JPM600-M614</t>
  </si>
  <si>
    <t>UnitedStates.giaotiep.Kghoaky</t>
  </si>
  <si>
    <t>UnitedStates.Kghoaky.giaotiep.2045</t>
  </si>
  <si>
    <t>Japan.giaotiep.M527</t>
  </si>
  <si>
    <t>Japan.M527.1855.giaotiep</t>
  </si>
  <si>
    <t>https://tinyurl.com/JPM527</t>
  </si>
  <si>
    <t>Japan.giaotiep.M410MES</t>
  </si>
  <si>
    <t>Japan.M410MES.1840.M410MES</t>
  </si>
  <si>
    <t>http://ldp.to/Kghoaky_hn</t>
  </si>
  <si>
    <t>Europe.giaotiep.M105xM269</t>
  </si>
  <si>
    <t>Europe.M105.1855.giaotiep</t>
  </si>
  <si>
    <t>Philippines.giaotiep.Kgphilipines</t>
  </si>
  <si>
    <t>Philipines.Kgphilipines.2038.giaotiep</t>
  </si>
  <si>
    <t>https://tinyurl.com/UEM105</t>
  </si>
  <si>
    <t>Europe.giaotiep.M429CVS</t>
  </si>
  <si>
    <t>Europe.M429CVS.1840.M429CVS</t>
  </si>
  <si>
    <t>Europe.giaotiep.HTKOC2</t>
  </si>
  <si>
    <t>Europe.HTKOC2.1855.giaotiep</t>
  </si>
  <si>
    <t>http://ldp.to/Kgphilippines_hn</t>
  </si>
  <si>
    <t>UnitedStates.giaotiep.giaotiepmynhn</t>
  </si>
  <si>
    <t>UnitedStates.giaotiepmynhn.giaotiep.2045</t>
  </si>
  <si>
    <t>https://tinyurl.com/EUHTKOC2</t>
  </si>
  <si>
    <t>Europe.giaotiep.M105CVS</t>
  </si>
  <si>
    <t>Europe.M105CVS.1840.M105CVS</t>
  </si>
  <si>
    <t>UnitedStates.giaotiep.M236xM332</t>
  </si>
  <si>
    <t>UnitedStates.M236.1855.giaotiep</t>
  </si>
  <si>
    <t>http://ldp.to/Kghoaky2_hn</t>
  </si>
  <si>
    <t>https://tinyurl.com/UAM236</t>
  </si>
  <si>
    <t>KoreaSouth.giaotiep.M418CVS</t>
  </si>
  <si>
    <t>KoreaSouth.M418CVS.1840.M418CVS</t>
  </si>
  <si>
    <t>Japan.giaotiep.Kgjapan</t>
  </si>
  <si>
    <t>Japan.Kgjapan.1838.giaotiep</t>
  </si>
  <si>
    <t>ALL.giaotiep.M602</t>
  </si>
  <si>
    <t>ALL.giaotiep.M602.1855.giaotiep</t>
  </si>
  <si>
    <t>http://ldp.to/Kgjapan_hn</t>
  </si>
  <si>
    <t>KoreaSouth.giaotiep.M425CVS</t>
  </si>
  <si>
    <t>KoreaSouth.M425CVS.1840.M425CVS</t>
  </si>
  <si>
    <t>https://tinyurl.com/ALLM602</t>
  </si>
  <si>
    <t>Taiwan.giaotiep.anhtb2</t>
  </si>
  <si>
    <t>Taiwan.anhtb2.1840.giaotiep</t>
  </si>
  <si>
    <t>http://ldp.to/taiwanall2_hn</t>
  </si>
  <si>
    <t>Europe.giaotiep.M629xM631</t>
  </si>
  <si>
    <t>Europe.M629.1855.giaotiep</t>
  </si>
  <si>
    <t>Japan.giaotiep.anhtb2</t>
  </si>
  <si>
    <t>Japan.anhtb2.1838.giaotiep</t>
  </si>
  <si>
    <t>https://tinyurl.com/UEM629</t>
  </si>
  <si>
    <t>ALL.giaotiep.M624.1850.giaotiep</t>
  </si>
  <si>
    <t>http://ldp.to/Kgjapan2_hn</t>
  </si>
  <si>
    <t>Europe.giaotiep.M601xanhnote</t>
  </si>
  <si>
    <t>Philippines.giaotiep.ttam</t>
  </si>
  <si>
    <t>Europe.M601.1850.giaotiep</t>
  </si>
  <si>
    <t>Philipines.ttam.1838.giaotiep</t>
  </si>
  <si>
    <t>https://tinyurl.com/EUM601</t>
  </si>
  <si>
    <t>UnitedStates.giaotiep.M479</t>
  </si>
  <si>
    <t>UnitedStates.M479.1850.giaotiep</t>
  </si>
  <si>
    <t>http://ldp.to/Kgphilippines2_hn</t>
  </si>
  <si>
    <t>https://tinyurl.com/UniM479</t>
  </si>
  <si>
    <t>UnitedStates.qcpatado.giaotiep.2045</t>
  </si>
  <si>
    <t>Japan.M527.1850.giaotiep</t>
  </si>
  <si>
    <t>https://tinyurl.com/Jenny-Huynh</t>
  </si>
  <si>
    <t>http://ldp.to/Kghoaky3_hn</t>
  </si>
  <si>
    <t>ALL.giaotiep.M608</t>
  </si>
  <si>
    <t>ALL.giaotiep.M608.1850.giaotiep</t>
  </si>
  <si>
    <t>ALL.giaotiep.M601</t>
  </si>
  <si>
    <t>ALL.M601.1840.giaotiep</t>
  </si>
  <si>
    <t>https://patadovietnam.edu.vn/gtusa2_hn</t>
  </si>
  <si>
    <t>KoreaSouth.giaotiep.M442MES</t>
  </si>
  <si>
    <t>KoreaSouth.M442MES.1840.M442MES</t>
  </si>
  <si>
    <t>https://tinyurl.com/giao-tiep-M608</t>
  </si>
  <si>
    <t>UnitedStates.qcpatado.giaotiep.2046</t>
  </si>
  <si>
    <t>Europe.giaotiep.M578</t>
  </si>
  <si>
    <t>Europe.M578.1850.giaotiep</t>
  </si>
  <si>
    <t>https://tinyurl.com/M601xALLm</t>
  </si>
  <si>
    <t>https://tinyurl.com/ytfjpumc</t>
  </si>
  <si>
    <t>ALL.giaotiep.hoctienganhonline</t>
  </si>
  <si>
    <t>ALL.tienganhtructuyen.1840.giaotiep</t>
  </si>
  <si>
    <t>UnitedStates.M645.1850.giaotiep</t>
  </si>
  <si>
    <t>http://ldp.to/Kghoaky5_hn</t>
  </si>
  <si>
    <t>ALL.giaotiep.M442MES</t>
  </si>
  <si>
    <t>ALL.M442MES.1840.M442MES</t>
  </si>
  <si>
    <t>Philippines.giaotiep.qcpatado</t>
  </si>
  <si>
    <t>Philipines.qcpatado.1838.giaotiep</t>
  </si>
  <si>
    <t>Japan.giaotiep.M658xM600</t>
  </si>
  <si>
    <t>Japan.M658.1850.giaotiep</t>
  </si>
  <si>
    <t>https://tinyurl.com/2556ku2p</t>
  </si>
  <si>
    <t>http://ldp.to/Kgphilippines3_hn</t>
  </si>
  <si>
    <t>Japan.giaotiep.M442CVS</t>
  </si>
  <si>
    <t>Japan.M442CVS.1840.M442CVS</t>
  </si>
  <si>
    <t>Europe.giaotiep.M669xanhnote</t>
  </si>
  <si>
    <t>Europe.M669.1850.giaotiep</t>
  </si>
  <si>
    <t>UnitedStates.giaotiep.anhdt</t>
  </si>
  <si>
    <t>UnitedStates.anhdt.giaotiep.2045</t>
  </si>
  <si>
    <t>https://tinyurl.com/EU-M669</t>
  </si>
  <si>
    <t>Japan.giaotiep.M645xM600</t>
  </si>
  <si>
    <t>Japan.M600.1845.giaotiep</t>
  </si>
  <si>
    <t>http://ldp.to/Kghoaky6_hn</t>
  </si>
  <si>
    <t>Europe.giaotiep.M442CVS</t>
  </si>
  <si>
    <t>Europe.M442CVS.1840.M442CVS</t>
  </si>
  <si>
    <t>https://tinyurl.com/2k2zx3h8</t>
  </si>
  <si>
    <t>Europe.giaotiep.M631xanhnote</t>
  </si>
  <si>
    <t>Europe.M631.1850.giaotiep</t>
  </si>
  <si>
    <t>Japan.giaotiep.tienganhonline</t>
  </si>
  <si>
    <t>hoctienganhonline</t>
  </si>
  <si>
    <t>Australia.giaotiep.anhdt</t>
  </si>
  <si>
    <t>Australia.anhdt.2045.giaotiep</t>
  </si>
  <si>
    <t>PTAGTTD</t>
  </si>
  <si>
    <t>https://tinyurl.com/EU-M631</t>
  </si>
  <si>
    <t>Japan.giaotiep.M643</t>
  </si>
  <si>
    <t>Japan.giaotiep.M447CVS</t>
  </si>
  <si>
    <t>Japan.M643.1845.giaotiep</t>
  </si>
  <si>
    <t>Japan.M447CVS.1840.M447CVS</t>
  </si>
  <si>
    <t>http://ldp.to/Kgaustralia_hn</t>
  </si>
  <si>
    <t>khoahoctienganhonline</t>
  </si>
  <si>
    <t>https://tinyurl.com/japan-M631</t>
  </si>
  <si>
    <t>Taiwan.giaotiep.anhphoto</t>
  </si>
  <si>
    <t>Taiwan.anhphoto.1838.giaotiep</t>
  </si>
  <si>
    <t>Europe.giaotiep.M447CVS</t>
  </si>
  <si>
    <t>Europe.M447CVS.1840.M447CVS</t>
  </si>
  <si>
    <t>tienganhonline11</t>
  </si>
  <si>
    <t>http://ldp.to/Kgtaiwan_hn</t>
  </si>
  <si>
    <t>Europe.giaotiep.M658</t>
  </si>
  <si>
    <t>Europe.M658.1840.giaotiep</t>
  </si>
  <si>
    <t>UnitedStates.giaotiep.Patadottam</t>
  </si>
  <si>
    <t>UnitedStates.Patadottam.giaotiep.2045</t>
  </si>
  <si>
    <t>https://tinyurl.com/EU-M658</t>
  </si>
  <si>
    <t>KoreaSouth.giaotiep.M447CVS</t>
  </si>
  <si>
    <t>KoreaSouth.M447CVS.1840.M447CVS</t>
  </si>
  <si>
    <t>tienganhgiaotiep11</t>
  </si>
  <si>
    <t>ALL.giaotiep.M658</t>
  </si>
  <si>
    <t>ALL.giaotiep.M658.1845.giaotiep</t>
  </si>
  <si>
    <t>http://ldp.to/USAPatadott_hn</t>
  </si>
  <si>
    <t>https://tinyurl.com/ALL-M658</t>
  </si>
  <si>
    <t>ALL.giaotiep.M447MES</t>
  </si>
  <si>
    <t>ALL.M447CVS.1840.M447CVS</t>
  </si>
  <si>
    <t>Japan.giaotiep.anhhot</t>
  </si>
  <si>
    <t>Japan.anhhot.1838.giaotiep</t>
  </si>
  <si>
    <t>tienganhchongbatdau</t>
  </si>
  <si>
    <t>UnitedStates.giaotiep.M634</t>
  </si>
  <si>
    <t>UnitedStates.M634.1850.giaotiep</t>
  </si>
  <si>
    <t>ALL.giaotiep.M447MES2</t>
  </si>
  <si>
    <t>ALL.M447MES2.1840.M447MES2</t>
  </si>
  <si>
    <t>http://ldp.to/Japanhot_hn</t>
  </si>
  <si>
    <t>tienganhgiaotiepngbatdau</t>
  </si>
  <si>
    <t>https://tinyurl.com/US-M634</t>
  </si>
  <si>
    <t>Philippines.giaotiep.anhhot</t>
  </si>
  <si>
    <t>Philipines.anhhot.1838.giaotiep</t>
  </si>
  <si>
    <t>Japan.giaotiep.M657xM658</t>
  </si>
  <si>
    <t>Japan.M657.1850.giaotiep</t>
  </si>
  <si>
    <t>Japan.giaotiep.M456MES</t>
  </si>
  <si>
    <t>Japan.M456MES.1840.M456MES</t>
  </si>
  <si>
    <t>http://ldp.to/Philippineshot_hn</t>
  </si>
  <si>
    <t>tienganhngmatgoc</t>
  </si>
  <si>
    <t>https://tinyurl.com/Japan-M657</t>
  </si>
  <si>
    <t>Korea.giaotiep.anhhot</t>
  </si>
  <si>
    <t>Korea.anhhot.1838.giaotiep</t>
  </si>
  <si>
    <t>Japan.giaotiep.M600</t>
  </si>
  <si>
    <t>Japan.M600.1840.giaotiep</t>
  </si>
  <si>
    <t>KoreaSouth.giaotiep.M456MES</t>
  </si>
  <si>
    <t>KoreaSouth.M456MES.1840.M456MES</t>
  </si>
  <si>
    <t>tienganh11chobe</t>
  </si>
  <si>
    <t>http://ldp.to/Koreahot_hn</t>
  </si>
  <si>
    <t>UnitedStates.giaotiep.M658</t>
  </si>
  <si>
    <t>UnitedStates.M658.1850.giaotiep</t>
  </si>
  <si>
    <t>ALL.giaotiep.M456MES</t>
  </si>
  <si>
    <t>ALL.M456MES.1840.M456MES</t>
  </si>
  <si>
    <t>UnitedStates.giaotiep.QT</t>
  </si>
  <si>
    <t>UnitedStates.QT.giaotiep.2045</t>
  </si>
  <si>
    <t>tienganhonlinechobe</t>
  </si>
  <si>
    <t>https://tinyurl.com/UnitedStates658</t>
  </si>
  <si>
    <t>http://ldp.to/USAQT_hn</t>
  </si>
  <si>
    <t>ALL.giaotiep.M456MES2</t>
  </si>
  <si>
    <t>ALL.M456MES2.1840.M456MES2</t>
  </si>
  <si>
    <t>Japan.giaotiep.M658X660</t>
  </si>
  <si>
    <t>Japan.M658.1840.giaotiep</t>
  </si>
  <si>
    <t>tienganhgiaotiepchobe</t>
  </si>
  <si>
    <t>ALL.giaotiep.anhlt3</t>
  </si>
  <si>
    <t>ALL.anhlt3.giaotiep.2045</t>
  </si>
  <si>
    <t>Europe.giaotiep.M451CVS</t>
  </si>
  <si>
    <t>Europe.M451CVS.1840.M451CVS</t>
  </si>
  <si>
    <t>http://ldp.to/ALL_hn</t>
  </si>
  <si>
    <t>khoahocngdilam</t>
  </si>
  <si>
    <t>https://tinyurl.com/japan-giao-tiep-M660</t>
  </si>
  <si>
    <t>UnitedStates.giaotiep.content</t>
  </si>
  <si>
    <t>UnitedStates.content.giaotiep.2045</t>
  </si>
  <si>
    <t>Europe.giaotiep.M236CVS</t>
  </si>
  <si>
    <t>Europe.M236CVS.1840.M236CVS</t>
  </si>
  <si>
    <t>Europe.giaotiep.M655</t>
  </si>
  <si>
    <t>Europe.M655.1840.giaotiep</t>
  </si>
  <si>
    <t>trungtamchongdilam</t>
  </si>
  <si>
    <t>http://ldp.to/ctent_hn</t>
  </si>
  <si>
    <t>https://tinyurl.com/EU-giao-tiep-M655</t>
  </si>
  <si>
    <t>Japan.giaotiep.M470MES</t>
  </si>
  <si>
    <t>Japan.M470MES.1840.M470MES</t>
  </si>
  <si>
    <t>ALL.giaotiep.flashsale1</t>
  </si>
  <si>
    <t>ALL.flashsale1.giaotiep.2045</t>
  </si>
  <si>
    <t>UnitedStates.giaotiep.M578</t>
  </si>
  <si>
    <t>UnitedStates.M578.2050.giaotiep</t>
  </si>
  <si>
    <t>tienganhgiaotiepngdilam</t>
  </si>
  <si>
    <t>https://tinyurl.com/US-giao-tiep-M578</t>
  </si>
  <si>
    <t>http://ldp.to/flashsale_hn</t>
  </si>
  <si>
    <t>Japan.giaotiep.M471MES</t>
  </si>
  <si>
    <t>Japan.M471MES.1840.M471MES</t>
  </si>
  <si>
    <t>Taiwan.giaotiep.videoCNHV</t>
  </si>
  <si>
    <t>Taiwan.videoCNHV.1838.giaotiep</t>
  </si>
  <si>
    <t>Japan.giaotiep.M600X643</t>
  </si>
  <si>
    <t>Japan.M643.1840.giaotiep</t>
  </si>
  <si>
    <t>tienganhonlinengdilam</t>
  </si>
  <si>
    <t>KoreaSouth.giaotiep.M470MES</t>
  </si>
  <si>
    <t>KoreaSouth.M470MES.1840.M470MES</t>
  </si>
  <si>
    <t>http://ldp.to/CNHV_HN</t>
  </si>
  <si>
    <t>https://tinyurl.com/japan-M643</t>
  </si>
  <si>
    <t>Philippines.giaotiep.videoCNHV</t>
  </si>
  <si>
    <t>Philipines.videoCNHV.1838.giaotiep</t>
  </si>
  <si>
    <t>lotrinhgiaotiep</t>
  </si>
  <si>
    <t>Japan.giaotiep.M440MES</t>
  </si>
  <si>
    <t>Japan.M440MES.1840.M440MES</t>
  </si>
  <si>
    <t>Japan.giaotiep.M652</t>
  </si>
  <si>
    <t>Japan.M652.1840.giaotiep</t>
  </si>
  <si>
    <t>tienganhgiaotiep</t>
  </si>
  <si>
    <t>http://ldp.to/CNHV2_HN</t>
  </si>
  <si>
    <t>Korea.giaotiep.videoCNHV</t>
  </si>
  <si>
    <t>Korea.videoCNHV.1840.giaotiep</t>
  </si>
  <si>
    <t>https://tinyurl.com/japna-giao-tiep-M652</t>
  </si>
  <si>
    <t>ALL.giaotiep.M440MES</t>
  </si>
  <si>
    <t>ALL.M440MES.1840.M440MES</t>
  </si>
  <si>
    <t>ALL.giaotiep.M578</t>
  </si>
  <si>
    <t>ALL.giaotiep.M578.1845.giaotiep</t>
  </si>
  <si>
    <t>lopgiaotiep</t>
  </si>
  <si>
    <t>http://ldp.to/CNHV3_HN</t>
  </si>
  <si>
    <t>https://patadovietnam.edu.vn/careereng_nhn/</t>
  </si>
  <si>
    <t>https://tinyurl.com/ALL-M578</t>
  </si>
  <si>
    <t>Japan.giaotiep.videoCNHV</t>
  </si>
  <si>
    <t>Japan.videoCNHV.1840.giaotiep</t>
  </si>
  <si>
    <t>Japan.Career.M476MES</t>
  </si>
  <si>
    <t>Japan.M476MES.1840.Career</t>
  </si>
  <si>
    <t>UnitedStates.giaotiep.M662</t>
  </si>
  <si>
    <t>UnitedStates.M662.2550.giaotiep</t>
  </si>
  <si>
    <t>khoahocgiaotiep</t>
  </si>
  <si>
    <t>http://ldp.to/CNHVjapan_HN</t>
  </si>
  <si>
    <t>Europe.Career.M473CVS</t>
  </si>
  <si>
    <t>Japan.M473CVS.1840.Career</t>
  </si>
  <si>
    <t>UnitedStates.giaotiep.videoCNHV</t>
  </si>
  <si>
    <t>UnitedStates.videoCNHV.1840.giaotiep</t>
  </si>
  <si>
    <t>https://tinyurl.com/UnitedStates-M662</t>
  </si>
  <si>
    <t>trungtamgiaotiep</t>
  </si>
  <si>
    <t>Japan.giaotiep.M679</t>
  </si>
  <si>
    <t>Japan.M679.1840.giaotiep</t>
  </si>
  <si>
    <t>ALL.giaotiep.M473MES</t>
  </si>
  <si>
    <t>ALL.M473MES.1840.Career</t>
  </si>
  <si>
    <t>http://ldp.to/CNHVHK_HN</t>
  </si>
  <si>
    <t>trungtamielts</t>
  </si>
  <si>
    <t>https://tinyurl.com/japan-giao-tiep-M679</t>
  </si>
  <si>
    <t>Korea.giaotiep.anhib</t>
  </si>
  <si>
    <t>Korea.anhib.1840.giaotiep</t>
  </si>
  <si>
    <t>ALL.giaotiep.M473MES2</t>
  </si>
  <si>
    <t>ALL.M473MES2.1840.Career</t>
  </si>
  <si>
    <t>Europe.giaotiep.M676</t>
  </si>
  <si>
    <t>Europe.M676.1845.giaotiep</t>
  </si>
  <si>
    <t>http://ldp.to/IBKOREA_HN</t>
  </si>
  <si>
    <t>Japan.Career.M473MES</t>
  </si>
  <si>
    <t>Japan.M473MES.1840.Career</t>
  </si>
  <si>
    <t>https://tinyurl.com/EU-giao-tiep-M676</t>
  </si>
  <si>
    <t>Taiwan.giaotiep.anhib</t>
  </si>
  <si>
    <t>Taiwan.anhib.1840.giaotiep</t>
  </si>
  <si>
    <t>Europe.giaotiep.M677</t>
  </si>
  <si>
    <t>Europe.M677.1845.giaotiep</t>
  </si>
  <si>
    <t>trungtamtoiec</t>
  </si>
  <si>
    <t>https://tinyurl.com/EU-giao-tiep-M677</t>
  </si>
  <si>
    <t>ALL.giaotiep.JHMES</t>
  </si>
  <si>
    <t>ALL.JHMES.1840.giaotiep</t>
  </si>
  <si>
    <t>http://ldp.to/IBTAIWAN_HN</t>
  </si>
  <si>
    <t>Europe.giaotiep.M678</t>
  </si>
  <si>
    <t>Europe.M677.2045.giaotiep</t>
  </si>
  <si>
    <t>trungtamPatado</t>
  </si>
  <si>
    <t>https://tinyurl.com/EU-giao-tiep-M678</t>
  </si>
  <si>
    <t>Australia.giaotiep.videoCNHV</t>
  </si>
  <si>
    <t>Australia.videoCNHV.2045.giaotiep</t>
  </si>
  <si>
    <t>ALL.giaotiep.M624.1845.giaotiep</t>
  </si>
  <si>
    <t>Europe.giaotiep.M504MES</t>
  </si>
  <si>
    <t>Europe.M504MES.1840.giaotiep</t>
  </si>
  <si>
    <t>trungtamonline</t>
  </si>
  <si>
    <t>http://ldp.to/CNHVUC_HN</t>
  </si>
  <si>
    <t>Japan.giaotiep.M626</t>
  </si>
  <si>
    <t>Japan.M626.1845.giaotiep</t>
  </si>
  <si>
    <t>Japan.giaotiep.M504MES</t>
  </si>
  <si>
    <t>Japan.M504MES.1840.giaotiep</t>
  </si>
  <si>
    <t>Taiwan.giaotiep.anhnote</t>
  </si>
  <si>
    <t>Taiwan.anhnote.1838.giaotiep</t>
  </si>
  <si>
    <t>tienganhthuongmai</t>
  </si>
  <si>
    <t>https://tinyurl.com/japan-giao-tiep-M626</t>
  </si>
  <si>
    <t>Europe.JHCVS.1840.giaotiep</t>
  </si>
  <si>
    <t>hocphi</t>
  </si>
  <si>
    <t>Europe.giaotiep.M632xM636</t>
  </si>
  <si>
    <t>Europe.M636.1850.giaotiep</t>
  </si>
  <si>
    <t>http://ldp.ink/notetaiwan_HN</t>
  </si>
  <si>
    <t>https://patadovietnam.edu.vn/tieng-anh-giao-tiep-united-states/</t>
  </si>
  <si>
    <t>Philippines.giaotiep.anhnote</t>
  </si>
  <si>
    <t>Philipines.anhnote.1838.giaotiep</t>
  </si>
  <si>
    <t>https://tinyurl.com/eu-giao-tiep-m636</t>
  </si>
  <si>
    <t>Japan.giaotiep.M393CVS</t>
  </si>
  <si>
    <t>Japan.M393CVS.1840.giaotiep</t>
  </si>
  <si>
    <t>UnitedStates.giaotiep.hocnline</t>
  </si>
  <si>
    <t>UnitedStates.giaotiep.M666</t>
  </si>
  <si>
    <t>UnitedStates.M666.2250.giaotiep</t>
  </si>
  <si>
    <t>http://ldp.to/notephilipin_HN</t>
  </si>
  <si>
    <t>ALL.giaotiep.M529MES</t>
  </si>
  <si>
    <t>ALL.M529MES.1840.giaotiep</t>
  </si>
  <si>
    <t>ieltsonline</t>
  </si>
  <si>
    <t>Japan.giaotiep.anhnote</t>
  </si>
  <si>
    <t>Japan.anhnote.1838.giaotiep</t>
  </si>
  <si>
    <t>https://tinyurl.com/US-giao-tiep-M666</t>
  </si>
  <si>
    <t>Europe.giaotiep.M529MES</t>
  </si>
  <si>
    <t>Europe.M529MES.1840.giaotiep</t>
  </si>
  <si>
    <t>ieltsmatgoc</t>
  </si>
  <si>
    <t>https://patado.edu.vn/trung-tam-tieng-anh-patado/</t>
  </si>
  <si>
    <t>http://ldp.ink/notejapan_Hn</t>
  </si>
  <si>
    <t>ALL.giaotiep.M636</t>
  </si>
  <si>
    <t>ALL.giaotiep.M636.1850.giaotiep</t>
  </si>
  <si>
    <t>PTAGTCNDL</t>
  </si>
  <si>
    <t>luyenthiielts</t>
  </si>
  <si>
    <t>UnitedStates.giaotiep.anhnote</t>
  </si>
  <si>
    <t>UnitedStates.anhnote.2045.giaotiep</t>
  </si>
  <si>
    <t>Japan.giaotiep.M529MES</t>
  </si>
  <si>
    <t>Japan.M529MES.1840.giaotiep</t>
  </si>
  <si>
    <t>ALL.giaotiep.M659</t>
  </si>
  <si>
    <t>ALL.giaotiep.M659.2045.giaotiep</t>
  </si>
  <si>
    <t>lotrinhielts</t>
  </si>
  <si>
    <t>http://ldp.to/noteusa_HN</t>
  </si>
  <si>
    <t>Japan.giaotiep.M529MES2</t>
  </si>
  <si>
    <t>Japan.M529MES2.1840.giaotiep</t>
  </si>
  <si>
    <t>Philippines.giaotiep.anhhot2</t>
  </si>
  <si>
    <t>Philipines.anhhot2.1838.giaotiep</t>
  </si>
  <si>
    <t>https://tinyurl.com/ALL-M659</t>
  </si>
  <si>
    <t>ielts1kem1</t>
  </si>
  <si>
    <t>Japan.giaotiep.M264</t>
  </si>
  <si>
    <t>Japan.M264.2045.giaotiep</t>
  </si>
  <si>
    <t>KoreaSouth.giaotiep.M529MES</t>
  </si>
  <si>
    <t>KoreaSouth.M529MES.1840.giaotiep</t>
  </si>
  <si>
    <t>khoahocielts</t>
  </si>
  <si>
    <t>http://ldp.to/anhhot2_NHN</t>
  </si>
  <si>
    <t>https://tinyurl.com/Japan-M264</t>
  </si>
  <si>
    <t>Taiwan.giaotiep.anhhot2</t>
  </si>
  <si>
    <t>Taiwan.anhhot2.1838.giaotiep</t>
  </si>
  <si>
    <t>lophocielts</t>
  </si>
  <si>
    <t>Europe.M626.2045.giaotiep</t>
  </si>
  <si>
    <t>http://ldp.to/hottaiwan_NHN</t>
  </si>
  <si>
    <t>https://tinyurl.com/Eu-giao-tiep-626</t>
  </si>
  <si>
    <t>trungtamluyenielts</t>
  </si>
  <si>
    <t>ALL.giaotiep.Patadottam</t>
  </si>
  <si>
    <t>ALL.Patadottam.1845.giaotiep</t>
  </si>
  <si>
    <t>UnitedStates.giaotiep.M697</t>
  </si>
  <si>
    <t>UnitedStates.M697.2050.giaotiep</t>
  </si>
  <si>
    <t>hocphiielts</t>
  </si>
  <si>
    <t>https://tinyurl.com/US-giao-tiep-M697</t>
  </si>
  <si>
    <t>ALL.giaotiep.M658.1855.giaotiep</t>
  </si>
  <si>
    <t>http://ldp.to/ALLttam_NHN</t>
  </si>
  <si>
    <t>Japan.giaotiep.M534MES</t>
  </si>
  <si>
    <t>Japan.M534MES.1840.giaotiep</t>
  </si>
  <si>
    <t>Taiwan.giaotiep.Patadottam</t>
  </si>
  <si>
    <t>Taiwan.Patadottam.1838.giaotiep</t>
  </si>
  <si>
    <t>Europe.giaotiep.M668</t>
  </si>
  <si>
    <t>Europe.M668.2050.giaotiep</t>
  </si>
  <si>
    <t>Europe.giaotiep.M534MES</t>
  </si>
  <si>
    <t>Europe.M534MES.1840.giaotiep</t>
  </si>
  <si>
    <t>khoahocmatgoc</t>
  </si>
  <si>
    <t>http://ldp.to/TAGTdailoan_hn</t>
  </si>
  <si>
    <t>https://tinyurl.com/tieng-anh-giao-tiep-m668</t>
  </si>
  <si>
    <t>Japan.giaotiep.M703</t>
  </si>
  <si>
    <t>Japan.M703.1840.giaotiep</t>
  </si>
  <si>
    <t>Korea.giaotiep.anhhot2</t>
  </si>
  <si>
    <t>Korea.anhhot2.1840.giaotiep</t>
  </si>
  <si>
    <t>ALL.giaotiep.M534MES</t>
  </si>
  <si>
    <t>giaotiepngdilam</t>
  </si>
  <si>
    <t>ALL.M534MES.1840.giaotiep</t>
  </si>
  <si>
    <t>http://ldp.to/hotkorea_hn</t>
  </si>
  <si>
    <t>https://tinyurl.com/japan-tieng-anh-giao-tiep-M703</t>
  </si>
  <si>
    <t>ALL.giaotiep.M526MES</t>
  </si>
  <si>
    <t>ALL.M526MES.1840.giaotiep</t>
  </si>
  <si>
    <t>Philippines.giaotiep.anhhot3</t>
  </si>
  <si>
    <t>Philipines.anhhot3.1838.giaotiep</t>
  </si>
  <si>
    <t>toiec</t>
  </si>
  <si>
    <t>Europe.giaotiep.M688</t>
  </si>
  <si>
    <t>Europe.M688.2045.giaotiep</t>
  </si>
  <si>
    <t>Japan.giaotiep.M526MES</t>
  </si>
  <si>
    <t>Japan.M526MES.1840.giaotiep</t>
  </si>
  <si>
    <t>https://patadovietnam.edu.vn/tieng-anh-giao-tiep-toan-dien-all/</t>
  </si>
  <si>
    <t>https://tinyurl.com/giao-tiep-M688EU</t>
  </si>
  <si>
    <t>http://ldp.to/jh5_hn</t>
  </si>
  <si>
    <t>UnitedStates.giaotiep.anhhot3</t>
  </si>
  <si>
    <t>UnitedStates.anhhot3.2045.giaotiep</t>
  </si>
  <si>
    <t>ALL.giaotiep.englishonline</t>
  </si>
  <si>
    <t>Europe.giaotiep.M526MES</t>
  </si>
  <si>
    <t>Europe.M526MES.1840.giaotiep</t>
  </si>
  <si>
    <t>http://ldp.to/jh6_Hn</t>
  </si>
  <si>
    <t>ALL.giaotiep.M526MES2</t>
  </si>
  <si>
    <t>ALL.M526MES2.1840.giaotiep</t>
  </si>
  <si>
    <t>Europe.giaotiep.M702xM704</t>
  </si>
  <si>
    <t>Europe.M702.2045.giaotiep</t>
  </si>
  <si>
    <t>Canada.giaotiep.anhhot3</t>
  </si>
  <si>
    <t>Canada.anhhot3.2045.giaotiep</t>
  </si>
  <si>
    <t>ALL.giaotiep.M540MES</t>
  </si>
  <si>
    <t>ALL.M540MES.1840.giaotiep</t>
  </si>
  <si>
    <t>https://tinyurl.com/giao-tiep-M702</t>
  </si>
  <si>
    <t>http://ldp.to/jh8_hn</t>
  </si>
  <si>
    <t>ALL.giaotiep.M679</t>
  </si>
  <si>
    <t>ALL.giaotiep.M679.2045.giaotiep</t>
  </si>
  <si>
    <t>Korea.giaotiep.anhsquid</t>
  </si>
  <si>
    <t>Korea.anhsquid.1838.giaotiep</t>
  </si>
  <si>
    <t>ALL.giaotiep.M536xM543MES</t>
  </si>
  <si>
    <t>ALL.M536xM543MES.1840.giaotiep</t>
  </si>
  <si>
    <t>https://tinyurl.com/tieng-anh-giao-tiep-m679</t>
  </si>
  <si>
    <t>http://ldp.to/SQKOREA_HN</t>
  </si>
  <si>
    <t>Japan.giaotiep.M536xM543MES</t>
  </si>
  <si>
    <t>Japan.M536xM543MES.1840.giaotiep</t>
  </si>
  <si>
    <t>ALL.giaotiep.M637</t>
  </si>
  <si>
    <t>ALL.giaotiep.M637.1845.giaotiep</t>
  </si>
  <si>
    <t>Taiwan.giaotiep.anhsquid</t>
  </si>
  <si>
    <t>Taiwan.anhsquid.1838.giaotiep</t>
  </si>
  <si>
    <t>Europe.giaotiep.M536xM543MES</t>
  </si>
  <si>
    <t>Europe.M536xM543MES.1840.giaotiep</t>
  </si>
  <si>
    <t>https://tinyurl.com/tieng-anh-nguoi-di-lam-m637</t>
  </si>
  <si>
    <t>http://ldp.to/SQTAIWAN_HN</t>
  </si>
  <si>
    <t>Japan.giaotiep.M637</t>
  </si>
  <si>
    <t>Japan.M637.1840.giaotiep</t>
  </si>
  <si>
    <t>UnitedStates.giaotiep.anhsquid</t>
  </si>
  <si>
    <t>UnitedStates.anhsquid.2045.giaotiep</t>
  </si>
  <si>
    <t>Europe.giaotiep.M553xM555MES</t>
  </si>
  <si>
    <t>Europe.M553xM555MES.1840.giaotiep</t>
  </si>
  <si>
    <t>https://tinyurl.com/tieng-anh-m637</t>
  </si>
  <si>
    <t>http://ldp.to/SQUSA_HN</t>
  </si>
  <si>
    <t>Japan.giaotiep.M553xM555MES</t>
  </si>
  <si>
    <t>Japan.M553xM555MES.1840.giaotiep</t>
  </si>
  <si>
    <t>UnitedStates.giaotiep.M640</t>
  </si>
  <si>
    <t>Philippines.giaotiep.anhsquid</t>
  </si>
  <si>
    <t>UnitedStates.M640.2050.giaotiep</t>
  </si>
  <si>
    <t>Philippines.anhsquid.1836.giaotiep</t>
  </si>
  <si>
    <t>ALL.giaotiep.M553xM555MES</t>
  </si>
  <si>
    <t>ALL.M553xM555MES.1840.giaotiep</t>
  </si>
  <si>
    <t>http://ldp.to/SQPhilippines_HN</t>
  </si>
  <si>
    <t>https://tinyurl.com/US-tieng-anh-giao-tiep-M640</t>
  </si>
  <si>
    <t>UnitedStates.giaotiep.anhnote2</t>
  </si>
  <si>
    <t>UnitedStates.anhnote2.2045.giaotiep</t>
  </si>
  <si>
    <t>ALL.giaotiep.M640</t>
  </si>
  <si>
    <t>ALL.giaotiep.M640.1845.giaotiep</t>
  </si>
  <si>
    <t>ALL.giaotiep.M539MES</t>
  </si>
  <si>
    <t>ALL.M539MES.1840.giaotiep</t>
  </si>
  <si>
    <t>http://ldp.to/note2usa_HN</t>
  </si>
  <si>
    <t>https://tinyurl.com/tieng-anh-giao-tiep-m640-np</t>
  </si>
  <si>
    <t>Japan.giaotiep.M539MES</t>
  </si>
  <si>
    <t>Taiwan.giaotiep.anhnote2</t>
  </si>
  <si>
    <t>Japan.M539MES.1840.giaotiep</t>
  </si>
  <si>
    <t>Taiwan.anhnote2.1838.giaotiep</t>
  </si>
  <si>
    <t>https://patado.edu.vn/tieng-anh-giao-tiep-eu-sbd-htt/</t>
  </si>
  <si>
    <t>Europe.giaotiep.M702xM703</t>
  </si>
  <si>
    <t>Europe.M703.2045.giaotiep</t>
  </si>
  <si>
    <t>Europe.giaotiep.M539MES</t>
  </si>
  <si>
    <t>Europe.M539MES.1840.giaotiep</t>
  </si>
  <si>
    <t>http://ldp.to/note2taiwan_HN</t>
  </si>
  <si>
    <t>Korea.giaotiep.anhnote2</t>
  </si>
  <si>
    <t>Korea.anhnote2.1838.giaotiep</t>
  </si>
  <si>
    <t>https://tinyurl.com/tieng-anh-giao-tiep-eum703</t>
  </si>
  <si>
    <t>Taiwan.giaotiep.M539MES</t>
  </si>
  <si>
    <t>Taiwan.M539MES.1840.giaotiep</t>
  </si>
  <si>
    <t>Europe.giaotiep.M704xM705</t>
  </si>
  <si>
    <t>Europe.M704.2045.giaotiep</t>
  </si>
  <si>
    <t>http://ldp.to/note2korea_HN</t>
  </si>
  <si>
    <t>https://tinyurl.com/tieng-anh-giao-tiep-eum704</t>
  </si>
  <si>
    <t>Japan.giaotiep.anhsquid</t>
  </si>
  <si>
    <t>Japan.anhsquid.1840.giaotiep</t>
  </si>
  <si>
    <t>Europe.giaotiep.M561MES</t>
  </si>
  <si>
    <t>Europe.M561MES.1840.giaotiep</t>
  </si>
  <si>
    <t>https://patado.edu.vn/tieng-anh-giao-tiep-cho-nguoi-viet-tai-nhat-sbd-htt</t>
  </si>
  <si>
    <t>Japan.giaotiep.M716</t>
  </si>
  <si>
    <t>Japan.M716.1840.giaotiep</t>
  </si>
  <si>
    <t>http://ldp.to/SQJAPAN_HN</t>
  </si>
  <si>
    <t>Japan.giaotiep.M561MES</t>
  </si>
  <si>
    <t>Japan.M561MES.1840.giaotiep</t>
  </si>
  <si>
    <t>Korea.giaotiep.anhnote3</t>
  </si>
  <si>
    <t>Korea.anhnote3.1840.giaotiep</t>
  </si>
  <si>
    <t>https://tinyurl.com/tieng-anh-giao-tiep-jpm716</t>
  </si>
  <si>
    <t>ALL.giaotiep.M561MES</t>
  </si>
  <si>
    <t>ALL.M561MES.1840.giaotiep</t>
  </si>
  <si>
    <t>ALL.giaotiep.M693</t>
  </si>
  <si>
    <t>ALL.giaotiep.M693.1845.giaotiep</t>
  </si>
  <si>
    <t>http://ldp.to/note3korea_HN</t>
  </si>
  <si>
    <t>Philippines.giaotiep.anhnote3</t>
  </si>
  <si>
    <t>Philippines.anhnote3.1836.giaotiep</t>
  </si>
  <si>
    <t>KoreaSouth.giaotiep.M561MES</t>
  </si>
  <si>
    <t>KoreaSouth.M561MES.1840.giaotiep</t>
  </si>
  <si>
    <t>https://tinyurl.com/3hf9u88w</t>
  </si>
  <si>
    <t>Europe.giaotiep.M526xM584</t>
  </si>
  <si>
    <t>Europe.M526.1845.giaotiep</t>
  </si>
  <si>
    <t>Europe.giaotiep.M566MES</t>
  </si>
  <si>
    <t>Europe.M566MES.1840.giaotiep</t>
  </si>
  <si>
    <t>http://ldp.to/note3philippines_HN</t>
  </si>
  <si>
    <t>tienganhnail</t>
  </si>
  <si>
    <t>https://tinyurl.com/tieng-anh-giao-tiep-eum526</t>
  </si>
  <si>
    <t>Australia.giaotiep.anhnote3</t>
  </si>
  <si>
    <t>Australia.anhnote3.1843.giaotiep</t>
  </si>
  <si>
    <t>ALL.giaotiep.M566MES</t>
  </si>
  <si>
    <t>Europe.giaotiep.M600xM657</t>
  </si>
  <si>
    <t>ALL.M566MES.1840.giaotiep</t>
  </si>
  <si>
    <t>Europe.M600.1845.giaotiep</t>
  </si>
  <si>
    <t>http://ldp.to/note3uc_HN</t>
  </si>
  <si>
    <t>UnitedStates.giaotiep.tienganh</t>
  </si>
  <si>
    <t>https://tinyurl.com/tieng-anh-giao-tiep-eum600</t>
  </si>
  <si>
    <t>Japan.giaotiep.M566MES</t>
  </si>
  <si>
    <t>Canada.giaotiep.anhnote3</t>
  </si>
  <si>
    <t>Japan.M566MES.1840.giaotiep</t>
  </si>
  <si>
    <t>Canada.anhnote3.2043.giaotiep</t>
  </si>
  <si>
    <t>Europe.M631.1840.giaotiep</t>
  </si>
  <si>
    <t>http://ldp.to/note3canada_HN</t>
  </si>
  <si>
    <t>Japan.giaotiep.M565</t>
  </si>
  <si>
    <t>Japan.M565.1840.giaotiep</t>
  </si>
  <si>
    <t>UnitedStates.giaotiep.anhnote3</t>
  </si>
  <si>
    <t>UnitedStates.anhnote3.2045.giaotiep</t>
  </si>
  <si>
    <t>ALL.giaotiep.M647</t>
  </si>
  <si>
    <t>ALL.giaotiep.M647.1840.giaotiep</t>
  </si>
  <si>
    <t>Japan.giaotiep.M596</t>
  </si>
  <si>
    <t>Japan.M596.1840.giaotiep</t>
  </si>
  <si>
    <t>http://ldp.ink/note3USA_HN</t>
  </si>
  <si>
    <t>https://tinyurl.com/tieng-anh-giao-tiep-m647all</t>
  </si>
  <si>
    <t>ALL.giaotiep.M565</t>
  </si>
  <si>
    <t>ALL.M565.1840.giaotiep</t>
  </si>
  <si>
    <t>Korea.giaotiep.anhltx2</t>
  </si>
  <si>
    <t>Korea.anhltx2.1840.giaotiep</t>
  </si>
  <si>
    <t>UnitedStates.M697.1840.giaotiep</t>
  </si>
  <si>
    <t>ALL.giaotiep.M596</t>
  </si>
  <si>
    <t>ALL.M596.1840.giaotiep</t>
  </si>
  <si>
    <t>http://ldp.to/ltx2_HN</t>
  </si>
  <si>
    <t>UnitedStates.giaotiep.anhhot2</t>
  </si>
  <si>
    <t>UnitedStates.anhhot2.2045.giaotiep</t>
  </si>
  <si>
    <t>Europe.giaotiep.M565</t>
  </si>
  <si>
    <t>Europe.M565.1840.giaotiep</t>
  </si>
  <si>
    <t>UnitedStates.giaotiep.M740</t>
  </si>
  <si>
    <t>UnitedStates.M740.2050.giaotiep</t>
  </si>
  <si>
    <t>http://ldp.to/GTtoandien1_USA</t>
  </si>
  <si>
    <t>Taiwan.giaotiep.anhltx2</t>
  </si>
  <si>
    <t>Taiwan.anhltx2.1838.giaotiep</t>
  </si>
  <si>
    <t>https://tinyurl.com/us-giao-tiep-m740</t>
  </si>
  <si>
    <t>Europe.giaotiep.M596</t>
  </si>
  <si>
    <t>Europe.M596.1840.giaotiep</t>
  </si>
  <si>
    <t>Europe.giaotiep.M733</t>
  </si>
  <si>
    <t>Europe.M733.1840.giaotiep</t>
  </si>
  <si>
    <t>http://ldp.to/ltx2taiwan_HN</t>
  </si>
  <si>
    <t>Korea.giaotiep.videoCNHV2</t>
  </si>
  <si>
    <t>Korea.videoCNHV2.1840.giaotiep</t>
  </si>
  <si>
    <t>Japan.giaotiep.P251</t>
  </si>
  <si>
    <t>Japan.P251.1840.giaotiep</t>
  </si>
  <si>
    <t>https://tinyurl.com/eu-giao-tiep-m733</t>
  </si>
  <si>
    <t>Europe.giaotiep.anhnote</t>
  </si>
  <si>
    <t>Europe.anhnote.1840.giaotiep</t>
  </si>
  <si>
    <t>ALL.giaotiep.P250</t>
  </si>
  <si>
    <t>ALL.P250.1840.giaotiep</t>
  </si>
  <si>
    <t>ALL.giaotiep.M713</t>
  </si>
  <si>
    <t>ALL.giaotiep.M713.1845.giaotiep</t>
  </si>
  <si>
    <t>Europe.giaotiep.P249</t>
  </si>
  <si>
    <t>Europe.P249.1840.giaotiep</t>
  </si>
  <si>
    <t>https://tinyurl.com/tieng-anh-giao-tiep-m713</t>
  </si>
  <si>
    <t>http://ldp.to/Cnhvkorea_HN</t>
  </si>
  <si>
    <t>Japan.giaotiep.M736</t>
  </si>
  <si>
    <t>Japan.M736.1840.giaotiep</t>
  </si>
  <si>
    <t>ALL.giaotiep.P282</t>
  </si>
  <si>
    <t>ALL.P282.1840.giaotiep</t>
  </si>
  <si>
    <t>Philippines.giaotiep.videoCNHV2</t>
  </si>
  <si>
    <t>Philippines.videoCNHV2.1838.giaotiep</t>
  </si>
  <si>
    <t>http://ldp.to/Cnhvphilippines_HN</t>
  </si>
  <si>
    <t>Europe.giaotiep.P283</t>
  </si>
  <si>
    <t>Europe.P283.1840.giaotiep</t>
  </si>
  <si>
    <t>Philippines.giaotiep.Hhot</t>
  </si>
  <si>
    <t>Philippines.Hhot.1838.giaotiep</t>
  </si>
  <si>
    <t>https://tinyurl.com/tieng-anh-giao-tiep-M736</t>
  </si>
  <si>
    <t>ALL.giaotiep.M647.1845.giaotiep</t>
  </si>
  <si>
    <t>Japan.giaotiep.P284</t>
  </si>
  <si>
    <t>Japan.P284.1840.giaotiep</t>
  </si>
  <si>
    <t>http://ldp.to/Hhotphilippines_HN</t>
  </si>
  <si>
    <t>UnitedStates.giaotiep.Hhot</t>
  </si>
  <si>
    <t>UnitedStates.Hhot.2045.giaotiep</t>
  </si>
  <si>
    <t>UnitedStates.M740.1845.giaotiep</t>
  </si>
  <si>
    <t>Japan.giaotiep.P301</t>
  </si>
  <si>
    <t>Japan.P301.1840.giaotiep</t>
  </si>
  <si>
    <t>http://ldp.to/HhotUSA_HN</t>
  </si>
  <si>
    <t>Taiwan.giaotiep.Hhot</t>
  </si>
  <si>
    <t>Taiwan.Hhot.1838.giaotiep</t>
  </si>
  <si>
    <t>Japan.giaotiep.M716xM736</t>
  </si>
  <si>
    <t>Japan.M716.1845.giaotiep</t>
  </si>
  <si>
    <t>Japan.giaotiep.P328</t>
  </si>
  <si>
    <t>Japan.P328.1840.giaotiep</t>
  </si>
  <si>
    <t>http://ldp.to/Hhotdailoan_HN</t>
  </si>
  <si>
    <t>UnitedStates.giaotiep.Gthocvien</t>
  </si>
  <si>
    <t>Europe.giaotiep.P332</t>
  </si>
  <si>
    <t>UnitedStates.Gthocvien.2045.giaotiep</t>
  </si>
  <si>
    <t>Europe.P332.1840.giaotiep</t>
  </si>
  <si>
    <t>Europe.M733.1845.giaotiep</t>
  </si>
  <si>
    <t>http://ldp.to/GTHV_HN</t>
  </si>
  <si>
    <t>ALL.giaotiep.P333</t>
  </si>
  <si>
    <t>ALL.P333.1840.giaotiep</t>
  </si>
  <si>
    <t>Europe.giaotiep.Hhot</t>
  </si>
  <si>
    <t>Europe.Hhot.1845.giaotiep</t>
  </si>
  <si>
    <t>ALL.giaotiep.P334</t>
  </si>
  <si>
    <t>ALL.P334.1840.giaotiep</t>
  </si>
  <si>
    <t>http://ldp.to/Hhoteurope_Hn</t>
  </si>
  <si>
    <t>All</t>
  </si>
  <si>
    <t>ALL.giaotiep.P342</t>
  </si>
  <si>
    <t>ALL.P342.1840.giaotiep</t>
  </si>
  <si>
    <t>Korea.giaotiep.GThocvien</t>
  </si>
  <si>
    <t>Korea.Hhot.1838.giaotiep</t>
  </si>
  <si>
    <t>ALL.giaotiep.M718</t>
  </si>
  <si>
    <t>ALL.giaotiep.M718.1845.giaotiep</t>
  </si>
  <si>
    <t>Japan.giaotiep.P371</t>
  </si>
  <si>
    <t>Japan.P371.1840.giaotiep</t>
  </si>
  <si>
    <t>http://ldp.to/GTHVkorea_HN</t>
  </si>
  <si>
    <t>Korea.giaotiep.Hhot</t>
  </si>
  <si>
    <t>Korea.GThocvien.1838.giaotiep</t>
  </si>
  <si>
    <t>https://tinyurl.com/All-giao-tiep-TA-M718</t>
  </si>
  <si>
    <t>Europe.giaotiep.P372</t>
  </si>
  <si>
    <t>Europe.P372.1840.giaotiep</t>
  </si>
  <si>
    <t>Europe.anhnote.1845.giaotiep</t>
  </si>
  <si>
    <t>http://ldp.to/Hhotkorea_hn</t>
  </si>
  <si>
    <t>Canada.giaotiep.Hhot</t>
  </si>
  <si>
    <t>Canada.Hhot.1843.giaotiep</t>
  </si>
  <si>
    <t>ALL.giaotiep.P373</t>
  </si>
  <si>
    <t>ALL.P373.1840.giaotiep</t>
  </si>
  <si>
    <t>Europe.giaotiep.M711</t>
  </si>
  <si>
    <t>Europe.M711.1845.giaotiep</t>
  </si>
  <si>
    <t>http://ldp.to/Hhotcanada_HN</t>
  </si>
  <si>
    <t>Japan.giaotiep.P375</t>
  </si>
  <si>
    <t>Japan.giaotiep.Hhot</t>
  </si>
  <si>
    <t>Japan.P375.1840.giaotiep</t>
  </si>
  <si>
    <t>Japan.Hhot.1840.giaotiep</t>
  </si>
  <si>
    <t>https://tinyurl.com/tieng-anh-patado-M711</t>
  </si>
  <si>
    <t>UnitedStates.giaotiep.M647</t>
  </si>
  <si>
    <t>UnitedStates.M647.1845.giaotiep</t>
  </si>
  <si>
    <t>http://ldp.to/Hhotnhatban_HN</t>
  </si>
  <si>
    <t>Europe.giaotiep.P379</t>
  </si>
  <si>
    <t>Europe.P379.1840.giaotiep</t>
  </si>
  <si>
    <t>Taiwan.giaotiep.anhchungchi</t>
  </si>
  <si>
    <t>UnitedStates.anhchungchi.2045.giaotiep</t>
  </si>
  <si>
    <t>https://tinyurl.com/tieng-anh-giao-tiep-m647us</t>
  </si>
  <si>
    <t>http://ldp.to/chungchidailoan_HN</t>
  </si>
  <si>
    <t>ALL.giaotiep.P380</t>
  </si>
  <si>
    <t>ALL.P380.1840.giaotiep</t>
  </si>
  <si>
    <t>ALL.giaotiep.tienganh</t>
  </si>
  <si>
    <t>UnitedStates.giaotiep.anhchungchi</t>
  </si>
  <si>
    <t>Taiwan.anhchungchi.1840.giaotiep</t>
  </si>
  <si>
    <t>ALL.giaotiep.P381</t>
  </si>
  <si>
    <t>ALL.P381.1840.giaotiep</t>
  </si>
  <si>
    <t>http://ldp.to/chungchihoaky_HN</t>
  </si>
  <si>
    <t>ALL.giaotiep.M769</t>
  </si>
  <si>
    <t>ALL.giaotiep.M769.1845.giaotiep</t>
  </si>
  <si>
    <t>KoreaSouth.giaotiep.Hhot1</t>
  </si>
  <si>
    <t>KoreaSouth.Hhot1.1838.giaotiep</t>
  </si>
  <si>
    <t>https://tinyurl.com/tieng-anh-giao-tiep-M769</t>
  </si>
  <si>
    <t>Europe.giaotiep.P386</t>
  </si>
  <si>
    <t>Europe.P386.1840.giaotiep</t>
  </si>
  <si>
    <t>http://ldp.ink/Htienganh_HN</t>
  </si>
  <si>
    <t>ALL.giaotiep.M681</t>
  </si>
  <si>
    <t>ALL.giaotiep.M681.1845.giaotiep</t>
  </si>
  <si>
    <t>Europe.giaotiep.Patadohot</t>
  </si>
  <si>
    <t>Europe.Patadohot.2045.giaotiep</t>
  </si>
  <si>
    <t>https://tinyurl.com/tieng-anh-giao-tiep-M681</t>
  </si>
  <si>
    <t>Japan.giaotiep.P387</t>
  </si>
  <si>
    <t>Japan.P387.1840.giaotiep</t>
  </si>
  <si>
    <t>http://ldp.ink/Patadohot_HN</t>
  </si>
  <si>
    <t>ALL.giaotiep.M686</t>
  </si>
  <si>
    <t>ALL.giaotiep.M686.1845.giaotiep</t>
  </si>
  <si>
    <t>ALL.giaotiep.P388</t>
  </si>
  <si>
    <t>ALL.P388.1840.giaotiep</t>
  </si>
  <si>
    <t>UnitedStates.giaotiep.Hhot1</t>
  </si>
  <si>
    <t>UnitedStates.Hhot1.2045.giaotiep</t>
  </si>
  <si>
    <t>https://tinyurl.com/tieng-anh-patado-686</t>
  </si>
  <si>
    <t>Europe.giaotiep.M769</t>
  </si>
  <si>
    <t>Europe.M769.1845.giaotiep</t>
  </si>
  <si>
    <t>http://ldp.ink/Hhoaky_HN</t>
  </si>
  <si>
    <t>Europe.giaotiep.P394</t>
  </si>
  <si>
    <t>Europe.P394.1840.giaotiep</t>
  </si>
  <si>
    <t>https://tinyurl.com/m769-tieng-anh-patado</t>
  </si>
  <si>
    <t>Japan.giaotiep.Hhot1</t>
  </si>
  <si>
    <t>Japan.Hhot1.1840.giaotiep</t>
  </si>
  <si>
    <t>Europe.giaotiep.M681</t>
  </si>
  <si>
    <t>Europe.M681.1845.giaotiep</t>
  </si>
  <si>
    <t>Japan.giaotiep.P395</t>
  </si>
  <si>
    <t>Japan.P395.1840.giaotiep</t>
  </si>
  <si>
    <t>http://ldp.ink/Hnhatban_HN</t>
  </si>
  <si>
    <t>https://tinyurl.com/M681-tieng-anh-patado</t>
  </si>
  <si>
    <t>Europe.giaotiep.Hhot1</t>
  </si>
  <si>
    <t>Europe.Hhot.2045.giaotiep</t>
  </si>
  <si>
    <t>ALL.giaotiep.P396</t>
  </si>
  <si>
    <t>ALL.P396.1840.giaotiep</t>
  </si>
  <si>
    <t>http://ldp.ink/Hchauau_HN</t>
  </si>
  <si>
    <t>UnitedStates.giaotiep.M769</t>
  </si>
  <si>
    <t>UnitedStates.M769.1845.giaotiep</t>
  </si>
  <si>
    <t>Europe.giaotiep.P411</t>
  </si>
  <si>
    <t>Europe.P411.1840.giaotiep</t>
  </si>
  <si>
    <t>UnitedStates.giaotiep.PatadoH</t>
  </si>
  <si>
    <t>UnitedStates.PatadoH.2045.giaotiep</t>
  </si>
  <si>
    <t>http://ldp.ink/PatadoHhoaky_HN</t>
  </si>
  <si>
    <t>ALL.giaotiep.P412</t>
  </si>
  <si>
    <t>ALL.P412.1840.giaotiep</t>
  </si>
  <si>
    <t>Japan.giaotiep.videoCNHV1</t>
  </si>
  <si>
    <t>Japan.videoCNHV1.1840.giaotiep</t>
  </si>
  <si>
    <t>Europe.giaotiep.P432</t>
  </si>
  <si>
    <t>Europe.P432.1840.giaotiep</t>
  </si>
  <si>
    <t>http://ldp.ink/CNHVnhatban_HN</t>
  </si>
  <si>
    <t>Taiwan.giaotiep.NNCD</t>
  </si>
  <si>
    <t>Taiwan.NNCD.1840.giaotiep</t>
  </si>
  <si>
    <t>Japan.giaotiep.P433</t>
  </si>
  <si>
    <t>Japan.P433.1840.giaotiep</t>
  </si>
  <si>
    <t>https://patadovietnam.edu.vn/tatoandien_namnh</t>
  </si>
  <si>
    <t>ALL.giaotiep.P434</t>
  </si>
  <si>
    <t>ALL.P434.1840.giaotiep</t>
  </si>
  <si>
    <t>KoreaSouth.giaotiep.NNCD</t>
  </si>
  <si>
    <t>KoreaSouth.NNCD.1838.giaotiep</t>
  </si>
  <si>
    <t>Japan.giaotiep.P477</t>
  </si>
  <si>
    <t>Japan.P477.1840.giaotiep</t>
  </si>
  <si>
    <t>UnitedStates.giaotiep.NNCD</t>
  </si>
  <si>
    <t>UnitedStates.NNCD.2045.giaotiep</t>
  </si>
  <si>
    <t>ALL.giaotiep.P478</t>
  </si>
  <si>
    <t>ALL.P478.1840.giaotiep</t>
  </si>
  <si>
    <t>Japan.giaotiep.NNCD</t>
  </si>
  <si>
    <t>Japan.NNCD.1840.giaotiep</t>
  </si>
  <si>
    <t>http://ldp.ink/nncdnhatban_HN</t>
  </si>
  <si>
    <t>Europe.giaotiep.P479</t>
  </si>
  <si>
    <t>Europe.P479.1840.giaotiep</t>
  </si>
  <si>
    <t>Australia.giaotiep.NNCD</t>
  </si>
  <si>
    <t>Australia.NNCD.2045.giaotiep</t>
  </si>
  <si>
    <t>Japan.giaotiep.P483</t>
  </si>
  <si>
    <t>Japan.P483.1840.giaotiep</t>
  </si>
  <si>
    <t>http://ldp.ink/NNCDUC_HN</t>
  </si>
  <si>
    <t>Philippines.giaotiep.NNCD</t>
  </si>
  <si>
    <t>Philippines.NNCD.2045.giaotiep</t>
  </si>
  <si>
    <t>ALL.giaotiep.P484</t>
  </si>
  <si>
    <t>ALL.P484.1840.giaotiep</t>
  </si>
  <si>
    <t>Europe.giaotiep.M600</t>
  </si>
  <si>
    <t>ALL.giaotiep.P485</t>
  </si>
  <si>
    <t>ALL.P485.1840.giaotiep</t>
  </si>
  <si>
    <t>Japan.M736.1845.giaotiep</t>
  </si>
  <si>
    <t>HoaKy.hoctienganhgiaotiep</t>
  </si>
  <si>
    <t>tieude1</t>
  </si>
  <si>
    <t>Japan.giaotiep.P522</t>
  </si>
  <si>
    <t>nam.patado</t>
  </si>
  <si>
    <t>Japan.P522.1840.giaotiep</t>
  </si>
  <si>
    <t>PTATTTD</t>
  </si>
  <si>
    <t>Japan.giaotiep.P561</t>
  </si>
  <si>
    <t>Japan.P561.1840.giaotiep</t>
  </si>
  <si>
    <t>ALL.giaotiep.M264.1845.giaotiep</t>
  </si>
  <si>
    <t>Hoaky.giaotiep.CDKL</t>
  </si>
  <si>
    <t>Europe.giaotiep.P562</t>
  </si>
  <si>
    <t>Europe.P562.1840.giaotiep</t>
  </si>
  <si>
    <t>Europe.giaotiep.M772</t>
  </si>
  <si>
    <t>Europe.M772.1845.giaotiep</t>
  </si>
  <si>
    <t>ALL.giaotiep.P563</t>
  </si>
  <si>
    <t>ALL.P563.1840.giaotiep</t>
  </si>
  <si>
    <t>Japan.giaotiep.H</t>
  </si>
  <si>
    <t>Japan.H.1840.giaotiep</t>
  </si>
  <si>
    <t>Europe.giaotiep.P684</t>
  </si>
  <si>
    <t>Europe.P684.1840.giaotiep</t>
  </si>
  <si>
    <t>https://tinyurl.com/tieng-anh-giao-tiep-M772</t>
  </si>
  <si>
    <t>http://ldp.ink/JH_NHN</t>
  </si>
  <si>
    <t>Taiwan.giaotiep.H</t>
  </si>
  <si>
    <t>Taiwan.H.1840.giaotiep</t>
  </si>
  <si>
    <t>Japan.giaotiep.P685</t>
  </si>
  <si>
    <t>Japan.P685.1840.giaotiep</t>
  </si>
  <si>
    <t>Europe.giaotiep.M789</t>
  </si>
  <si>
    <t>Europe.M789.1845.giaotiep</t>
  </si>
  <si>
    <t>http://ldp.ink/JH_taiwan</t>
  </si>
  <si>
    <t>ALL.giaotiep.P686</t>
  </si>
  <si>
    <t>ALL.P686.1840.giaotiep</t>
  </si>
  <si>
    <t>Taiwan.giaotiep.note3</t>
  </si>
  <si>
    <t>Taiwan.note3.1840.giaotiep</t>
  </si>
  <si>
    <t>https://tinyurl.com/tieng-anh-giao-tiep-M789</t>
  </si>
  <si>
    <t>https://patado.edu.vn/tienganhgiaotiep1_hn/</t>
  </si>
  <si>
    <t>Europe.giaotiep.M796</t>
  </si>
  <si>
    <t>Europe.M796.2045.giaotiep</t>
  </si>
  <si>
    <t>Europe.giaotiep.P700</t>
  </si>
  <si>
    <t>Europe.P700.1840.giaotiep</t>
  </si>
  <si>
    <t>http://ldp.ink/note3_taiwan</t>
  </si>
  <si>
    <t>Japan.giaotiep.tb</t>
  </si>
  <si>
    <t>Japan.tb.1840.giaotiep</t>
  </si>
  <si>
    <t>https://tinyurl.com/tieng-anh-giao-tiep-m796</t>
  </si>
  <si>
    <t>ALL.giaotiep.P701</t>
  </si>
  <si>
    <t>ALL.P701.1840.giaotiep</t>
  </si>
  <si>
    <t>ALL.giaotiep.M756</t>
  </si>
  <si>
    <t>ALL.giaotiep.M756.1845.giaotiep</t>
  </si>
  <si>
    <t>Japan.giaotiep.tienganh</t>
  </si>
  <si>
    <t>Hoctienganh</t>
  </si>
  <si>
    <t>http://ldp.ink/tb_japan</t>
  </si>
  <si>
    <t>ALL.giaotiep.P702</t>
  </si>
  <si>
    <t>ALL.P702.1840.giaotiep</t>
  </si>
  <si>
    <t>https://tinyurl.com/m758-tieng-anh-0nline</t>
  </si>
  <si>
    <t>Taiwan.giaotiep.chungchihot</t>
  </si>
  <si>
    <t>Taiwan.chungchihot.1840.giaotiep</t>
  </si>
  <si>
    <t>Hoctienganh11</t>
  </si>
  <si>
    <t>Japan.giaotiep.M758</t>
  </si>
  <si>
    <t>Japan.M758.1845.giaotiep</t>
  </si>
  <si>
    <t>Japan.giaotiep.P703</t>
  </si>
  <si>
    <t>Japan.P703.1840.giaotiep</t>
  </si>
  <si>
    <t>http://ldp.ink/chungchi_dailoan</t>
  </si>
  <si>
    <t>https://tinyurl.com/M758-tieng-anh-online</t>
  </si>
  <si>
    <t>Tienganhtructuyen</t>
  </si>
  <si>
    <t>ALL.giaotiep.P716</t>
  </si>
  <si>
    <t>ALL.P716.1840.giaotiep</t>
  </si>
  <si>
    <t>KoreaSouth.giaotiep.chungchihot</t>
  </si>
  <si>
    <t>KoreaSouth.chungchihot.1838.giaotiep</t>
  </si>
  <si>
    <t>Europe.giaotiep.M734</t>
  </si>
  <si>
    <t>Europe.M734.1845.giaotiep</t>
  </si>
  <si>
    <t>ALL.giaotiep.P717</t>
  </si>
  <si>
    <t>ALL.P717.1840.giaotiep</t>
  </si>
  <si>
    <t>Tienganhquamang</t>
  </si>
  <si>
    <t>http://ldp.ink/chungchi_hanquoc</t>
  </si>
  <si>
    <t>https://tinyurl.com/M734-tieng-anh-online</t>
  </si>
  <si>
    <t>KoreaSouth.giaotiep.tbphoto</t>
  </si>
  <si>
    <t>KoreaSouth.tbphoto.1838.giaotiep</t>
  </si>
  <si>
    <t>Tienganhonline</t>
  </si>
  <si>
    <t>Europe.giaotiep.M632</t>
  </si>
  <si>
    <t>Europe.M632.2045.giaotiep</t>
  </si>
  <si>
    <t>Japan.giaotiep.P718</t>
  </si>
  <si>
    <t>Japan.P718.1840.giaotiep</t>
  </si>
  <si>
    <t>https://tinyurl.com/M632-tieng-anh-online</t>
  </si>
  <si>
    <t>Tienganhonline11</t>
  </si>
  <si>
    <t>http://ldp.ink/tbpht_hanquoc</t>
  </si>
  <si>
    <t>Europe.giaotiep.M742</t>
  </si>
  <si>
    <t>Europe.M742.2045.giaotiep</t>
  </si>
  <si>
    <t>Hoconline</t>
  </si>
  <si>
    <t>Taiwan.giaotiep.tbphoto</t>
  </si>
  <si>
    <t>Taiwan.tbphoto.1840.giaotiep</t>
  </si>
  <si>
    <t>https://tinyurl.com/M742-tieng-anh-online</t>
  </si>
  <si>
    <t>Japan.giaotiep.P776</t>
  </si>
  <si>
    <t>Japan.P776.1840.giaotiep</t>
  </si>
  <si>
    <t>Japan.giaotiep.M774</t>
  </si>
  <si>
    <t>Japan.M774.1845.giaotiep</t>
  </si>
  <si>
    <t>Hoconline11</t>
  </si>
  <si>
    <t>http://ldp.ink/tbpht_dailoan</t>
  </si>
  <si>
    <t>Europe.giaotiep.P777</t>
  </si>
  <si>
    <t>Europe.P777.1840.giaotiep</t>
  </si>
  <si>
    <t>UnitedStates.giaotiep.tbphoto</t>
  </si>
  <si>
    <t>UnitedStates.tbphoto.2045.giaotiep</t>
  </si>
  <si>
    <t>https://tinyurl.com/M774-tieng-anh-online</t>
  </si>
  <si>
    <t>Hocgiaotieponline</t>
  </si>
  <si>
    <t>ALL.giaotiep.P778</t>
  </si>
  <si>
    <t>ALL.P778.1840.giaotiep</t>
  </si>
  <si>
    <t>http://ldp.ink/tbpht_hoaky</t>
  </si>
  <si>
    <t>Loponline</t>
  </si>
  <si>
    <t>Japan.giaotiep.tbphoto</t>
  </si>
  <si>
    <t>Japan.tbphoto.1840.giaotiep</t>
  </si>
  <si>
    <t>ALL.giaotiep.P795</t>
  </si>
  <si>
    <t>ALL.P795.1840.giaotiep</t>
  </si>
  <si>
    <t>Khoagiaotieponline</t>
  </si>
  <si>
    <t>http://ldp.ink/tbpht_japan</t>
  </si>
  <si>
    <t>Australia.giaotiep.tbphoto</t>
  </si>
  <si>
    <t>Australia.tbphoto.2045.giaotiep</t>
  </si>
  <si>
    <t>https://tinyurl.com/M774-tieng-anh-online-2</t>
  </si>
  <si>
    <t>ALL.giaotiep.P796</t>
  </si>
  <si>
    <t>Trungtamonline</t>
  </si>
  <si>
    <t>ALL.P796.1840.giaotiep</t>
  </si>
  <si>
    <t>ALL.giaotiep.M774</t>
  </si>
  <si>
    <t>ALL.giaotiep.M774.1845.giaotiep</t>
  </si>
  <si>
    <t>http://ldp.ink/tbpht_uc</t>
  </si>
  <si>
    <t>Australia.giaotiep.chungchihot</t>
  </si>
  <si>
    <t>Australia.chungchihot.2045.giaotiep</t>
  </si>
  <si>
    <t>Japan.giaotiep.P797</t>
  </si>
  <si>
    <t>Japan.P797.1840.giaotiep</t>
  </si>
  <si>
    <t>Europe.giaotiep.M774</t>
  </si>
  <si>
    <t>Europe.M774.1845.giaotiep</t>
  </si>
  <si>
    <t>Trungtamhoconline</t>
  </si>
  <si>
    <t>http://ldp.ink/chungchi_uc</t>
  </si>
  <si>
    <t>https://tinyurl.com/774-tieng-anh-online</t>
  </si>
  <si>
    <t>Europe.giaotiep.P798</t>
  </si>
  <si>
    <t>Europe.P798.1840.giaotiep</t>
  </si>
  <si>
    <t>Hocphionline</t>
  </si>
  <si>
    <t>ALL.giaotiep.M701</t>
  </si>
  <si>
    <t>Canada.giaotiep.tbphoto</t>
  </si>
  <si>
    <t>ALL.giaotiep.M701.1840.giaotiep</t>
  </si>
  <si>
    <t>Canada.tbphoto.2045.giaotiep</t>
  </si>
  <si>
    <t>ALL.giaotiep.P882</t>
  </si>
  <si>
    <t>ALL.P882.1840.giaotiep</t>
  </si>
  <si>
    <t>https://tinyurl.com/M701-tieng-anh-online</t>
  </si>
  <si>
    <t>http://ldp.ink/tbpht_canada</t>
  </si>
  <si>
    <t>Tienganhgiaotiep</t>
  </si>
  <si>
    <t>https://www.anhngupatado.edu.vn/seahn</t>
  </si>
  <si>
    <t>https://patado.edu.vn/gtjapan_nhn3/</t>
  </si>
  <si>
    <t>Japan.giaotiep.P883</t>
  </si>
  <si>
    <t>Japan.P883.1840.giaotiep</t>
  </si>
  <si>
    <t>Tienganhgiaotiep11</t>
  </si>
  <si>
    <t>Europe.giaotiep.P884</t>
  </si>
  <si>
    <t>Europe.P884.1840.giaotiep</t>
  </si>
  <si>
    <t>KoreaSouth.giaotiep.kvjh</t>
  </si>
  <si>
    <t>Hoctienganhgiaotiep</t>
  </si>
  <si>
    <t>KoreaSouth.kvjh.1838.giaotiep</t>
  </si>
  <si>
    <t>ALL.giaotiep.P896</t>
  </si>
  <si>
    <t>ALL.P896.1840.giaotiep</t>
  </si>
  <si>
    <t>http://ldp.ink/kvjh_hanquoc</t>
  </si>
  <si>
    <t>Hocgiaotiepcoban</t>
  </si>
  <si>
    <t>Taiwan.giaotiep.kvjh</t>
  </si>
  <si>
    <t>Taiwan.kvjh.1838.giaotiep</t>
  </si>
  <si>
    <t>Japan.giaotiep.P897</t>
  </si>
  <si>
    <t>Japan.P897.1840.giaotiep</t>
  </si>
  <si>
    <t>Hocgiaotiepcaptoc</t>
  </si>
  <si>
    <t>http://ldp.ink/kvjh_taiwan</t>
  </si>
  <si>
    <t>Japan.giaotiep.P968</t>
  </si>
  <si>
    <t>Japan.P968.1840.giaotiep</t>
  </si>
  <si>
    <t>ALL.giaotiep.kvjh</t>
  </si>
  <si>
    <t>ALL.kvjh.1838.giaotiep</t>
  </si>
  <si>
    <t>Europe.giaotiep.P969</t>
  </si>
  <si>
    <t>Europe.P969.1840.giaotiep</t>
  </si>
  <si>
    <t>http://ldp.ink/kvjh_ALL</t>
  </si>
  <si>
    <t>Dangkyhocgiaotiep</t>
  </si>
  <si>
    <t>ALL.giaotiep.CDKL</t>
  </si>
  <si>
    <t>tieude1ALL</t>
  </si>
  <si>
    <t>ALL.giaotiep.P970</t>
  </si>
  <si>
    <t>ALL.P970.1840.giaotiep</t>
  </si>
  <si>
    <t>Lotrinhgiaotiep</t>
  </si>
  <si>
    <t>Europe.giaotiep.P971</t>
  </si>
  <si>
    <t>Europe.P971.1840.giaotiep</t>
  </si>
  <si>
    <t>KoreaSouth.giaotiep.JH2</t>
  </si>
  <si>
    <t>KoreaSouth.JH2.1838.giaotiep</t>
  </si>
  <si>
    <t>http://ldp.ink/JH2_hanquoc</t>
  </si>
  <si>
    <t>Lopgiaotiep</t>
  </si>
  <si>
    <t>Taiwan.giaotiep.JH2</t>
  </si>
  <si>
    <t>Japan.giaotiep.P972</t>
  </si>
  <si>
    <t>Taiwan.JH2.1838.giaotiep</t>
  </si>
  <si>
    <t>Japan.P972.1840.giaotiep</t>
  </si>
  <si>
    <t>http://ldp.ink/JH2_dailoan</t>
  </si>
  <si>
    <t>Khoagiaotiep</t>
  </si>
  <si>
    <t>ALL.giaotiep.P973</t>
  </si>
  <si>
    <t>ALL.P973.1840.giaotiep</t>
  </si>
  <si>
    <t>ALL.giaotiep.JH2</t>
  </si>
  <si>
    <t>ALL.JH2.2045.giaotiep</t>
  </si>
  <si>
    <t>Europe.giaotiep.P974</t>
  </si>
  <si>
    <t>http://ldp.ink/JH2_ALL</t>
  </si>
  <si>
    <t>Europe.P974.1840.giaotiep</t>
  </si>
  <si>
    <t>Trungtamgiaotiep</t>
  </si>
  <si>
    <t>UnitedStates.giaotiep.JH2</t>
  </si>
  <si>
    <t>UnitedStates.JH2.2045.giaotiep</t>
  </si>
  <si>
    <t>http://ldp.ink/JH2_hoaky</t>
  </si>
  <si>
    <t>Japan.giaotiep.P975</t>
  </si>
  <si>
    <t>Japan.P975.1840.giaotiep</t>
  </si>
  <si>
    <t>Hocphigiaotiep</t>
  </si>
  <si>
    <t>Japan.giaotiep.JH2</t>
  </si>
  <si>
    <t>Japan.JH2.1840.giaotiep</t>
  </si>
  <si>
    <t>http://ldp.ink/JH2_nhatban</t>
  </si>
  <si>
    <t>UnitedStates.giaotiep.molopmy</t>
  </si>
  <si>
    <t>UnitedStates.molopmy.2045.giaotiep</t>
  </si>
  <si>
    <t>ALL.giaotiep.P976</t>
  </si>
  <si>
    <t>Tienganhngbatdau</t>
  </si>
  <si>
    <t>ALL.P976.1840.giaotiep</t>
  </si>
  <si>
    <t>http://ldp.ink/molop11_hoaky</t>
  </si>
  <si>
    <t>Japan.giaotiep.molopnhat</t>
  </si>
  <si>
    <t>Japan.molopnhat.1840.giaotiep</t>
  </si>
  <si>
    <t>http://ldp.ink/molop_nhat</t>
  </si>
  <si>
    <t>Tienganhngdilam</t>
  </si>
  <si>
    <t>Taiwan.giaotiep.molopdailoan</t>
  </si>
  <si>
    <t>Taiwan.molopdailoan.1840.giaotiep</t>
  </si>
  <si>
    <t>http://ldp.ink/molop_dailoan</t>
  </si>
  <si>
    <t>Tienganhngmatgoc</t>
  </si>
  <si>
    <t>KoreaSouth.giaotiep.molopkorea</t>
  </si>
  <si>
    <t>KoreaSouth.molopkorea.1840.giaotiep</t>
  </si>
  <si>
    <t>http://ldp.ink/molop_korea</t>
  </si>
  <si>
    <t>https://patado.edu.vn/khoa-giao-tiep-unitedstates</t>
  </si>
  <si>
    <t>Philippines.giaotiep.molopphilipin</t>
  </si>
  <si>
    <t>Philippines.molopphilipin.1838.giaotiep</t>
  </si>
  <si>
    <t>http://ldp.ink/molop_philippines</t>
  </si>
  <si>
    <t>Philippines.giaotiep.JH2</t>
  </si>
  <si>
    <t>Philippines.JH2.1838.giaotiep</t>
  </si>
  <si>
    <t>http://ldp.ink/JH2_philippines</t>
  </si>
  <si>
    <t>Europe.giaotiep.molopchauau</t>
  </si>
  <si>
    <t>Europe.molopchauau.2045.giaotiep</t>
  </si>
  <si>
    <t>https://tinyurl.com/molopchauaueu</t>
  </si>
  <si>
    <t>Taiwan.giaotiep.oanhvtv</t>
  </si>
  <si>
    <t>Taiwan.oanhvtv.1840.giaotiep</t>
  </si>
  <si>
    <t>http://ldp.ink/vtv_dailoan</t>
  </si>
  <si>
    <t>Japan.giaotiep.oanhvtv</t>
  </si>
  <si>
    <t>Japan.oanhvtv.1840.giaotiep</t>
  </si>
  <si>
    <t>http://ldp.ink/VTV_japan</t>
  </si>
  <si>
    <t>KoreaSouth.giaotiep.oanhvtv</t>
  </si>
  <si>
    <t>KoreaSouth.oanhvtv.1840.giaotiep</t>
  </si>
  <si>
    <t>http://ldp.ink/VTV_hanquoc</t>
  </si>
  <si>
    <t>Australia.giaotiep.oanhvtv</t>
  </si>
  <si>
    <t>Australia.oanhvtv.1843.giaotiep</t>
  </si>
  <si>
    <t>http://ldp.ink/vtv_australia</t>
  </si>
  <si>
    <t>Test</t>
  </si>
  <si>
    <t>UnitedStates.giaotiep.oanhvtv</t>
  </si>
  <si>
    <t>UnitedStates.oanhvtv.2045.giaotiep</t>
  </si>
  <si>
    <t>http://ldp.ink/vtv_hoaky</t>
  </si>
  <si>
    <t>Europe.giaotiep.oanhvtv</t>
  </si>
  <si>
    <t>Europe.oanhvtv.1843.giaotiep</t>
  </si>
  <si>
    <t>Home</t>
  </si>
  <si>
    <t>Khoatienganhonline</t>
  </si>
  <si>
    <t>http://ldp.ink/VTV_EUROPE</t>
  </si>
  <si>
    <t>Taiwan.giaotiep.bvb</t>
  </si>
  <si>
    <t>Taiwan.bvb.1840.giaotiep</t>
  </si>
  <si>
    <t>https://patadovietnam.edu.vn/blog/ielts-writting/</t>
  </si>
  <si>
    <t>http://ldp.ink/bvb_taiwan</t>
  </si>
  <si>
    <t>Writing</t>
  </si>
  <si>
    <t>Content1</t>
  </si>
  <si>
    <t>KoreaSouth.giaotiep.bvb</t>
  </si>
  <si>
    <t>KoreaSouth.bvb.1838.giaotiep</t>
  </si>
  <si>
    <t>https://patadovietnam.edu.vn/blog/sach-luyen-thi-ielts/</t>
  </si>
  <si>
    <t>http://ldp.ink/BVB_hanquoc</t>
  </si>
  <si>
    <t>Japan.giaotiep.bvb</t>
  </si>
  <si>
    <t>Japan.bvb.1840.giaotiep</t>
  </si>
  <si>
    <t>SachIELTS</t>
  </si>
  <si>
    <t>http://ldp.ink/BVB_japan</t>
  </si>
  <si>
    <t>UnitedStates.giaotiep.bvb</t>
  </si>
  <si>
    <t>UnitedStates.bvb.2045.giaotiep</t>
  </si>
  <si>
    <t>http://ldp.ink/BVB_hoaky</t>
  </si>
  <si>
    <t>16Thi</t>
  </si>
  <si>
    <t>Content</t>
  </si>
  <si>
    <t>Australia.giaotiep.bvb</t>
  </si>
  <si>
    <t>Australia.bvb.2045.giaotiep</t>
  </si>
  <si>
    <t>http://ldp.ink/BVB_australia</t>
  </si>
  <si>
    <t>Taiwan.giaotiep.MGDTD</t>
  </si>
  <si>
    <t>Taiwan.MGDTD.1840.giaotiep</t>
  </si>
  <si>
    <t>Tips</t>
  </si>
  <si>
    <t>http://ldp.ink/MGDTD_taiwan</t>
  </si>
  <si>
    <t>Japan.giaotiep.MGDTD</t>
  </si>
  <si>
    <t>Japan.MGDTD.1840.giaotiep</t>
  </si>
  <si>
    <t>http://ldp.ink/MGDTD_nhatban</t>
  </si>
  <si>
    <t>WritingCourse</t>
  </si>
  <si>
    <t>KoreaSouth.giaotiep.MGDTD</t>
  </si>
  <si>
    <t>KoreaSouth.MGDTD.1840.giaotiep</t>
  </si>
  <si>
    <t>http://ldp.ink/MGDTD_hanquoc</t>
  </si>
  <si>
    <t>https://patadovietnam.edu.vn/blog/ielts-listening/lo-trinh-hoc-ielts-listening/</t>
  </si>
  <si>
    <t>UnitedStates.giaotiep.MGDTD</t>
  </si>
  <si>
    <t>UnitedStates.MGDTD.2045.giaotiep</t>
  </si>
  <si>
    <t>Listening</t>
  </si>
  <si>
    <t>http://ldp.ink/MGDTD_hoaky</t>
  </si>
  <si>
    <t>KoreaSouth.giaotiep.TLVGTN</t>
  </si>
  <si>
    <t>https://patadovietnam.edu.vn/blog/vocab-grammar/chuc-tet-tieng-anh/</t>
  </si>
  <si>
    <t>KoreaSouth.TLVGTN.1840.giaotiep</t>
  </si>
  <si>
    <t>30loichuc</t>
  </si>
  <si>
    <t>http://ldp.ink/TLVGTN_hanquoc</t>
  </si>
  <si>
    <t>Taiwan.giaotiep.TLVGTN</t>
  </si>
  <si>
    <t>Taiwan.TLVGTN.1840.giaotiep</t>
  </si>
  <si>
    <t>http://ldp.ink/TLVGTN_taiwan</t>
  </si>
  <si>
    <t>Japan.giaotiep.TLVGTN</t>
  </si>
  <si>
    <t>Japan.TLVGTN.1840.giaotiep</t>
  </si>
  <si>
    <t>tuvungcoban</t>
  </si>
  <si>
    <t>http://ldp.ink/TLVDKN_japan</t>
  </si>
  <si>
    <t>UnitedStates.giaotiep.TLVGTN</t>
  </si>
  <si>
    <t>UnitedStates.TLVGTN.1840.giaotiep</t>
  </si>
  <si>
    <t>Vocabulary</t>
  </si>
  <si>
    <t>http://ldp.ink/TLVGTN_hoaky</t>
  </si>
  <si>
    <t>KoreaSouth.giaotiep.daura</t>
  </si>
  <si>
    <t>KoreaSouth.daura.1840.giaotiep</t>
  </si>
  <si>
    <t>http://ldp.ink/daura_hanquoc</t>
  </si>
  <si>
    <t>Taiwan.giaotiep.daura</t>
  </si>
  <si>
    <t>Taiwan.daura.1840.giaotiep</t>
  </si>
  <si>
    <t>Kinhnghiemthi</t>
  </si>
  <si>
    <t>Nail</t>
  </si>
  <si>
    <t>http://ldp.ink/daura_taiwan</t>
  </si>
  <si>
    <t>Japan.giaotiep.daura</t>
  </si>
  <si>
    <t>Japan.daura.1840.giaotiep</t>
  </si>
  <si>
    <t>https://patadovietnam.edu.vn/test-trinh-do/kiem-tra-trinh-do-tu-vung-tieng-anh-01/</t>
  </si>
  <si>
    <t>Thiquoctich</t>
  </si>
  <si>
    <t>Testvocab</t>
  </si>
  <si>
    <t>http://ldp.ink/daura_japan</t>
  </si>
  <si>
    <t>https://patadovietnam.edu.vn/khoa-hoc-ielts-patado/</t>
  </si>
  <si>
    <t>https://www.anhngupatado.edu.vn/patado_nhan_tai_lieu_mien_phi</t>
  </si>
  <si>
    <t>ALL.ielts.tienganh</t>
  </si>
  <si>
    <t>Hocielts</t>
  </si>
  <si>
    <t>Booster</t>
  </si>
  <si>
    <t>Emailnuture29/9</t>
  </si>
  <si>
    <t>Patadoadmin</t>
  </si>
  <si>
    <t>Hoctienganhielts</t>
  </si>
  <si>
    <t>Tuloai</t>
  </si>
  <si>
    <t>UnitedStates.giaotiep.TT1</t>
  </si>
  <si>
    <t>UnitedStates.TT1.1845.giaotiep</t>
  </si>
  <si>
    <t>Hocthiielts</t>
  </si>
  <si>
    <t>http://ldp.ink/TT1_hoaky</t>
  </si>
  <si>
    <t>Ieltsonline</t>
  </si>
  <si>
    <t>Oxfordwword</t>
  </si>
  <si>
    <t>Taiwan.giaotiep.TT1</t>
  </si>
  <si>
    <t>Taiwan.TT1.1840.giaotiep</t>
  </si>
  <si>
    <t>Ieltsmatgoc</t>
  </si>
  <si>
    <t>https://www.patado.net/tettansuu</t>
  </si>
  <si>
    <t>Tettansuu</t>
  </si>
  <si>
    <t>http://ldp.ink/TT1_taiwan</t>
  </si>
  <si>
    <t>Lotrinhhocielts</t>
  </si>
  <si>
    <t>KoreaSouth.giaotiep.TT1</t>
  </si>
  <si>
    <t>KoreaSouth.TT1.1840.giaotiep</t>
  </si>
  <si>
    <t>Khoahocielts</t>
  </si>
  <si>
    <t>Cautrucbaithi</t>
  </si>
  <si>
    <t>http://ldp.ink/TT1_hanquoc</t>
  </si>
  <si>
    <t>Luyenielts</t>
  </si>
  <si>
    <t>Japan.giaotiep.TT1</t>
  </si>
  <si>
    <t>Japan.TT1.1840.giaotiep</t>
  </si>
  <si>
    <t>IeltsStrategies</t>
  </si>
  <si>
    <t>Lopielts</t>
  </si>
  <si>
    <t>http://ldp.ink/TT1_japan</t>
  </si>
  <si>
    <t>Ielts1kem1</t>
  </si>
  <si>
    <t>UnitedStates.giaotiep.nghoa</t>
  </si>
  <si>
    <t>UnitedStates.nghoa.1840.giaotiep</t>
  </si>
  <si>
    <t>Idioms</t>
  </si>
  <si>
    <t>Trungtamtienganhielts</t>
  </si>
  <si>
    <t>http://ldp.ink/nghoa_hoaky</t>
  </si>
  <si>
    <t>tienganhgiaotiepnails</t>
  </si>
  <si>
    <t>test1</t>
  </si>
  <si>
    <t>Taiwan.giaotiep.nghoa</t>
  </si>
  <si>
    <t>Trungtamhocielts</t>
  </si>
  <si>
    <t>Taiwan.nghoa.1840.giaotiep</t>
  </si>
  <si>
    <t>nails2</t>
  </si>
  <si>
    <t>http://ldp.ink/nghoa_taiwan</t>
  </si>
  <si>
    <t>Trungtamielts</t>
  </si>
  <si>
    <t>KoreaSouth.giaotiep.nghoa</t>
  </si>
  <si>
    <t>KoreaSouth.nghoa.1840.giaotiep</t>
  </si>
  <si>
    <t>Nails3</t>
  </si>
  <si>
    <t>https://patadovietnam.edu.vn/khoa-giao-tiep-cho-nguoi-viet-tai-han-quoc/</t>
  </si>
  <si>
    <t>http://ldp.ink/NGHOA_hanquoc</t>
  </si>
  <si>
    <t>KoreaSouth.giaotiep.tienganh</t>
  </si>
  <si>
    <t>luyenthiquoctich</t>
  </si>
  <si>
    <t>quoctich1</t>
  </si>
  <si>
    <t>Japan.giaotiep.nghoa</t>
  </si>
  <si>
    <t>Japan.nghoa.1840.giaotiep</t>
  </si>
  <si>
    <t>http://ldp.ink/NGHOA_japan</t>
  </si>
  <si>
    <t>Inboxpage</t>
  </si>
  <si>
    <t>Japan.giaotiep.tuhoc</t>
  </si>
  <si>
    <t>Japan.tuhoc.1840.giaotiep</t>
  </si>
  <si>
    <t>http://ldp.ink/tuhoc_nhatban</t>
  </si>
  <si>
    <t>Taiwan.giaotiep.tuhoc</t>
  </si>
  <si>
    <t>Taiwan.tuhoc.1840.giaotiep</t>
  </si>
  <si>
    <t>http://ldp.ink/tuhoc_dailoan</t>
  </si>
  <si>
    <t>KoreaSouth.giaotiep.tuhoc</t>
  </si>
  <si>
    <t>KoreaSouth.tuhoc.1840.giaotiep</t>
  </si>
  <si>
    <t>Australia.Giaotiep</t>
  </si>
  <si>
    <t>Australia.Video.none.Giaotiep</t>
  </si>
  <si>
    <t>Storytelling</t>
  </si>
  <si>
    <t>http://ldp.ink/tuhoc_hanquoc</t>
  </si>
  <si>
    <t>Philippines.giaotiep.tuhoc</t>
  </si>
  <si>
    <t>Philippines.tuhoc.1840.giaotiep</t>
  </si>
  <si>
    <t>Giaotiep</t>
  </si>
  <si>
    <t>http://ldp.ink/tuhoc_philippines</t>
  </si>
  <si>
    <t>Japan.giaotiep.ID28</t>
  </si>
  <si>
    <t>Japan.ID28.1840.giaotiep</t>
  </si>
  <si>
    <t>http://ldp.ink/VBVB_nhatban</t>
  </si>
  <si>
    <t>Taiwan.giaotiep.ID28</t>
  </si>
  <si>
    <t>Taiwan.ID28.1840.giaotiep</t>
  </si>
  <si>
    <t>http://ldp.ink/VBVB_taiwan</t>
  </si>
  <si>
    <t>KoreaSouth.giaotiep.ID28</t>
  </si>
  <si>
    <t>KoreaSouth.ID28.1840.giaotiep</t>
  </si>
  <si>
    <t>UnitedStates.Giaotiep</t>
  </si>
  <si>
    <t>UnitedStates.Video.none.Giaotiep</t>
  </si>
  <si>
    <t>http://ldp.ink/VBVB_hanquoc</t>
  </si>
  <si>
    <t>UnitedStates.giaotiep.ID28</t>
  </si>
  <si>
    <t>UnitedStates.ID28.1840.giaotiep</t>
  </si>
  <si>
    <t>http://ldp.ink/VBVB_hoaky</t>
  </si>
  <si>
    <t>Australia.giaotiep.ID28</t>
  </si>
  <si>
    <t>Australia.ID28.1840.giaotiep</t>
  </si>
  <si>
    <t>http://ldp.ink/VBVB_australia</t>
  </si>
  <si>
    <t>Canada.giaotiep.ID28</t>
  </si>
  <si>
    <t>Canada.ID28.1840.giaotiep</t>
  </si>
  <si>
    <t>http://ldp.ink/VBVB_canada</t>
  </si>
  <si>
    <t>Europe.giaotiep.ID28</t>
  </si>
  <si>
    <t>Europe.ID28.1840.giaotiep</t>
  </si>
  <si>
    <t>Nails4</t>
  </si>
  <si>
    <t>http://ldp.ink/VBVB_chauau</t>
  </si>
  <si>
    <t>Taiwan.giaotiep.ID29</t>
  </si>
  <si>
    <t>Taiwan.ID29.1840.giaotiep</t>
  </si>
  <si>
    <t>http://ldp.ink/CT3B_taiwan</t>
  </si>
  <si>
    <t>KoreaSouth.giaotiep.ID29</t>
  </si>
  <si>
    <t>KoreaSouth.ID29.1840.giaotiep</t>
  </si>
  <si>
    <t>http://ldp.ink/CT3B_hanquoc</t>
  </si>
  <si>
    <t>UnitedStates.giaotiep.ID29</t>
  </si>
  <si>
    <t>UnitedStates.ID29.1840.giaotiep</t>
  </si>
  <si>
    <t>Nails5</t>
  </si>
  <si>
    <t>http://ldp.ink/CT3B_hoaky</t>
  </si>
  <si>
    <t>Japan.giaotiep.ID29</t>
  </si>
  <si>
    <t>Japan.ID29.1840.giaotiep</t>
  </si>
  <si>
    <t>http://ldp.ink/CT3B_japan</t>
  </si>
  <si>
    <t>TuvungIELTS</t>
  </si>
  <si>
    <t>Japan.giaotiep.M48C20</t>
  </si>
  <si>
    <t>Japan.M48C20.1840.giaotiep</t>
  </si>
  <si>
    <t>NailsRMK</t>
  </si>
  <si>
    <t>http://ldp.ink/tbml_japan</t>
  </si>
  <si>
    <t>Taiwan.giaotiep.M48C20</t>
  </si>
  <si>
    <t>Taiwan.M48C20.1840.giaotiep</t>
  </si>
  <si>
    <t>VID</t>
  </si>
  <si>
    <t>VideoRMK</t>
  </si>
  <si>
    <t>VideoVTV</t>
  </si>
  <si>
    <t>http://ldp.ink/tbml_dailoan</t>
  </si>
  <si>
    <t>KoreaSouth.giaotiep.M48C20</t>
  </si>
  <si>
    <t>KoreaSouth.M48C20.1840.giaotiep</t>
  </si>
  <si>
    <t>H4Giaovien</t>
  </si>
  <si>
    <t>h4giaovien</t>
  </si>
  <si>
    <t>http://ldp.ink/tbml_hanquoc</t>
  </si>
  <si>
    <t>Nails6</t>
  </si>
  <si>
    <t>Philippines.giaotiep.M48C20</t>
  </si>
  <si>
    <t>Philippines.M48C20.1840.giaotiep</t>
  </si>
  <si>
    <t>Cambodia.Giaotiep</t>
  </si>
  <si>
    <t>Cambodia.Video.none.Giaotiep</t>
  </si>
  <si>
    <t>http://ldp.ink/tbml_philippines</t>
  </si>
  <si>
    <t>Australia.giaotiep.M48C20</t>
  </si>
  <si>
    <t>Australia.M48C20.1840.giaotiep</t>
  </si>
  <si>
    <t>Nails</t>
  </si>
  <si>
    <t>http://ldp.ink/tbml_australia</t>
  </si>
  <si>
    <t>UnitedStates.giaotiep.M48C20</t>
  </si>
  <si>
    <t>UnitedStates.M48C20.1840.giaotiep</t>
  </si>
  <si>
    <t>https://patado.edu.vn/khoa-tieng-anh-giao-tiep-dai-loan</t>
  </si>
  <si>
    <t>Videotrungtam</t>
  </si>
  <si>
    <t>Taiwan.giaotiep.tienganh</t>
  </si>
  <si>
    <t>http://ldp.ink/tbml_hoaky</t>
  </si>
  <si>
    <t>Japan.giaotiep.tnvb</t>
  </si>
  <si>
    <t>Japan.tnvb.1840.giaotiep</t>
  </si>
  <si>
    <t>https://patadovietnam.edu.vn/khoa-tieng-anh-giao-tiep-dai-loan/</t>
  </si>
  <si>
    <t>IELTS1</t>
  </si>
  <si>
    <t>http://ldp.ink/tnvb_japan</t>
  </si>
  <si>
    <t>Taiwan.giaotiep.tnvb</t>
  </si>
  <si>
    <t>Taiwan.tnvb.1840.giaotiep</t>
  </si>
  <si>
    <t>IELTSVN.Video.none.IELTS</t>
  </si>
  <si>
    <t>http://ldp.ink/tnvb_taiwan</t>
  </si>
  <si>
    <t>KoreaSouth.giaotiep.tnvb</t>
  </si>
  <si>
    <t>KoreaSouth.tnvb.1840.giaotiep</t>
  </si>
  <si>
    <t>Europe.Giaotiep</t>
  </si>
  <si>
    <t>CVSEurope.Videotrungtam.none.Giaotiep</t>
  </si>
  <si>
    <t>http://ldp.ink/tnvb_hanquoc</t>
  </si>
  <si>
    <t>UnitedStates.giaotiep.tnvb</t>
  </si>
  <si>
    <t>UnitedStates.tnvb.1840.giaotiep</t>
  </si>
  <si>
    <t>EuropeVideotrungtam.Video.none.Giaotiep</t>
  </si>
  <si>
    <t>http://ldp.ink/tnvb_hoaky</t>
  </si>
  <si>
    <t>Europe.giaotiep.tnvb</t>
  </si>
  <si>
    <t>Europe.tnvb.1840.giaotiep</t>
  </si>
  <si>
    <t>DenmarkFinland.Giaotiep</t>
  </si>
  <si>
    <t>DenmarkFinland.Video.none.Giaotiep</t>
  </si>
  <si>
    <t>http://ldp.ink/tnvb_europe</t>
  </si>
  <si>
    <t>Japan.giaotiep.CSBQ</t>
  </si>
  <si>
    <t>Japan.CSBQ.1840.giaotiep</t>
  </si>
  <si>
    <t>Japan.Giaotiep</t>
  </si>
  <si>
    <t>Japan.Video.none.Giaotiep</t>
  </si>
  <si>
    <t>http://ldp.ink/CSBQ_japan</t>
  </si>
  <si>
    <t>Taiwan.giaotiep.CSBQ</t>
  </si>
  <si>
    <t>Taiwan.CSBQ.1840.giaotiep</t>
  </si>
  <si>
    <t>Canada.Giaotiep</t>
  </si>
  <si>
    <t>Canada.Video.none.Giaotiep</t>
  </si>
  <si>
    <t>http://ldp.ink/CSBQ_taiwan</t>
  </si>
  <si>
    <t>Malaysia.Giaotiep</t>
  </si>
  <si>
    <t>Malaysia.Video.none.Giaotiep</t>
  </si>
  <si>
    <t>KoreaSouth.giaotiep.CSBQ</t>
  </si>
  <si>
    <t>KoreaSouth.CSBQ.1840.giaotiep</t>
  </si>
  <si>
    <t>Taiwan.Giaotiep</t>
  </si>
  <si>
    <t>Taiwan.Video.none.Giaotiep</t>
  </si>
  <si>
    <t>http://ldp.ink/CSBQ_hanquoc</t>
  </si>
  <si>
    <t>Canada.giaotiep.CSBQ</t>
  </si>
  <si>
    <t>Canada.CSBQ.1840.giaotiep</t>
  </si>
  <si>
    <t>Germany.Giaotiep</t>
  </si>
  <si>
    <t>Germany.Video.none.Giaotiep</t>
  </si>
  <si>
    <t>Singapore.Giaotiep</t>
  </si>
  <si>
    <t>http://ldp.ink/CSBQ_canada</t>
  </si>
  <si>
    <t>Singapore.Video.none.Giaotiep</t>
  </si>
  <si>
    <t>Philippines.giaotiep.CSBQ</t>
  </si>
  <si>
    <t>Philippines.CSBQ.1840.giaotiep</t>
  </si>
  <si>
    <t>http://ldp.ink/CSBQ_philippines</t>
  </si>
  <si>
    <t>Myanmar.Giaotiep</t>
  </si>
  <si>
    <t>Myanmar.Video.none.Giaotiep</t>
  </si>
  <si>
    <t>Japan.giaotiep.anhTK</t>
  </si>
  <si>
    <t>Japan.anhTK.1840.giaotiep</t>
  </si>
  <si>
    <t>http://ldp.ink/anhTK_japan</t>
  </si>
  <si>
    <t>Philippines.Giaotiep</t>
  </si>
  <si>
    <t>Philippines.Video.none.Giaotiep</t>
  </si>
  <si>
    <t>Taiwan.giaotiep.anhTK1</t>
  </si>
  <si>
    <t>Taiwan.anhTK1.1840.giaotiep</t>
  </si>
  <si>
    <t>http://ldp.ink/anhTK_taiwan</t>
  </si>
  <si>
    <t>UnitedStates.giaotiep.anhTK1</t>
  </si>
  <si>
    <t>UnitedStates.anhTK1.1840.giaotiep</t>
  </si>
  <si>
    <t>http://ldp.ink/anhtk_hoaky</t>
  </si>
  <si>
    <t>KoreaSouth.giaotiep.anhTK1</t>
  </si>
  <si>
    <t>KoreaSouth.anhTK1.1840.giaotiep</t>
  </si>
  <si>
    <t>Korea.Giaotiep</t>
  </si>
  <si>
    <t>Korea.Video.none.Giaotiep</t>
  </si>
  <si>
    <t>http://ldp.ink/anhtk_hanquoc</t>
  </si>
  <si>
    <t>Philippines.giaotiep.anhTK1</t>
  </si>
  <si>
    <t>Philippines.anhTK1.1840.giaotiep</t>
  </si>
  <si>
    <t>http://ldp.ink/anhtk_philippines</t>
  </si>
  <si>
    <t>Europe.giaotiep.anhTK</t>
  </si>
  <si>
    <t>Europe.anhTK.1840.giaotiep</t>
  </si>
  <si>
    <t>Spain.Giaotiep</t>
  </si>
  <si>
    <t>Spain.Video.none.Giaotiep</t>
  </si>
  <si>
    <t>http://ldp.ink/anhTK_europe</t>
  </si>
  <si>
    <t>UnitedKingdom.Giaotiep</t>
  </si>
  <si>
    <t>UnitedKingdom.Video.none.Giaotiep</t>
  </si>
  <si>
    <t>Canada.giaotiep.anhTK</t>
  </si>
  <si>
    <t>Canada.anhTK.1840.giaotiep</t>
  </si>
  <si>
    <t>CzechRepublic.Giaotiep</t>
  </si>
  <si>
    <t>CzechRepublic.Video.none.Giaotiep</t>
  </si>
  <si>
    <t>http://ldp.ink/anhTK_canada</t>
  </si>
  <si>
    <t>Europe.giaotiep.anhnote3</t>
  </si>
  <si>
    <t>Europe.anhnote3.1840.giaotiep</t>
  </si>
  <si>
    <t>http://ldp.ink/note3_europe</t>
  </si>
  <si>
    <t>Taiwan.giaotiep.anhLKG</t>
  </si>
  <si>
    <t>Taiwan.anhLKG.1840.giaotiep</t>
  </si>
  <si>
    <t>http://ldp.ink/LKG_taiwan</t>
  </si>
  <si>
    <t>ALLRMK.Giaotiep</t>
  </si>
  <si>
    <t>ALLRMK.Video.none.Giaotiep</t>
  </si>
  <si>
    <t>KoreaSouth.giaotiep.anhLKG</t>
  </si>
  <si>
    <t>KoreaSouth.anhLKG.1840.giaotiep</t>
  </si>
  <si>
    <t>http://ldp.ink/LKG_hanquoc</t>
  </si>
  <si>
    <t>Malaysia.giaotiep.anhLKG</t>
  </si>
  <si>
    <t>Malaysia.anhLKG.1840.giaotiep</t>
  </si>
  <si>
    <t>http://ldp.ink/LKG_malaysia</t>
  </si>
  <si>
    <t>Philippines.giaotiep.anhLKG</t>
  </si>
  <si>
    <t>Philippines.anhLKG.1840.giaotiep</t>
  </si>
  <si>
    <t>https://patadovietnam.edu.vn/khoa-tieng-anh-giao-tiep-chau-au/</t>
  </si>
  <si>
    <t>Europe.giaotiep.tienganh</t>
  </si>
  <si>
    <t>http://ldp.ink/LKG_philippines</t>
  </si>
  <si>
    <t>UnitedStates.giaotiep.anhLKG</t>
  </si>
  <si>
    <t>UnitedStates.anhLKG.1840.giaotiep</t>
  </si>
  <si>
    <t>Mexico.Giaotiep</t>
  </si>
  <si>
    <t>Mexico.Video.none.Giaotiep</t>
  </si>
  <si>
    <t>http://ldp.ink/LKG_hoaky</t>
  </si>
  <si>
    <t>NewZealand.Giaotiep</t>
  </si>
  <si>
    <t>NewZealand.Video.none.Giaotiep</t>
  </si>
  <si>
    <t>Taiwan.giaotiep.LTKT</t>
  </si>
  <si>
    <t>Taiwan.LTKT.1840.giaotiep</t>
  </si>
  <si>
    <t>http://ldp.ink/LTKT_taiwan</t>
  </si>
  <si>
    <t>India.Giaotiep</t>
  </si>
  <si>
    <t>India.Video.none.Giaotiep</t>
  </si>
  <si>
    <t>Philippines.giaotiep.LTKT</t>
  </si>
  <si>
    <t>Philippines.LTKT.1840.giaotiep</t>
  </si>
  <si>
    <t>UnitedArabEmirates.Giaotiep</t>
  </si>
  <si>
    <t>UnitedArabEmirates.Video.none.Giaotiep</t>
  </si>
  <si>
    <t>http://ldp.ink/LTKT_philippines</t>
  </si>
  <si>
    <t>UnitedStates.giaotiep.LTKT</t>
  </si>
  <si>
    <t>UnitedStates.LTKT.1840.giaotiep</t>
  </si>
  <si>
    <t>http://ldp.ink/LTKT_hoaky</t>
  </si>
  <si>
    <t>Vietnam.Giaotiep</t>
  </si>
  <si>
    <t>Vietnam.Video.none.Giaotiep</t>
  </si>
  <si>
    <t>Japan.giaotiep.M53C40</t>
  </si>
  <si>
    <t>Japan.M53C40.1840.giaotiep</t>
  </si>
  <si>
    <t>https://patadovietnam.edu.vn/merrychristmast/</t>
  </si>
  <si>
    <t>http://ldp.ink/M53C40_japan</t>
  </si>
  <si>
    <t>UnitedStates.giaotiep.VTS</t>
  </si>
  <si>
    <t>UnitedStates.VTS.1840.giaotiep</t>
  </si>
  <si>
    <t>http://ldp.ink/VTS_hoaky</t>
  </si>
  <si>
    <t>Japan.giaotiep.LTKT</t>
  </si>
  <si>
    <t>Japan.LTKT.1840.giaotiep</t>
  </si>
  <si>
    <t>http://ldp.ink/LTKT_nhatban</t>
  </si>
  <si>
    <t>Europe.giaotiep.LTKT</t>
  </si>
  <si>
    <t>Europe.LTKT.1840.giaotiep</t>
  </si>
  <si>
    <t>http://ldp.ink/LTKT_chauau</t>
  </si>
  <si>
    <t>Europe.giaotiep.M79C51</t>
  </si>
  <si>
    <t>Europe.M79C51.1840.giaotiep</t>
  </si>
  <si>
    <t>http://ldp.ink/M79C51_all</t>
  </si>
  <si>
    <t>Japan.giaotiep.M73C51</t>
  </si>
  <si>
    <t>Japan.M73C51.1840.giaotiep</t>
  </si>
  <si>
    <t>http://ldp.ink/M73C51_japan</t>
  </si>
  <si>
    <t>UnitedStates.giaotiep.M73C51</t>
  </si>
  <si>
    <t>UnitedStates.M73C51.1840.giaotiep</t>
  </si>
  <si>
    <t>https://patadovietnam.edu.vn/tetnhamdan/</t>
  </si>
  <si>
    <t>http://ldp.ink/M73C51_hoaky</t>
  </si>
  <si>
    <t>Taiwan.giaotiep.M85C57</t>
  </si>
  <si>
    <t>Taiwan.M85C57.1840.giaotiep</t>
  </si>
  <si>
    <t>http://ldp.ink/mlh_taiwan</t>
  </si>
  <si>
    <t>Philippines.giaotiep.M85C57</t>
  </si>
  <si>
    <t>Philippines.M85C57.1840.giaotiep</t>
  </si>
  <si>
    <t>http://ldp.ink/mlh_philippines</t>
  </si>
  <si>
    <t>Europe.giaotiep.M85C57</t>
  </si>
  <si>
    <t>Europe.M85C57.1840.giaotiep</t>
  </si>
  <si>
    <t>http://ldp.ink/mlh_europe</t>
  </si>
  <si>
    <t>ALL.giaotiep.M85C57</t>
  </si>
  <si>
    <t>ALL.M85C57.1840.giaotiep</t>
  </si>
  <si>
    <t>http://ldp.ink/mlh_all</t>
  </si>
  <si>
    <t>https://patadovietnam.edu.vn/khoagiaotiep_all/</t>
  </si>
  <si>
    <t>Japan.giaotiep.M82C54</t>
  </si>
  <si>
    <t>Japan.M82C54.1840.giaotiep</t>
  </si>
  <si>
    <t>HN.Giaotiep</t>
  </si>
  <si>
    <t>HN.Video.none.Giaotiep</t>
  </si>
  <si>
    <t>http://ldp.ink/KG_japan</t>
  </si>
  <si>
    <t>Japan.giaotiep.M89C52</t>
  </si>
  <si>
    <t>Japan.M89C52.1840.giaotiep</t>
  </si>
  <si>
    <t>http://ldp.ink/LT_japan</t>
  </si>
  <si>
    <t>HCM</t>
  </si>
  <si>
    <t>HCM.Giaotiep</t>
  </si>
  <si>
    <t>Taiwan.giaotiep.M82C54</t>
  </si>
  <si>
    <t>HCM.Video.none.Giaotiep</t>
  </si>
  <si>
    <t>Taiwan.M82C54.1840.giaotiep</t>
  </si>
  <si>
    <t>http://ldp.ink/ML_taiwan</t>
  </si>
  <si>
    <t>Europe.giaotiep.M35</t>
  </si>
  <si>
    <t>Europe.M35.1840.giaotiep</t>
  </si>
  <si>
    <t>http://ldp.ink/BA_europe</t>
  </si>
  <si>
    <t>Taiwan.giaotiep.M35</t>
  </si>
  <si>
    <t>Taiwan.M35.1840.giaotiep</t>
  </si>
  <si>
    <t>http://ldp.ink/BA_taiwan</t>
  </si>
  <si>
    <t>Japan.giaotiep.M35</t>
  </si>
  <si>
    <t>Japan.M35.1840.giaotiep</t>
  </si>
  <si>
    <t>http://ldp.ink/BA_japan</t>
  </si>
  <si>
    <t>Australia.giaotiep.M35</t>
  </si>
  <si>
    <t>Australia.M35.1840.giaotiep</t>
  </si>
  <si>
    <t>http://ldp.ink/BA_australia</t>
  </si>
  <si>
    <t>Taiwan.giaotiep.M36anhnote</t>
  </si>
  <si>
    <t>Taiwan.M36anhnote.1840.giaotiep</t>
  </si>
  <si>
    <t>https://patado.edu.vn/khoa-hoc-tieng-anh-giao-tiep-tai-uc</t>
  </si>
  <si>
    <t>http://ldp.ink/M36note_taiwan</t>
  </si>
  <si>
    <t>Australia.giaotiep.tienganh</t>
  </si>
  <si>
    <t>Japan.giaotiep.M98C77</t>
  </si>
  <si>
    <t>Japan.M98C77.1840.giaotiep</t>
  </si>
  <si>
    <t>Macao.Giaotiep</t>
  </si>
  <si>
    <t>Macao.Video.none.Giaotiep</t>
  </si>
  <si>
    <t>https://patadovietnam.edu.vn/khoa-hoc-tieng-anh-giao-tiep-tai-uc/</t>
  </si>
  <si>
    <t>http://ldp.ink/uudai_japan</t>
  </si>
  <si>
    <t>Thailand.Giaotiep</t>
  </si>
  <si>
    <t>Thailand.Video.none.Giaotiep</t>
  </si>
  <si>
    <t>UnitedStates.giaotiep.M98C77</t>
  </si>
  <si>
    <t>UnitedStates.M98C77.1840.giaotiep</t>
  </si>
  <si>
    <t>ALL.Giaotiep</t>
  </si>
  <si>
    <t>ALL.Video.none.Giaotiep</t>
  </si>
  <si>
    <t>http://ldp.ink/uudai_hoaky</t>
  </si>
  <si>
    <t>Taiwan.giaotiep.M98C78</t>
  </si>
  <si>
    <t>Taiwan.M98C77.1840.giaotiep</t>
  </si>
  <si>
    <t>http://ldp.ink/uudai_taiwan</t>
  </si>
  <si>
    <t>Vietnam.IELTS</t>
  </si>
  <si>
    <t>Vietnam.Video.none.IELTS</t>
  </si>
  <si>
    <t>Philippines.giaotiep.M98C78</t>
  </si>
  <si>
    <t>Philippines.M98C77.1840.giaotiep</t>
  </si>
  <si>
    <t>http://ldp.ink/uudai_philippines</t>
  </si>
  <si>
    <t>Taiwan.giaotiep.M96C56</t>
  </si>
  <si>
    <t>Taiwan.M96C56.1840.giaotiep</t>
  </si>
  <si>
    <t>Singapore.Giaotiep.Anhthongbao</t>
  </si>
  <si>
    <t>Singapore.Anhthongbao.none.Giaotiep</t>
  </si>
  <si>
    <t>http://ldp.ink/hoang_taiwan</t>
  </si>
  <si>
    <t>UnitedStates.Giaotiep.Anhthongbao</t>
  </si>
  <si>
    <t>UnitedStates.Anhthongbao.none.Giaotiep</t>
  </si>
  <si>
    <t>Japan.giaotiep.M94C77</t>
  </si>
  <si>
    <t>Japan.M94C77.1840.giaotiep</t>
  </si>
  <si>
    <t>Vietnam.Anhlotrinh.1835.IELTS</t>
  </si>
  <si>
    <t>http://ldp.ink/5KK_nhatban</t>
  </si>
  <si>
    <t>Philippines.giaotiep.M94C77</t>
  </si>
  <si>
    <t>Philippines.M94C77.1840.giaotiep</t>
  </si>
  <si>
    <t>UnitedKingdom.Giaotiep.Anhthongbao</t>
  </si>
  <si>
    <t>UnitedKingdom.Anhthongbao.1845.Giaotiep</t>
  </si>
  <si>
    <t>http://ldp.ink/5KK_philippines</t>
  </si>
  <si>
    <t>Argentina</t>
  </si>
  <si>
    <t>Argentina.Giaotiep.Videolophoc</t>
  </si>
  <si>
    <t>Argentina.Videolophoc.1845.Giaotiep</t>
  </si>
  <si>
    <t>Japan.giaotiep.M94C78</t>
  </si>
  <si>
    <t>Japan.M94C78.1840.giaotiep</t>
  </si>
  <si>
    <t>CzechRepublic.Giaotiep.Anhlotrinh</t>
  </si>
  <si>
    <t>CzechRepublic.Anhlotrinh.1845.Giaotiep</t>
  </si>
  <si>
    <t>http://ldp.ink/NDL_japan</t>
  </si>
  <si>
    <t>KoreaSouth.giaotiep.M97C65</t>
  </si>
  <si>
    <t>KoreaSouth.M97C65.1840.giaotiep</t>
  </si>
  <si>
    <t>http://ldp.ink/uudai_hanquoc</t>
  </si>
  <si>
    <t>Europe.giaotiep.M94C76</t>
  </si>
  <si>
    <t>Europe.M94C76.1840.giaotiep</t>
  </si>
  <si>
    <t>Korea.Giaotiep.Anhthongbao</t>
  </si>
  <si>
    <t>Korea.Anhthongbao.1845.Giaotiep</t>
  </si>
  <si>
    <t>Malaysia.Giaotiep.Anhlotrinh</t>
  </si>
  <si>
    <t>Malaysia.Anhlotrinh.1845.Giaotiep</t>
  </si>
  <si>
    <t>http://ldp.ink/5KK_chauau</t>
  </si>
  <si>
    <t>UnitedStates.giaotiep.M94C76</t>
  </si>
  <si>
    <t>UnitedStates.M94C76.1840.giaotiep</t>
  </si>
  <si>
    <t>Taiwan.Giaotiep.Anhlotrinh</t>
  </si>
  <si>
    <t>Taiwan.Anhlotrinh.1845.Giaotiep</t>
  </si>
  <si>
    <t>http://ldp.ink/ndl_hoaky</t>
  </si>
  <si>
    <t>Japan.giaotiep.M102C82</t>
  </si>
  <si>
    <t>Japan.M102C82.1840.giaotiep</t>
  </si>
  <si>
    <t>http://ldp.ink/lsst_japan</t>
  </si>
  <si>
    <t>Vietnam.IELTS.VideoIELTS</t>
  </si>
  <si>
    <t>Vietnam.VideoIELTS.1840.IELTS</t>
  </si>
  <si>
    <t>Philippines.giaotiep.5KK</t>
  </si>
  <si>
    <t>Philippines.5KK.1840.giaotiep</t>
  </si>
  <si>
    <t>Australia.Giaotiep.Anhthongbao</t>
  </si>
  <si>
    <t>Australia.Anhthongbao.1845.Giaotiep</t>
  </si>
  <si>
    <t>http://ldp.ink/KK_philippines</t>
  </si>
  <si>
    <t>Europe.giaotiep.M105C84</t>
  </si>
  <si>
    <t>Europe.M105C84.1840.giaotiep</t>
  </si>
  <si>
    <t>Europe.Giaotiep.Anhthongbao</t>
  </si>
  <si>
    <t>Europe.Anhthongbao.1845.Giaotiep</t>
  </si>
  <si>
    <t>http://ldp.ink/CH42_europe</t>
  </si>
  <si>
    <t>Japan.giaotiep.M103C84</t>
  </si>
  <si>
    <t>Japan.M103C84.1840.giaotiep</t>
  </si>
  <si>
    <t>http://ldp.ink/LMT_japan</t>
  </si>
  <si>
    <t>ALL.IELTS.VideoIELTS</t>
  </si>
  <si>
    <t>ALL.VideoIELTS.1845.IELTS</t>
  </si>
  <si>
    <t>Taiwan.giaotiep.M103C85</t>
  </si>
  <si>
    <t>Taiwan.M103C84.1840.giaotiep</t>
  </si>
  <si>
    <t>http://ldp.ink/LMT_taiwan</t>
  </si>
  <si>
    <t>Philippines.Giaotiep.Anhthongbao</t>
  </si>
  <si>
    <t>Philippines.Anhthongbao.1845.Giaotiep</t>
  </si>
  <si>
    <t>KoreaSouth.giaotiep.M103C86</t>
  </si>
  <si>
    <t>KoreaSouth.M103C84.1840.giaotiep</t>
  </si>
  <si>
    <t>http://ldp.ink/LMT_hanquoc</t>
  </si>
  <si>
    <t>Philippines.giaotiep.M103C87</t>
  </si>
  <si>
    <t>Philippines.M103C84.1840.giaotiep</t>
  </si>
  <si>
    <t>Japan.Giaotiep.VideoH4trungtam</t>
  </si>
  <si>
    <t>Japan.VideoH4trungtam.1840.Giaotiep</t>
  </si>
  <si>
    <t>http://ldp.ink/LMT_philippines</t>
  </si>
  <si>
    <t>Europe.giaotiep.M103C88</t>
  </si>
  <si>
    <t>Europe.M103C84.1840.giaotiep</t>
  </si>
  <si>
    <t>Canada.Giaotiep.Anhthongbao</t>
  </si>
  <si>
    <t>Canada.Anhthongbao.1845.Giaotiep</t>
  </si>
  <si>
    <t>http://ldp.ink/LMT_europe</t>
  </si>
  <si>
    <t>UnitedStates.giaotiep.HT80H</t>
  </si>
  <si>
    <t>UnitedStates.HT80H.1840.giaotiep</t>
  </si>
  <si>
    <t>http://ldp.ink/HT80H_hoaky</t>
  </si>
  <si>
    <t>Taiwan.giaotiep.HT80H</t>
  </si>
  <si>
    <t>Taiwan.HT80H.1840.giaotiep</t>
  </si>
  <si>
    <t>http://ldp.ink/HT80H_taiwan</t>
  </si>
  <si>
    <t>Philippines.giaotiep.HT80H</t>
  </si>
  <si>
    <t>Philippines.HT80H.1840.giaotiep</t>
  </si>
  <si>
    <t>ALL.Giaotiep.Videolophoc</t>
  </si>
  <si>
    <t>ALL.Videolophoc.1845.Giaotiep</t>
  </si>
  <si>
    <t>http://ldp.ink/HT80H_philippines</t>
  </si>
  <si>
    <t>KoreaSouth.giaotiep.HT80H</t>
  </si>
  <si>
    <t>KoreaSouth.HT80H.1840.giaotiep</t>
  </si>
  <si>
    <t>CzechRepublic.Giaotiep.Anhthongbao</t>
  </si>
  <si>
    <t>CzechRepublic.Anhthongbao.1845.Giaotiep</t>
  </si>
  <si>
    <t>http://ldp.ink/HT80H_hanquoc</t>
  </si>
  <si>
    <t>Japan.giaotiep.HT80H</t>
  </si>
  <si>
    <t>Japan.HT80H.1840.giaotiep</t>
  </si>
  <si>
    <t>Singapore.Anhthongbao.1845.Giaotiep</t>
  </si>
  <si>
    <t>http://ldp.ink/HT80H_japan</t>
  </si>
  <si>
    <t>UnitedStates.giaotiep.ndlchn</t>
  </si>
  <si>
    <t>UnitedStates.ndlchn.1840.giaotiep</t>
  </si>
  <si>
    <t>http://ldp.ink/ndlchn_hoaky</t>
  </si>
  <si>
    <t>Japan.Giaotiep.Anhthongbao</t>
  </si>
  <si>
    <t>Japan.Anhthongbao.1845.Giaotiep</t>
  </si>
  <si>
    <t>Taiwan.giaotiep.ndlchn</t>
  </si>
  <si>
    <t>Taiwan.ndlchn.1840.giaotiep</t>
  </si>
  <si>
    <t>UnitedStates.Anhthongbao.1845.Giaotiep</t>
  </si>
  <si>
    <t>http://ldp.ink/ndlchn_taiwan</t>
  </si>
  <si>
    <t>Philippines.giaotiep.ndlchn</t>
  </si>
  <si>
    <t>Philippines.ndlchn.1840.giaotiep</t>
  </si>
  <si>
    <t>Vietnam.IELTS.Anhlotrinh</t>
  </si>
  <si>
    <t>Vietnam.Anhlotrinh.1840.IELTS</t>
  </si>
  <si>
    <t>http://ldp.ink/ndlchn_philippines</t>
  </si>
  <si>
    <t>KoreaSouth.giaotiep.ndlchn</t>
  </si>
  <si>
    <t>KoreaSouth.ndlchn.1840.giaotiep</t>
  </si>
  <si>
    <t>Europe.Giaotiep.Videolophoc</t>
  </si>
  <si>
    <t>Europe.Videolophoc.1845.Giaotiep</t>
  </si>
  <si>
    <t>http://ldp.ink/ndlchn_korea</t>
  </si>
  <si>
    <t>Japan.giaotiep.ndlchn</t>
  </si>
  <si>
    <t>Japan.ndlchn.1840.giaotiep</t>
  </si>
  <si>
    <t>http://ldp.ink/ndlchn_japan</t>
  </si>
  <si>
    <t>ALL.VideoIELTS.1835.IELTS</t>
  </si>
  <si>
    <t>Europe.giaotiep.ndlchn</t>
  </si>
  <si>
    <t>Europe.ndlchn.1840.giaotiep</t>
  </si>
  <si>
    <t>NewZealand.Giaotiep.Anhlotrinh</t>
  </si>
  <si>
    <t>http://ldp.ink/ndlchn_europe</t>
  </si>
  <si>
    <t>NewZealand.Anhlotrinh.1845.Giaotiep</t>
  </si>
  <si>
    <t>Japan.giaotiep.videoBA</t>
  </si>
  <si>
    <t>Japan.videoBA.1840.giaotiep</t>
  </si>
  <si>
    <t>http://ldp.ink/VDBA_japan</t>
  </si>
  <si>
    <t>UnitedStates.giaotiep.videoBA</t>
  </si>
  <si>
    <t>UnitedStates.videoBA.1840.giaotiep</t>
  </si>
  <si>
    <t>http://ldp.ink/VDBA_hoaky</t>
  </si>
  <si>
    <t>Vietnam.IELTS.AnhIELTS</t>
  </si>
  <si>
    <t>Vietnam.AnhIELTS.1840.IELTS</t>
  </si>
  <si>
    <t>Japan.giaotiep.lotrinh</t>
  </si>
  <si>
    <t>Japan.lotrinh.1840.giaotiep</t>
  </si>
  <si>
    <t>http://ldp.ink/lotrinh_japan</t>
  </si>
  <si>
    <t>Cambodia.Giaotiep.Anhlotrinh</t>
  </si>
  <si>
    <t>Cambodia.Anhlotrinh.1845.Giaotiep</t>
  </si>
  <si>
    <t>Taiwan.giaotiep.lotrinh</t>
  </si>
  <si>
    <t>Taiwan.lotrinh.1840.giaotiep</t>
  </si>
  <si>
    <t>Thailand.Giaotiep.Anhlotrinh</t>
  </si>
  <si>
    <t>Thailand.Anhlotrinh.2045.Giaotiep</t>
  </si>
  <si>
    <t>http://ldp.ink/lotrinh_taiwan</t>
  </si>
  <si>
    <t>Philippines.giaotiep.lotrinh</t>
  </si>
  <si>
    <t>Philippines.lotrinh.1840.giaotiep</t>
  </si>
  <si>
    <t>UnitedStates.Giaotiep.Videolophoc</t>
  </si>
  <si>
    <t>UnitedStates.Videolophoc.1845.Giaotiep</t>
  </si>
  <si>
    <t>http://ldp.ink/lotrinh_philippines</t>
  </si>
  <si>
    <t>Japan.giaotiep.giaiphap</t>
  </si>
  <si>
    <t>Japan.giaiphap.1840.giaotiep</t>
  </si>
  <si>
    <t>http://ldp.ink/giaiphap_japan</t>
  </si>
  <si>
    <t>Korea.Giaotiep.Videolophoc</t>
  </si>
  <si>
    <t>Korea.Videolophoc.1845.Giaotiep</t>
  </si>
  <si>
    <t>Taiwan.giaotiep.giaiphap</t>
  </si>
  <si>
    <t>Taiwan.giaiphap.1840.giaotiep</t>
  </si>
  <si>
    <t>ALL.IELTS.Anhlotrinh</t>
  </si>
  <si>
    <t>ALL.Anhlotrinh.1835.IELTS</t>
  </si>
  <si>
    <t>http://ldp.ink/giaiphap_taiwan</t>
  </si>
  <si>
    <t>Australia.giaotiep.giaiphap</t>
  </si>
  <si>
    <t>Australia.giaiphap.1840.giaotiep</t>
  </si>
  <si>
    <t>http://ldp.ink/giaiphap_australia</t>
  </si>
  <si>
    <t>Macao.Giaotiep.Videolophoc</t>
  </si>
  <si>
    <t>Macao.Videolophoc.1845.Giaotiep</t>
  </si>
  <si>
    <t>Japan.giaotiep.anhltcopy</t>
  </si>
  <si>
    <t>Japan.anhltcopy.1840.giaotiep</t>
  </si>
  <si>
    <t>ALL.VideoIELTS.2035.IELTS</t>
  </si>
  <si>
    <t>http://ldp.ink/LTCP_japan</t>
  </si>
  <si>
    <t>Khoahocgiaotiep</t>
  </si>
  <si>
    <t>UnitedStates.Giaotiep.VideoH4trungtam</t>
  </si>
  <si>
    <t>UnitedStates.VideoH4trungtam.1845.Giaotiep</t>
  </si>
  <si>
    <t>Australia.giaotiep.ndlchn</t>
  </si>
  <si>
    <t>Australia.ndlchn.1840.giaotiep</t>
  </si>
  <si>
    <t>http://ldp.ink/ndlchn_australia</t>
  </si>
  <si>
    <t>Malaysia.Giaotiep.VideoH4trungtam</t>
  </si>
  <si>
    <t>Malaysia.VideoH4trungtam.1840.Giaotiep</t>
  </si>
  <si>
    <t>Japan.giaotiep.nghoacopy</t>
  </si>
  <si>
    <t>Japan.nghoacopy.1840.giaotiep</t>
  </si>
  <si>
    <t>ALL.thuonghieu.tienganh</t>
  </si>
  <si>
    <t>http://ldp.ink/NHCP_japan</t>
  </si>
  <si>
    <t>https://patado.edu.vn/khoa-ielts-patado/</t>
  </si>
  <si>
    <t>Europe.giaotiep.nghoacopy</t>
  </si>
  <si>
    <t>Europe.nghoacopy.1840.giaotiep</t>
  </si>
  <si>
    <t>Europe.Ielts.tienganh</t>
  </si>
  <si>
    <t>Khoahocietls</t>
  </si>
  <si>
    <t>http://ldp.ink/NHCP_all</t>
  </si>
  <si>
    <t>ALL.Ielts.tienganh</t>
  </si>
  <si>
    <t>Japan.giaotiep.UDQG</t>
  </si>
  <si>
    <t>Japan.UDQG.1840.giaotiep</t>
  </si>
  <si>
    <t>ALL.Giaotiep.VideoH4trungtam</t>
  </si>
  <si>
    <t>ALL.VideoH4trungtam.1845.Giaotiep</t>
  </si>
  <si>
    <t>UnitedStates.ielts.tienganh</t>
  </si>
  <si>
    <t>http://ldp.ink/udqg_japan</t>
  </si>
  <si>
    <t>Japan.giaotiep.UDDN</t>
  </si>
  <si>
    <t>Japan.UDDN.1840.giaotiep</t>
  </si>
  <si>
    <t>https://patado.edu.vn/khoa-hoc-cambridge-cho-tre</t>
  </si>
  <si>
    <t>PGPGTTA</t>
  </si>
  <si>
    <t>ALL.Cambridge.tienganh</t>
  </si>
  <si>
    <t>TiengAnhchobe</t>
  </si>
  <si>
    <t>http://ldp.ink/uddn_japan</t>
  </si>
  <si>
    <t>Taiwan.giaotiep.UDDN</t>
  </si>
  <si>
    <t>Taiwan.UDDN.1840.giaotiep</t>
  </si>
  <si>
    <t>http://ldp.ink/UDDN_taiwan</t>
  </si>
  <si>
    <t>https://patado.edu.vn/tieng-anh-giao-tiep-us-sbd-htt/</t>
  </si>
  <si>
    <t>Asia.giaotiep.UDQG</t>
  </si>
  <si>
    <t>Asia.UDQG.1840.giaotiep</t>
  </si>
  <si>
    <t>Patadogiaotiep</t>
  </si>
  <si>
    <t>https://patado.edu.vn/tieng-anh-giao-tiep-eu-sbd-htt</t>
  </si>
  <si>
    <t>http://ldp.ink/udqg_all</t>
  </si>
  <si>
    <t>Giaotieptienganh</t>
  </si>
  <si>
    <t>Europe.giaotiep.UDDN</t>
  </si>
  <si>
    <t>Europe.UDDN.1840.giaotiep</t>
  </si>
  <si>
    <t>https://patado.edu.vn/khoa-hoc-tieng-anh-giao-tiep-all-sbd-htt</t>
  </si>
  <si>
    <t>http://ldp.ink/uddn_all</t>
  </si>
  <si>
    <t>UnitedStates.giaotiep.UDDN</t>
  </si>
  <si>
    <t>UnitedStates.UDDN.1840.giaotiep</t>
  </si>
  <si>
    <t>ALL.Pmax.giaotiep</t>
  </si>
  <si>
    <t>Pmaxgiaotiep</t>
  </si>
  <si>
    <t>http://ldp.ink/uddn_my</t>
  </si>
  <si>
    <t>Taiwan.giaotiep.hoinhap</t>
  </si>
  <si>
    <t>Taiwan.hoinhap.1840.giaotiep</t>
  </si>
  <si>
    <t>http://ldp.ink/hoinhap_taiwan</t>
  </si>
  <si>
    <t>UnitedStates.giaotiep.hoinhap</t>
  </si>
  <si>
    <t>UnitedStates.hoinhap.1840.giaotiep</t>
  </si>
  <si>
    <t>http://ldp.ink/hoinhap_usa</t>
  </si>
  <si>
    <t>Japan.giaotiep.hoinhap</t>
  </si>
  <si>
    <t>Japan.hoinhap.1840.giaotiep</t>
  </si>
  <si>
    <t>http://ldp.ink/hoinhap_japan</t>
  </si>
  <si>
    <t>https://patadovietnam.edu.vn/dungnt10_giaotiep</t>
  </si>
  <si>
    <t>Europe.giaotiep.hoinhap</t>
  </si>
  <si>
    <t>Europe.hoinhap.1840.giaotiep</t>
  </si>
  <si>
    <t>DungNT</t>
  </si>
  <si>
    <t>Korea.Giaotiep.Anhsale10</t>
  </si>
  <si>
    <t>Korea.Anhsale10.18-40</t>
  </si>
  <si>
    <t>http://ldp.ink/hoinhap_europe</t>
  </si>
  <si>
    <t>Australia.giaotiep.hoinhap</t>
  </si>
  <si>
    <t>Australia.hoinhap.1840.giaotiep</t>
  </si>
  <si>
    <t>Japan.Giaotiep.Videolophoc</t>
  </si>
  <si>
    <t>Japan.Videolophoc.1840.Giaotiep</t>
  </si>
  <si>
    <t>081122</t>
  </si>
  <si>
    <t>Korea.Anhsale10.1840.Giaotiep</t>
  </si>
  <si>
    <t>http://ldp.ink/hoinhap_australia</t>
  </si>
  <si>
    <t>Philippines.giaotiep.hoinhap</t>
  </si>
  <si>
    <t>Philippines.hoinhap.1840.giaotiep</t>
  </si>
  <si>
    <t>Japan.Giaotiep.Anhsale10</t>
  </si>
  <si>
    <t>http://ldp.ink/hoinhap_philippines</t>
  </si>
  <si>
    <t>Japan.Anhsale10.1840.Giaotiep</t>
  </si>
  <si>
    <t>https://patadovietnam.edu.vn/vongquay_namnh</t>
  </si>
  <si>
    <t>091122</t>
  </si>
  <si>
    <t>https://patadovietnam.edu.vn/dungnt10_ielts_cvs</t>
  </si>
  <si>
    <t>ALL.giaotiep.VQMM</t>
  </si>
  <si>
    <t>ALL.VQMM.1840.giaotiep</t>
  </si>
  <si>
    <t>Vietnam.IELTS.Anhsale11</t>
  </si>
  <si>
    <t>Vietnam.Anhsale11.1840.IELTS</t>
  </si>
  <si>
    <t>http://ldp.ink/VQMM_ALL</t>
  </si>
  <si>
    <t>Japan.giaotiep.VQMM</t>
  </si>
  <si>
    <t>Japan.VQMM.1840.giaotiep</t>
  </si>
  <si>
    <t>http://ldp.ink/VQMM_JAPAN</t>
  </si>
  <si>
    <t>Europe.giaotiep.VQMM</t>
  </si>
  <si>
    <t>Europe.VQMM.1840.giaotiep</t>
  </si>
  <si>
    <t>Vietnam.Giaotiep.Anhsale12</t>
  </si>
  <si>
    <t>Vietnam.Anhsale12.1845.Giaotiep</t>
  </si>
  <si>
    <t>http://ldp.ink/VQMM_EUROPE</t>
  </si>
  <si>
    <t>Japan.giaotiep.videoNTT</t>
  </si>
  <si>
    <t>Japan.videoNTT.1840.giaotiep</t>
  </si>
  <si>
    <t>http://ldp.page/dungnt3giaotiep</t>
  </si>
  <si>
    <t>http://ldp.ink/NTT_JAPAN</t>
  </si>
  <si>
    <t>Taiwan.Giaotiep.Anhsale13</t>
  </si>
  <si>
    <t>Taiwan.Anhsale13.1840.Giaotiep</t>
  </si>
  <si>
    <t>Taiwan.giaotiep.videoNTT</t>
  </si>
  <si>
    <t>Taiwan.videoNTT.1840.giaotiep</t>
  </si>
  <si>
    <t>http://ldp.page/Us_dungnt</t>
  </si>
  <si>
    <t>UnitedStates.Giaotiep.Anhsale14</t>
  </si>
  <si>
    <t>UnitedStates.Anhsale14.3055.Giaotiep</t>
  </si>
  <si>
    <t>http://ldp.ink/NTT_taiwan</t>
  </si>
  <si>
    <t>UnitedStates.giaotiep.videoNTT</t>
  </si>
  <si>
    <t>UnitedStates.videoNTT.1840.giaotiep</t>
  </si>
  <si>
    <t>http://ldp.ink/NTT_MY</t>
  </si>
  <si>
    <t>Europe.giaotiep.videoNTT</t>
  </si>
  <si>
    <t>Europe.videoNTT.1840.giaotiep</t>
  </si>
  <si>
    <t>http://ldp.ink/NTT_europe</t>
  </si>
  <si>
    <t>Japan.Giaotiep.Anhlotrinh</t>
  </si>
  <si>
    <t>Japan.Anhlotrinh.1835.Giaotiep</t>
  </si>
  <si>
    <t>https://patadovietnam.edu.vn/dungnt4giaotiep</t>
  </si>
  <si>
    <t>Philippines.giaotiep.videoNTT</t>
  </si>
  <si>
    <t>Philippines.videoNTT.1840.giaotiep</t>
  </si>
  <si>
    <t>KoreaSouth.Giaotiep.Anhsale10</t>
  </si>
  <si>
    <t>KoreaSouth.Anhsale10.1840.Giaotiep</t>
  </si>
  <si>
    <t>http://ldp.ink/NTT_philippines</t>
  </si>
  <si>
    <t>Philippines.Giaotiep.Anhlotrinh</t>
  </si>
  <si>
    <t>Philippines.Anhlotrinh.1835.Giaotiep</t>
  </si>
  <si>
    <t>UnitedStates.giaotiep.UDBH</t>
  </si>
  <si>
    <t>UnitedStates.UDBH.1840.giaotiep</t>
  </si>
  <si>
    <t>UnitedStates.Giaotiep.Anhsale10</t>
  </si>
  <si>
    <t>UnitedStates.Anhsale10.3055.Giaotiep</t>
  </si>
  <si>
    <t>http://ldp.ink/UDBH_HOAKY</t>
  </si>
  <si>
    <t>Australia.Giaotiep.Anhlotrinh</t>
  </si>
  <si>
    <t>Australia.Anhlotrinh.1845.Giaotiep</t>
  </si>
  <si>
    <t>Taiwan.giaotiep.UDBH</t>
  </si>
  <si>
    <t>Taiwan.UDBH.1840.giaotiep</t>
  </si>
  <si>
    <t>Taiwan.Giaotiep.Anhsale10</t>
  </si>
  <si>
    <t>Taiwan.Anhsale10.1840.Giaotiep</t>
  </si>
  <si>
    <t>http://ldp.ink/UDBH_TAIWAN</t>
  </si>
  <si>
    <t>Malaysia.Giaotiep.Videolophoc</t>
  </si>
  <si>
    <t>Malaysia.Videolophoc.1840.Giaotiep</t>
  </si>
  <si>
    <t>Japan.giaotiep.UDBH</t>
  </si>
  <si>
    <t>Japan.UDBH.1840.giaotiep</t>
  </si>
  <si>
    <t>CzechRepublic.Giaotiep.Anhsale10</t>
  </si>
  <si>
    <t>CzechRepublic.Anhsale10.2055.Giaotiep</t>
  </si>
  <si>
    <t>http://ldp.ink/UDBH_JAPAN</t>
  </si>
  <si>
    <t>Japan.Giaotiep.Anhnenxanh</t>
  </si>
  <si>
    <t>Japan.Anhnenxanh.1835.Giaotiep</t>
  </si>
  <si>
    <t>Europe.giaotiep.UDBH</t>
  </si>
  <si>
    <t>Europe.UDBH.1840.giaotiep</t>
  </si>
  <si>
    <t>http://ldp.ink/UDBH_EUROPE</t>
  </si>
  <si>
    <t>Canada.Giaotiep.Videogioithieu</t>
  </si>
  <si>
    <t>Canada.Videogioithieu.1845.Giaotiep</t>
  </si>
  <si>
    <t>Philippines.giaotiep.UDBH</t>
  </si>
  <si>
    <t>Philippines.UDBH.1840.giaotiep</t>
  </si>
  <si>
    <t>Australia.Giaotiep.Videogioithieu</t>
  </si>
  <si>
    <t>Australia.Videogioithieu.1845.Giaotiep</t>
  </si>
  <si>
    <t>http://ldp.ink/UDBH_PHILIPPINES</t>
  </si>
  <si>
    <t>UnitedStates.giaotiep.TATT</t>
  </si>
  <si>
    <t>UnitedStates.TATT.1840.giaotiep</t>
  </si>
  <si>
    <t>UnitedStates.Giaotiep.Videogioithieu</t>
  </si>
  <si>
    <t>UnitedStates.Videogioithieu.1845.Giaotiep</t>
  </si>
  <si>
    <t>http://ldp.ink/TATT_HOAKY</t>
  </si>
  <si>
    <t>http://ldp.page/637c3e4fe009dc0050223a84</t>
  </si>
  <si>
    <t>Europe.giaotiep.TATT</t>
  </si>
  <si>
    <t>Europe.TATT.1840.giaotiep</t>
  </si>
  <si>
    <t>Taiwan.Giaotiep.VideoH4trungtam</t>
  </si>
  <si>
    <t>Taiwan.VideoH4trungtam.1834.Giaotiep</t>
  </si>
  <si>
    <t>http://ldp.ink/TATT_europe</t>
  </si>
  <si>
    <t>Taiwan.giaotiep.TATT</t>
  </si>
  <si>
    <t>Taiwan.TATT.1840.giaotiep</t>
  </si>
  <si>
    <t>http://ldp.to/9uYk9</t>
  </si>
  <si>
    <t>http://ldp.ink/TATT_taiwan</t>
  </si>
  <si>
    <t>Japan.Giaotiep.Anhthongbao12</t>
  </si>
  <si>
    <t>Japan.Anhthongbao12.1835.Giaotiep</t>
  </si>
  <si>
    <t>Japan.giaotiep.TATT</t>
  </si>
  <si>
    <t>Japan.TATT.1840.giaotiep</t>
  </si>
  <si>
    <t>https://patadovietnam.edu.vn/tienganhforkids</t>
  </si>
  <si>
    <t>CzechRepublic.Kids.Anhsale10</t>
  </si>
  <si>
    <t>CzechRepublic.Anhsale10.2055.Kids</t>
  </si>
  <si>
    <t>http://ldp.ink/TATT_japan</t>
  </si>
  <si>
    <t>Australia.Giaotiep.Anhthongbao12</t>
  </si>
  <si>
    <t>Australia.Anhthongbao12.1845.Giaotiep</t>
  </si>
  <si>
    <t>Philippines.giaotiep.TATT</t>
  </si>
  <si>
    <t>Philippines.TATT.1840.giaotiep</t>
  </si>
  <si>
    <t>http://ldp.to/2Jf0m</t>
  </si>
  <si>
    <t>Australia.Giaotiep.Anhsale10</t>
  </si>
  <si>
    <t>Australia.Anhsale10.2555.Giaotiep</t>
  </si>
  <si>
    <t>http://ldp.ink/TATT_philippin</t>
  </si>
  <si>
    <t>Japan.giaotiep.4KN</t>
  </si>
  <si>
    <t>Japan.4KN.1840.giaotiep</t>
  </si>
  <si>
    <t>UnitedStates.Giaotiep.Anhthongbao12</t>
  </si>
  <si>
    <t>UnitedStates.Anhthongbao12.1845.Giaotiep</t>
  </si>
  <si>
    <t>UnitedKingdom.Giaotiep.Anhsale10</t>
  </si>
  <si>
    <t>UnitedKingdom.Anhsale10.2555.Giaotiep</t>
  </si>
  <si>
    <t>http://ldp.ink/4KN_japan</t>
  </si>
  <si>
    <t>https://patadovietnam.edu.vn/tienganhnewzealandd</t>
  </si>
  <si>
    <t>Singapore.Giaotiep.Anhthongbao12</t>
  </si>
  <si>
    <t>Singapore.Anhthongbao12.1845.Giaotiep</t>
  </si>
  <si>
    <t>Europe.giaotiep.4KN</t>
  </si>
  <si>
    <t>Europe.4KN.1840.giaotiep</t>
  </si>
  <si>
    <t>NewZealand.Giaotiep.Anhsale10</t>
  </si>
  <si>
    <t>NewZealand.Anhsale10.2050.Giaotiep</t>
  </si>
  <si>
    <t>http://ldp.ink/4KN_europe</t>
  </si>
  <si>
    <t>https://patadovietnam.edu.vn/giaotieppatado2123</t>
  </si>
  <si>
    <t>Philippines.giaotiep.4KN</t>
  </si>
  <si>
    <t>Philippines.4KN.1840.giaotiep</t>
  </si>
  <si>
    <t>Canada.Giaotiep.Anhthongbao12</t>
  </si>
  <si>
    <t>Canada.Anhthongbao12.1845.Giaotiep</t>
  </si>
  <si>
    <t>Singapore.Giaotiep.Anhsale10</t>
  </si>
  <si>
    <t>Singapore.Anhsale10.1840.Giaotiep</t>
  </si>
  <si>
    <t>http://ldp.ink/4KN_Philippines</t>
  </si>
  <si>
    <t>http://ldp.to/singdungnt_1</t>
  </si>
  <si>
    <t>Taiwan.Giaotiep.Anhthongbao12</t>
  </si>
  <si>
    <t>Taiwan.Anhthongbao12.1840.Giaotiep</t>
  </si>
  <si>
    <t>https://patadovietnam.edu.vn/tienganhnauy</t>
  </si>
  <si>
    <t>KoreaSouth.giaotiep.4KN</t>
  </si>
  <si>
    <t>KoreaSouth.4KN.1840.giaotiep</t>
  </si>
  <si>
    <t>Norway</t>
  </si>
  <si>
    <t>Norway.Giaotiep.Anhsale10</t>
  </si>
  <si>
    <t>Norway.Anhsale10.2050.Giaotiep</t>
  </si>
  <si>
    <t>http://ldp.ink/4KN_hanquoc</t>
  </si>
  <si>
    <t>https://patadovietnam.edu.vn/eu_hlg/</t>
  </si>
  <si>
    <t>Taiwan.giaotiep.4KN</t>
  </si>
  <si>
    <t>Taiwan.4KN.1840.giaotiep</t>
  </si>
  <si>
    <t>https://patadovietnam.edu.vn/hoctienganhhalann</t>
  </si>
  <si>
    <t>Netherlands</t>
  </si>
  <si>
    <t>Netherlands.Giaotiep.Anhsale10</t>
  </si>
  <si>
    <t>Netherlands.Anhsale10.2050.Giaotiep</t>
  </si>
  <si>
    <t>http://ldp.ink/4KN_taiwan</t>
  </si>
  <si>
    <t>https://s.net.vn/hlgeu07</t>
  </si>
  <si>
    <t>Europe.giaotiep.videoTTTH</t>
  </si>
  <si>
    <t>Europe.videoTTTH.1840.giaotiep</t>
  </si>
  <si>
    <t>http://ldp.to/tienganhhalan_d1</t>
  </si>
  <si>
    <t>Japan.Anhthongbao12.1840.Giaotiep</t>
  </si>
  <si>
    <t>https://patadovietnam.edu.vn/tienganhthuydien</t>
  </si>
  <si>
    <t>http://ldp.ink/TTTH_chauau</t>
  </si>
  <si>
    <t>Sweden.Giaotiep.Anhsale10</t>
  </si>
  <si>
    <t>Sweden.Anhsale10.2050.Giaotiep</t>
  </si>
  <si>
    <t>http://ldp.ink/Japan5_HLG</t>
  </si>
  <si>
    <t>Japan.giaotiep.qcpatado1</t>
  </si>
  <si>
    <t>Japan.qcpatado1.1840.giaotiep</t>
  </si>
  <si>
    <t>http://ldp.ink/qcpatado_japan</t>
  </si>
  <si>
    <t>https://patadovietnam.edu.vn/tienganhdanmach</t>
  </si>
  <si>
    <t>http://ldp.ink/hlgau01</t>
  </si>
  <si>
    <t>Denmark.Giaotiep.Anhsale10</t>
  </si>
  <si>
    <t>Denmark.Anhsale10.2050.Giaotiep</t>
  </si>
  <si>
    <t>UnitedStates.giaotiep.qcpatado1</t>
  </si>
  <si>
    <t>UnitedStates.qcpatado1.1840.giaotiep</t>
  </si>
  <si>
    <t>http://ldp.to/tienganhdanmach_d1</t>
  </si>
  <si>
    <t>http://ldp.ink/qcpatado_my</t>
  </si>
  <si>
    <t>https://by.tn/hlgus01</t>
  </si>
  <si>
    <t>Europe.giaotiep.qcpatado1</t>
  </si>
  <si>
    <t>Europe.qcpatado1.1840.giaotiep</t>
  </si>
  <si>
    <t>http://ldp.ink/qcpatado_europe</t>
  </si>
  <si>
    <t>UnitedStates.giaotiep.JulieCarter</t>
  </si>
  <si>
    <t>UnitedStates.JulieCarter.1840.giaotiep</t>
  </si>
  <si>
    <t>https://patadovietnam.edu.vn/tienganhaustralia_d1</t>
  </si>
  <si>
    <t>http://ldp.ink/JC_hoaky</t>
  </si>
  <si>
    <t>Australia.Anhsale10.2550.Giaotiep</t>
  </si>
  <si>
    <t>Japan.giaotiep.JulieCarter</t>
  </si>
  <si>
    <t>Japan.JulieCarter.1840.giaotiep</t>
  </si>
  <si>
    <t>http://ldp.to/tienganhaustralia_d1</t>
  </si>
  <si>
    <t>https://patadovietnam.edu.vn/tienganhpatado_d1</t>
  </si>
  <si>
    <t>http://ldp.ink/Taiwan5_HLG</t>
  </si>
  <si>
    <t>Philippines.Giaotiep.Anhsale10</t>
  </si>
  <si>
    <t>Philippines.Anhsale10.2545.Giaotiep</t>
  </si>
  <si>
    <t>http://ldp.ink/JC_japan</t>
  </si>
  <si>
    <t>Europe.giaotiep.JulieCarter</t>
  </si>
  <si>
    <t>Europe.JulieCarter.1840.giaotiep</t>
  </si>
  <si>
    <t>https://patadovietnam.edu.vn/tienganhjapan_d1</t>
  </si>
  <si>
    <t>Philippines.Giaotiep.Anhthongbao12</t>
  </si>
  <si>
    <t>Philippines.Anhthongbao12.1840.Giaotiep</t>
  </si>
  <si>
    <t>Japan.Anhsale10.1835.Giaotiep</t>
  </si>
  <si>
    <t>http://ldp.ink/JC_europe</t>
  </si>
  <si>
    <t>Korea.Giaotiep.Anhthongbao12</t>
  </si>
  <si>
    <t>Korea.Anhthongbao12.1845.Giaotiep</t>
  </si>
  <si>
    <t>https://www.anhngupatado.edu.vn/giaotiepall_hn</t>
  </si>
  <si>
    <t>Japan.giaotiep.TNMjapan</t>
  </si>
  <si>
    <t>Japan.TNMjapan.1840.giaotiep</t>
  </si>
  <si>
    <t>https://s.net.vn/hlgkr10</t>
  </si>
  <si>
    <t>Malaysia.Giaotiep.Anhthongbao12</t>
  </si>
  <si>
    <t>Malaysia.Anhthongbao12.1840.Giaotiep</t>
  </si>
  <si>
    <t>http://ldp.ink/TNM_japan</t>
  </si>
  <si>
    <t>https://www.anhngupatado.edu.vn/vqmm</t>
  </si>
  <si>
    <t>Japan.giaotiep.VQMM1</t>
  </si>
  <si>
    <t>KoreaSouth.Anhsale10.1835.Giaotiep</t>
  </si>
  <si>
    <t>Japan.VQMM1.1840.giaotiep</t>
  </si>
  <si>
    <t>Singapore.Anhsale10.2045.Giaotiep</t>
  </si>
  <si>
    <t>http://ldp.ink/VQMM1_japan</t>
  </si>
  <si>
    <t>Korea.Anhthongbao.1840.Giaotiep</t>
  </si>
  <si>
    <t>ALL.giaotiep.VQMM1</t>
  </si>
  <si>
    <t>ALL.VQMM1.1840.giaotiep</t>
  </si>
  <si>
    <t>Canada.Giaotiep.Anhsale10</t>
  </si>
  <si>
    <t>Canada.Anhsale10.2050.Giaotiep</t>
  </si>
  <si>
    <t>https://s.net.vn/hlgkr11</t>
  </si>
  <si>
    <t>http://ldp.ink/VQMM1_all</t>
  </si>
  <si>
    <t>http://ldp.to/tienganhcanada_050123</t>
  </si>
  <si>
    <t>Europe.giaotiep.VQMM1</t>
  </si>
  <si>
    <t>Europe.VQMM1.1840.giaotiep</t>
  </si>
  <si>
    <t>http://ldp.to/tienganhaustralia_070123</t>
  </si>
  <si>
    <t>http://ldp.ink/VQMM1_europe</t>
  </si>
  <si>
    <t>Japan.giaotiep.videoTTTH</t>
  </si>
  <si>
    <t>Japan.videoTTTH.1840.giaotiep</t>
  </si>
  <si>
    <t>http://ldp.to/tienganhnewzealandd_070123</t>
  </si>
  <si>
    <t>http://ldp.ink/Canada6_HLG</t>
  </si>
  <si>
    <t>http://ldp.ink/TTTH_japan</t>
  </si>
  <si>
    <t>http://ldp.to/tienganhnauy_0701</t>
  </si>
  <si>
    <t>Europe.Giaotiep.Anhthongbao12</t>
  </si>
  <si>
    <t>Europe.Anhthongbao12.1840.Giaotiep</t>
  </si>
  <si>
    <t>Taiwan.giaotiep.TNMall</t>
  </si>
  <si>
    <t>Taiwan.TNMall.1840.giaotiep</t>
  </si>
  <si>
    <t>http://ldp.to/tienganhjapan_0701</t>
  </si>
  <si>
    <t>http://ldp.ink/TNM_taiwan</t>
  </si>
  <si>
    <t>https://patadovietnam.edu.vn/tienganhireland</t>
  </si>
  <si>
    <t>Philippines.giaotiep.TNMall</t>
  </si>
  <si>
    <t>Philippines.TNMall.1840.giaotiep</t>
  </si>
  <si>
    <t>Ireland</t>
  </si>
  <si>
    <t>Ireland.Giaotiep.Anhsale10</t>
  </si>
  <si>
    <t>http://ldp.ink/TNM_philippines</t>
  </si>
  <si>
    <t>http://ldp.to/tienganhireland</t>
  </si>
  <si>
    <t>http://ldp.ink/Japan7_HLG</t>
  </si>
  <si>
    <t>Samantha Cabria Beruela.9889</t>
  </si>
  <si>
    <t>KoreaSouth.giaotiep.TNMall</t>
  </si>
  <si>
    <t>KoreaSouth.TNMall.1840.giaotiep</t>
  </si>
  <si>
    <t>http://ldp.ink/TNM_hanquoc</t>
  </si>
  <si>
    <t>UnitedStates.giaotiep.TNMmy</t>
  </si>
  <si>
    <t>UnitedStates.TNMmy.1840.giaotiep</t>
  </si>
  <si>
    <t>https://patadovietnam.edu.vn/tienganhusa270123</t>
  </si>
  <si>
    <t>http://ldp.ink/Japan8_HLG</t>
  </si>
  <si>
    <t>http://ldp.ink/TNM_hoaky</t>
  </si>
  <si>
    <t>Australia.giaotiep.anhaz</t>
  </si>
  <si>
    <t>Australia.anhaz.1840.giaotiep</t>
  </si>
  <si>
    <t>http://ldp.to/tienganhusa270123</t>
  </si>
  <si>
    <t>https://patadovietnam.edu.vn/tienganhkorea_dnt/</t>
  </si>
  <si>
    <t>http://ldp.ink/anhaz_australia</t>
  </si>
  <si>
    <t>Philippines.giaotiep.anhkg</t>
  </si>
  <si>
    <t>Philippines.anhkg.1840.giaotiep</t>
  </si>
  <si>
    <t>http://ldp.to/tienganhkorea_dnt</t>
  </si>
  <si>
    <t>http://ldp.ink/anhkg_philippines</t>
  </si>
  <si>
    <t>https://patadovietnam.edu.vn/tienganhjapan_dnt/</t>
  </si>
  <si>
    <t>Canada.giaotiep.3bpatado</t>
  </si>
  <si>
    <t>Canada.3bpatado.1840.giaotiep</t>
  </si>
  <si>
    <t>http://ldp.to/tienganhjapan_dnt</t>
  </si>
  <si>
    <t>http://ldp.ink/3bpatado_CND</t>
  </si>
  <si>
    <t>http://ldp.ink/Australia6_HLG</t>
  </si>
  <si>
    <t>Japan.giaotiep.Anhtblh</t>
  </si>
  <si>
    <t>Japan.Anhtblh.1840.giaotiep</t>
  </si>
  <si>
    <t>http://ldp.to/tienganhkorea_dntt</t>
  </si>
  <si>
    <t>http://ldp.ink/tblh_japan</t>
  </si>
  <si>
    <t>Taiwan.Anhsale10.1845.Giaotiep</t>
  </si>
  <si>
    <t>UnitedStates.giaotiep.anhkg</t>
  </si>
  <si>
    <t>UnitedStates.anhkg.1840.giaotiep</t>
  </si>
  <si>
    <t>https://by.tn/hlgma01</t>
  </si>
  <si>
    <t>http://ldp.to/tienganhtaiwan_dnt1</t>
  </si>
  <si>
    <t>Vietnam.IELTS.VideoH4trungtam</t>
  </si>
  <si>
    <t>Vietnam.VideoH4trungtam.1840.IELTS</t>
  </si>
  <si>
    <t>Singapore.Anhsale10.1850.Giaotiep</t>
  </si>
  <si>
    <t>http://ldp.ink/kg_usa</t>
  </si>
  <si>
    <t>Taiwan.giaotiep.anhbeaf</t>
  </si>
  <si>
    <t>Taiwan.anhbeaf.1840.giaotiep</t>
  </si>
  <si>
    <t>https://patadovietnam.edu.vn/tienganhusa_dntt</t>
  </si>
  <si>
    <t>UnitedStates.Anhsale10.2555.Giaotiep</t>
  </si>
  <si>
    <t>http://ldp.ink/anhbeaf_taiwan</t>
  </si>
  <si>
    <t>Philippines.giaotiep.anhtblh</t>
  </si>
  <si>
    <t>Philippines.anhtblh.1840.giaotiep</t>
  </si>
  <si>
    <t>http://ldp.to/tienganhusa_dntt</t>
  </si>
  <si>
    <t>UnitedKingdom.Anhsale10.2550.Giaotiep</t>
  </si>
  <si>
    <t>SCB.9889</t>
  </si>
  <si>
    <t>http://ldp.ink/tblh_philippines</t>
  </si>
  <si>
    <t>http://ldp.to/tienganhnguoidilam_dnt</t>
  </si>
  <si>
    <t>http://ldp.ink/Japan9_HLG</t>
  </si>
  <si>
    <t>Canada.Anhsale10.2555.Giaotiep</t>
  </si>
  <si>
    <t>Canada.giaotiep.anhkg</t>
  </si>
  <si>
    <t>Canada.anhkg.1840.giaotiep</t>
  </si>
  <si>
    <t>ALL.VideoH4trungtam.1840.Giaotiep</t>
  </si>
  <si>
    <t>http://ldp.to/tienganhcanada_dnt</t>
  </si>
  <si>
    <t>https://patadovietnam.edu.vn/tienganheurope_dnt</t>
  </si>
  <si>
    <t>Europe.Giaotiep.Anhsale10</t>
  </si>
  <si>
    <t>Europe.Anhsale10.2055.Giaotiep</t>
  </si>
  <si>
    <t>http://ldp.ink/anhkg_canada</t>
  </si>
  <si>
    <t>http://ldp.to/tienganheurope_dnt</t>
  </si>
  <si>
    <t>Japan.giaotiep.PTDVNJP</t>
  </si>
  <si>
    <t>Japan.PTDVNJP.1840.giaotiep</t>
  </si>
  <si>
    <t>http://ldp.to/tienganhaustralia_dnt3123</t>
  </si>
  <si>
    <t>https://s.net.vn/hlgall08</t>
  </si>
  <si>
    <t>http://ldp.to/tienganhusa_dnt1323</t>
  </si>
  <si>
    <t>http://ldp.ink/PTDVN_japan</t>
  </si>
  <si>
    <t>Europe.giaotiep.PTDVN</t>
  </si>
  <si>
    <t>Europe.PTDVN.1840.giaotiep</t>
  </si>
  <si>
    <t>http://ldp.to/tienganhjapan_dnt1</t>
  </si>
  <si>
    <t>UnitedStates.Giaotiep.Anhlotrinh</t>
  </si>
  <si>
    <t>UnitedStates.Anhlotrinh.1845.Giaotiep</t>
  </si>
  <si>
    <t>http://ldp.to/tienganhkorea_dnt4323</t>
  </si>
  <si>
    <t>http://ldp.to/us_cvs</t>
  </si>
  <si>
    <t>Europe.Giaotiep.Videogiangday</t>
  </si>
  <si>
    <t>Europe.Videogiangday.2055.Giaotiep</t>
  </si>
  <si>
    <t>http://ldp.ink/PTDVN_europe</t>
  </si>
  <si>
    <t>Japan.giaotiep.DCLT</t>
  </si>
  <si>
    <t>Japan.DCLT.1840.giaotiep</t>
  </si>
  <si>
    <t>http://ldp.to/tienganheurope_dntt</t>
  </si>
  <si>
    <t>Australia.Giaotiep.Videogiangday</t>
  </si>
  <si>
    <t>Australia.Videogiangday.2550.Giaotiep</t>
  </si>
  <si>
    <t>http://ldp.to/australia_cvs</t>
  </si>
  <si>
    <t>http://ldp.to/tienganhaustralia_d2</t>
  </si>
  <si>
    <t>http://ldp.ink/DCLT_japan</t>
  </si>
  <si>
    <t>https://patadovietnam.edu.vn/tienganhpatado_d2</t>
  </si>
  <si>
    <t>Korea.Giaotiep.Anhlotrinh</t>
  </si>
  <si>
    <t>Korea.Anhlotrinh.1840.Giaotiep</t>
  </si>
  <si>
    <t>Malaysia.Giaotiep.Anhsale10</t>
  </si>
  <si>
    <t>Malaysia.Anhsale10.2055.Giaotiep</t>
  </si>
  <si>
    <t>Europe.giaotiep.DCLT</t>
  </si>
  <si>
    <t>Europe.DCLT.1840.giaotiep</t>
  </si>
  <si>
    <t>http://ldp.to/korea_cvs</t>
  </si>
  <si>
    <t>UnitedStates.Giaotiep.Videogiangday</t>
  </si>
  <si>
    <t>UnitedStates.Videogiangday.2555.Giaotiep</t>
  </si>
  <si>
    <t>http://ldp.ink/DCLT_europe</t>
  </si>
  <si>
    <t>Japan.giaotiep.TBMLJP</t>
  </si>
  <si>
    <t>Japan.TBMLJP.1840.giaotiep</t>
  </si>
  <si>
    <t>Europe.Giaotiep.Anhlotrinh</t>
  </si>
  <si>
    <t>Europe.Anhlotrinh.1840.Giaotiep</t>
  </si>
  <si>
    <t>http://ldp.to/tienganhusa_dnttt</t>
  </si>
  <si>
    <t>Australia.Videogiangday.2555.Giaotiep</t>
  </si>
  <si>
    <t>http://ldp.ink/hlgeu01</t>
  </si>
  <si>
    <t>ALL.giaotiep.DCLT</t>
  </si>
  <si>
    <t>ALL.DCLT.1840.giaotiep</t>
  </si>
  <si>
    <t>Australia.Giaotiep.Anhchaohe</t>
  </si>
  <si>
    <t>Australia.Anhchaohe.1845.Giaotiep</t>
  </si>
  <si>
    <t>http://ldp.to/tienganhaustralia_video</t>
  </si>
  <si>
    <t>http://ldp.ink/DCLT_all</t>
  </si>
  <si>
    <t>http://ldp.to/australia_cvs1</t>
  </si>
  <si>
    <t>Korea.Giaotiep.Anhchaohe</t>
  </si>
  <si>
    <t>Korea.Anhchaohe.1840.Giaotiep</t>
  </si>
  <si>
    <t>Japan.giaotiep.TANDL</t>
  </si>
  <si>
    <t>Japan.TANDL.1840.giaotiep</t>
  </si>
  <si>
    <t>http://ldp.to/korea_cvs1</t>
  </si>
  <si>
    <t>http://ldp.ink/TANDL_japan</t>
  </si>
  <si>
    <t>http://ldp.to/tienganhkorea_dntt140323</t>
  </si>
  <si>
    <t>UnitedStates.giaotiep.DCLT</t>
  </si>
  <si>
    <t>UnitedStates.DCLT.1840.giaotiep</t>
  </si>
  <si>
    <t>http://ldp.to/tienganhusa_dntttt</t>
  </si>
  <si>
    <t>https://by.tn/hlgus03</t>
  </si>
  <si>
    <t>http://ldp.ink/DCLT_hoaky</t>
  </si>
  <si>
    <t>UnitedStates.Giaotiep.Anhshortthongbao</t>
  </si>
  <si>
    <t>UnitedStates.Anhshortthongbao.1845.Giaotiep</t>
  </si>
  <si>
    <t>http://ldp.to/tienganhkorea_010423</t>
  </si>
  <si>
    <t>UnitedStates.giaotiep.TANDL</t>
  </si>
  <si>
    <t>UnitedStates.TANDL.1840.giaotiep</t>
  </si>
  <si>
    <t>http://ldp.ink/us_cvs2</t>
  </si>
  <si>
    <t>http://ldp.to/tienganhtaiwan_dntt</t>
  </si>
  <si>
    <t>Korea.Anhthongbao12.1840.Giaotiep</t>
  </si>
  <si>
    <t>http://ldp.ink/TANDL_hoaky</t>
  </si>
  <si>
    <t>http://ldp.to/tienganhjapan_dnt2</t>
  </si>
  <si>
    <t>http://ldp.to/korea_cvs2</t>
  </si>
  <si>
    <t>Europe.giaotiep.HSNL</t>
  </si>
  <si>
    <t>Europe.HSNL.1840.giaotiep</t>
  </si>
  <si>
    <t>Vietnam.IELTS.Anhielts1</t>
  </si>
  <si>
    <t>Vietnam.Anhielts1.1850.IELTS</t>
  </si>
  <si>
    <t>http://ldp.to/khoaieltspatado_dnt</t>
  </si>
  <si>
    <t>http://ldp.ink/HSNL_europe</t>
  </si>
  <si>
    <t>http://ldp.to/canada_hlg</t>
  </si>
  <si>
    <t>Europe.giaotiep.TANDL</t>
  </si>
  <si>
    <t>Europe.TANDL.1840.giaotiep</t>
  </si>
  <si>
    <t>Canada.Anhsale10.2055.Giaotiep</t>
  </si>
  <si>
    <t>http://ldp.to/tienganhcanada_dntt</t>
  </si>
  <si>
    <t>http://ldp.ink/TANDL_europe</t>
  </si>
  <si>
    <t>Singapore.Giaotiep.Anhsale12</t>
  </si>
  <si>
    <t>Singapore.Anhsale12.2055.Giaotiep</t>
  </si>
  <si>
    <t>Japan.Giaotiep.Anhshort</t>
  </si>
  <si>
    <t>Japan.Anhshort.1840.Giaotiep</t>
  </si>
  <si>
    <t>Europe.giaotiep.LKG2</t>
  </si>
  <si>
    <t>Europe.LKG2.1840.giaotiep</t>
  </si>
  <si>
    <t>http://ldp.to/tienganhsingapore_dnt</t>
  </si>
  <si>
    <t>Lead</t>
  </si>
  <si>
    <t>Australia.Giaotiep.Anhsale12</t>
  </si>
  <si>
    <t>Australia.Anhsale12.2055.Giaotiep</t>
  </si>
  <si>
    <t>https://s.net.vn/hlgjp11</t>
  </si>
  <si>
    <t>HCM.PRtrungtam.VideoH4trungtam</t>
  </si>
  <si>
    <t>HCM.VideoH4trungtam.1840.PRtrungtam</t>
  </si>
  <si>
    <t>http://ldp.to/tienganhaustralia_leaddnt</t>
  </si>
  <si>
    <t>Taiwan.Anhsale10.2055.Giaotiep</t>
  </si>
  <si>
    <t>http://ldp.ink/LKG2_europe</t>
  </si>
  <si>
    <t>http://ldp.to/CTW_HCM</t>
  </si>
  <si>
    <t>http://ldp.to/tienganhtaiwan_dnttt</t>
  </si>
  <si>
    <t>UnitedStates.giaotiep.DCLT1</t>
  </si>
  <si>
    <t>UnitedStates.DCLT1.1840.giaotiep</t>
  </si>
  <si>
    <t>Europe.Giaotiep.Anhsale12</t>
  </si>
  <si>
    <t>Europe.Anhsale12.2055.Giaotiep</t>
  </si>
  <si>
    <t>HN.PRtrungtam.VideoVTV</t>
  </si>
  <si>
    <t>HN.VideoVTV.1840.PRtrungtam</t>
  </si>
  <si>
    <t>http://ldp.to/tienganheurope_leaddnt</t>
  </si>
  <si>
    <t>http://ldp.ink/DCLT1_hoaky</t>
  </si>
  <si>
    <t>http://ldp.to/CTW_HN</t>
  </si>
  <si>
    <t>UnitedStates.Giaotiep.Anhsale13</t>
  </si>
  <si>
    <t>UnitedStates.Anhsale13.2555.Giaotiep</t>
  </si>
  <si>
    <t>https://patadovietnam.edu.vn/kids_hlg/</t>
  </si>
  <si>
    <t>http://ldp.to/tienganhhoaky_dnt</t>
  </si>
  <si>
    <t>Vietnam.Kids.Anhcambridge</t>
  </si>
  <si>
    <t>Vietnam.Anhcambridge.2855.Kids</t>
  </si>
  <si>
    <t>Japan.Giaotiep.Anhsale13</t>
  </si>
  <si>
    <t>Japan.Anhsale13.1840.Giaotiep</t>
  </si>
  <si>
    <t>http://ldp.ink/TANDL1_hoaky</t>
  </si>
  <si>
    <t>http://ldp.to/tienganhjapanlead_dnt</t>
  </si>
  <si>
    <t>http://ldp.to/kids_cvs</t>
  </si>
  <si>
    <t>KoreaSouth.giaotiep.metatt</t>
  </si>
  <si>
    <t>KoreaSouth.metatt.1840.giaotiep</t>
  </si>
  <si>
    <t>KoreaSouth.Giaotiep.Anhsale13</t>
  </si>
  <si>
    <t>KoreaSouth.Anhsale13.1840.Giaotiep</t>
  </si>
  <si>
    <t>Australia.Giaotiep.Anhfeedback</t>
  </si>
  <si>
    <t>Australia.Anhfeedback.1845.Giaotiep</t>
  </si>
  <si>
    <t>http://ldp.ink/metatt_ks</t>
  </si>
  <si>
    <t>http://ldp.to/tienganhkorealead_dnt</t>
  </si>
  <si>
    <t>http://ldp.to/Feedback_Australia</t>
  </si>
  <si>
    <t>Japan.giaotiep.HTKOC</t>
  </si>
  <si>
    <t>Japan.HTKOC.1840.giaotiep</t>
  </si>
  <si>
    <t>UnitedStates.Giaotiep.Anhfeedback</t>
  </si>
  <si>
    <t>UnitedStates.Anhfeedback.2050.Giaotiep</t>
  </si>
  <si>
    <t>http://ldp.ink/TTHT_japan</t>
  </si>
  <si>
    <t>Philippines.giaotiep.HTKOC</t>
  </si>
  <si>
    <t>Philippines.HTKOC.1840.giaotiep</t>
  </si>
  <si>
    <t>http://ldp.to/Feedback_Us</t>
  </si>
  <si>
    <t>Australia.Giaotiep.Anhshortthongbao</t>
  </si>
  <si>
    <t>Australia.Anhshortthongbao.1845.Giaotiep</t>
  </si>
  <si>
    <t>http://ldp.ink/ttht_philippines</t>
  </si>
  <si>
    <t>KoreaSouth.giaotiep.HTKOC</t>
  </si>
  <si>
    <t>KoreaSouth.HTKOC.1840.giaotiep</t>
  </si>
  <si>
    <t>http://ldp.to/Australia_hlg</t>
  </si>
  <si>
    <t>http://ldp.to/tienganhcanada_dnttt</t>
  </si>
  <si>
    <t>Taiwan.Giaotiep.Anhshortthongbao</t>
  </si>
  <si>
    <t>Taiwan.Anhshortthongbao.1840.Giaotiep</t>
  </si>
  <si>
    <t>http://ldp.ink/ttht_korea</t>
  </si>
  <si>
    <t>Australia.giaotiep.HTKOC</t>
  </si>
  <si>
    <t>Australia.HTKOC.1840.giaotiep</t>
  </si>
  <si>
    <t>http://ldp.to/Taiwan_hlg</t>
  </si>
  <si>
    <t>UnitedStates.Anhshortthongbao.2045.Giaotiep</t>
  </si>
  <si>
    <t>http://ldp.to/khoaieltspatado_dntt</t>
  </si>
  <si>
    <t>UnitedStates.Giaotiep.anhgiaotiepusa</t>
  </si>
  <si>
    <t>UnitedStates.anhgiaotiepusa.2555.Giaotiep</t>
  </si>
  <si>
    <t>http://ldp.ink/ttht_australia</t>
  </si>
  <si>
    <t>Taiwan.giaotiep.HTKOC</t>
  </si>
  <si>
    <t>Taiwan.HTKOC.1840.giaotiep</t>
  </si>
  <si>
    <t>http://ldp.to/tienganhtructuyenusa</t>
  </si>
  <si>
    <t>Korea.Giaotiep.Anhshortthongbao</t>
  </si>
  <si>
    <t>https://patadovietnam.edu.vn/tienganhnguoidilam_dnt</t>
  </si>
  <si>
    <t>http://ldp.ink/ttht_taiwan</t>
  </si>
  <si>
    <t>ALL.giaotiep.HTKOC</t>
  </si>
  <si>
    <t>ALL.HTKOC.1840.giaotiep</t>
  </si>
  <si>
    <t>http://ldp.to/tienganhdilam_japan</t>
  </si>
  <si>
    <t>http://ldp.ink/ttht_all</t>
  </si>
  <si>
    <t>https://s.net.vn/hlgkr12</t>
  </si>
  <si>
    <t>http://ldp.to/tienganhdilam_taiwan</t>
  </si>
  <si>
    <t>Europe.HTKOC2.1840.giaotiep</t>
  </si>
  <si>
    <t>Macao.Giaotiep.Anhtutingt</t>
  </si>
  <si>
    <t>Macao.Anhtutingt.1840.Giaotiep</t>
  </si>
  <si>
    <t>http://ldp.to/tienganhdilam_europe</t>
  </si>
  <si>
    <t>Canada.Giaotiep.Anhsale13</t>
  </si>
  <si>
    <t>https://s.net.vn/HTKOC2-europe</t>
  </si>
  <si>
    <t>Canada.Anhsale13.2555.Giaotiep</t>
  </si>
  <si>
    <t>http://ldp.to/macao_hlg</t>
  </si>
  <si>
    <t>ALL.giaotiep.HTKOC2</t>
  </si>
  <si>
    <t>ALL.HTKOC2.1840.giaotiep</t>
  </si>
  <si>
    <t>http://ldp.to/tienganhdilam_canada</t>
  </si>
  <si>
    <t>http://ldp.ink/HTKOC2_all</t>
  </si>
  <si>
    <t>Japan.giaotiep.PTKOC</t>
  </si>
  <si>
    <t>http://ldp.ink/Philippines_hlg</t>
  </si>
  <si>
    <t>Japan.PTKOC.1840.giaotiep</t>
  </si>
  <si>
    <t>http://ldp.to/tienganhdilam_hoaky</t>
  </si>
  <si>
    <t>http://ldp.ink/PTKOC_japan</t>
  </si>
  <si>
    <t>Australia.Giaotiep.Anhsale13</t>
  </si>
  <si>
    <t>Australia.Anhsale13.2055.Giaotiep</t>
  </si>
  <si>
    <t>Europe.giaotiep.PTKOC</t>
  </si>
  <si>
    <t>Europe.PTKOC.1840.giaotiep</t>
  </si>
  <si>
    <t>http://ldp.to/tienganhdilam_australia</t>
  </si>
  <si>
    <t>http://ldp.ink/PTKOC_europe</t>
  </si>
  <si>
    <t>http://ldp.ink/australia_hlg1</t>
  </si>
  <si>
    <t>ALL.giaotiep.PTKOC</t>
  </si>
  <si>
    <t>ALL.PTKOC.1840.giaotiep</t>
  </si>
  <si>
    <t>http://ldp.to/tienganhkorea_070623</t>
  </si>
  <si>
    <t>Australia.Giaotiep.Videogiangday1</t>
  </si>
  <si>
    <t>http://ldp.ink/PTKOC_all</t>
  </si>
  <si>
    <t>Australia.Videogiangday1.2555.Giaotiep</t>
  </si>
  <si>
    <t>UnitedStates.giaotiep.PTKOC</t>
  </si>
  <si>
    <t>UnitedStates.PTKOC.1840.giaotiep</t>
  </si>
  <si>
    <t>http://ldp.to/tienganhdilam_Aus</t>
  </si>
  <si>
    <t>https://by.tn/hlgca01</t>
  </si>
  <si>
    <t>Canada.Giaotiep.Videogiangday1</t>
  </si>
  <si>
    <t>Canada.Videogiangday1.2555.Giaotiep</t>
  </si>
  <si>
    <t>http://ldp.ink/PTKOC_hoaky</t>
  </si>
  <si>
    <t>UnitedStates.Anhthongbao12.2045.Giaotiep</t>
  </si>
  <si>
    <t>Philippines.giaotiep.PTKOC</t>
  </si>
  <si>
    <t>Philippines.PTKOC.1840.giaotiep</t>
  </si>
  <si>
    <t>http://ldp.to/tienganhdilam_canadaa</t>
  </si>
  <si>
    <t>http://ldp.to/us360_hlg</t>
  </si>
  <si>
    <t>http://ldp.ink/PT_philippines</t>
  </si>
  <si>
    <t>KoreaSouth.giaotiep.PTKOC</t>
  </si>
  <si>
    <t>KoreaSouth.PTKOC.1840.giaotiep</t>
  </si>
  <si>
    <t>http://ldp.to/tienganhdilam_korea</t>
  </si>
  <si>
    <t>http://ldp.ink/PT_hanquoc</t>
  </si>
  <si>
    <t>Australia.Giaotiep.Anhsale61</t>
  </si>
  <si>
    <t>Australia.Anhsale61.3055.Giaotiep</t>
  </si>
  <si>
    <t>http://ldp.to/japan360_hlg</t>
  </si>
  <si>
    <t>Taiwan.giaotiep.PTKOC</t>
  </si>
  <si>
    <t>Taiwan.PTKOC.1840.giaotiep</t>
  </si>
  <si>
    <t>Japan.Giaotiep.Anhldpjapan</t>
  </si>
  <si>
    <t>Japan.Anhldpjapan.2140.Giaotiep</t>
  </si>
  <si>
    <t>http://ldp.to/tienganhdilam_uc</t>
  </si>
  <si>
    <t>Canada.Giaotiep.Anhsale61</t>
  </si>
  <si>
    <t>Canada.Anhsale61.3055.Giaotiep</t>
  </si>
  <si>
    <t>http://ldp.to/tienganhchonguoimatgoc_canada</t>
  </si>
  <si>
    <t>http://ldp.ink/PT_taiwan</t>
  </si>
  <si>
    <t>http://ldp.to/japan10_hlg</t>
  </si>
  <si>
    <t>UnitedStates.Giaotiep.Anhsale61</t>
  </si>
  <si>
    <t>UnitedStates.Anhsale61.3055.Giaotiep</t>
  </si>
  <si>
    <t>UnitedStates.Videolophoc.2045.Giaotiep</t>
  </si>
  <si>
    <t>Japan.jh2.1840.giaotiep</t>
  </si>
  <si>
    <t>http://ldp.to/tienganhchonguoimatgoc_usa</t>
  </si>
  <si>
    <t>http://ldp.ink/jh2_japan</t>
  </si>
  <si>
    <t>http://ldp.to/us10_hlg</t>
  </si>
  <si>
    <t>https://patadovietnam.edu.vn/japan_hn/</t>
  </si>
  <si>
    <t>Australia.Anhsale61.2555.Giaotiep</t>
  </si>
  <si>
    <t>Japan.giaotiep.jh3</t>
  </si>
  <si>
    <t>Japan.jh3.1840.giaotiep</t>
  </si>
  <si>
    <t>http://ldp.ink/jh3_japan</t>
  </si>
  <si>
    <t>http://ldp.to/Us2_hlg</t>
  </si>
  <si>
    <t>https://patadovietnam.edu.vn/giaotiepchung_hn/</t>
  </si>
  <si>
    <t>UnitedStates.giaotiep.jh3</t>
  </si>
  <si>
    <t>UnitedStates.jh3.1840.giaotiep</t>
  </si>
  <si>
    <t>http://ldp.ink/jh3_hoaky</t>
  </si>
  <si>
    <t>http://ldp.to/Kid1_hlg</t>
  </si>
  <si>
    <t>Taiwan.giaotiep.jh3</t>
  </si>
  <si>
    <t>Taiwan.jh3.1840.giaotiep</t>
  </si>
  <si>
    <t>http://ldp.to/tienganhjapan_dnt3</t>
  </si>
  <si>
    <t>Europe.Kids.Anhcambridge</t>
  </si>
  <si>
    <t>Europe.Anhcambridge.2550.Kids</t>
  </si>
  <si>
    <t>Europe.Anhsale12.3055.Giaotiep</t>
  </si>
  <si>
    <t>http://ldp.ink/jh3_taiwan</t>
  </si>
  <si>
    <t>Philippines.giaotiep.jh3</t>
  </si>
  <si>
    <t>http://ldp.to/tienganhtoandien_europe</t>
  </si>
  <si>
    <t>Philippines.jh3.1840.giaotiep</t>
  </si>
  <si>
    <t>http://ldp.to/Kid2_hlg</t>
  </si>
  <si>
    <t>UnitedStates.Giaotiep.vdhv</t>
  </si>
  <si>
    <t>UnitedStates.vdhv.3055.Giaotiep</t>
  </si>
  <si>
    <t>Australia.Giaotiep.vdhv</t>
  </si>
  <si>
    <t>Australia.vdhv.3055.Giaotiep</t>
  </si>
  <si>
    <t>http://ldp.ink/jh3_philippines</t>
  </si>
  <si>
    <t>http://ldp.to/tienganhtoandien_australia</t>
  </si>
  <si>
    <t>KoreaSouth.giaotiep.jh3</t>
  </si>
  <si>
    <t>KoreaSouth.jh3.1840.giaotiep</t>
  </si>
  <si>
    <t>Canada.Giaotiep.vdhv</t>
  </si>
  <si>
    <t>Canada.vdhv.3055.Giaotiep</t>
  </si>
  <si>
    <t>http://ldp.to/tienganhtoandien_canada</t>
  </si>
  <si>
    <t>KoreaSouth.Giaotiep.Anhsale12</t>
  </si>
  <si>
    <t>KoreaSouth.Anhsale12.1840.Giaotiep</t>
  </si>
  <si>
    <t>http://ldp.ink/jh3_hanquoc</t>
  </si>
  <si>
    <t>http://ldp.ink/ielts_HLG</t>
  </si>
  <si>
    <t>http://ldp.to/tienganhtoandien_korea</t>
  </si>
  <si>
    <t>Mexico.Giaotiep.Anhchung</t>
  </si>
  <si>
    <t>Mexico.Anhchung.2045.Giaotiep</t>
  </si>
  <si>
    <t>http://ldp.ink/PT_japan</t>
  </si>
  <si>
    <t>http://ldp.to/SA_hlg</t>
  </si>
  <si>
    <t>Australia.Giaotiep.Anhmatgocdengiaotiep</t>
  </si>
  <si>
    <t>Australia.Anhmatgocdengiaotiep.1840.Giaotiep</t>
  </si>
  <si>
    <t>http://ldp.ink/HT_japan</t>
  </si>
  <si>
    <t>http://ldp.to/Australia_hlg3</t>
  </si>
  <si>
    <t>https://patadovietnam.edu.vn/tienganhdoanhnghiep_hn</t>
  </si>
  <si>
    <t>UnitedStates.Giaotiep.Anhlotrinhxanh</t>
  </si>
  <si>
    <t>UnitedStates.Anhlotrinhxanh.1845.Giaotiep</t>
  </si>
  <si>
    <t>Vietnam.DoanhNghiep.4KNBE2</t>
  </si>
  <si>
    <t>Vietnam.4KNBE2.1840.DoanhNghiep</t>
  </si>
  <si>
    <t>Japan.Giaotiep.Anhmolop</t>
  </si>
  <si>
    <t>Japan.Anhmolop.1840.Giaotiep</t>
  </si>
  <si>
    <t>http://ldp.ink/4KNBE2_Hn</t>
  </si>
  <si>
    <t>Vietnam.DoanhNghiep.VDM</t>
  </si>
  <si>
    <t>Vietnam.VDM.1836.DoanhNghiep</t>
  </si>
  <si>
    <t>http://ldp.ink/japan_hlg3</t>
  </si>
  <si>
    <t>KoreaSouth.Giaotiep.Anhjh</t>
  </si>
  <si>
    <t>KoreaSouth.Anhjh.1840.Giaotiep</t>
  </si>
  <si>
    <t>REEL</t>
  </si>
  <si>
    <t>Japan.Videolophoc.Giaotiep</t>
  </si>
  <si>
    <t>Videolophoc</t>
  </si>
  <si>
    <t>http://ldp.ink/VDM_vietnam</t>
  </si>
  <si>
    <t>Philippines.Giaotiep.anhjh</t>
  </si>
  <si>
    <t>Philippines.anhjh.2045.Giaotiep</t>
  </si>
  <si>
    <t>HCM.DoanhNghiep.VDM</t>
  </si>
  <si>
    <t>HCM.VDM.1836.DoanhNghiep</t>
  </si>
  <si>
    <t>http://ldp.to/tienganhtoandien_philippines</t>
  </si>
  <si>
    <t>http://ldp.ink/VDM_HCM</t>
  </si>
  <si>
    <t>http://ldp.to/Lead_japan_hlg1</t>
  </si>
  <si>
    <t>Taiwan.Giaotiep.anhjh</t>
  </si>
  <si>
    <t>Haiphong</t>
  </si>
  <si>
    <t>Haiphong.DoanhNghiep.4KNBE2</t>
  </si>
  <si>
    <t>Haiphong.4KNBE2.1840.DoanhNghiep</t>
  </si>
  <si>
    <t>Taiwan.anhjh.2045.Giaotiep</t>
  </si>
  <si>
    <t>http://ldp.ink/4KNBE2_hp</t>
  </si>
  <si>
    <t>http://ldp.to/tienganhtoandien_taiwan</t>
  </si>
  <si>
    <t>http://ldp.ink/lead_us_hlg</t>
  </si>
  <si>
    <t>QuangNinh</t>
  </si>
  <si>
    <t>QuangNinh.DoanhNghiep.4KNBE2</t>
  </si>
  <si>
    <t>QuangNinh.4KNBE2.1840.DoanhNghiep</t>
  </si>
  <si>
    <t>Europe.Giaotiep.Anhshort</t>
  </si>
  <si>
    <t>UnitedStates.Giaotiep.vdlh</t>
  </si>
  <si>
    <t>Europe.Anhshort.2045.Giaotiep</t>
  </si>
  <si>
    <t>UnitedStates.vdlh.2055.Giaotiep</t>
  </si>
  <si>
    <t>http://ldp.ink/4KNBE2_qn</t>
  </si>
  <si>
    <t>http://ldp.to/eu_lead_hlg</t>
  </si>
  <si>
    <t>Australia.Giaotiep.vdlh</t>
  </si>
  <si>
    <t>Australia.vdlh.2055.Giaotiep</t>
  </si>
  <si>
    <t>HCM.DoanhNghiep.4KNBE2</t>
  </si>
  <si>
    <t>HCM.4KNBE2.1836.DoanhNghiep</t>
  </si>
  <si>
    <t>Korea.Giaotiep.Anhmolop</t>
  </si>
  <si>
    <t>Korea.Anhmolop.1840.Giaotiep</t>
  </si>
  <si>
    <t>Canada.Giaotiep.vdlh</t>
  </si>
  <si>
    <t>http://ldp.ink/4KNBE2_hcm</t>
  </si>
  <si>
    <t>Canada.vdlh.2055.Giaotiep</t>
  </si>
  <si>
    <t>QuangNinh.DoanhNghiep.VDM</t>
  </si>
  <si>
    <t>QuangNinh.VDM.1840.DoanhNghiep</t>
  </si>
  <si>
    <t>http://ldp.to/khoatienganhtoandien_canada</t>
  </si>
  <si>
    <t>http://ldp.to/Korea_Lead_hlg</t>
  </si>
  <si>
    <t>https://patadovietnam.edu.vn/tienganhnguoidilamkorea</t>
  </si>
  <si>
    <t>KoreaSouth.Giaotiep.Anhtblh</t>
  </si>
  <si>
    <t>KoreaSouth.Anhtblh.1840.Giaotiep</t>
  </si>
  <si>
    <t>Europe.Giaotiep.Anhshort1</t>
  </si>
  <si>
    <t>Europe.Anhshort1.2045.Giaotiep</t>
  </si>
  <si>
    <t>http://ldp.ink/VDM_quangninh</t>
  </si>
  <si>
    <t>http://ldp.to/tienganhnguoidilam_korea</t>
  </si>
  <si>
    <t>http://ldp.to/eu_hlg1</t>
  </si>
  <si>
    <t>UnitedStates.giaotiep.BDB</t>
  </si>
  <si>
    <t>UnitedStates.BDB.1840.giaotiep</t>
  </si>
  <si>
    <t>Philippines.Giaotiep.Anhtblh</t>
  </si>
  <si>
    <t>Philippines.Anhtblh.2045.Giaotiep</t>
  </si>
  <si>
    <t>UnitedStates.Giaotiep.Nailsstorytelling</t>
  </si>
  <si>
    <t>UnitedStates.Nailsstorytelling.2050.Giaotiep</t>
  </si>
  <si>
    <t>CDNVTM</t>
  </si>
  <si>
    <t>http://ldp.to/tienganhnguoidilam_philippines</t>
  </si>
  <si>
    <t>http://ldp.ink/BDB_hoaky</t>
  </si>
  <si>
    <t>https://patadovietnam.edu.vn/tienganhnguoidilamjapan</t>
  </si>
  <si>
    <t>Taiwan.giaotiep.BDB</t>
  </si>
  <si>
    <t>Taiwan.BDB.1840.giaotiep</t>
  </si>
  <si>
    <t>https://patado.edu.vn/hlg_tattp_gt</t>
  </si>
  <si>
    <t>Japan.Giaotiep.Anhtblh</t>
  </si>
  <si>
    <t>Japan.Anhtblh.1840.Giaotiep</t>
  </si>
  <si>
    <t>Japan.Giaotiep.M37C30</t>
  </si>
  <si>
    <t>Japan.M37C30.2045.Giaotiep</t>
  </si>
  <si>
    <t>http://ldp.ink/BDB_taiwan</t>
  </si>
  <si>
    <t>Philippines.giaotiep.BDB</t>
  </si>
  <si>
    <t>Philippines.BDB.1840.giaotiep</t>
  </si>
  <si>
    <t>http://ldp.ink/tienganhnguoidilam_japan</t>
  </si>
  <si>
    <t>https://byvn.net/hlgjp26</t>
  </si>
  <si>
    <t>Taiwan.Giaotiep.Anhtblh</t>
  </si>
  <si>
    <t>Taiwan.Anhtblh.2045.Giaotiep</t>
  </si>
  <si>
    <t>https://patadovietnam.edu.vn/hlg_kr_tattpvn</t>
  </si>
  <si>
    <t>http://ldp.ink/BDB_philippines</t>
  </si>
  <si>
    <t>KoreaSouth.Giaotiep.M36C24</t>
  </si>
  <si>
    <t>KoreaSouth.M36C24.2045.Giaotiep</t>
  </si>
  <si>
    <t>KoreaSouth.giaotiep.BDB</t>
  </si>
  <si>
    <t>KoreaSouth.BDB.1840.giaotiep</t>
  </si>
  <si>
    <t>http://ldp.to/tienganhnguoidilam_dailoan</t>
  </si>
  <si>
    <t>UnitedStates.Giaotiep.Anhtblh</t>
  </si>
  <si>
    <t>UnitedStates.Anhtblh.2050.Giaotiep</t>
  </si>
  <si>
    <t>http://ldp.ink/hlg_korea</t>
  </si>
  <si>
    <t>https://patadovietnam.edu.vn/hlg_us_tattpvn</t>
  </si>
  <si>
    <t>UnitedStates.Giaotiep.M49C34</t>
  </si>
  <si>
    <t>Canada.Giaotiep.Anhtblh</t>
  </si>
  <si>
    <t>UnitedStates.M49C34.2045.Giaotiep</t>
  </si>
  <si>
    <t>Canada.Anhtblh.2045.Giaotiep</t>
  </si>
  <si>
    <t>http://ldp.to/tienganhnguoidilam_canada</t>
  </si>
  <si>
    <t>http://ldp.ink/hlg_us_tattpvn</t>
  </si>
  <si>
    <t>Australia.Giaotiep.Anhtblh</t>
  </si>
  <si>
    <t>Australia.Anhtblh.2045.Giaotiep</t>
  </si>
  <si>
    <t>Malaysia.Giaotiep.M50C35</t>
  </si>
  <si>
    <t>Malaysia.M50C35.2040.Giaotiep</t>
  </si>
  <si>
    <t>http://ldp.ink/hlg_my_tattpvn</t>
  </si>
  <si>
    <t>KoreaSouth.Giaotiep.Anhbeaf</t>
  </si>
  <si>
    <t>KoreaSouth.Anhbeaf.1840.Giaotiep</t>
  </si>
  <si>
    <t>https://patadovietnam.edu.vn/hlg_eu_tattpvn</t>
  </si>
  <si>
    <t>http://ldp.ink/BDB_hanquoc</t>
  </si>
  <si>
    <t>Europe.Giaotiep.M46C35</t>
  </si>
  <si>
    <t>Europe.M46C35.2040.Giaotiep</t>
  </si>
  <si>
    <t>Europe.giaotiep.BDB</t>
  </si>
  <si>
    <t>Europe.BDB.1840.giaotiep</t>
  </si>
  <si>
    <t>Taiwan.Giaotiep.Anhbeaf</t>
  </si>
  <si>
    <t>Taiwan.Anhbeaf.2045.Giaotiep</t>
  </si>
  <si>
    <t>http://ldp.ink/hlg_eu_tattpvn</t>
  </si>
  <si>
    <t>http://ldp.to/tienganhthanhthao_taiwan</t>
  </si>
  <si>
    <t>http://ldp.ink/BDB_europe</t>
  </si>
  <si>
    <t>UnitedStates.Giaotiep.M54C41</t>
  </si>
  <si>
    <t>UnitedStates.M54C41.2045.Giaotiep</t>
  </si>
  <si>
    <t>Canada.Giaotiep.Anhbeaf</t>
  </si>
  <si>
    <t>Canada.Anhbeaf.2045.Giaotiep</t>
  </si>
  <si>
    <t>Japan.giaotiep.BDB</t>
  </si>
  <si>
    <t>Japan.BDB.1840.giaotiep</t>
  </si>
  <si>
    <t>http://ldp.to/tienganhthanhthao_canada</t>
  </si>
  <si>
    <t>http://ldp.ink/BDB_japan</t>
  </si>
  <si>
    <t>http://ldp.ink/hlg_us_tattp</t>
  </si>
  <si>
    <t>https://patadovietnam.edu.vn/hlg_jp_tattpvn</t>
  </si>
  <si>
    <t>Singapore.Giaotiep.Anhbeaf</t>
  </si>
  <si>
    <t>Singapore.Anhbeaf.2045.Giaotiep</t>
  </si>
  <si>
    <t>Australia.giaotiep.BDB</t>
  </si>
  <si>
    <t>Australia.BDB.1840.giaotiep</t>
  </si>
  <si>
    <t>Japan.Giaotiep.M54C41</t>
  </si>
  <si>
    <t>Japan.M54C41.2045.Giaotiep</t>
  </si>
  <si>
    <t>http://ldp.to/tienganhtoandien_singapore</t>
  </si>
  <si>
    <t>http://ldp.ink/BDB_australia</t>
  </si>
  <si>
    <t>UnitedStates.Giaotiep.Anhbeaf</t>
  </si>
  <si>
    <t>UnitedStates.Anhbeaf.2045.Giaotiep</t>
  </si>
  <si>
    <t>Canada.giaotiep.BDB</t>
  </si>
  <si>
    <t>Canada.BDB.1840.giaotiep</t>
  </si>
  <si>
    <t>http://ldp.ink/hlg_jp_tattpvn1</t>
  </si>
  <si>
    <t>Korea.Giaotiep.M54C41</t>
  </si>
  <si>
    <t>Korea.M54C41.2040.Giaotiep</t>
  </si>
  <si>
    <t>http://ldp.ink/BDB_canada</t>
  </si>
  <si>
    <t>Australia.Giaotiep.Anhbeaf</t>
  </si>
  <si>
    <t>Australia.Anhbeaf.2050.Giaotiep</t>
  </si>
  <si>
    <t>Vietnam.DoanhNghiep.HTKOC2</t>
  </si>
  <si>
    <t>Vietnam.HTKOC2.1836.DoanhNghiep</t>
  </si>
  <si>
    <t>http://ldp.ink/hlg_kr_tattp</t>
  </si>
  <si>
    <t>Europe.Giaotiep.M54C41</t>
  </si>
  <si>
    <t>Europe.M54C41.2040.Giaotiep</t>
  </si>
  <si>
    <t>http://ldp.to/khoatienganhtoandien_australia</t>
  </si>
  <si>
    <t>http://ldp.ink/HTKOC2_vietnam</t>
  </si>
  <si>
    <t>HCM.DoanhNghiep.HTKOC2</t>
  </si>
  <si>
    <t>HCM.HTKOC2.1836.DoanhNghiep</t>
  </si>
  <si>
    <t>Japan.Giaotiep.Anhbeaf</t>
  </si>
  <si>
    <t>Japan.Anhbeaf.1840.Giaotiep</t>
  </si>
  <si>
    <t>Taiwan.Giaotiep.M54C41</t>
  </si>
  <si>
    <t>Taiwan.M54C41.2040.Giaotiep</t>
  </si>
  <si>
    <t>http://ldp.ink/HTKOC2_HCM</t>
  </si>
  <si>
    <t>http://ldp.to/tienganhthanhthao_japan</t>
  </si>
  <si>
    <t>Japan.giaotiep.HTKOC2</t>
  </si>
  <si>
    <t>Japan.HTKOC2.1840.giaotiep</t>
  </si>
  <si>
    <t>http://ldp.ink/hlg_tw_tattpvn</t>
  </si>
  <si>
    <t>http://ldp.ink/HTKOC2_japan</t>
  </si>
  <si>
    <t>UnitedStates.Giaotiep.M37C30</t>
  </si>
  <si>
    <t>UnitedStates.M37C30.2045.Giaotiep</t>
  </si>
  <si>
    <t>Vietnam.Doanhnghiep.TACS</t>
  </si>
  <si>
    <t>Vietnam.TACS.1836.DoanhNghiep</t>
  </si>
  <si>
    <t>Japan.Giaotiep.Anhkg</t>
  </si>
  <si>
    <t>Japan.Anhkg.1840.Giaotiep</t>
  </si>
  <si>
    <t>http://ldp.ink/TACS_Vietnam</t>
  </si>
  <si>
    <t>http://ldp.ink/hlg_us_tattpvn1</t>
  </si>
  <si>
    <t>Vietnam.Doanhnghiep.NDLCS</t>
  </si>
  <si>
    <t>Vietnam.NDLCS.1836.DoanhNghiep</t>
  </si>
  <si>
    <t>Taiwan.Giaotiep.M46C39</t>
  </si>
  <si>
    <t>Taiwan.M46C39.2040.Giaotiep</t>
  </si>
  <si>
    <t>UnitedStates.Giaotiep.Anhkg</t>
  </si>
  <si>
    <t>UnitedStates.Anhkg.2050.Giaotiep</t>
  </si>
  <si>
    <t>http://ldp.ink/NDLCS_vietnam</t>
  </si>
  <si>
    <t>http://ldp.to/khoatienganhtoandien_usa</t>
  </si>
  <si>
    <t>Europe.giaotiep.PTKO2</t>
  </si>
  <si>
    <t>Europe.PTKO2.1840.giaotiep</t>
  </si>
  <si>
    <t>KoreaSouth.Giaotiep.M62C35</t>
  </si>
  <si>
    <t>Korea.M62C35.2040.Giaotiep</t>
  </si>
  <si>
    <t>Canada.Giaotiep.Anhkg</t>
  </si>
  <si>
    <t>Canada.Anhkg.2050.Giaotiep</t>
  </si>
  <si>
    <t>http://ldp.ink/PTKO2_europe</t>
  </si>
  <si>
    <t>http://ldp.ink/hlg_kr_pgpgtta</t>
  </si>
  <si>
    <t>Europe.giaotiep.PTHTKO</t>
  </si>
  <si>
    <t>Europe.PTHTKO.1840.giaotiep</t>
  </si>
  <si>
    <t>ALL.IETLS.M63C47</t>
  </si>
  <si>
    <t>ALL.M63C47.2040.IELTS</t>
  </si>
  <si>
    <t>http://ldp.ink/PTHTKO_europe</t>
  </si>
  <si>
    <t>Australia.Giaotiep.Anhkg</t>
  </si>
  <si>
    <t>Australia.Anhkg.2050.Giaotiep</t>
  </si>
  <si>
    <t>Europe.giaotiep.JHKO</t>
  </si>
  <si>
    <t>Europe.JHKO.1840.giaotiep</t>
  </si>
  <si>
    <t>http://ldp.ink/hlg_all_tattpvn</t>
  </si>
  <si>
    <t>ALL.Giaotiep.M64C48</t>
  </si>
  <si>
    <t>ALL.M64C48.2040.Giaotiep</t>
  </si>
  <si>
    <t>http://ldp.ink/JHKO_europe</t>
  </si>
  <si>
    <t>Vietnam.Doanhnghiep.MLBE</t>
  </si>
  <si>
    <t>Vietnam.MLBE.1836.DoanhNghiep</t>
  </si>
  <si>
    <t>Singapore.Giaotiep.Anhkg</t>
  </si>
  <si>
    <t>Singapore.Anhkg.2050.Giaotiep</t>
  </si>
  <si>
    <t>https://s.net.vn/hlgall07</t>
  </si>
  <si>
    <t>http://ldp.ink/MLBE_vietnam</t>
  </si>
  <si>
    <t>E1:E</t>
  </si>
  <si>
    <t>UnitedStates.Giaotiep.M77C57</t>
  </si>
  <si>
    <t>Chưa xác định (cxd)</t>
  </si>
  <si>
    <t>UnitedStates.M77C57.2040.Giaotiep</t>
  </si>
  <si>
    <t>Vietnam.Doanhnghiep.MLBE1</t>
  </si>
  <si>
    <t>Vietnam.MLBE1.1836.DoanhNghiep</t>
  </si>
  <si>
    <t>Chưa rõ tỉnh (Vietnam)</t>
  </si>
  <si>
    <t>An Giang (Vietnam)</t>
  </si>
  <si>
    <t>Philippines.Giaotiep.Anhkg</t>
  </si>
  <si>
    <t>Philippines.Anhkg.2050.Giaotiep</t>
  </si>
  <si>
    <t>http://ldp.ink/MLBE1_vietnam</t>
  </si>
  <si>
    <t>https://s.net.vn/hlgus02</t>
  </si>
  <si>
    <t>Vietnam.Doanhnghiep.UDBE</t>
  </si>
  <si>
    <t>Vietnam.UDBE.3140.DoanhNghiep</t>
  </si>
  <si>
    <t>KoreaSouth.Giaotiep.Anhlt</t>
  </si>
  <si>
    <t>KoreaSouth.Anhlt.1840.Giaotiep</t>
  </si>
  <si>
    <t>Europe.Giaotiep.M82C55</t>
  </si>
  <si>
    <t>Europe.M82C55.2040.Giaotiep</t>
  </si>
  <si>
    <t>http://ldp.ink/UDBE_vn</t>
  </si>
  <si>
    <t>Japan.Giaotiep.Anhlt</t>
  </si>
  <si>
    <t>Japan.Anhlt.1840.Giaotiep</t>
  </si>
  <si>
    <t>Vietnam.Doanhnghiep.UDBE1</t>
  </si>
  <si>
    <t>Vietnam.UDBE1.2030.DoanhNghiep</t>
  </si>
  <si>
    <t>Bà Rịa - Vũng Tàu (Vietnam)</t>
  </si>
  <si>
    <t>Bắc Giang (Vietnam)</t>
  </si>
  <si>
    <t>Afghanistan</t>
  </si>
  <si>
    <t>Bắc Kạn (Vietnam)</t>
  </si>
  <si>
    <t>Albania</t>
  </si>
  <si>
    <t>Bạc Liêu (Vietnam)</t>
  </si>
  <si>
    <t>Algeria</t>
  </si>
  <si>
    <t>Bắc Ninh (Vietnam)</t>
  </si>
  <si>
    <t>Andorra</t>
  </si>
  <si>
    <t>Bến Tre (Vietnam)</t>
  </si>
  <si>
    <t>Angola</t>
  </si>
  <si>
    <t>http://ldp.ink/hlg_eu_tattpvn1</t>
  </si>
  <si>
    <t>Bình Định (Vietnam)</t>
  </si>
  <si>
    <t>AntiguaBarbuda</t>
  </si>
  <si>
    <t>Bình Dương (Vietnam)</t>
  </si>
  <si>
    <t>Bình Phước (Vietnam)</t>
  </si>
  <si>
    <t>Armenia</t>
  </si>
  <si>
    <t>Bình Thuận (Vietnam)</t>
  </si>
  <si>
    <t>Cà Mau (Vietnam)</t>
  </si>
  <si>
    <t>Cao Bằng (Vietnam)</t>
  </si>
  <si>
    <t>Azerbaijan</t>
  </si>
  <si>
    <t>Đắk Lắk (Vietnam)</t>
  </si>
  <si>
    <t>UnitedStates.Giaotiep.Anhlt</t>
  </si>
  <si>
    <t>Bahamas</t>
  </si>
  <si>
    <t>UnitedStates.Anhlt.2050.Giaotiep</t>
  </si>
  <si>
    <t>Đắk Nông (Vietnam)</t>
  </si>
  <si>
    <t>Bahrain</t>
  </si>
  <si>
    <t>Điện Biên (Vietnam)</t>
  </si>
  <si>
    <t>Bangladesh</t>
  </si>
  <si>
    <t>Đồng Nai (Vietnam)</t>
  </si>
  <si>
    <t>Barbados</t>
  </si>
  <si>
    <t>Đồng Tháp (Vietnam)</t>
  </si>
  <si>
    <t>Belarus</t>
  </si>
  <si>
    <t>Gia Lai (Vietnam)</t>
  </si>
  <si>
    <t>Hà Giang (Vietnam)</t>
  </si>
  <si>
    <t>Belize</t>
  </si>
  <si>
    <t>Hà Tĩnh (Vietnam)</t>
  </si>
  <si>
    <t>Benin</t>
  </si>
  <si>
    <t>Hải Dương (Vietnam)</t>
  </si>
  <si>
    <t>Bhutan</t>
  </si>
  <si>
    <t>Hậu Giang (Vietnam)</t>
  </si>
  <si>
    <t>Bolivia</t>
  </si>
  <si>
    <t>Australia.Giaotiep.M82C55</t>
  </si>
  <si>
    <t>Hòa Bình (Vietnam)</t>
  </si>
  <si>
    <t>Australia.M82C55.2040.Giaotiep</t>
  </si>
  <si>
    <t>BosniaHerzegovina</t>
  </si>
  <si>
    <t>Hưng Yên (Vietnam)</t>
  </si>
  <si>
    <t>Botswana</t>
  </si>
  <si>
    <t>Khánh Hòa (Vietnam)</t>
  </si>
  <si>
    <t>Brazil</t>
  </si>
  <si>
    <t>http://ldp.ink/UDBE1_vn</t>
  </si>
  <si>
    <t>Kiên Giang (Vietnam)</t>
  </si>
  <si>
    <t>Brunei</t>
  </si>
  <si>
    <t>Kon Tum (Vietnam)</t>
  </si>
  <si>
    <t>Bulgaria</t>
  </si>
  <si>
    <t>Lai Châu (Vietnam)</t>
  </si>
  <si>
    <t>BurkinaFaso</t>
  </si>
  <si>
    <t>Lâm Đồng (Vietnam)</t>
  </si>
  <si>
    <t>Burundi</t>
  </si>
  <si>
    <t>Lạng Sơn (Vietnam)</t>
  </si>
  <si>
    <t>Lào Cai (Vietnam)</t>
  </si>
  <si>
    <t>Cameroon</t>
  </si>
  <si>
    <t>Long An (Vietnam)</t>
  </si>
  <si>
    <t>Nam Định (Vietnam)</t>
  </si>
  <si>
    <t>CapeVerde</t>
  </si>
  <si>
    <t>Nghệ An (Vietnam)</t>
  </si>
  <si>
    <t>CentralAfricanRepublic</t>
  </si>
  <si>
    <t>Ninh Bình (Vietnam)</t>
  </si>
  <si>
    <t>Chad</t>
  </si>
  <si>
    <t>Ninh Thuận (Vietnam)</t>
  </si>
  <si>
    <t>Chile</t>
  </si>
  <si>
    <t>Phú Thọ (Vietnam)</t>
  </si>
  <si>
    <t>Quảng Bình (Vietnam)</t>
  </si>
  <si>
    <t>Colombia</t>
  </si>
  <si>
    <t>Quảng Ngãi (Vietnam)</t>
  </si>
  <si>
    <t>Comoros</t>
  </si>
  <si>
    <t>Quảng Ninh (Vietnam)</t>
  </si>
  <si>
    <t>RepublicOfTheCongo</t>
  </si>
  <si>
    <t>Quảng Trị (Vietnam)</t>
  </si>
  <si>
    <t>DemocraticRepublicOfTheCongo</t>
  </si>
  <si>
    <t>Sóc Trăng (Vietnam)</t>
  </si>
  <si>
    <t>CostaRica</t>
  </si>
  <si>
    <t>Vietnam.MLBE.2030.DoanhNghiep</t>
  </si>
  <si>
    <t>Sơn La (Vietnam)</t>
  </si>
  <si>
    <t>IvoryCoast</t>
  </si>
  <si>
    <t>Tây Ninh (Vietnam)</t>
  </si>
  <si>
    <t>Croatia</t>
  </si>
  <si>
    <t>Thái Bình (Vietnam)</t>
  </si>
  <si>
    <t>Cuba</t>
  </si>
  <si>
    <t>Thái Nguyên (Vietnam)</t>
  </si>
  <si>
    <t>Cyprus</t>
  </si>
  <si>
    <t>Thanh Hóa (Vietnam)</t>
  </si>
  <si>
    <t>Thừa Thiên Huế (Vietnam)</t>
  </si>
  <si>
    <t>Tiền Giang (Vietnam)</t>
  </si>
  <si>
    <t>Djibouti</t>
  </si>
  <si>
    <t>Trà Vinh (Vietnam)</t>
  </si>
  <si>
    <t>Dominica</t>
  </si>
  <si>
    <t>Tuyên Quang (Vietnam)</t>
  </si>
  <si>
    <t>DominicanRepublic</t>
  </si>
  <si>
    <t>Vĩnh Long (Vietnam)</t>
  </si>
  <si>
    <t>EastTimor</t>
  </si>
  <si>
    <t>Vĩnh Phúc (Vietnam)</t>
  </si>
  <si>
    <t>Ecuador</t>
  </si>
  <si>
    <t>Yên Bái (Vietnam)</t>
  </si>
  <si>
    <t>Egypt</t>
  </si>
  <si>
    <t>Phú Yên (Vietnam)</t>
  </si>
  <si>
    <t>ElSalvador</t>
  </si>
  <si>
    <t>Đà Nẵng (Vietnam)</t>
  </si>
  <si>
    <t>http://ldp.ink/hlg_au_tattpvn</t>
  </si>
  <si>
    <t>EquatorialGuinea</t>
  </si>
  <si>
    <t>Hải Phòng (Vietnam)</t>
  </si>
  <si>
    <t>Estonia</t>
  </si>
  <si>
    <t>Hà Nội (Vietnam)</t>
  </si>
  <si>
    <t>Ethiopia</t>
  </si>
  <si>
    <t>TP HCM (Vietnam)</t>
  </si>
  <si>
    <t>Eritrea</t>
  </si>
  <si>
    <t>Hà Nam (Vietnam)</t>
  </si>
  <si>
    <t>Fiji</t>
  </si>
  <si>
    <t>Cần Thơ (Vietnam)</t>
  </si>
  <si>
    <t>Quảng Nam (Vietnam)</t>
  </si>
  <si>
    <t>Finland</t>
  </si>
  <si>
    <t>Afghanistan (Afghanistan)</t>
  </si>
  <si>
    <t>Gabon</t>
  </si>
  <si>
    <t>Albania (Albania)</t>
  </si>
  <si>
    <t>Gambia</t>
  </si>
  <si>
    <t>Algeria (Algeria)</t>
  </si>
  <si>
    <t>Georgia</t>
  </si>
  <si>
    <t>Andorra (Andorra)</t>
  </si>
  <si>
    <t>Angola (Angola)</t>
  </si>
  <si>
    <t>Ghana</t>
  </si>
  <si>
    <t>Antigua và Barbuda (AntiguaBarbuda)</t>
  </si>
  <si>
    <t>Greece</t>
  </si>
  <si>
    <t>http://ldp.ink/MLBE_vnam</t>
  </si>
  <si>
    <t>Argentina (Argentina)</t>
  </si>
  <si>
    <t>Grenada</t>
  </si>
  <si>
    <t>Armenia (Armenia)</t>
  </si>
  <si>
    <t>Philippines.Giaotiep.M82C55</t>
  </si>
  <si>
    <t>Guatemala</t>
  </si>
  <si>
    <t>Philippines.M82C55.2040.Giaotiep</t>
  </si>
  <si>
    <t>Úc (Australia)</t>
  </si>
  <si>
    <t>Guinea</t>
  </si>
  <si>
    <t>Áo (Austria)</t>
  </si>
  <si>
    <t>GuineaBissau</t>
  </si>
  <si>
    <t>Azerbaijan (Azerbaijan)</t>
  </si>
  <si>
    <t>Guyana</t>
  </si>
  <si>
    <t>Bahamas (Bahamas)</t>
  </si>
  <si>
    <t>Haiti</t>
  </si>
  <si>
    <t>Bahrain (Bahrain)</t>
  </si>
  <si>
    <t>Honduras</t>
  </si>
  <si>
    <t>Bangladesh (Bangladesh)</t>
  </si>
  <si>
    <t>Barbados (Barbados)</t>
  </si>
  <si>
    <t>Iceland</t>
  </si>
  <si>
    <t>Belarus (Belarus)</t>
  </si>
  <si>
    <t>Bỉ (Belgium)</t>
  </si>
  <si>
    <t>Belize (Belize)</t>
  </si>
  <si>
    <t>Iran</t>
  </si>
  <si>
    <t>Benin (Benin)</t>
  </si>
  <si>
    <t>Iraq</t>
  </si>
  <si>
    <t>Bhutan (Bhutan)</t>
  </si>
  <si>
    <t>Bolivia (Bolivia)</t>
  </si>
  <si>
    <t>Israel</t>
  </si>
  <si>
    <t>Bosnia và Herzegovina (BosniaHerzegovina)</t>
  </si>
  <si>
    <t>http://ldp.to/khoatienganhtoandien_australia0409</t>
  </si>
  <si>
    <t>Vietnam.MLBE1.3140.DoanhNghiep</t>
  </si>
  <si>
    <t>Botswana (Botswana)</t>
  </si>
  <si>
    <t>Jamaica</t>
  </si>
  <si>
    <t>Brazil (Brazil)</t>
  </si>
  <si>
    <t>Brunei (Brunei)</t>
  </si>
  <si>
    <t>Jordan</t>
  </si>
  <si>
    <t>Bulgaria (Bulgaria)</t>
  </si>
  <si>
    <t>Burkina Faso (BurkinaFaso)</t>
  </si>
  <si>
    <t>Kenya</t>
  </si>
  <si>
    <t>Burundi (Burundi)</t>
  </si>
  <si>
    <t>Kiribati</t>
  </si>
  <si>
    <t>Campuchia (Cambodia)</t>
  </si>
  <si>
    <t>Cameroon (Cameroon)</t>
  </si>
  <si>
    <t>KoreaNorth</t>
  </si>
  <si>
    <t>Canada (Canada)</t>
  </si>
  <si>
    <t>https://patadovietnam.edu.vn/tienganhpatado_ptatdndl</t>
  </si>
  <si>
    <t>Kuwait</t>
  </si>
  <si>
    <t>Cape Verde (CapeVerde)</t>
  </si>
  <si>
    <t>Kyrgyzstan</t>
  </si>
  <si>
    <t>Cộng hòa Trung Phi (CentralAfricanRepublic)</t>
  </si>
  <si>
    <t>Chad (Chad)</t>
  </si>
  <si>
    <t>Latvia</t>
  </si>
  <si>
    <t>Chile (Chile)</t>
  </si>
  <si>
    <t>Lebanon</t>
  </si>
  <si>
    <t>Trung Quốc (China)</t>
  </si>
  <si>
    <t>Lesotho</t>
  </si>
  <si>
    <t>Colombia (Colombia)</t>
  </si>
  <si>
    <t>Liberia</t>
  </si>
  <si>
    <t>Comoros (Comoros)</t>
  </si>
  <si>
    <t>Libya</t>
  </si>
  <si>
    <t>Cộng hòa Congo (RepublicOfTheCongo)</t>
  </si>
  <si>
    <t>Liechtenstein</t>
  </si>
  <si>
    <t>Cộng hòa Dân chủ Congo (DemocraticRepublicOfTheCongo)</t>
  </si>
  <si>
    <t>Luxembourg</t>
  </si>
  <si>
    <t>Costa Rica (CostaRica)</t>
  </si>
  <si>
    <t>Macedonia</t>
  </si>
  <si>
    <t>Bờ Biển Ngà (IvoryCoast)</t>
  </si>
  <si>
    <t>Madagascar</t>
  </si>
  <si>
    <t>Croatia (Croatia)</t>
  </si>
  <si>
    <t>Malawi</t>
  </si>
  <si>
    <t>Cuba (Cuba)</t>
  </si>
  <si>
    <t>Cyprus (Cyprus)</t>
  </si>
  <si>
    <t>Maldives</t>
  </si>
  <si>
    <t>Cộng hòa Séc (CzechRepublic)</t>
  </si>
  <si>
    <t>Mali</t>
  </si>
  <si>
    <t>Đan Mạch (Denmark)</t>
  </si>
  <si>
    <t>http://ldp.ink/MLBE1_vnam</t>
  </si>
  <si>
    <t>Malta</t>
  </si>
  <si>
    <t>Djibouti (Djibouti)</t>
  </si>
  <si>
    <t>MarshallIslands</t>
  </si>
  <si>
    <t>PTATDNDL</t>
  </si>
  <si>
    <t>Dominica (Dominica)</t>
  </si>
  <si>
    <t>Mauritania</t>
  </si>
  <si>
    <t>Cộng hòa Dominica (DominicanRepublic)</t>
  </si>
  <si>
    <t>Mauritius</t>
  </si>
  <si>
    <t>Đông Timor (EastTimor)</t>
  </si>
  <si>
    <t>Ecuador (Ecuador)</t>
  </si>
  <si>
    <t>FederatedStatesOfMicronesia</t>
  </si>
  <si>
    <t>Ai Cập (Egypt)</t>
  </si>
  <si>
    <t>Moldova</t>
  </si>
  <si>
    <t>El Salvador (ElSalvador)</t>
  </si>
  <si>
    <t>Monaco</t>
  </si>
  <si>
    <t>Guinea Xích đạo (EquatorialGuinea)</t>
  </si>
  <si>
    <t>Mongolia</t>
  </si>
  <si>
    <t>Estonia (Estonia)</t>
  </si>
  <si>
    <t>Montenegro</t>
  </si>
  <si>
    <t>Ethiopia (Ethiopia)</t>
  </si>
  <si>
    <t>Morocco</t>
  </si>
  <si>
    <t>Eritrea (Eritrea)</t>
  </si>
  <si>
    <t>Mozambique</t>
  </si>
  <si>
    <t>Fiji (Fiji)</t>
  </si>
  <si>
    <t>Pháp (France)</t>
  </si>
  <si>
    <t>Namibia</t>
  </si>
  <si>
    <t>Phần Lan (Finland)</t>
  </si>
  <si>
    <t>Japan.giaotiep.PTKO2</t>
  </si>
  <si>
    <t>Nauru</t>
  </si>
  <si>
    <t>Japan.PTKO2.1840.giaotiep</t>
  </si>
  <si>
    <t>Gabon (Gabon)</t>
  </si>
  <si>
    <t>Nepal</t>
  </si>
  <si>
    <t>The Gambia (Gambia)</t>
  </si>
  <si>
    <t>Georgia (Georgia)</t>
  </si>
  <si>
    <t>Đức (Germany)</t>
  </si>
  <si>
    <t>Nicaragua</t>
  </si>
  <si>
    <t>Ghana (Ghana)</t>
  </si>
  <si>
    <t>Niger</t>
  </si>
  <si>
    <t>Hy Lạp (Greece)</t>
  </si>
  <si>
    <t>Nigeria</t>
  </si>
  <si>
    <t>Grenada (Grenada)</t>
  </si>
  <si>
    <t>Guatemala (Guatemala)</t>
  </si>
  <si>
    <t>Oman</t>
  </si>
  <si>
    <t>Guinea (Guinea)</t>
  </si>
  <si>
    <t>https://patadovietnam.edu.vn/tienganhnguoidilam_ptatdndl</t>
  </si>
  <si>
    <t>Pakistan</t>
  </si>
  <si>
    <t>Guinea Bissau (GuineaBissau)</t>
  </si>
  <si>
    <t>Palau</t>
  </si>
  <si>
    <t>Guyana (Guyana)</t>
  </si>
  <si>
    <t>Panama</t>
  </si>
  <si>
    <t>Haiti (Haiti)</t>
  </si>
  <si>
    <t>PapuaNewGuinea</t>
  </si>
  <si>
    <t>Honduras (Honduras)</t>
  </si>
  <si>
    <t>Paraguay</t>
  </si>
  <si>
    <t>Hungary (Hungary)</t>
  </si>
  <si>
    <t>Peru</t>
  </si>
  <si>
    <t>Iceland (Iceland)</t>
  </si>
  <si>
    <t>Ấn Độ (India)</t>
  </si>
  <si>
    <t>Indonesia (Indonesia)</t>
  </si>
  <si>
    <t>Iran (Iran)</t>
  </si>
  <si>
    <t>Iraq (Iraq)</t>
  </si>
  <si>
    <t>Romania</t>
  </si>
  <si>
    <t>Ireland (Ireland)</t>
  </si>
  <si>
    <t>Israel (Israel)</t>
  </si>
  <si>
    <t>Rwanda</t>
  </si>
  <si>
    <t>Ý (Italy)</t>
  </si>
  <si>
    <t>SaintKittsAndNevis</t>
  </si>
  <si>
    <t>Jamaica (Jamaica)</t>
  </si>
  <si>
    <t>SaintLucia</t>
  </si>
  <si>
    <t>Nhật Bản (Japan)</t>
  </si>
  <si>
    <t>SaintVincentAndTheGrenadines</t>
  </si>
  <si>
    <t>Jordan (Jordan)</t>
  </si>
  <si>
    <t>Samoa</t>
  </si>
  <si>
    <t>Kazakhstan (Kazakhstan)</t>
  </si>
  <si>
    <t>SanMarino</t>
  </si>
  <si>
    <t>Kenya (Kenya)</t>
  </si>
  <si>
    <t>SaoTomeAndPrincipe</t>
  </si>
  <si>
    <t>Kiribati (Kiribati)</t>
  </si>
  <si>
    <t>SaudiArabia</t>
  </si>
  <si>
    <t>Hàn Quốc (KoreaSouth)</t>
  </si>
  <si>
    <t>Senegal</t>
  </si>
  <si>
    <t>Bắc Triều Tiên hoặc Bắc Hàn(KoreaNorth)</t>
  </si>
  <si>
    <t>http://ldp.ink/PTKO2_japan</t>
  </si>
  <si>
    <t>Serbia</t>
  </si>
  <si>
    <t>Kuwait (Kuwait)</t>
  </si>
  <si>
    <t>Seychelles</t>
  </si>
  <si>
    <t>Kyrgyzstan (Kyrgyzstan)</t>
  </si>
  <si>
    <t>SierraLeone</t>
  </si>
  <si>
    <t>Lào (Laos)</t>
  </si>
  <si>
    <t>Latvia (Latvia)</t>
  </si>
  <si>
    <t>Slovakia</t>
  </si>
  <si>
    <t>Lebanon (Lebanon)</t>
  </si>
  <si>
    <t>Slovenia</t>
  </si>
  <si>
    <t>Lesotho (Lesotho)</t>
  </si>
  <si>
    <t>SolomonIslands</t>
  </si>
  <si>
    <t>Liberia (Liberia)</t>
  </si>
  <si>
    <t>Somalia</t>
  </si>
  <si>
    <t>Libya (Libya)</t>
  </si>
  <si>
    <t>SouthAfrica</t>
  </si>
  <si>
    <t>Liechtenstein (Liechtenstein)</t>
  </si>
  <si>
    <t>Luxembourg (Luxembourg)</t>
  </si>
  <si>
    <t>SriLanka</t>
  </si>
  <si>
    <t>Macedonia (Macedonia)</t>
  </si>
  <si>
    <t>Sudan</t>
  </si>
  <si>
    <t>Madagascar (Madagascar)</t>
  </si>
  <si>
    <t>Suriname</t>
  </si>
  <si>
    <t>Malawi (Malawi)</t>
  </si>
  <si>
    <t>Swaziland</t>
  </si>
  <si>
    <t>Malaysia (Malaysia)</t>
  </si>
  <si>
    <t>Japan.giaotiep.PTHTKO</t>
  </si>
  <si>
    <t>Japan.PTHTKO.1840.giaotiep</t>
  </si>
  <si>
    <t>Maldives (Maldives)</t>
  </si>
  <si>
    <t>Mali (Mali)</t>
  </si>
  <si>
    <t>Syria</t>
  </si>
  <si>
    <t>Malta (Malta)</t>
  </si>
  <si>
    <t>Marshall Islands (MarshallIslands)</t>
  </si>
  <si>
    <t>Tajikistan</t>
  </si>
  <si>
    <t>http://ldp.ink/hlg_ph_tattpvn</t>
  </si>
  <si>
    <t>Mauritania (Mauritania)</t>
  </si>
  <si>
    <t>Tanzania</t>
  </si>
  <si>
    <t>Mauritius (Mauritius)</t>
  </si>
  <si>
    <t>Mexico (Mexico)</t>
  </si>
  <si>
    <t>Togo</t>
  </si>
  <si>
    <t>Các quốc gia thống nhất Micronesia (FederatedStatesOfMicronesia)</t>
  </si>
  <si>
    <t>Tonga</t>
  </si>
  <si>
    <t>Moldova (Moldova)</t>
  </si>
  <si>
    <t>http://ldp.to/tienganhthanhthao_philippines</t>
  </si>
  <si>
    <t>TrinidadAndTobago</t>
  </si>
  <si>
    <t>Monaco (Monaco)</t>
  </si>
  <si>
    <t>Tunisia</t>
  </si>
  <si>
    <t>Mông Cổ (Mongolia)</t>
  </si>
  <si>
    <t>Turkey</t>
  </si>
  <si>
    <t>Montenegro (Montenegro)</t>
  </si>
  <si>
    <t>Turkmenistan</t>
  </si>
  <si>
    <t>Morocco (Morocco)</t>
  </si>
  <si>
    <t>Tuvalu</t>
  </si>
  <si>
    <t>Mozambique (Mozambique)</t>
  </si>
  <si>
    <t>Uganda</t>
  </si>
  <si>
    <t>Burma (Myanmar)</t>
  </si>
  <si>
    <t>Ukraine</t>
  </si>
  <si>
    <t>Namibia (Namibia)</t>
  </si>
  <si>
    <t>Nauru (Nauru)</t>
  </si>
  <si>
    <t>Nepal (Nepal)</t>
  </si>
  <si>
    <t>Hà Lan (Netherlands)</t>
  </si>
  <si>
    <t>Uruguay</t>
  </si>
  <si>
    <t>New Zealand (NewZealand)</t>
  </si>
  <si>
    <t>Uzbekistan</t>
  </si>
  <si>
    <t>Nicaragua (Nicaragua)</t>
  </si>
  <si>
    <t>Vanuatu</t>
  </si>
  <si>
    <t>Niger (Niger)</t>
  </si>
  <si>
    <t>Holy See</t>
  </si>
  <si>
    <t>Nigeria (Nigeria)</t>
  </si>
  <si>
    <t>Venezuela</t>
  </si>
  <si>
    <t>Na Uy (Norway)</t>
  </si>
  <si>
    <t>Yemen</t>
  </si>
  <si>
    <t>Oman (Oman)</t>
  </si>
  <si>
    <t>Taiwan.Giaotiep.M82C55</t>
  </si>
  <si>
    <t>Taiwan.M82C55.2040.Giaotiep</t>
  </si>
  <si>
    <t>Zambia</t>
  </si>
  <si>
    <t>Pakistan (Pakistan)</t>
  </si>
  <si>
    <t>Zimbabwe</t>
  </si>
  <si>
    <t>Palau (Palau)</t>
  </si>
  <si>
    <t>Panama (Panama)</t>
  </si>
  <si>
    <t>http://ldp.ink/PTHTKO_japan</t>
  </si>
  <si>
    <t>Papua New Guinea (PapuaNewGuinea)</t>
  </si>
  <si>
    <t/>
  </si>
  <si>
    <t>Paraguay (Paraguay)</t>
  </si>
  <si>
    <t>Peru (Peru)</t>
  </si>
  <si>
    <t>Philippines (Philippines)</t>
  </si>
  <si>
    <t>Ba Lan (Poland)</t>
  </si>
  <si>
    <t>Bồ Đào Nha (Portugal)</t>
  </si>
  <si>
    <t>Qatar (Qatar)</t>
  </si>
  <si>
    <t>Romania (Romania)</t>
  </si>
  <si>
    <t>Nga (Russia)</t>
  </si>
  <si>
    <t>Rwanda (Rwanda)</t>
  </si>
  <si>
    <t>Saint Kitts và Nevis (SaintKittsAndNevis)</t>
  </si>
  <si>
    <t>Saint Lucia (SaintLucia)</t>
  </si>
  <si>
    <t>Saint Vincent và the Grenadines (SaintVincentAndTheGrenadines)</t>
  </si>
  <si>
    <t>Samoa (Samoa)</t>
  </si>
  <si>
    <t>San Marino (SanMarino)</t>
  </si>
  <si>
    <t>Sao Tome và Principe (SaoTomeAndPrincipe)</t>
  </si>
  <si>
    <t>Saudi Arabia (SaudiArabia)</t>
  </si>
  <si>
    <t>Senegal (Senegal)</t>
  </si>
  <si>
    <t>Serbia (Serbia)</t>
  </si>
  <si>
    <t>Seychelles (Seychelles)</t>
  </si>
  <si>
    <t>Sierra Leone (SierraLeone)</t>
  </si>
  <si>
    <t>http://ldp.to/tienganhthanhthao_singapore</t>
  </si>
  <si>
    <t>Singapore (Singapore)</t>
  </si>
  <si>
    <t>Slovakia (Slovakia)</t>
  </si>
  <si>
    <t>Slovenia (Slovenia)</t>
  </si>
  <si>
    <t>Solomon Islands (SolomonIslands)</t>
  </si>
  <si>
    <t>Somalia (Somalia)</t>
  </si>
  <si>
    <t>Japan.giaotiep.JHKO</t>
  </si>
  <si>
    <t>Nam Phi (SouthAfrica)</t>
  </si>
  <si>
    <t>Japan.JHKO.1840.giaotiep</t>
  </si>
  <si>
    <t>Tây Ban Nha (Spain)</t>
  </si>
  <si>
    <t>Sri Lanka (SriLanka)</t>
  </si>
  <si>
    <t>Sudan (Sudan)</t>
  </si>
  <si>
    <t>Suriname (Suriname)</t>
  </si>
  <si>
    <t>Swaziland (Swaziland)</t>
  </si>
  <si>
    <t>Thụy Điển (Sweden)</t>
  </si>
  <si>
    <t>Thụy Sỹ (Switzerland)</t>
  </si>
  <si>
    <t>Syria (Syria)</t>
  </si>
  <si>
    <t>https://patadovietnam.edu.vn/tienganhnguoidilamkoreaa</t>
  </si>
  <si>
    <t>Đài Loan (Taiwan)</t>
  </si>
  <si>
    <t>Tajikistan (Tajikistan)</t>
  </si>
  <si>
    <t>Tanzania (Tanzania)</t>
  </si>
  <si>
    <t>Thái Lan (Thailand)</t>
  </si>
  <si>
    <t>Togo (Togo)</t>
  </si>
  <si>
    <t>Tonga (Tonga)</t>
  </si>
  <si>
    <t>Trinidad và Tobago (TrinidadAndTobago)</t>
  </si>
  <si>
    <t>Tunisia (Tunisia)</t>
  </si>
  <si>
    <t>Thổ Nhĩ Kỳ (Turkey)</t>
  </si>
  <si>
    <t>Turkmenistan (Turkmenistan)</t>
  </si>
  <si>
    <t>Tuvalu (Tuvalu)</t>
  </si>
  <si>
    <t>Uganda (Uganda)</t>
  </si>
  <si>
    <t>Ukraine (Ukraine)</t>
  </si>
  <si>
    <t>Các Tiểu vương quốc Ả rập Thống nhất (UnitedArabEmirates)</t>
  </si>
  <si>
    <t>http://ldp.ink/hlg_tw_tattpvn1</t>
  </si>
  <si>
    <t>Anh Quốc (UnitedKingdom)</t>
  </si>
  <si>
    <t>Hoa Kỳ, hoặc Mỹ (UnitedStates)</t>
  </si>
  <si>
    <t>Uruguay (Uruguay)</t>
  </si>
  <si>
    <t>Uzbekistan (Uzbekistan)</t>
  </si>
  <si>
    <t>Vanuatu (Vanuatu)</t>
  </si>
  <si>
    <t>Vatican City (Holy See) (Vatican)</t>
  </si>
  <si>
    <t>Venezuela (Venezuela)</t>
  </si>
  <si>
    <t>Yemen (Yemen)</t>
  </si>
  <si>
    <t>Zambia (Zambia)</t>
  </si>
  <si>
    <t>Zimbabwe (Zimbabwe)</t>
  </si>
  <si>
    <t>Macao (Macao)</t>
  </si>
  <si>
    <t>Hong Kong (HongKong)</t>
  </si>
  <si>
    <t>http://ldp.ink/JHKO_japan</t>
  </si>
  <si>
    <t>KoreaSouth.Giaotiep.M64C48</t>
  </si>
  <si>
    <t>KoreaSouth.M64C48.2040.Giaotiep</t>
  </si>
  <si>
    <t>Europe.giaotiep.PPJH</t>
  </si>
  <si>
    <t>Europe.PPJH.1840.giaotiep</t>
  </si>
  <si>
    <t>http://ldp.ink/korea_tattpvn</t>
  </si>
  <si>
    <t>UnitedStates.Giaotiep.M197C164</t>
  </si>
  <si>
    <t>http://ldp.to/biquyethoctienganh_philippines</t>
  </si>
  <si>
    <t>UnitedStates.M197C164.2040.Giaotiep</t>
  </si>
  <si>
    <t>http://ldp.ink/PPJH_europe</t>
  </si>
  <si>
    <t>http://ldp.ink/hlgusm197</t>
  </si>
  <si>
    <t>UnitedStates.giaotiep.PTKO2</t>
  </si>
  <si>
    <t>UnitedStates.PTKO2.1840.giaotiep</t>
  </si>
  <si>
    <t>http://ldp.to/tienganhthanhthao_australia</t>
  </si>
  <si>
    <t>https://patadovietnam.edu.vn/tienganhnguoidilamjapann</t>
  </si>
  <si>
    <t>Japan.Giaotiep.M197C164</t>
  </si>
  <si>
    <t>Japan.M197C164.2040.Giaotiep</t>
  </si>
  <si>
    <t>http://ldp.to/tienganhtoandien_japan</t>
  </si>
  <si>
    <t>http://ldp.ink/PTKO2_hoaky</t>
  </si>
  <si>
    <t>http://ldp.ink/hlgjpm197</t>
  </si>
  <si>
    <t>https://patadovietnam.edu.vn/tienganhhoaky_ptatdndl</t>
  </si>
  <si>
    <t>UnitedStates.giaotiep.PTHTKO</t>
  </si>
  <si>
    <t>UnitedStates.PTHTKO.1840.giaotiep</t>
  </si>
  <si>
    <t>Europe.Giaotiep.M197C164</t>
  </si>
  <si>
    <t>Europe.M197C164.2040.Giaotiep</t>
  </si>
  <si>
    <t>http://ldp.to/biquyethoctienganh_hoaky</t>
  </si>
  <si>
    <t>https://patadovietnam.edu.vn/tienganheurope_ptatdndl</t>
  </si>
  <si>
    <t>http://ldp.ink/PTHTKO_hoaky</t>
  </si>
  <si>
    <t>http://ldp.ink/hlgeum197</t>
  </si>
  <si>
    <t>UnitedStates.giaotiep.JHKO</t>
  </si>
  <si>
    <t>UnitedStates.JHKO.1840.giaotiep</t>
  </si>
  <si>
    <t>KoreaSouth.Giaotiep.M197C164</t>
  </si>
  <si>
    <t>KoreaSouth.M197C164.2040.Giaotiep</t>
  </si>
  <si>
    <t>http://ldp.ink/JHKO_hoaky</t>
  </si>
  <si>
    <t>https://pu.englishcoach.vn/tienganhkidsaec</t>
  </si>
  <si>
    <t>UnitedStates.giaotiep.PPJH</t>
  </si>
  <si>
    <t>UnitedStates.PPJH.1840.giaotiep</t>
  </si>
  <si>
    <t>http://ldp.to/tienganhthanhthao_europe</t>
  </si>
  <si>
    <t>http://ldp.ink/PPJH_hoaky</t>
  </si>
  <si>
    <t>Philippines.giaotiep.PTKO2</t>
  </si>
  <si>
    <t>Philippines.PTKO2.1840.giaotiep</t>
  </si>
  <si>
    <t>DungNTKids</t>
  </si>
  <si>
    <t>Vietnam.Kids.Videoben</t>
  </si>
  <si>
    <t>Vietnam.Videoben.2550.Giaotiep</t>
  </si>
  <si>
    <t>http://ldp.ink/PTKO2_philippines</t>
  </si>
  <si>
    <t>UnitedStates.Anhlt.2055.Giaotiep</t>
  </si>
  <si>
    <t>AEC</t>
  </si>
  <si>
    <t>Philippines.giaotiep.PTHTKO</t>
  </si>
  <si>
    <t>Philippines.PTHTKO.1840.giaotiep</t>
  </si>
  <si>
    <t>Canada.Giaotiep.Anhlt</t>
  </si>
  <si>
    <t>Canada.Anhlt.2055.Giaotiep</t>
  </si>
  <si>
    <t>http://ldp.ink/PTHTKO_philippines</t>
  </si>
  <si>
    <t>http://ldp.ink/hlgkrm197</t>
  </si>
  <si>
    <t>http://ldp.to/lophocthayben</t>
  </si>
  <si>
    <t>https://patadovietnam.edu.vn/be_hlg/</t>
  </si>
  <si>
    <t>Philippines.giaotiep.JHKO</t>
  </si>
  <si>
    <t>Philippines.JHKO.1840.giaotiep</t>
  </si>
  <si>
    <t>Vietnam.Congso.MB3CB2</t>
  </si>
  <si>
    <t>Vietnam.Congso.MB3CB2.1830</t>
  </si>
  <si>
    <t>Vietnam.Kids.Videoangel</t>
  </si>
  <si>
    <t>http://ldp.ink/JHKO_philippines</t>
  </si>
  <si>
    <t>Vietnam.Videoangel.2550.Giaotiep</t>
  </si>
  <si>
    <t>Philippines.giaotiep.PPJH</t>
  </si>
  <si>
    <t>Philippines.PPJH.1840.giaotiep</t>
  </si>
  <si>
    <t>http://ldp.ink/hlgvnmb3</t>
  </si>
  <si>
    <t>http://ldp.ink/PPJH_philippines</t>
  </si>
  <si>
    <t>http://ldp.to/lophoctienganhcoangel</t>
  </si>
  <si>
    <t>Vietnam.Congso.MB3CB2.3145</t>
  </si>
  <si>
    <t>Taiwan.giaotiep.PTKO2</t>
  </si>
  <si>
    <t>Taiwan.PTKO2.1840.giaotiep</t>
  </si>
  <si>
    <t>Vietnam.Kids.Videocamnhan</t>
  </si>
  <si>
    <t>Vietnam.Videocamnhan.2550.Giaotiep</t>
  </si>
  <si>
    <t>http://ldp.ink/hlgvn3145</t>
  </si>
  <si>
    <t>http://ldp.ink/PTKO2_taiwan</t>
  </si>
  <si>
    <t>http://ldp.to/tienganhchuanbandia</t>
  </si>
  <si>
    <t>Vietnam.Kids.anhkhaigiang</t>
  </si>
  <si>
    <t>Vietnam.anhkhaigiang.2550.Giaotiep</t>
  </si>
  <si>
    <t>HN.Congso.MB4CB1</t>
  </si>
  <si>
    <t>HN.Congso.MB4CB1.1830</t>
  </si>
  <si>
    <t>Taiwan.giaotiep.PTHTKO</t>
  </si>
  <si>
    <t>Taiwan.PTHTKO.1840.giaotiep</t>
  </si>
  <si>
    <t>http://ldp.to/tienganhchuanhoaky</t>
  </si>
  <si>
    <t>Vietnam.Kids.storyhuongnoi</t>
  </si>
  <si>
    <t>Vietnam.storyhuongnoi.2550.Giaotiep</t>
  </si>
  <si>
    <t>http://ldp.ink/PTHTKO_taiwan</t>
  </si>
  <si>
    <t>http://ldp.ink/hlghnmb4</t>
  </si>
  <si>
    <t>Taiwan.giaotiep.JHKO</t>
  </si>
  <si>
    <t>Taiwan.JHKO.1840.giaotiep</t>
  </si>
  <si>
    <t>Danang</t>
  </si>
  <si>
    <t>Danang.Congso.MB2CB1</t>
  </si>
  <si>
    <t>Danang.Congso.MB2CB1.1830</t>
  </si>
  <si>
    <t>060623</t>
  </si>
  <si>
    <t>http://ldp.ink/JHKO_taiwan</t>
  </si>
  <si>
    <t>UnitedStates.Giaotiep.vd4nl</t>
  </si>
  <si>
    <t>UnitedStates.vd4nl.2055.Giaotiep</t>
  </si>
  <si>
    <t>Taiwan.giaotiep.PPJH</t>
  </si>
  <si>
    <t>Taiwan.PPJH.1840.giaotiep</t>
  </si>
  <si>
    <t>http://ldp.ink/hlgdnmb2</t>
  </si>
  <si>
    <t>Vietnam.Congso.MB9CB6</t>
  </si>
  <si>
    <t>Vietnam.Congso.MB9CB6.1845</t>
  </si>
  <si>
    <t>taodongluc</t>
  </si>
  <si>
    <t>http://ldp.ink/PPJH_taiwan</t>
  </si>
  <si>
    <t>http://ldp.to/tienganhtoandien_hoaky</t>
  </si>
  <si>
    <t>KoreaSouth.giaotiep.PTKO2</t>
  </si>
  <si>
    <t>KoreaSouth.PTKO2.1840.giaotiep</t>
  </si>
  <si>
    <t>Canada.Giaotiep.vd4nl</t>
  </si>
  <si>
    <t>Canada.vd4nl.2055.Giaotiep</t>
  </si>
  <si>
    <t>http://ldp.ink/hlgvncb6</t>
  </si>
  <si>
    <t>http://ldp.to/lophoctienganhthayben</t>
  </si>
  <si>
    <t>HCM.Congso.MB13CB4</t>
  </si>
  <si>
    <t>http://ldp.ink/PTKO2_korea</t>
  </si>
  <si>
    <t>KoreaSouth.giaotiep.PTHTKO</t>
  </si>
  <si>
    <t>KoreaSouth.PTHTKO.1840.giaotiep</t>
  </si>
  <si>
    <t>Australia.Giaotiep.vd4nl</t>
  </si>
  <si>
    <t>Australia.vd4nl.2055.Giaotiep</t>
  </si>
  <si>
    <t>https://by.tn/hlgbehcm</t>
  </si>
  <si>
    <t>Vietnam.Congso.MB12CB7</t>
  </si>
  <si>
    <t>Vietnam.Congso.MB12CB7.1845</t>
  </si>
  <si>
    <t>http://ldp.ink/PTHTKO_korea</t>
  </si>
  <si>
    <t>http://ldp.to/tienganhthanhthao_austrailia</t>
  </si>
  <si>
    <t>KoreaSouth.giaotiep.JHKO</t>
  </si>
  <si>
    <t>KoreaSouth.JHKO.1840.giaotiep</t>
  </si>
  <si>
    <t>Japan.Giaotiep.vd4nl</t>
  </si>
  <si>
    <t>Japan.vd4nl.1840.Giaotiep</t>
  </si>
  <si>
    <t>https://by.tn/hlgvnmb12</t>
  </si>
  <si>
    <t>http://ldp.ink/JHKO_korea</t>
  </si>
  <si>
    <t>KoreaSouth.Giaotiep.vd4nl</t>
  </si>
  <si>
    <t>KoreaSouth.vd4nl.1840.Giaotiep</t>
  </si>
  <si>
    <t>KoreaSouth.giaotiep.PPJH</t>
  </si>
  <si>
    <t>KoreaSouth.PPJH.1840.giaotiep</t>
  </si>
  <si>
    <t>Vietnam.Congso.MB14CB8</t>
  </si>
  <si>
    <t>Vietnam.Congso.MB14CB8.1845</t>
  </si>
  <si>
    <t>Haiphong.Kids.Videoben</t>
  </si>
  <si>
    <t>Haiphong.Videoben.3555.Giaotiep</t>
  </si>
  <si>
    <t>http://ldp.ink/PPJH_korea</t>
  </si>
  <si>
    <t>http://ldp.to/tienganhthanhthao_korea</t>
  </si>
  <si>
    <t>https://by.tn/hlgvn01</t>
  </si>
  <si>
    <t>Australia.giaotiep.PTKO2</t>
  </si>
  <si>
    <t>Australia.PTKO2.1840.giaotiep</t>
  </si>
  <si>
    <t>Taiwan.Giaotiep.vd4nl</t>
  </si>
  <si>
    <t>Taiwan.vd4nl.2045.Giaotiep</t>
  </si>
  <si>
    <t>UnitedStates.Giaotiep.M232C198</t>
  </si>
  <si>
    <t>UnitedStates.Giaotiep.M232C198.2040</t>
  </si>
  <si>
    <t>Danang.Kids.Videoangel</t>
  </si>
  <si>
    <t>Danang.Videoangel.3555.Giaotiep</t>
  </si>
  <si>
    <t>http://ldp.ink/PTKO2_australia</t>
  </si>
  <si>
    <t>http://ldp.to/tienganhtoandien_dailoan</t>
  </si>
  <si>
    <t>Australia.giaotiep.JHKO</t>
  </si>
  <si>
    <t>Australia.JHKO.1840.giaotiep</t>
  </si>
  <si>
    <t>https://by.tn/hlgus02</t>
  </si>
  <si>
    <t>Philippines.Giaotiep.vd4nl</t>
  </si>
  <si>
    <t>Philippines.vd4nl.2045.Giaotiep</t>
  </si>
  <si>
    <t>Cantho</t>
  </si>
  <si>
    <t>Cantho.Kids.anhkhaigiang</t>
  </si>
  <si>
    <t>Cantho.anhkhaigiang.3555.Giaotiep</t>
  </si>
  <si>
    <t>http://ldp.ink/JHKO_australia</t>
  </si>
  <si>
    <t>Europe.giaotiep.M223C82</t>
  </si>
  <si>
    <t>Europe.M223C82.1840.giaotiep</t>
  </si>
  <si>
    <t>UnitedStates.Giaotiep.anhjh</t>
  </si>
  <si>
    <t>UnitedStates.anhjh.2055.Giaotiep</t>
  </si>
  <si>
    <t>https://www.aecenglishkids.edu.vn/</t>
  </si>
  <si>
    <t>Japan.Giaotiep.M225C192</t>
  </si>
  <si>
    <t>Japan.Giaotiep.M225C192.2040</t>
  </si>
  <si>
    <t>https://s.net.vn/M223C82-europe</t>
  </si>
  <si>
    <t>Japan.giaotiep.M223</t>
  </si>
  <si>
    <t>CzechRepublic.Kids.anhkhaigiang</t>
  </si>
  <si>
    <t>Japan.M223.1840.giaotiep</t>
  </si>
  <si>
    <t>CzechRepublic.anhkhaigiang.3555.Giaotiep</t>
  </si>
  <si>
    <t>Canada.Giaotiep.anhjh</t>
  </si>
  <si>
    <t>Canada.anhjh.2055.Giaotiep</t>
  </si>
  <si>
    <t>https://by.tn/hlgjp02</t>
  </si>
  <si>
    <t>https://by.tn/M223-japan</t>
  </si>
  <si>
    <t>KoreaSouth.Giaotiep.M232C198</t>
  </si>
  <si>
    <t>KoreaSouth.Giaotiep.M232C198.2040</t>
  </si>
  <si>
    <t>Australia.Giaotiep.anhjh</t>
  </si>
  <si>
    <t>http://ldp.to/tienganhchuanhoaky_cz</t>
  </si>
  <si>
    <t>Australia.anhjh.2055.Giaotiep</t>
  </si>
  <si>
    <t>UnitedStates.giaotiep.M223</t>
  </si>
  <si>
    <t>UnitedStates.M223.1840.giaotiep</t>
  </si>
  <si>
    <t>Japan.Kids.anhkhaigiang</t>
  </si>
  <si>
    <t>Japan.anhkhaigiang.3555.Giaotiep</t>
  </si>
  <si>
    <t>https://by.tn/hlgkr02</t>
  </si>
  <si>
    <t>https://patadovietnam.edu.vn/hlg_pgpgtta_gt</t>
  </si>
  <si>
    <t>https://s.net.vn/M223-hoaky</t>
  </si>
  <si>
    <t>http://ldp.to/tienganhchuanhoaky_japan</t>
  </si>
  <si>
    <t>Philippines.giaotiep.M223</t>
  </si>
  <si>
    <t>Philippines.M223.1840.giaotiep</t>
  </si>
  <si>
    <t>ALL.Giaotiep.M172C138</t>
  </si>
  <si>
    <t>ALL.Giaotiep.M172C138.2040</t>
  </si>
  <si>
    <t>TTTUKHTN.Kids.anhmolop</t>
  </si>
  <si>
    <t>TTTUKHTN.anhmolop.3555.Giaotiep</t>
  </si>
  <si>
    <t>https://s.net.vn/M223-philippines</t>
  </si>
  <si>
    <t>http://ldp.to/tutinnoitienganhaec</t>
  </si>
  <si>
    <t>KoreaSouth.Giaotiep.Anhkg</t>
  </si>
  <si>
    <t>KoreaSouth.Anhkg.1840.Giaotiep</t>
  </si>
  <si>
    <t>https://by.tn/hlgpgall</t>
  </si>
  <si>
    <t>TTTUKHTN</t>
  </si>
  <si>
    <t>Europe.giaotiep.M226</t>
  </si>
  <si>
    <t>TTTUKHTN.anhmolop.3055.Giaotiep</t>
  </si>
  <si>
    <t>Europe.M226.1840.giaotiep</t>
  </si>
  <si>
    <t>UnitedStates.Giaotiep.M237C206</t>
  </si>
  <si>
    <t>UnitedStates.Giaotiep.M237C206.2040</t>
  </si>
  <si>
    <t>http://ldp.to/me_tutinnoitienganhaec</t>
  </si>
  <si>
    <t>https://s.net.vn/M226-europe</t>
  </si>
  <si>
    <t>Japan.giaotiep.M226</t>
  </si>
  <si>
    <t>Japan.M226.1840.giaotiep</t>
  </si>
  <si>
    <t>https://by.tn/hlg-us02</t>
  </si>
  <si>
    <t>https://patadovietnam.edu.vn/hlg_tattpvn_gt/</t>
  </si>
  <si>
    <t>http://ldp.to/cvs_tutinnoitienganhaec</t>
  </si>
  <si>
    <t>https://s.net.vn/M226-japan</t>
  </si>
  <si>
    <t>Australia.Giaotiep.M226C203</t>
  </si>
  <si>
    <t>Australia.Giaotiep.M226C203.2040</t>
  </si>
  <si>
    <t>UnitedStates.giaotiep.M226</t>
  </si>
  <si>
    <t>UnitedStates.M226.1840.giaotiep</t>
  </si>
  <si>
    <t>TTTUKHTN.Kids.anhkhaigiang</t>
  </si>
  <si>
    <t>TTTUKHTN.anhkhaigiang.3055.Giaotiep</t>
  </si>
  <si>
    <t>Japan.Giaotiep.tatl</t>
  </si>
  <si>
    <t>Japan.tatl.1840.Giaotiep</t>
  </si>
  <si>
    <t>http://ldp.to/me_tienganhchuanhoaky</t>
  </si>
  <si>
    <t>https://s.net.vn/M226-hoaky</t>
  </si>
  <si>
    <t>https://by.tn/hlg-au01</t>
  </si>
  <si>
    <t>Philippines.giaotiep.M226</t>
  </si>
  <si>
    <t>Philippines.M226.1840.giaotiep</t>
  </si>
  <si>
    <t>KoreaSouth.Giaotiep.M226C203</t>
  </si>
  <si>
    <t>KoreaSouth.Giaotiep.M226C203.2040</t>
  </si>
  <si>
    <t>http://ldp.ink/tatl_japan</t>
  </si>
  <si>
    <t>UnitedStates.Giaotiep.tatl</t>
  </si>
  <si>
    <t>UnitedStates.tatl.2055.Giaotiep</t>
  </si>
  <si>
    <t>http://ldp.to/cvs_tienganhchuanhoaky</t>
  </si>
  <si>
    <t>https://s.net.vn/M226-philippines</t>
  </si>
  <si>
    <t>Japan.Giaotiep.M268C230</t>
  </si>
  <si>
    <t>Japan.Giaotiep.M268C230.2040</t>
  </si>
  <si>
    <t>Vietnam.Doanhnghiep.MGTT</t>
  </si>
  <si>
    <t>Vietnam.MGTT.2030.DoanhNghiep</t>
  </si>
  <si>
    <t>TTTUKHTN.Kids.Videoben</t>
  </si>
  <si>
    <t>TTTUKHTN.Videoben.3555.Giaotiep</t>
  </si>
  <si>
    <t>http://ldp.ink/tatl_hoaky</t>
  </si>
  <si>
    <t>https://by.tn/hlgjp03</t>
  </si>
  <si>
    <t>Canada.Giaotiep.tatl</t>
  </si>
  <si>
    <t>Canada.tatl.2055.Giaotiep</t>
  </si>
  <si>
    <t>http://ldp.to/re_lophoctienganhkidsthayben</t>
  </si>
  <si>
    <t>https://s.net.vn/MGTT-vietnam</t>
  </si>
  <si>
    <t>UnitedStates.Giaotiep.M268C230</t>
  </si>
  <si>
    <t>UnitedStates.Giaotiep.M268C230.2040</t>
  </si>
  <si>
    <t>Vietnam.Doanhnghiep.MGTT1</t>
  </si>
  <si>
    <t>Vietnam.MGTT1.3140.DoanhNghiep</t>
  </si>
  <si>
    <t>TTTUKHTN.Kids.Videoangel</t>
  </si>
  <si>
    <t>TTTUKHTN.Videoangel.3555.Giaotiep</t>
  </si>
  <si>
    <t>http://ldp.ink/tatl_canada</t>
  </si>
  <si>
    <t>http://ldp.to/re_lophoctienganhkidscoangel</t>
  </si>
  <si>
    <t>https://s.net.vn/MGTT1-vietnam</t>
  </si>
  <si>
    <t>Australia.Giaotiep.tatl</t>
  </si>
  <si>
    <t>Australia.tatl.2055.Giaotiep</t>
  </si>
  <si>
    <t>TTTUKHTN.Kids.anhstory</t>
  </si>
  <si>
    <t>TTTUKHTN.anhstory.3555.Giaotiep</t>
  </si>
  <si>
    <t>ALL.Giaotiep.M268C230</t>
  </si>
  <si>
    <t>ALL.Giaotiep.M268C230.2040</t>
  </si>
  <si>
    <t>Vietnam.Doanhnghiep.KHCS</t>
  </si>
  <si>
    <t>Vietnam.KHCS.2030.DoanhNghiep</t>
  </si>
  <si>
    <t>ldp.to/aectienganhkids</t>
  </si>
  <si>
    <t>http://ldp.ink/tatl_australia</t>
  </si>
  <si>
    <t>https://s.net.vn/hlgall01</t>
  </si>
  <si>
    <t>TTTUKHTN.anhkhaigiang.3555.Giaotiep</t>
  </si>
  <si>
    <t>https://s.net.vn/KHCS-vietnam</t>
  </si>
  <si>
    <t>Vietnam.Doanhnghiep.KHCS1</t>
  </si>
  <si>
    <t>Vietnam.KHCS1.2030.DoanhNghiep</t>
  </si>
  <si>
    <t>KoreaSouth.Giaotiep.tatl</t>
  </si>
  <si>
    <t>KoreaSouth.tatl.1840.Giaotiep</t>
  </si>
  <si>
    <t>UnitedStates.Giaotiep.M77C235</t>
  </si>
  <si>
    <t>UnitedStates.Giaotiep.M77C235.2040</t>
  </si>
  <si>
    <t>https://s.net.vn/KHCS1-vietnam</t>
  </si>
  <si>
    <t>https://by.tn/hlgus04</t>
  </si>
  <si>
    <t>Japan.giaotiep.ANO</t>
  </si>
  <si>
    <t>Japan.ANO.1840.giaotiep</t>
  </si>
  <si>
    <t>Europe.Giaotiep.M77C235</t>
  </si>
  <si>
    <t>Europe.Giaotiep.M77C235.2040</t>
  </si>
  <si>
    <t>https://s.net.vn/ano-japan</t>
  </si>
  <si>
    <t>Japan.giaotiep.LTO</t>
  </si>
  <si>
    <t>https://by.tn/hlgeu02</t>
  </si>
  <si>
    <t>Japan.LTO.1840.giaotiep</t>
  </si>
  <si>
    <t>TTTUKHTN.Kids.Videocamnhan</t>
  </si>
  <si>
    <t>TTTUKHTN.Videocamnhan.3555.Giaotiep</t>
  </si>
  <si>
    <t>Europe.Giaotiep.M273C235</t>
  </si>
  <si>
    <t>Europe.Giaotiep.M273C235.2040.2040</t>
  </si>
  <si>
    <t>https://s.net.vn/lto-japan</t>
  </si>
  <si>
    <t>http://ldp.to/me_tienganhchuanbandia</t>
  </si>
  <si>
    <t>UnitedStates.giaotiep.NGHO</t>
  </si>
  <si>
    <t>UnitedStates.NGHO.1840.giaotiep</t>
  </si>
  <si>
    <t>http://ldp.to/tatl_korea</t>
  </si>
  <si>
    <t>https://by.tn/hlgeu03</t>
  </si>
  <si>
    <t>Japan.Giaotiep.M273C235</t>
  </si>
  <si>
    <t>Japan.Giaotiep.M273C235.1835</t>
  </si>
  <si>
    <t>https://s.net.vn/ngh-hoaky</t>
  </si>
  <si>
    <t>http://ldp.to/cvs_tienganhchuanbandia</t>
  </si>
  <si>
    <t>UnitedStates.giaotiep.LTO</t>
  </si>
  <si>
    <t>UnitedStates.LTO.1840.giaotiep</t>
  </si>
  <si>
    <t>TTTUKHTN.Kids.anhkhaigiangctdh</t>
  </si>
  <si>
    <t>TTTUKHTN.anhkhaigiangctdh.3555.Giaotiep</t>
  </si>
  <si>
    <t>https://by.tn/hlgjp07</t>
  </si>
  <si>
    <t>http://ldp.to/aectienganhchuanhoaky</t>
  </si>
  <si>
    <t>https://s.net.vn/lto-hoaky</t>
  </si>
  <si>
    <t>Australia.Giaotiep.M273C235</t>
  </si>
  <si>
    <t>Australia.Giaotiep.M273C235.2040</t>
  </si>
  <si>
    <t>TTTUKHTN.Kids.videokids1</t>
  </si>
  <si>
    <t>TTTUKHTN.videokids1.3555.Giaotiep</t>
  </si>
  <si>
    <t>UnitedStates.giaotiep.ANO</t>
  </si>
  <si>
    <t>UnitedStates.ANO.1840.giaotiep</t>
  </si>
  <si>
    <t>http://ldp.to/me_aectienganhchuanhoakyy</t>
  </si>
  <si>
    <t>https://by.tn/hlgau02</t>
  </si>
  <si>
    <t>https://patadovietnam.edu.vn/hlg_tattp_gt/</t>
  </si>
  <si>
    <t>https://s.net.vn/ano-hoaky</t>
  </si>
  <si>
    <t>http://ldp.to/cvs_aectienganhchuanhoakyy</t>
  </si>
  <si>
    <t>Japan.Giaotiep.M277C238</t>
  </si>
  <si>
    <t>Japan.Giaotiep.M277C238.1840</t>
  </si>
  <si>
    <t>KoreaSouth.giaotiep.anhnote</t>
  </si>
  <si>
    <t>KoreaSouth.anhnote.1840.giaotiep</t>
  </si>
  <si>
    <t>TTTUKHTN.Kids.anhcttuonglai</t>
  </si>
  <si>
    <t>TTTUKHTN.anhanhcttuonglai.3555.Giaotiep</t>
  </si>
  <si>
    <t>http://ldp.ink/tienganhjh_australia</t>
  </si>
  <si>
    <t>https://by.tn/hlgreajp01</t>
  </si>
  <si>
    <t>https://s.net.vn/note-korea</t>
  </si>
  <si>
    <t>UnitedStates.Giaotiep.M277C238</t>
  </si>
  <si>
    <t>UnitedStates.Giaotiep.M277C238.2045</t>
  </si>
  <si>
    <t>KoreaSouth.giaotiep.anhlt</t>
  </si>
  <si>
    <t>KoreaSouth.anhlt.1840.giaotiep</t>
  </si>
  <si>
    <t>http://ldp.to/aectienganhchuanhoakyyy</t>
  </si>
  <si>
    <t>http://ldp.ink/tienganhjh_japan</t>
  </si>
  <si>
    <t>UnitedStates.Giaotiep.anhht</t>
  </si>
  <si>
    <t>UnitedStates.anhht.2055.Giaotiep</t>
  </si>
  <si>
    <t>https://by.tn/hlgreaus01</t>
  </si>
  <si>
    <t>https://s.net.vn/lt-hanquoc</t>
  </si>
  <si>
    <t>Europe.Giaotiep.M277C238</t>
  </si>
  <si>
    <t>Europe.Giaotiep.M277C238.2040</t>
  </si>
  <si>
    <t>Taiwan.giaotiep.anhtblh</t>
  </si>
  <si>
    <t>Taiwan.anhtblh.1840.giaotiep</t>
  </si>
  <si>
    <t>http://ldp.ink/tienganhht_hoaky</t>
  </si>
  <si>
    <t>https://by.tn/hlgreaeu01</t>
  </si>
  <si>
    <t>Canada.Giaotiep.anhht</t>
  </si>
  <si>
    <t>Canada.anhht.2055.Giaotiep</t>
  </si>
  <si>
    <t>https://s.net.vn/tblh-taiwan</t>
  </si>
  <si>
    <t>KoreaSouth.Giaotiep.M277C238</t>
  </si>
  <si>
    <t>KoreaSouth.Giaotiep.M277C238.2040</t>
  </si>
  <si>
    <t>Australia.giaotiep.anhnote</t>
  </si>
  <si>
    <t>Australia.anhnote.1840.giaotiep</t>
  </si>
  <si>
    <t>http://ldp.ink/tienganhht_canada</t>
  </si>
  <si>
    <t>TTTUKHTN.Kids.CTCNNT</t>
  </si>
  <si>
    <t>TTTUKHTN.CTCNNT.3555.Giaotiep</t>
  </si>
  <si>
    <t>https://by.tn/hlgreakr01</t>
  </si>
  <si>
    <t>Australia.Giaotiep.anhht</t>
  </si>
  <si>
    <t>Australia.anhht.2055.Giaotiep</t>
  </si>
  <si>
    <t>https://s.net.vn/note-australia</t>
  </si>
  <si>
    <t>Australia.Giaotiep.M277C238</t>
  </si>
  <si>
    <t>Australia.Giaotiep.M277C238.2040</t>
  </si>
  <si>
    <t>Philippines.anhnote.1840.giaotiep</t>
  </si>
  <si>
    <t>http://ldp.ink/tienganhht_australia</t>
  </si>
  <si>
    <t>Japan.Giaotiep.anhht</t>
  </si>
  <si>
    <t>Japan.anhht.1840.Giaotiep</t>
  </si>
  <si>
    <t>https://by.tn/hlgreaau01</t>
  </si>
  <si>
    <t>Japan.Giaotiep.M285C241</t>
  </si>
  <si>
    <t>Japan.Giaotiep.M285C241.2040</t>
  </si>
  <si>
    <t>https://s.net.vn/note-philippines</t>
  </si>
  <si>
    <t>http://ldp.ink/tienganhht_japan</t>
  </si>
  <si>
    <t>https://by.tn/hlgjp04</t>
  </si>
  <si>
    <t>KoreaSouth.Giaotiep.M285C241</t>
  </si>
  <si>
    <t>KoreaSouth.Giaotiep.M285C241.2040</t>
  </si>
  <si>
    <t>https://s.net.vn/ndlchn-philippines</t>
  </si>
  <si>
    <t>CzechRepublic.Kids.anhmolop</t>
  </si>
  <si>
    <t>CzechRepublic.anhmolop.3055.Giaotiep</t>
  </si>
  <si>
    <t>UnitedStates.giaotiep.M230C90</t>
  </si>
  <si>
    <t>UnitedStates.M230C90.1840.giaotiep</t>
  </si>
  <si>
    <t>https://by.tn/hlgkr03</t>
  </si>
  <si>
    <t>http://ldp.to/me_tutinnoitienganhaeccz</t>
  </si>
  <si>
    <t>https://s.net.vn/M230C90-hoaky</t>
  </si>
  <si>
    <t>Europe.Giaotiep.M284C237</t>
  </si>
  <si>
    <t>Europe.Giaotiep.M284C237.2040</t>
  </si>
  <si>
    <t>TTTUKHTN.Kids.anhctthoidiemvang</t>
  </si>
  <si>
    <t>TTTUKHTN.anhctthoidiemvang.3555.Giaotiep</t>
  </si>
  <si>
    <t>Taiwan.giaotiep.M230C90</t>
  </si>
  <si>
    <t>Taiwan.M230C90.1840.giaotiep</t>
  </si>
  <si>
    <t>https://by.tn/hlgeu07</t>
  </si>
  <si>
    <t>https://s.net.vn/M230C90-taiwan</t>
  </si>
  <si>
    <t>UnitedStates.Giaotiep.M283C226</t>
  </si>
  <si>
    <t>UnitedStates.Giaotiep.M283C226.2040</t>
  </si>
  <si>
    <t>Japan.giaotiep.M230C91</t>
  </si>
  <si>
    <t>Japan.M230C91.1840.giaotiep</t>
  </si>
  <si>
    <t>Europe.Kids.anhkhoahoc</t>
  </si>
  <si>
    <t>Europe.anhkhoahoc.2555.Giaotiep</t>
  </si>
  <si>
    <t>KoreaSouth.Giaotiep.anhht</t>
  </si>
  <si>
    <t>KoreaSouth.anhht.1840.Giaotiep</t>
  </si>
  <si>
    <t>https://s.net.vn/M230C91-japan</t>
  </si>
  <si>
    <t>http://ldp.to/aecenglishkidseurope</t>
  </si>
  <si>
    <t>https://by.tn/hlgus05</t>
  </si>
  <si>
    <t>Europe.giaotiep.M230C90</t>
  </si>
  <si>
    <t>Europe.M230C90.1840.giaotiep</t>
  </si>
  <si>
    <t>Vietnam.Giaotiep.M285C241</t>
  </si>
  <si>
    <t>Europe.Kids.anhmolop</t>
  </si>
  <si>
    <t>Vietnam.Giaotiep.M285C241.2040</t>
  </si>
  <si>
    <t>Europe.anhmolop.2555.Giaotiep</t>
  </si>
  <si>
    <t>http://ldp.ink/tienganhht_korea</t>
  </si>
  <si>
    <t>UnitedStates.Giaotiep.anhvc</t>
  </si>
  <si>
    <t>https://s.net.vn/M230C90-europe</t>
  </si>
  <si>
    <t>http://ldp.to/biquyethoctienganhchocon_europe</t>
  </si>
  <si>
    <t>https://s.net.vn/hlgvn01</t>
  </si>
  <si>
    <t>Europe.giaotiep.M231C90</t>
  </si>
  <si>
    <t>Europe.M231C90.1840.giaotiep</t>
  </si>
  <si>
    <t>Japan.Kids.anhmolop</t>
  </si>
  <si>
    <t>Japan.anhmolop.2555.Giaotiep</t>
  </si>
  <si>
    <t>http://ldp.ink/tienganhvc_hoaky</t>
  </si>
  <si>
    <t>Japan.Giaotiep.M289C248</t>
  </si>
  <si>
    <t>Japan.Giaotiep.M289C248.2040</t>
  </si>
  <si>
    <t>Canada.Giaotiep.anhvc</t>
  </si>
  <si>
    <t>https://s.net.vn/M231C90-europe</t>
  </si>
  <si>
    <t>http://ldp.to/biquyethoctienganhchocon_japan</t>
  </si>
  <si>
    <t>UnitedStates.giaotiep.M231C90</t>
  </si>
  <si>
    <t>Japan.Kids.anhkhoahoc</t>
  </si>
  <si>
    <t>https://by.tn/hlgjp05</t>
  </si>
  <si>
    <t>UnitedStates.M231C90.1840.giaotiep</t>
  </si>
  <si>
    <t>Japan.anhkhoahoc.2555.Giaotiep</t>
  </si>
  <si>
    <t>http://ldp.ink/tienganhvc_canada</t>
  </si>
  <si>
    <t>ALL.Giaotiep.M289C248</t>
  </si>
  <si>
    <t>ALL.Giaotiep.M289C248.2040</t>
  </si>
  <si>
    <t>Australia.Giaotiep.anhvc</t>
  </si>
  <si>
    <t>http://ldp.to/aecenglishkidsjapan</t>
  </si>
  <si>
    <t>https://s.net.vn/M231C90-USA</t>
  </si>
  <si>
    <t>KoreaSouth.Kids.anhkhoahoc</t>
  </si>
  <si>
    <t>KoreaSouth.anhkhoahoc.2555.Giaotiep</t>
  </si>
  <si>
    <t>Philippines.giaotiep.M231C90</t>
  </si>
  <si>
    <t>Philippines.M231C90.1840.giaotiep</t>
  </si>
  <si>
    <t>http://ldp.ink/tienganhvc_australia</t>
  </si>
  <si>
    <t>https://by.tn/hlgall01</t>
  </si>
  <si>
    <t>Taiwan.Giaotiep.anhht</t>
  </si>
  <si>
    <t>https://s.net.vn/M231C90-philippines</t>
  </si>
  <si>
    <t>Taiwan.anhht.2045.Giaotiep</t>
  </si>
  <si>
    <t>http://ldp.to/aecenglishkidskorea</t>
  </si>
  <si>
    <t>UnitedStates.Giaotiep.M231C203</t>
  </si>
  <si>
    <t>UnitedStates.Giaotiep.M231C203.2040</t>
  </si>
  <si>
    <t>KoreaSouth.Kids.anhmolop</t>
  </si>
  <si>
    <t>Japan.giaotiep.M231C90</t>
  </si>
  <si>
    <t>KoreaSouth.anhmolop.2555.Giaotiep</t>
  </si>
  <si>
    <t>Japan.M231C90.1840.giaotiep</t>
  </si>
  <si>
    <t>http://ldp.ink/tienganhht_taiwan</t>
  </si>
  <si>
    <t>https://by.tn/hlgus06</t>
  </si>
  <si>
    <t>Philippines.Giaotiep.anhht</t>
  </si>
  <si>
    <t>http://ldp.to/biquyethoctienganhchocon_korea</t>
  </si>
  <si>
    <t>Philippines.anhht.2045.Giaotiep</t>
  </si>
  <si>
    <t>https://s.net.vn/M231C90-japan</t>
  </si>
  <si>
    <t>Europe.Giaotiep.M294C250</t>
  </si>
  <si>
    <t>Europe.Giaotiep.M294C250.2040</t>
  </si>
  <si>
    <t>Asia.Kids.anhkhoahoc</t>
  </si>
  <si>
    <t>Asia.anhkhoahoc.2555.Giaotiep</t>
  </si>
  <si>
    <t>Taiwan.giaotiep.M231C90</t>
  </si>
  <si>
    <t>Taiwan.M231C90.1840.giaotiep</t>
  </si>
  <si>
    <t>http://ldp.ink/tienganhht_philippines</t>
  </si>
  <si>
    <t>http://ldp.to/aecenglishkids_asia</t>
  </si>
  <si>
    <t>https://by.tn/hlgeu06</t>
  </si>
  <si>
    <t>https://s.net.vn/M231C90-taiwan</t>
  </si>
  <si>
    <t>Singapore.Giaotiep.anhht</t>
  </si>
  <si>
    <t>Singapore.anhht.2045.Giaotiep</t>
  </si>
  <si>
    <t>Japan.Giaotiep.M300C262</t>
  </si>
  <si>
    <t>Japan.Giaotiep.M300C262.2040</t>
  </si>
  <si>
    <t>KoreaSouth.giaotiep.M231C90</t>
  </si>
  <si>
    <t>KoreaSouth.M231C90.1840.giaotiep</t>
  </si>
  <si>
    <t>http://ldp.ink/tienganhht_singapore</t>
  </si>
  <si>
    <t>https://s.net.vn/hlgjp</t>
  </si>
  <si>
    <t>http://ldp.to/aecenglishkids_japan</t>
  </si>
  <si>
    <t>https://s.net.vn/M231C90-korea</t>
  </si>
  <si>
    <t>Taiwan.Giaotiep.anhvc</t>
  </si>
  <si>
    <t>Taiwan.anhvc.2055.Giaotiep</t>
  </si>
  <si>
    <t>Australia.Giaotiep.M300C262</t>
  </si>
  <si>
    <t>Australia.Giaotiep.M300C262.2040</t>
  </si>
  <si>
    <t>Australia.giaotiep.M231C90</t>
  </si>
  <si>
    <t>Australia.M231C90.1840.giaotiep</t>
  </si>
  <si>
    <t>http://ldp.ink/tienganhvc_taiwan</t>
  </si>
  <si>
    <t>https://s.net.vn/hlgau</t>
  </si>
  <si>
    <t>http://ldp.to/aecenglishkids_korea</t>
  </si>
  <si>
    <t>Philippines.Giaotiep.anhvc</t>
  </si>
  <si>
    <t>Philippines.anhvc.2055.Giaotiep</t>
  </si>
  <si>
    <t>Europe.Giaotiep.M300C262</t>
  </si>
  <si>
    <t>Europe.Giaotiep.M300C262.2040</t>
  </si>
  <si>
    <t>https://s.net.vn/M231C90-australia</t>
  </si>
  <si>
    <t>Asia.Kids.anhmolop</t>
  </si>
  <si>
    <t>Asia.anhmolop.2555.Giaotiep</t>
  </si>
  <si>
    <t>ALL.giaotiep.M186</t>
  </si>
  <si>
    <t>ALL.M186.1840.giaotiep</t>
  </si>
  <si>
    <t>http://ldp.ink/tienganhvc_philippines</t>
  </si>
  <si>
    <t>https://s.net.vn/hlgeu</t>
  </si>
  <si>
    <t>https://s.net.vn/M186-all</t>
  </si>
  <si>
    <t>Singapore.Giaotiep.anhvc</t>
  </si>
  <si>
    <t>Singapore.anhvc.2055.Giaotiep</t>
  </si>
  <si>
    <t>ALL.Giaotiep.M306C264</t>
  </si>
  <si>
    <t>ALL.Giaotiep.M306C264.2040</t>
  </si>
  <si>
    <t>ALL.giaotiep.PV120</t>
  </si>
  <si>
    <t>ALL.PV120.1840.giaotiep</t>
  </si>
  <si>
    <t>http://ldp.ink/tienganhvc_singapore</t>
  </si>
  <si>
    <t>https://s.net.vn/hlgall02</t>
  </si>
  <si>
    <t>https://s.net.vn/PV-all</t>
  </si>
  <si>
    <t>Japan.Giaotiep.anhvc</t>
  </si>
  <si>
    <t>Japan.anhvc.1840.Giaotiep</t>
  </si>
  <si>
    <t>Japan.Giaotiep.M307C268</t>
  </si>
  <si>
    <t>Japan.Giaotiep.M307C268.2040</t>
  </si>
  <si>
    <t>Japan.giaotiep.TAGTP</t>
  </si>
  <si>
    <t>Japan.TAGTP.1840.giaotiep</t>
  </si>
  <si>
    <t>https://s.net.vn/TAGTP-japan</t>
  </si>
  <si>
    <t>http://ldp.ink/tienganhvc_japan</t>
  </si>
  <si>
    <t>https://s.net.vn/hlgjp02</t>
  </si>
  <si>
    <t>Europe.giaotiep.TAGTP</t>
  </si>
  <si>
    <t>Europe.TAGTP.1840.giaotiep</t>
  </si>
  <si>
    <t>KoreaSouth.Giaotiep.anhvc</t>
  </si>
  <si>
    <t>KoreaSouth.anhvc.1840.Giaotiep</t>
  </si>
  <si>
    <t>ALL.Giaotiep.M311C268</t>
  </si>
  <si>
    <t>ALL.Giaotiep.M311C268.2040</t>
  </si>
  <si>
    <t>https://s.net.vn/TAGTP-europe</t>
  </si>
  <si>
    <t>https://s.net.vn/hlgall03</t>
  </si>
  <si>
    <t>http://ldp.ink/tienganhvc_korea</t>
  </si>
  <si>
    <t>Philippines.giaotiep.TAGTP</t>
  </si>
  <si>
    <t>Philippines.TAGTP.1840.giaotiep</t>
  </si>
  <si>
    <t>Japan.Giaotiep.M312C267</t>
  </si>
  <si>
    <t>Japan.Giaotiep.M312C267.2040</t>
  </si>
  <si>
    <t>Japan.Giaotiep.anhmgta</t>
  </si>
  <si>
    <t>Japan.anhmgta.1840.Giaotiep</t>
  </si>
  <si>
    <t>https://s.net.vn/TAGTP-philippines</t>
  </si>
  <si>
    <t>KoreaSouth.giaotiep.TAGTP</t>
  </si>
  <si>
    <t>KoreaSouth.TAGTP.1840.giaotiep</t>
  </si>
  <si>
    <t>https://s.net.vn/hlgjp03</t>
  </si>
  <si>
    <t>http://ldp.ink/tienganhmgta_japan</t>
  </si>
  <si>
    <t>Europe.Giaotiep.M321C275</t>
  </si>
  <si>
    <t>KoreaSouth.Giaotiep.anhmgta</t>
  </si>
  <si>
    <t>Europe.Giaotiep.M321C275.2040</t>
  </si>
  <si>
    <t>KoreaSouth.anhmgta.1840.Giaotiep</t>
  </si>
  <si>
    <t>https://s.net.vn/TAGTP-korea</t>
  </si>
  <si>
    <t>Vietnam.Doanhnghiep.MB14</t>
  </si>
  <si>
    <t>Vietnam.MB14.1836.DoanhNghiep</t>
  </si>
  <si>
    <t>http://ldp.ink/tienganhmgta_korea</t>
  </si>
  <si>
    <t>https://s.net.vn/hlgeu03</t>
  </si>
  <si>
    <t>https://s.net.vn/MB14-vietnam</t>
  </si>
  <si>
    <t>Japan.Giaotiep.M321C275</t>
  </si>
  <si>
    <t>Japan.Giaotiep.M321C275.2040</t>
  </si>
  <si>
    <t>KoreaSouth.giaotiep.M191C133</t>
  </si>
  <si>
    <t>KoreaSouth.M191C133.1840.giaotiep</t>
  </si>
  <si>
    <t>https://s.net.vn/hlgjp05</t>
  </si>
  <si>
    <t>https://s.net.vn/M191C133-korea</t>
  </si>
  <si>
    <t>UnitedStates.Giaotiep.M321C275</t>
  </si>
  <si>
    <t>UnitedStates.Giaotiep.M321C275.2040</t>
  </si>
  <si>
    <t>Australia.giaotiep.M207C161</t>
  </si>
  <si>
    <t>Australia.M207C161.1840.giaotiep</t>
  </si>
  <si>
    <t>https://s.net.vn/hlgus03</t>
  </si>
  <si>
    <t>https://s.net.vn/M207C161-australia</t>
  </si>
  <si>
    <t>ALL.giaotiep.M172C138</t>
  </si>
  <si>
    <t>ALL.M172C138.1840.giaotiep</t>
  </si>
  <si>
    <t>UnitedStates.Giaotiep.M332C280</t>
  </si>
  <si>
    <t>UnitedStates.Giaotiep.M332C280.2040</t>
  </si>
  <si>
    <t>https://s.net.vn/M172C138-all</t>
  </si>
  <si>
    <t>https://s.net.vn/hlgus04</t>
  </si>
  <si>
    <t>Japan.Giaotiep.Anhtim</t>
  </si>
  <si>
    <t>Japan.Anhtim.1840.Giaotiep</t>
  </si>
  <si>
    <t>UnitedStates.giaotiep.M236</t>
  </si>
  <si>
    <t>UnitedStates.M236.1840.giaotiep</t>
  </si>
  <si>
    <t>UnitedStates.Giaotiep.M333C280</t>
  </si>
  <si>
    <t>UnitedStates.Giaotiep.M333C280.2050</t>
  </si>
  <si>
    <t>https://s.net.vn/M236-hoaky</t>
  </si>
  <si>
    <t>http://ldp.ink/tienganhtim_japan</t>
  </si>
  <si>
    <t>https://s.net.vn/hlgus05</t>
  </si>
  <si>
    <t>Europe.giaotiep.M236</t>
  </si>
  <si>
    <t>Europe.M236.1840.giaotiep</t>
  </si>
  <si>
    <t>KoreaSouth.Giaotiep.Anhtim</t>
  </si>
  <si>
    <t>KoreaSouth.Anhtim.1840.Giaotiep</t>
  </si>
  <si>
    <t>ALL.Giaotiep.M311C273</t>
  </si>
  <si>
    <t>ALL.Giaotiep.M311C273.2040</t>
  </si>
  <si>
    <t>https://s.net.vn/M236-europe</t>
  </si>
  <si>
    <t>http://ldp.ink/tienganhtim_korea</t>
  </si>
  <si>
    <t>Philippines.giaotiep.M236</t>
  </si>
  <si>
    <t>Philippines.M236.1840.giaotiep</t>
  </si>
  <si>
    <t>https://s.net.vn/hlgall04</t>
  </si>
  <si>
    <t>Australia.Giaotiep.anhtim</t>
  </si>
  <si>
    <t>Australia.anhtim.2055.Giaotiep</t>
  </si>
  <si>
    <t>https://s.net.vn/M236-philippines</t>
  </si>
  <si>
    <t>Europe.Giaotiep.M320C277</t>
  </si>
  <si>
    <t>Europe.Giaotiep.M320C277.2040</t>
  </si>
  <si>
    <t>Japan.giaotiep.M236</t>
  </si>
  <si>
    <t>Japan.M236.1840.giaotiep</t>
  </si>
  <si>
    <t>http://ldp.ink/tienganhtim_australia</t>
  </si>
  <si>
    <t>Philippines.Giaotiep.anhtim</t>
  </si>
  <si>
    <t>Philippines.anhtim.2045.Giaotiep</t>
  </si>
  <si>
    <t>https://s.net.vn/M236-japan</t>
  </si>
  <si>
    <t>https://s.net.vn/hlgeu04</t>
  </si>
  <si>
    <t>Taiwan.giaotiep.M236</t>
  </si>
  <si>
    <t>Taiwan.M236.1840.giaotiep</t>
  </si>
  <si>
    <t>Australia.Giaotiep.M339C286</t>
  </si>
  <si>
    <t>Australia.Giaotiep.M339C286.2040</t>
  </si>
  <si>
    <t>http://ldp.ink/tienganhtim_philippines</t>
  </si>
  <si>
    <t>https://s.net.vn/M236-taiwan</t>
  </si>
  <si>
    <t>Singapore.Giaotiep.anhtim</t>
  </si>
  <si>
    <t>Singapore.anhtim.2045.Giaotiep</t>
  </si>
  <si>
    <t>https://s.net.vn/hlgau02</t>
  </si>
  <si>
    <t>UnitedStates.giaotiep.M241</t>
  </si>
  <si>
    <t>UnitedStates.M241.1840.giaotiep</t>
  </si>
  <si>
    <t>ALL.Giaotiep.M314C273</t>
  </si>
  <si>
    <t>ALL.Giaotiep.M314C273.2040</t>
  </si>
  <si>
    <t>http://ldp.ink/tienganhtim_singapore</t>
  </si>
  <si>
    <t>https://s.net.vn/M241-usa</t>
  </si>
  <si>
    <t>https://s.net.vn/hlgall05</t>
  </si>
  <si>
    <t>UnitedStates.giaotiep.M239</t>
  </si>
  <si>
    <t>UnitedStates.M239.1840.giaotiep</t>
  </si>
  <si>
    <t>Taiwan.Giaotiep.anhtim</t>
  </si>
  <si>
    <t>Taiwan.anhtim.2045.Giaotiep</t>
  </si>
  <si>
    <t>https://s.net.vn/M239-usa</t>
  </si>
  <si>
    <t>http://ldp.ink/tienganhtim_dailoan</t>
  </si>
  <si>
    <t>UnitedStates.giaotiep.M220</t>
  </si>
  <si>
    <t>UnitedStates.M220.1840.giaotiep</t>
  </si>
  <si>
    <t>https://s.net.vn/hlgjp06</t>
  </si>
  <si>
    <t>UnitedStates.Giaotiep.anhtim</t>
  </si>
  <si>
    <t>UnitedStates.anhtim.2055.Giaotiep</t>
  </si>
  <si>
    <t>Europe.Giaotiep.M356C287</t>
  </si>
  <si>
    <t>Europe.Giaotiep.M356C287.2040</t>
  </si>
  <si>
    <t>https://s.net.vn/M220-usa</t>
  </si>
  <si>
    <t>http://ldp.ink/tienganhtim_hoaky</t>
  </si>
  <si>
    <t>https://s.net.vn/hlgeu05</t>
  </si>
  <si>
    <t>Canada.Giaotiep.anhtim</t>
  </si>
  <si>
    <t>Canada.anhtim.2055.Giaotiep</t>
  </si>
  <si>
    <t>https://s.net.vn/M231-usa</t>
  </si>
  <si>
    <t>ALL.Giaotiep.M356C287</t>
  </si>
  <si>
    <t>ALL.Giaotiep.M356C287.2040</t>
  </si>
  <si>
    <t>UnitedStates.giaotiep.M235</t>
  </si>
  <si>
    <t>UnitedStates.M235.1840.giaotiep</t>
  </si>
  <si>
    <t>http://ldp.ink/tienganhtim_canada</t>
  </si>
  <si>
    <t>https://s.net.vn/hlgall06</t>
  </si>
  <si>
    <t>https://s.net.vn/M235-usa</t>
  </si>
  <si>
    <t>Australia.Giaotiep.Anhaz</t>
  </si>
  <si>
    <t>Australia.Anhaz.2055.Giaotiep</t>
  </si>
  <si>
    <t>Japan.Giaotiep.M388C315</t>
  </si>
  <si>
    <t>Japan.Giaotiep.M388C315.2040</t>
  </si>
  <si>
    <t>Taiwan.giaotiep.M241</t>
  </si>
  <si>
    <t>Taiwan.M241.1840.giaotiep</t>
  </si>
  <si>
    <t>http://ldp.ink/tienganhaz_australia</t>
  </si>
  <si>
    <t>https://s.net.vn/hlgjp09</t>
  </si>
  <si>
    <t>https://s.net.vn/M241-taiwan</t>
  </si>
  <si>
    <t>Taiwan.giaotiep.M220</t>
  </si>
  <si>
    <t>KoreaSouth.Giaotiep.M388C315</t>
  </si>
  <si>
    <t>Taiwan.M220.1840.giaotiep</t>
  </si>
  <si>
    <t>KoreaSouth.Giaotiep.Anhaz</t>
  </si>
  <si>
    <t>KoreaSouth.Giaotiep.M388C315.2040</t>
  </si>
  <si>
    <t>KoreaSouth.Anhaz.1840.Giaotiep</t>
  </si>
  <si>
    <t>https://s.net.vn/M220-taiwan</t>
  </si>
  <si>
    <t>https://s.net.vn/hlgkr09</t>
  </si>
  <si>
    <t>http://ldp.ink/tienganhaz_korea</t>
  </si>
  <si>
    <t>Taiwan.giaotiep.M231</t>
  </si>
  <si>
    <t>Taiwan.M231.1840.giaotiep</t>
  </si>
  <si>
    <t>UnitedStates.Giaotiep.M388C315</t>
  </si>
  <si>
    <t>UnitedStates.Giaotiep.M388C315.2040</t>
  </si>
  <si>
    <t>KoreaSouth.Giaotiep.Anhndl</t>
  </si>
  <si>
    <t>KoreaSouth.Anhndl.1840.Giaotiep</t>
  </si>
  <si>
    <t>https://s.net.vn/M231-dailoan</t>
  </si>
  <si>
    <t>https://s.net.vn/hlgus09</t>
  </si>
  <si>
    <t>http://ldp.ink/tienganhndl_korea</t>
  </si>
  <si>
    <t>KoreaSouth.giaotiep.M231</t>
  </si>
  <si>
    <t>KoreaSouth.M231.1840.giaotiep</t>
  </si>
  <si>
    <t>Europe.Giaotiep.M394C317</t>
  </si>
  <si>
    <t>Europe.Giaotiep.M394C317.2040</t>
  </si>
  <si>
    <t>Japan.Giaotiep.Anhndl</t>
  </si>
  <si>
    <t>Japan.Anhndl.1840.Giaotiep</t>
  </si>
  <si>
    <t>https://s.net.vn/M231-korea</t>
  </si>
  <si>
    <t>Philippines.giaotiep.M241</t>
  </si>
  <si>
    <t>Philippines.M241.1840.giaotiep</t>
  </si>
  <si>
    <t>https://s.net.vn/hlgeu08</t>
  </si>
  <si>
    <t>http://ldp.ink/tienganhndl_japan</t>
  </si>
  <si>
    <t>Taiwan.Giaotiep.anhndl</t>
  </si>
  <si>
    <t>Taiwan.anhndl.2045.Giaotiep</t>
  </si>
  <si>
    <t>https://s.net.vn/M241-philippines</t>
  </si>
  <si>
    <t>Japan.giaotiep.M231</t>
  </si>
  <si>
    <t>Japan.M231.1840.giaotiep</t>
  </si>
  <si>
    <t>http://ldp.ink/tienganhndl_dailoan</t>
  </si>
  <si>
    <t>Europe.Giaotiep.M396C322</t>
  </si>
  <si>
    <t>Europe.Giaotiep.M396C322.2040</t>
  </si>
  <si>
    <t>https://s.net.vn/M231-japan</t>
  </si>
  <si>
    <t>UnitedStates.Giaotiep.anhndl</t>
  </si>
  <si>
    <t>UnitedStates.anhndl.2045.Giaotiep</t>
  </si>
  <si>
    <t>Japan.giaotiep.M241</t>
  </si>
  <si>
    <t>Japan.M241.1840.giaotiep</t>
  </si>
  <si>
    <t>https://s.net.vn/hlgeu10</t>
  </si>
  <si>
    <t>http://ldp.ink/tienganhndl_hoaky</t>
  </si>
  <si>
    <t>https://s.net.vn/M241-japan</t>
  </si>
  <si>
    <t>Australia.Giaotiep.M396C322</t>
  </si>
  <si>
    <t>Australia.Giaotiep.M396C322.2040</t>
  </si>
  <si>
    <t>Canada.Giaotiep.anhndl</t>
  </si>
  <si>
    <t>Canada.anhndl.2045.Giaotiep</t>
  </si>
  <si>
    <t>Japan.giaotiep.M220</t>
  </si>
  <si>
    <t>Japan.M220.1840.giaotiep</t>
  </si>
  <si>
    <t>https://s.net.vn/M220-japan</t>
  </si>
  <si>
    <t>http://ldp.ink/tienganhndl_canada</t>
  </si>
  <si>
    <t>Japan.giaotiep.M239</t>
  </si>
  <si>
    <t>Japan.M239.1840.giaotiep</t>
  </si>
  <si>
    <t>https://s.net.vn/hlgau10</t>
  </si>
  <si>
    <t>Australia.Giaotiep.anhndl</t>
  </si>
  <si>
    <t>Australia.anhndl.2045.Giaotiep</t>
  </si>
  <si>
    <t>ALL.Giaotiep.M396C322</t>
  </si>
  <si>
    <t>ALL.Giaotiep.M396C322.2040</t>
  </si>
  <si>
    <t>https://s.net.vn/M239-japan</t>
  </si>
  <si>
    <t>http://ldp.ink/tienganhndl_uc</t>
  </si>
  <si>
    <t>Japan.giaotiep.anhsale13</t>
  </si>
  <si>
    <t>Japan.anhsale13.1840.giaotiep</t>
  </si>
  <si>
    <t>https://s.net.vn/hlgall10</t>
  </si>
  <si>
    <t>Europe.Giaotiep.Anhtim</t>
  </si>
  <si>
    <t>Europe.Anhtim.2555.Giaotiep</t>
  </si>
  <si>
    <t>ALL.Reach.M314C4</t>
  </si>
  <si>
    <t>ALL.Reach.M314C4.2040</t>
  </si>
  <si>
    <t>https://s.net.vn/AS13-japan</t>
  </si>
  <si>
    <t>http://ldp.ink/tienganhtim_europe</t>
  </si>
  <si>
    <t>https://patadovietnam.edu.vn/tienganhtoandienpatado</t>
  </si>
  <si>
    <t>Japan.giaotiep.anhsale10</t>
  </si>
  <si>
    <t>Japan.anhsale10.1840.giaotiep</t>
  </si>
  <si>
    <t>https://s.net.vn/hlgall11</t>
  </si>
  <si>
    <t>Europe.Giaotiep.Anhndl</t>
  </si>
  <si>
    <t>Europe.Anhndl.2555.Giaotiep</t>
  </si>
  <si>
    <t>Japan.Lead.M397C4</t>
  </si>
  <si>
    <t>Japan.Lead.M397C4.2040</t>
  </si>
  <si>
    <t>http://ldp.ink/tienganhndl_europe</t>
  </si>
  <si>
    <t>https://s.net.vn/AS10-japan</t>
  </si>
  <si>
    <t>https://patadovietnam.edu.vn/tienganhtoandienpatado_ptattndl</t>
  </si>
  <si>
    <t>Japan.Giaotiep.anhdongluc</t>
  </si>
  <si>
    <t>Japan.anhdongluc.1840.Giaotiep</t>
  </si>
  <si>
    <t>Europe.giaotiep.M241</t>
  </si>
  <si>
    <t>https://s.net.vn/hlgjp12</t>
  </si>
  <si>
    <t>Europe.M241.1840.giaotiep</t>
  </si>
  <si>
    <t>UnitedStates.Lead.M397C4</t>
  </si>
  <si>
    <t>UnitedStates.Lead.M397C4.2040</t>
  </si>
  <si>
    <t>http://ldp.ink/tienganhdl_japan</t>
  </si>
  <si>
    <t>https://s.net.vn/M241-europe</t>
  </si>
  <si>
    <t>KoreaSouth.Giaotiep.anhdongluc</t>
  </si>
  <si>
    <t>KoreaSouth.anhdongluc.1840.Giaotiep</t>
  </si>
  <si>
    <t>Europe.giaotiep.M220</t>
  </si>
  <si>
    <t>Europe.M220.1840.giaotiep</t>
  </si>
  <si>
    <t>https://s.net.vn/hlgus13</t>
  </si>
  <si>
    <t>Europe.Lead.M397C4</t>
  </si>
  <si>
    <t>Europe.Lead.M397C4.2040</t>
  </si>
  <si>
    <t>https://s.net.vn/M220-europe</t>
  </si>
  <si>
    <t>http://ldp.ink/tienganhdl_korea</t>
  </si>
  <si>
    <t>Australia.Giaotiep.anhdongluc</t>
  </si>
  <si>
    <t>Europe.giaotiep.M231</t>
  </si>
  <si>
    <t>Australia.anhdongluc.2055.Giaotiep</t>
  </si>
  <si>
    <t>Europe.M231.1840.giaotiep</t>
  </si>
  <si>
    <t>https://s.net.vn/hlgeu13</t>
  </si>
  <si>
    <t>http://ldp.ink/tienganhdl_australia</t>
  </si>
  <si>
    <t>https://s.net.vn/M231-europe</t>
  </si>
  <si>
    <t>Japan.LAL.M398C323</t>
  </si>
  <si>
    <t>Japan.LAL.M398C323.2040</t>
  </si>
  <si>
    <t>LAL</t>
  </si>
  <si>
    <t>UnitedStates.Giaotiep.anhdongluc</t>
  </si>
  <si>
    <t>UnitedStates.anhdongluc.2055.Giaotiep</t>
  </si>
  <si>
    <t>http://ldp.ink/tienganhdl_hoaky</t>
  </si>
  <si>
    <t>https://s.net.vn/hlgjp13</t>
  </si>
  <si>
    <t>Canada.Giaotiep.anhdongluc</t>
  </si>
  <si>
    <t>Canada.anhdongluc.2055.Giaotiep</t>
  </si>
  <si>
    <t>ALL.RMK.M398C323</t>
  </si>
  <si>
    <t>http://ldp.ink/tienganhdl_canada</t>
  </si>
  <si>
    <t>Taiwan.Giaotiep.anhdongluc</t>
  </si>
  <si>
    <t>Taiwan.anhdongluc.2050.Giaotiep</t>
  </si>
  <si>
    <t>https://s.net.vn/PTKOC-europe</t>
  </si>
  <si>
    <t>https://s.net.vn/hlgall13</t>
  </si>
  <si>
    <t>Europe.giaotiep.ndl</t>
  </si>
  <si>
    <t>Europe.ndl.1840.giaotiep</t>
  </si>
  <si>
    <t>ALL.RMK.M277C238</t>
  </si>
  <si>
    <t>ALL.RMK.M277C238.2040</t>
  </si>
  <si>
    <t>http://ldp.ink/tienganhdl_dailoan</t>
  </si>
  <si>
    <t>https://patadovietnam.edu.vn/phong_van_doc_quyen_vicky_thao_dnguyen</t>
  </si>
  <si>
    <t>https://s.net.vn/ndl-europe</t>
  </si>
  <si>
    <t>Japan.Giaotiep.anhpv</t>
  </si>
  <si>
    <t>Japan.anhpv.1840.Giaotiep</t>
  </si>
  <si>
    <t>https://s.net.vn/hlgall14</t>
  </si>
  <si>
    <t>Europe.giaotiep.akg</t>
  </si>
  <si>
    <t>Europe.akg.1840.giaotiep</t>
  </si>
  <si>
    <t>KoreaSouth.Giaotiep.anhpv</t>
  </si>
  <si>
    <t>KoreaSouth.anhpv.1840.Giaotiep</t>
  </si>
  <si>
    <t>ALL.REACH.FormC4</t>
  </si>
  <si>
    <t>ALL.REACH.FormC4.2040</t>
  </si>
  <si>
    <t>https://patadovietnam.edu.vn/phong_van_doc_quyen_vicky_thao_dnguyenn</t>
  </si>
  <si>
    <t>https://s.net.vn/akg-europe</t>
  </si>
  <si>
    <t>Australia.Giaotiep.anhpv</t>
  </si>
  <si>
    <t>Australia.anhpv.2055.Giaotiep</t>
  </si>
  <si>
    <t>UnitedStates.giaotiep.ndl</t>
  </si>
  <si>
    <t>UnitedStates.ndl.1840.giaotiep</t>
  </si>
  <si>
    <t>UnitedStates.Giaotiep.anhpv</t>
  </si>
  <si>
    <t>UnitedStates.anhpv.2055.Giaotiep</t>
  </si>
  <si>
    <t>https://s.net.vn/hlgall15</t>
  </si>
  <si>
    <t>Canada.Giaotiep.anhpv</t>
  </si>
  <si>
    <t>Canada.anhpv.2055.Giaotiep</t>
  </si>
  <si>
    <t>https://s.net.vn/ndl-usa</t>
  </si>
  <si>
    <t>Taiwan.Giaotiep.anhpv</t>
  </si>
  <si>
    <t>Taiwan.anhpv.2050.Giaotiep</t>
  </si>
  <si>
    <t>ALL.REACH.FormTest</t>
  </si>
  <si>
    <t>Singapore.Giaotiep.anhpv</t>
  </si>
  <si>
    <t>Singapore.anhpv.2050.Giaotiep</t>
  </si>
  <si>
    <t>UnitedStates.giaotiep.akg</t>
  </si>
  <si>
    <t>UnitedStates.akg.1840.giaotiep</t>
  </si>
  <si>
    <t>Europe.Giaotiep.anhpv</t>
  </si>
  <si>
    <t>Europe.anhpv.2050.Giaotiep</t>
  </si>
  <si>
    <t>Japan.Giaotiep.vdndl</t>
  </si>
  <si>
    <t>Japan.vdndl.1840.Giaotiep</t>
  </si>
  <si>
    <t>https://s.net.vn/hlgftest</t>
  </si>
  <si>
    <t>https://s.net.vn/akg-usa</t>
  </si>
  <si>
    <t>ALL.giaotiep.akg</t>
  </si>
  <si>
    <t>ALL.akg.1840.giaotiep</t>
  </si>
  <si>
    <t>ALL.REACH.FormTL</t>
  </si>
  <si>
    <t>tangtailieu</t>
  </si>
  <si>
    <t>http://ldp.ink/vdndl_japan</t>
  </si>
  <si>
    <t>KoreaSouth.Giaotiep.vdndl</t>
  </si>
  <si>
    <t>KoreaSouth.vdndl.1840.Giaotiep</t>
  </si>
  <si>
    <t>https://s.net.vn/akg-all</t>
  </si>
  <si>
    <t>https://s.net.vn/hlgftl</t>
  </si>
  <si>
    <t>ALL.giaotiep.ndl</t>
  </si>
  <si>
    <t>ALL.ndl.1840.giaotiep</t>
  </si>
  <si>
    <t>http://ldp.ink/vdndl_korea</t>
  </si>
  <si>
    <t>ALL.RMK.Page</t>
  </si>
  <si>
    <t>Taiwan.Giaotiep.vdndl</t>
  </si>
  <si>
    <t>Taiwan.vdndl.2050.Giaotiep</t>
  </si>
  <si>
    <t>https://s.net.vn/ndl-all</t>
  </si>
  <si>
    <t>ALL.giaotiep.M241</t>
  </si>
  <si>
    <t>ALL.M241.1840.giaotiep</t>
  </si>
  <si>
    <t>http://ldp.ink/vdndl_taiwan</t>
  </si>
  <si>
    <t>HG4601</t>
  </si>
  <si>
    <t>UnitedStates.Giaotiep.M51C46</t>
  </si>
  <si>
    <t>UnitedStates.M51C46.2055.Giaotiep</t>
  </si>
  <si>
    <t>https://s.net.vn/M241-all</t>
  </si>
  <si>
    <t>http://ldp.ink/tienganhddv_hoaky</t>
  </si>
  <si>
    <t>https://s.net.vn/hlgeu15</t>
  </si>
  <si>
    <t>Vietnam.giaotiep.M241</t>
  </si>
  <si>
    <t>Vietnam.M241.1840.giaotiep</t>
  </si>
  <si>
    <t>Canada.Giaotiep.M51C46</t>
  </si>
  <si>
    <t>Canada.M51C46.2055.Giaotiep</t>
  </si>
  <si>
    <t>UnitedStates.Giaotiep.M396C322</t>
  </si>
  <si>
    <t>UnitedStates.Giaotiep.M396C322.2040</t>
  </si>
  <si>
    <t>https://s.net.vn/M241-vietnam</t>
  </si>
  <si>
    <t>http://ldp.ink/tienganhddv_canada</t>
  </si>
  <si>
    <t>Vietnam.giaotiep.M220</t>
  </si>
  <si>
    <t>Australia.Giaotiep.M51C46</t>
  </si>
  <si>
    <t>Vietnam.M220.1840.giaotiep</t>
  </si>
  <si>
    <t>Australia.M51C46.2055.Giaotiep</t>
  </si>
  <si>
    <t>https://byvn.net/hlgus15</t>
  </si>
  <si>
    <t>KoreaSouth.Giaotiep.M396C322</t>
  </si>
  <si>
    <t>KoreaSouth.Giaotiep.M396C322.2040</t>
  </si>
  <si>
    <t>https://s.net.vn/M220-vietnam</t>
  </si>
  <si>
    <t>http://ldp.ink/tienganhddv_australia</t>
  </si>
  <si>
    <t>Vietnam.giaotiep.M229</t>
  </si>
  <si>
    <t>Vietnam.M229.1840.giaotiep</t>
  </si>
  <si>
    <t>Taiwan.Giaotiep.M51C46</t>
  </si>
  <si>
    <t>Taiwan.M51C46.2045.Giaotiep</t>
  </si>
  <si>
    <t>https://byvn.net/hlgkr15</t>
  </si>
  <si>
    <t>https://s.net.vn/M229-vietnam</t>
  </si>
  <si>
    <t>Vietnam.IELTS.Anhlotrinh.2049</t>
  </si>
  <si>
    <t>http://ldp.ink/tienganhddv_taiwan</t>
  </si>
  <si>
    <t>Malaysia.Giaotiep.M51C46</t>
  </si>
  <si>
    <t>Malaysia.M51C46.2045.Giaotiep</t>
  </si>
  <si>
    <t>https://s.net.vn/M235-hoaky</t>
  </si>
  <si>
    <t>https://byvn.net/hlgvn01</t>
  </si>
  <si>
    <t>https://patadovietnam.edu.vn/giaotiep_japan/</t>
  </si>
  <si>
    <t>ALL.IELTS.Anhlotrinh.2040</t>
  </si>
  <si>
    <t>http://ldp.ink/tienganhddv_malaysia</t>
  </si>
  <si>
    <t>https://byvn.net/hlgall15</t>
  </si>
  <si>
    <t>https://s.net.vn/M220/japan</t>
  </si>
  <si>
    <t>Taiwan.Giaotiep.Anhshortthongbao.2040</t>
  </si>
  <si>
    <t>LH3645</t>
  </si>
  <si>
    <t>https://s.net.vn/as13/japan</t>
  </si>
  <si>
    <t>http://ldp.ink/vdndl_koreasouth</t>
  </si>
  <si>
    <t>https://byvn.net/hlgtw01</t>
  </si>
  <si>
    <t>Japan.Giaotiep.Anhshortthongbao</t>
  </si>
  <si>
    <t>Japan.Giaotiep.Anhshortthongbao.2040</t>
  </si>
  <si>
    <t>https://s.net.vn/M231/korea</t>
  </si>
  <si>
    <t>https://byvn.net/hlgjp15</t>
  </si>
  <si>
    <t>https://s.net.vn/ndl/europe</t>
  </si>
  <si>
    <t>UnitedStatesanhndl.2055.Giaotiep</t>
  </si>
  <si>
    <t>https://byvn.net/hlgeu16</t>
  </si>
  <si>
    <t>http://ldp.ink/M48C54_tienganhhoaky</t>
  </si>
  <si>
    <t>Europe.Giaotiep.Anhshortthongbao</t>
  </si>
  <si>
    <t>Europe.Giaotiep.Anhshortthongbao.2040</t>
  </si>
  <si>
    <t>https://s.net.vn/PTKOC/europe</t>
  </si>
  <si>
    <t>Canada.Giaotiep.M48C54</t>
  </si>
  <si>
    <t>Canada.M48C54.2055.Giaotiep</t>
  </si>
  <si>
    <t>http://ldp.ink/M48C54_tienganhcanada</t>
  </si>
  <si>
    <t>https://s.net.vn/HTKOC2/europe</t>
  </si>
  <si>
    <t>Australia.Giaotiep.M48C54</t>
  </si>
  <si>
    <t>Australia.M48C54.2055.Giaotiep</t>
  </si>
  <si>
    <t>http://ldp.ink/M48C54_tienganhaustralia</t>
  </si>
  <si>
    <t>https://s.net.vn/M231/europe</t>
  </si>
  <si>
    <t>Taiwan.Giaotiep.M48C54</t>
  </si>
  <si>
    <t>Taiwan.M48C54.2045.Giaotiep</t>
  </si>
  <si>
    <t>https://byvn.net/hlgeu17</t>
  </si>
  <si>
    <t>http://ldp.ink/M48C54_taiwan</t>
  </si>
  <si>
    <t>https://s.net.vn/akg/europe</t>
  </si>
  <si>
    <t>Taiwan.Giaotiep.Anhthongbao12.2040</t>
  </si>
  <si>
    <t>Philippines.Giaotiep.M48C54</t>
  </si>
  <si>
    <t>Philippines.M48C54.2045.Giaotiep</t>
  </si>
  <si>
    <t>https://s.net.vn/M231/taiwan</t>
  </si>
  <si>
    <t>http://ldp.ink/M48C54_tienganhphilippines</t>
  </si>
  <si>
    <t>https://byvn.net/hlgtw02</t>
  </si>
  <si>
    <t>UnitedStates.giaotiep.M246</t>
  </si>
  <si>
    <t>UnitedStates.M246.1840.giaotiep</t>
  </si>
  <si>
    <t>Japan.Giaotiep.M48C54</t>
  </si>
  <si>
    <t>Japan.M48C54.1840.Giaotiep</t>
  </si>
  <si>
    <t>Japan.Giaotiep.M396C322</t>
  </si>
  <si>
    <t>Japan.Giaotiep.M396C322.2040</t>
  </si>
  <si>
    <t>https://s.net.vn/M246-usa</t>
  </si>
  <si>
    <t>http://ldp.ink/M48C54_tienganhjapan</t>
  </si>
  <si>
    <t>Japan.giaotiep.M246</t>
  </si>
  <si>
    <t>Japan.M246.1840.giaotiep</t>
  </si>
  <si>
    <t>https://byvn.net/hlgjp08</t>
  </si>
  <si>
    <t>KoreaSouth.Giaotiep.M48C54</t>
  </si>
  <si>
    <t>KoreaSouth.M48C54.1840.Giaotiep</t>
  </si>
  <si>
    <t>UnitedStates.Giaotiep.M436C353</t>
  </si>
  <si>
    <t>UnitedStates.Giaotiep.M436C353.2040</t>
  </si>
  <si>
    <t>https://s.net.vn/M246-japan</t>
  </si>
  <si>
    <t>Europe.giaotiep.M246</t>
  </si>
  <si>
    <t>Europe.M246.1840.giaotiep</t>
  </si>
  <si>
    <t>https://byvn.net/hlgus08</t>
  </si>
  <si>
    <t>http://ldp.ink/M48C54_tienganhkorea</t>
  </si>
  <si>
    <t>Japan.Giaotiep.M434C349</t>
  </si>
  <si>
    <t>https://s.net.vn/M246-europe</t>
  </si>
  <si>
    <t>UnitedStates.Giaotiep.M48C54</t>
  </si>
  <si>
    <t>UnitedStatesM48C54.2055.Giaotiep</t>
  </si>
  <si>
    <t>Taiwan.giaotiep.M246</t>
  </si>
  <si>
    <t>Taiwan.M246.1840.giaotiep</t>
  </si>
  <si>
    <t>https://byvn.net/hlgjp09</t>
  </si>
  <si>
    <t>https://s.net.vn/M246-taiwan</t>
  </si>
  <si>
    <t>ALL.Career.M464C374</t>
  </si>
  <si>
    <t>ALL.Career.M464C374.2040</t>
  </si>
  <si>
    <t>Europe.Giaotiep.M48C54</t>
  </si>
  <si>
    <t>Europe.M48C54.2555.Giaotiep</t>
  </si>
  <si>
    <t>Philippines.giaotiep.M246</t>
  </si>
  <si>
    <t>Philippines.M246.1840.giaotiep</t>
  </si>
  <si>
    <t>ALL.Career.M465C375</t>
  </si>
  <si>
    <t>ALL.Career.M465C375.2040</t>
  </si>
  <si>
    <t>http://ldp.ink/M48C54_tienganheurope</t>
  </si>
  <si>
    <t>https://s.net.vn/M246-philippines</t>
  </si>
  <si>
    <t>Australia.giaotiep.M246</t>
  </si>
  <si>
    <t>Japan.Giaotiep.M97C72</t>
  </si>
  <si>
    <t>Australia.M246.1840.giaotiep</t>
  </si>
  <si>
    <t>Japan.M97C72.1840.Giaotiep</t>
  </si>
  <si>
    <t>Australia.Career.M466C376</t>
  </si>
  <si>
    <t>Australia.Career.M466C376.2040</t>
  </si>
  <si>
    <t>https://s.net.vn/M246-uc</t>
  </si>
  <si>
    <t>http://ldp.ink/M97C72_tienganhjapan</t>
  </si>
  <si>
    <t>Japan.giaotiep.M199</t>
  </si>
  <si>
    <t>Japan.M199.1840.giaotiep</t>
  </si>
  <si>
    <t>Philippines.Giaotiep.M97C72</t>
  </si>
  <si>
    <t>Philippines.M97C72.2045.Giaotiep</t>
  </si>
  <si>
    <t>Taiwan.Career.M465C375</t>
  </si>
  <si>
    <t>Taiwan.Career.M465C375.2040</t>
  </si>
  <si>
    <t>https://s.net.vn/M199-japan</t>
  </si>
  <si>
    <t>http://ldp.ink/M97C72_tienganhphilippines</t>
  </si>
  <si>
    <t>Vietnam.Congso.MB15</t>
  </si>
  <si>
    <t>Vietnam.MB15.1840.giaotiep</t>
  </si>
  <si>
    <t>Taiwan.Giaotiep.M97C72</t>
  </si>
  <si>
    <t>Taiwan.M97C72.2045.Giaotiep</t>
  </si>
  <si>
    <t>Vietnam.Career.M464C376</t>
  </si>
  <si>
    <t>Vietnam.Career.M464C376.2040</t>
  </si>
  <si>
    <t>https://s.net.vn/MB15-vietnam</t>
  </si>
  <si>
    <t>Vietnam.Congso.MB16</t>
  </si>
  <si>
    <t>Vietnam.MB16.1840.giaotiep</t>
  </si>
  <si>
    <t>http://ldp.ink/M97C72_tienganhdailoan</t>
  </si>
  <si>
    <t>https://patadovietnam.edu.vn/career_hlg/</t>
  </si>
  <si>
    <t>https://patadovietnam.edu.vn/phong_van_doc_quyen_vicky_thao_dnguyen_nhat</t>
  </si>
  <si>
    <t>https://s.net.vn/MB16-vietnam</t>
  </si>
  <si>
    <t>Japan.Giaotiep.M57C62</t>
  </si>
  <si>
    <t>Japan.M57C62.2050.Giaotiep</t>
  </si>
  <si>
    <t>Europe.Career.M465C375</t>
  </si>
  <si>
    <t>Europe.Career.M465C375.2040</t>
  </si>
  <si>
    <t>Vietnam.Congso.MB17</t>
  </si>
  <si>
    <t>Vietnam.MB17.1840.giaotiep</t>
  </si>
  <si>
    <t>https://s.net.vn/MB17-vietnam</t>
  </si>
  <si>
    <t>http://ldp.to/pvtdn_japan</t>
  </si>
  <si>
    <t>https://byvn.net/careerhlg01</t>
  </si>
  <si>
    <t>https://patadovietnam.edu.vn/phong_van_doc_quyen_vicky_thao_dnguyen_dai</t>
  </si>
  <si>
    <t>UnitedStates.giaotiep.M247</t>
  </si>
  <si>
    <t>UnitedStates.M247.1840.giaotiep</t>
  </si>
  <si>
    <t>UnitedStates.Career.M464C374</t>
  </si>
  <si>
    <t>UnitedStates.Career.M464C374.2045</t>
  </si>
  <si>
    <t>Taiwan.Giaotiep.M57C62</t>
  </si>
  <si>
    <t>Taiwan.M57C62.1845.Giaotiep</t>
  </si>
  <si>
    <t>https://s.net.vn/M247-usa</t>
  </si>
  <si>
    <t>https://byvn.net/careerhlg02</t>
  </si>
  <si>
    <t>Japan.giaotiep.M247</t>
  </si>
  <si>
    <t>Japan.M247.1840.giaotiep</t>
  </si>
  <si>
    <t>Japan.Career.M464</t>
  </si>
  <si>
    <t>Japan.Career.M464.2040</t>
  </si>
  <si>
    <t>http://ldp.ink/pvtdn_taiwan</t>
  </si>
  <si>
    <t>https://patadovietnam.edu.vn/phong_van_doc_quyen_vicky_thao_dnguyen_phi</t>
  </si>
  <si>
    <t>https://s.net.vn/M247-japan</t>
  </si>
  <si>
    <t>Philippines.Giaotiep.M57C62</t>
  </si>
  <si>
    <t>Philippines.M57C62.1845.Giaotiep</t>
  </si>
  <si>
    <t>https://byvn.net/careerhlg03</t>
  </si>
  <si>
    <t>Japan.giaotiep.M250</t>
  </si>
  <si>
    <t>Japan.M250.1840.giaotiep</t>
  </si>
  <si>
    <t>Japan.Giaotiep.M173</t>
  </si>
  <si>
    <t>Japan.Giaotiep.M173.2040</t>
  </si>
  <si>
    <t>https://s.net.vn/M250-japan</t>
  </si>
  <si>
    <t>http://ldp.ink/pvtdn_philippines</t>
  </si>
  <si>
    <t>https://patadovietnam.edu.vn/khoaieltscaptoc_dnt</t>
  </si>
  <si>
    <t>ALL.giaotiep.M250</t>
  </si>
  <si>
    <t>ALL.M250.1840.giaotiep</t>
  </si>
  <si>
    <t>https://byvn.net/hlgjp16</t>
  </si>
  <si>
    <t>ALL.IELTS.M109C86</t>
  </si>
  <si>
    <t>ALL.M109C86.1850.IELTS</t>
  </si>
  <si>
    <t>Malaysia.Giaotiep.M50</t>
  </si>
  <si>
    <t>Malaysia.Giaotiep.M50.2040</t>
  </si>
  <si>
    <t>https://s.net.vn/M250-all</t>
  </si>
  <si>
    <t>Europe.giaotiep.M250</t>
  </si>
  <si>
    <t>Europe.M250.1840.giaotiep</t>
  </si>
  <si>
    <t>http://ldp.ink/khoaieltscaptocdnt_all</t>
  </si>
  <si>
    <t>https://byvn.net/myshlg</t>
  </si>
  <si>
    <t>ALL.Giaotiep.M111C89</t>
  </si>
  <si>
    <t>ALL.M111C89.1850.Giaotiep</t>
  </si>
  <si>
    <t>https://s.net.vn/M250-europe</t>
  </si>
  <si>
    <t>Vietnam.Congso.MB18</t>
  </si>
  <si>
    <t>Vietnam.MB18.1836.Congso</t>
  </si>
  <si>
    <t>http://ldp.ink/all_bfat</t>
  </si>
  <si>
    <t>https://byvn.net/careerhlg04</t>
  </si>
  <si>
    <t>https://s.net.vn/MB18-vietnam</t>
  </si>
  <si>
    <t>ALL.Giaotiep.M89C73</t>
  </si>
  <si>
    <t>ALL.M89C73.1850.Giaotiep</t>
  </si>
  <si>
    <t>Europe.Giaotiep.M480</t>
  </si>
  <si>
    <t>Europe.Giaotiep.M480.2040</t>
  </si>
  <si>
    <t>Vietnam.Congso.MB19</t>
  </si>
  <si>
    <t>Vietnam.MB19.1836.Congso</t>
  </si>
  <si>
    <t>http://ldp.ink/all_ndlkt</t>
  </si>
  <si>
    <t>https://byvn.net/hlgeu10</t>
  </si>
  <si>
    <t>https://s.net.vn/MB19-vietnam</t>
  </si>
  <si>
    <t>Vietnam.Congso.MB20</t>
  </si>
  <si>
    <t>Vietnam.MB20.1836.Congso</t>
  </si>
  <si>
    <t>UnitedStates.Giaotiep.M96C52</t>
  </si>
  <si>
    <t>UnitedStates.M96C52.2055.Giaotiep</t>
  </si>
  <si>
    <t>Japan.Giaotiep.M496</t>
  </si>
  <si>
    <t>Japan.Giaotiep.M496.2040</t>
  </si>
  <si>
    <t>https://s.net.vn/MB20-HNHCM</t>
  </si>
  <si>
    <t>https://byvn.net/hlgjp11</t>
  </si>
  <si>
    <t>http://ldp.ink/unitedstates_tn36b</t>
  </si>
  <si>
    <t>Japan.giaotiep.M256</t>
  </si>
  <si>
    <t>Japan.M256.1840.giaotiep</t>
  </si>
  <si>
    <t>UnitedStates.Giaotiep.M496</t>
  </si>
  <si>
    <t>UnitedStates.Giaotiep.M496.2040</t>
  </si>
  <si>
    <t>Canada.Giaotiep.M96C52</t>
  </si>
  <si>
    <t>Canada.M96C52.2055.Giaotiep</t>
  </si>
  <si>
    <t>https://s.net.vn/M256-japan</t>
  </si>
  <si>
    <t>https://byvn.net/hlgus11</t>
  </si>
  <si>
    <t>Europe.giaotiep.M256</t>
  </si>
  <si>
    <t>Europe.M256.1840.giaotiep</t>
  </si>
  <si>
    <t>http://ldp.ink/canada_tn36b</t>
  </si>
  <si>
    <t>https://patadovietnam.edu.vn/hlg1907</t>
  </si>
  <si>
    <t>Australia.Giaotiep.M96C52</t>
  </si>
  <si>
    <t>Australia.M96C52.2055.Giaotiep</t>
  </si>
  <si>
    <t>Europe.Giaotiep.M496</t>
  </si>
  <si>
    <t>https://s.net.vn/M256-europe</t>
  </si>
  <si>
    <t>Europe.giaotiep.M254</t>
  </si>
  <si>
    <t>Europe.M254.1840.giaotiep</t>
  </si>
  <si>
    <t>http://ldp.ink/australia_tn36b</t>
  </si>
  <si>
    <t>https://byvn.net/hlgeu13</t>
  </si>
  <si>
    <t>Philippines.Giaotiep.M96C52</t>
  </si>
  <si>
    <t>Philippines.M96C52.2055.Giaotiep</t>
  </si>
  <si>
    <t>https://s.net.vn/M254-europe</t>
  </si>
  <si>
    <t>Japan.Giaotiep.M496.1840</t>
  </si>
  <si>
    <t>Japan.giaotiep.M254</t>
  </si>
  <si>
    <t>Japan.M254.1840.giaotiep</t>
  </si>
  <si>
    <t>http://ldp.ink/Philippines_tn36b</t>
  </si>
  <si>
    <t>https://byvn.net/hlgjp13</t>
  </si>
  <si>
    <t>https://patadovietnam.edu.vn/hlg1807</t>
  </si>
  <si>
    <t>https://s.net.vn/M254-japan</t>
  </si>
  <si>
    <t>Japan.Giaotiep.Anhshortthongbao.1840</t>
  </si>
  <si>
    <t>Australia.Giaotiep.M117C93</t>
  </si>
  <si>
    <t>Australia.M117C93.2055.Giaotiep</t>
  </si>
  <si>
    <t>Europe.giaotiep.M257</t>
  </si>
  <si>
    <t>Europe.M257.1840.giaotiep</t>
  </si>
  <si>
    <t>https://byvn.net/J3nu</t>
  </si>
  <si>
    <t>http://ldp.ink/mlgtbx_australia</t>
  </si>
  <si>
    <t>https://s.net.vn/M257-europe</t>
  </si>
  <si>
    <t>Taiwan.giaotiep.M256</t>
  </si>
  <si>
    <t>Taiwan.M256.1840.giaotiep</t>
  </si>
  <si>
    <t>UnitedStates.Giaotiep.M117C93</t>
  </si>
  <si>
    <t>UnitedStates.Giaotiep.Anhshortthongbao.1840</t>
  </si>
  <si>
    <t>UnitedStates.M117C93.2055.Giaotiep</t>
  </si>
  <si>
    <t>https://s.net.vn/M256-taiwan</t>
  </si>
  <si>
    <t>https://byvn.net/hlgus13</t>
  </si>
  <si>
    <t>http://ldp.ink/mlgtbx_hoaky</t>
  </si>
  <si>
    <t>Japan.giaotiep.M257</t>
  </si>
  <si>
    <t>Japan.M257.1840.giaotiep</t>
  </si>
  <si>
    <t>Canada.Giaotiep.M117C93</t>
  </si>
  <si>
    <t>Canada.M117C93.2055.Giaotiep</t>
  </si>
  <si>
    <t>https://patadovietnam.edu.vn/giaotiep_japan/?utm_source=Facebook&amp;utm_medium=CVS&amp;utm_term=NEW_Japan_1840_none_280624&amp;utm_content=saletructiep_Japan.M257.1840.giaotiep_PTATT_LD227&amp;utm_campaign=Japan.giaotiep.M257_16917_CVS_NamNH_280624</t>
  </si>
  <si>
    <t>http://ldp.ink/mlgtbx_canada</t>
  </si>
  <si>
    <t>Taiwan.Giaotiep.M117C93</t>
  </si>
  <si>
    <t>Taiwan.M117C93.2045.Giaotiep</t>
  </si>
  <si>
    <t>https://s.net.vn/M256-nhatban</t>
  </si>
  <si>
    <t>UnitedStates.giaotiep.M256</t>
  </si>
  <si>
    <t>UnitedStates.M256.1840.giaotiep</t>
  </si>
  <si>
    <t>https://byvn.net/hlgus16</t>
  </si>
  <si>
    <t>http://ldp.ink/mlgtbx_taiwan</t>
  </si>
  <si>
    <t>Taiwan.giaotiep.M511</t>
  </si>
  <si>
    <t>Taiwan.giaotiep.M511.2040</t>
  </si>
  <si>
    <t>https://s.net.vn/M256-USA</t>
  </si>
  <si>
    <t>Philippines.Giaotiep.M117C93</t>
  </si>
  <si>
    <t>Philippines.M117C93.2045.Giaotiep</t>
  </si>
  <si>
    <t>UnitedStates.giaotiep.M259</t>
  </si>
  <si>
    <t>UnitedStates.M259.1840.giaotiep</t>
  </si>
  <si>
    <t>https://byvn.net/hlgtw05</t>
  </si>
  <si>
    <t>http://ldp.ink/mlgtbx_philippines</t>
  </si>
  <si>
    <t>Germany.giaotiep.M496</t>
  </si>
  <si>
    <t>Germany.giaotiep.M496.2040</t>
  </si>
  <si>
    <t>https://s.net.vn/M259-USA</t>
  </si>
  <si>
    <t>Japan.Giaotiep.M117C93</t>
  </si>
  <si>
    <t>Japan.M117C93.1840.Giaotiep</t>
  </si>
  <si>
    <t>UnitedStates.giaotiep.M260</t>
  </si>
  <si>
    <t>UnitedStates.M260.1840.giaotiep</t>
  </si>
  <si>
    <t>https://byvn.net/hlgde01</t>
  </si>
  <si>
    <t>http://ldp.ink/mlgtbx_japan</t>
  </si>
  <si>
    <t>https://s.net.vn/M260-USA</t>
  </si>
  <si>
    <t>France.giaotiep.M496</t>
  </si>
  <si>
    <t>France.giaotiep.M496.2040</t>
  </si>
  <si>
    <t>KoreaSouth.Giaotiep.M117C93</t>
  </si>
  <si>
    <t>KoreaSouth.M117C93.1840.Giaotiep</t>
  </si>
  <si>
    <t>UnitedStates.giaotiep.M258</t>
  </si>
  <si>
    <t>UnitedStates.M258.1840.giaotiep</t>
  </si>
  <si>
    <t>http://ldp.ink/mlgtbx_korea</t>
  </si>
  <si>
    <t>https://s.net.vn/M258-USA</t>
  </si>
  <si>
    <t>https://byvn.net/hlgfr01</t>
  </si>
  <si>
    <t>UnitedStates.Giaotiep.M99C76</t>
  </si>
  <si>
    <t>UnitedStates.M99C76.2055.Giaotiep</t>
  </si>
  <si>
    <t>Europe.giaotiep.M258</t>
  </si>
  <si>
    <t>Europe.M258.1840.giaotiep</t>
  </si>
  <si>
    <t>Taiwan.giaotiep.M496</t>
  </si>
  <si>
    <t>Taiwan.giaotiep.M496.2040</t>
  </si>
  <si>
    <t>http://ldp.ink/cktal_hoaky</t>
  </si>
  <si>
    <t>https://s.net.vn/M258-europe</t>
  </si>
  <si>
    <t>Canada.Giaotiep.M99C76</t>
  </si>
  <si>
    <t>Canada.M99C76.2055.Giaotiep</t>
  </si>
  <si>
    <t>Europe.giaotiep.M261</t>
  </si>
  <si>
    <t>Europe.M261.1840.giaotiep</t>
  </si>
  <si>
    <t>https://byvn.net/hlgtw03</t>
  </si>
  <si>
    <t>http://ldp.ink/cktal_canada</t>
  </si>
  <si>
    <t>https://s.net.vn/M261-europe</t>
  </si>
  <si>
    <t>Australia.Giaotiep.M99C76</t>
  </si>
  <si>
    <t>Australia.M99C76.2055.Giaotiep</t>
  </si>
  <si>
    <t>Europe.giaotiep.M260</t>
  </si>
  <si>
    <t>Europe.M260.1840.giaotiep</t>
  </si>
  <si>
    <t>https://s.net.vn/M260-europe</t>
  </si>
  <si>
    <t>http://ldp.ink/cktal_australia</t>
  </si>
  <si>
    <t>Taiwan.Giaotiep.M99C76</t>
  </si>
  <si>
    <t>Taiwan.M99C76.2045.Giaotiep</t>
  </si>
  <si>
    <t>Japan.giaotiep.M258</t>
  </si>
  <si>
    <t>Japan.M258.1840.giaotiep</t>
  </si>
  <si>
    <t>http://ldp.ink/cktal_taiwan</t>
  </si>
  <si>
    <t>https://s.net.vn/M258-japan</t>
  </si>
  <si>
    <t>Philippines.Giaotiep.M99C76</t>
  </si>
  <si>
    <t>Philippines.M99C76.2045.Giaotiep</t>
  </si>
  <si>
    <t>Japan.giaotiep.M260</t>
  </si>
  <si>
    <t>Japan.M260.1840.giaotiep</t>
  </si>
  <si>
    <t>https://patadovietnam.edu.vn/hlg1908</t>
  </si>
  <si>
    <t>Europe.Giaotiep.M511</t>
  </si>
  <si>
    <t>Europe.Giaotiep.M511.2040</t>
  </si>
  <si>
    <t>https://s.net.vn/M260-japan</t>
  </si>
  <si>
    <t>http://ldp.ink/cktal_philippines</t>
  </si>
  <si>
    <t>Japan.giaotiep.M261</t>
  </si>
  <si>
    <t>Japan.M261.1840.giaotiep</t>
  </si>
  <si>
    <t>Japan.Giaotiep.M99C76</t>
  </si>
  <si>
    <t>Japan.M99C76.1840.Giaotiep</t>
  </si>
  <si>
    <t>https://byvn.net/hlgeu05</t>
  </si>
  <si>
    <t>http://ldp.ink/cktal_japan</t>
  </si>
  <si>
    <t>https://s.net.vn/M261-jp</t>
  </si>
  <si>
    <t>Japan.Giaotiep.M64</t>
  </si>
  <si>
    <t>Japan.Giaotiep.M64.2040</t>
  </si>
  <si>
    <t>KoreaSouth.Giaotiep.M99C76</t>
  </si>
  <si>
    <t>KoreaSouth.M99C76.1840.Giaotiep</t>
  </si>
  <si>
    <t>Taiwan.giaotiep.M260</t>
  </si>
  <si>
    <t>Taiwan.M260.1840.giaotiep</t>
  </si>
  <si>
    <t>http://ldp.ink/cktal_korea</t>
  </si>
  <si>
    <t>https://byvn.net/hlgjp10</t>
  </si>
  <si>
    <t>https://s.net.vn/M260-taiwan</t>
  </si>
  <si>
    <t>Europe.Giaotiep.M74C36</t>
  </si>
  <si>
    <t>Europe.M74C36.1840.Giaotiep</t>
  </si>
  <si>
    <t>https://patadovietnam.edu.vn/hlg1709</t>
  </si>
  <si>
    <t>Taiwan.giaotiep.M261</t>
  </si>
  <si>
    <t>Taiwan.M261.1840.giaotiep</t>
  </si>
  <si>
    <t>http://ldp.ink/abeaf_europe</t>
  </si>
  <si>
    <t>Japan.Giaotiep.M520</t>
  </si>
  <si>
    <t>Japan.Giaotiep.M520.2040</t>
  </si>
  <si>
    <t>UnitedStates.Giaotiep.3bpatado</t>
  </si>
  <si>
    <t>UnitedStates.3bpatado.2055.Giaotiep</t>
  </si>
  <si>
    <t>https://s.net.vn/M261-taiwan</t>
  </si>
  <si>
    <t>KoreaSouth.giaotiep.M260</t>
  </si>
  <si>
    <t>KoreaSouth.M260.1840.giaotiep</t>
  </si>
  <si>
    <t>https://byvn.net/hlgjp17</t>
  </si>
  <si>
    <t>http://ldp.ink/3bpatado_hoaky</t>
  </si>
  <si>
    <t>Europe.Giaotiep.M520</t>
  </si>
  <si>
    <t>Europe.Giaotiep.M520.2040</t>
  </si>
  <si>
    <t>https://s.net.vn/M260-korea</t>
  </si>
  <si>
    <t>Canada.Giaotiep.3bpatado</t>
  </si>
  <si>
    <t>Canada.3bpatado.2055.Giaotiep</t>
  </si>
  <si>
    <t>KoreaSouth.giaotiep.M261</t>
  </si>
  <si>
    <t>https://byvn.net/hlgeu18</t>
  </si>
  <si>
    <t>http://ldp.ink/3bpatado_canada</t>
  </si>
  <si>
    <t>Australia.Giaotiep.3bpatado</t>
  </si>
  <si>
    <t>Australia.3bpatado.2055.Giaotiep</t>
  </si>
  <si>
    <t>https://s.net.vn/M261-koreasouth</t>
  </si>
  <si>
    <t>UnitedStates.Giaotiep.M520</t>
  </si>
  <si>
    <t>UnitedStates.Giaotiep.M520.2040</t>
  </si>
  <si>
    <t>Philippines.giaotiep.M260</t>
  </si>
  <si>
    <t>Philippines.M260.1840.giaotiep</t>
  </si>
  <si>
    <t>http://ldp.ink/3bpatado_australia</t>
  </si>
  <si>
    <t>https://byvn.net/hlgus17</t>
  </si>
  <si>
    <t>https://s.net.vn/M260-philippines</t>
  </si>
  <si>
    <t>Taiwan.Giaotiep.3bpatado</t>
  </si>
  <si>
    <t>Taiwan.3bpatado.2045.Giaotiep</t>
  </si>
  <si>
    <t>Europe.Giaotiep.M581</t>
  </si>
  <si>
    <t>Europe.Giaotiep.M581.2040</t>
  </si>
  <si>
    <t>Philippines.giaotiep.M261</t>
  </si>
  <si>
    <t>http://ldp.ink/3bpatado_taiwan</t>
  </si>
  <si>
    <t>https://s.net.vn/M261-philippines</t>
  </si>
  <si>
    <t>https://byvn.net/hlgeu20</t>
  </si>
  <si>
    <t>Philippines.Giaotiep.3bpatado</t>
  </si>
  <si>
    <t>Philippines.3bpatado.2045.Giaotiep</t>
  </si>
  <si>
    <t>Australia.giaotiep.M261</t>
  </si>
  <si>
    <t>Australia.M261.1840.giaotiep</t>
  </si>
  <si>
    <t>Australia.Giaotiep.M581</t>
  </si>
  <si>
    <t>Australia.Giaotiep.M581.2040</t>
  </si>
  <si>
    <t>http://ldp.ink/3bpatado_philippines</t>
  </si>
  <si>
    <t>Japan.Giaotiep.3bpatado</t>
  </si>
  <si>
    <t>Japan.3bpatado.1840.Giaotiep</t>
  </si>
  <si>
    <t>https://s.net.vn/M261-uc</t>
  </si>
  <si>
    <t>http://ldp.ink/3bpatado_japan</t>
  </si>
  <si>
    <t>https://byvn.net/hlgau10</t>
  </si>
  <si>
    <t>Australia.giaotiep.M260</t>
  </si>
  <si>
    <t>Australia.M260.1840.giaotiep</t>
  </si>
  <si>
    <t>KoreaSouth.Giaotiep.3bpatado</t>
  </si>
  <si>
    <t>KoreaSouth.3bpatado.2045.Giaotiep</t>
  </si>
  <si>
    <t>https://s.net.vn/M260-australia</t>
  </si>
  <si>
    <t>Japan.Giaotiep.M561.C423</t>
  </si>
  <si>
    <t>http://ldp.ink/3bpatado_korea</t>
  </si>
  <si>
    <t>Vietnam.Congso.MB24</t>
  </si>
  <si>
    <t>Vietnam.MB24.1840.giaotiep</t>
  </si>
  <si>
    <t>Europe.Giaotiep.3bpatado</t>
  </si>
  <si>
    <t>Europe.3bpatado.2055.Giaotiep</t>
  </si>
  <si>
    <t>https://s.net.vn/MB24-vietnam</t>
  </si>
  <si>
    <t>https://byvn.net/hlgjp18</t>
  </si>
  <si>
    <t>http://ldp.ink/3bpatado_europe</t>
  </si>
  <si>
    <t>Vietnam.Congso.MB23</t>
  </si>
  <si>
    <t>Vietnam.MB23.1840.giaotiep</t>
  </si>
  <si>
    <t>KoreaSouth.Giaotiep.M559.C423</t>
  </si>
  <si>
    <t>Japan.Giaotiep.ht3t</t>
  </si>
  <si>
    <t>Japan.ht3t.1840.Giaotiep</t>
  </si>
  <si>
    <t>https://s.net.vn/MB23-vietnam</t>
  </si>
  <si>
    <t>https://byvn.net/hlgkr03</t>
  </si>
  <si>
    <t>http://ldp.ink/ht3t_japan</t>
  </si>
  <si>
    <t>UnitedStates.M264.1840.giaotiep</t>
  </si>
  <si>
    <t>KoreaSouth.Giaotiep.ht3t</t>
  </si>
  <si>
    <t>KoreaSouth.ht3t.1840.Giaotiep</t>
  </si>
  <si>
    <t>UnitedStates.Giaotiep.M561.C423</t>
  </si>
  <si>
    <t>UnitedStates.Giaotiep.M561.C423.2040</t>
  </si>
  <si>
    <t>https://s.net.vn/M264-usa</t>
  </si>
  <si>
    <t>http://ldp.ink/ht3t_korea</t>
  </si>
  <si>
    <t>https://byvn.net/hlgus20</t>
  </si>
  <si>
    <t>UnitedStates.Giaotiep.vdgd</t>
  </si>
  <si>
    <t>UnitedStates.vdgd.2055.Giaotiep</t>
  </si>
  <si>
    <t>Japan.M264.1840.giaotiep</t>
  </si>
  <si>
    <t>http://ldp.ink/vdgd_hoaky</t>
  </si>
  <si>
    <t>https://s.net.vn/M264-japan</t>
  </si>
  <si>
    <t>Taiwan.Giaotiep.ht3t</t>
  </si>
  <si>
    <t>Taiwan.ht3t.2045.Giaotiep</t>
  </si>
  <si>
    <t>Europe.giaotiep.M264</t>
  </si>
  <si>
    <t>Europe.M264.1840.giaotiep</t>
  </si>
  <si>
    <t>http://ldp.ink/ht3t_taiwan</t>
  </si>
  <si>
    <t>https://s.net.vn/M264-europe</t>
  </si>
  <si>
    <t>Philippines.Giaotiep.ht3t</t>
  </si>
  <si>
    <t>Philippines.ht3t.2045.Giaotiep</t>
  </si>
  <si>
    <t>KoreaSouth.giaotiep.M264</t>
  </si>
  <si>
    <t>KoreaSouth.M264.1840.giaotiep</t>
  </si>
  <si>
    <t>http://ldp.ink/ht3t_philippines</t>
  </si>
  <si>
    <t>Europe.Giaotiep.vdgd</t>
  </si>
  <si>
    <t>Europe.vdgd.2055.Giaotiep</t>
  </si>
  <si>
    <t>https://s.net.vn/M264-korea</t>
  </si>
  <si>
    <t>http://ldp.ink/vdgd_europe</t>
  </si>
  <si>
    <t>Australia.giaotiep.M264</t>
  </si>
  <si>
    <t>Australia.M264.1840.giaotiep</t>
  </si>
  <si>
    <t>Japan.Giaotiep.anhfb</t>
  </si>
  <si>
    <t>Japan.anhfb.1840.Giaotiep</t>
  </si>
  <si>
    <t>http://ldp.ink/anhfb_japan</t>
  </si>
  <si>
    <t>Australia.Giaotiep.M559.C423</t>
  </si>
  <si>
    <t>https://s.net.vn/M264-australia</t>
  </si>
  <si>
    <t>KoreaSouth.Giaotiep.anhfb</t>
  </si>
  <si>
    <t>KoreaSouth.anhfb.1840.Giaotiep</t>
  </si>
  <si>
    <t>Philippines.giaotiep.M264</t>
  </si>
  <si>
    <t>Philippines.M264.1840.giaotiep</t>
  </si>
  <si>
    <t>http://ldp.ink/anhfb_korea</t>
  </si>
  <si>
    <t>https://byvn.net/hlgau11</t>
  </si>
  <si>
    <t>Taiwan.Giaotiep.anhfb</t>
  </si>
  <si>
    <t>Taiwan.anhfb.1840.Giaotiep</t>
  </si>
  <si>
    <t>https://s.net.vn/M264-philippines</t>
  </si>
  <si>
    <t>Japan.Giaotiep.M559.C423</t>
  </si>
  <si>
    <t>UnitedStates.giaotiep.M269</t>
  </si>
  <si>
    <t>UnitedStates.M269.1840.giaotiep</t>
  </si>
  <si>
    <t>http://ldp.ink/anhfb_taiwan</t>
  </si>
  <si>
    <t>https://byvn.net/hlgjp20</t>
  </si>
  <si>
    <t>https://s.net.vn/M269-usa</t>
  </si>
  <si>
    <t>Philippines.Giaotiep.anhfb</t>
  </si>
  <si>
    <t>Philippines.anhfb.1840.Giaotiep</t>
  </si>
  <si>
    <t>Europe.giaotiep.M269</t>
  </si>
  <si>
    <t>Europe.M269.1840.giaotiep</t>
  </si>
  <si>
    <t>UnitedStates.Giaotiep.M581</t>
  </si>
  <si>
    <t>http://ldp.ink/anhfb_philippines</t>
  </si>
  <si>
    <t>https://tinyurl.com/M269eufb</t>
  </si>
  <si>
    <t>UnitedStates.videofb</t>
  </si>
  <si>
    <t>UnitedStates.anhfb.2055.Giaotiep</t>
  </si>
  <si>
    <t>https://byvn.net/hlgus21</t>
  </si>
  <si>
    <t>Japan.giaotiep.M269</t>
  </si>
  <si>
    <t>Japan.M269.1840.giaotiep</t>
  </si>
  <si>
    <t>ALL.Giaotiep.M581</t>
  </si>
  <si>
    <t>ALL.Giaotiep.M581.2040</t>
  </si>
  <si>
    <t>http://ldp.ink/videofb_hoaky</t>
  </si>
  <si>
    <t>https://s.net.vn/M269-japan</t>
  </si>
  <si>
    <t>Canada.videofb</t>
  </si>
  <si>
    <t>Canada.anhfb.2055.Giaotiep</t>
  </si>
  <si>
    <t>Japan.giaotiep.M270</t>
  </si>
  <si>
    <t>Japan.M270.1840.giaotiep</t>
  </si>
  <si>
    <t>https://byvn.net/hlgall05</t>
  </si>
  <si>
    <t>http://ldp.ink/videofb_canada</t>
  </si>
  <si>
    <t>https://s.net.vn/M270-japan</t>
  </si>
  <si>
    <t>https://patado.edu.vn/japancvs/</t>
  </si>
  <si>
    <t>Europe.giaotiep.M270</t>
  </si>
  <si>
    <t>Europe.M270.1840.giaotiep</t>
  </si>
  <si>
    <t>UnitedStates.Giaotiep.vdjh</t>
  </si>
  <si>
    <t>UnitedStates.vdjh.2055.Giaotiep</t>
  </si>
  <si>
    <t>Japan.giaotiep.M584</t>
  </si>
  <si>
    <t>Japan.M584.1840.giaotiep</t>
  </si>
  <si>
    <t>https://s.net.vn/M270-europe</t>
  </si>
  <si>
    <t>http://ldp.ink/vdjh_hoaky</t>
  </si>
  <si>
    <t>Philippines.giaotiep.M269</t>
  </si>
  <si>
    <t>Philippines.M269.1840.giaotiep</t>
  </si>
  <si>
    <t>Canada.Giaotiep.vdjh</t>
  </si>
  <si>
    <t>Canada.vdjh.2055.Giaotiep</t>
  </si>
  <si>
    <t>https://byvn.net/hlgjp23</t>
  </si>
  <si>
    <t>https://s.net.vn/M269-philippines</t>
  </si>
  <si>
    <t>UnitedStates.giaotiep.M584</t>
  </si>
  <si>
    <t>UnitedStates.M584.1840.giaotiep</t>
  </si>
  <si>
    <t>KoreaSouth.giaotiep.M269</t>
  </si>
  <si>
    <t>KoreaSouth.M269.1840.giaotiep</t>
  </si>
  <si>
    <t>http://ldp.ink/vdjh_canada</t>
  </si>
  <si>
    <t>Taiwan.Giaotiep.vdjh</t>
  </si>
  <si>
    <t>https://byvn.net/hlgus23</t>
  </si>
  <si>
    <t>https://s.net.vn/M269-koreasouth</t>
  </si>
  <si>
    <t>HN.Congso.MB36</t>
  </si>
  <si>
    <t>HN.MB36.1840.giaotiep</t>
  </si>
  <si>
    <t>Europe.giaotiep.M584</t>
  </si>
  <si>
    <t>Europe.M584.1840.giaotiep</t>
  </si>
  <si>
    <t>http://ldp.ink/vdjh_taiwan</t>
  </si>
  <si>
    <t>Philippines.Giaotiep.vdjh</t>
  </si>
  <si>
    <t>Philippines.vdjh.1840.Giaotiep</t>
  </si>
  <si>
    <t>https://s.net.vn/MB36-HN</t>
  </si>
  <si>
    <t>http://ldp.ink/vdjh_philippines</t>
  </si>
  <si>
    <t>HCM.Congso.MB36</t>
  </si>
  <si>
    <t>HCM.MB36.1840.giaotiep</t>
  </si>
  <si>
    <t>https://byvn.net/hlgeu12</t>
  </si>
  <si>
    <t>Japan.Giaotiep.vdjh</t>
  </si>
  <si>
    <t>Japan.vdjh.1840.Giaotiep</t>
  </si>
  <si>
    <t>https://patado.edu.vn/hlg1908</t>
  </si>
  <si>
    <t>https://s.net.vn/MB36-HCM</t>
  </si>
  <si>
    <t>http://ldp.ink/vdjh_japan</t>
  </si>
  <si>
    <t>Japan.giaotiep.M595</t>
  </si>
  <si>
    <t>Japan.M595.1840.giaotiep</t>
  </si>
  <si>
    <t>HN.Congso.MB37</t>
  </si>
  <si>
    <t>HN.MB37.1840.giaotiep</t>
  </si>
  <si>
    <t>KoreaSouth.Giaotiep.vdjh</t>
  </si>
  <si>
    <t>KoreaSouth.vdjh.1840.Giaotiep</t>
  </si>
  <si>
    <t>http://ldp.ink/vdjh_korea</t>
  </si>
  <si>
    <t>https://patadovietnam.edu.vn/tienganhtoandienpatado_ptattndlscb</t>
  </si>
  <si>
    <t>https://s.net.vn/MB37-HN</t>
  </si>
  <si>
    <t>https://byvn.net/hlgjp24</t>
  </si>
  <si>
    <t>HCM.Congso.MB37</t>
  </si>
  <si>
    <t>HCM.MB37.1840.giaotiep</t>
  </si>
  <si>
    <t>Europe.Giaotiep.vdjh</t>
  </si>
  <si>
    <t>Europe.vdjh.1840.Giaotiep</t>
  </si>
  <si>
    <t>ALL.giaotiep.M595</t>
  </si>
  <si>
    <t>ALL.M595.1840.giaotiep</t>
  </si>
  <si>
    <t>https://s.net.vn/MB37-HCM</t>
  </si>
  <si>
    <t>HN.Congso.MB38</t>
  </si>
  <si>
    <t>HN.MB38.1840.giaotiep</t>
  </si>
  <si>
    <t>http://ldp.ink/vdjh_europe</t>
  </si>
  <si>
    <t>https://byvn.net/hlgall10</t>
  </si>
  <si>
    <t>KoreaSouth.giaotiep.M595</t>
  </si>
  <si>
    <t>KoreaSouth.M595.1840.giaotiep</t>
  </si>
  <si>
    <t>Japan.Giaotiep.mendl</t>
  </si>
  <si>
    <t>Japan.mendl.1840.Giaotiep</t>
  </si>
  <si>
    <t>https://s.net.vn/MB38-HN</t>
  </si>
  <si>
    <t>HCM.Congso.MB38</t>
  </si>
  <si>
    <t>HCM.MB38.1840.giaotiep</t>
  </si>
  <si>
    <t>http://ldp.ink/mendl_japan</t>
  </si>
  <si>
    <t>https://s.net.vn/MB38-HCM</t>
  </si>
  <si>
    <t>KoreaSouth.Giaotiep.mendl</t>
  </si>
  <si>
    <t>KoreaSouth.mendl.1840.Giaotiep</t>
  </si>
  <si>
    <t>HN.Congso.MB43</t>
  </si>
  <si>
    <t>HN.MB43.1840.giaotiep</t>
  </si>
  <si>
    <t>http://ldp.ink/mendl_korea</t>
  </si>
  <si>
    <t>https://s.net.vn/MB43-HN</t>
  </si>
  <si>
    <t>Taiwan.Giaotiep.mendl</t>
  </si>
  <si>
    <t>Taiwan.mendl.1840.Giaotiep</t>
  </si>
  <si>
    <t>HCM.Congso.MB43</t>
  </si>
  <si>
    <t>HCM.MB43.1840.giaotiep</t>
  </si>
  <si>
    <t>https://byvn.net/hlgkr10</t>
  </si>
  <si>
    <t>Europe.giaotiep.M595</t>
  </si>
  <si>
    <t>Europe.M595.1840.giaotiep</t>
  </si>
  <si>
    <t>https://s.net.vn/MB43-HCM</t>
  </si>
  <si>
    <t>http://ldp.ink/mendl_taiwan</t>
  </si>
  <si>
    <t>https://patadovietnam.edu.vn/vqmm_be/</t>
  </si>
  <si>
    <t>Philippines.Giaotiep.mendl</t>
  </si>
  <si>
    <t>Philippines.mendl.1840.Giaotiep</t>
  </si>
  <si>
    <t>Vietnam.Congso.MB43</t>
  </si>
  <si>
    <t>Vietnam.MB43.1840.Congso</t>
  </si>
  <si>
    <t>https://byvn.net/hlgeu14</t>
  </si>
  <si>
    <t>Australia.giaotiep.M595</t>
  </si>
  <si>
    <t>Australia.M595.1840.giaotiep</t>
  </si>
  <si>
    <t>https://s.net.vn/VQMM-vietnam</t>
  </si>
  <si>
    <t>http://ldp.ink/mendl_philippines</t>
  </si>
  <si>
    <t>https://byvn.net/hlgau13</t>
  </si>
  <si>
    <t>https://s.net.vn/VQMM1-vietnam</t>
  </si>
  <si>
    <t>ALL.giaotiep.M597</t>
  </si>
  <si>
    <t>ALL.M597.1840.giaotiep</t>
  </si>
  <si>
    <t>UnitedStates.giaotiep.M272</t>
  </si>
  <si>
    <t>UnitedStates.M272.1840.giaotiep</t>
  </si>
  <si>
    <t>Canada.Giaotiep.vdgd</t>
  </si>
  <si>
    <t>Canada.vdgd.2055.Giaotiep</t>
  </si>
  <si>
    <t>https://byvn.net/hlgall12</t>
  </si>
  <si>
    <t>https://s.net.vn/M272-USA</t>
  </si>
  <si>
    <t>ALL.giaotiep.M598</t>
  </si>
  <si>
    <t>ALL.M598.1840.giaotiep</t>
  </si>
  <si>
    <t>http://ldp.ink/vdgd_canada</t>
  </si>
  <si>
    <t>UnitedStates.giaotiep.M271</t>
  </si>
  <si>
    <t>UnitedStates.M271.1840.giaotiep</t>
  </si>
  <si>
    <t>Australia.Giaotiep.vdgd</t>
  </si>
  <si>
    <t>Australia.vdgd.2055.Giaotiep</t>
  </si>
  <si>
    <t>https://byvn.net/hlgall14</t>
  </si>
  <si>
    <t>https://s.net.vn/M271-USA</t>
  </si>
  <si>
    <t>Japan.giaotiep.M271</t>
  </si>
  <si>
    <t>Japan.giaotiep.M597</t>
  </si>
  <si>
    <t>Japan.M271.1840.giaotiep</t>
  </si>
  <si>
    <t>Japan.M597.1840.giaotiep</t>
  </si>
  <si>
    <t>http://ldp.ink/vdgd_australia</t>
  </si>
  <si>
    <t>UnitedStates.Giaotiep.Anhaz</t>
  </si>
  <si>
    <t>UnitedStates.Anhaz.2055.Giaotiep</t>
  </si>
  <si>
    <t>https://s.net.vn/M271-Japan</t>
  </si>
  <si>
    <t>KoreaSouth.giaotiep.M271</t>
  </si>
  <si>
    <t>KoreaSouth.M271.1840.giaotiep</t>
  </si>
  <si>
    <t>http://ldp.ink/tienganhaz_hoaky</t>
  </si>
  <si>
    <t>https://s.net.vn/M271-koreasouth</t>
  </si>
  <si>
    <t>Canada.Giaotiep.Anhaz</t>
  </si>
  <si>
    <t>Canada.Anhaz.2055.Giaotiep</t>
  </si>
  <si>
    <t>Philippines.giaotiep.M271</t>
  </si>
  <si>
    <t>Philippines.M271.1840.giaotiep</t>
  </si>
  <si>
    <t>https://byvn.net/hlgjp22</t>
  </si>
  <si>
    <t>http://ldp.ink/tienganhaz_canada</t>
  </si>
  <si>
    <t>https://s.net.vn/M271-philippines</t>
  </si>
  <si>
    <t>Europe.giaotiep.M271</t>
  </si>
  <si>
    <t>Europe.M271.1840.giaotiep</t>
  </si>
  <si>
    <t>Germany.giaotiep.M597</t>
  </si>
  <si>
    <t>Germany.M597.1840.giaotiep</t>
  </si>
  <si>
    <t>https://s.net.vn/M271-europe</t>
  </si>
  <si>
    <t>https://byvn.net/hlgde02</t>
  </si>
  <si>
    <t>https://patadovietnam.edu.vn/patadoxlead</t>
  </si>
  <si>
    <t>Taiwan.Giaotiep.Anhkg</t>
  </si>
  <si>
    <t>Taiwan.Anhkg.2050.Giaotiep</t>
  </si>
  <si>
    <t>Taiwan.giaotiep.M597</t>
  </si>
  <si>
    <t>Taiwan.M597.1840.giaotiep</t>
  </si>
  <si>
    <t>Vietnam.Congso.MB47</t>
  </si>
  <si>
    <t>Vietnam.MB47.1840.Congso</t>
  </si>
  <si>
    <t>http://ldp.ink/tienganhkg_taiwan</t>
  </si>
  <si>
    <t>https://s.net.vn/MB47-vietnam</t>
  </si>
  <si>
    <t>https://byvn.net/hlgtw07</t>
  </si>
  <si>
    <t>Vietnam.Congso.MB100</t>
  </si>
  <si>
    <t>Vietnam.MB100.1840.Congso</t>
  </si>
  <si>
    <t>KoreaSouth.giaotiep.M598</t>
  </si>
  <si>
    <t>KoreaSouth.M598.1840.giaotiep</t>
  </si>
  <si>
    <t>https://s.net.vn/MB100-vietnam</t>
  </si>
  <si>
    <t>http://ldp.ink/tienganhkg_uc</t>
  </si>
  <si>
    <t>https://byvn.net/hlgkr05</t>
  </si>
  <si>
    <t>Vietnam.Congso.MB49</t>
  </si>
  <si>
    <t>Vietnam.MB49.1840.congso</t>
  </si>
  <si>
    <t>Japan.Anhkg.2050.Giaotiep</t>
  </si>
  <si>
    <t>https://s.net.vn/MB49-vietnam</t>
  </si>
  <si>
    <t>https://docs.google.com/forms/d/1zaOdpSo0gx4FjBK5SGbcqd3eeGvvZUTUst3QjANn3qI/edit</t>
  </si>
  <si>
    <t>http://ldp.ink/tienganhkg_japan</t>
  </si>
  <si>
    <t>https://byvn.net/hlgall17</t>
  </si>
  <si>
    <t>Vietnam.Congso.MB1000</t>
  </si>
  <si>
    <t>Vietnam.MB1000.1840.congso</t>
  </si>
  <si>
    <t>KoreaSouth.Anhkg.2050.Giaotiep</t>
  </si>
  <si>
    <t>Taiwan.giaotiep.M598</t>
  </si>
  <si>
    <t>Taiwan.M598.1840.giaotiep</t>
  </si>
  <si>
    <t>https://s.net.vn/MB1000-vietnam</t>
  </si>
  <si>
    <t>http://ldp.ink/tienganhkg_korea</t>
  </si>
  <si>
    <t>Vietnam.Congso.MB48</t>
  </si>
  <si>
    <t>Vietnam.MB48.1840.congso</t>
  </si>
  <si>
    <t>https://s.net.vn/MB50-vietnam</t>
  </si>
  <si>
    <t>Vietnam.Congso.MB51</t>
  </si>
  <si>
    <t>Vietnam.MB51.1840.congso</t>
  </si>
  <si>
    <t>http://ldp.ink/tienganhkg_philippines</t>
  </si>
  <si>
    <t>https://byvn.net/hlgtw08</t>
  </si>
  <si>
    <t>https://s.net.vn/MB51-vietnam</t>
  </si>
  <si>
    <t>Germany.M496.1840.giaotiep</t>
  </si>
  <si>
    <t>Vietnam.Congso.MB52</t>
  </si>
  <si>
    <t>Vietnam.MB52.1840.congso</t>
  </si>
  <si>
    <t>https://s.net.vn/MB52-vietnam</t>
  </si>
  <si>
    <t>https://byvn.net/hlgde03</t>
  </si>
  <si>
    <t>Vietnam.Congso.MB53</t>
  </si>
  <si>
    <t>Europe.giaotiep.M597</t>
  </si>
  <si>
    <t>Europe.M597.1840.giaotiep</t>
  </si>
  <si>
    <t>Europe.Giaotiep.Anhkg</t>
  </si>
  <si>
    <t>Europe.Anhkg.2055.Giaotiep</t>
  </si>
  <si>
    <t>https://s.net.vn/MB53-vietnam</t>
  </si>
  <si>
    <t>UnitedStates.giaotiep.M276</t>
  </si>
  <si>
    <t>UnitedStates.M276.1840.giaotiep</t>
  </si>
  <si>
    <t>http://ldp.ink/anhkg_europe</t>
  </si>
  <si>
    <t>https://byvn.net/hlgeu19</t>
  </si>
  <si>
    <t>Japan.Giaotiep.metatt</t>
  </si>
  <si>
    <t>Japan.metatt.2050.Giaotiep</t>
  </si>
  <si>
    <t>https://patado.edu.vn/hlg_pgpgtta_gt/</t>
  </si>
  <si>
    <t>https://s.net.vn/M276-usa</t>
  </si>
  <si>
    <t>Australia.giaotiep.M300</t>
  </si>
  <si>
    <t>Australia.M300.1840.giaotiep</t>
  </si>
  <si>
    <t>Europe.giaotiep.M276</t>
  </si>
  <si>
    <t>Europe.M276.1840.giaotiep</t>
  </si>
  <si>
    <t>http://ldp.ink/metatt_japan</t>
  </si>
  <si>
    <t>KoreaSouth.Giaotiep.metatt</t>
  </si>
  <si>
    <t>KoreaSouth.metatt.2050.Giaotiep</t>
  </si>
  <si>
    <t>https://byvn.net/hlgau21</t>
  </si>
  <si>
    <t>https://s.net.vn/M276-europe</t>
  </si>
  <si>
    <t>Australia.giaotiep.M597</t>
  </si>
  <si>
    <t>Australia.M597.1840.giaotiep</t>
  </si>
  <si>
    <t>Japan.giaotiep.M276</t>
  </si>
  <si>
    <t>Japan.M276.1840.giaotiep</t>
  </si>
  <si>
    <t>http://ldp.ink/metatt_korea</t>
  </si>
  <si>
    <t>https://byvn.net/hlgau14</t>
  </si>
  <si>
    <t>Taiwan.Giaotiep.metatt</t>
  </si>
  <si>
    <t>Taiwan.metatt.2050.Giaotiep</t>
  </si>
  <si>
    <t>https://s.net.vn/M276-japan</t>
  </si>
  <si>
    <t>ALL.giaotiep.M276</t>
  </si>
  <si>
    <t>ALL.M276.1840.giaotiep</t>
  </si>
  <si>
    <t>http://ldp.ink/metatt_taiwan</t>
  </si>
  <si>
    <t>Philippines.Giaotiep.metatt</t>
  </si>
  <si>
    <t>Philippines.metatt.2050.Giaotiep</t>
  </si>
  <si>
    <t>https://s.net.vn/M276-all</t>
  </si>
  <si>
    <t>UnitedStates.giaotiep.M268</t>
  </si>
  <si>
    <t>UnitedStates.M268.1840.giaotiep</t>
  </si>
  <si>
    <t>http://ldp.ink/metatt_philippines</t>
  </si>
  <si>
    <t>https://s.net.vn/M268-usa</t>
  </si>
  <si>
    <t>Europe.giaotiep.M268</t>
  </si>
  <si>
    <t>Europe.M268.1840.giaotiep</t>
  </si>
  <si>
    <t>https://s.net.vn/M268-europe</t>
  </si>
  <si>
    <t>Japan.giaotiep.M268</t>
  </si>
  <si>
    <t>Japan.M268.1840.giaotiep</t>
  </si>
  <si>
    <t>UnitedStates.giaotiep.M594</t>
  </si>
  <si>
    <t>UnitedStates.M594.1840.giaotiep</t>
  </si>
  <si>
    <t>https://s.net.vn/M268-japan</t>
  </si>
  <si>
    <t>https://byvn.net/hlgus24</t>
  </si>
  <si>
    <t>ALL.giaotiep.M268</t>
  </si>
  <si>
    <t>ALL.M268.1840.giaotiep</t>
  </si>
  <si>
    <t>ALL.giaotiep.M594</t>
  </si>
  <si>
    <t>ALL.M594.1840.giaotiep</t>
  </si>
  <si>
    <t>https://s.net.vn/M268-all</t>
  </si>
  <si>
    <t>Vietnam.Congso.MB57</t>
  </si>
  <si>
    <t>Vietnam.MB57.1840.congso</t>
  </si>
  <si>
    <t>https://byvn.net/hlgalll15</t>
  </si>
  <si>
    <t>KoreaSouth.giaotiep.M594</t>
  </si>
  <si>
    <t>KoreaSouth.M594.1840.giaotiep</t>
  </si>
  <si>
    <t>https://s.net.vn/MB57-vietnam</t>
  </si>
  <si>
    <t>Vietnam.MB24.1840.congso</t>
  </si>
  <si>
    <t>https://byvn.net/hlgkr13</t>
  </si>
  <si>
    <t>Japan.giaotiep.qcpatado2</t>
  </si>
  <si>
    <t>Japan.qcpatado2.1840.giaotiep</t>
  </si>
  <si>
    <t>Europe.giaotiep.M580</t>
  </si>
  <si>
    <t>Europe.M580.1840.giaotiep</t>
  </si>
  <si>
    <t>https://s.net.vn/qcpatado2-japan</t>
  </si>
  <si>
    <t>https://byvn.net/hlgeu15</t>
  </si>
  <si>
    <t>Europe.giaotiep.M277</t>
  </si>
  <si>
    <t>Europe.M277.1840.giaotiep</t>
  </si>
  <si>
    <t>Japan.giaotiep.M580</t>
  </si>
  <si>
    <t>Japan.M580.1840.giaotiep</t>
  </si>
  <si>
    <t>https://byvn.net/hlgjp25</t>
  </si>
  <si>
    <t>https://s.net.vn/M277-europe</t>
  </si>
  <si>
    <t>Europe.giaotiep.qcpatado2</t>
  </si>
  <si>
    <t>Europe.qcpatado2.1840.giaotiep</t>
  </si>
  <si>
    <t>KoreaSouth.giaotiep.M580</t>
  </si>
  <si>
    <t>KoreaSouth.M580.1840.giaotiep</t>
  </si>
  <si>
    <t>https://s.net.vn/qcpatado2-europe</t>
  </si>
  <si>
    <t>Philippines.giaotiep.PTKOC1</t>
  </si>
  <si>
    <t>Philippines.PTKOC1.1840.giaotiep</t>
  </si>
  <si>
    <t>UnitedStates.Giaotiep.M561</t>
  </si>
  <si>
    <t>UnitedStates.M561.1840.giaotiep</t>
  </si>
  <si>
    <t>https://s.net.vn/PTKOC1-philippines</t>
  </si>
  <si>
    <t>https://byvn.net/hlgus27</t>
  </si>
  <si>
    <t>ALL.giaotiep.CTT</t>
  </si>
  <si>
    <t>ALL.CTT.1840.giaotiep</t>
  </si>
  <si>
    <t>Europe.giaotiep.M605</t>
  </si>
  <si>
    <t>Europe.M605.1840.giaotiep</t>
  </si>
  <si>
    <t>https://byvn.net/hlgeu43</t>
  </si>
  <si>
    <t>https://s.net.vn/CTT-all</t>
  </si>
  <si>
    <t>Europe.giaotiep.M594</t>
  </si>
  <si>
    <t>Europe.M594.1840.giaotiep</t>
  </si>
  <si>
    <t>https://patadovietnam.edu.vn/tienganhgiaotiep_adp/</t>
  </si>
  <si>
    <t>Europe.giaotiep.M271.1</t>
  </si>
  <si>
    <t>Europe.M271.1.1840.giaotiep</t>
  </si>
  <si>
    <t>AnhDP</t>
  </si>
  <si>
    <t>Ireland.giaotiep.M26C138</t>
  </si>
  <si>
    <t>https://byvn.net/hlgeu22</t>
  </si>
  <si>
    <t>Ireland.M26C138.2240.giaotiep</t>
  </si>
  <si>
    <t>Philippines.giaotiep.M594</t>
  </si>
  <si>
    <t>Philippines.M594.1840.giaotiep</t>
  </si>
  <si>
    <t>https://s.net.vn/M271-1-europe</t>
  </si>
  <si>
    <t>http://ldp.ink/Ireland_adp</t>
  </si>
  <si>
    <t>Europe.giaotiep.tienganhgiaotiep1</t>
  </si>
  <si>
    <t>Europe.tienganhgiaotiep1.1840.giaotiep</t>
  </si>
  <si>
    <t>https://byvn.net/hlgphi01</t>
  </si>
  <si>
    <t>Singapore.giaotiep.M186C156</t>
  </si>
  <si>
    <t>Singapore.M186C156.2235.giaotiep</t>
  </si>
  <si>
    <t>Thailand.giaotiep.M594</t>
  </si>
  <si>
    <t>Thailand.M594.1840.giaotiep</t>
  </si>
  <si>
    <t>https://s.net.vn/TAGTTT-europe</t>
  </si>
  <si>
    <t>Philippines.giaotiep.tienganhgiaotiep2</t>
  </si>
  <si>
    <t>Philippines.tienganhgiaotiep2.1840.giaotiep</t>
  </si>
  <si>
    <t>http://ldp.ink/tatm_adp</t>
  </si>
  <si>
    <t>https://byvn.net/hlgth01</t>
  </si>
  <si>
    <t>Vietnam.giaotiep.M191C158</t>
  </si>
  <si>
    <t>Vietnam.M191C158.giaotiep</t>
  </si>
  <si>
    <t>https://s.net.vn/TAGTTT2-philippines</t>
  </si>
  <si>
    <t>UnitedStates.giaotiep.M603</t>
  </si>
  <si>
    <t>UnitedStates.M603.1840.giaotiep</t>
  </si>
  <si>
    <t>KoreaSouth.giaotiep.M278</t>
  </si>
  <si>
    <t>KoreaSouth.M278.1840.giaotiep</t>
  </si>
  <si>
    <t>http://ldp.ink/giaotiepadp</t>
  </si>
  <si>
    <t>https://byvn.net/hlgus28</t>
  </si>
  <si>
    <t>Australia.giaotiep.M187C155</t>
  </si>
  <si>
    <t>Australia.M187C155.giaotiep</t>
  </si>
  <si>
    <t>https://s.net.vn/M278-korea</t>
  </si>
  <si>
    <t>Japan.giaotiep.M603</t>
  </si>
  <si>
    <t>Japan.M603.1840.giaotiep</t>
  </si>
  <si>
    <t>UnitedStates.giaotiep.M278</t>
  </si>
  <si>
    <t>UnitedStates.M278.1840.giaotiep</t>
  </si>
  <si>
    <t>http://ldp.ink/Australia_adp</t>
  </si>
  <si>
    <t>https://byvn.net/hlgjp28</t>
  </si>
  <si>
    <t>Vietnam.giaotiep.M193C160</t>
  </si>
  <si>
    <t>Vietnam.M193C160.1840.giaotiep</t>
  </si>
  <si>
    <t>Europe.giaotiep.M603</t>
  </si>
  <si>
    <t>Europe.M603.1840.giaotiep</t>
  </si>
  <si>
    <t>http://ldp.ink/tienganhgiaotiep_adp</t>
  </si>
  <si>
    <t>https://s.net.vn/M271-HOAKY</t>
  </si>
  <si>
    <t>Canada.giaotiep.M39C21</t>
  </si>
  <si>
    <t>Canada.M39C21.giaotiep</t>
  </si>
  <si>
    <t>https://byvn.net/hlgeu28</t>
  </si>
  <si>
    <t>ALL.giaotiep.CTT1</t>
  </si>
  <si>
    <t>ALL.CTT1.1840.giaotiep</t>
  </si>
  <si>
    <t>Australia.giaotiep.M603</t>
  </si>
  <si>
    <t>Australia.M603.1840.giaotiep</t>
  </si>
  <si>
    <t>http://ldp.ink/Canada_adp</t>
  </si>
  <si>
    <t>Canada.giaotiep.M39C45</t>
  </si>
  <si>
    <t>Canada.M39C45.giaotiep</t>
  </si>
  <si>
    <t>ALL.giaotiep.CTT2</t>
  </si>
  <si>
    <t>ALL.CTT2.1840.giaotiep</t>
  </si>
  <si>
    <t>https://byvn.net/hlgau18</t>
  </si>
  <si>
    <t>KoreaSouth.giaotiep.M603</t>
  </si>
  <si>
    <t>KoreaSouth.M603.1840.giaotiep</t>
  </si>
  <si>
    <t>http://ldp.ink/tadv_adp</t>
  </si>
  <si>
    <t>Canada.giaotiep.M189C45</t>
  </si>
  <si>
    <t>Canada.M189C45.giaotiep</t>
  </si>
  <si>
    <t>ALL.giaotiep.CTT3</t>
  </si>
  <si>
    <t>ALL.CTT3.1840.giaotiep</t>
  </si>
  <si>
    <t>https://byvn.net/hlgkr18</t>
  </si>
  <si>
    <t>Japan.giaotiep.M605</t>
  </si>
  <si>
    <t>Japan.M605.1840.giaotiep</t>
  </si>
  <si>
    <t>http://ldp.ink/canada_tadv_adp</t>
  </si>
  <si>
    <t>ALL.giaotiep.M191C162</t>
  </si>
  <si>
    <t>ALL.M191C162.giaotiep</t>
  </si>
  <si>
    <t>https://byvn.net/hlgjp27</t>
  </si>
  <si>
    <t>UnitedStates.giaotiep.M605</t>
  </si>
  <si>
    <t>UnitedStates.M605.1840.giaotiep</t>
  </si>
  <si>
    <t>http://ldp.ink/giaotieptoandien_adp</t>
  </si>
  <si>
    <t>https://byvn.net/hlgus29</t>
  </si>
  <si>
    <t>KoreaSouth.giaotiep.M172C162</t>
  </si>
  <si>
    <t>KoreaSouth.M172C162.giaotiep</t>
  </si>
  <si>
    <t>Australia.giaotiep.M605</t>
  </si>
  <si>
    <t>Australia.M605.1840.giaotiep</t>
  </si>
  <si>
    <t>http://ldp.ink/tattndl_koreasouth</t>
  </si>
  <si>
    <t>https://byvn.net/hlgau19</t>
  </si>
  <si>
    <t>ALL.M172C138.giaotiep</t>
  </si>
  <si>
    <t>UnitedStates.giaotiep.M600</t>
  </si>
  <si>
    <t>UnitedStates.M600.1840.giaotiep</t>
  </si>
  <si>
    <t>http://ldp.ink/alltagt_adp</t>
  </si>
  <si>
    <t>Europe.giaotiep.M279</t>
  </si>
  <si>
    <t>Europe.M279.1840.giaotiep</t>
  </si>
  <si>
    <t>https://byvn.net/hlgus30</t>
  </si>
  <si>
    <t>https://patadovietnam.edu.vn/giaotiepanhngu_adp/</t>
  </si>
  <si>
    <t>Europe.M600.1840.giaotiep</t>
  </si>
  <si>
    <t>ALL.giaotiep.M189C138</t>
  </si>
  <si>
    <t>ALL.M189C138.giaotiep</t>
  </si>
  <si>
    <t>Europe.giaotiep.M280</t>
  </si>
  <si>
    <t>Europe.M280.1840.giaotiep</t>
  </si>
  <si>
    <t>https://byvn.net/hlgeu30</t>
  </si>
  <si>
    <t>Japan.giaotiep.M397</t>
  </si>
  <si>
    <t>Japan.M397.1840.giaotiep</t>
  </si>
  <si>
    <t>http://ldp.ink/allgiaotiep_ADP</t>
  </si>
  <si>
    <t>KoreaSouth.M191C133.giaotiep</t>
  </si>
  <si>
    <t>Japan.giaotiep.M279</t>
  </si>
  <si>
    <t>Japan.M279.1840.giaotiep</t>
  </si>
  <si>
    <t>https://byvn.net/hlgjp30</t>
  </si>
  <si>
    <t>Australia.giaotiep.M600</t>
  </si>
  <si>
    <t>Australia.M600.1840.giaotiep</t>
  </si>
  <si>
    <t>http://ldp.ink/tagtkorea_adp</t>
  </si>
  <si>
    <t>Sweden.giaotiep.M110C88</t>
  </si>
  <si>
    <t>Sweden.M110C88.giaotiep</t>
  </si>
  <si>
    <t>Japan.giaotiep.M280</t>
  </si>
  <si>
    <t>Japan.M280.1840.giaotiep</t>
  </si>
  <si>
    <t>https://byvn.net/hlgau26</t>
  </si>
  <si>
    <t>http://ldp.ink/tagtsweden_adp</t>
  </si>
  <si>
    <t>KoreaSouth.giaotiep.M201C170</t>
  </si>
  <si>
    <t>KoreaSouth.M201C170.giaotiep</t>
  </si>
  <si>
    <t>https://byvn.net/hlgeu26</t>
  </si>
  <si>
    <t>UnitedStates.giaotiep.M279</t>
  </si>
  <si>
    <t>UnitedStates.M279.1840.giaotiep</t>
  </si>
  <si>
    <t>Japan.giaotiep.M615</t>
  </si>
  <si>
    <t>Japan.M615.1840.giaotiep</t>
  </si>
  <si>
    <t>http://ldp.ink/koreacvs_adp</t>
  </si>
  <si>
    <t>Canada.giaotiep.M189C170</t>
  </si>
  <si>
    <t>Canada.M189C170.giaotiep</t>
  </si>
  <si>
    <t>UnitedStates.giaotiep.M280</t>
  </si>
  <si>
    <t>UnitedStates.M280.1840.giaotiep</t>
  </si>
  <si>
    <t>https://byvn.net/hlgjp31</t>
  </si>
  <si>
    <t>http://ldp.ink/Canadagiaotiep_adp</t>
  </si>
  <si>
    <t>Europe.giaotiep.M615</t>
  </si>
  <si>
    <t>Europe.M615.1840.giaotiep</t>
  </si>
  <si>
    <t>Australia.giaotiep.M207C174</t>
  </si>
  <si>
    <t>Australia.M207C174.giaotiep</t>
  </si>
  <si>
    <t>https://byvn.net/hlgeu42</t>
  </si>
  <si>
    <t>KoreaSouth.giaotiep.M279</t>
  </si>
  <si>
    <t>KoreaSouth.M279.1840.giaotiep</t>
  </si>
  <si>
    <t>http://ldp.ink/giaotiep_adp</t>
  </si>
  <si>
    <t>Europe.M626.1840.giaotiep</t>
  </si>
  <si>
    <t>Japan.giaotiep.C132M172</t>
  </si>
  <si>
    <t>Japan.C132M172.giaotiep</t>
  </si>
  <si>
    <t>KoreaSouth.giaotiep.M280</t>
  </si>
  <si>
    <t>KoreaSouth.M280.1840.giaotiep</t>
  </si>
  <si>
    <t>http://ldp.ink/tienganhgiaotiep_japan</t>
  </si>
  <si>
    <t>All.giaotiep.M189C48</t>
  </si>
  <si>
    <t>All.M189C48.giaotiep</t>
  </si>
  <si>
    <t>https://byvn.net/hlgeu38</t>
  </si>
  <si>
    <t>Taiwan.giaotiep.M279</t>
  </si>
  <si>
    <t>Taiwan.M279.1840.giaotiep</t>
  </si>
  <si>
    <t>http://ldp.ink/tienganhgiaotiep_mnb</t>
  </si>
  <si>
    <t>Europe.giaotiep.M635</t>
  </si>
  <si>
    <t>Europe.M635.1840.giaotiep</t>
  </si>
  <si>
    <t>KoreaSouth.giaotiep.M188C39</t>
  </si>
  <si>
    <t>KoreaSouth.M188C39.giaotiep</t>
  </si>
  <si>
    <t>Taiwan.giaotiep.M280</t>
  </si>
  <si>
    <t>Taiwan.M280.1840.giaotiep</t>
  </si>
  <si>
    <t>http://ldp.ink/koreagiaotiep_adp</t>
  </si>
  <si>
    <t>Japan.giaotiep.M197C171</t>
  </si>
  <si>
    <t>Japan.M197C171.giaotiep</t>
  </si>
  <si>
    <t>https://byvn.net/hlgeu33</t>
  </si>
  <si>
    <t>Australia.giaotiep.M279</t>
  </si>
  <si>
    <t>Australia.M279.1840.giaotiep</t>
  </si>
  <si>
    <t>ALL.M637.1840.giaotiep</t>
  </si>
  <si>
    <t>Europe.giaotiep.M197C162</t>
  </si>
  <si>
    <t>Europe.M197C162.giaotiep</t>
  </si>
  <si>
    <t>https://byvn.net/hlgall30</t>
  </si>
  <si>
    <t>Australia.giaotiep.M280</t>
  </si>
  <si>
    <t>Australia.M280.1840.giaotiep</t>
  </si>
  <si>
    <t>Japan.M645.1840.giaotiep</t>
  </si>
  <si>
    <t>http://ldp.ink/europe_adp</t>
  </si>
  <si>
    <t>Australia.M207C161.giaotiep</t>
  </si>
  <si>
    <t>Europe.giaotiep.M281</t>
  </si>
  <si>
    <t>https://byvn.net/hlgjp37</t>
  </si>
  <si>
    <t>Europe.M281.1840.giaotiep</t>
  </si>
  <si>
    <t>Europe.M645.1840.giaotiep</t>
  </si>
  <si>
    <t>http://ldp.ink/tienganhgiaotiep_australia</t>
  </si>
  <si>
    <t>Australia.giaotiep.M208C174</t>
  </si>
  <si>
    <t>Australia.M208C174.giaotiep</t>
  </si>
  <si>
    <t>https://byvn.net/hlgeu39</t>
  </si>
  <si>
    <t>UnitedStates.giaotiep.M281</t>
  </si>
  <si>
    <t>UnitedStates.M281.1840.giaotiep</t>
  </si>
  <si>
    <t>Europe.giaotiep.M652</t>
  </si>
  <si>
    <t>Europe.M652.1840.giaotiep</t>
  </si>
  <si>
    <t>http://ldp.ink/australiagiaotiep_adp</t>
  </si>
  <si>
    <t>Canada.giaotiep.M209C170</t>
  </si>
  <si>
    <t>Canada.M209C170.giaotiep</t>
  </si>
  <si>
    <t>https://byvn.net/hlgeu35</t>
  </si>
  <si>
    <t>Japan.giaotiep.M281</t>
  </si>
  <si>
    <t>Japan.M281.1840.giaotiep</t>
  </si>
  <si>
    <t>UnitedStates.M645.1840.giaotiep</t>
  </si>
  <si>
    <t>http://ldp.ink/giaotieptaicanada_adp</t>
  </si>
  <si>
    <t>Malaysia.giaotiep.M172C138</t>
  </si>
  <si>
    <t>Malaysia.M172C138.giaotiep</t>
  </si>
  <si>
    <t>https://byvn.net/hlgus43</t>
  </si>
  <si>
    <t>Europe.giaotiep.M283</t>
  </si>
  <si>
    <t>Europe.M283.1840.giaotiep</t>
  </si>
  <si>
    <t>KoreaSouth.M645.1840.giaotiep</t>
  </si>
  <si>
    <t>http://ldp.ink/gttamalaysia_adp</t>
  </si>
  <si>
    <t>Japan.giaotiep.M191C132</t>
  </si>
  <si>
    <t>Japan.giaotiep.M283</t>
  </si>
  <si>
    <t>Japan.M191C132.giaotiep</t>
  </si>
  <si>
    <t>Japan.M283.1840.giaotiep</t>
  </si>
  <si>
    <t>https://byvn.net/hlgkr20</t>
  </si>
  <si>
    <t>Taiwan.giaotiep.M652</t>
  </si>
  <si>
    <t>Taiwan.M652.1840.giaotiep</t>
  </si>
  <si>
    <t>http://ldp.ink/Japantagt_adp</t>
  </si>
  <si>
    <t>Taiwan.giaotiep.M191C134</t>
  </si>
  <si>
    <t>Taiwan.M191C134.giaotiep</t>
  </si>
  <si>
    <t>UnitedStates.giaotiep.M283</t>
  </si>
  <si>
    <t>UnitedStates.M283.1840.giaotiep</t>
  </si>
  <si>
    <t>http://ldp.ink/Taiwantagt_adp</t>
  </si>
  <si>
    <t>https://byvn.net/hlgtw15</t>
  </si>
  <si>
    <t>Europe.giaotiep.M172C138</t>
  </si>
  <si>
    <t>Europe.M172C138.giaotiep</t>
  </si>
  <si>
    <t>Europe.giaotiep.M285</t>
  </si>
  <si>
    <t>Europe.M285.1840.giaotiep</t>
  </si>
  <si>
    <t>http://ldp.ink/giaotieptienganhnsf_adp</t>
  </si>
  <si>
    <t>https://byvn.net/hlgjp34</t>
  </si>
  <si>
    <t>Canada.giaotiep.M209C175</t>
  </si>
  <si>
    <t>Canada.M209C175.giaotiep</t>
  </si>
  <si>
    <t>Japan.giaotiep.M37</t>
  </si>
  <si>
    <t>Japan.giaotiep.M285</t>
  </si>
  <si>
    <t>Japan.M37.1840.giaotiep</t>
  </si>
  <si>
    <t>Japan.M285.1840.giaotiep</t>
  </si>
  <si>
    <t>http://ldp.ink/tagtcanada_adp</t>
  </si>
  <si>
    <t>https://byvn.net/hlgjp35</t>
  </si>
  <si>
    <t>Taiwan.giaotiep.M210C114</t>
  </si>
  <si>
    <t>Taiwan.M210C114.giaotiep</t>
  </si>
  <si>
    <r>
      <rPr>
        <color rgb="FF1155CC"/>
        <u/>
      </rPr>
      <t>http://patado.edu.vn/japan_hlg</t>
    </r>
  </si>
  <si>
    <t>UnitedStates.giaotiep.M285</t>
  </si>
  <si>
    <t>UnitedStates.M285.1840.giaotiep</t>
  </si>
  <si>
    <t>http://ldp.ink/Taiwan_giaotiepanhngu_adp</t>
  </si>
  <si>
    <t>Europe.giaotiep.M172C170</t>
  </si>
  <si>
    <t>Europe.M172C170.giaotiep</t>
  </si>
  <si>
    <t>https://byvn.net/hlgjp36</t>
  </si>
  <si>
    <t>Europe.giaotiep.M284</t>
  </si>
  <si>
    <t>Europe.M284.1840.giaotiep</t>
  </si>
  <si>
    <t>ALL.M645.1840.giaotiep</t>
  </si>
  <si>
    <t>http://ldp.ink/tienganhgiaotiepadp_sbdas</t>
  </si>
  <si>
    <t>https://byvn.net/hlgall20</t>
  </si>
  <si>
    <t>Japan.giaotiep.M284</t>
  </si>
  <si>
    <t>Japan.M284.1840.giaotiep</t>
  </si>
  <si>
    <t>Singapore.giaotiep.M191C170</t>
  </si>
  <si>
    <t>Singapore.M191C170.giaotiep</t>
  </si>
  <si>
    <t>UnitedStates.giaotiep.M284</t>
  </si>
  <si>
    <t>UnitedStates.M284.1840.giaotiep</t>
  </si>
  <si>
    <t>http://ldp.ink/tagtsingapore_adp</t>
  </si>
  <si>
    <t>https://byvn.net/hlgeu36</t>
  </si>
  <si>
    <t>ALL.giaotiep.M283</t>
  </si>
  <si>
    <t>ALL.M283.1840.giaotiep</t>
  </si>
  <si>
    <t>KoreaSouth.giaotiep.M213C100</t>
  </si>
  <si>
    <t>KoreaSouth.M213C100.giaotiep</t>
  </si>
  <si>
    <t>ALL.M647.1840.giaotiep</t>
  </si>
  <si>
    <t>http://ldp.ink/giaotieptienganhKS_adp</t>
  </si>
  <si>
    <t>Philippines.giaotiep.M216C177</t>
  </si>
  <si>
    <t>Philippines.M216C177.giaotiep</t>
  </si>
  <si>
    <t>ALL.giaotiep.M284</t>
  </si>
  <si>
    <t>ALL.M284.1840.giaotiep</t>
  </si>
  <si>
    <t>https://byvn.net/hlgall25</t>
  </si>
  <si>
    <t>https://by.id.vn/Philippines-gt-adp</t>
  </si>
  <si>
    <t>ALL.giaotiep.M285</t>
  </si>
  <si>
    <t>ALL.M285.1840.giaotiep</t>
  </si>
  <si>
    <t>ALL.giaotiep.M655</t>
  </si>
  <si>
    <t>ALL.M655.1840.giaotiep</t>
  </si>
  <si>
    <t>Canada.giaotiep.M217C178</t>
  </si>
  <si>
    <t>Canada.M217C178.giaotiep</t>
  </si>
  <si>
    <t>https://by.id.vn/tacanada-adp</t>
  </si>
  <si>
    <t>Japan.giaotiep.M289</t>
  </si>
  <si>
    <t>Japan.M289.1840.giaotiep</t>
  </si>
  <si>
    <t>https://byvn.net/hlgall27</t>
  </si>
  <si>
    <t>Europe.giaotiep.M217C178</t>
  </si>
  <si>
    <t>Europe.M217C178.giaotiep</t>
  </si>
  <si>
    <t>UnitedStates.giaotiep.M581</t>
  </si>
  <si>
    <t>UnitedStates.M581.1840.giaotiep</t>
  </si>
  <si>
    <t>https://duhocpatado.edu.vn/tienganhgiaotiep_hn/</t>
  </si>
  <si>
    <t>https://by.id.vn/nht-adp</t>
  </si>
  <si>
    <t>Taiwan.giaotiep.M172C178</t>
  </si>
  <si>
    <t>Taiwan.M172C178.giaotiep</t>
  </si>
  <si>
    <t>Japan.giaotiep.M290</t>
  </si>
  <si>
    <t>https://by.id.vn/anhngupatado-adp</t>
  </si>
  <si>
    <t>https://byvn.net/hlgus35</t>
  </si>
  <si>
    <t>Europe.giaotiep.M202C187</t>
  </si>
  <si>
    <t>Europe.M202C187.giaotiep</t>
  </si>
  <si>
    <t>Europe.giaotiep.M642</t>
  </si>
  <si>
    <t>Europe.M642.1840.giaotiep</t>
  </si>
  <si>
    <t>Japan.giaotiep.M291</t>
  </si>
  <si>
    <t>https://by.id.vn/giaotieppatado-adp</t>
  </si>
  <si>
    <t>Europe.giaotiep.M225C187</t>
  </si>
  <si>
    <t>Europe.M225C187.giaotiep</t>
  </si>
  <si>
    <t>https://byvn.net/hlgeu40</t>
  </si>
  <si>
    <t>Taiwan.giaotiep.M642</t>
  </si>
  <si>
    <t>https://by.id.vn/giaotieptaimy-adp</t>
  </si>
  <si>
    <t>Taiwan.M642.1840.giaotiep</t>
  </si>
  <si>
    <t>Japan.giaotiep.M292</t>
  </si>
  <si>
    <t>KoreaSouth.giaotiep.M225C133</t>
  </si>
  <si>
    <t>KoreaSouth.M225C133.giaotiep</t>
  </si>
  <si>
    <t>https://byvn.net/hlgtw20</t>
  </si>
  <si>
    <t>Japan.giaotiep.M293</t>
  </si>
  <si>
    <t>https://by.id.vn/english-kr-adp</t>
  </si>
  <si>
    <t>Europe.giaotiep.M211C124</t>
  </si>
  <si>
    <t>Europe.M211C124.giaotiep</t>
  </si>
  <si>
    <t>KoreaSouth.giaotiep.M642</t>
  </si>
  <si>
    <t>KoreaSouth.M642.1840.giaotiep</t>
  </si>
  <si>
    <t>Japan.giaotiep.M294</t>
  </si>
  <si>
    <t>https://by.id.vn/sbnm-patado-adp</t>
  </si>
  <si>
    <t>https://byvn.net/hlgkr21</t>
  </si>
  <si>
    <t>UnitedStates.giaotiep.M642</t>
  </si>
  <si>
    <t>UnitedStates.M642.1840.giaotiep</t>
  </si>
  <si>
    <t>Japan.giaotiep.M295</t>
  </si>
  <si>
    <t>https://byvn.net/hlgus41</t>
  </si>
  <si>
    <t>https://by.id.vn/australia-adp</t>
  </si>
  <si>
    <t>SoutheastAsia</t>
  </si>
  <si>
    <t>https://duhocpatado.edu.vn/gtjapan_nhn3/</t>
  </si>
  <si>
    <t>SoutheastAsia.giaotiep.M642</t>
  </si>
  <si>
    <t>SoutheastAsia.M642.1840.giaotiep</t>
  </si>
  <si>
    <t>KoreaSouth.giaotiep.M191C188</t>
  </si>
  <si>
    <t>KoreaSouth.M191C188.giaotiep</t>
  </si>
  <si>
    <t>Japan.giaotiep.M296</t>
  </si>
  <si>
    <t>https://byvn.net/hlgsea01</t>
  </si>
  <si>
    <t>https://by.id.vn/giaotiepkr-adp</t>
  </si>
  <si>
    <t>Philippines.giaotiep.M172C138</t>
  </si>
  <si>
    <t>Philippines.M172C138.giaotiep</t>
  </si>
  <si>
    <t>Malaysia.giaotiep.M397</t>
  </si>
  <si>
    <t>Malaysia.M397.1840.giaotiep</t>
  </si>
  <si>
    <t>Japan.giaotiep.M297</t>
  </si>
  <si>
    <t>https://byvn.net/hlgmy01</t>
  </si>
  <si>
    <t>https://by.id.vn/philippines-adp</t>
  </si>
  <si>
    <t>Taiwan.giaotiep.M191C138</t>
  </si>
  <si>
    <t>Taiwan.M191C138.giaotiep</t>
  </si>
  <si>
    <t>Japan.giaotiep.M642xM397</t>
  </si>
  <si>
    <t>Japan.M642xM397.1840.giaotiep</t>
  </si>
  <si>
    <t>Japan.giaotiep.M298</t>
  </si>
  <si>
    <t>https://by.id.vn/Taiwan-adp</t>
  </si>
  <si>
    <t>https://byvn.net/hlgjp40</t>
  </si>
  <si>
    <t>Asia.giaotiep.M172C138</t>
  </si>
  <si>
    <t>Asia.M172C138.giaotiep</t>
  </si>
  <si>
    <t>Japan.giaotiep.M300</t>
  </si>
  <si>
    <t>Japan.M300.1840.giaotiep</t>
  </si>
  <si>
    <t>Japan.giaotiep.M698xM695</t>
  </si>
  <si>
    <t>Japan.M698xM695.1840.giaotiep</t>
  </si>
  <si>
    <t>https://by.id.vn/asia-adp</t>
  </si>
  <si>
    <t>Europe.giaotiep.M300</t>
  </si>
  <si>
    <t>Europe.M300.1840.giaotiep</t>
  </si>
  <si>
    <t>https://byvn.net/hlgjp50</t>
  </si>
  <si>
    <t>Europe.giaotiep.M698</t>
  </si>
  <si>
    <t>Europe.M698.1840.giaotiep</t>
  </si>
  <si>
    <t>https://tinyurl.com/M300chauau</t>
  </si>
  <si>
    <t>https://by.id.vn/allgiaotiep-adp</t>
  </si>
  <si>
    <t>https://byvn.net/hlgeu44</t>
  </si>
  <si>
    <t>Europe.M632.1840.giaotiep</t>
  </si>
  <si>
    <t>UnitedStates.giaotiep.M300</t>
  </si>
  <si>
    <t>UnitedStates.M300.1840.giaotiep</t>
  </si>
  <si>
    <t>https://byvn.net/eu-hlg40</t>
  </si>
  <si>
    <t>UnitedStates.giaotiep.M632</t>
  </si>
  <si>
    <t>UnitedStates.M632.1840.giaotiep</t>
  </si>
  <si>
    <t>Taiwan.giaotiep.M300</t>
  </si>
  <si>
    <t>Taiwan.M300.1840.giaotiep</t>
  </si>
  <si>
    <t>https://byvn.net/hlgus45</t>
  </si>
  <si>
    <t>UnitedStates.giaotiep.M295</t>
  </si>
  <si>
    <t>UnitedStates.M295.1840.giaotiep</t>
  </si>
  <si>
    <t>https://byvn.net/hlgjp55</t>
  </si>
  <si>
    <t>Japan.giaotiep.M632</t>
  </si>
  <si>
    <t>Japan.M632.1840.giaotiep</t>
  </si>
  <si>
    <t>Japan.M295.1840.giaotiep</t>
  </si>
  <si>
    <t>https://byvn.net/hlgjp56</t>
  </si>
  <si>
    <t>KoreaSouth.giaotiep.M632</t>
  </si>
  <si>
    <t>KoreaSouth.M632.1840.giaotiep</t>
  </si>
  <si>
    <t>Europe.giaotiep.M295</t>
  </si>
  <si>
    <t>Europe.M295.1840.giaotiep</t>
  </si>
  <si>
    <t>https://byvn.net/hlgkr30</t>
  </si>
  <si>
    <t>Japan.giaotiep.M783</t>
  </si>
  <si>
    <t>Japan.M783.1840.giaotiep</t>
  </si>
  <si>
    <t>UnitedStates.giaotiep.M296</t>
  </si>
  <si>
    <t>UnitedStates.M296.1840.giaotiep</t>
  </si>
  <si>
    <t>Japan.giaotiep.M779</t>
  </si>
  <si>
    <t>Japan.M779.1840.giaotiep</t>
  </si>
  <si>
    <t>Europe.giaotiep.M296</t>
  </si>
  <si>
    <t>Europe.M296.1840.giaotiep</t>
  </si>
  <si>
    <t>Japan.giaotiep.M800</t>
  </si>
  <si>
    <t>Japan.M800.1840.giaotiep</t>
  </si>
  <si>
    <t>Japan.M296.1840.giaotiep</t>
  </si>
  <si>
    <t>KoreaSouth.giaotiep.M800</t>
  </si>
  <si>
    <t>KoreaSouth.M800.1840.giaotiep</t>
  </si>
  <si>
    <t>Europe.giaotiep.M306</t>
  </si>
  <si>
    <t>Europe.M306.1840.giaotiep</t>
  </si>
  <si>
    <t>Japan.giaotiep.M306</t>
  </si>
  <si>
    <t>Japan.M306.1840.giaotiep</t>
  </si>
  <si>
    <t>UnitedStates.giaotiep.M306</t>
  </si>
  <si>
    <t>UnitedStates.M306.1840.giaotiep</t>
  </si>
  <si>
    <t>UnitedStates.giaotiep.M312</t>
  </si>
  <si>
    <t>UnitedStates.M312.1840.giaotiep</t>
  </si>
  <si>
    <t>Europe.giaotiep.M312</t>
  </si>
  <si>
    <t>Europe.M312.1840.giaotiep</t>
  </si>
  <si>
    <t>Japan.giaotiep.M312</t>
  </si>
  <si>
    <t>Japan.M312.1840.giaotiep</t>
  </si>
  <si>
    <t>UnitedStates.giaotiep.M311</t>
  </si>
  <si>
    <t>UnitedStates.M311.1840.giaotiep</t>
  </si>
  <si>
    <t>Europe.giaotiep.M311</t>
  </si>
  <si>
    <t>Europe.M311.1840.giaotiep</t>
  </si>
  <si>
    <t>Japan.giaotiep.M311</t>
  </si>
  <si>
    <t>Japan.M311.1840.giaotiep</t>
  </si>
  <si>
    <t>UnitedStates.giaotiep.M314</t>
  </si>
  <si>
    <t>UnitedStates.M314.1840.giaotiep</t>
  </si>
  <si>
    <t>Japan.giaotiep.M314</t>
  </si>
  <si>
    <t>Japan.M314.1840.giaotiep</t>
  </si>
  <si>
    <t>Europe.giaotiep.M314</t>
  </si>
  <si>
    <t>Europe.M314.1840.giaotiep</t>
  </si>
  <si>
    <t>UnitedStates.giaotiep.M309</t>
  </si>
  <si>
    <t>UnitedStates.M309.1840.giaotiep</t>
  </si>
  <si>
    <t>Japan.giaotiep.M309</t>
  </si>
  <si>
    <t>Japan.M309.1840.giaotiep</t>
  </si>
  <si>
    <t>Europe.giaotiep.M309</t>
  </si>
  <si>
    <t>Europe.M309.1840.giaotiep</t>
  </si>
  <si>
    <t>Japan.giaotiep.M310</t>
  </si>
  <si>
    <t>Japan.M310.1840.giaotiep</t>
  </si>
  <si>
    <t>Europe.giaotiep.M310</t>
  </si>
  <si>
    <t>Europe.M310.1840.giaotiep</t>
  </si>
  <si>
    <t>ALL.giaotiep.M314</t>
  </si>
  <si>
    <t>ALL.M314.1840.giaotiep</t>
  </si>
  <si>
    <t>ALL.giaotiep.M309</t>
  </si>
  <si>
    <t>ALL.M309.1840.giaotiep</t>
  </si>
  <si>
    <t>ALL.giaotiep.M310</t>
  </si>
  <si>
    <t>ALL.M310.1840.giaotiep</t>
  </si>
  <si>
    <t>Europe.giaotiep.M320</t>
  </si>
  <si>
    <t>Europe.M320.1840.giaotiep</t>
  </si>
  <si>
    <t>Japan.giaotiep.M320</t>
  </si>
  <si>
    <t>Japan.M320.1840.giaotiep</t>
  </si>
  <si>
    <t>UnitedStates.giaotiep.M320</t>
  </si>
  <si>
    <t>UnitedStates.M320.1840.giaotiep</t>
  </si>
  <si>
    <t>Europe.giaotiep.M331</t>
  </si>
  <si>
    <t>Europe.M331.1840.giaotiep</t>
  </si>
  <si>
    <t>Japan.M331.1840.giaotiep</t>
  </si>
  <si>
    <t>UnitedStates.giaotiep.M331</t>
  </si>
  <si>
    <t>UnitedStates.M331.1840.giaotiep</t>
  </si>
  <si>
    <t>Europe.giaotiep.M332</t>
  </si>
  <si>
    <t>Europe.M332.1840.giaotiep</t>
  </si>
  <si>
    <t>Japan.giaotiep.M332</t>
  </si>
  <si>
    <t>Japan.M332.1840.giaotiep</t>
  </si>
  <si>
    <t>UnitedStates.M332.1840.giaotiep</t>
  </si>
  <si>
    <t>Europe.giaotiep.M333</t>
  </si>
  <si>
    <t>Europe.M333.1840.giaotiep</t>
  </si>
  <si>
    <t>Japan.giaotiep.M333</t>
  </si>
  <si>
    <t>Japan.M333.1840.giaotiep</t>
  </si>
  <si>
    <t>UnitedStates.giaotiep.M333</t>
  </si>
  <si>
    <t>UnitedStates.M333.1840.giaotiep</t>
  </si>
  <si>
    <t>Europe.giaotiep.M324</t>
  </si>
  <si>
    <t>Europe.M324.1840.giaotiep</t>
  </si>
  <si>
    <t>Japan.giaotiep.M324</t>
  </si>
  <si>
    <t>Japan.M324.1840.giaotiep</t>
  </si>
  <si>
    <t>KoreaSouth.giaotiep.M324</t>
  </si>
  <si>
    <t>KoreaSouth.M324.1840.giaotiep</t>
  </si>
  <si>
    <t>Philippines.giaotiep.M324</t>
  </si>
  <si>
    <t>Philippines.M324.1840.giaotiep</t>
  </si>
  <si>
    <t>Taiwan.giaotiep.M324</t>
  </si>
  <si>
    <t>Taiwan.M324.1840.giaotiep</t>
  </si>
  <si>
    <t>KoreaSouth.giaotiep.M331</t>
  </si>
  <si>
    <t>KoreaSouth.M331.1840.giaotiep</t>
  </si>
  <si>
    <t>Philippines.giaotiep.M331</t>
  </si>
  <si>
    <t>Philippines.M331.1840.giaotiep</t>
  </si>
  <si>
    <t>Taiwan.giaotiep.M331</t>
  </si>
  <si>
    <t>Taiwan.M331.1840.giaotiep</t>
  </si>
  <si>
    <t>UnitedStates.giaotiep.M336</t>
  </si>
  <si>
    <t>UnitedStates.M336.1840.giaotiep</t>
  </si>
  <si>
    <t>Europe.giaotiep.M336</t>
  </si>
  <si>
    <t>Europe.M336.1840.giaotiep</t>
  </si>
  <si>
    <t>Japan.giaotiep.M336</t>
  </si>
  <si>
    <t>Japan.M336.1840.giaotiep</t>
  </si>
  <si>
    <t>Philippines.giaotiep.M336</t>
  </si>
  <si>
    <t>Philippines.M336.1840.giaotiep</t>
  </si>
  <si>
    <t>UnitedStates.giaotiep.M339</t>
  </si>
  <si>
    <t>UnitedStates.M339.1840.giaotiep</t>
  </si>
  <si>
    <t>Europe.giaotiep.M339</t>
  </si>
  <si>
    <t>Europe.M339.1840.giaotiep</t>
  </si>
  <si>
    <t>Japan.giaotiep.M339</t>
  </si>
  <si>
    <t>Japan.M339.1840.giaotiep</t>
  </si>
  <si>
    <t>Japan.giaotiep.M340</t>
  </si>
  <si>
    <t>Japan.M340.1840.giaotiep</t>
  </si>
  <si>
    <t>Europe.giaotiep.M340</t>
  </si>
  <si>
    <t>Europe.M340.1840.giaotiep</t>
  </si>
  <si>
    <t>Instagram</t>
  </si>
  <si>
    <t>Taiwan.giaotiep.M340</t>
  </si>
  <si>
    <t>Taiwan.M340.1840.giaotiep</t>
  </si>
  <si>
    <t>INS</t>
  </si>
  <si>
    <t>Philippines.giaotiep.M340</t>
  </si>
  <si>
    <t>Philippines.M340.1840.giaotiep</t>
  </si>
  <si>
    <t>https://tinyurl.com/jhcvsjapan</t>
  </si>
  <si>
    <t>KoreaSouth.giaotiep.JHMES</t>
  </si>
  <si>
    <t>KoreaSouth.JHMES.1840.JHMES</t>
  </si>
  <si>
    <t>LHV.9823</t>
  </si>
  <si>
    <t>KoreaSouth.giaotiep.M340</t>
  </si>
  <si>
    <t>KoreaSouth.M340.1840.giaotiep</t>
  </si>
  <si>
    <t>https://tinyurl.com/jhmeskorea</t>
  </si>
  <si>
    <t>Europe.JHCVS.1840.JHCVS</t>
  </si>
  <si>
    <t>Japan.giaotiep.M347</t>
  </si>
  <si>
    <t>Japan.M347.1840.giaotiep</t>
  </si>
  <si>
    <t>https://tinyurl.com/jhcvseurope</t>
  </si>
  <si>
    <t>Europe.giaotiep.M347</t>
  </si>
  <si>
    <t>ALL.JHMES.1840.JHMES</t>
  </si>
  <si>
    <t>Europe.M347.1840.giaotiep</t>
  </si>
  <si>
    <t>https://tinyurl.com/jhmesall</t>
  </si>
  <si>
    <t>ALL.giaotiep.M347</t>
  </si>
  <si>
    <t>ALL.M347.1840.giaotiep</t>
  </si>
  <si>
    <t>ALL.giaotiep.JHMES2</t>
  </si>
  <si>
    <t>ALL.JHMES2.1840.JHMES2</t>
  </si>
  <si>
    <t>Australia.giaotiep.anhsale10</t>
  </si>
  <si>
    <t>Australia.anhsale10.1840.giaotiep</t>
  </si>
  <si>
    <t>https://tinyurl.com/jhmesall2</t>
  </si>
  <si>
    <t>https://tinyurl.com/anhs10uc</t>
  </si>
  <si>
    <t>Europe.giaotiep.M350</t>
  </si>
  <si>
    <t>Europe.M350.1840.giaotiep</t>
  </si>
  <si>
    <t>Europe.giaotiep.M349</t>
  </si>
  <si>
    <t>Europe.M349.1840.giaotiep</t>
  </si>
  <si>
    <t>https://tinyurl.com/jhcvskorea</t>
  </si>
  <si>
    <t>ALL.giaotiep.JHCVS</t>
  </si>
  <si>
    <t>ALL.JHCVS.1840.JHCVS</t>
  </si>
  <si>
    <t>Japan.giaotiep.M355</t>
  </si>
  <si>
    <t>Japan.M355.1840.giaotiep</t>
  </si>
  <si>
    <t>https://tinyurl.com/jhcvsall</t>
  </si>
  <si>
    <t>Europe.giaotiep.M355</t>
  </si>
  <si>
    <t>Europe.M355.1840.giaotiep</t>
  </si>
  <si>
    <t>ALL.giaotiep.JHCVS2</t>
  </si>
  <si>
    <t>ALL.JHCVS2.1840.JHCVS2</t>
  </si>
  <si>
    <t>https://tinyurl.com/jhcvs2all</t>
  </si>
  <si>
    <t>UnitedStates.giaotiep.M355</t>
  </si>
  <si>
    <t>UnitedStates.M355.1840.giaotiep</t>
  </si>
  <si>
    <t>Europe.giaotiep.M356</t>
  </si>
  <si>
    <t>Europe.M356.1840.giaotiep</t>
  </si>
  <si>
    <t>UnitedStates.giaotiep.M356</t>
  </si>
  <si>
    <t>UnitedStates.M356.1840.giaotiep</t>
  </si>
  <si>
    <t>https://tinyurl.com/jhcvs2jp</t>
  </si>
  <si>
    <t>https://s.pro.vn/7hDH</t>
  </si>
  <si>
    <t>Japan.giaotiep.M356</t>
  </si>
  <si>
    <t>Japan.M356.1840.giaotiep</t>
  </si>
  <si>
    <t>https://tinyurl.com/M416EUINS</t>
  </si>
  <si>
    <t>KoreaSouth.giaotiep.M356</t>
  </si>
  <si>
    <t>KoreaSouth.M356.1840.giaotiep</t>
  </si>
  <si>
    <t>Taiwan.giaotiep.M356</t>
  </si>
  <si>
    <t>Taiwan.M356.1840.giaotiep</t>
  </si>
  <si>
    <t>https://tinyurl.com/M416jpins</t>
  </si>
  <si>
    <t>ALL.giaotiep.M416MES</t>
  </si>
  <si>
    <t>Australia.giaotiep.M356</t>
  </si>
  <si>
    <t>ALL.M416MES.1840.M416MES</t>
  </si>
  <si>
    <t>Australia.M356.1840.giaotiep</t>
  </si>
  <si>
    <t>https://tinyurl.com/M416allins</t>
  </si>
  <si>
    <t>KoreaSouth.giaotiep.M355</t>
  </si>
  <si>
    <t>KoreaSouth.M355.1840.giaotiep</t>
  </si>
  <si>
    <t>Europe.molopchauau.1840.molopchauau</t>
  </si>
  <si>
    <t>Taiwan.giaotiep.M355</t>
  </si>
  <si>
    <t>Taiwan.M355.1840.giaotiep</t>
  </si>
  <si>
    <t>https://tinyurl.com/mlcaeuins</t>
  </si>
  <si>
    <t>Japan.giaotiep.M396mot</t>
  </si>
  <si>
    <t>Japan.M396mot.1840.M396mot</t>
  </si>
  <si>
    <t>Australia.giaotiep.M355</t>
  </si>
  <si>
    <t>Australia.M355.1840.giaotiep</t>
  </si>
  <si>
    <t>https://tinyurl.com/M396motjpins</t>
  </si>
  <si>
    <t>ALL.giaotiep.anhnote</t>
  </si>
  <si>
    <t>ALL.anhnote.1840.anhnote</t>
  </si>
  <si>
    <t>ALL.giaotiep.qcpatado1</t>
  </si>
  <si>
    <t>ALL.qcpatado1.1840.qcpatado1</t>
  </si>
  <si>
    <t>https://s.net.vn/ht2-europe</t>
  </si>
  <si>
    <t>Australia.giaotiep.M364</t>
  </si>
  <si>
    <t>Australia.M364.1840.giaotiep</t>
  </si>
  <si>
    <t>https://s.net.vn/M364-uc</t>
  </si>
  <si>
    <t>Europe.giaotiep.M364</t>
  </si>
  <si>
    <t>Europe.M364.1840.giaotiep</t>
  </si>
  <si>
    <t>https://s.net.vn/M364-europe</t>
  </si>
  <si>
    <t>Japan.giaotiep.M364</t>
  </si>
  <si>
    <t>Japan.M364.1840.giaotiep</t>
  </si>
  <si>
    <t>https://s.net.vn/M364-japan</t>
  </si>
  <si>
    <t>KoreaSouth.giaotiep.M363</t>
  </si>
  <si>
    <t>KoreaSouth.M363.1840.giaotiep</t>
  </si>
  <si>
    <t>https://s.net.vn/M363-korea</t>
  </si>
  <si>
    <t>UnitedStates.giaotiep.M364</t>
  </si>
  <si>
    <t>UnitedStates.M364.1840.giaotiep</t>
  </si>
  <si>
    <t>https://s.net.vn/M364-USA</t>
  </si>
  <si>
    <t>UnitedStates.giaotiep.M307</t>
  </si>
  <si>
    <t>UnitedStates.M307.1840.giaotiep</t>
  </si>
  <si>
    <t>ALL.IETLS</t>
  </si>
  <si>
    <t>UnitedStates.giaotiep.M318</t>
  </si>
  <si>
    <t>UnitedStates.M318.1840.giaotiep</t>
  </si>
  <si>
    <t>https://patadovietnam.edu.vn/hlg_gt_sea/</t>
  </si>
  <si>
    <t>Japan.giaotiep.M318</t>
  </si>
  <si>
    <t>Japan.M318.1840.giaotiep</t>
  </si>
  <si>
    <t>Japan.giaotiep.M307</t>
  </si>
  <si>
    <t>Japan.M307.1840.giaotiep</t>
  </si>
  <si>
    <t>ALL.Toeic</t>
  </si>
  <si>
    <t>KoreaSouth.giaotiep.M191</t>
  </si>
  <si>
    <t>KoreaSouth.M191.1840.giaotiep</t>
  </si>
  <si>
    <t>BRAND.CPC</t>
  </si>
  <si>
    <t>Japan.giaotiep.M368</t>
  </si>
  <si>
    <t>Japan.M368.1840.giaotiep</t>
  </si>
  <si>
    <t>BrandingPatado</t>
  </si>
  <si>
    <t>ALL.CPA100</t>
  </si>
  <si>
    <t>Europe.giaotiep.M368</t>
  </si>
  <si>
    <t>HocTiengAnhTrucTuyenChoNguoiDiLam</t>
  </si>
  <si>
    <t>Europe.M368.1840.giaotiep</t>
  </si>
  <si>
    <t>KW</t>
  </si>
  <si>
    <t>UnitedStates.giaotiep.M368</t>
  </si>
  <si>
    <t>UnitedStates.M368.1840.giaotiep</t>
  </si>
  <si>
    <t>ALL.CPA200</t>
  </si>
  <si>
    <t>ALL.CPA100.C2</t>
  </si>
  <si>
    <t>KoreaSouth.giaotiep.M368</t>
  </si>
  <si>
    <t>KoreaSouth.M368.1840.giaotiep</t>
  </si>
  <si>
    <t>ALL.CPA300</t>
  </si>
  <si>
    <t>Taiwan.giaotiep.M368</t>
  </si>
  <si>
    <t>Taiwan.M368.1840.giaotiep</t>
  </si>
  <si>
    <t>Australia.giaotiep.M368</t>
  </si>
  <si>
    <t>Australia.M368.1840.giaotiep</t>
  </si>
  <si>
    <t>Japan.TDHCD</t>
  </si>
  <si>
    <t>Europe.giaotiep.M375</t>
  </si>
  <si>
    <t>Europe.M375.1840.giaotiep</t>
  </si>
  <si>
    <t>UnitedStates.CPA400</t>
  </si>
  <si>
    <t>Japan.giaotiep.M388</t>
  </si>
  <si>
    <t>Japan.M388.1840.giaotiep</t>
  </si>
  <si>
    <t>UnitedStates.giaotiep.M388</t>
  </si>
  <si>
    <t>UnitedStates.M388.1840.giaotiep</t>
  </si>
  <si>
    <t>UnitedStates.CPA600</t>
  </si>
  <si>
    <t>TiengAnhGiaoTiep</t>
  </si>
  <si>
    <t>HocTiengAnhOnline11</t>
  </si>
  <si>
    <t>KoreaSouth.giaotiep.M375</t>
  </si>
  <si>
    <t>KoreaSouth.M375.1840.giaotiep</t>
  </si>
  <si>
    <t>Hoctienganhchung</t>
  </si>
  <si>
    <t>Europe.giaotiep.M388</t>
  </si>
  <si>
    <t>Europe.M388.1840.giaotiep</t>
  </si>
  <si>
    <t>UnitedStates.CPA500</t>
  </si>
  <si>
    <t>Japan.giaotiep.M375</t>
  </si>
  <si>
    <t>Japan.M375.1840.giaotiep</t>
  </si>
  <si>
    <t>KoreaSouth.CPA400</t>
  </si>
  <si>
    <t>Tienganhtudau</t>
  </si>
  <si>
    <t>UnitedStates.giaotiep.M390</t>
  </si>
  <si>
    <t>UnitedStates.M390.1840.giaotiep</t>
  </si>
  <si>
    <t>DangKyHocTiengAnhOnline</t>
  </si>
  <si>
    <t>Japan.giaotiep.M390</t>
  </si>
  <si>
    <t>Japan.M390.1840.giaotiep</t>
  </si>
  <si>
    <t>Hoctienganhtructuyen</t>
  </si>
  <si>
    <t>Japan.M396mot.1840.giaotiep</t>
  </si>
  <si>
    <t>https://tinyurl.com/M396motjp</t>
  </si>
  <si>
    <t>Daytienganhonline</t>
  </si>
  <si>
    <t>Japan.giaotiep.M396hai</t>
  </si>
  <si>
    <t>Japan.M396hai.1840.giaotiep</t>
  </si>
  <si>
    <t>Japan.giaotiep.M395</t>
  </si>
  <si>
    <t>Japan.M395.1840.giaotiep</t>
  </si>
  <si>
    <t>Tienganhcoban</t>
  </si>
  <si>
    <t>Europe.giaotiep.M390</t>
  </si>
  <si>
    <t>Europe.M390.1840.giaotiep</t>
  </si>
  <si>
    <t>Tienganhonlinetainha</t>
  </si>
  <si>
    <t>Europe.giaotiep.M396ba</t>
  </si>
  <si>
    <t>Europe.M396ba.1840.giaotiep</t>
  </si>
  <si>
    <t>Hoctienhanhonline</t>
  </si>
  <si>
    <t>https://tinyurl.com/M396baEU</t>
  </si>
  <si>
    <t>Hoctienganhchonguoimoibatdau</t>
  </si>
  <si>
    <t>Europe.giaotiep.M396bon</t>
  </si>
  <si>
    <t>Europe.M396bon.1840.giaotiep</t>
  </si>
  <si>
    <t>Dangkihoctienganh</t>
  </si>
  <si>
    <t>Europe.RMK.M269</t>
  </si>
  <si>
    <t>Europe.M269.1840.RMK</t>
  </si>
  <si>
    <t>KhoaHocIeltsOnline</t>
  </si>
  <si>
    <t>Europe.LAL.qcpatado1</t>
  </si>
  <si>
    <t>Europe.qcpatado1.1840.LAL</t>
  </si>
  <si>
    <t>HocTiengAnhTrucTuyenOnline</t>
  </si>
  <si>
    <t>Japan.LAL.qcpatado1</t>
  </si>
  <si>
    <t>Japan.qcpatado1.1840.LAL</t>
  </si>
  <si>
    <t>Tienganhmatgoc</t>
  </si>
  <si>
    <t>TLS</t>
  </si>
  <si>
    <t>ALL.TLS.OSAKA</t>
  </si>
  <si>
    <t>ALL.OSAKA.1840.TLS</t>
  </si>
  <si>
    <t>Chuongtrinhhoctienganh</t>
  </si>
  <si>
    <t>UnitedStates.giaotiep.M396motHK</t>
  </si>
  <si>
    <t>UnitedStates.M396motHK.1840.giaotiep</t>
  </si>
  <si>
    <t>HocTiengAnh</t>
  </si>
  <si>
    <t>https://tinyurl.com/M396HKCVS</t>
  </si>
  <si>
    <t>Tienganhchonguoidilam</t>
  </si>
  <si>
    <t>UnitedStates.giaotiep.M332XM236</t>
  </si>
  <si>
    <t>UnitedStates.M332XM236.1840.giaotiep</t>
  </si>
  <si>
    <t>HocTiengAnhOnlineChoNguoiMatGoc</t>
  </si>
  <si>
    <t>https://tinyurl.com/M332xM236HK</t>
  </si>
  <si>
    <t>Japan.giaotiep.M403XJH</t>
  </si>
  <si>
    <t>Japan.M403XJH.1840.giaotiep</t>
  </si>
  <si>
    <t>https://tinyurl.com/M403xJHJP</t>
  </si>
  <si>
    <t>Tienganhtrenmang</t>
  </si>
  <si>
    <t>Japan.giaotiep.anhtbxJH</t>
  </si>
  <si>
    <t>Japan.anhtbxJH.1840.giaotiep</t>
  </si>
  <si>
    <t>Tienganhgiaotieptainha</t>
  </si>
  <si>
    <t>https://tinyurl.com/anhtbjapan</t>
  </si>
  <si>
    <t>Europe.giaotiep.M400xM241</t>
  </si>
  <si>
    <t>Europe.M400xM241.1840.giaotiep</t>
  </si>
  <si>
    <t>Europe.giaotiep.M236xJHxanhnotex</t>
  </si>
  <si>
    <t>Europe.M236xJHxanhnote.1840.giaotiep</t>
  </si>
  <si>
    <t>Tienganhchonguoimatgoc</t>
  </si>
  <si>
    <t>https://tinyurl.com/M236xJHxanhnote</t>
  </si>
  <si>
    <t>Tienganhgiaotiepcaptoc</t>
  </si>
  <si>
    <t>KoreaSouth.giaotiep.M400xM403</t>
  </si>
  <si>
    <t>KoreaSouth.M400xM403.1840.giaotiep</t>
  </si>
  <si>
    <t>Duhoctienganh</t>
  </si>
  <si>
    <t xml:space="preserve"> </t>
  </si>
  <si>
    <t>Australia.giaotiep.anhsale10xanhnote</t>
  </si>
  <si>
    <t>Australia.anhsale10xanhnote.1840.giaotiep</t>
  </si>
  <si>
    <t>Tienganhvanphong</t>
  </si>
  <si>
    <t>https://tinyurl.com/anhs10xanhnote</t>
  </si>
  <si>
    <t>ALL.giaotiep.anhnotexqcpatado1</t>
  </si>
  <si>
    <t>ALL.anhnotexqcpatado1.1840.giaotiep</t>
  </si>
  <si>
    <t>https://tinyurl.com/anxqcptdall</t>
  </si>
  <si>
    <t>ALL.giaotiep.RMK</t>
  </si>
  <si>
    <t>ALL.RMK.1840.giaotiep</t>
  </si>
  <si>
    <t>Europe.LAL.molopchauauxanhnote</t>
  </si>
  <si>
    <t>Europe.molopchauauxanhnote.1840.LAL</t>
  </si>
  <si>
    <t>Loại content</t>
  </si>
  <si>
    <t>Ký hiệu</t>
  </si>
  <si>
    <t>Chuyên mục</t>
  </si>
  <si>
    <t>Định nghĩa</t>
  </si>
  <si>
    <t>Video</t>
  </si>
  <si>
    <t>video</t>
  </si>
  <si>
    <t>H4 học viên</t>
  </si>
  <si>
    <t>Các bài viết vinh danh học viên, câu chuyện của học viên</t>
  </si>
  <si>
    <t>Hình Ảnh</t>
  </si>
  <si>
    <t>hinhanh</t>
  </si>
  <si>
    <t>H4 trung tâm</t>
  </si>
  <si>
    <t>Các bài viết vinh danh về trung tâm, câu chuyện về trung tâm</t>
  </si>
  <si>
    <t>Content SM</t>
  </si>
  <si>
    <t>contentSM</t>
  </si>
  <si>
    <t>H4 Giáo Viên</t>
  </si>
  <si>
    <t>Các bài viết vinh danh về giáo viên</t>
  </si>
  <si>
    <t>Content Web</t>
  </si>
  <si>
    <t>contentWeb</t>
  </si>
  <si>
    <t>H4 Tư vấn viên</t>
  </si>
  <si>
    <t>Các bài viết vinh danh về tư vấn viên</t>
  </si>
  <si>
    <t>h4tuvanvien</t>
  </si>
  <si>
    <t>Content Ads</t>
  </si>
  <si>
    <t>contentAds</t>
  </si>
  <si>
    <t>Khó khăn và giải pháp</t>
  </si>
  <si>
    <t>Các bài viết nêu khó khăn và trình bày giải pháp</t>
  </si>
  <si>
    <t>khokhangiaiphap</t>
  </si>
  <si>
    <t>Livestream</t>
  </si>
  <si>
    <t>livestream</t>
  </si>
  <si>
    <t>Cam kết</t>
  </si>
  <si>
    <t>Các bài viết về cam kết đầu ra sau khóa học</t>
  </si>
  <si>
    <t>camket</t>
  </si>
  <si>
    <t>Email Marketing</t>
  </si>
  <si>
    <t>emailMarketing</t>
  </si>
  <si>
    <t>Tạo động lực</t>
  </si>
  <si>
    <t>Các bài viết tạo động lực cho việc cho việc học tiếng anh</t>
  </si>
  <si>
    <t>Đặt mục tiêu</t>
  </si>
  <si>
    <t>Các bài viết đặt mục tiêu trong học tiếng Anh</t>
  </si>
  <si>
    <t>datmuctieu</t>
  </si>
  <si>
    <t>Lịch Khai Giảng</t>
  </si>
  <si>
    <t>Các bài viết lịch khai giảng cập nhật</t>
  </si>
  <si>
    <t>lichkhaigiang</t>
  </si>
  <si>
    <t>Quà Tặng &amp; Ưu đãi</t>
  </si>
  <si>
    <t>Các bài viết liên quan đến tặng quà, ưu đãi, giảm giá</t>
  </si>
  <si>
    <t>Influencer story</t>
  </si>
  <si>
    <t>Các bài viết về câu chuyện của người nổi tiếng thành công nhờ tiếng anh</t>
  </si>
  <si>
    <t>Ảnh chế</t>
  </si>
  <si>
    <t>Các bài viết hình ảnh chế, funny</t>
  </si>
  <si>
    <t>Video hot</t>
  </si>
  <si>
    <t>Các video hot chia sẻ về tiếng Anh</t>
  </si>
  <si>
    <t>videohot</t>
  </si>
  <si>
    <t>Video Viral</t>
  </si>
  <si>
    <t>Các video Viral theo từng chiến dịch của công ty</t>
  </si>
  <si>
    <t>videoviral</t>
  </si>
  <si>
    <t>Các bài viết chia sẻ tips, trick</t>
  </si>
  <si>
    <t>Kiểm tra trình độ</t>
  </si>
  <si>
    <t>Europe.LAL.M396baxM105C84</t>
  </si>
  <si>
    <t>Europe.M396baxM105C84.1840.LAL</t>
  </si>
  <si>
    <t>Bài test ngắn, hoặc đăng ký test trình tại trung tâm</t>
  </si>
  <si>
    <t>Sale trực tiếp</t>
  </si>
  <si>
    <t>Những bài viết kêu gọi đăng ký học ngay</t>
  </si>
  <si>
    <t>Kiến Thức</t>
  </si>
  <si>
    <t>Những video / bài viết chia sẻ kiến thức bài giảng tiếng Anh</t>
  </si>
  <si>
    <t>Những livestream của Ms Quỳnh, bài học tiếng Anh</t>
  </si>
  <si>
    <t>Cảm nhận</t>
  </si>
  <si>
    <t xml:space="preserve">Những bài viết về cảm nhận của học viên </t>
  </si>
  <si>
    <t>Tin tức</t>
  </si>
  <si>
    <t>Bài viết cập nhật tin tức của Patado</t>
  </si>
  <si>
    <t>tintuc</t>
  </si>
  <si>
    <t>Short story</t>
  </si>
  <si>
    <t>Những câu chuyện ngắn</t>
  </si>
  <si>
    <t>shortstory</t>
  </si>
  <si>
    <t>Quotes</t>
  </si>
  <si>
    <t>Những câu hỏi hay</t>
  </si>
  <si>
    <t>quote</t>
  </si>
  <si>
    <t>Story telling</t>
  </si>
  <si>
    <t>Những câu chuyện dài</t>
  </si>
  <si>
    <t>https://tinyurl.com/M396baxM105eu</t>
  </si>
  <si>
    <t>Bắt trend</t>
  </si>
  <si>
    <t>Các bài viết bắt trend nóng trên mạng xã hội</t>
  </si>
  <si>
    <t>battrend</t>
  </si>
  <si>
    <t>Khác</t>
  </si>
  <si>
    <t>Các bài viết không thể quy về các mục trên</t>
  </si>
  <si>
    <t>Keyword</t>
  </si>
  <si>
    <t>Europe.giaotiep.M400xM403</t>
  </si>
  <si>
    <t>Europe.M400xM403.1840.giaotiep</t>
  </si>
  <si>
    <t>https://tinyurl.com/M400xM403EU</t>
  </si>
  <si>
    <t>Europe.giaotiep.M416xM417</t>
  </si>
  <si>
    <t>Europe.M416xM417.1840.giaotiep</t>
  </si>
  <si>
    <t>https://tinyurl.com/M416xM417EU</t>
  </si>
  <si>
    <t>Japan.giaotiep.M416xM417</t>
  </si>
  <si>
    <t>Japan.M416xM417.1840.giaotiep</t>
  </si>
  <si>
    <t>Tienganhtenmang</t>
  </si>
  <si>
    <t>https://tinyurl.com/M416xM417JP</t>
  </si>
  <si>
    <t>Hoctienganhonline</t>
  </si>
  <si>
    <t>UnitedStates.giaotiep.M416xM417</t>
  </si>
  <si>
    <t>UnitedStates.M416XM417.1840.giaotiep</t>
  </si>
  <si>
    <t>https://tinyurl.com/M416xM417USA</t>
  </si>
  <si>
    <t>ALL.giaotiep.M416xM417</t>
  </si>
  <si>
    <t>ALL.M416xM417.1840.giaotiep</t>
  </si>
  <si>
    <t>https://tinyurl.com/M416xM417ALL</t>
  </si>
  <si>
    <t>KoreaSouth.giaotiep.M416xM417</t>
  </si>
  <si>
    <t>KoreaSouth.M416xM417.1840.giaotiep</t>
  </si>
  <si>
    <t>https://tinyurl.com/M416xM417korea</t>
  </si>
  <si>
    <t>Europe.giaotiep.M415xM418</t>
  </si>
  <si>
    <t>Europe.M415xM418.1840.giaotiep</t>
  </si>
  <si>
    <t>https://tinyurl.com/M415xM418EU</t>
  </si>
  <si>
    <t>Japan.giaotiep.M415xM418</t>
  </si>
  <si>
    <t>Japan.M415xM418.1840.giaotiep</t>
  </si>
  <si>
    <t>https://tinyurl.com/M415xM418JP</t>
  </si>
  <si>
    <t>ALL.giaotiep.M415xM418</t>
  </si>
  <si>
    <t>ALL.M415xM418.1840.giaotiep</t>
  </si>
  <si>
    <t>https://tinyurl.com/M415xM418ALL</t>
  </si>
  <si>
    <t>Europe.giaotiep.M429xM438</t>
  </si>
  <si>
    <t>Europe.M429xM438.1840.giaotiep</t>
  </si>
  <si>
    <t>https://tinyurl.com/M429xM438eu</t>
  </si>
  <si>
    <t>Japan.giaotiep.M430xM438</t>
  </si>
  <si>
    <t>Japan.M430xM438.1840.giaotiep</t>
  </si>
  <si>
    <t>https://tinyurl.com/M430xM438jp</t>
  </si>
  <si>
    <t>ALL.giaotiep.M440xM438</t>
  </si>
  <si>
    <t>ALL.M438xM440.1840.giaotiep</t>
  </si>
  <si>
    <t>https://tinyurl.com/M438xM440all</t>
  </si>
  <si>
    <t>UnitedStates.giaotiep.TATTxVTSxM271</t>
  </si>
  <si>
    <t>UnitedStates.TATTxVTSxM271.1840.giaotiep</t>
  </si>
  <si>
    <t>https://tinyurl.com/tvm271us</t>
  </si>
  <si>
    <t>Europe.giaotiep.M444xM446</t>
  </si>
  <si>
    <t>Europe.M444xM446.1840.giaotiep</t>
  </si>
  <si>
    <t>https://tinyurl.com/M444xM446EU</t>
  </si>
  <si>
    <t>Japan.giaotiep.M444xM446</t>
  </si>
  <si>
    <t>Japan.M444xM446.1840.giaotiep</t>
  </si>
  <si>
    <t>https://tinyurl.com/M444xM446JP</t>
  </si>
  <si>
    <t>UnitedStates.giaotiep.M444xM446</t>
  </si>
  <si>
    <t>UnitedStates.M444xM446.1840.giaotiep</t>
  </si>
  <si>
    <t>https://tinyurl.com/M444xM446US</t>
  </si>
  <si>
    <t>ALL.giaotiep.M444xM446</t>
  </si>
  <si>
    <t>ALL.M444xM446.1840.giaotiep</t>
  </si>
  <si>
    <t>https://tinyurl.com/M444xM446ALL</t>
  </si>
  <si>
    <t>Japan.CPA400</t>
  </si>
  <si>
    <t>ALL.giaotiep.M444xM446mot</t>
  </si>
  <si>
    <t>ALL.M444xM446mot.1840.giaotiep</t>
  </si>
  <si>
    <t>https://tinyurl.com/M444xM446mot</t>
  </si>
  <si>
    <t>ALL.giaotiep.M445</t>
  </si>
  <si>
    <t>ALL.M445.1840.giaotiep</t>
  </si>
  <si>
    <t>https://tinyurl.com/M445all</t>
  </si>
  <si>
    <t>ALL.giaotiep.anhnotexpcpatado2</t>
  </si>
  <si>
    <t>ALL.anhnotexqcpatado2.1840.giaotiep</t>
  </si>
  <si>
    <t>https://tinyurl.com/anxpcptd2all</t>
  </si>
  <si>
    <t>ALL.giaotiep.M269xM236</t>
  </si>
  <si>
    <t>ALL.M269xM236.1840.giaotiep</t>
  </si>
  <si>
    <t>https://tinyurl.com/M269xM236ALL</t>
  </si>
  <si>
    <t>ALL.giaotiep.M269xM236a</t>
  </si>
  <si>
    <t>ALL.M269xM236a.1840.giaotiep</t>
  </si>
  <si>
    <t>https://tinyurl.com/M269xM236a</t>
  </si>
  <si>
    <t>Japan.giaotiep.anhltxanhnote</t>
  </si>
  <si>
    <t>Japan.anhltxanhnote.1840.giaotiep</t>
  </si>
  <si>
    <t>https://tinyurl.com/anhltxanhnotejp</t>
  </si>
  <si>
    <t>Japan.giaotiep.HTKOC2xPTKOC</t>
  </si>
  <si>
    <t>Japan.HTKOC2xPTKOC.1840.giaotiep</t>
  </si>
  <si>
    <t>Mã Hình thức chạy</t>
  </si>
  <si>
    <t>Mã Target</t>
  </si>
  <si>
    <t>Mã content</t>
  </si>
  <si>
    <t>Format bài</t>
  </si>
  <si>
    <t>Tiêu đề</t>
  </si>
  <si>
    <t>Sản phẩm</t>
  </si>
  <si>
    <t>https://tinyurl.com/HTKOC2xPTKOCJp</t>
  </si>
  <si>
    <t>LD001</t>
  </si>
  <si>
    <t>TIếng anh giao tiếp toàn diện patado</t>
  </si>
  <si>
    <t>Europe.giaotiep.HTKOC2xPTKOC</t>
  </si>
  <si>
    <t>Europe.HTKOC2xPTKOC.1840.giaotiep</t>
  </si>
  <si>
    <t>Image</t>
  </si>
  <si>
    <t>Trend</t>
  </si>
  <si>
    <t>https://patadovietnam.edu.vn/giaotiepsea121022</t>
  </si>
  <si>
    <t>LD002</t>
  </si>
  <si>
    <t>Zalo</t>
  </si>
  <si>
    <t>utm_Term={{placement}}</t>
  </si>
  <si>
    <t>Tiếng Anh Dễ Dàng</t>
  </si>
  <si>
    <t>https://tinyurl.com/HTKOC2xPTKOCEU</t>
  </si>
  <si>
    <t>Images</t>
  </si>
  <si>
    <t>Discount</t>
  </si>
  <si>
    <t>KID</t>
  </si>
  <si>
    <t>ALL.giaotiep.HTKOC2xPTKOC</t>
  </si>
  <si>
    <t>ALL.HTKOC2xPTKOC.1840.giaotiep</t>
  </si>
  <si>
    <t>LD003</t>
  </si>
  <si>
    <t>minhhieu.patado</t>
  </si>
  <si>
    <t>LEA</t>
  </si>
  <si>
    <t>Giao tiếp Tiếng Anh Toàn Diện</t>
  </si>
  <si>
    <t>GTTATD</t>
  </si>
  <si>
    <t>carousel</t>
  </si>
  <si>
    <t>LD004</t>
  </si>
  <si>
    <t>KHTN</t>
  </si>
  <si>
    <t>utm_Term={keyword}</t>
  </si>
  <si>
    <t>minhhieu.patado2</t>
  </si>
  <si>
    <t>Patado Tiếng Anh Trực Tuyến</t>
  </si>
  <si>
    <t>https://tinyurl.com/HTKOC2xPTKOCall</t>
  </si>
  <si>
    <t>ALL.giaotiep.HTKOC2xPTKOCa</t>
  </si>
  <si>
    <t>ALL.HTKOC2xPTKOCa.1840.giaotiep</t>
  </si>
  <si>
    <t>LD005</t>
  </si>
  <si>
    <t>minhhieu.patado3</t>
  </si>
  <si>
    <t>https://www.patado.net/englishfornails</t>
  </si>
  <si>
    <t>LD006</t>
  </si>
  <si>
    <t>minhhieu.patado4</t>
  </si>
  <si>
    <t>PatadoT1 Tiếng Anh trực tuyến Toàn diện</t>
  </si>
  <si>
    <t>https://www.patado.net/mainpage2</t>
  </si>
  <si>
    <t>https://tinyurl.com/HTKOCxPTKOCaall</t>
  </si>
  <si>
    <t>LD007</t>
  </si>
  <si>
    <t>Balan</t>
  </si>
  <si>
    <t>LD008</t>
  </si>
  <si>
    <t>PDK.2833</t>
  </si>
  <si>
    <t>Pat3TATTTD</t>
  </si>
  <si>
    <t>LD009</t>
  </si>
  <si>
    <t>https://tinyurl.com/M269usa</t>
  </si>
  <si>
    <t>LD010</t>
  </si>
  <si>
    <t>ViaPhil5.8400</t>
  </si>
  <si>
    <t>Pat5TATTTD</t>
  </si>
  <si>
    <t>LD011</t>
  </si>
  <si>
    <t>BOT</t>
  </si>
  <si>
    <t>LD012</t>
  </si>
  <si>
    <t>https://tinyurl.com/M236USA</t>
  </si>
  <si>
    <t>LD013</t>
  </si>
  <si>
    <t>LD014</t>
  </si>
  <si>
    <t>https://tinyurl.com/M264hoaky</t>
  </si>
  <si>
    <t>LD015</t>
  </si>
  <si>
    <t>Japan.Career.M461</t>
  </si>
  <si>
    <t>Japan.M461.1840.giaotiep</t>
  </si>
  <si>
    <t>LD016</t>
  </si>
  <si>
    <t>Referal</t>
  </si>
  <si>
    <t>LD017</t>
  </si>
  <si>
    <t>Adnet</t>
  </si>
  <si>
    <t>Europe.giaotiep.M456</t>
  </si>
  <si>
    <t>Europe.M456.1840.giaotiep</t>
  </si>
  <si>
    <t>LD018</t>
  </si>
  <si>
    <t>VTC</t>
  </si>
  <si>
    <t>https://tinyurl.com/M456chauau</t>
  </si>
  <si>
    <t>LD019</t>
  </si>
  <si>
    <t>ZAL</t>
  </si>
  <si>
    <t>Europe.Career.M461</t>
  </si>
  <si>
    <t>Europe.M461.1840.giaotiep</t>
  </si>
  <si>
    <t>LD020</t>
  </si>
  <si>
    <t>ZIN</t>
  </si>
  <si>
    <t>SHO</t>
  </si>
  <si>
    <t>LD021</t>
  </si>
  <si>
    <t>Blogtamsu.vn</t>
  </si>
  <si>
    <t>ALL.Career.M461</t>
  </si>
  <si>
    <t>ALL.M461.1840.giaotiep</t>
  </si>
  <si>
    <t>TrangLQ</t>
  </si>
  <si>
    <t>LD022</t>
  </si>
  <si>
    <t>Baomoi</t>
  </si>
  <si>
    <t>SMA</t>
  </si>
  <si>
    <t>LD023</t>
  </si>
  <si>
    <t>Skype</t>
  </si>
  <si>
    <t>MIX</t>
  </si>
  <si>
    <t>Japan.Career.M462</t>
  </si>
  <si>
    <t>Japan.M462.1840.giaotiep</t>
  </si>
  <si>
    <t>LD024</t>
  </si>
  <si>
    <t>Vietnamnet</t>
  </si>
  <si>
    <t>LD025</t>
  </si>
  <si>
    <t>24h.com.vn</t>
  </si>
  <si>
    <t>Europe.Career.M462</t>
  </si>
  <si>
    <t>Europe.M462.1840.Career</t>
  </si>
  <si>
    <t>JunBal</t>
  </si>
  <si>
    <t>LD026</t>
  </si>
  <si>
    <t>Vnexpress</t>
  </si>
  <si>
    <t>5m8JackEvardo</t>
  </si>
  <si>
    <t>Dtienganhonline</t>
  </si>
  <si>
    <t>ALL.Career.M462</t>
  </si>
  <si>
    <t>LD027</t>
  </si>
  <si>
    <t>ALL.M462.1840.Career</t>
  </si>
  <si>
    <t>Ngoisao.net</t>
  </si>
  <si>
    <t>LD028</t>
  </si>
  <si>
    <t>EGift</t>
  </si>
  <si>
    <t>LD029</t>
  </si>
  <si>
    <t>Kola</t>
  </si>
  <si>
    <t>TiktokMES</t>
  </si>
  <si>
    <t>Japan.giaotiep.M456</t>
  </si>
  <si>
    <t>Japan.M456.1840.giaotiep</t>
  </si>
  <si>
    <t>LD030</t>
  </si>
  <si>
    <t>Tintuc.vn</t>
  </si>
  <si>
    <t>TiktokCVS</t>
  </si>
  <si>
    <t>https://tinyurl.com/M456nhat</t>
  </si>
  <si>
    <t>Japan.CPA200</t>
  </si>
  <si>
    <t>LD031</t>
  </si>
  <si>
    <t>UnitedStates.giaotiep.M456</t>
  </si>
  <si>
    <t>UnitedStates.M456.1840.giaotiep</t>
  </si>
  <si>
    <t>LD032</t>
  </si>
  <si>
    <t>Geniee</t>
  </si>
  <si>
    <t>Trang Moon.0447</t>
  </si>
  <si>
    <t>LD033</t>
  </si>
  <si>
    <t>NhacCuaTui</t>
  </si>
  <si>
    <t>https://tinyurl.com/M456my</t>
  </si>
  <si>
    <t>LD034</t>
  </si>
  <si>
    <t>KTKT</t>
  </si>
  <si>
    <t>https://patadovietnam.edu.vn/blog/vocab-grammar/tu-vung-chu-de-tet-nguyen-dan/</t>
  </si>
  <si>
    <t>Japan.giaotiep.M463</t>
  </si>
  <si>
    <t>Japan.M463.1840.giaotiep</t>
  </si>
  <si>
    <t>LD035</t>
  </si>
  <si>
    <t>Yeah1</t>
  </si>
  <si>
    <t>ALL.CPA250</t>
  </si>
  <si>
    <t>LD036</t>
  </si>
  <si>
    <t>Pincourse</t>
  </si>
  <si>
    <t>https://tinyurl.com/M463nhat</t>
  </si>
  <si>
    <t>Europe.giaotiep.M463</t>
  </si>
  <si>
    <t>Europe.M463.1840.giaotiep</t>
  </si>
  <si>
    <t>LD037</t>
  </si>
  <si>
    <t>Yahoo</t>
  </si>
  <si>
    <t>LD038</t>
  </si>
  <si>
    <t>Amb</t>
  </si>
  <si>
    <t>https://tinyurl.com/M463chauau</t>
  </si>
  <si>
    <t>Taiwan.giaotiep.M463</t>
  </si>
  <si>
    <t>Taiwan.M463.1840.giaotiep</t>
  </si>
  <si>
    <t>LD039</t>
  </si>
  <si>
    <t>LD040</t>
  </si>
  <si>
    <t>https://tinyurl.com/M463dailoan</t>
  </si>
  <si>
    <t>LD041</t>
  </si>
  <si>
    <t>CrossPromo</t>
  </si>
  <si>
    <t>LD042</t>
  </si>
  <si>
    <t>Referral</t>
  </si>
  <si>
    <t>KoreaSouth.giaotiep.M463</t>
  </si>
  <si>
    <t>KoreaSouth.M463.1840.giaotiep</t>
  </si>
  <si>
    <t>LD043</t>
  </si>
  <si>
    <t>OneSignal</t>
  </si>
  <si>
    <t>LD044</t>
  </si>
  <si>
    <t>https://tinyurl.com/M463korea</t>
  </si>
  <si>
    <t>LD045</t>
  </si>
  <si>
    <t>OOH</t>
  </si>
  <si>
    <t>Europe.giaotiep.M451</t>
  </si>
  <si>
    <t>Europe.M451.1840.giaotiep</t>
  </si>
  <si>
    <t>LD046</t>
  </si>
  <si>
    <t>OTM</t>
  </si>
  <si>
    <t>LD047</t>
  </si>
  <si>
    <t>https://tinyurl.com/M451chauau</t>
  </si>
  <si>
    <t>LD048</t>
  </si>
  <si>
    <t>Wifimarketing</t>
  </si>
  <si>
    <t>LD049</t>
  </si>
  <si>
    <t>Cali</t>
  </si>
  <si>
    <t>LD050</t>
  </si>
  <si>
    <t>loc</t>
  </si>
  <si>
    <t>Europe.giaotiep.M447</t>
  </si>
  <si>
    <t>Europe.M447.1840.giaotiep</t>
  </si>
  <si>
    <t>LD051</t>
  </si>
  <si>
    <t>sms</t>
  </si>
  <si>
    <t>LD052</t>
  </si>
  <si>
    <t xml:space="preserve">email </t>
  </si>
  <si>
    <t>https://tinyurl.com/M447chauau</t>
  </si>
  <si>
    <t>LD053</t>
  </si>
  <si>
    <t>mailchimp</t>
  </si>
  <si>
    <t>LD054</t>
  </si>
  <si>
    <t>Japan.Career.M473</t>
  </si>
  <si>
    <t>Japan.M473.1840.Career</t>
  </si>
  <si>
    <t>LD055</t>
  </si>
  <si>
    <t>SocialMedia</t>
  </si>
  <si>
    <t>LD056</t>
  </si>
  <si>
    <t>Linkedin</t>
  </si>
  <si>
    <t>https://tinyurl.com/M473jp</t>
  </si>
  <si>
    <t>LD057</t>
  </si>
  <si>
    <t>Twitter</t>
  </si>
  <si>
    <t>Europe.Career.M473</t>
  </si>
  <si>
    <t>Europe.M473.1840.Career</t>
  </si>
  <si>
    <t>LD058</t>
  </si>
  <si>
    <t>Youtube</t>
  </si>
  <si>
    <t>LD059</t>
  </si>
  <si>
    <t>https://tinyurl.com/M473eu</t>
  </si>
  <si>
    <t>LD060</t>
  </si>
  <si>
    <t>ALL.Career.M473</t>
  </si>
  <si>
    <t>ALL.M473.1840.Career</t>
  </si>
  <si>
    <t>LD061</t>
  </si>
  <si>
    <t>LD062</t>
  </si>
  <si>
    <t>LD063</t>
  </si>
  <si>
    <t>SMS</t>
  </si>
  <si>
    <t>LD064</t>
  </si>
  <si>
    <t>LD065</t>
  </si>
  <si>
    <t>BME</t>
  </si>
  <si>
    <t>LD066</t>
  </si>
  <si>
    <t>Booking</t>
  </si>
  <si>
    <t>https://tinyurl.com/M473koma</t>
  </si>
  <si>
    <t>LD067</t>
  </si>
  <si>
    <t>Produce</t>
  </si>
  <si>
    <t>LD068</t>
  </si>
  <si>
    <t>Edit</t>
  </si>
  <si>
    <t>Japan.Career.M472</t>
  </si>
  <si>
    <t>LD069</t>
  </si>
  <si>
    <t>Japan.M472.1840.Career</t>
  </si>
  <si>
    <t>LD070</t>
  </si>
  <si>
    <t>LD071</t>
  </si>
  <si>
    <t>https://tinyurl.com/M472japan</t>
  </si>
  <si>
    <t>https://patadovietnam.edu.vn/tieng-anh-nail/</t>
  </si>
  <si>
    <t>LD072</t>
  </si>
  <si>
    <t>Vietnam.Career.M473</t>
  </si>
  <si>
    <t>Vietnam.M473.1840.Career</t>
  </si>
  <si>
    <t>LD073</t>
  </si>
  <si>
    <t>LD074</t>
  </si>
  <si>
    <t>Tiktok MES</t>
  </si>
  <si>
    <t>https://tinyurl.com/M473vietnam</t>
  </si>
  <si>
    <t>LD075</t>
  </si>
  <si>
    <t>Tiktok CVS</t>
  </si>
  <si>
    <t>UnitedStates.giaotiep.Congdongnails</t>
  </si>
  <si>
    <t>UnitedStates.Congdongnails.1840.giaotiep</t>
  </si>
  <si>
    <t>LD076</t>
  </si>
  <si>
    <t>LD077</t>
  </si>
  <si>
    <t>https://patadovietnam.edu.vn/tienganhgiaotiep1_hn/</t>
  </si>
  <si>
    <t>LD078</t>
  </si>
  <si>
    <t>LD079</t>
  </si>
  <si>
    <t>Europe.giaotiep.M479LQ</t>
  </si>
  <si>
    <t>Europe.M479LQ.1840.giaotiep</t>
  </si>
  <si>
    <t>LD080</t>
  </si>
  <si>
    <t>LD081</t>
  </si>
  <si>
    <t>https://tinyurl.com/M479LQEU</t>
  </si>
  <si>
    <t>LD082</t>
  </si>
  <si>
    <t>Europe.giaotiep.M480</t>
  </si>
  <si>
    <t>Europe.M480.1840.giaotiep</t>
  </si>
  <si>
    <t>LD083</t>
  </si>
  <si>
    <t>https://tinyurl.com/M480chauau</t>
  </si>
  <si>
    <t>LD084</t>
  </si>
  <si>
    <t>https://patadovietnam.edu.vn/gtjapan_nhn5</t>
  </si>
  <si>
    <t>LD085</t>
  </si>
  <si>
    <t>Japan.giaotiep.M479KS</t>
  </si>
  <si>
    <t>Japan.M479KS.1840.giaotiep</t>
  </si>
  <si>
    <t>LD086</t>
  </si>
  <si>
    <t>LD087</t>
  </si>
  <si>
    <t>https://tinyurl.com/M479KSjp</t>
  </si>
  <si>
    <r>
      <rPr>
        <color rgb="FF1155CC"/>
        <u/>
      </rPr>
      <t>https://patadovietnam.edu.vn/tai-lieu/ielts-advantage-speaking-listening-skills/</t>
    </r>
    <r>
      <rPr/>
      <t>/</t>
    </r>
  </si>
  <si>
    <t>LD088</t>
  </si>
  <si>
    <t>LD089</t>
  </si>
  <si>
    <t>Japan.giaotiep.M480</t>
  </si>
  <si>
    <t>Japan.M480.1840.giaotiep</t>
  </si>
  <si>
    <t>LD090</t>
  </si>
  <si>
    <t>https://tinyurl.com/M480nhatban</t>
  </si>
  <si>
    <t>LD091</t>
  </si>
  <si>
    <t>https://patadovietnam.edu.vn/gtusa2_nhn</t>
  </si>
  <si>
    <t>LD092</t>
  </si>
  <si>
    <t>UnitedStates.giaotiep.M480</t>
  </si>
  <si>
    <t>UnitedStates.M480.1840.giaotiep</t>
  </si>
  <si>
    <t>LD093</t>
  </si>
  <si>
    <t>LD094</t>
  </si>
  <si>
    <t>https://tinyurl.com/M480USA</t>
  </si>
  <si>
    <t>LD095</t>
  </si>
  <si>
    <t>UnitedStates.giaotiep.M479NM</t>
  </si>
  <si>
    <t>UnitedStates.M479NM.1840.giaotiep</t>
  </si>
  <si>
    <t>LD096</t>
  </si>
  <si>
    <t>LD097</t>
  </si>
  <si>
    <t>https://tinyurl.com/M479NMUS</t>
  </si>
  <si>
    <t>LD098</t>
  </si>
  <si>
    <t>Europe.giaotiep.M478</t>
  </si>
  <si>
    <t>Europe.M478.1840.giaotiep</t>
  </si>
  <si>
    <t>LD099</t>
  </si>
  <si>
    <t>https://tinyurl.com/M478chauau</t>
  </si>
  <si>
    <t>LD100</t>
  </si>
  <si>
    <t>Europe.giaotiep.M482</t>
  </si>
  <si>
    <t>Europe.M482.1840.giaotiep</t>
  </si>
  <si>
    <t>LD101</t>
  </si>
  <si>
    <t>LD102</t>
  </si>
  <si>
    <t>https://tinyurl.com/M482chauau</t>
  </si>
  <si>
    <t>LD103</t>
  </si>
  <si>
    <t>ALL.giaotiep.M482</t>
  </si>
  <si>
    <t>ALL.M482.1840.giaotiep</t>
  </si>
  <si>
    <t>LD104</t>
  </si>
  <si>
    <t>LD105</t>
  </si>
  <si>
    <t>https://patadovietnam.edu.vn/japan/</t>
  </si>
  <si>
    <t>LD106</t>
  </si>
  <si>
    <t>https://patadovietnam.edu.vn/tieng-anh-cho-nguoi-viet/</t>
  </si>
  <si>
    <t>https://tinyurl.com/M482all</t>
  </si>
  <si>
    <t>LD107</t>
  </si>
  <si>
    <t>https://patadovietnam.edu.vn/korean/</t>
  </si>
  <si>
    <t>LD108</t>
  </si>
  <si>
    <t>UnitedStates.giaotiep.M482</t>
  </si>
  <si>
    <t>UnitedStates.M482.1840.giaotiep</t>
  </si>
  <si>
    <t>LD109</t>
  </si>
  <si>
    <t>https://patadovietnam.edu.vn/nhatban_cvs_hieupm/</t>
  </si>
  <si>
    <t>LD110</t>
  </si>
  <si>
    <t>https://patadovietnam.edu.vn/all_cvs_hieupm/</t>
  </si>
  <si>
    <t>LD111</t>
  </si>
  <si>
    <t>https://patadovietnam.edu.vn/allielts259</t>
  </si>
  <si>
    <t>https://tinyurl.com/M482hoaky</t>
  </si>
  <si>
    <t>LD112</t>
  </si>
  <si>
    <t>https://patadovietnam.edu.vn/lop-ielts-cap-toc/</t>
  </si>
  <si>
    <t>LD113</t>
  </si>
  <si>
    <t>Japan.giaotiep.M488</t>
  </si>
  <si>
    <t>Japan.M488.1840.giaotiep</t>
  </si>
  <si>
    <t>LD114</t>
  </si>
  <si>
    <t>LD115</t>
  </si>
  <si>
    <t>LD116</t>
  </si>
  <si>
    <t>https://tinyurl.com/M488japan</t>
  </si>
  <si>
    <t>LD117</t>
  </si>
  <si>
    <t>Europe.giaotiep.M488</t>
  </si>
  <si>
    <t>Europe.M488.1840.giaotiep</t>
  </si>
  <si>
    <t>https://patadovietnam.edu.vn/hoaky_hpm/</t>
  </si>
  <si>
    <t>LD118</t>
  </si>
  <si>
    <t>https://patadovietnam.edu.vn/ieltsfb/</t>
  </si>
  <si>
    <t>LD119</t>
  </si>
  <si>
    <t>https://tinyurl.com/M488chauau</t>
  </si>
  <si>
    <t>LD120</t>
  </si>
  <si>
    <t>https://patadovietnam.edu.vn/gtcvs29822/</t>
  </si>
  <si>
    <t>Europe.giaotiep.M489</t>
  </si>
  <si>
    <t>Europe.M489.1840.giaotiep</t>
  </si>
  <si>
    <t>LD121</t>
  </si>
  <si>
    <t>https://patadovietnam.edu.vn/ielts30922/</t>
  </si>
  <si>
    <t>LD122</t>
  </si>
  <si>
    <t>https://patadovietnam.edu.vn/giaotiep30922</t>
  </si>
  <si>
    <t>https://tinyurl.com/M489chauau</t>
  </si>
  <si>
    <t>LD123</t>
  </si>
  <si>
    <t>https://patadovietnam.edu.vn/giaotiepjp41122/</t>
  </si>
  <si>
    <t>LD124</t>
  </si>
  <si>
    <t>UnitedStates.giaotiep.M488xM489</t>
  </si>
  <si>
    <t>UnitedStates.M488xM489.1840.giaotiep</t>
  </si>
  <si>
    <t>LD125</t>
  </si>
  <si>
    <t>LD126</t>
  </si>
  <si>
    <t>https://tinyurl.com/M488xM489usa</t>
  </si>
  <si>
    <t>LD127</t>
  </si>
  <si>
    <t>https://patadovietnam.edu.vn/gthanquoccvs91122/</t>
  </si>
  <si>
    <t>UnitedStates.giaotiep.M490</t>
  </si>
  <si>
    <t>UnitedStates.M490.1840.giaotiep</t>
  </si>
  <si>
    <t>LD128</t>
  </si>
  <si>
    <t>LD129</t>
  </si>
  <si>
    <t>https://patadovietnam.edu.vn/hq_cvs_hpm/</t>
  </si>
  <si>
    <t>LD130</t>
  </si>
  <si>
    <t>https://tinyurl.com/M490hoaky</t>
  </si>
  <si>
    <t>LD131</t>
  </si>
  <si>
    <t>KoreaSouth.giaotiep.M488xM489</t>
  </si>
  <si>
    <t>KoreaSouth.M488xM489.1840.giaotiep</t>
  </si>
  <si>
    <t>https://tinyurl.com/M488xM489korea</t>
  </si>
  <si>
    <t>Japan.giaotiep.M491xM492</t>
  </si>
  <si>
    <t>Japan.M491xM492.1840.giaotiep</t>
  </si>
  <si>
    <t>https://tinyurl.com/M491xM492japan</t>
  </si>
  <si>
    <t>Europe.giaotiep.M491xM492</t>
  </si>
  <si>
    <t>Europe.M491xM492.1840.giaotiep</t>
  </si>
  <si>
    <t>LD132</t>
  </si>
  <si>
    <t>https://tinyurl.com/M491xM492chauau</t>
  </si>
  <si>
    <t>LD133</t>
  </si>
  <si>
    <t>LD134</t>
  </si>
  <si>
    <t>LD135</t>
  </si>
  <si>
    <t>LD136</t>
  </si>
  <si>
    <t>LD137</t>
  </si>
  <si>
    <t>LD138</t>
  </si>
  <si>
    <t>ALL.giaotiep.M417</t>
  </si>
  <si>
    <t>ALL.M417.1840.giaotiep</t>
  </si>
  <si>
    <t>LD139</t>
  </si>
  <si>
    <t>LD140</t>
  </si>
  <si>
    <t>https://tinyurl.com/M417FBALL</t>
  </si>
  <si>
    <t>LD141</t>
  </si>
  <si>
    <t>https://patadovietnam.edu.vn/giaotiep30922/</t>
  </si>
  <si>
    <t>https://tinyurl.com/M491xM492MCA</t>
  </si>
  <si>
    <t>https://patadovietnam.edu.vn/ieltsfb</t>
  </si>
  <si>
    <t>Europe.giaotiep.M497xM498</t>
  </si>
  <si>
    <t>Europe.M497xM498.1840.giaotiep</t>
  </si>
  <si>
    <t>LD142</t>
  </si>
  <si>
    <t>https://tinyurl.com/M497xM498MCA</t>
  </si>
  <si>
    <t>LD143</t>
  </si>
  <si>
    <t>Europe.giaotiep.M236xJHxanhnote</t>
  </si>
  <si>
    <t>LD144</t>
  </si>
  <si>
    <t>LD145</t>
  </si>
  <si>
    <t>https://tinyurl.com/M236xJHMCA</t>
  </si>
  <si>
    <t>LD146</t>
  </si>
  <si>
    <t>LD147</t>
  </si>
  <si>
    <t>LD148</t>
  </si>
  <si>
    <t>https://tinyurl.com/M491xM492MJP</t>
  </si>
  <si>
    <t>Japan.giaotiep.M497xM498</t>
  </si>
  <si>
    <t>Japan.M497xM498.1840.giaotiep</t>
  </si>
  <si>
    <t>LD149</t>
  </si>
  <si>
    <t>LD150</t>
  </si>
  <si>
    <t>https://tinyurl.com/M497xM498MJP</t>
  </si>
  <si>
    <t>LD151</t>
  </si>
  <si>
    <t>LD152</t>
  </si>
  <si>
    <t>https://tinyurl.com/anhltxanhnoteJPM</t>
  </si>
  <si>
    <t>LD153</t>
  </si>
  <si>
    <t>Europe.giaotiep.M505xM506</t>
  </si>
  <si>
    <t>Europe.M505xM506.1840.giaotiep</t>
  </si>
  <si>
    <t>LD154</t>
  </si>
  <si>
    <t>LD155</t>
  </si>
  <si>
    <t>https://tinyurl.com/M505xM506EUC</t>
  </si>
  <si>
    <t>LD156</t>
  </si>
  <si>
    <t>LD157</t>
  </si>
  <si>
    <t>UnitedStates.giaotiep.M505xM506</t>
  </si>
  <si>
    <t>UnitedStates.M505xM506.1840.giaotiep</t>
  </si>
  <si>
    <t>LD158</t>
  </si>
  <si>
    <t>LD159</t>
  </si>
  <si>
    <t>https://tinyurl.com/M505xM506USA</t>
  </si>
  <si>
    <t>LD160</t>
  </si>
  <si>
    <t>Europe.giaotiep.M504</t>
  </si>
  <si>
    <t>Europe.M504.1840.giaotiep</t>
  </si>
  <si>
    <t>LD161</t>
  </si>
  <si>
    <t>LD162</t>
  </si>
  <si>
    <t>LD163</t>
  </si>
  <si>
    <t>https://tinyurl.com/M504EUM</t>
  </si>
  <si>
    <t>LD164</t>
  </si>
  <si>
    <t>Japan.giaotiep.M505xM506</t>
  </si>
  <si>
    <t>LD165</t>
  </si>
  <si>
    <t>Japan.M505xM506.1840.giaotiep</t>
  </si>
  <si>
    <t>LD166</t>
  </si>
  <si>
    <t>LD167</t>
  </si>
  <si>
    <t>https://tinyurl.com/M505xM506JPC</t>
  </si>
  <si>
    <t>LD168</t>
  </si>
  <si>
    <t>Japan.giaotiep.M504</t>
  </si>
  <si>
    <t>Japan.M504.1840.giaotiep</t>
  </si>
  <si>
    <t>LD169</t>
  </si>
  <si>
    <t>LD170</t>
  </si>
  <si>
    <t>LD171</t>
  </si>
  <si>
    <t>https://tinyurl.com/M504JPME</t>
  </si>
  <si>
    <t>LD172</t>
  </si>
  <si>
    <t>ALL.giaotiep.M505xM506</t>
  </si>
  <si>
    <t>ALL.M505xM506.1840.giaotiep</t>
  </si>
  <si>
    <t>LD173</t>
  </si>
  <si>
    <t>LD174</t>
  </si>
  <si>
    <t>https://www.aecenglishkids.edu.vn/tienganhtreemchauau</t>
  </si>
  <si>
    <t>LD175</t>
  </si>
  <si>
    <t>https://tinyurl.com/M505xM506ALL1</t>
  </si>
  <si>
    <t>https://patadovietnam.edu.vn/gt_nhn/</t>
  </si>
  <si>
    <t>LD176</t>
  </si>
  <si>
    <t>https://patadovietnam.edu.vn/hktt168</t>
  </si>
  <si>
    <t>LD177</t>
  </si>
  <si>
    <t>https://patadovietnam.edu.vn/jpgdn17823/</t>
  </si>
  <si>
    <t>LD178</t>
  </si>
  <si>
    <t>https://patadovietnam.edu.vn/hqgdn17823/</t>
  </si>
  <si>
    <t>LD179</t>
  </si>
  <si>
    <t>https://patadovietnam.edu.vn/algdn17823/</t>
  </si>
  <si>
    <t>LD180</t>
  </si>
  <si>
    <t>https://tinyurl.com/M505xM506jp0408</t>
  </si>
  <si>
    <t>LD181</t>
  </si>
  <si>
    <t>LD182</t>
  </si>
  <si>
    <t>ALL.giaotiep.M264xM269xJHxqcpatado1</t>
  </si>
  <si>
    <t>ALL.M264xM269xJHxqcpatado1.1840.giaotiep</t>
  </si>
  <si>
    <t>LD183</t>
  </si>
  <si>
    <t>LD184</t>
  </si>
  <si>
    <t>https://tinyurl.com/All0408</t>
  </si>
  <si>
    <t>LD185</t>
  </si>
  <si>
    <t>Europe.kids.M508xM509</t>
  </si>
  <si>
    <t>Europe.M508xM509.1840.kids</t>
  </si>
  <si>
    <t>LD186</t>
  </si>
  <si>
    <t>LD187</t>
  </si>
  <si>
    <t>LD188</t>
  </si>
  <si>
    <t>https://tinyurl.com/M508xM509EK</t>
  </si>
  <si>
    <t>LD189</t>
  </si>
  <si>
    <t>ALL.kids.M508xM509</t>
  </si>
  <si>
    <t>ALL.M508xM509.1840.giaotiep</t>
  </si>
  <si>
    <t>LD190</t>
  </si>
  <si>
    <t>LD191</t>
  </si>
  <si>
    <t>https://tinyurl.com/M508xM509all</t>
  </si>
  <si>
    <t>LD192</t>
  </si>
  <si>
    <t>LD193</t>
  </si>
  <si>
    <t>Europe.giaotiep.M526</t>
  </si>
  <si>
    <t>Europe.M526.1840.giaotiep</t>
  </si>
  <si>
    <t>LD194</t>
  </si>
  <si>
    <t>LD195</t>
  </si>
  <si>
    <t>https://tinyurl.com/M526ChauAU</t>
  </si>
  <si>
    <t>LD196</t>
  </si>
  <si>
    <t>Japan.giaotiep.M526</t>
  </si>
  <si>
    <t>Japan.M526.1840.giaotiep</t>
  </si>
  <si>
    <t>LD197</t>
  </si>
  <si>
    <t>LD198</t>
  </si>
  <si>
    <t>https://tinyurl.com/M526japan</t>
  </si>
  <si>
    <t>LD199</t>
  </si>
  <si>
    <t>Europe.giaotiep.M523</t>
  </si>
  <si>
    <t>Europe.M523.1840.giaotiep</t>
  </si>
  <si>
    <t>LD200</t>
  </si>
  <si>
    <t>LD201</t>
  </si>
  <si>
    <t>https://tinyurl.com/M523EU</t>
  </si>
  <si>
    <t>LD202</t>
  </si>
  <si>
    <t>Japan.giaotiep.M523</t>
  </si>
  <si>
    <t>Japan.M523.1840.giaotiep</t>
  </si>
  <si>
    <t>LD203</t>
  </si>
  <si>
    <t>LD204</t>
  </si>
  <si>
    <t>https://tinyurl.com/M523japan</t>
  </si>
  <si>
    <t>LD205</t>
  </si>
  <si>
    <t>UnitedStates.giaotiep.M523</t>
  </si>
  <si>
    <t>UnitedStates.M523.1840.giaotiep</t>
  </si>
  <si>
    <t>LD206</t>
  </si>
  <si>
    <t>LD207</t>
  </si>
  <si>
    <t>https://tinyurl.com/M523hoaky</t>
  </si>
  <si>
    <t>LD208</t>
  </si>
  <si>
    <t>https://patadovietnam.edu.vn/gtnhn_198</t>
  </si>
  <si>
    <t>LD209</t>
  </si>
  <si>
    <t>LD210</t>
  </si>
  <si>
    <t>https://tinyurl.com/M236EUCVS</t>
  </si>
  <si>
    <t>LD211</t>
  </si>
  <si>
    <t>Europe.molopchauau.1840.giaotiep</t>
  </si>
  <si>
    <t>LD212</t>
  </si>
  <si>
    <t>LD213</t>
  </si>
  <si>
    <t>LD214</t>
  </si>
  <si>
    <t>https://tinyurl.com/MLEUCVS</t>
  </si>
  <si>
    <t>LD215</t>
  </si>
  <si>
    <t>LD216</t>
  </si>
  <si>
    <t>LD217</t>
  </si>
  <si>
    <t>LD218</t>
  </si>
  <si>
    <t>https://tinyurl.com/ALTxANCVS</t>
  </si>
  <si>
    <t>LD219</t>
  </si>
  <si>
    <t>LD220</t>
  </si>
  <si>
    <t>LD221</t>
  </si>
  <si>
    <t>LD222</t>
  </si>
  <si>
    <t>LD223</t>
  </si>
  <si>
    <t>LD224</t>
  </si>
  <si>
    <t>https://tinyurl.com/M269159EU</t>
  </si>
  <si>
    <t>https://patadovietnam.edu.vn/tienganhcongso_hn/</t>
  </si>
  <si>
    <t>LD225</t>
  </si>
  <si>
    <t>LD226</t>
  </si>
  <si>
    <t>LD227</t>
  </si>
  <si>
    <t>https://tinyurl.com/M526EUME</t>
  </si>
  <si>
    <t>https://patadovietnam.edu.vn/giaotiep_usa/</t>
  </si>
  <si>
    <t>LD228</t>
  </si>
  <si>
    <t>Europe.giaotiep.M537</t>
  </si>
  <si>
    <t>Europe.M537.1840.giaotiep</t>
  </si>
  <si>
    <t>LD229</t>
  </si>
  <si>
    <t>LD230</t>
  </si>
  <si>
    <t>LD231</t>
  </si>
  <si>
    <t>https://tinyurl.com/M537EUM</t>
  </si>
  <si>
    <t>LD232</t>
  </si>
  <si>
    <t>ALL.giaotiep.M527xM534</t>
  </si>
  <si>
    <t>ALL.M527xM534.1840.giaotiep</t>
  </si>
  <si>
    <t>LD233</t>
  </si>
  <si>
    <t>LD234</t>
  </si>
  <si>
    <t>https://duhocpatado.edu.vn/gtusa1_nhn/</t>
  </si>
  <si>
    <t>LD235</t>
  </si>
  <si>
    <t>https://tinyurl.com/M527xM534ALL</t>
  </si>
  <si>
    <t>LD236</t>
  </si>
  <si>
    <t>https://patadovietnam.edu.vn/gtnhn220925</t>
  </si>
  <si>
    <t>LD237</t>
  </si>
  <si>
    <t>https://docs.google.com/forms/d/1wRJnnBOBTN51U0XoSEyKqoDPYT8P2J7xUkXLirEY-X8/</t>
  </si>
  <si>
    <t>LD238</t>
  </si>
  <si>
    <t>LD239</t>
  </si>
  <si>
    <t>LD240</t>
  </si>
  <si>
    <t>https://tinyurl.com/M526CVEU</t>
  </si>
  <si>
    <t>LD241</t>
  </si>
  <si>
    <t>LD242</t>
  </si>
  <si>
    <t>LD243</t>
  </si>
  <si>
    <t>LD244</t>
  </si>
  <si>
    <t>https://tinyurl.com/M537EUCVS</t>
  </si>
  <si>
    <t>LD245</t>
  </si>
  <si>
    <t>Japan.giaotiep.M527xM537</t>
  </si>
  <si>
    <t>Japan.M527xM537.1840.giaotiep</t>
  </si>
  <si>
    <t>LD246</t>
  </si>
  <si>
    <t>LD247</t>
  </si>
  <si>
    <t>https://tinyurl.com/M527xM537JP</t>
  </si>
  <si>
    <t>LD248</t>
  </si>
  <si>
    <t>LD249</t>
  </si>
  <si>
    <t>LD250</t>
  </si>
  <si>
    <t>https://patadovietnam.edu.vn/tienganhgt_nnh/</t>
  </si>
  <si>
    <t>LD251</t>
  </si>
  <si>
    <t>https://tinyurl.com/M105EUCVS</t>
  </si>
  <si>
    <t>LD252</t>
  </si>
  <si>
    <t>LD253</t>
  </si>
  <si>
    <t>LD254</t>
  </si>
  <si>
    <t>https://tinyurl.com/M429xM438EUC</t>
  </si>
  <si>
    <t>LD255</t>
  </si>
  <si>
    <t>LD256</t>
  </si>
  <si>
    <t>LD257</t>
  </si>
  <si>
    <t>LD258</t>
  </si>
  <si>
    <t>https://tinyurl.com/M527xM537JPC</t>
  </si>
  <si>
    <t>LD259</t>
  </si>
  <si>
    <t>LD260</t>
  </si>
  <si>
    <t>Europe.giaotiep.M554</t>
  </si>
  <si>
    <t>Europe.M554.1840.giaotiep</t>
  </si>
  <si>
    <t>LD261</t>
  </si>
  <si>
    <t>LD262</t>
  </si>
  <si>
    <t>https://tinyurl.com/M554EUCV</t>
  </si>
  <si>
    <t>LD263</t>
  </si>
  <si>
    <t>LD264</t>
  </si>
  <si>
    <t>LD265</t>
  </si>
  <si>
    <t>https://patado.edu.vn/gtusa1_nhn/</t>
  </si>
  <si>
    <t>LD266</t>
  </si>
  <si>
    <t>LD267</t>
  </si>
  <si>
    <t>LD268</t>
  </si>
  <si>
    <t>LD269</t>
  </si>
  <si>
    <t>Japan.giaotiep.M549xM554</t>
  </si>
  <si>
    <t>Japan.M549xM554.1840.giaotiep</t>
  </si>
  <si>
    <t>LD270</t>
  </si>
  <si>
    <t>LD271</t>
  </si>
  <si>
    <r>
      <rPr>
        <color rgb="FF1155CC"/>
        <u/>
      </rPr>
      <t>http://patado.edu.vn/japan_hlg</t>
    </r>
  </si>
  <si>
    <t>LD272</t>
  </si>
  <si>
    <t>https://tinyurl.com/M549xM554JPC</t>
  </si>
  <si>
    <t>LD273</t>
  </si>
  <si>
    <t>LD274</t>
  </si>
  <si>
    <t>LD275</t>
  </si>
  <si>
    <t>LD276</t>
  </si>
  <si>
    <t>LD277</t>
  </si>
  <si>
    <t>LD278</t>
  </si>
  <si>
    <t>LD279</t>
  </si>
  <si>
    <t>https://tinyurl.com/M271EUCV</t>
  </si>
  <si>
    <t>LD280</t>
  </si>
  <si>
    <t>https://patado.edu.vn/patadoenglisht/</t>
  </si>
  <si>
    <t>LD281</t>
  </si>
  <si>
    <t>Japan.giaotiep.M534xM536</t>
  </si>
  <si>
    <t>Japan.M534xM536.1840.giaotiep</t>
  </si>
  <si>
    <t>https://patado.edu.vn/nhn_jp0106</t>
  </si>
  <si>
    <t>LD282</t>
  </si>
  <si>
    <t>LD283</t>
  </si>
  <si>
    <t>https://tinyurl.com/M534xM536JPC</t>
  </si>
  <si>
    <t>https://patado.edu.vn/ptd_hongtt/</t>
  </si>
  <si>
    <t>LD284</t>
  </si>
  <si>
    <t>ALL.giaotiep.M526xM536</t>
  </si>
  <si>
    <t>ALL.M526xM536.1840.giaotiep</t>
  </si>
  <si>
    <t>LD285</t>
  </si>
  <si>
    <t>LD286</t>
  </si>
  <si>
    <t>https://tinyurl.com/M526xM536ALLM</t>
  </si>
  <si>
    <t>LD287</t>
  </si>
  <si>
    <t>LD288</t>
  </si>
  <si>
    <t>ALL.giaotiep.M537xM554</t>
  </si>
  <si>
    <t>ALL.M537xM554.1840.giaotiep</t>
  </si>
  <si>
    <t>LD289</t>
  </si>
  <si>
    <t>LD290</t>
  </si>
  <si>
    <t>LD291</t>
  </si>
  <si>
    <t>LD292</t>
  </si>
  <si>
    <t>LD293</t>
  </si>
  <si>
    <t>LD294</t>
  </si>
  <si>
    <t>LD295</t>
  </si>
  <si>
    <t>LD296</t>
  </si>
  <si>
    <t>LD297</t>
  </si>
  <si>
    <t>LD298</t>
  </si>
  <si>
    <t>https://tinyurl.com/M537xM554ALLm</t>
  </si>
  <si>
    <t>LD299</t>
  </si>
  <si>
    <t>LD300</t>
  </si>
  <si>
    <t>LD301</t>
  </si>
  <si>
    <t>LD302</t>
  </si>
  <si>
    <t>UnitedStates.giaotiep.M551xM552</t>
  </si>
  <si>
    <t>UnitedStates.M551xM552.1840.giaotiep</t>
  </si>
  <si>
    <t>https://tinyurl.com/M551xM552US</t>
  </si>
  <si>
    <t>Europe.giaotiep.M551xM552</t>
  </si>
  <si>
    <t>Europe.M551xM552.1840.giaotiep</t>
  </si>
  <si>
    <t>https://tinyurl.com/M551xM552EUC</t>
  </si>
  <si>
    <t>Japan.giaotiep.M551xM552</t>
  </si>
  <si>
    <t>Japan.M551xM552.1840.giaotiep</t>
  </si>
  <si>
    <t>https://tinyurl.com/M551xM552JPM</t>
  </si>
  <si>
    <t>Europe.giaotiep.M555xM567</t>
  </si>
  <si>
    <t>Europe.M555xM567.1840.giaotiep</t>
  </si>
  <si>
    <t>https://tinyurl.com/M555xM567EUC</t>
  </si>
  <si>
    <t>Japan.giaotiep.M555xM567</t>
  </si>
  <si>
    <t>Japan.M555xM567.1840.giaotiep</t>
  </si>
  <si>
    <t>https://tinyurl.com/M555xM567JPC</t>
  </si>
  <si>
    <t>ALL.giaotiep.M555xM567</t>
  </si>
  <si>
    <t>ALL.M555xM567.1840.giaotiep</t>
  </si>
  <si>
    <t>https://tinyurl.com/M555xM567ALLM</t>
  </si>
  <si>
    <t>UnitedStates.giaotiep.M555xM567</t>
  </si>
  <si>
    <t>UnitedStates.M555xM567.1840.giaotiep</t>
  </si>
  <si>
    <t>https://tinyurl.com/M555xM567USM</t>
  </si>
  <si>
    <t>https://tinyurl.com/M555xM567EUCV</t>
  </si>
  <si>
    <t>Europe.giaotiep.M566</t>
  </si>
  <si>
    <t>Europe.M566.1840.giaotiep</t>
  </si>
  <si>
    <t>https://tinyurl.com/M566xEUCVS</t>
  </si>
  <si>
    <t>Japan.giaotiep.M564</t>
  </si>
  <si>
    <t>Japan.M564.1840.giaotiep</t>
  </si>
  <si>
    <t>ALL.giaotiep.M564</t>
  </si>
  <si>
    <t>ALL.M564.1840.giaotiep</t>
  </si>
  <si>
    <t>UnitedStates.giaotiep.M566</t>
  </si>
  <si>
    <t>UnitedStates.M566.1840.giaotiep</t>
  </si>
  <si>
    <t>ALL.giaotiep.M561</t>
  </si>
  <si>
    <t>ALL.M561.1840.giaotiep</t>
  </si>
  <si>
    <t>Japan.giaotiep.P1</t>
  </si>
  <si>
    <t>Japan.P1.1840.giaotiep</t>
  </si>
  <si>
    <t>https://tinyurl.com/P1xJPCVS</t>
  </si>
  <si>
    <t>Japan.giaotiep.P2</t>
  </si>
  <si>
    <t>Japan.P2.1840.giaotiep</t>
  </si>
  <si>
    <t>Japan.giaotiep.P3</t>
  </si>
  <si>
    <t>Japan.P3.1840.giaotiep</t>
  </si>
  <si>
    <t>https://tinyurl.com/P3xJPC</t>
  </si>
  <si>
    <t>Japan.giaotiep.P4</t>
  </si>
  <si>
    <t>Japan.P4.1840.giaotiep</t>
  </si>
  <si>
    <t>Europe.giaotiep.P5</t>
  </si>
  <si>
    <t>Europe.P5.1840.giaotiep</t>
  </si>
  <si>
    <t>https://tinyurl.com/P5xEUME</t>
  </si>
  <si>
    <t>Europe.giaotiep.P6</t>
  </si>
  <si>
    <t>Europe.P6.1840.giaotiep</t>
  </si>
  <si>
    <t>Europe.giaotiep.P7</t>
  </si>
  <si>
    <t>Europe.P7.1840.giaotiep</t>
  </si>
  <si>
    <t>https://tinyurl.com/P7xEUCV</t>
  </si>
  <si>
    <t>Europe.giaotiep.P9</t>
  </si>
  <si>
    <t>Europe.P9.1840.giaotiep</t>
  </si>
  <si>
    <t>UnitedStates.giaotiep.P8</t>
  </si>
  <si>
    <t>UnitedStates.P8.1840.giaotiep</t>
  </si>
  <si>
    <t>https://tinyurl.com/P8xUSME</t>
  </si>
  <si>
    <t>UnitedStates.giaotiep.P10</t>
  </si>
  <si>
    <t>UnitedStates.P10.1840.giaotiep</t>
  </si>
  <si>
    <t>UnitedStates.giaotiep.P11</t>
  </si>
  <si>
    <t>UnitedStates.P11.1840.giaotiep</t>
  </si>
  <si>
    <t>https://tinyurl.com/P11xUSMES</t>
  </si>
  <si>
    <t>UnitedStates.giaotiep.P12</t>
  </si>
  <si>
    <t>UnitedStates.P12.1840.giaotiep</t>
  </si>
  <si>
    <t>ALL.giaotiep.P13</t>
  </si>
  <si>
    <t>ALL.P13.1840.giaotiep</t>
  </si>
  <si>
    <t>https://tinyurl.com/P13xALLME</t>
  </si>
  <si>
    <t>ALL.giaotiep.P14</t>
  </si>
  <si>
    <t>ALL.P14.1840.giaotiep</t>
  </si>
  <si>
    <t>ALL.giaotiep.P15</t>
  </si>
  <si>
    <t>ALL.P15.1840.giaotiep</t>
  </si>
  <si>
    <t>https://tinyurl.com/P15xALLMES</t>
  </si>
  <si>
    <t>Japan.giaotiep.M580xM600</t>
  </si>
  <si>
    <t>https://tinyurl.com/M580xM600JPC</t>
  </si>
  <si>
    <t>ALL.giaotiep.M580xM600</t>
  </si>
  <si>
    <t>ALL.M580.1840.giaotiep</t>
  </si>
  <si>
    <t>Europe.giaotiep.M580xM600</t>
  </si>
  <si>
    <t>https://tinyurl.com/M580xM600EUC</t>
  </si>
  <si>
    <t>UnitedStates.giaotiep.M580xM600</t>
  </si>
  <si>
    <t>UnitedStates.M580.1840.giaotiep</t>
  </si>
  <si>
    <t>https://tinyurl.com/M580xM600US</t>
  </si>
  <si>
    <t>Japan.giaotiep.M577xM603</t>
  </si>
  <si>
    <t>Japan.M577.1840.giaotiep</t>
  </si>
  <si>
    <t>https://tinyurl.com/M577xM603JPC</t>
  </si>
  <si>
    <t>UnitedStates.giaotiep.M577xM603</t>
  </si>
  <si>
    <t>UnitedStates.M577.1840.giaotiep</t>
  </si>
  <si>
    <t>https://tinyurl.com/M577xM603USC</t>
  </si>
  <si>
    <t>Europe.giaotiep.M577xM603</t>
  </si>
  <si>
    <t>Europe.M577.1840.giaotiep</t>
  </si>
  <si>
    <t>https://tinyurl.com/M577xM603EUC</t>
  </si>
  <si>
    <t>ALL.giaotiep.M416xM603</t>
  </si>
  <si>
    <t>ALL.M416.1840.giaotiep</t>
  </si>
  <si>
    <t>https://tinyurl.com/M416xM603ALL</t>
  </si>
  <si>
    <t>Europe.giaotiep.M601xM603</t>
  </si>
  <si>
    <t>Europe.M601.1840.giaotiep</t>
  </si>
  <si>
    <t>https://tinyurl.com/M601xM603EUC</t>
  </si>
  <si>
    <t>UnitedStates.giaotiep.M577xM601</t>
  </si>
  <si>
    <t>https://tinyurl.com/M577xM601USC</t>
  </si>
  <si>
    <t>Japan.giaotiep.M562xM578</t>
  </si>
  <si>
    <t>Japan.M562.1840.giaotiep</t>
  </si>
  <si>
    <t>https://tinyurl.com/M562xM578JPC</t>
  </si>
  <si>
    <t>Europe.giaotiep.M562xM578</t>
  </si>
  <si>
    <t>Europe.M562.1840.giaotiep</t>
  </si>
  <si>
    <t>https://tinyurl.com/M562xM578EUC</t>
  </si>
  <si>
    <t>ALL.giaotiep.M562xM578</t>
  </si>
  <si>
    <t>ALL.M562.1840.giaotiep</t>
  </si>
  <si>
    <t>https://tinyurl.com/M562xM578ALLC</t>
  </si>
  <si>
    <t>ALL.giaotiep.M607</t>
  </si>
  <si>
    <t>ALL.M607.1840.giaotiep</t>
  </si>
  <si>
    <t>ALL.giaotiep.P341</t>
  </si>
  <si>
    <t>ALL.P341.1840.giaotiep</t>
  </si>
  <si>
    <t>Japan.giaotiep.M602xM608</t>
  </si>
  <si>
    <t>Japan.M608.1840.giaotiep</t>
  </si>
  <si>
    <t>https://tinyurl.com/M602xM608JPC</t>
  </si>
  <si>
    <t>Europe.giaotiep.M602xM608</t>
  </si>
  <si>
    <t>Europe.M608.1840.giaotiep</t>
  </si>
  <si>
    <t>https://tinyurl.com/M602xM608EUC</t>
  </si>
  <si>
    <t>ALL.giaotiep.M602xM608</t>
  </si>
  <si>
    <t>ALL.M608.1840.giaotiep</t>
  </si>
  <si>
    <t>https://tinyurl.com/M602xM608USMM</t>
  </si>
  <si>
    <t>Europe.giaotiep.M105xM264</t>
  </si>
  <si>
    <t>Europe.M105.1840.giaotiep</t>
  </si>
  <si>
    <t>https://tinyurl.com/M105xM264EUC</t>
  </si>
  <si>
    <t>Japan.giaotiep.M264xJH</t>
  </si>
  <si>
    <t>https://tinyurl.com/M264xJHC</t>
  </si>
  <si>
    <t>ALL.giaotiep.M264xJH</t>
  </si>
  <si>
    <t>ALL.M264.1840.giaotiep</t>
  </si>
  <si>
    <t>https://tinyurl.com/M264xJHAM</t>
  </si>
  <si>
    <t>Europe.giaotiep.M611xM612</t>
  </si>
  <si>
    <t>Europe.M612.1840.giaotiep</t>
  </si>
  <si>
    <t>https://tinyurl.com/M611xM612EUC</t>
  </si>
  <si>
    <t>Japan.giaotiep.M611xM612</t>
  </si>
  <si>
    <t>Japan.M612.1840.giaotiep</t>
  </si>
  <si>
    <t>https://tinyurl.com/M611xM612JPC</t>
  </si>
  <si>
    <t>ALL.giaotiep.M611xM612</t>
  </si>
  <si>
    <t>ALL.M612.1840.giaotiep</t>
  </si>
  <si>
    <t>https://tinyurl.com/M611xM612ALLC</t>
  </si>
  <si>
    <t>Europe.giaotiep.M613xM614</t>
  </si>
  <si>
    <t>Europe.M613.1840.giaotiep</t>
  </si>
  <si>
    <t>https://tinyurl.com/M613xM614EUC</t>
  </si>
  <si>
    <t>Japan.giaotiep.M613xM614</t>
  </si>
  <si>
    <t>Japan.M613.1840.giaotiep</t>
  </si>
  <si>
    <t>https://tinyurl.com/M613xM614JPC</t>
  </si>
  <si>
    <t>ALL.giaotiep.M613xM614</t>
  </si>
  <si>
    <t>ALL.M613.1840.giaotiep</t>
  </si>
  <si>
    <t>https://tinyurl.com/M613xM614ALLM</t>
  </si>
  <si>
    <t>Europe.giaotiep.M618xM619</t>
  </si>
  <si>
    <t>Europe.M618.1840.giaotiep</t>
  </si>
  <si>
    <t>https://tinyurl.com/M618xM619EUC</t>
  </si>
  <si>
    <t>Japan.giaotiep.M618xM619</t>
  </si>
  <si>
    <t>Japan.M618.1840.giaotiep</t>
  </si>
  <si>
    <t>https://tinyurl.com/M618xM619JPC</t>
  </si>
  <si>
    <t>ALL.giaotiep.M618xM619</t>
  </si>
  <si>
    <t>ALL.M618.1840.giaotiep</t>
  </si>
  <si>
    <t>https://tinyurl.com/M618xM619ALLM</t>
  </si>
  <si>
    <t>Europe.giaotiep.M624xM625</t>
  </si>
  <si>
    <t>Europe.M624.1840.giaotiep</t>
  </si>
  <si>
    <t>https://tinyurl.com/M624xM625EUC</t>
  </si>
  <si>
    <t>Japan.giaotiep.M624xM625</t>
  </si>
  <si>
    <t>Japan.M624.1840.giaotiep</t>
  </si>
  <si>
    <t>https://tinyurl.com/M624xM625JP</t>
  </si>
  <si>
    <t>ALL.giaotiep.M624xM625</t>
  </si>
  <si>
    <t>ALL.M624.1840.giaotiep</t>
  </si>
  <si>
    <t>https://tinyurl.com/M624xM625ALLM</t>
  </si>
  <si>
    <t>Europe.giaotiep.M626xM629</t>
  </si>
  <si>
    <t>https://tinyurl.com/M626xM629EEUC</t>
  </si>
  <si>
    <t>Japan.giaotiep.M626xM629</t>
  </si>
  <si>
    <t>Japan.M626.1840.giaotiep</t>
  </si>
  <si>
    <t>https://tinyurl.com/M626xM629EUC</t>
  </si>
  <si>
    <t>ALL.giaotiep.M626xM629</t>
  </si>
  <si>
    <t>ALL.M626.1840.giaotiep</t>
  </si>
  <si>
    <t>https://tinyurl.com/M626xM629ALLM</t>
  </si>
  <si>
    <t>Europe.giaotiep.M627xM628</t>
  </si>
  <si>
    <t>Europe.M627.1840.giaotiep</t>
  </si>
  <si>
    <t>https://tinyurl.com/M627xM628EUC</t>
  </si>
  <si>
    <t>Japan.giaotiep.M627xM628</t>
  </si>
  <si>
    <t>Japan.M627.1840.giaotiep</t>
  </si>
  <si>
    <t>https://tinyurl.com/M627xM628JPC</t>
  </si>
  <si>
    <t>ALL.giaotiep.M627xM628</t>
  </si>
  <si>
    <t>ALL.M627.1840.giaotiep</t>
  </si>
  <si>
    <t>https://tinyurl.com/M627xM628ALLM</t>
  </si>
  <si>
    <t>Europe.giaotiep.M622xM630</t>
  </si>
  <si>
    <t>Europe.M630.1840.giaotiep</t>
  </si>
  <si>
    <t>https://tinyurl.com/M622xM630EUC</t>
  </si>
  <si>
    <t>Japan.giaotiep.M622xM630</t>
  </si>
  <si>
    <t>Japan.M630.1840.giaotiep</t>
  </si>
  <si>
    <t>https://tinyurl.com/M622xM630JPC</t>
  </si>
  <si>
    <t>ALL.giaotiep.M622xM630</t>
  </si>
  <si>
    <t>ALL.M630.1840.giaotiep</t>
  </si>
  <si>
    <t>https://tinyurl.com/M622xM630ALLM</t>
  </si>
  <si>
    <t>Europe.giaotiep.M631xM634</t>
  </si>
  <si>
    <t>https://tinyurl.com/M631xM634EUC</t>
  </si>
  <si>
    <t>Japan.giaotiep.M631xM634</t>
  </si>
  <si>
    <t>Japan.M631.1840.giaotiep</t>
  </si>
  <si>
    <t>https://tinyurl.com/M631xM634JPC</t>
  </si>
  <si>
    <t>ALL.giaotiep.M631xM634</t>
  </si>
  <si>
    <t>ALL.M631.1840.giaotiep</t>
  </si>
  <si>
    <t>https://tinyurl.com/M631xM634ALLM</t>
  </si>
  <si>
    <t>Europe.giaotiep.M633xM637</t>
  </si>
  <si>
    <t>Europe.M633.1840.giaotiep</t>
  </si>
  <si>
    <t>https://tinyurl.com/M633xM637EUC</t>
  </si>
  <si>
    <t>Japan.giaotiep.M633xM637</t>
  </si>
  <si>
    <t>Japan.M633.1840.giaotiep</t>
  </si>
  <si>
    <t>https://tinyurl.com/M633xM637JPC</t>
  </si>
  <si>
    <t>ALL.giaotiep.M633xM637</t>
  </si>
  <si>
    <t>ALL.M633.1840.giaotiep</t>
  </si>
  <si>
    <t>https://tinyurl.com/M633xM637ALLM</t>
  </si>
  <si>
    <t>Europe.giaotiep.M636xM638</t>
  </si>
  <si>
    <t>Europe.M636.1840.giaotiep</t>
  </si>
  <si>
    <t>https://tinyurl.com/M636xM639EUC</t>
  </si>
  <si>
    <t>Japan.giaotiep.M636xM638</t>
  </si>
  <si>
    <t>Japan.M636.1840.giaotiep</t>
  </si>
  <si>
    <t>https://tinyurl.com/M636xM638JPC</t>
  </si>
  <si>
    <t>ALL.giaotiep.M636xM638</t>
  </si>
  <si>
    <t>ALL.M636.1840.giaotiep</t>
  </si>
  <si>
    <t>https://tinyurl.com/M636xM638ALLM</t>
  </si>
  <si>
    <t>Europe.giaotiep.M632xM640</t>
  </si>
  <si>
    <t>https://tinyurl.com/M632xM640EUC</t>
  </si>
  <si>
    <t>Japan.giaotiep.M632xM640</t>
  </si>
  <si>
    <t>https://tinyurl.com/M632xM640JPC</t>
  </si>
  <si>
    <t>ALL.giaotiep.M632xM640</t>
  </si>
  <si>
    <t>ALL.M632.1840.giaotiep</t>
  </si>
  <si>
    <t>https://tinyurl.com/M632xM640ALLM</t>
  </si>
  <si>
    <t>Europe.giaotiep.M646xM647</t>
  </si>
  <si>
    <t>Europe.M646.1840.giaotiep</t>
  </si>
  <si>
    <t>https://tinyurl.com/M646xM647EUC</t>
  </si>
  <si>
    <t>Japan.giaotiep.M646xM647</t>
  </si>
  <si>
    <t>Japan.M646.1840.giaotiep</t>
  </si>
  <si>
    <t>https://tinyurl.com/M646xM647JPC</t>
  </si>
  <si>
    <t>ALL.giaotiep.M646xM647</t>
  </si>
  <si>
    <t>ALL.M646.1840.giaotiep</t>
  </si>
  <si>
    <t>https://tinyurl.com/M646xM647ALLM</t>
  </si>
  <si>
    <t>Europe.giaotiep.M635xM643</t>
  </si>
  <si>
    <t>https://tinyurl.com/M635xM643EUC</t>
  </si>
  <si>
    <t>Japan.giaotiep.M635xM643</t>
  </si>
  <si>
    <t>Japan.M635.1840.giaotiep</t>
  </si>
  <si>
    <t>https://tinyurl.com/M635xM643JPC</t>
  </si>
  <si>
    <t>ALL.giaotiep.M635xM643</t>
  </si>
  <si>
    <t>ALL.M635.1840.giaotiep</t>
  </si>
  <si>
    <t>https://tinyurl.com/M635xM643ALLM</t>
  </si>
  <si>
    <t>Europe.giaotiep.M644xM645</t>
  </si>
  <si>
    <t>Europe.M644.1840.giaotiep</t>
  </si>
  <si>
    <t>https://tinyurl.com/M644xM645EUC</t>
  </si>
  <si>
    <t>Japan.giaotiep.M644xM645</t>
  </si>
  <si>
    <t>Japan.M644.1840.giaotiep</t>
  </si>
  <si>
    <t>https://tinyurl.com/M644xM645JPC</t>
  </si>
  <si>
    <t>ALL.giaotiep.M644xM645</t>
  </si>
  <si>
    <t>ALL.M644.1840.giaotiep</t>
  </si>
  <si>
    <t>https://tinyurl.com/M644xM645ALLM</t>
  </si>
  <si>
    <t>Europe.giaotiep.M648xM650</t>
  </si>
  <si>
    <t>Europe.M648.1840.giaotiep</t>
  </si>
  <si>
    <t>https://tinyurl.com/M648xM650EUC</t>
  </si>
  <si>
    <t>ALL.giaotiep.M648xM650</t>
  </si>
  <si>
    <t>ALL.M648.1840.giaotiep</t>
  </si>
  <si>
    <t>https://tinyurl.com/M648xM650ALLM</t>
  </si>
  <si>
    <t>UnitedStates.giaotiep.M648xM650</t>
  </si>
  <si>
    <t>UnitedStates.M648xM650.1840.giaotiep</t>
  </si>
  <si>
    <t>https://tinyurl.com/M648xM650USM</t>
  </si>
  <si>
    <t>Japan.giaotiep.M648xM651</t>
  </si>
  <si>
    <t>Japan.M648.1840.giaotiep</t>
  </si>
  <si>
    <t>https://tinyurl.com/M648xM651JPC</t>
  </si>
  <si>
    <t>https://tinyurl.com/M644JPC</t>
  </si>
  <si>
    <t>https://tinyurl.com/M635JPC</t>
  </si>
  <si>
    <t>https://tinyurl.com/M646EUC</t>
  </si>
  <si>
    <t>https://tinyurl.com/M636JPC</t>
  </si>
  <si>
    <t>https://tinyurl.com/M626EUCV</t>
  </si>
  <si>
    <t>https://tinyurl.com/M632EUC</t>
  </si>
  <si>
    <t>ALL.giaotiep.M661xM663</t>
  </si>
  <si>
    <t>ALL.M663.1840.giaotiep</t>
  </si>
  <si>
    <t>https://tinyurl.com/M661xM663ALLM</t>
  </si>
  <si>
    <t>Japan.giaotiep.M660xM663</t>
  </si>
  <si>
    <t>Japan.M663.1840.giaotiep</t>
  </si>
  <si>
    <t>https://tinyurl.com/M660xM663JPC</t>
  </si>
  <si>
    <t>Europe.giaotiep.M661xM663</t>
  </si>
  <si>
    <t>Europe.M663.1840.giaotiep</t>
  </si>
  <si>
    <t>https://tinyurl.com/M661xM663EUC</t>
  </si>
  <si>
    <t>UnitedStates.giaotiep.M662xM663</t>
  </si>
  <si>
    <t>UnitedStates.M662.1840.giaotiep</t>
  </si>
  <si>
    <t>https://tinyurl.com/M662xM663USM</t>
  </si>
  <si>
    <t>Japan.giaotiep.M661xM664</t>
  </si>
  <si>
    <t>Japan.M661.1840.giaotiep</t>
  </si>
  <si>
    <t>https://tinyurl.com/M661xM664JPC</t>
  </si>
  <si>
    <t>Europe.giaotiep.M666xM668</t>
  </si>
  <si>
    <t>Europe.M666.1840.giaotiep</t>
  </si>
  <si>
    <t>https://tinyurl.com/M666xM668EUC</t>
  </si>
  <si>
    <t>Japan.giaotiep.M666xM668</t>
  </si>
  <si>
    <t>Japan.M666.1840.giaotiep</t>
  </si>
  <si>
    <t>https://tinyurl.com/M666xM668JPC</t>
  </si>
  <si>
    <t>ALL.giaotiep.M666xM668</t>
  </si>
  <si>
    <t>ALL.M666.1840.giaotiep</t>
  </si>
  <si>
    <t>https://tinyurl.com/M666xM668ALL</t>
  </si>
  <si>
    <t>Europe.giaotiep.M658xM659</t>
  </si>
  <si>
    <t>https://tinyurl.com/M658xM659EUC</t>
  </si>
  <si>
    <t>Europe.giaotiep.M657xM683</t>
  </si>
  <si>
    <t>Europe.M657.1840.giaotiep</t>
  </si>
  <si>
    <t>https://tinyurl.com/M657xM683EUC</t>
  </si>
  <si>
    <t>Japan.giaotiep.M657xM683</t>
  </si>
  <si>
    <t>Japan.M657.1840.giaotiep</t>
  </si>
  <si>
    <t>https://tinyurl.com/M657xM683JPC</t>
  </si>
  <si>
    <t>ALL.giaotiep.M658xM659</t>
  </si>
  <si>
    <t>ALL.M658.1840.giaotiep</t>
  </si>
  <si>
    <t>https://tinyurl.com/M658xM659ALLM</t>
  </si>
  <si>
    <t>ALL.giaotiep.M657xM683</t>
  </si>
  <si>
    <t>ALL.M657.1840.giaotiep</t>
  </si>
  <si>
    <t>https://tinyurl.com/M657xM683ALLM</t>
  </si>
  <si>
    <t>Japan.giaotiep.M658xM659</t>
  </si>
  <si>
    <t>https://tinyurl.com/M658xM659JPC</t>
  </si>
  <si>
    <t>UnitedStates.giaotiep.M657xM683</t>
  </si>
  <si>
    <t>UnitedStates.M657.1840.giaotiep</t>
  </si>
  <si>
    <t>https://tinyurl.com/M657xM683USM</t>
  </si>
  <si>
    <t>Japan.giaotiep.M652xM655</t>
  </si>
  <si>
    <t>https://tinyurl.com/M652xM655JPC</t>
  </si>
  <si>
    <t>Europe.giaotiep.M652xM655</t>
  </si>
  <si>
    <t>https://tinyurl.com/M652xM655EUC</t>
  </si>
  <si>
    <t>Japan.giaotiep.M654xM656</t>
  </si>
  <si>
    <t>Japan.M654.1840.giaotiep</t>
  </si>
  <si>
    <t>https://tinyurl.com/M654xM656JPC</t>
  </si>
  <si>
    <t>Europe.giaotiep.M654xM656</t>
  </si>
  <si>
    <t>Europe.M654.1840.giaotiep</t>
  </si>
  <si>
    <t>https://tinyurl.com/M654xM656EUC</t>
  </si>
  <si>
    <t>Europe.giaotiep.M679xM680</t>
  </si>
  <si>
    <t>Europe.M679.1840.giaotiep</t>
  </si>
  <si>
    <t>https://tinyurl.com/M679xM680EUC</t>
  </si>
  <si>
    <t>Europe.giaotiep.M675xM676</t>
  </si>
  <si>
    <t>Europe.M675.1840.giaotiep</t>
  </si>
  <si>
    <t>https://tinyurl.com/M675xM676EUC</t>
  </si>
  <si>
    <t>Japan.giaotiep.M679xM680</t>
  </si>
  <si>
    <t>https://tinyurl.com/M679xM680JPC</t>
  </si>
  <si>
    <t>Japan.giaotiep.M675xM676</t>
  </si>
  <si>
    <t>Japan.M675.1840.giaotiep</t>
  </si>
  <si>
    <t>https://tinyurl.com/M675xM676JPC</t>
  </si>
  <si>
    <t>Europe.giaotiep.M684xM695</t>
  </si>
  <si>
    <t>Europe.M684.1840.giaotiep</t>
  </si>
  <si>
    <t>https://tinyurl.com/M684xM695EUC</t>
  </si>
  <si>
    <t>Japan.giaotiep.M684xM695</t>
  </si>
  <si>
    <t>Japan.M684.1840.giaotiep</t>
  </si>
  <si>
    <t>https://tinyurl.com/M684xM695JPC</t>
  </si>
  <si>
    <t>Europe.giaotiep.M677xM678</t>
  </si>
  <si>
    <t>Europe.M677.1840.giaotiep</t>
  </si>
  <si>
    <t>https://tinyurl.com/M677xM678EUC</t>
  </si>
  <si>
    <t>Japan.giaotiep.M677xM678</t>
  </si>
  <si>
    <t>Japan.M677.1840.giaotiep</t>
  </si>
  <si>
    <t>https://tinyurl.com/M677xM678JPC</t>
  </si>
  <si>
    <t>Europe.giaotiep.M681xM682</t>
  </si>
  <si>
    <t>Europe.M681.1840.giaotiep</t>
  </si>
  <si>
    <t>https://tinyurl.com/M681xM682EUC</t>
  </si>
  <si>
    <t>ALL.giaotiep.organic</t>
  </si>
  <si>
    <t>ALL.organic.1840.giaotiep</t>
  </si>
  <si>
    <t>Japan.giaotiep.M696xM698</t>
  </si>
  <si>
    <t>Japan.M696.1840.giaotiep</t>
  </si>
  <si>
    <t>https://tinyurl.com/M696xM698JPC</t>
  </si>
  <si>
    <t>Europe.giaotiep.M696xM698</t>
  </si>
  <si>
    <t>Europe.M696.1840.giaotiep</t>
  </si>
  <si>
    <t>https://tinyurl.com/M696xM698EUC</t>
  </si>
  <si>
    <t>ALL.giaotiep.M696xM698</t>
  </si>
  <si>
    <t>ALL.M696.1840.giaotiep</t>
  </si>
  <si>
    <t>https://tinyurl.com/M696xM698ALLM</t>
  </si>
  <si>
    <t>Japan.giaotiep.M701xM702</t>
  </si>
  <si>
    <t>Japan.M701.1840.giaotiep</t>
  </si>
  <si>
    <t>https://tinyurl.com/M701xM702JPC</t>
  </si>
  <si>
    <t>Europe.giaotiep.M701xM702</t>
  </si>
  <si>
    <t>Europe.M701.1840.giaotiep</t>
  </si>
  <si>
    <t>https://tinyurl.com/M701xM702EUC</t>
  </si>
  <si>
    <t>Europe.giaotiep.M704xM706</t>
  </si>
  <si>
    <t>Europe.M704.1840.giaotiep</t>
  </si>
  <si>
    <t>https://tinyurl.com/M704xM706EUC</t>
  </si>
  <si>
    <t>Japan.giaotiep.M704xM707</t>
  </si>
  <si>
    <t>Japan.M704.1840.giaotiep</t>
  </si>
  <si>
    <t>https://tinyurl.com/M704xM707JPC</t>
  </si>
  <si>
    <t>ALL.giaotiep.M701xM702</t>
  </si>
  <si>
    <t>ALL.M701.1840.giaotiep</t>
  </si>
  <si>
    <t>https://tinyurl.com/M701xM702ALLM</t>
  </si>
  <si>
    <t>Europe.giaotiep.M705xM711</t>
  </si>
  <si>
    <t>Europe.M705.1840.giaotiep</t>
  </si>
  <si>
    <t>https://tinyurl.com/M705xM711EUC</t>
  </si>
  <si>
    <t>https://tinyurl.com/M677xEUC</t>
  </si>
  <si>
    <t>https://tinyurl.com/M701xEUC</t>
  </si>
  <si>
    <t>https://tinyurl.com/M704xEUC</t>
  </si>
  <si>
    <t>https://tinyurl.com/M701xJPC</t>
  </si>
  <si>
    <t>https://tinyurl.com/M407xJPC</t>
  </si>
  <si>
    <t>https://tinyurl.com/M677xJPC</t>
  </si>
  <si>
    <t>ALL.giaotiep.M677xM678</t>
  </si>
  <si>
    <t>ALL.M677.1840.giaotiep</t>
  </si>
  <si>
    <t>https://tinyurl.com/M677ALLM</t>
  </si>
  <si>
    <t>https://tinyurl.com/M704xJPC</t>
  </si>
  <si>
    <t>Europe.giaotiep.M692xM693</t>
  </si>
  <si>
    <t>Europe.M692.1840.giaotiep</t>
  </si>
  <si>
    <t>https://tinyurl.com/M692xM693EUC</t>
  </si>
  <si>
    <t>Europe.giaotiep.M713xM715</t>
  </si>
  <si>
    <t>Europe.M713.1840.giaotiep</t>
  </si>
  <si>
    <t>https://tinyurl.com/M713xM715EUC</t>
  </si>
  <si>
    <t>Europe.giaotiep.M708xM712</t>
  </si>
  <si>
    <t>Europe.M708.1840.giaotiep</t>
  </si>
  <si>
    <t>https://tinyurl.com/M708xM712EUC</t>
  </si>
  <si>
    <t>Europe.giaotiep.M700xM710</t>
  </si>
  <si>
    <t>Europe.M700.1840.giaotiep</t>
  </si>
  <si>
    <t>https://tinyurl.com/M700xM710EUC</t>
  </si>
  <si>
    <t>ALL.giaotiep.M708xM712</t>
  </si>
  <si>
    <t>ALL.M708.1840.giaotiep</t>
  </si>
  <si>
    <t>https://tinyurl.com/M708xM712ALLM</t>
  </si>
  <si>
    <t>https://tinyurl.com/M692xEUC</t>
  </si>
  <si>
    <t>Europe.giaotiep.M718xM719</t>
  </si>
  <si>
    <t>Europe.M718.1840.giaotiep</t>
  </si>
  <si>
    <t>https://tinyurl.com/M718xM719EUC</t>
  </si>
  <si>
    <t>Europe.giaotiep.M717xM720</t>
  </si>
  <si>
    <t>Europe.M717.1840.giaotiep</t>
  </si>
  <si>
    <t>https://tinyurl.com/M717xM720EUC</t>
  </si>
  <si>
    <t>https://tinyurl.com/M718EUCV</t>
  </si>
  <si>
    <t>https://tinyurl.com/M713xEUCV</t>
  </si>
  <si>
    <t>Europe.giaotiep.M722xM727</t>
  </si>
  <si>
    <t>Europe.M722.1840.giaotiep</t>
  </si>
  <si>
    <t>https://tinyurl.com/M722xM727EUC</t>
  </si>
  <si>
    <t>ALL.giaotiep.M727</t>
  </si>
  <si>
    <t>ALL.M727.1840.giaotiep</t>
  </si>
  <si>
    <t>https://tinyurl.com/M727ALLM</t>
  </si>
  <si>
    <t>Japan.giaotiep.M721xM722</t>
  </si>
  <si>
    <t>Japan.M721.1840.giaotiep</t>
  </si>
  <si>
    <t>https://tinyurl.com/M721xM722JPC</t>
  </si>
  <si>
    <t>Japan.giaotiep.M716xM726</t>
  </si>
  <si>
    <t>https://tinyurl.com/M716xM726JPC</t>
  </si>
  <si>
    <t>Europe.giaotiep.M728xM731</t>
  </si>
  <si>
    <t>https://tinyurl.com/M728xM731EUC</t>
  </si>
  <si>
    <t>Japan.giaotiep.M730xM731</t>
  </si>
  <si>
    <t>Japan.M730.1840.giaotiep</t>
  </si>
  <si>
    <t>https://tinyurl.com/M730xM731JPC</t>
  </si>
  <si>
    <t>https://tinyurl.com/M692EUCV</t>
  </si>
  <si>
    <t>Japan.giaotiep.M732xM735</t>
  </si>
  <si>
    <t>Japan.M732.1840.giaotiep</t>
  </si>
  <si>
    <t>https://tinyurl.com/M732xM735JPC</t>
  </si>
  <si>
    <t>Europe.giaotiep.M732xM733</t>
  </si>
  <si>
    <t>Europe.M732.1840.giaotiep</t>
  </si>
  <si>
    <t>https://tinyurl.com/M732xM733EUC</t>
  </si>
  <si>
    <t>Japan.giaotiep.M733xM736</t>
  </si>
  <si>
    <t>Japan.M733.1840.giaotiep</t>
  </si>
  <si>
    <t>https://tinyurl.com/M733xM736JPC</t>
  </si>
  <si>
    <t>Europe.giaotiep.M738xM741</t>
  </si>
  <si>
    <t>Europe.M738.1840.giaotiep</t>
  </si>
  <si>
    <t>https://tinyurl.com/M738xM741EUC</t>
  </si>
  <si>
    <t>Japan.giaotiep.M738xM741</t>
  </si>
  <si>
    <t>Japan.M738.1840.giaotiep</t>
  </si>
  <si>
    <t>https://tinyurl.com/M738xM741JPC</t>
  </si>
  <si>
    <t>ALL.giaotiep.M732xM733</t>
  </si>
  <si>
    <t>ALL.M732.1840.giaotiep</t>
  </si>
  <si>
    <t>https://tinyurl.com/M732xM733ALLM</t>
  </si>
  <si>
    <t>Europe.giaotiep.M740xM743</t>
  </si>
  <si>
    <t>Europe.M740.1840.giaotiep</t>
  </si>
  <si>
    <t>https://tinyurl.com/M740xM743EUC</t>
  </si>
  <si>
    <t>Japan.giaotiep.M743xM744</t>
  </si>
  <si>
    <t>Japan.M743.1840.giaotiep</t>
  </si>
  <si>
    <t>https://tinyurl.com/M743xM744JPC</t>
  </si>
  <si>
    <t>ALL.giaotiep.M743xM744</t>
  </si>
  <si>
    <t>ALL.M743.1840.giaotiep</t>
  </si>
  <si>
    <t>https://tinyurl.com/M743xM744ALLM</t>
  </si>
  <si>
    <t>Europe.giaotiep.M750xM751</t>
  </si>
  <si>
    <t>Europe.M750.1840.giaotiep</t>
  </si>
  <si>
    <t>https://tinyurl.com/M750xM751EUC</t>
  </si>
  <si>
    <t>Japan.giaotiep.M750xM751</t>
  </si>
  <si>
    <t>Japan.M750.1840.giaotiep</t>
  </si>
  <si>
    <t>https://tinyurl.com/M750xM751JPC</t>
  </si>
  <si>
    <t>Japan.giaotiep.M757xM760</t>
  </si>
  <si>
    <t>Japan.M757.1840.giaotiep</t>
  </si>
  <si>
    <t>https://tinyurl.com/M757xM760JPC</t>
  </si>
  <si>
    <t>Japan.giaotiep.M761xM762</t>
  </si>
  <si>
    <t>Japan.M761.1840.giaotiep</t>
  </si>
  <si>
    <t>https://tinyurl.com/M761xM762JPC</t>
  </si>
  <si>
    <t>Europe.giaotiep.M757xM760</t>
  </si>
  <si>
    <t>Europe.M757.1840.giaotiep</t>
  </si>
  <si>
    <t>https://tinyurl.com/M757xM760EUC</t>
  </si>
  <si>
    <t>Europe.giaotiep.M761xM762</t>
  </si>
  <si>
    <t>Europe.M761.1840.giaotiep</t>
  </si>
  <si>
    <t>https://tinyurl.com/M761xM762EUC</t>
  </si>
  <si>
    <t>ALL.giaotiep.M761xM762</t>
  </si>
  <si>
    <t>ALL.M761.1840.giaotiep</t>
  </si>
  <si>
    <t>https://tinyurl.com/M761xM762ALLM</t>
  </si>
  <si>
    <t>ALL.giaotiep.M765xM766</t>
  </si>
  <si>
    <t>ALL.M765.1840.giaotiep</t>
  </si>
  <si>
    <t>https://tinyurl.com/M765ALLM</t>
  </si>
  <si>
    <t>Europe.giaotiep.M765xM766</t>
  </si>
  <si>
    <t>Europe.M765.1840.giaotiep</t>
  </si>
  <si>
    <t>https://tinyurl.com/M765xM766EUC</t>
  </si>
  <si>
    <t>https://tinyurl.com/M761xM762JP</t>
  </si>
  <si>
    <t>Europe.giaotiep.M745xM746</t>
  </si>
  <si>
    <t>Europe.M745.1840.giaotiep</t>
  </si>
  <si>
    <t>https://tinyurl.com/M745xM746EUC</t>
  </si>
  <si>
    <t>Japan.giaotiep.M745xM746</t>
  </si>
  <si>
    <t>Japan.M745.1840.giaotiep</t>
  </si>
  <si>
    <t>https://tinyurl.com/M745xM746JP</t>
  </si>
  <si>
    <t>ALL.giaotiep.M745xM746</t>
  </si>
  <si>
    <t>ALL.M745.1840.giaotiep</t>
  </si>
  <si>
    <t>https://tinyurl.com/M745xM746ALLM</t>
  </si>
  <si>
    <t>Europe.giaotiep.M748xM749</t>
  </si>
  <si>
    <t>Europe.M748.1840.giaotiep</t>
  </si>
  <si>
    <t>https://tinyurl.com/M748xM749EUC</t>
  </si>
  <si>
    <t>Japan.giaotiep.M748xM749</t>
  </si>
  <si>
    <t>Japan.M748.1840.giaotiep</t>
  </si>
  <si>
    <t>https://tinyurl.com/M748xM749JPC</t>
  </si>
  <si>
    <t>ALL.giaotiep.M748xM749</t>
  </si>
  <si>
    <t>ALL.M748.1840.giaotiep</t>
  </si>
  <si>
    <t>https://tinyurl.com/M748xM749ALLM</t>
  </si>
  <si>
    <t>Europe.giaotiep.M764xM765</t>
  </si>
  <si>
    <t>Europe.M764.1840.giaotiep</t>
  </si>
  <si>
    <t>https://tinyurl.com/M764xM765EUC</t>
  </si>
  <si>
    <t>Japan.giaotiep.M764xM765</t>
  </si>
  <si>
    <t>Japan.M764.1840.giaotiep</t>
  </si>
  <si>
    <t>https://tinyurl.com/M764xM765JPC</t>
  </si>
  <si>
    <t>ALL.giaotiep.M764xM765</t>
  </si>
  <si>
    <t>ALL.M764.1840.giaotiep</t>
  </si>
  <si>
    <t>https://tinyurl.com/M764xM765AM</t>
  </si>
  <si>
    <t>Japan.giaotiep.M767xM768</t>
  </si>
  <si>
    <t>Japan.M767.1840.giaotiep</t>
  </si>
  <si>
    <t>https://tinyurl.com/M767xM768JP</t>
  </si>
  <si>
    <t>Europe.giaotiep.M767xM768</t>
  </si>
  <si>
    <t>Europe.M767.1840.giaotiep</t>
  </si>
  <si>
    <t>https://tinyurl.com/M767xM768EUC</t>
  </si>
  <si>
    <t>ALL.giaotiep.M767xM768</t>
  </si>
  <si>
    <t>ALL.M767.1840.giaotiep</t>
  </si>
  <si>
    <t>https://tinyurl.com/M767xM768ALLM</t>
  </si>
  <si>
    <t>Japan.giaotiep.M769xM770</t>
  </si>
  <si>
    <t>Japan.M769.1840.giaotiep</t>
  </si>
  <si>
    <t>https://tinyurl.com/M769xM770JPC</t>
  </si>
  <si>
    <t>Europe.giaotiep.M769xM770</t>
  </si>
  <si>
    <t>Europe.M769.1840.giaotiep</t>
  </si>
  <si>
    <t>https://tinyurl.com/M769xM770EUC</t>
  </si>
  <si>
    <t>ALL.giaotiep.M769xM770</t>
  </si>
  <si>
    <t>ALL.M769.1840.giaotiep</t>
  </si>
  <si>
    <t>https://tinyurl.com/M769xALLM</t>
  </si>
  <si>
    <t>Japan.giaotiep.M771xM772</t>
  </si>
  <si>
    <t>Japan.M771.1840.giaotiep</t>
  </si>
  <si>
    <t>https://tinyurl.com/M771JPC</t>
  </si>
  <si>
    <t>Europe.giaotiep.M771xM772</t>
  </si>
  <si>
    <t>Europe.M771.1840.giaotiep</t>
  </si>
  <si>
    <t>https://tinyurl.com/M771xM772EUC</t>
  </si>
  <si>
    <t>ALL.giaotiep.M771xM772</t>
  </si>
  <si>
    <t>ALL.M771.1840.giaotiep</t>
  </si>
  <si>
    <t>https://tinyurl.com/M771xM772ALLM</t>
  </si>
  <si>
    <t>Europe.giaotiep.M775xM776</t>
  </si>
  <si>
    <t>Europe.M775.1840.giaotiep</t>
  </si>
  <si>
    <t>https://tinyurl.com/M775xM776EUC</t>
  </si>
  <si>
    <t>Europe.giaotiep.M777xM778</t>
  </si>
  <si>
    <t>Europe.M777.1840.giaotiep</t>
  </si>
  <si>
    <t>https://tinyurl.com/M777xM778EUC</t>
  </si>
  <si>
    <t>Japan.giaotiep.M775xM776</t>
  </si>
  <si>
    <t>Japan.M775.1840.giaotiep</t>
  </si>
  <si>
    <t>Japan.giaotiep.M817xM818</t>
  </si>
  <si>
    <t>Japan.M817.1840.giaotiep</t>
  </si>
  <si>
    <t>https://tinyurl.com/M817xM818JPC</t>
  </si>
  <si>
    <t>ALL.giaotiep.M817xM818</t>
  </si>
  <si>
    <t>ALL.M817.1840.giaotiep</t>
  </si>
  <si>
    <t>https://tinyurl.com/M817ALLC</t>
  </si>
  <si>
    <t>Taiwan.giaotiep.M779xM784</t>
  </si>
  <si>
    <t>Taiwan.M779.1840.giaotiep</t>
  </si>
  <si>
    <t>https://tinyurl.com/M779TWM</t>
  </si>
  <si>
    <t>KoreaSouth.giaotiep.M779xM784</t>
  </si>
  <si>
    <t>KoreaSouth.M779.1840.giaotiep</t>
  </si>
  <si>
    <t>https://tinyurl.com/M779xM784KRM</t>
  </si>
  <si>
    <t>UnitedStates.giaotiep.M779xM784</t>
  </si>
  <si>
    <t>UnitedStates.M779.1840.giaotiep</t>
  </si>
  <si>
    <t>ALL.giaotiep.M780xM781</t>
  </si>
  <si>
    <t>ALL.M780.1840.giaotiep</t>
  </si>
  <si>
    <t>Europe.giaotiep.M780xM781</t>
  </si>
  <si>
    <t>Europe.M780.1840.giaotiep</t>
  </si>
  <si>
    <t>Japan.giaotiep.M780xM781</t>
  </si>
  <si>
    <t>Japan.M780.1840.giaotiep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</si>
</sst>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mmyy"/>
    <numFmt numFmtId="165" formatCode="yyyy-mm-dd"/>
    <numFmt numFmtId="166" formatCode="m/d/yyyy"/>
    <numFmt numFmtId="167" formatCode="#,##0\ [$đ-42A]"/>
  </numFmts>
  <fonts count="103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>
      <b/>
      <color rgb="FFFFFF00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</font>
    <font>
      <u/>
      <color rgb="FF1155CC"/>
    </font>
    <font>
      <u/>
      <color rgb="FF0000FF"/>
    </font>
    <font>
      <u/>
      <color rgb="FF0000FF"/>
      <name val="Arial"/>
    </font>
    <font>
      <u/>
      <color rgb="FF0000FF"/>
    </font>
    <font>
      <u/>
      <color rgb="FF1155CC"/>
      <name val="Arial"/>
      <scheme val="minor"/>
    </font>
    <font>
      <u/>
      <color rgb="FF0000FF"/>
    </font>
    <font>
      <u/>
      <color rgb="FF1155CC"/>
    </font>
    <font>
      <u/>
      <color rgb="FF0000FF"/>
    </font>
    <font>
      <color rgb="FF000000"/>
      <name val="Arial"/>
    </font>
    <font>
      <u/>
      <color rgb="FF1155CC"/>
      <name val="Arial"/>
    </font>
    <font>
      <b/>
      <color rgb="FF000000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sz val="9.0"/>
      <color rgb="FF212A34"/>
      <name val="Roboto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/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1155CC"/>
    </font>
    <font>
      <u/>
      <color rgb="FF0000FF"/>
    </font>
    <font>
      <u/>
      <color rgb="FF1155CC"/>
    </font>
    <font>
      <u/>
      <color rgb="FF0000FF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sz val="11.0"/>
      <color rgb="FF1C1E21"/>
      <name val="Roboto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FFFFFF"/>
      <name val="Arial"/>
      <scheme val="minor"/>
    </font>
    <font>
      <u/>
      <color rgb="FFFFFFFF"/>
    </font>
    <font>
      <u/>
      <sz val="9.0"/>
      <color rgb="FF212A34"/>
      <name val="Roboto"/>
    </font>
    <font>
      <u/>
      <color rgb="FF0000FF"/>
    </font>
    <font>
      <u/>
      <color rgb="FF0000FF"/>
    </font>
    <font>
      <u/>
      <sz val="9.0"/>
      <color rgb="FF0000FF"/>
      <name val="Roboto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color rgb="FF0000FF"/>
    </font>
    <font>
      <color rgb="FF1A1A1A"/>
      <name val="Arial"/>
    </font>
    <font>
      <sz val="11.0"/>
      <color rgb="FF333333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  <font>
      <sz val="9.0"/>
      <color theme="1"/>
      <name val="Roboto"/>
    </font>
    <font>
      <u/>
      <sz val="9.0"/>
      <color rgb="FF1155CC"/>
      <name val="Roboto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rgb="FF000000"/>
      <name val="Roboto"/>
    </font>
    <font>
      <b/>
      <sz val="11.0"/>
      <color rgb="FFFFFFFF"/>
      <name val="Arial"/>
    </font>
    <font>
      <b/>
      <color rgb="FFFFFFFF"/>
      <name val="Arial"/>
      <scheme val="minor"/>
    </font>
    <font>
      <u/>
      <color rgb="FF0000FF"/>
      <name val="Arial"/>
    </font>
    <font>
      <i/>
      <color theme="1"/>
      <name val="Arial"/>
    </font>
    <font>
      <i/>
      <u/>
      <color rgb="FF1155CC"/>
      <name val="Arial"/>
    </font>
    <font>
      <i/>
      <u/>
      <color rgb="FF1155CC"/>
      <name val="Arial"/>
    </font>
    <font>
      <u/>
      <sz val="11.0"/>
      <color rgb="FF0000FF"/>
      <name val="&quot;Segoe UI Historic&quot;"/>
    </font>
    <font>
      <u/>
      <sz val="11.0"/>
      <color rgb="FF1155CC"/>
      <name val="&quot;SF Pro Text&quot;"/>
    </font>
    <font>
      <b/>
      <u/>
      <color rgb="FF0000FF"/>
    </font>
  </fonts>
  <fills count="2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980000"/>
        <bgColor rgb="FF980000"/>
      </patternFill>
    </fill>
    <fill>
      <patternFill patternType="solid">
        <fgColor rgb="FFF9CB9C"/>
        <bgColor rgb="FFF9CB9C"/>
      </patternFill>
    </fill>
    <fill>
      <patternFill patternType="solid">
        <fgColor rgb="FFFFF7E6"/>
        <bgColor rgb="FFFFF7E6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1C4587"/>
        <bgColor rgb="FF1C4587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674EA7"/>
        <bgColor rgb="FF674EA7"/>
      </patternFill>
    </fill>
    <fill>
      <patternFill patternType="solid">
        <fgColor rgb="FFFF00FF"/>
        <bgColor rgb="FFFF00FF"/>
      </patternFill>
    </fill>
    <fill>
      <patternFill patternType="solid">
        <fgColor theme="8"/>
        <bgColor theme="8"/>
      </patternFill>
    </fill>
  </fills>
  <borders count="9">
    <border/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1" fillId="2" fontId="2" numFmtId="49" xfId="0" applyAlignment="1" applyBorder="1" applyFill="1" applyFont="1" applyNumberFormat="1">
      <alignment horizontal="left" shrinkToFit="0" vertical="bottom" wrapText="1"/>
    </xf>
    <xf borderId="0" fillId="5" fontId="1" numFmtId="0" xfId="0" applyAlignment="1" applyFill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6" fontId="1" numFmtId="0" xfId="0" applyAlignment="1" applyFill="1" applyFont="1">
      <alignment vertical="bottom"/>
    </xf>
    <xf borderId="1" fillId="2" fontId="2" numFmtId="0" xfId="0" applyAlignment="1" applyBorder="1" applyFill="1" applyFont="1">
      <alignment horizontal="center" readingOrder="0" shrinkToFit="0" vertical="bottom" wrapText="1"/>
    </xf>
    <xf borderId="0" fillId="6" fontId="3" numFmtId="0" xfId="0" applyAlignment="1" applyFill="1" applyFont="1">
      <alignment horizontal="center" shrinkToFit="0" vertical="bottom" wrapText="1"/>
    </xf>
    <xf borderId="0" fillId="6" fontId="3" numFmtId="0" xfId="0" applyAlignment="1" applyFill="1" applyFont="1">
      <alignment horizontal="center" vertical="bottom"/>
    </xf>
    <xf borderId="0" fillId="6" fontId="3" numFmtId="0" xfId="0" applyAlignment="1" applyFill="1" applyFont="1">
      <alignment horizontal="center" readingOrder="0" shrinkToFit="0" vertical="bottom" wrapText="1"/>
    </xf>
    <xf borderId="0" fillId="6" fontId="2" numFmtId="0" xfId="0" applyAlignment="1" applyFill="1" applyFont="1">
      <alignment horizontal="center" readingOrder="0" shrinkToFit="0" vertical="bottom" wrapText="1"/>
    </xf>
    <xf borderId="0" fillId="6" fontId="2" numFmtId="0" xfId="0" applyAlignment="1" applyFill="1" applyFont="1">
      <alignment horizontal="center" shrinkToFit="0" vertical="bottom" wrapText="1"/>
    </xf>
    <xf borderId="0" fillId="7" fontId="1" numFmtId="49" xfId="0" applyAlignment="1" applyFill="1" applyFont="1" applyNumberFormat="1">
      <alignment horizontal="left" shrinkToFit="0" vertical="bottom" wrapText="1"/>
    </xf>
    <xf borderId="0" fillId="8" fontId="1" numFmtId="0" xfId="0" applyAlignment="1" applyFill="1" applyFont="1">
      <alignment horizontal="center" shrinkToFit="0" vertical="bottom" wrapText="1"/>
    </xf>
    <xf borderId="0" fillId="7" fontId="1" numFmtId="0" xfId="0" applyAlignment="1" applyFill="1" applyFont="1">
      <alignment vertical="bottom"/>
    </xf>
    <xf borderId="0" fillId="3" fontId="1" numFmtId="0" xfId="0" applyAlignment="1" applyFill="1" applyFont="1">
      <alignment shrinkToFit="0" vertical="bottom" wrapText="1"/>
    </xf>
    <xf borderId="0" fillId="7" fontId="1" numFmtId="0" xfId="0" applyAlignment="1" applyFill="1" applyFont="1">
      <alignment shrinkToFit="0" vertical="bottom" wrapText="1"/>
    </xf>
    <xf borderId="0" fillId="8" fontId="4" numFmtId="0" xfId="0" applyAlignment="1" applyFill="1" applyFont="1">
      <alignment horizontal="right" vertical="bottom"/>
    </xf>
    <xf borderId="0" fillId="7" fontId="1" numFmtId="0" xfId="0" applyAlignment="1" applyFill="1" applyFont="1">
      <alignment readingOrder="0" shrinkToFit="0" vertical="bottom" wrapText="1"/>
    </xf>
    <xf borderId="0" fillId="8" fontId="1" numFmtId="0" xfId="0" applyAlignment="1" applyFill="1" applyFont="1">
      <alignment vertical="bottom"/>
    </xf>
    <xf borderId="0" fillId="9" fontId="1" numFmtId="0" xfId="0" applyAlignment="1" applyFill="1" applyFont="1">
      <alignment shrinkToFit="0" vertical="bottom" wrapText="1"/>
    </xf>
    <xf borderId="0" fillId="8" fontId="1" numFmtId="0" xfId="0" applyAlignment="1" applyFill="1" applyFont="1">
      <alignment vertical="bottom"/>
    </xf>
    <xf borderId="0" fillId="9" fontId="1" numFmtId="0" xfId="0" applyAlignment="1" applyFill="1" applyFont="1">
      <alignment readingOrder="0" shrinkToFit="0" vertical="bottom" wrapText="1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readingOrder="0" shrinkToFit="0" vertical="bottom" wrapText="1"/>
    </xf>
    <xf borderId="0" fillId="0" fontId="1" numFmtId="0" xfId="0" applyAlignment="1" applyFont="1">
      <alignment horizontal="center" vertical="bottom"/>
    </xf>
    <xf borderId="0" fillId="3" fontId="1" numFmtId="0" xfId="0" applyAlignment="1" applyFill="1" applyFont="1">
      <alignment readingOrder="0" shrinkToFit="0" vertical="bottom" wrapText="1"/>
    </xf>
    <xf borderId="0" fillId="6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readingOrder="0" vertical="bottom"/>
    </xf>
    <xf borderId="2" fillId="0" fontId="1" numFmtId="0" xfId="0" applyAlignment="1" applyBorder="1" applyFont="1">
      <alignment shrinkToFit="0" vertical="bottom" wrapText="0"/>
    </xf>
    <xf borderId="0" fillId="6" fontId="1" numFmtId="0" xfId="0" applyAlignment="1" applyFill="1" applyFont="1">
      <alignment readingOrder="0" shrinkToFit="0" vertical="bottom" wrapText="1"/>
    </xf>
    <xf borderId="0" fillId="10" fontId="1" numFmtId="0" xfId="0" applyAlignment="1" applyFill="1" applyFont="1">
      <alignment horizontal="left" readingOrder="0" shrinkToFit="0" vertical="bottom" wrapText="0"/>
    </xf>
    <xf borderId="0" fillId="9" fontId="1" numFmtId="0" xfId="0" applyAlignment="1" applyFill="1" applyFont="1">
      <alignment vertical="bottom"/>
    </xf>
    <xf borderId="0" fillId="11" fontId="1" numFmtId="0" xfId="0" applyAlignment="1" applyFill="1" applyFont="1">
      <alignment vertical="bottom"/>
    </xf>
    <xf borderId="3" fillId="0" fontId="1" numFmtId="0" xfId="0" applyAlignment="1" applyBorder="1" applyFont="1">
      <alignment shrinkToFit="0" vertical="bottom" wrapText="0"/>
    </xf>
    <xf borderId="0" fillId="10" fontId="5" numFmtId="0" xfId="0" applyAlignment="1" applyFill="1" applyFont="1">
      <alignment readingOrder="0" shrinkToFit="0" vertical="bottom" wrapText="0"/>
    </xf>
    <xf borderId="1" fillId="2" fontId="2" numFmtId="0" xfId="0" applyAlignment="1" applyBorder="1" applyFill="1" applyFont="1">
      <alignment horizontal="center" vertical="bottom"/>
    </xf>
    <xf borderId="0" fillId="10" fontId="1" numFmtId="0" xfId="0" applyAlignment="1" applyFill="1" applyFont="1">
      <alignment shrinkToFit="0" vertical="bottom" wrapText="0"/>
    </xf>
    <xf borderId="0" fillId="10" fontId="1" numFmtId="0" xfId="0" applyAlignment="1" applyFill="1" applyFont="1">
      <alignment shrinkToFit="0" vertical="bottom" wrapText="0"/>
    </xf>
    <xf borderId="1" fillId="2" fontId="2" numFmtId="0" xfId="0" applyAlignment="1" applyBorder="1" applyFill="1" applyFont="1">
      <alignment horizontal="center" readingOrder="0" vertical="bottom"/>
    </xf>
    <xf borderId="0" fillId="10" fontId="6" numFmtId="0" xfId="0" applyAlignment="1" applyFill="1" applyFont="1">
      <alignment readingOrder="0" shrinkToFit="0" vertical="bottom" wrapText="0"/>
    </xf>
    <xf borderId="0" fillId="10" fontId="1" numFmtId="0" xfId="0" applyAlignment="1" applyFill="1" applyFont="1">
      <alignment readingOrder="0" shrinkToFit="0" vertical="bottom" wrapText="0"/>
    </xf>
    <xf borderId="0" fillId="7" fontId="1" numFmtId="0" xfId="0" applyAlignment="1" applyFill="1" applyFont="1">
      <alignment horizontal="left" shrinkToFit="0" vertical="bottom" wrapText="1"/>
    </xf>
    <xf borderId="0" fillId="12" fontId="1" numFmtId="0" xfId="0" applyAlignment="1" applyFill="1" applyFont="1">
      <alignment shrinkToFit="0" vertical="bottom" wrapText="1"/>
    </xf>
    <xf borderId="0" fillId="12" fontId="1" numFmtId="0" xfId="0" applyAlignment="1" applyFill="1" applyFont="1">
      <alignment readingOrder="0" shrinkToFit="0" vertical="bottom" wrapText="1"/>
    </xf>
    <xf borderId="0" fillId="12" fontId="1" numFmtId="0" xfId="0" applyAlignment="1" applyFill="1" applyFont="1">
      <alignment readingOrder="0" shrinkToFit="0" vertical="bottom" wrapText="1"/>
    </xf>
    <xf borderId="0" fillId="12" fontId="1" numFmtId="0" xfId="0" applyAlignment="1" applyFill="1" applyFont="1">
      <alignment readingOrder="0" vertical="bottom"/>
    </xf>
    <xf borderId="0" fillId="10" fontId="7" numFmtId="164" xfId="0" applyAlignment="1" applyFill="1" applyFont="1" applyNumberFormat="1">
      <alignment horizontal="left" readingOrder="0" shrinkToFit="0" wrapText="0"/>
    </xf>
    <xf borderId="0" fillId="10" fontId="1" numFmtId="0" xfId="0" applyAlignment="1" applyFill="1" applyFont="1">
      <alignment readingOrder="0" shrinkToFit="0" vertical="bottom" wrapText="0"/>
    </xf>
    <xf borderId="0" fillId="10" fontId="1" numFmtId="0" xfId="0" applyAlignment="1" applyFill="1" applyFont="1">
      <alignment vertical="bottom"/>
    </xf>
    <xf borderId="0" fillId="0" fontId="7" numFmtId="49" xfId="0" applyAlignment="1" applyFont="1" applyNumberFormat="1">
      <alignment horizontal="left" readingOrder="0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6" fontId="7" numFmtId="0" xfId="0" applyFill="1" applyFont="1"/>
    <xf borderId="0" fillId="0" fontId="7" numFmtId="0" xfId="0" applyAlignment="1" applyFont="1">
      <alignment horizontal="left" shrinkToFit="0" wrapText="0"/>
    </xf>
    <xf borderId="0" fillId="13" fontId="1" numFmtId="0" xfId="0" applyAlignment="1" applyFill="1" applyFont="1">
      <alignment shrinkToFit="0" vertical="bottom" wrapText="0"/>
    </xf>
    <xf borderId="0" fillId="10" fontId="8" numFmtId="0" xfId="0" applyAlignment="1" applyFill="1" applyFont="1">
      <alignment shrinkToFit="0" vertical="bottom" wrapText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14" fontId="1" numFmtId="0" xfId="0" applyAlignment="1" applyFill="1" applyFont="1">
      <alignment shrinkToFit="0" vertical="bottom" wrapText="0"/>
    </xf>
    <xf borderId="0" fillId="0" fontId="11" numFmtId="0" xfId="0" applyAlignment="1" applyFont="1">
      <alignment shrinkToFit="0" wrapText="0"/>
    </xf>
    <xf quotePrefix="1" borderId="0" fillId="0" fontId="7" numFmtId="0" xfId="0" applyAlignment="1" applyFont="1">
      <alignment horizontal="left" readingOrder="0" shrinkToFit="0" wrapText="0"/>
    </xf>
    <xf borderId="0" fillId="14" fontId="12" numFmtId="0" xfId="0" applyAlignment="1" applyFill="1" applyFont="1">
      <alignment shrinkToFit="0" vertical="bottom" wrapText="0"/>
    </xf>
    <xf borderId="0" fillId="0" fontId="7" numFmtId="0" xfId="0" applyAlignment="1" applyFont="1">
      <alignment horizontal="left" readingOrder="0" shrinkToFit="0" wrapText="0"/>
    </xf>
    <xf borderId="0" fillId="13" fontId="7" numFmtId="0" xfId="0" applyAlignment="1" applyFill="1" applyFont="1">
      <alignment shrinkToFit="0" wrapText="0"/>
    </xf>
    <xf borderId="0" fillId="14" fontId="7" numFmtId="0" xfId="0" applyAlignment="1" applyFill="1" applyFont="1">
      <alignment shrinkToFit="0" wrapText="0"/>
    </xf>
    <xf borderId="0" fillId="0" fontId="7" numFmtId="165" xfId="0" applyAlignment="1" applyFont="1" applyNumberFormat="1">
      <alignment horizontal="left" readingOrder="0" shrinkToFit="0" wrapText="0"/>
    </xf>
    <xf borderId="0" fillId="14" fontId="13" numFmtId="0" xfId="0" applyAlignment="1" applyFill="1" applyFont="1">
      <alignment shrinkToFit="0" wrapText="0"/>
    </xf>
    <xf borderId="0" fillId="0" fontId="14" numFmtId="0" xfId="0" applyAlignment="1" applyFont="1">
      <alignment readingOrder="0" shrinkToFit="0" wrapText="0"/>
    </xf>
    <xf borderId="0" fillId="0" fontId="7" numFmtId="164" xfId="0" applyAlignment="1" applyFont="1" applyNumberFormat="1">
      <alignment horizontal="left" readingOrder="0" shrinkToFit="0" wrapText="0"/>
    </xf>
    <xf borderId="0" fillId="0" fontId="7" numFmtId="0" xfId="0" applyAlignment="1" applyFont="1">
      <alignment readingOrder="0" shrinkToFit="0" wrapText="0"/>
    </xf>
    <xf borderId="0" fillId="10" fontId="1" numFmtId="0" xfId="0" applyAlignment="1" applyFill="1" applyFont="1">
      <alignment readingOrder="0" vertical="bottom"/>
    </xf>
    <xf borderId="0" fillId="0" fontId="15" numFmtId="0" xfId="0" applyAlignment="1" applyFont="1">
      <alignment readingOrder="0" shrinkToFit="0" wrapText="0"/>
    </xf>
    <xf borderId="0" fillId="14" fontId="16" numFmtId="0" xfId="0" applyAlignment="1" applyFill="1" applyFont="1">
      <alignment readingOrder="0" shrinkToFit="0" wrapText="0"/>
    </xf>
    <xf borderId="0" fillId="0" fontId="7" numFmtId="0" xfId="0" applyAlignment="1" applyFont="1">
      <alignment horizontal="left" readingOrder="0" shrinkToFit="0" wrapText="0"/>
    </xf>
    <xf borderId="0" fillId="6" fontId="17" numFmtId="0" xfId="0" applyAlignment="1" applyFill="1" applyFont="1">
      <alignment readingOrder="0"/>
    </xf>
    <xf borderId="0" fillId="14" fontId="7" numFmtId="0" xfId="0" applyAlignment="1" applyFill="1" applyFont="1">
      <alignment readingOrder="0" shrinkToFit="0" wrapText="0"/>
    </xf>
    <xf quotePrefix="1" borderId="0" fillId="0" fontId="7" numFmtId="0" xfId="0" applyAlignment="1" applyFont="1">
      <alignment horizontal="left" readingOrder="0" shrinkToFit="0" wrapText="0"/>
    </xf>
    <xf borderId="0" fillId="13" fontId="7" numFmtId="0" xfId="0" applyAlignment="1" applyFill="1" applyFont="1">
      <alignment readingOrder="0" shrinkToFit="0" wrapText="0"/>
    </xf>
    <xf quotePrefix="1" borderId="0" fillId="0" fontId="1" numFmtId="0" xfId="0" applyAlignment="1" applyFont="1">
      <alignment readingOrder="0"/>
    </xf>
    <xf borderId="0" fillId="10" fontId="18" numFmtId="0" xfId="0" applyAlignment="1" applyFill="1" applyFont="1">
      <alignment horizontal="left" readingOrder="0"/>
    </xf>
    <xf borderId="0" fillId="0" fontId="7" numFmtId="0" xfId="0" applyFont="1"/>
    <xf quotePrefix="1"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quotePrefix="1"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15" fontId="7" numFmtId="0" xfId="0" applyAlignment="1" applyFill="1" applyFont="1">
      <alignment shrinkToFit="0" wrapText="0"/>
    </xf>
    <xf borderId="0" fillId="16" fontId="7" numFmtId="0" xfId="0" applyAlignment="1" applyFill="1" applyFont="1">
      <alignment readingOrder="0" shrinkToFit="0" wrapText="0"/>
    </xf>
    <xf borderId="0" fillId="16" fontId="7" numFmtId="0" xfId="0" applyAlignment="1" applyFill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7" numFmtId="166" xfId="0" applyAlignment="1" applyFont="1" applyNumberFormat="1">
      <alignment horizontal="left" readingOrder="0" shrinkToFit="0" wrapText="0"/>
    </xf>
    <xf borderId="0" fillId="16" fontId="1" numFmtId="0" xfId="0" applyAlignment="1" applyFill="1" applyFont="1">
      <alignment vertical="bottom"/>
    </xf>
    <xf borderId="0" fillId="16" fontId="2" numFmtId="0" xfId="0" applyAlignment="1" applyFill="1" applyFont="1">
      <alignment horizontal="center" shrinkToFit="0" vertical="bottom" wrapText="1"/>
    </xf>
    <xf borderId="0" fillId="16" fontId="1" numFmtId="0" xfId="0" applyAlignment="1" applyFill="1" applyFont="1">
      <alignment horizontal="center" vertical="bottom"/>
    </xf>
    <xf borderId="1" fillId="16" fontId="20" numFmtId="0" xfId="0" applyAlignment="1" applyBorder="1" applyFill="1" applyFont="1">
      <alignment horizontal="center" readingOrder="0" shrinkToFit="0" vertical="bottom" wrapText="1"/>
    </xf>
    <xf borderId="0" fillId="16" fontId="1" numFmtId="0" xfId="0" applyAlignment="1" applyFill="1" applyFont="1">
      <alignment readingOrder="0" shrinkToFit="0" vertical="bottom" wrapText="1"/>
    </xf>
    <xf borderId="0" fillId="17" fontId="7" numFmtId="164" xfId="0" applyAlignment="1" applyFill="1" applyFont="1" applyNumberFormat="1">
      <alignment horizontal="left" readingOrder="0" shrinkToFit="0" wrapText="0"/>
    </xf>
    <xf borderId="0" fillId="13" fontId="21" numFmtId="0" xfId="0" applyAlignment="1" applyFill="1" applyFont="1">
      <alignment shrinkToFit="0" vertical="bottom" wrapText="0"/>
    </xf>
    <xf borderId="0" fillId="17" fontId="22" numFmtId="0" xfId="0" applyAlignment="1" applyFill="1" applyFont="1">
      <alignment readingOrder="0" shrinkToFit="0" wrapText="0"/>
    </xf>
    <xf borderId="0" fillId="17" fontId="7" numFmtId="0" xfId="0" applyAlignment="1" applyFill="1" applyFont="1">
      <alignment shrinkToFit="0" wrapText="0"/>
    </xf>
    <xf borderId="0" fillId="17" fontId="7" numFmtId="0" xfId="0" applyAlignment="1" applyFill="1" applyFont="1">
      <alignment readingOrder="0" shrinkToFit="0" wrapText="0"/>
    </xf>
    <xf borderId="0" fillId="13" fontId="23" numFmtId="0" xfId="0" applyAlignment="1" applyFill="1" applyFont="1">
      <alignment shrinkToFit="0" wrapText="0"/>
    </xf>
    <xf borderId="0" fillId="17" fontId="24" numFmtId="0" xfId="0" applyAlignment="1" applyFill="1" applyFont="1">
      <alignment shrinkToFit="0" wrapText="0"/>
    </xf>
    <xf borderId="0" fillId="17" fontId="7" numFmtId="0" xfId="0" applyFill="1" applyFont="1"/>
    <xf borderId="0" fillId="16" fontId="25" numFmtId="0" xfId="0" applyAlignment="1" applyFill="1" applyFont="1">
      <alignment readingOrder="0"/>
    </xf>
    <xf borderId="0" fillId="16" fontId="26" numFmtId="0" xfId="0" applyAlignment="1" applyFill="1" applyFont="1">
      <alignment readingOrder="0"/>
    </xf>
    <xf borderId="0" fillId="10" fontId="27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10" fontId="7" numFmtId="0" xfId="0" applyAlignment="1" applyFill="1" applyFont="1">
      <alignment readingOrder="0" shrinkToFit="0" wrapText="0"/>
    </xf>
    <xf borderId="0" fillId="10" fontId="1" numFmtId="0" xfId="0" applyAlignment="1" applyFill="1" applyFont="1">
      <alignment readingOrder="0" shrinkToFit="0" vertical="center" wrapText="1"/>
    </xf>
    <xf borderId="0" fillId="16" fontId="7" numFmtId="0" xfId="0" applyAlignment="1" applyFill="1" applyFont="1">
      <alignment readingOrder="0"/>
    </xf>
    <xf borderId="0" fillId="13" fontId="7" numFmtId="0" xfId="0" applyAlignment="1" applyFill="1" applyFont="1">
      <alignment readingOrder="0" shrinkToFit="0" wrapText="0"/>
    </xf>
    <xf borderId="0" fillId="16" fontId="7" numFmtId="0" xfId="0" applyFill="1" applyFont="1"/>
    <xf borderId="0" fillId="10" fontId="28" numFmtId="0" xfId="0" applyAlignment="1" applyFill="1" applyFont="1">
      <alignment horizontal="left" readingOrder="0"/>
    </xf>
    <xf borderId="0" fillId="13" fontId="29" numFmtId="0" xfId="0" applyAlignment="1" applyFill="1" applyFont="1">
      <alignment readingOrder="0" shrinkToFit="0" wrapText="0"/>
    </xf>
    <xf borderId="0" fillId="0" fontId="30" numFmtId="0" xfId="0" applyAlignment="1" applyFont="1">
      <alignment readingOrder="0"/>
    </xf>
    <xf borderId="0" fillId="3" fontId="7" numFmtId="164" xfId="0" applyAlignment="1" applyFill="1" applyFont="1" applyNumberFormat="1">
      <alignment horizontal="left" readingOrder="0" shrinkToFit="0" wrapText="0"/>
    </xf>
    <xf borderId="0" fillId="3" fontId="31" numFmtId="0" xfId="0" applyAlignment="1" applyFill="1" applyFont="1">
      <alignment readingOrder="0" shrinkToFit="0" wrapText="0"/>
    </xf>
    <xf borderId="0" fillId="3" fontId="7" numFmtId="0" xfId="0" applyAlignment="1" applyFill="1" applyFont="1">
      <alignment shrinkToFit="0" wrapText="0"/>
    </xf>
    <xf borderId="0" fillId="3" fontId="7" numFmtId="0" xfId="0" applyAlignment="1" applyFill="1" applyFont="1">
      <alignment readingOrder="0" shrinkToFit="0" wrapText="0"/>
    </xf>
    <xf borderId="0" fillId="3" fontId="32" numFmtId="0" xfId="0" applyAlignment="1" applyFill="1" applyFont="1">
      <alignment shrinkToFit="0" wrapText="0"/>
    </xf>
    <xf borderId="0" fillId="3" fontId="33" numFmtId="0" xfId="0" applyAlignment="1" applyFill="1" applyFont="1">
      <alignment readingOrder="0"/>
    </xf>
    <xf borderId="0" fillId="10" fontId="34" numFmtId="0" xfId="0" applyAlignment="1" applyFill="1" applyFont="1">
      <alignment readingOrder="0" shrinkToFit="0" wrapText="0"/>
    </xf>
    <xf borderId="0" fillId="10" fontId="7" numFmtId="0" xfId="0" applyAlignment="1" applyFill="1" applyFont="1">
      <alignment shrinkToFit="0" wrapText="0"/>
    </xf>
    <xf borderId="0" fillId="10" fontId="35" numFmtId="0" xfId="0" applyAlignment="1" applyFill="1" applyFont="1">
      <alignment shrinkToFit="0" wrapText="0"/>
    </xf>
    <xf borderId="0" fillId="10" fontId="7" numFmtId="0" xfId="0" applyAlignment="1" applyFill="1" applyFont="1">
      <alignment readingOrder="0"/>
    </xf>
    <xf borderId="0" fillId="13" fontId="36" numFmtId="0" xfId="0" applyAlignment="1" applyFill="1" applyFont="1">
      <alignment shrinkToFit="0" wrapText="0"/>
    </xf>
    <xf borderId="0" fillId="10" fontId="37" numFmtId="0" xfId="0" applyAlignment="1" applyFill="1" applyFont="1">
      <alignment readingOrder="0"/>
    </xf>
    <xf borderId="0" fillId="15" fontId="7" numFmtId="164" xfId="0" applyAlignment="1" applyFill="1" applyFont="1" applyNumberFormat="1">
      <alignment horizontal="left" readingOrder="0" shrinkToFit="0" wrapText="0"/>
    </xf>
    <xf borderId="0" fillId="15" fontId="38" numFmtId="0" xfId="0" applyAlignment="1" applyFill="1" applyFont="1">
      <alignment readingOrder="0" shrinkToFit="0" wrapText="0"/>
    </xf>
    <xf borderId="0" fillId="15" fontId="7" numFmtId="0" xfId="0" applyAlignment="1" applyFill="1" applyFont="1">
      <alignment readingOrder="0" shrinkToFit="0" wrapText="0"/>
    </xf>
    <xf borderId="0" fillId="15" fontId="39" numFmtId="0" xfId="0" applyAlignment="1" applyFill="1" applyFont="1">
      <alignment shrinkToFit="0" wrapText="0"/>
    </xf>
    <xf borderId="0" fillId="15" fontId="40" numFmtId="0" xfId="0" applyAlignment="1" applyFill="1" applyFont="1">
      <alignment readingOrder="0"/>
    </xf>
    <xf borderId="0" fillId="13" fontId="41" numFmtId="0" xfId="0" applyAlignment="1" applyFill="1" applyFont="1">
      <alignment shrinkToFit="0" wrapText="0"/>
    </xf>
    <xf borderId="0" fillId="10" fontId="41" numFmtId="0" xfId="0" applyAlignment="1" applyFill="1" applyFont="1">
      <alignment shrinkToFit="0" wrapText="0"/>
    </xf>
    <xf borderId="0" fillId="10" fontId="7" numFmtId="0" xfId="0" applyAlignment="1" applyFill="1" applyFont="1">
      <alignment readingOrder="0" shrinkToFit="0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3" fontId="42" numFmtId="0" xfId="0" applyAlignment="1" applyFill="1" applyFont="1">
      <alignment readingOrder="0"/>
    </xf>
    <xf borderId="0" fillId="15" fontId="43" numFmtId="0" xfId="0" applyAlignment="1" applyFill="1" applyFont="1">
      <alignment readingOrder="0"/>
    </xf>
    <xf borderId="0" fillId="13" fontId="44" numFmtId="0" xfId="0" applyAlignment="1" applyFill="1" applyFont="1">
      <alignment readingOrder="0" shrinkToFit="0" wrapText="0"/>
    </xf>
    <xf borderId="0" fillId="15" fontId="7" numFmtId="0" xfId="0" applyAlignment="1" applyFill="1" applyFont="1">
      <alignment readingOrder="0"/>
    </xf>
    <xf borderId="0" fillId="15" fontId="45" numFmtId="0" xfId="0" applyAlignment="1" applyFill="1" applyFont="1">
      <alignment readingOrder="0" shrinkToFit="0" wrapText="0"/>
    </xf>
    <xf borderId="0" fillId="10" fontId="1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13" fontId="46" numFmtId="0" xfId="0" applyAlignment="1" applyFill="1" applyFont="1">
      <alignment readingOrder="0" shrinkToFit="0" wrapText="0"/>
    </xf>
    <xf borderId="4" fillId="18" fontId="1" numFmtId="167" xfId="0" applyAlignment="1" applyBorder="1" applyFill="1" applyFont="1" applyNumberFormat="1">
      <alignment vertical="bottom"/>
    </xf>
    <xf borderId="2" fillId="0" fontId="47" numFmtId="0" xfId="0" applyAlignment="1" applyBorder="1" applyFont="1">
      <alignment readingOrder="0" shrinkToFit="0" wrapText="0"/>
    </xf>
    <xf borderId="0" fillId="19" fontId="1" numFmtId="0" xfId="0" applyAlignment="1" applyFill="1" applyFont="1">
      <alignment vertical="bottom"/>
    </xf>
    <xf borderId="0" fillId="20" fontId="1" numFmtId="0" xfId="0" applyAlignment="1" applyFill="1" applyFont="1">
      <alignment vertical="bottom"/>
    </xf>
    <xf borderId="0" fillId="10" fontId="48" numFmtId="0" xfId="0" applyAlignment="1" applyFill="1" applyFont="1">
      <alignment readingOrder="0"/>
    </xf>
    <xf borderId="0" fillId="16" fontId="1" numFmtId="0" xfId="0" applyAlignment="1" applyFill="1" applyFont="1">
      <alignment vertical="bottom"/>
    </xf>
    <xf borderId="0" fillId="0" fontId="49" numFmtId="0" xfId="0" applyAlignment="1" applyFont="1">
      <alignment horizontal="left" readingOrder="0" shrinkToFit="0" wrapText="0"/>
    </xf>
    <xf borderId="0" fillId="19" fontId="1" numFmtId="0" xfId="0" applyAlignment="1" applyFill="1" applyFont="1">
      <alignment vertical="bottom"/>
    </xf>
    <xf borderId="0" fillId="10" fontId="50" numFmtId="0" xfId="0" applyAlignment="1" applyFill="1" applyFont="1">
      <alignment vertical="bottom"/>
    </xf>
    <xf borderId="0" fillId="0" fontId="51" numFmtId="0" xfId="0" applyAlignment="1" applyFont="1">
      <alignment readingOrder="0"/>
    </xf>
    <xf borderId="0" fillId="15" fontId="1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left" shrinkToFit="0" vertical="bottom" wrapText="0"/>
    </xf>
    <xf borderId="0" fillId="0" fontId="52" numFmtId="0" xfId="0" applyAlignment="1" applyFont="1">
      <alignment horizontal="left" shrinkToFit="0" vertical="bottom" wrapText="0"/>
    </xf>
    <xf borderId="0" fillId="13" fontId="1" numFmtId="0" xfId="0" applyAlignment="1" applyFill="1" applyFont="1">
      <alignment horizontal="left" vertical="bottom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13" fontId="53" numFmtId="0" xfId="0" applyAlignment="1" applyFill="1" applyFont="1">
      <alignment horizontal="left" vertical="bottom"/>
    </xf>
    <xf borderId="0" fillId="16" fontId="1" numFmtId="0" xfId="0" applyAlignment="1" applyFill="1" applyFont="1">
      <alignment horizontal="left" vertical="bottom"/>
    </xf>
    <xf borderId="0" fillId="0" fontId="54" numFmtId="0" xfId="0" applyAlignment="1" applyFont="1">
      <alignment horizontal="left" readingOrder="0" shrinkToFit="0" vertical="bottom" wrapText="0"/>
    </xf>
    <xf borderId="0" fillId="0" fontId="55" numFmtId="0" xfId="0" applyAlignment="1" applyFont="1">
      <alignment horizontal="left" readingOrder="0" shrinkToFit="0" vertical="bottom" wrapText="0"/>
    </xf>
    <xf borderId="0" fillId="10" fontId="56" numFmtId="0" xfId="0" applyAlignment="1" applyFill="1" applyFont="1">
      <alignment readingOrder="0" shrinkToFit="0" wrapText="0"/>
    </xf>
    <xf borderId="0" fillId="10" fontId="7" numFmtId="0" xfId="0" applyFill="1" applyFont="1"/>
    <xf borderId="0" fillId="21" fontId="7" numFmtId="0" xfId="0" applyAlignment="1" applyFill="1" applyFont="1">
      <alignment shrinkToFit="0" wrapText="0"/>
    </xf>
    <xf borderId="0" fillId="21" fontId="57" numFmtId="0" xfId="0" applyAlignment="1" applyFill="1" applyFont="1">
      <alignment readingOrder="0" shrinkToFit="0" wrapText="0"/>
    </xf>
    <xf borderId="0" fillId="10" fontId="58" numFmtId="0" xfId="0" applyAlignment="1" applyFill="1" applyFont="1">
      <alignment horizontal="left" readingOrder="0"/>
    </xf>
    <xf borderId="0" fillId="4" fontId="7" numFmtId="0" xfId="0" applyAlignment="1" applyFill="1" applyFont="1">
      <alignment shrinkToFit="0" wrapText="0"/>
    </xf>
    <xf borderId="0" fillId="4" fontId="59" numFmtId="0" xfId="0" applyAlignment="1" applyFill="1" applyFont="1">
      <alignment shrinkToFit="0" wrapText="0"/>
    </xf>
    <xf borderId="0" fillId="4" fontId="60" numFmtId="0" xfId="0" applyAlignment="1" applyFill="1" applyFont="1">
      <alignment readingOrder="0"/>
    </xf>
    <xf borderId="0" fillId="22" fontId="7" numFmtId="0" xfId="0" applyAlignment="1" applyFill="1" applyFont="1">
      <alignment shrinkToFit="0" wrapText="0"/>
    </xf>
    <xf borderId="0" fillId="22" fontId="61" numFmtId="0" xfId="0" applyAlignment="1" applyFill="1" applyFont="1">
      <alignment readingOrder="0" shrinkToFit="0" wrapText="0"/>
    </xf>
    <xf borderId="0" fillId="22" fontId="62" numFmtId="0" xfId="0" applyAlignment="1" applyFill="1" applyFont="1">
      <alignment readingOrder="0"/>
    </xf>
    <xf borderId="0" fillId="4" fontId="63" numFmtId="0" xfId="0" applyAlignment="1" applyFill="1" applyFont="1">
      <alignment readingOrder="0" shrinkToFit="0" wrapText="0"/>
    </xf>
    <xf borderId="0" fillId="4" fontId="64" numFmtId="0" xfId="0" applyAlignment="1" applyFill="1" applyFont="1">
      <alignment readingOrder="0"/>
    </xf>
    <xf borderId="0" fillId="3" fontId="65" numFmtId="0" xfId="0" applyAlignment="1" applyFill="1" applyFont="1">
      <alignment readingOrder="0" shrinkToFit="0" wrapText="0"/>
    </xf>
    <xf borderId="0" fillId="23" fontId="66" numFmtId="0" xfId="0" applyAlignment="1" applyFill="1" applyFont="1">
      <alignment shrinkToFit="0" wrapText="0"/>
    </xf>
    <xf borderId="0" fillId="23" fontId="67" numFmtId="0" xfId="0" applyAlignment="1" applyFill="1" applyFont="1">
      <alignment readingOrder="0" shrinkToFit="0" wrapText="0"/>
    </xf>
    <xf borderId="0" fillId="23" fontId="68" numFmtId="0" xfId="0" applyAlignment="1" applyFill="1" applyFont="1">
      <alignment horizontal="left" readingOrder="0"/>
    </xf>
    <xf borderId="0" fillId="24" fontId="7" numFmtId="0" xfId="0" applyAlignment="1" applyFill="1" applyFont="1">
      <alignment shrinkToFit="0" wrapText="0"/>
    </xf>
    <xf borderId="0" fillId="24" fontId="69" numFmtId="0" xfId="0" applyAlignment="1" applyFill="1" applyFont="1">
      <alignment shrinkToFit="0" wrapText="0"/>
    </xf>
    <xf borderId="0" fillId="24" fontId="70" numFmtId="0" xfId="0" applyAlignment="1" applyFill="1" applyFont="1">
      <alignment readingOrder="0"/>
    </xf>
    <xf borderId="0" fillId="10" fontId="7" numFmtId="0" xfId="0" applyAlignment="1" applyFill="1" applyFont="1">
      <alignment readingOrder="0"/>
    </xf>
    <xf borderId="0" fillId="0" fontId="71" numFmtId="0" xfId="0" applyAlignment="1" applyFont="1">
      <alignment horizontal="left" readingOrder="0"/>
    </xf>
    <xf borderId="0" fillId="25" fontId="7" numFmtId="0" xfId="0" applyAlignment="1" applyFill="1" applyFont="1">
      <alignment shrinkToFit="0" wrapText="0"/>
    </xf>
    <xf borderId="0" fillId="25" fontId="72" numFmtId="0" xfId="0" applyAlignment="1" applyFill="1" applyFont="1">
      <alignment readingOrder="0" shrinkToFit="0" wrapText="0"/>
    </xf>
    <xf borderId="0" fillId="25" fontId="73" numFmtId="0" xfId="0" applyAlignment="1" applyFill="1" applyFont="1">
      <alignment readingOrder="0"/>
    </xf>
    <xf borderId="0" fillId="22" fontId="74" numFmtId="0" xfId="0" applyAlignment="1" applyFill="1" applyFont="1">
      <alignment shrinkToFit="0" wrapText="0"/>
    </xf>
    <xf borderId="0" fillId="22" fontId="75" numFmtId="0" xfId="0" applyAlignment="1" applyFill="1" applyFont="1">
      <alignment readingOrder="0"/>
    </xf>
    <xf borderId="0" fillId="16" fontId="7" numFmtId="0" xfId="0" applyAlignment="1" applyFill="1" applyFont="1">
      <alignment readingOrder="0"/>
    </xf>
    <xf borderId="0" fillId="10" fontId="76" numFmtId="0" xfId="0" applyAlignment="1" applyFill="1" applyFont="1">
      <alignment vertical="bottom"/>
    </xf>
    <xf borderId="2" fillId="10" fontId="76" numFmtId="0" xfId="0" applyAlignment="1" applyBorder="1" applyFill="1" applyFont="1">
      <alignment vertical="bottom"/>
    </xf>
    <xf borderId="2" fillId="10" fontId="77" numFmtId="0" xfId="0" applyAlignment="1" applyBorder="1" applyFill="1" applyFont="1">
      <alignment vertical="bottom"/>
    </xf>
    <xf borderId="2" fillId="10" fontId="1" numFmtId="0" xfId="0" applyAlignment="1" applyBorder="1" applyFill="1" applyFont="1">
      <alignment vertical="bottom"/>
    </xf>
    <xf borderId="0" fillId="16" fontId="78" numFmtId="0" xfId="0" applyAlignment="1" applyFill="1" applyFont="1">
      <alignment readingOrder="0" vertical="bottom"/>
    </xf>
    <xf borderId="0" fillId="0" fontId="1" numFmtId="164" xfId="0" applyAlignment="1" applyFont="1" applyNumberFormat="1">
      <alignment horizontal="left" readingOrder="0" shrinkToFit="0" vertical="bottom" wrapText="0"/>
    </xf>
    <xf borderId="0" fillId="16" fontId="79" numFmtId="0" xfId="0" applyAlignment="1" applyFill="1" applyFont="1">
      <alignment horizontal="left" readingOrder="0" vertical="bottom"/>
    </xf>
    <xf quotePrefix="1" borderId="0" fillId="0" fontId="1" numFmtId="0" xfId="0" applyAlignment="1" applyFont="1">
      <alignment horizontal="left" readingOrder="0" shrinkToFit="0" vertical="bottom" wrapText="0"/>
    </xf>
    <xf borderId="0" fillId="13" fontId="1" numFmtId="0" xfId="0" applyAlignment="1" applyFill="1" applyFont="1">
      <alignment vertical="bottom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13" fontId="80" numFmtId="0" xfId="0" applyAlignment="1" applyFill="1" applyFont="1">
      <alignment vertical="bottom"/>
    </xf>
    <xf borderId="0" fillId="16" fontId="81" numFmtId="0" xfId="0" applyAlignment="1" applyFill="1" applyFont="1">
      <alignment vertical="bottom"/>
    </xf>
    <xf borderId="0" fillId="13" fontId="82" numFmtId="0" xfId="0" applyAlignment="1" applyFill="1" applyFont="1">
      <alignment shrinkToFit="0" vertical="bottom" wrapText="0"/>
    </xf>
    <xf borderId="0" fillId="16" fontId="83" numFmtId="0" xfId="0" applyAlignment="1" applyFill="1" applyFont="1">
      <alignment readingOrder="0" vertical="bottom"/>
    </xf>
    <xf borderId="0" fillId="13" fontId="7" numFmtId="0" xfId="0" applyAlignment="1" applyFill="1" applyFont="1">
      <alignment readingOrder="0" shrinkToFit="0" wrapText="0"/>
    </xf>
    <xf borderId="0" fillId="13" fontId="1" numFmtId="0" xfId="0" applyAlignment="1" applyFill="1" applyFont="1">
      <alignment readingOrder="0" shrinkToFit="0" vertical="bottom" wrapText="0"/>
    </xf>
    <xf borderId="0" fillId="10" fontId="1" numFmtId="0" xfId="0" applyAlignment="1" applyFill="1" applyFont="1">
      <alignment horizontal="right" shrinkToFit="0" vertical="bottom" wrapText="0"/>
    </xf>
    <xf borderId="0" fillId="10" fontId="1" numFmtId="0" xfId="0" applyAlignment="1" applyFill="1" applyFont="1">
      <alignment horizontal="right" readingOrder="0" shrinkToFit="0" vertical="bottom" wrapText="0"/>
    </xf>
    <xf borderId="0" fillId="26" fontId="7" numFmtId="0" xfId="0" applyAlignment="1" applyFill="1" applyFont="1">
      <alignment shrinkToFit="0" wrapText="0"/>
    </xf>
    <xf borderId="0" fillId="26" fontId="84" numFmtId="0" xfId="0" applyAlignment="1" applyFill="1" applyFont="1">
      <alignment shrinkToFit="0" wrapText="0"/>
    </xf>
    <xf borderId="0" fillId="27" fontId="7" numFmtId="0" xfId="0" applyAlignment="1" applyFill="1" applyFont="1">
      <alignment shrinkToFit="0" wrapText="0"/>
    </xf>
    <xf borderId="0" fillId="27" fontId="85" numFmtId="0" xfId="0" applyAlignment="1" applyFill="1" applyFont="1">
      <alignment shrinkToFit="0" wrapText="0"/>
    </xf>
    <xf borderId="0" fillId="28" fontId="7" numFmtId="0" xfId="0" applyAlignment="1" applyFill="1" applyFont="1">
      <alignment shrinkToFit="0" wrapText="0"/>
    </xf>
    <xf borderId="0" fillId="28" fontId="86" numFmtId="0" xfId="0" applyAlignment="1" applyFill="1" applyFont="1">
      <alignment shrinkToFit="0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87" numFmtId="0" xfId="0" applyAlignment="1" applyFont="1">
      <alignment horizontal="left" readingOrder="0"/>
    </xf>
    <xf borderId="0" fillId="0" fontId="88" numFmtId="0" xfId="0" applyAlignment="1" applyFont="1">
      <alignment vertical="bottom"/>
    </xf>
    <xf borderId="0" fillId="0" fontId="89" numFmtId="0" xfId="0" applyFont="1"/>
    <xf borderId="0" fillId="16" fontId="7" numFmtId="0" xfId="0" applyAlignment="1" applyFill="1" applyFont="1">
      <alignment readingOrder="0"/>
    </xf>
    <xf borderId="0" fillId="10" fontId="90" numFmtId="0" xfId="0" applyAlignment="1" applyFill="1" applyFont="1">
      <alignment vertical="bottom"/>
    </xf>
    <xf borderId="0" fillId="10" fontId="91" numFmtId="0" xfId="0" applyAlignment="1" applyFill="1" applyFont="1">
      <alignment readingOrder="0" vertical="bottom"/>
    </xf>
    <xf borderId="0" fillId="10" fontId="18" numFmtId="0" xfId="0" applyAlignment="1" applyFill="1" applyFont="1">
      <alignment horizontal="left" readingOrder="0" shrinkToFit="0" wrapText="0"/>
    </xf>
    <xf borderId="0" fillId="0" fontId="92" numFmtId="0" xfId="0" applyAlignment="1" applyFont="1">
      <alignment shrinkToFit="0" vertical="bottom" wrapText="0"/>
    </xf>
    <xf borderId="0" fillId="3" fontId="7" numFmtId="0" xfId="0" applyAlignment="1" applyFill="1" applyFont="1">
      <alignment readingOrder="0"/>
    </xf>
    <xf borderId="0" fillId="3" fontId="7" numFmtId="0" xfId="0" applyAlignment="1" applyFill="1" applyFont="1">
      <alignment readingOrder="0"/>
    </xf>
    <xf borderId="0" fillId="15" fontId="7" numFmtId="0" xfId="0" applyAlignment="1" applyFill="1" applyFont="1">
      <alignment readingOrder="0"/>
    </xf>
    <xf borderId="0" fillId="10" fontId="93" numFmtId="0" xfId="0" applyAlignment="1" applyFill="1" applyFont="1">
      <alignment readingOrder="0" shrinkToFit="0" wrapText="0"/>
    </xf>
    <xf borderId="0" fillId="23" fontId="94" numFmtId="0" xfId="0" applyAlignment="1" applyFill="1" applyFont="1">
      <alignment vertical="bottom"/>
    </xf>
    <xf borderId="0" fillId="10" fontId="1" numFmtId="0" xfId="0" applyAlignment="1" applyFill="1" applyFont="1">
      <alignment vertical="bottom"/>
    </xf>
    <xf borderId="0" fillId="10" fontId="1" numFmtId="0" xfId="0" applyAlignment="1" applyFill="1" applyFont="1">
      <alignment readingOrder="0" shrinkToFit="0" vertical="bottom" wrapText="0"/>
    </xf>
    <xf borderId="0" fillId="10" fontId="1" numFmtId="0" xfId="0" applyAlignment="1" applyFill="1" applyFont="1">
      <alignment readingOrder="0" vertical="bottom"/>
    </xf>
    <xf borderId="0" fillId="0" fontId="7" numFmtId="0" xfId="0" applyAlignment="1" applyFont="1">
      <alignment readingOrder="0"/>
    </xf>
    <xf borderId="5" fillId="23" fontId="95" numFmtId="0" xfId="0" applyAlignment="1" applyBorder="1" applyFill="1" applyFont="1">
      <alignment horizontal="center" readingOrder="0"/>
    </xf>
    <xf borderId="6" fillId="23" fontId="95" numFmtId="0" xfId="0" applyAlignment="1" applyBorder="1" applyFill="1" applyFont="1">
      <alignment horizontal="center" readingOrder="0"/>
    </xf>
    <xf borderId="6" fillId="23" fontId="2" numFmtId="0" xfId="0" applyAlignment="1" applyBorder="1" applyFill="1" applyFont="1">
      <alignment horizontal="center" vertical="bottom"/>
    </xf>
    <xf borderId="6" fillId="23" fontId="2" numFmtId="0" xfId="0" applyAlignment="1" applyBorder="1" applyFill="1" applyFont="1">
      <alignment horizontal="center" readingOrder="0" vertical="bottom"/>
    </xf>
    <xf borderId="7" fillId="23" fontId="94" numFmtId="0" xfId="0" applyAlignment="1" applyBorder="1" applyFill="1" applyFont="1">
      <alignment horizontal="center" readingOrder="0" vertical="bottom"/>
    </xf>
    <xf borderId="5" fillId="0" fontId="41" numFmtId="0" xfId="0" applyBorder="1" applyFont="1"/>
    <xf borderId="6" fillId="23" fontId="94" numFmtId="0" xfId="0" applyAlignment="1" applyBorder="1" applyFill="1" applyFont="1">
      <alignment horizontal="center" readingOrder="0" vertical="bottom"/>
    </xf>
    <xf borderId="7" fillId="23" fontId="94" numFmtId="0" xfId="0" applyAlignment="1" applyBorder="1" applyFill="1" applyFont="1">
      <alignment horizontal="center" vertical="bottom"/>
    </xf>
    <xf borderId="0" fillId="23" fontId="94" numFmtId="0" xfId="0" applyAlignment="1" applyFill="1" applyFont="1">
      <alignment horizontal="center" readingOrder="0" vertical="bottom"/>
    </xf>
    <xf borderId="0" fillId="14" fontId="7" numFmtId="0" xfId="0" applyAlignment="1" applyFill="1" applyFont="1">
      <alignment readingOrder="0"/>
    </xf>
    <xf borderId="0" fillId="7" fontId="96" numFmtId="0" xfId="0" applyAlignment="1" applyFill="1" applyFont="1">
      <alignment readingOrder="0" vertical="bottom"/>
    </xf>
    <xf borderId="0" fillId="10" fontId="97" numFmtId="0" xfId="0" applyAlignment="1" applyFill="1" applyFont="1">
      <alignment readingOrder="0" vertical="bottom"/>
    </xf>
    <xf borderId="0" fillId="10" fontId="7" numFmtId="0" xfId="0" applyFill="1" applyFont="1"/>
    <xf borderId="0" fillId="10" fontId="98" numFmtId="0" xfId="0" applyAlignment="1" applyFill="1" applyFont="1">
      <alignment vertical="bottom"/>
    </xf>
    <xf borderId="0" fillId="10" fontId="97" numFmtId="0" xfId="0" applyAlignment="1" applyFill="1" applyFont="1">
      <alignment vertical="bottom"/>
    </xf>
    <xf borderId="0" fillId="10" fontId="99" numFmtId="0" xfId="0" applyAlignment="1" applyFill="1" applyFont="1">
      <alignment vertical="bottom"/>
    </xf>
    <xf borderId="0" fillId="10" fontId="100" numFmtId="0" xfId="0" applyAlignment="1" applyFill="1" applyFont="1">
      <alignment readingOrder="0"/>
    </xf>
    <xf borderId="0" fillId="10" fontId="97" numFmtId="0" xfId="0" applyAlignment="1" applyFill="1" applyFont="1">
      <alignment vertical="bottom"/>
    </xf>
    <xf borderId="8" fillId="10" fontId="1" numFmtId="0" xfId="0" applyAlignment="1" applyBorder="1" applyFill="1" applyFont="1">
      <alignment vertical="bottom"/>
    </xf>
    <xf borderId="0" fillId="14" fontId="7" numFmtId="0" xfId="0" applyFill="1" applyFont="1"/>
    <xf borderId="0" fillId="10" fontId="101" numFmtId="0" xfId="0" applyAlignment="1" applyFill="1" applyFont="1">
      <alignment horizontal="left" readingOrder="0"/>
    </xf>
    <xf borderId="0" fillId="16" fontId="10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3" Type="http://schemas.openxmlformats.org/officeDocument/2006/relationships/worksheet" Target="worksheets/sheet19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9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9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9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9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7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7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7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7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7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7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7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9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9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9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9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9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" Type="http://schemas.openxmlformats.org/officeDocument/2006/relationships/hyperlink" Target="https://patadovietnam.edu.vn/blog/kinh-nghiem-thi/tat-tan-tat-ve-tu-vung-ielts/" TargetMode="External"/><Relationship Id="rId2" Type="http://schemas.openxmlformats.org/officeDocument/2006/relationships/hyperlink" Target="https://patadovietnam.edu.vn/blog/kinh-nghiem-thi/tat-tan-tat-ve-tu-vung-ielts/?utm_source=Facebook&amp;utm_medium=SEE&amp;utm_term=NON_NONE_none_none_250521&amp;utm_content=h4hocvien_232_NON_LD070&amp;utm_campaign=233_NON_NON_HuyTC_250521" TargetMode="External"/><Relationship Id="rId3" Type="http://schemas.openxmlformats.org/officeDocument/2006/relationships/hyperlink" Target="https://patadovietnam.edu.vn/" TargetMode="External"/><Relationship Id="rId14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" Type="http://schemas.openxmlformats.org/officeDocument/2006/relationships/hyperlink" Target="https://patadovietnam.edu.vn/?utm_source=Facebook&amp;utm_medium=SEE&amp;utm_term=NON_NONE_none_none_020621&amp;utm_content=KOL_kol_NON_LD008&amp;utm_campaign=Momphuong_NON_NON_DuyenNTM_020621" TargetMode="External"/><Relationship Id="rId14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" Type="http://schemas.openxmlformats.org/officeDocument/2006/relationships/hyperlink" Target="https://patadovietnam.edu.vn/tai-lieu/doi-thoai-hang-ngay-everyday-conversations/" TargetMode="External"/><Relationship Id="rId14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4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4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4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" Type="http://schemas.openxmlformats.org/officeDocument/2006/relationships/hyperlink" Target="https://patadovietnam.edu.vn/tai-tai-lieu/" TargetMode="External"/><Relationship Id="rId14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" Type="http://schemas.openxmlformats.org/officeDocument/2006/relationships/hyperlink" Target="https://patadovietnam.edu.vn/tai-tai-lieu/?utm_source=Facebook&amp;utm_medium=SEE&amp;utm_term=NON_NONE_none_none_020621&amp;utm_content=kienthuc_tailieu_NON_LD011&amp;utm_campaign=tailieu_NON_NON_DuyenNTM_020621" TargetMode="External"/><Relationship Id="rId14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" Type="http://schemas.openxmlformats.org/officeDocument/2006/relationships/hyperlink" Target="https://patadovietnam.edu.vn/test-trinh-do/" TargetMode="External"/><Relationship Id="rId14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" Type="http://schemas.openxmlformats.org/officeDocument/2006/relationships/hyperlink" Target="https://patadovietnam.edu.vn/test-trinh-do/?utm_source=Facebook&amp;utm_medium=SEE&amp;utm_term=NON_NONE_none_none_90921&amp;utm_content=test_testtrinhdo_NON_LD013&amp;utm_campaign=testtrinhdo_NON_NON_DuyenNTM_90921" TargetMode="External"/><Relationship Id="rId14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7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7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7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6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6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6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6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6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6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6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6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6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6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0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0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0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0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0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0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0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0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0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0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4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4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4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4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4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4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4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4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4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4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3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3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3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3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3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3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3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3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3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3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6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6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6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6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6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6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6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6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6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6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" Type="http://schemas.openxmlformats.org/officeDocument/2006/relationships/hyperlink" Target="https://www.patado.net/tieng-anh-giao-tiep-nuoc-ngoai/" TargetMode="External"/><Relationship Id="rId10" Type="http://schemas.openxmlformats.org/officeDocument/2006/relationships/hyperlink" Target="https://patadovietnam.edu.vn/tai-lieu/doi-thoai-hang-ngay-everyday-conversations/?utm_source=Facebook&amp;utm_medium=CTW&amp;utm_term=NON_NONE_none_none_291221&amp;utm_content=Document_tailieu_NON_LD026&amp;utm_campaign=tailieu_NON_NON_DuyenNTM_291221" TargetMode="External"/><Relationship Id="rId13" Type="http://schemas.openxmlformats.org/officeDocument/2006/relationships/hyperlink" Target="https://patadovietnam.edu.vn/tai-lieu/english-made-easy/" TargetMode="External"/><Relationship Id="rId12" Type="http://schemas.openxmlformats.org/officeDocument/2006/relationships/hyperlink" Target="https://www.patado.net/tieng-anh-giao-tiep-nuoc-ngoai/?utm_source=Facebook&amp;utm_medium=RMK&amp;utm_term=NON_NONE_none_chatbotuudai30_311221&amp;utm_content=quatanguudai_chatbotuudai30_NON_LD071&amp;utm_campaign=chatbotuudai30_chatbotuudai30_NON_DuyenNTM_311221" TargetMode="External"/><Relationship Id="rId51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5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5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5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5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5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5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5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4" Type="http://schemas.openxmlformats.org/officeDocument/2006/relationships/hyperlink" Target="https://patadovietnam.edu.vn/tai-lieu/english-made-easy/?utm_source=Facebook&amp;utm_medium=CTW&amp;utm_term=NON_NONE_none_none_260122&amp;utm_content=Document_tailieu_NON_LD098&amp;utm_campaign=tailieu_NON_NON_DuyenNTM_260122" TargetMode="External"/><Relationship Id="rId1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5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5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5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0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0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0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0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0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0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0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0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0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0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2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2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2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2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2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2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2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2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2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2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1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1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1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1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1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1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1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1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1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1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8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8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8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8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8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8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8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8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8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8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7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7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7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7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7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7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7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7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7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7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9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9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9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9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9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9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9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9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9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9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7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7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8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8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8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8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8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8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8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8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8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8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7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7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7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7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7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7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7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7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5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5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5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5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58" Type="http://schemas.openxmlformats.org/officeDocument/2006/relationships/drawing" Target="../drawings/drawing1.xml"/><Relationship Id="rId61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5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5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5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5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2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2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2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2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2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2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2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2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2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2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1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1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1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1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1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1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1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1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1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1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4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4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4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4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4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4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4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4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4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4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3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3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3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3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3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3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3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3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3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3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9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9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9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9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9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9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9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9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9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9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6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6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6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6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6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6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6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6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6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6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8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8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8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8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8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8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8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8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8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8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7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7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7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7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7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7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7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7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7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7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9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9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9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9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7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7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7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7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7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7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7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9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9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9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9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9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" Type="http://schemas.openxmlformats.org/officeDocument/2006/relationships/hyperlink" Target="https://patadovietnam.edu.vn/blog/kinh-nghiem-thi/tat-tan-tat-ve-tu-vung-ielts/" TargetMode="External"/><Relationship Id="rId2" Type="http://schemas.openxmlformats.org/officeDocument/2006/relationships/hyperlink" Target="https://patadovietnam.edu.vn/blog/kinh-nghiem-thi/tat-tan-tat-ve-tu-vung-ielts/?utm_source=Facebook&amp;utm_medium=SEE&amp;utm_term=NON_NONE_none_none_250521&amp;utm_content=h4hocvien_232_NON_LD070&amp;utm_campaign=233_NON_NON_HuyTC_250521" TargetMode="External"/><Relationship Id="rId3" Type="http://schemas.openxmlformats.org/officeDocument/2006/relationships/hyperlink" Target="https://patadovietnam.edu.vn/tai-tai-lieu/" TargetMode="External"/><Relationship Id="rId14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" Type="http://schemas.openxmlformats.org/officeDocument/2006/relationships/hyperlink" Target="https://patadovietnam.edu.vn/tai-tai-lieu/?utm_source=Facebook&amp;utm_medium=SEE&amp;utm_term=NON_NONE_none_none_260521&amp;utm_content=h4hocvien_tailieu_NON_LD011&amp;utm_campaign=ielts_NON_NON_HuyTC_260521" TargetMode="External"/><Relationship Id="rId14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" Type="http://schemas.openxmlformats.org/officeDocument/2006/relationships/hyperlink" Target="https://patadovietnam.edu.vn/test-trinh-do/" TargetMode="External"/><Relationship Id="rId14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4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4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4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" Type="http://schemas.openxmlformats.org/officeDocument/2006/relationships/hyperlink" Target="https://patadovietnam.edu.vn/blog/tin-tuc-tieng-anh/idioms-ielts-speaking/" TargetMode="External"/><Relationship Id="rId14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" Type="http://schemas.openxmlformats.org/officeDocument/2006/relationships/hyperlink" Target="https://patadovietnam.edu.vn/blog/tin-tuc-tieng-anh/idioms-ielts-speaking/?utm_source=Facebook&amp;utm_medium=SEE&amp;utm_term=NON_NONE_none_none_260521&amp;utm_content=h4hocvien_idioms_NON_LD063&amp;utm_campaign=ielts_NON_NON_HuyTC_260521" TargetMode="External"/><Relationship Id="rId14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" Type="http://schemas.openxmlformats.org/officeDocument/2006/relationships/hyperlink" Target="https://patadovietnam.edu.vn/" TargetMode="External"/><Relationship Id="rId14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" Type="http://schemas.openxmlformats.org/officeDocument/2006/relationships/hyperlink" Target="https://patadovietnam.edu.vn/?utm_source=Facebook&amp;utm_medium=SEE&amp;utm_term=NON_NONE_none_none_310521&amp;utm_content=h4hocvien_clip_NON_LD008&amp;utm_campaign=KOL_NON_NON_HuyTC_310521" TargetMode="External"/><Relationship Id="rId14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7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7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7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6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6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6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6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6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6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6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6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6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6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0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0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0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0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0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0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0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0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0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0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4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4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4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4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4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4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4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4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4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4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3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3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3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3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3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3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3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3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3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3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6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6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6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6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6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6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6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6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6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6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" Type="http://schemas.openxmlformats.org/officeDocument/2006/relationships/hyperlink" Target="https://patadovietnam.edu.vn/test-trinh-do/?utm_source=Facebook&amp;utm_medium=SEE&amp;utm_term=NON_NONE_none_none_2021-06-08&amp;utm_content=h4hocvien_test_NON_LD013&amp;utm_campaign=tienganh_NON_NON_HuyTC_2021-06-08" TargetMode="External"/><Relationship Id="rId1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5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5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5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5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5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5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5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5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5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5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0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0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0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0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0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0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0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0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0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0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2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2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2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2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2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2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2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2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2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2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1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1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1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1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1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1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1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1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1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1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8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8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8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8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8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8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8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8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8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8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7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7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7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7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7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7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7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7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7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7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9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9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9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9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9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9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9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9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9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9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7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7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8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8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8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8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8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8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8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8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8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8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7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7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7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7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7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7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7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7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54" Type="http://schemas.openxmlformats.org/officeDocument/2006/relationships/drawing" Target="../drawings/drawing2.xml"/><Relationship Id="rId61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5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5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5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5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2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2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2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2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2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2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2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2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2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2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1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1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1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1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1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1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1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1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1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1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4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4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4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4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4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4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4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4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4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4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3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3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3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3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3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3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3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3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3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3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9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9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9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9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9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9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9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9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9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9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6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6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6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6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6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6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6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6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6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6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8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8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8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8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8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8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8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8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8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8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7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7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7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7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7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7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7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7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7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7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toandien.tienganh24h.net/khoahocgiaotiep/" TargetMode="External"/><Relationship Id="rId2" Type="http://schemas.openxmlformats.org/officeDocument/2006/relationships/hyperlink" Target="https://patadovietnam.edu.vn/tai-tai-lieu/" TargetMode="External"/><Relationship Id="rId3" Type="http://schemas.openxmlformats.org/officeDocument/2006/relationships/hyperlink" Target="https://patadovietnam.edu.vn/blog/ielts-reading/de-thi-ielts-reading-thu/" TargetMode="External"/><Relationship Id="rId4" Type="http://schemas.openxmlformats.org/officeDocument/2006/relationships/hyperlink" Target="https://patadovietnam.edu.vn/blog/ielts-speaking/patado-tong-hop-de-thi-ielts-speaking-2020/" TargetMode="External"/><Relationship Id="rId9" Type="http://schemas.openxmlformats.org/officeDocument/2006/relationships/hyperlink" Target="https://patadovietnam.edu.vn/blog/kinh-nghiem-thi/ielts/?utm_source=Facebook&amp;utm_medium=SEE1&amp;utm_term=NON_NONE_none_none_120121&amp;utm_content=khac_content_NON_LD043&amp;utm_campaign=ielts_NON_NON_HoaDM_120121" TargetMode="External"/><Relationship Id="rId5" Type="http://schemas.openxmlformats.org/officeDocument/2006/relationships/hyperlink" Target="https://patadovietnam.edu.vn/blog/ielts-speaking/patado-tong-hop-de-thi-ielts-speaking-2020/?utm_source=Facebook&amp;utm_medium=SEE1&amp;utm_term=NON_NONE_none_none_080121&amp;utm_content=khac_content_NON_LD038&amp;utm_campaign=speaking_NON_NON_HoaDM_080121" TargetMode="External"/><Relationship Id="rId6" Type="http://schemas.openxmlformats.org/officeDocument/2006/relationships/hyperlink" Target="https://patadovietnam.edu.vn/blog/vocab-grammar/3000-tu-vung-ielts-thong-dung-nhat/" TargetMode="External"/><Relationship Id="rId7" Type="http://schemas.openxmlformats.org/officeDocument/2006/relationships/hyperlink" Target="https://patadovietnam.edu.vn/blog/vocab-grammar/3000-tu-vung-ielts-thong-dung-nhat/?utm_source=Facebook&amp;utm_medium=SEE1&amp;utm_term=NON_NONE_none_none_120121&amp;utm_content=khac_content_NON_LD042&amp;utm_campaign=tuvung_NON_NON_HoaDM_120121" TargetMode="External"/><Relationship Id="rId8" Type="http://schemas.openxmlformats.org/officeDocument/2006/relationships/hyperlink" Target="https://patadovietnam.edu.vn/blog/kinh-nghiem-thi/ielts/" TargetMode="External"/><Relationship Id="rId40" Type="http://schemas.openxmlformats.org/officeDocument/2006/relationships/hyperlink" Target="https://patadovietnam.edu.vn/?utm_source=Facebook&amp;utm_medium=ENG&amp;utm_term=NON_HN_none_none_100321&amp;utm_content=khac_tuvung_NON_LD008&amp;utm_campaign=baituongtac1_XuBen.5018_ENG_HoaDM_100321" TargetMode="External"/><Relationship Id="rId42" Type="http://schemas.openxmlformats.org/officeDocument/2006/relationships/hyperlink" Target="https://patadovietnam.edu.vn/?utm_source=Facebook&amp;utm_medium=ENG&amp;utm_term=NON_HN_none_none_130321&amp;utm_content=khac_web_NON_LD008&amp;utm_campaign=ttac_XuBen.5018_ENG_HoaDM_130321" TargetMode="External"/><Relationship Id="rId41" Type="http://schemas.openxmlformats.org/officeDocument/2006/relationships/hyperlink" Target="https://patadovietnam.edu.vn/" TargetMode="External"/><Relationship Id="rId44" Type="http://schemas.openxmlformats.org/officeDocument/2006/relationships/hyperlink" Target="https://patadovietnam.edu.vn/?utm_source=Facebook&amp;utm_medium=ENG&amp;utm_term=NON_HN_none_none_170321&amp;utm_content=khac_ct_NON_LD008&amp;utm_campaign=like_XuBen.5018_ENG_HoaDM_170321" TargetMode="External"/><Relationship Id="rId43" Type="http://schemas.openxmlformats.org/officeDocument/2006/relationships/hyperlink" Target="https://patadovietnam.edu.vn/" TargetMode="External"/><Relationship Id="rId46" Type="http://schemas.openxmlformats.org/officeDocument/2006/relationships/hyperlink" Target="https://patadovietnam.edu.vn/tai-lieu/ielts-vocabulary-booster/?utm_source=Facebook&amp;utm_medium=ENG&amp;utm_term=NON_HN_none_none_190321&amp;utm_content=khac_ct_NON_LD054&amp;utm_campaign=vo_NON_NON_HoaDM_190321" TargetMode="External"/><Relationship Id="rId45" Type="http://schemas.openxmlformats.org/officeDocument/2006/relationships/hyperlink" Target="https://patadovietnam.edu.vn/tai-lieu/ielts-vocabulary-booster/" TargetMode="External"/><Relationship Id="rId48" Type="http://schemas.openxmlformats.org/officeDocument/2006/relationships/hyperlink" Target="https://patadovietnam.edu.vn/test-trinh-do/?utm_source=Facebook&amp;utm_medium=SEE1&amp;utm_term=NON_NONE_none_none_231221&amp;utm_content=khac_mail_NON_LD013&amp;utm_campaign=testtrinhdo_NON_NON_DuongNB_231221" TargetMode="External"/><Relationship Id="rId47" Type="http://schemas.openxmlformats.org/officeDocument/2006/relationships/hyperlink" Target="https://patadovietnam.edu.vn/test-trinh-do/" TargetMode="External"/><Relationship Id="rId49" Type="http://schemas.openxmlformats.org/officeDocument/2006/relationships/hyperlink" Target="https://patadovietnam.edu.vn/blog/sach-luyen-thi-ielts/ielts-cambridge/" TargetMode="External"/><Relationship Id="rId31" Type="http://schemas.openxmlformats.org/officeDocument/2006/relationships/hyperlink" Target="https://patadovietnam.edu.vn/blog/vocab-grammar/tu-loai/?utm_source=Facebook&amp;utm_medium=SEE1&amp;utm_term=NON_NONE_none_none_200121&amp;utm_content=khac_content_NON_LD055&amp;utm_campaign=tuloai_NON_NON_HoaDM_200121" TargetMode="External"/><Relationship Id="rId30" Type="http://schemas.openxmlformats.org/officeDocument/2006/relationships/hyperlink" Target="https://patadovietnam.edu.vn/blog/vocab-grammar/tu-loai/" TargetMode="External"/><Relationship Id="rId33" Type="http://schemas.openxmlformats.org/officeDocument/2006/relationships/hyperlink" Target="https://patadovietnam.edu.vn/test-trinh-do/grammar-level-test-01/?utm_source=Facebook&amp;utm_medium=SEE1&amp;utm_term=NON_NONE_none_none_200121&amp;utm_content=khac_testG_NON_LD057&amp;utm_campaign=test_NON_NON_HoaDM_200121" TargetMode="External"/><Relationship Id="rId32" Type="http://schemas.openxmlformats.org/officeDocument/2006/relationships/hyperlink" Target="https://patadovietnam.edu.vn/test-trinh-do/grammar-level-test-01/" TargetMode="External"/><Relationship Id="rId35" Type="http://schemas.openxmlformats.org/officeDocument/2006/relationships/hyperlink" Target="https://patadovietnam.edu.vn/tai-lieu/bo-complete-ielts/?utm_source=Facebook&amp;utm_medium=SEE1&amp;utm_term=NON_NONE_none_none_170221&amp;utm_content=khac_id_NON_LD058&amp;utm_campaign=idioms_NON_NON_HoaDM_170221" TargetMode="External"/><Relationship Id="rId34" Type="http://schemas.openxmlformats.org/officeDocument/2006/relationships/hyperlink" Target="https://patadovietnam.edu.vn/tai-lieu/bo-complete-ielts/" TargetMode="External"/><Relationship Id="rId37" Type="http://schemas.openxmlformats.org/officeDocument/2006/relationships/hyperlink" Target="https://patadovietnam.edu.vn/tai-lieu/basic-ielts-full-pdf/" TargetMode="External"/><Relationship Id="rId36" Type="http://schemas.openxmlformats.org/officeDocument/2006/relationships/hyperlink" Target="https://patadovietnam.edu.vn/tai-lieu/tron-bo-practical-ielts-strategies/" TargetMode="External"/><Relationship Id="rId39" Type="http://schemas.openxmlformats.org/officeDocument/2006/relationships/hyperlink" Target="https://patadovietnam.edu.vn/" TargetMode="External"/><Relationship Id="rId38" Type="http://schemas.openxmlformats.org/officeDocument/2006/relationships/hyperlink" Target="https://patadovietnam.edu.vn/tai-lieu/basic-ielts-full-pdf/?utm_source=Facebook&amp;utm_medium=SEE1&amp;utm_term=NON_NONE_none_none_260221&amp;utm_content=khac_il_NON_LD017&amp;utm_campaign=listening_NON_NON_HoaDM_260221" TargetMode="External"/><Relationship Id="rId20" Type="http://schemas.openxmlformats.org/officeDocument/2006/relationships/hyperlink" Target="https://patadovietnam.edu.vn/blog/ielts-writting/cau-truc-bai-thi-ielts-academic-writing/" TargetMode="External"/><Relationship Id="rId22" Type="http://schemas.openxmlformats.org/officeDocument/2006/relationships/hyperlink" Target="https://patadovietnam.edu.vn/tai-lieu/chinh-phuc-ielts-writing-course/" TargetMode="External"/><Relationship Id="rId21" Type="http://schemas.openxmlformats.org/officeDocument/2006/relationships/hyperlink" Target="https://patadovietnam.edu.vn/blog/ielts-writting/cau-truc-bai-thi-ielts-academic-writing/?utm_source=Facebook&amp;utm_medium=SEE1&amp;utm_term=NON_NONE_none_none_150121&amp;utm_content=khac_ct_NON_LD051&amp;utm_campaign=wr_NON_NON_HoaDM_150121" TargetMode="External"/><Relationship Id="rId24" Type="http://schemas.openxmlformats.org/officeDocument/2006/relationships/hyperlink" Target="https://patadovietnam.edu.vn/blog/vocab-grammar/16-thi-trong-tieng-anh/" TargetMode="External"/><Relationship Id="rId23" Type="http://schemas.openxmlformats.org/officeDocument/2006/relationships/hyperlink" Target="https://patadovietnam.edu.vn/tai-lieu/chinh-phuc-ielts-writing-course/?utm_source=Facebook&amp;utm_medium=SEE1&amp;utm_term=NON_NONE_none_none_150121&amp;utm_content=khac_ct_NON_LD014&amp;utm_campaign=wr_NON_NON_HoaDM_150121" TargetMode="External"/><Relationship Id="rId26" Type="http://schemas.openxmlformats.org/officeDocument/2006/relationships/hyperlink" Target="https://patadovietnam.edu.vn/tai-lieu-ielts/" TargetMode="External"/><Relationship Id="rId25" Type="http://schemas.openxmlformats.org/officeDocument/2006/relationships/hyperlink" Target="https://patadovietnam.edu.vn/blog/vocab-grammar/16-thi-trong-tieng-anh/?utm_source=Facebook&amp;utm_medium=SEE1&amp;utm_term=NON_NONE_none_none_150121&amp;utm_content=khac_ct_NON_LD034&amp;utm_campaign=wr_NON_NON_HoaDM_150121" TargetMode="External"/><Relationship Id="rId28" Type="http://schemas.openxmlformats.org/officeDocument/2006/relationships/hyperlink" Target="https://patadovietnam.edu.vn/blog/vocab-grammar/bang-dong-tu-bat-quy-tac/" TargetMode="External"/><Relationship Id="rId27" Type="http://schemas.openxmlformats.org/officeDocument/2006/relationships/hyperlink" Target="https://patadovietnam.edu.vn/tai-lieu-ielts/?utm_source=Facebook&amp;utm_medium=SEE1&amp;utm_term=NON_NONE_none_none_150121&amp;utm_content=khac_ct_NON_LD053&amp;utm_campaign=ielts_NON_NON_HoaDM_150121" TargetMode="External"/><Relationship Id="rId29" Type="http://schemas.openxmlformats.org/officeDocument/2006/relationships/hyperlink" Target="https://patadovietnam.edu.vn/blog/vocab-grammar/bang-dong-tu-bat-quy-tac/?utm_source=Facebook&amp;utm_medium=SEE1&amp;utm_term=NON_NONE_none_none_200121&amp;utm_content=khac_ct_NON_LD056&amp;utm_campaign=%C4%90TBQT_NON_NON_HoaDM_200121" TargetMode="External"/><Relationship Id="rId11" Type="http://schemas.openxmlformats.org/officeDocument/2006/relationships/hyperlink" Target="https://patadovietnam.edu.vn/?utm_source=Facebook&amp;utm_medium=SEE1&amp;utm_term=NON_NONE_none_none_140121&amp;utm_content=khac_ct_NON_LD008&amp;utm_campaign=ptd_NON_NON_HoaDM_140121" TargetMode="External"/><Relationship Id="rId10" Type="http://schemas.openxmlformats.org/officeDocument/2006/relationships/hyperlink" Target="https://patadovietnam.edu.vn/" TargetMode="External"/><Relationship Id="rId13" Type="http://schemas.openxmlformats.org/officeDocument/2006/relationships/hyperlink" Target="https://patadovietnam.edu.vn/tai-lieu-giao-tiep/?utm_source=Facebook&amp;utm_medium=SEE1&amp;utm_term=NON_NONE_none_none_140121&amp;utm_content=khac_ct_NON_LD047&amp;utm_campaign=com_NON_NON_HoaDM_140121" TargetMode="External"/><Relationship Id="rId12" Type="http://schemas.openxmlformats.org/officeDocument/2006/relationships/hyperlink" Target="https://patadovietnam.edu.vn/tai-lieu-giao-tiep/" TargetMode="External"/><Relationship Id="rId15" Type="http://schemas.openxmlformats.org/officeDocument/2006/relationships/hyperlink" Target="https://patadovietnam.edu.vn/blog/kinh-nghiem-thi/hinh-thuc-thi-ielts/?utm_source=Facebook&amp;utm_medium=SEE1&amp;utm_term=NON_NONE_none_none_140121&amp;utm_content=khac_ct_NON_LD048&amp;utm_campaign=ielts_NON_NON_HoaDM_140121" TargetMode="External"/><Relationship Id="rId14" Type="http://schemas.openxmlformats.org/officeDocument/2006/relationships/hyperlink" Target="https://patadovietnam.edu.vn/blog/kinh-nghiem-thi/hinh-thuc-thi-ielts/" TargetMode="External"/><Relationship Id="rId17" Type="http://schemas.openxmlformats.org/officeDocument/2006/relationships/hyperlink" Target="https://patadovietnam.edu.vn/tai-lieu/cambridge-instant-ielts/?utm_source=Facebook&amp;utm_medium=SEE1&amp;utm_term=NON_NONE_none_none_140121&amp;utm_content=khac_ct_NON_LD015&amp;utm_campaign=ielts_NON_NON_HoaDM_140121" TargetMode="External"/><Relationship Id="rId16" Type="http://schemas.openxmlformats.org/officeDocument/2006/relationships/hyperlink" Target="https://patadovietnam.edu.vn/tai-lieu/cambridge-instant-ielts/" TargetMode="External"/><Relationship Id="rId19" Type="http://schemas.openxmlformats.org/officeDocument/2006/relationships/hyperlink" Target="https://patadovietnam.edu.vn/khoa-hoc-ielts/?utm_source=Facebook&amp;utm_medium=SEE1&amp;utm_term=NON_NONE_none_none_140121&amp;utm_content=khac_ct_NON_LD044&amp;utm_campaign=ielts_NON_NON_HoaDM_140121" TargetMode="External"/><Relationship Id="rId18" Type="http://schemas.openxmlformats.org/officeDocument/2006/relationships/hyperlink" Target="https://patadovietnam.edu.vn/khoa-hoc-ielts/" TargetMode="External"/><Relationship Id="rId84" Type="http://schemas.openxmlformats.org/officeDocument/2006/relationships/hyperlink" Target="https://patadovietnam.edu.vn/tai-lieu/doi-thoai-hang-ngay-everyday-conversations/?utm_source=Facebook&amp;utm_medium=SEE&amp;utm_term=NON_NONE_none_none_100122&amp;utm_content=khac_tailieu_NON_LD026&amp;utm_campaign=EverydayConversations_NON_NON_DuongNB_100122" TargetMode="External"/><Relationship Id="rId83" Type="http://schemas.openxmlformats.org/officeDocument/2006/relationships/hyperlink" Target="https://patadovietnam.edu.vn/tai-lieu/doi-thoai-hang-ngay-everyday-conversations/" TargetMode="External"/><Relationship Id="rId86" Type="http://schemas.openxmlformats.org/officeDocument/2006/relationships/hyperlink" Target="https://patadovietnam.edu.vn/tai-lieu/top-tips-for-ielts-academic/?utm_source=Facebook&amp;utm_medium=SEE&amp;utm_term=NON_NONE_none_none_100122&amp;utm_content=khac_tailieu_NON_LD023&amp;utm_campaign=Toptips_NON_NON_DuongNB_100122" TargetMode="External"/><Relationship Id="rId85" Type="http://schemas.openxmlformats.org/officeDocument/2006/relationships/hyperlink" Target="https://patadovietnam.edu.vn/tai-lieu/top-tips-for-ielts-academic/" TargetMode="External"/><Relationship Id="rId88" Type="http://schemas.openxmlformats.org/officeDocument/2006/relationships/hyperlink" Target="https://patadovietnam.edu.vn/tai-lieu/ielts-vocabulary-booster/?utm_source=Facebook&amp;utm_medium=SEE&amp;utm_term=NON_NONE_none_none_100122&amp;utm_content=khac_tailieu_NON_LD054&amp;utm_campaign=VOCABULARYBOOSTER_NON_NON_DuongNB_100122" TargetMode="External"/><Relationship Id="rId87" Type="http://schemas.openxmlformats.org/officeDocument/2006/relationships/hyperlink" Target="https://patadovietnam.edu.vn/tai-lieu/ielts-vocabulary-booster/" TargetMode="External"/><Relationship Id="rId89" Type="http://schemas.openxmlformats.org/officeDocument/2006/relationships/hyperlink" Target="https://patadovietnam.edu.vn/tai-lieu/oxford-word-skills-basic/" TargetMode="External"/><Relationship Id="rId80" Type="http://schemas.openxmlformats.org/officeDocument/2006/relationships/hyperlink" Target="https://patadovietnam.edu.vn/tai-lieu/tron-bo-intensive-ielts/?utm_source=Facebook&amp;utm_medium=SEE&amp;utm_term=NON_NONE_none_none_050122&amp;utm_content=khac_tailieu_NON_LD094&amp;utm_campaign=Intensive_NON_NON_DuongNB_050122" TargetMode="External"/><Relationship Id="rId82" Type="http://schemas.openxmlformats.org/officeDocument/2006/relationships/hyperlink" Target="https://patadovietnam.edu.vn/tai-lieu/marvellous-techniques-for-ielts-writing/?utm_source=Facebook&amp;utm_medium=SEE&amp;utm_term=NON_NONE_none_none_080122&amp;utm_content=khac_tailieu_NON_LD095&amp;utm_campaign=MarvellousTechniques_NON_NON_DuongNB_080122" TargetMode="External"/><Relationship Id="rId81" Type="http://schemas.openxmlformats.org/officeDocument/2006/relationships/hyperlink" Target="https://patadovietnam.edu.vn/tai-lieu/marvellous-techniques-for-ielts-writing/" TargetMode="External"/><Relationship Id="rId73" Type="http://schemas.openxmlformats.org/officeDocument/2006/relationships/hyperlink" Target="https://patadovietnam.edu.vn/tai-lieu/tron-bo-collins-for-ielts/" TargetMode="External"/><Relationship Id="rId72" Type="http://schemas.openxmlformats.org/officeDocument/2006/relationships/hyperlink" Target="https://patadovietnam.edu.vn/tai-lieu/bo-improve-your-ielts-4-ky-nang/?utm_source=Facebook&amp;utm_medium=SEE&amp;utm_term=NON_NONE_none_none_030122&amp;utm_content=khac_tailieu_NON_LD090&amp;utm_campaign=ImproveyourIELTS_NON_NON_DuongNB_030122" TargetMode="External"/><Relationship Id="rId75" Type="http://schemas.openxmlformats.org/officeDocument/2006/relationships/hyperlink" Target="https://patadovietnam.edu.vn/tai-lieu/tron-bo-mindset-for-ielts-ban-pdf/" TargetMode="External"/><Relationship Id="rId74" Type="http://schemas.openxmlformats.org/officeDocument/2006/relationships/hyperlink" Target="https://patadovietnam.edu.vn/tai-lieu/tron-bo-collins-for-ielts/?utm_source=Facebook&amp;utm_medium=SEE&amp;utm_term=NON_NONE_none_none_030122&amp;utm_content=khac_tailieu_NON_LD091&amp;utm_campaign=CollinsforIELTS_NON_NON_DuongNB_030122" TargetMode="External"/><Relationship Id="rId77" Type="http://schemas.openxmlformats.org/officeDocument/2006/relationships/hyperlink" Target="https://patadovietnam.edu.vn/tai-lieu/academic-writing-practice-for-ielts/" TargetMode="External"/><Relationship Id="rId76" Type="http://schemas.openxmlformats.org/officeDocument/2006/relationships/hyperlink" Target="https://patadovietnam.edu.vn/tai-lieu/tron-bo-mindset-for-ielts-ban-pdf/?utm_source=Facebook&amp;utm_medium=SEE&amp;utm_term=NON_NONE_none_none_040122&amp;utm_content=khac_tailieu_NON_LD092&amp;utm_campaign=MindsetforIELTS_NON_NON_DuongNB_040122" TargetMode="External"/><Relationship Id="rId79" Type="http://schemas.openxmlformats.org/officeDocument/2006/relationships/hyperlink" Target="https://patadovietnam.edu.vn/tai-lieu/tron-bo-intensive-ielts/" TargetMode="External"/><Relationship Id="rId78" Type="http://schemas.openxmlformats.org/officeDocument/2006/relationships/hyperlink" Target="https://patadovietnam.edu.vn/tai-lieu/academic-writing-practice-for-ielts/?utm_source=Facebook&amp;utm_medium=SEE&amp;utm_term=NON_NONE_none_none_040122&amp;utm_content=khac_tailieu_NON_LD093&amp;utm_campaign=AcademicWritingPracticeforIELTS_NON_NON_DuongNB_040122" TargetMode="External"/><Relationship Id="rId71" Type="http://schemas.openxmlformats.org/officeDocument/2006/relationships/hyperlink" Target="https://patadovietnam.edu.vn/tai-lieu/bo-improve-your-ielts-4-ky-nang/" TargetMode="External"/><Relationship Id="rId70" Type="http://schemas.openxmlformats.org/officeDocument/2006/relationships/hyperlink" Target="https://patadovietnam.edu.vn/tai-lieu/reading-strategies-for-the-ielts-test/?utm_source=Facebook&amp;utm_medium=SEE&amp;utm_term=NON_NONE_none_none_030122&amp;utm_content=khac_tailieu_NON_LD021&amp;utm_campaign=ReadingStrategiesfortheIELTSTest_NON_NON_DuongNB_030122" TargetMode="External"/><Relationship Id="rId62" Type="http://schemas.openxmlformats.org/officeDocument/2006/relationships/hyperlink" Target="https://forms.gle/YZ7FebbSC6Upf7yu9/?utm_source=Facebook&amp;utm_medium=SEE1&amp;utm_term=NON_NONE_none_none_281221&amp;utm_content=khac_tailieu_NON_LD085&amp;utm_campaign=5s_NON_NON_DuongNB_281221" TargetMode="External"/><Relationship Id="rId61" Type="http://schemas.openxmlformats.org/officeDocument/2006/relationships/hyperlink" Target="https://forms.gle/YZ7FebbSC6Upf7yu9" TargetMode="External"/><Relationship Id="rId64" Type="http://schemas.openxmlformats.org/officeDocument/2006/relationships/hyperlink" Target="https://patadovietnam.edu.vn/tai-lieu/academic-vocabulary-in-use/?utm_source=Facebook&amp;utm_medium=SEE1&amp;utm_term=NON_NONE_none_none_281221&amp;utm_content=khac_tailieu_NON_LD086&amp;utm_campaign=AcademicVocabulary_NON_NON_DuongNB_281221" TargetMode="External"/><Relationship Id="rId63" Type="http://schemas.openxmlformats.org/officeDocument/2006/relationships/hyperlink" Target="https://patadovietnam.edu.vn/tai-lieu/academic-vocabulary-in-use/" TargetMode="External"/><Relationship Id="rId66" Type="http://schemas.openxmlformats.org/officeDocument/2006/relationships/hyperlink" Target="https://patadovietnam.edu.vn/tai-lieu/tron-bo-english-vocabulary-in-use/?utm_source=Facebook&amp;utm_medium=SEE1&amp;utm_term=NON_NONE_none_none_291221&amp;utm_content=khac_tailieu_NON_LD087&amp;utm_campaign=EnglishVocabularyinUse_NON_NON_DuongNB_291221" TargetMode="External"/><Relationship Id="rId65" Type="http://schemas.openxmlformats.org/officeDocument/2006/relationships/hyperlink" Target="https://patadovietnam.edu.vn/tai-lieu/tron-bo-english-vocabulary-in-use/" TargetMode="External"/><Relationship Id="rId68" Type="http://schemas.openxmlformats.org/officeDocument/2006/relationships/hyperlink" Target="https://patadovietnam.edu.vn/tai-lieu/ielts-advantage-speaking-listening-skills/?utm_source=Facebook&amp;utm_medium=SEE1&amp;utm_term=NON_NONE_none_none_301221&amp;utm_content=khac_tailieu_NON_LD081&amp;utm_campaign=IELTSAdvantageSpeakingListeningSkills_NON_NON_DuongNB_301221" TargetMode="External"/><Relationship Id="rId67" Type="http://schemas.openxmlformats.org/officeDocument/2006/relationships/hyperlink" Target="https://patadovietnam.edu.vn/tai-lieu/ielts-advantage-speaking-listening-skills/" TargetMode="External"/><Relationship Id="rId60" Type="http://schemas.openxmlformats.org/officeDocument/2006/relationships/hyperlink" Target="https://patadovietnam.edu.vn/tai-lieu/destination-b1-b2-va-c1c2/?utm_source=Facebook&amp;utm_medium=SEE1&amp;utm_term=NON_NONE_none_none_281221&amp;utm_content=khac_tailieu_NON_LD020&amp;utm_campaign=Destination_NON_NON_DuongNB_281221" TargetMode="External"/><Relationship Id="rId69" Type="http://schemas.openxmlformats.org/officeDocument/2006/relationships/hyperlink" Target="https://patadovietnam.edu.vn/tai-lieu/reading-strategies-for-the-ielts-test/" TargetMode="External"/><Relationship Id="rId51" Type="http://schemas.openxmlformats.org/officeDocument/2006/relationships/hyperlink" Target="https://patadovietnam.edu.vn/tai-lieu/ielts-advantage-speaking-listening-skills/" TargetMode="External"/><Relationship Id="rId50" Type="http://schemas.openxmlformats.org/officeDocument/2006/relationships/hyperlink" Target="https://patadovietnam.edu.vn/blog/sach-luyen-thi-ielts/ielts-cambridge/?utm_source=Facebook&amp;utm_medium=SEE1&amp;utm_term=NON_NONE_none_none_271221&amp;utm_content=khac_tailieu_NON_LD080&amp;utm_campaign=cambridge_NON_NON_DuongNB_271221" TargetMode="External"/><Relationship Id="rId53" Type="http://schemas.openxmlformats.org/officeDocument/2006/relationships/hyperlink" Target="https://patadovietnam.edu.vn/tai-lieu/ielts-listening-actual-test/" TargetMode="External"/><Relationship Id="rId52" Type="http://schemas.openxmlformats.org/officeDocument/2006/relationships/hyperlink" Target="https://patadovietnam.edu.vn/tai-lieu/ielts-advantage-speaking-listening-skills/?utm_source=Facebook&amp;utm_medium=SEE1&amp;utm_term=NON_NONE_none_none_271221&amp;utm_content=khac_tailieu_NON_LD081&amp;utm_campaign=IELTSAdvantageSpeakingListeningSkills_NON_NON_DuongNB_271221" TargetMode="External"/><Relationship Id="rId55" Type="http://schemas.openxmlformats.org/officeDocument/2006/relationships/hyperlink" Target="https://patadovietnam.edu.vn/tai-lieu/barrons-ielts-practice-exams/" TargetMode="External"/><Relationship Id="rId54" Type="http://schemas.openxmlformats.org/officeDocument/2006/relationships/hyperlink" Target="https://patadovietnam.edu.vn/tai-lieu/ielts-listening-actual-test/?utm_source=Facebook&amp;utm_medium=SEE1&amp;utm_term=NON_NONE_none_none_271221&amp;utm_content=khac_tailieu_NON_LD082&amp;utm_campaign=IELTSListeningActualTest_NON_NON_DuongNB_271221" TargetMode="External"/><Relationship Id="rId57" Type="http://schemas.openxmlformats.org/officeDocument/2006/relationships/hyperlink" Target="https://patadovietnam.edu.vn/tai-lieu/a-book-for-ielts/" TargetMode="External"/><Relationship Id="rId56" Type="http://schemas.openxmlformats.org/officeDocument/2006/relationships/hyperlink" Target="https://patadovietnam.edu.vn/tai-lieu/barrons-ielts-practice-exams/?utm_source=Facebook&amp;utm_medium=SEE1&amp;utm_term=NON_NONE_none_none_271221&amp;utm_content=khac_tailieu_NON_LD083&amp;utm_campaign=IELTSPracticeExam_NON_NON_DuongNB_271221" TargetMode="External"/><Relationship Id="rId59" Type="http://schemas.openxmlformats.org/officeDocument/2006/relationships/hyperlink" Target="https://patadovietnam.edu.vn/tai-lieu/destination-b1-b2-va-c1c2/" TargetMode="External"/><Relationship Id="rId58" Type="http://schemas.openxmlformats.org/officeDocument/2006/relationships/hyperlink" Target="https://patadovietnam.edu.vn/tai-lieu/a-book-for-ielts/?utm_source=Facebook&amp;utm_medium=SEE1&amp;utm_term=NON_NONE_none_none_271221&amp;utm_content=khac_tailieu_NON_LD084&amp;utm_campaign=AbookforIELTS_NON_NON_DuongNB_271221" TargetMode="External"/><Relationship Id="rId107" Type="http://schemas.openxmlformats.org/officeDocument/2006/relationships/hyperlink" Target="https://patadovietnam.edu.vn/tai-lieu/tron-bo-barrons-ielts/" TargetMode="External"/><Relationship Id="rId106" Type="http://schemas.openxmlformats.org/officeDocument/2006/relationships/hyperlink" Target="https://patadovietnam.edu.vn/tai-lieu/tron-bo-cambridge-ielts-1-15/?utm_source=Facebook&amp;utm_medium=SEE&amp;utm_term=NON_NONE_none_none_210122&amp;utm_content=khac_tailieu_NON_LD100&amp;utm_campaign=tronbocambridge_NON_NON_DuongNB_210122" TargetMode="External"/><Relationship Id="rId105" Type="http://schemas.openxmlformats.org/officeDocument/2006/relationships/hyperlink" Target="https://patadovietnam.edu.vn/tai-lieu/tron-bo-cambridge-ielts-1-15/" TargetMode="External"/><Relationship Id="rId104" Type="http://schemas.openxmlformats.org/officeDocument/2006/relationships/hyperlink" Target="https://patadovietnam.edu.vn/tai-lieu/english-collocations-in-use/?utm_source=Facebook&amp;utm_medium=SEE&amp;utm_term=NON_NONE_none_none_200122&amp;utm_content=khac_tailieu_NON_LD099&amp;utm_campaign=ENGLISHCOLLOCATIONS_NON_NON_DuongNB_200122" TargetMode="External"/><Relationship Id="rId109" Type="http://schemas.openxmlformats.org/officeDocument/2006/relationships/hyperlink" Target="https://patadovietnam.edu.vn/tai-lieu/bo-complete-ielts/" TargetMode="External"/><Relationship Id="rId108" Type="http://schemas.openxmlformats.org/officeDocument/2006/relationships/hyperlink" Target="https://patadovietnam.edu.vn/tai-lieu/tron-bo-barrons-ielts/?utm_source=Facebook&amp;utm_medium=SEE&amp;utm_term=NON_NONE_none_none_240122&amp;utm_content=khac_tailieu_NON_LD101&amp;utm_campaign=barron_NON_NON_DuongNB_240122" TargetMode="External"/><Relationship Id="rId103" Type="http://schemas.openxmlformats.org/officeDocument/2006/relationships/hyperlink" Target="https://patadovietnam.edu.vn/tai-lieu/english-collocations-in-use/" TargetMode="External"/><Relationship Id="rId102" Type="http://schemas.openxmlformats.org/officeDocument/2006/relationships/hyperlink" Target="https://patadovietnam.edu.vn/tai-lieu/cambridge-grammar-for-ielts/?utm_source=Facebook&amp;utm_medium=SEE&amp;utm_term=NON_NONE_none_none_180122&amp;utm_content=khac_tailieu_NON_LD018&amp;utm_campaign=CambridgeGrammarforIELTS_NON_NON_DuongNB_180122" TargetMode="External"/><Relationship Id="rId101" Type="http://schemas.openxmlformats.org/officeDocument/2006/relationships/hyperlink" Target="https://patadovietnam.edu.vn/tai-lieu/cambridge-grammar-for-ielts/" TargetMode="External"/><Relationship Id="rId100" Type="http://schemas.openxmlformats.org/officeDocument/2006/relationships/hyperlink" Target="https://patadovietnam.edu.vn/tai-lieu/english-made-easy/?utm_source=Facebook&amp;utm_medium=SEE&amp;utm_term=NON_NONE_none_none_180122&amp;utm_content=khac_tailieu_NON_LD098&amp;utm_campaign=EnglishMadeEasyVloume1_NON_NON_DuongNB_180122" TargetMode="External"/><Relationship Id="rId95" Type="http://schemas.openxmlformats.org/officeDocument/2006/relationships/hyperlink" Target="https://patadovietnam.edu.vn/tai-lieu/3000-tu-vung-tieng-anh/" TargetMode="External"/><Relationship Id="rId94" Type="http://schemas.openxmlformats.org/officeDocument/2006/relationships/hyperlink" Target="https://patadovietnam.edu.vn/tai-lieu/focus-on-academic-skills-for-ielts/?utm_source=Facebook&amp;utm_medium=SEE&amp;utm_term=NON_NONE_none_none_130122&amp;utm_content=khac_tailieu_NON_LD016&amp;utm_campaign=focusonacademicskillsforielts_NON_NON_DuongNB_130122" TargetMode="External"/><Relationship Id="rId97" Type="http://schemas.openxmlformats.org/officeDocument/2006/relationships/hyperlink" Target="https://patadovietnam.edu.vn/tai-lieu/bo-4000-essential-english-words/" TargetMode="External"/><Relationship Id="rId96" Type="http://schemas.openxmlformats.org/officeDocument/2006/relationships/hyperlink" Target="https://patadovietnam.edu.vn/tai-lieu/3000-tu-vung-tieng-anh/?utm_source=Facebook&amp;utm_medium=SEE&amp;utm_term=NON_NONE_none_none_140122&amp;utm_content=khac_tailieu_NON_LD040&amp;utm_campaign=3000tuvung_NON_NON_DuongNB_140122" TargetMode="External"/><Relationship Id="rId99" Type="http://schemas.openxmlformats.org/officeDocument/2006/relationships/hyperlink" Target="https://patadovietnam.edu.vn/tai-lieu/english-made-easy/" TargetMode="External"/><Relationship Id="rId98" Type="http://schemas.openxmlformats.org/officeDocument/2006/relationships/hyperlink" Target="https://patadovietnam.edu.vn/tai-lieu/bo-4000-essential-english-words/?utm_source=Facebook&amp;utm_medium=SEE&amp;utm_term=NON_NONE_none_none_170122&amp;utm_content=khac_tailieu_NON_LD097&amp;utm_campaign=4000ESSENTIAL_NON_NON_DuongNB_170122" TargetMode="External"/><Relationship Id="rId91" Type="http://schemas.openxmlformats.org/officeDocument/2006/relationships/hyperlink" Target="https://patadovietnam.edu.vn/tai-lieu-ielts/" TargetMode="External"/><Relationship Id="rId90" Type="http://schemas.openxmlformats.org/officeDocument/2006/relationships/hyperlink" Target="https://patadovietnam.edu.vn/tai-lieu/oxford-word-skills-basic/?utm_source=Facebook&amp;utm_medium=SEE&amp;utm_term=NON_NONE_none_none_110122&amp;utm_content=khac_tailieu_NON_LD059&amp;utm_campaign=OxfordWordSkills_NON_NON_DuongNB_110122" TargetMode="External"/><Relationship Id="rId93" Type="http://schemas.openxmlformats.org/officeDocument/2006/relationships/hyperlink" Target="https://patadovietnam.edu.vn/tai-lieu/focus-on-academic-skills-for-ielts/" TargetMode="External"/><Relationship Id="rId92" Type="http://schemas.openxmlformats.org/officeDocument/2006/relationships/hyperlink" Target="https://patadovietnam.edu.vn/tai-lieu-ielts/?utm_source=Facebook&amp;utm_medium=SEE&amp;utm_term=NON_NONE_none_none_120122&amp;utm_content=khac_tailieu_NON_LD053&amp;utm_campaign=tailieu_NON_NON_DuongNB_120122" TargetMode="External"/><Relationship Id="rId118" Type="http://schemas.openxmlformats.org/officeDocument/2006/relationships/drawing" Target="../drawings/drawing3.xml"/><Relationship Id="rId117" Type="http://schemas.openxmlformats.org/officeDocument/2006/relationships/hyperlink" Target="https://patadovietnam.edu.vn/tai-lieu/bridge-to-ielts-pre-intermediate/" TargetMode="External"/><Relationship Id="rId116" Type="http://schemas.openxmlformats.org/officeDocument/2006/relationships/hyperlink" Target="https://patadovietnam.edu.vn/tai-lieu/essential-phonetics-for-ielts/?utm_source=Facebook&amp;utm_medium=SEE&amp;utm_term=NON_NONE_none_none_110222&amp;utm_content=khac_tailieu_NON_LD104&amp;utm_campaign=EssentialWriting_NON_NON_DuongNB_110222" TargetMode="External"/><Relationship Id="rId115" Type="http://schemas.openxmlformats.org/officeDocument/2006/relationships/hyperlink" Target="https://patadovietnam.edu.vn/tai-lieu/essential-phonetics-for-ielts/" TargetMode="External"/><Relationship Id="rId110" Type="http://schemas.openxmlformats.org/officeDocument/2006/relationships/hyperlink" Target="https://patadovietnam.edu.vn/tai-lieu/bo-complete-ielts/?utm_source=Facebook&amp;utm_medium=SEE&amp;utm_term=NON_NONE_none_none_260122&amp;utm_content=khac_tailieu_NON_LD058&amp;utm_campaign=complete_NON_NON_DuongNB_260122" TargetMode="External"/><Relationship Id="rId114" Type="http://schemas.openxmlformats.org/officeDocument/2006/relationships/hyperlink" Target="https://patadovietnam.edu.vn/tai-lieu/focus-on-ielts-foundation/?utm_source=Facebook&amp;utm_medium=SEE&amp;utm_term=NON_NONE_none_none_090222&amp;utm_content=khac_tailieu_NON_LD103&amp;utm_campaign=FocusonIELTSFoundation_NON_NON_DuongNB_090222" TargetMode="External"/><Relationship Id="rId113" Type="http://schemas.openxmlformats.org/officeDocument/2006/relationships/hyperlink" Target="https://patadovietnam.edu.vn/tai-lieu/focus-on-ielts-foundation/" TargetMode="External"/><Relationship Id="rId112" Type="http://schemas.openxmlformats.org/officeDocument/2006/relationships/hyperlink" Target="https://patadovietnam.edu.vn/tai-lieu/the-official-cambridge-guide-to-ielts/?utm_source=Facebook&amp;utm_medium=SEE&amp;utm_term=NON_NONE_none_none_080222&amp;utm_content=khac_tailieu_NON_LD102&amp;utm_campaign=TheOfficialCambridge_NON_NON_DuongNB_080222" TargetMode="External"/><Relationship Id="rId111" Type="http://schemas.openxmlformats.org/officeDocument/2006/relationships/hyperlink" Target="https://patadovietnam.edu.vn/tai-lieu/the-official-cambridge-guide-to-ielts/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patado.net/tieng-anh-giao-tiep-nuoc-ngoai" TargetMode="External"/><Relationship Id="rId194" Type="http://schemas.openxmlformats.org/officeDocument/2006/relationships/hyperlink" Target="https://www.patado.net/tieng-anh-giao-tiep-nuoc-ngoai" TargetMode="External"/><Relationship Id="rId193" Type="http://schemas.openxmlformats.org/officeDocument/2006/relationships/hyperlink" Target="https://www.patado.net/tieng-anh-giao-tiep-nuoc-ngoai" TargetMode="External"/><Relationship Id="rId192" Type="http://schemas.openxmlformats.org/officeDocument/2006/relationships/hyperlink" Target="https://www.patado.net/tieng-anh-giao-tiep-nuoc-ngoai" TargetMode="External"/><Relationship Id="rId191" Type="http://schemas.openxmlformats.org/officeDocument/2006/relationships/hyperlink" Target="https://www.patado.net/tieng-anh-giao-tiep-nuoc-ngoai" TargetMode="External"/><Relationship Id="rId187" Type="http://schemas.openxmlformats.org/officeDocument/2006/relationships/hyperlink" Target="https://www.patado.net/tieng-anh-giao-tiep-nuoc-ngoai" TargetMode="External"/><Relationship Id="rId186" Type="http://schemas.openxmlformats.org/officeDocument/2006/relationships/hyperlink" Target="https://www.patado.net/tieng-anh-giao-tiep-nuoc-ngoai" TargetMode="External"/><Relationship Id="rId185" Type="http://schemas.openxmlformats.org/officeDocument/2006/relationships/hyperlink" Target="https://www.patado.net/tieng-anh-giao-tiep-nuoc-ngoai" TargetMode="External"/><Relationship Id="rId184" Type="http://schemas.openxmlformats.org/officeDocument/2006/relationships/hyperlink" Target="https://www.patado.net/tieng-anh-giao-tiep-nuoc-ngoai" TargetMode="External"/><Relationship Id="rId189" Type="http://schemas.openxmlformats.org/officeDocument/2006/relationships/hyperlink" Target="https://www.patado.net/tieng-anh-giao-tiep-nuoc-ngoai" TargetMode="External"/><Relationship Id="rId188" Type="http://schemas.openxmlformats.org/officeDocument/2006/relationships/hyperlink" Target="https://www.patado.net/tieng-anh-giao-tiep-nuoc-ngoai" TargetMode="External"/><Relationship Id="rId183" Type="http://schemas.openxmlformats.org/officeDocument/2006/relationships/hyperlink" Target="https://www.patado.net/tieng-anh-giao-tiep-nuoc-ngoai" TargetMode="External"/><Relationship Id="rId182" Type="http://schemas.openxmlformats.org/officeDocument/2006/relationships/hyperlink" Target="https://www.patado.net/tieng-anh-giao-tiep-nuoc-ngoai" TargetMode="External"/><Relationship Id="rId181" Type="http://schemas.openxmlformats.org/officeDocument/2006/relationships/hyperlink" Target="https://www.patado.net/tieng-anh-giao-tiep-nuoc-ngoai" TargetMode="External"/><Relationship Id="rId180" Type="http://schemas.openxmlformats.org/officeDocument/2006/relationships/hyperlink" Target="https://www.patado.net/tieng-anh-giao-tiep-nuoc-ngoai" TargetMode="External"/><Relationship Id="rId176" Type="http://schemas.openxmlformats.org/officeDocument/2006/relationships/hyperlink" Target="https://www.patado.net/tieng-anh-giao-tiep-nuoc-ngoai" TargetMode="External"/><Relationship Id="rId175" Type="http://schemas.openxmlformats.org/officeDocument/2006/relationships/hyperlink" Target="https://www.patado.net/tieng-anh-giao-tiep-nuoc-ngoai" TargetMode="External"/><Relationship Id="rId174" Type="http://schemas.openxmlformats.org/officeDocument/2006/relationships/hyperlink" Target="https://www.patado.net/tieng-anh-giao-tiep-nuoc-ngoai" TargetMode="External"/><Relationship Id="rId173" Type="http://schemas.openxmlformats.org/officeDocument/2006/relationships/hyperlink" Target="https://www.patado.net/tieng-anh-giao-tiep-nuoc-ngoai" TargetMode="External"/><Relationship Id="rId179" Type="http://schemas.openxmlformats.org/officeDocument/2006/relationships/hyperlink" Target="https://www.patado.net/tieng-anh-giao-tiep-nuoc-ngoai" TargetMode="External"/><Relationship Id="rId178" Type="http://schemas.openxmlformats.org/officeDocument/2006/relationships/hyperlink" Target="https://www.patado.net/tieng-anh-giao-tiep-nuoc-ngoai" TargetMode="External"/><Relationship Id="rId177" Type="http://schemas.openxmlformats.org/officeDocument/2006/relationships/hyperlink" Target="https://www.patado.net/tieng-anh-giao-tiep-nuoc-ngoai" TargetMode="External"/><Relationship Id="rId198" Type="http://schemas.openxmlformats.org/officeDocument/2006/relationships/hyperlink" Target="https://www.patado.net/tieng-anh-giao-tiep-nuoc-ngoai" TargetMode="External"/><Relationship Id="rId197" Type="http://schemas.openxmlformats.org/officeDocument/2006/relationships/hyperlink" Target="https://www.patado.net/tieng-anh-giao-tiep-nuoc-ngoai" TargetMode="External"/><Relationship Id="rId196" Type="http://schemas.openxmlformats.org/officeDocument/2006/relationships/hyperlink" Target="https://www.patado.net/tieng-anh-giao-tiep-nuoc-ngoai" TargetMode="External"/><Relationship Id="rId195" Type="http://schemas.openxmlformats.org/officeDocument/2006/relationships/hyperlink" Target="https://www.patado.net/tieng-anh-giao-tiep-nuoc-ngoai" TargetMode="External"/><Relationship Id="rId199" Type="http://schemas.openxmlformats.org/officeDocument/2006/relationships/hyperlink" Target="https://patadovietnam.edu.vn/hoaky_cvs/" TargetMode="External"/><Relationship Id="rId150" Type="http://schemas.openxmlformats.org/officeDocument/2006/relationships/hyperlink" Target="https://www.patado.net/tieng-anh-giao-tiep-nuoc-ngoai" TargetMode="External"/><Relationship Id="rId39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9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" Type="http://schemas.openxmlformats.org/officeDocument/2006/relationships/hyperlink" Target="http://patado.net/" TargetMode="External"/><Relationship Id="rId2" Type="http://schemas.openxmlformats.org/officeDocument/2006/relationships/hyperlink" Target="http://patado.net/" TargetMode="External"/><Relationship Id="rId3" Type="http://schemas.openxmlformats.org/officeDocument/2006/relationships/hyperlink" Target="https://www.patado.net/mainpage" TargetMode="External"/><Relationship Id="rId149" Type="http://schemas.openxmlformats.org/officeDocument/2006/relationships/hyperlink" Target="https://patadovietnam.edu.vn/nailspatado/" TargetMode="External"/><Relationship Id="rId4" Type="http://schemas.openxmlformats.org/officeDocument/2006/relationships/hyperlink" Target="https://www.patado.net/mainpage" TargetMode="External"/><Relationship Id="rId148" Type="http://schemas.openxmlformats.org/officeDocument/2006/relationships/hyperlink" Target="https://www.patado.net/tieng-anh-giao-tiep-nuoc-ngoai" TargetMode="External"/><Relationship Id="rId9" Type="http://schemas.openxmlformats.org/officeDocument/2006/relationships/hyperlink" Target="https://www.patado.net/tieng-anh-giao-tiep" TargetMode="External"/><Relationship Id="rId143" Type="http://schemas.openxmlformats.org/officeDocument/2006/relationships/hyperlink" Target="https://patadovietnam.edu.vn/lop-luyen-thi-quoc-tich-my/" TargetMode="External"/><Relationship Id="rId38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42" Type="http://schemas.openxmlformats.org/officeDocument/2006/relationships/hyperlink" Target="https://patadovietnam.edu.vn/tieng-anh-nail/" TargetMode="External"/><Relationship Id="rId38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41" Type="http://schemas.openxmlformats.org/officeDocument/2006/relationships/hyperlink" Target="https://www.patado.net/tieng-anh-giao-tiep-nuoc-ngoai" TargetMode="External"/><Relationship Id="rId38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40" Type="http://schemas.openxmlformats.org/officeDocument/2006/relationships/hyperlink" Target="https://www.patado.net/tieng-anh-giao-tiep-nuoc-ngoai" TargetMode="External"/><Relationship Id="rId38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" Type="http://schemas.openxmlformats.org/officeDocument/2006/relationships/hyperlink" Target="https://www.patado.net/tieng-anh-giao-tiep" TargetMode="External"/><Relationship Id="rId147" Type="http://schemas.openxmlformats.org/officeDocument/2006/relationships/hyperlink" Target="https://www.patado.net/tieng-anh-giao-tiep-nuoc-ngoai" TargetMode="External"/><Relationship Id="rId38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" Type="http://schemas.openxmlformats.org/officeDocument/2006/relationships/hyperlink" Target="https://www.patado.net/tieng-anh-giao-tiep" TargetMode="External"/><Relationship Id="rId146" Type="http://schemas.openxmlformats.org/officeDocument/2006/relationships/hyperlink" Target="https://www.patado.net/tieng-anh-giao-tiep-nuoc-ngoai" TargetMode="External"/><Relationship Id="rId38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7" Type="http://schemas.openxmlformats.org/officeDocument/2006/relationships/hyperlink" Target="https://www.patado.net/tieng-anh-giao-tiep" TargetMode="External"/><Relationship Id="rId145" Type="http://schemas.openxmlformats.org/officeDocument/2006/relationships/hyperlink" Target="https://www.patado.net/tieng-anh-giao-tiep-nuoc-ngoai" TargetMode="External"/><Relationship Id="rId38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8" Type="http://schemas.openxmlformats.org/officeDocument/2006/relationships/hyperlink" Target="https://www.patado.net/tieng-anh-giao-tiep" TargetMode="External"/><Relationship Id="rId144" Type="http://schemas.openxmlformats.org/officeDocument/2006/relationships/hyperlink" Target="https://www.patado.net/tieng-anh-giao-tiep-nuoc-ngoai" TargetMode="External"/><Relationship Id="rId38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8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9" Type="http://schemas.openxmlformats.org/officeDocument/2006/relationships/hyperlink" Target="https://www.patado.net/tienganhgiaotiepnails" TargetMode="External"/><Relationship Id="rId138" Type="http://schemas.openxmlformats.org/officeDocument/2006/relationships/hyperlink" Target="https://patadovietnam.edu.vn/luyenthiquoctichmy/" TargetMode="External"/><Relationship Id="rId137" Type="http://schemas.openxmlformats.org/officeDocument/2006/relationships/hyperlink" Target="https://www.patado.net/tieng-anh-giao-tiep-nuoc-ngoai" TargetMode="External"/><Relationship Id="rId37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2" Type="http://schemas.openxmlformats.org/officeDocument/2006/relationships/hyperlink" Target="https://www.patado.net/tieng-anh-giao-tiep-nuoc-ngoai" TargetMode="External"/><Relationship Id="rId37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1" Type="http://schemas.openxmlformats.org/officeDocument/2006/relationships/hyperlink" Target="https://www.patado.net/tieng-anh-giao-tiep-nuoc-ngoai" TargetMode="External"/><Relationship Id="rId37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0" Type="http://schemas.openxmlformats.org/officeDocument/2006/relationships/hyperlink" Target="https://www.patado.net/tieng-anh-giao-tiep-nuoc-ngoai" TargetMode="External"/><Relationship Id="rId37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6" Type="http://schemas.openxmlformats.org/officeDocument/2006/relationships/hyperlink" Target="https://www.patado.net/tieng-anh-giao-tiep-nuoc-ngoai" TargetMode="External"/><Relationship Id="rId37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5" Type="http://schemas.openxmlformats.org/officeDocument/2006/relationships/hyperlink" Target="https://www.patado.net/tieng-anh-giao-tiep-nuoc-ngoai" TargetMode="External"/><Relationship Id="rId37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4" Type="http://schemas.openxmlformats.org/officeDocument/2006/relationships/hyperlink" Target="https://www.patado.net/tieng-anh-giao-tiep-nuoc-ngoai" TargetMode="External"/><Relationship Id="rId37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33" Type="http://schemas.openxmlformats.org/officeDocument/2006/relationships/hyperlink" Target="http://patadovietnam.edu.vn/" TargetMode="External"/><Relationship Id="rId37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72" Type="http://schemas.openxmlformats.org/officeDocument/2006/relationships/hyperlink" Target="https://www.patado.net/tieng-anh-giao-tiep-nuoc-ngoai" TargetMode="External"/><Relationship Id="rId171" Type="http://schemas.openxmlformats.org/officeDocument/2006/relationships/hyperlink" Target="https://www.patado.net/tieng-anh-giao-tiep-nuoc-ngoai" TargetMode="External"/><Relationship Id="rId170" Type="http://schemas.openxmlformats.org/officeDocument/2006/relationships/hyperlink" Target="https://www.patado.net/tieng-anh-giao-tiep-nuoc-ngoai" TargetMode="External"/><Relationship Id="rId165" Type="http://schemas.openxmlformats.org/officeDocument/2006/relationships/hyperlink" Target="https://www.patado.net/mainpage" TargetMode="External"/><Relationship Id="rId164" Type="http://schemas.openxmlformats.org/officeDocument/2006/relationships/hyperlink" Target="https://www.patado.net/tieng-anh-giao-tiep-nuoc-ngoai/" TargetMode="External"/><Relationship Id="rId163" Type="http://schemas.openxmlformats.org/officeDocument/2006/relationships/hyperlink" Target="https://patadovietnam.edu.vn/tai-lieu/hoc-tieng-anh-cho-nguoi-di-lam-voi-cuon-sach-market-leader/" TargetMode="External"/><Relationship Id="rId162" Type="http://schemas.openxmlformats.org/officeDocument/2006/relationships/hyperlink" Target="https://patadovietnam.edu.vn/tai-lieu/hoc-tieng-anh-cho-nguoi-di-lam-voi-cuon-sach-market-leader/" TargetMode="External"/><Relationship Id="rId169" Type="http://schemas.openxmlformats.org/officeDocument/2006/relationships/hyperlink" Target="https://www.patado.net/tieng-anh-giao-tiep-nuoc-ngoai" TargetMode="External"/><Relationship Id="rId168" Type="http://schemas.openxmlformats.org/officeDocument/2006/relationships/hyperlink" Target="https://www.patado.net/tieng-anh-giao-tiep-nuoc-ngoai" TargetMode="External"/><Relationship Id="rId167" Type="http://schemas.openxmlformats.org/officeDocument/2006/relationships/hyperlink" Target="https://www.patado.net/tieng-anh-giao-tiep-nuoc-ngoai" TargetMode="External"/><Relationship Id="rId166" Type="http://schemas.openxmlformats.org/officeDocument/2006/relationships/hyperlink" Target="https://www.patado.net/tieng-anh-giao-tiep-nuoc-ngoai" TargetMode="External"/><Relationship Id="rId161" Type="http://schemas.openxmlformats.org/officeDocument/2006/relationships/hyperlink" Target="https://patadovietnam.edu.vn/blog/vocab-grammar/tu-vung-ielts-chu-de/" TargetMode="External"/><Relationship Id="rId160" Type="http://schemas.openxmlformats.org/officeDocument/2006/relationships/hyperlink" Target="https://patadovietnam.edu.vn/test-trinh-do/ielts-reading-level-4-5-test/" TargetMode="External"/><Relationship Id="rId159" Type="http://schemas.openxmlformats.org/officeDocument/2006/relationships/hyperlink" Target="https://patadovietnam.edu.vn/tai-lieu/destination-b1-b2-va-c1c2/" TargetMode="External"/><Relationship Id="rId154" Type="http://schemas.openxmlformats.org/officeDocument/2006/relationships/hyperlink" Target="https://patadovietnam.edu.vn/" TargetMode="External"/><Relationship Id="rId39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3" Type="http://schemas.openxmlformats.org/officeDocument/2006/relationships/hyperlink" Target="https://patadovietnam.edu.vn/khoa-hoc-ielts/" TargetMode="External"/><Relationship Id="rId39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2" Type="http://schemas.openxmlformats.org/officeDocument/2006/relationships/hyperlink" Target="https://patadovietnam.edu.vn/ielts_patado/" TargetMode="External"/><Relationship Id="rId39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1" Type="http://schemas.openxmlformats.org/officeDocument/2006/relationships/hyperlink" Target="https://patadovietnam.edu.vn/" TargetMode="External"/><Relationship Id="rId39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8" Type="http://schemas.openxmlformats.org/officeDocument/2006/relationships/hyperlink" Target="https://patadovietnam.edu.vn/" TargetMode="External"/><Relationship Id="rId157" Type="http://schemas.openxmlformats.org/officeDocument/2006/relationships/hyperlink" Target="https://patadovietnam.edu.vn/" TargetMode="External"/><Relationship Id="rId39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6" Type="http://schemas.openxmlformats.org/officeDocument/2006/relationships/hyperlink" Target="https://patadovietnam.edu.vn/" TargetMode="External"/><Relationship Id="rId39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5" Type="http://schemas.openxmlformats.org/officeDocument/2006/relationships/hyperlink" Target="http://vietnam.kienthuc.tt/" TargetMode="External"/><Relationship Id="rId39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" Type="http://schemas.openxmlformats.org/officeDocument/2006/relationships/hyperlink" Target="https://www.patado.net/hoc-tieng-anh-giao-tiep" TargetMode="External"/><Relationship Id="rId42" Type="http://schemas.openxmlformats.org/officeDocument/2006/relationships/hyperlink" Target="https://www.patado.net/tieng-anh-giao-tiep-nuoc-ngoai" TargetMode="External"/><Relationship Id="rId41" Type="http://schemas.openxmlformats.org/officeDocument/2006/relationships/hyperlink" Target="https://www.patado.net/mainpage" TargetMode="External"/><Relationship Id="rId44" Type="http://schemas.openxmlformats.org/officeDocument/2006/relationships/hyperlink" Target="https://www.patado.net/tieng-anh-giao-tiep-nuoc-ngoai" TargetMode="External"/><Relationship Id="rId43" Type="http://schemas.openxmlformats.org/officeDocument/2006/relationships/hyperlink" Target="https://www.patado.net/tieng-anh-giao-tiep-nuoc-ngoai" TargetMode="External"/><Relationship Id="rId46" Type="http://schemas.openxmlformats.org/officeDocument/2006/relationships/hyperlink" Target="https://www.patado.net/tieng-anh-giao-tiep-nuoc-ngoai" TargetMode="External"/><Relationship Id="rId45" Type="http://schemas.openxmlformats.org/officeDocument/2006/relationships/hyperlink" Target="https://www.patado.net/tieng-anh-giao-tiep-nuoc-ngoai" TargetMode="External"/><Relationship Id="rId50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0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" Type="http://schemas.openxmlformats.org/officeDocument/2006/relationships/hyperlink" Target="https://www.patado.net/tieng-anh-giao-tiep-nuoc-ngoai" TargetMode="External"/><Relationship Id="rId47" Type="http://schemas.openxmlformats.org/officeDocument/2006/relationships/hyperlink" Target="https://www.patado.net/tieng-anh-giao-tiep" TargetMode="External"/><Relationship Id="rId49" Type="http://schemas.openxmlformats.org/officeDocument/2006/relationships/hyperlink" Target="https://www.patado.net/tieng-anh-giao-tiep" TargetMode="External"/><Relationship Id="rId31" Type="http://schemas.openxmlformats.org/officeDocument/2006/relationships/hyperlink" Target="https://www.patado.net/tieng-anh-giao-tiep" TargetMode="External"/><Relationship Id="rId30" Type="http://schemas.openxmlformats.org/officeDocument/2006/relationships/hyperlink" Target="https://www.patado.net/tieng-anh-giao-tiep-nuoc-ngoai" TargetMode="External"/><Relationship Id="rId33" Type="http://schemas.openxmlformats.org/officeDocument/2006/relationships/hyperlink" Target="https://www.patado.net/mainpage/?utm_source=Google&amp;utm_medium=Search&amp;utm_term=NEW_VietNam_1865_abc_020820&amp;utm_content=saletructiep_abc_TAGTTDP_LD003&amp;utm_campaign=IELTS_Patado1_SEA_BaDT_020820" TargetMode="External"/><Relationship Id="rId32" Type="http://schemas.openxmlformats.org/officeDocument/2006/relationships/hyperlink" Target="https://www.patado.net/mainpage" TargetMode="External"/><Relationship Id="rId35" Type="http://schemas.openxmlformats.org/officeDocument/2006/relationships/hyperlink" Target="https://www.patado.net/tieng-anh-giao-tiep-nuoc-ngoai" TargetMode="External"/><Relationship Id="rId34" Type="http://schemas.openxmlformats.org/officeDocument/2006/relationships/hyperlink" Target="https://www.patado.net/tieng-anh-giao-tiep-nuoc-ngoai" TargetMode="External"/><Relationship Id="rId37" Type="http://schemas.openxmlformats.org/officeDocument/2006/relationships/hyperlink" Target="https://www.patado.net/tieng-anh-giao-tiep-nuoc-ngoai" TargetMode="External"/><Relationship Id="rId36" Type="http://schemas.openxmlformats.org/officeDocument/2006/relationships/hyperlink" Target="https://www.patado.net/tieng-anh-giao-tiep" TargetMode="External"/><Relationship Id="rId39" Type="http://schemas.openxmlformats.org/officeDocument/2006/relationships/hyperlink" Target="https://www.patado.net/tieng-anh-giao-tiep-nuoc-ngoai" TargetMode="External"/><Relationship Id="rId38" Type="http://schemas.openxmlformats.org/officeDocument/2006/relationships/hyperlink" Target="https://www.patado.net/tieng-anh-giao-tiep" TargetMode="External"/><Relationship Id="rId20" Type="http://schemas.openxmlformats.org/officeDocument/2006/relationships/hyperlink" Target="https://www.patado.net/tieng-anh-giao-tiep" TargetMode="External"/><Relationship Id="rId22" Type="http://schemas.openxmlformats.org/officeDocument/2006/relationships/hyperlink" Target="https://www.patado.net/tieng-anh-giao-tiep" TargetMode="External"/><Relationship Id="rId21" Type="http://schemas.openxmlformats.org/officeDocument/2006/relationships/hyperlink" Target="https://www.patado.net/tieng-anh-giao-tiep" TargetMode="External"/><Relationship Id="rId24" Type="http://schemas.openxmlformats.org/officeDocument/2006/relationships/hyperlink" Target="https://www.patado.net/tieng-anh-giao-tiep" TargetMode="External"/><Relationship Id="rId23" Type="http://schemas.openxmlformats.org/officeDocument/2006/relationships/hyperlink" Target="https://www.patado.net/tieng-anh-giao-tiep" TargetMode="External"/><Relationship Id="rId52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2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6" Type="http://schemas.openxmlformats.org/officeDocument/2006/relationships/hyperlink" Target="https://www.patado.net/tieng-anh-giao-tiep-nuoc-ngoai" TargetMode="External"/><Relationship Id="rId25" Type="http://schemas.openxmlformats.org/officeDocument/2006/relationships/hyperlink" Target="https://www.patado.net/tieng-anh-giao-tiep-nuoc-ngoai" TargetMode="External"/><Relationship Id="rId28" Type="http://schemas.openxmlformats.org/officeDocument/2006/relationships/hyperlink" Target="https://www.patado.net/tieng-anh-giao-tiep-nuoc-ngoai" TargetMode="External"/><Relationship Id="rId27" Type="http://schemas.openxmlformats.org/officeDocument/2006/relationships/hyperlink" Target="https://www.patado.net/tieng-anh-giao-tiep-nuoc-ngoai" TargetMode="External"/><Relationship Id="rId52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" Type="http://schemas.openxmlformats.org/officeDocument/2006/relationships/hyperlink" Target="https://www.patado.net/tieng-anh-giao-tiep-nuoc-ngoai" TargetMode="External"/><Relationship Id="rId52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" Type="http://schemas.openxmlformats.org/officeDocument/2006/relationships/hyperlink" Target="https://www.patado.net/tieng-anh-giao-tiep" TargetMode="External"/><Relationship Id="rId10" Type="http://schemas.openxmlformats.org/officeDocument/2006/relationships/hyperlink" Target="https://www.patado.net/tieng-anh-giao-tiep" TargetMode="External"/><Relationship Id="rId13" Type="http://schemas.openxmlformats.org/officeDocument/2006/relationships/hyperlink" Target="https://www.patado.net/tieng-anh-giao-tiep" TargetMode="External"/><Relationship Id="rId12" Type="http://schemas.openxmlformats.org/officeDocument/2006/relationships/hyperlink" Target="https://www.patado.net/tieng-anh-giao-tiep" TargetMode="External"/><Relationship Id="rId51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1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5" Type="http://schemas.openxmlformats.org/officeDocument/2006/relationships/hyperlink" Target="https://www.patado.net/tieng-anh-giao-tiep" TargetMode="External"/><Relationship Id="rId14" Type="http://schemas.openxmlformats.org/officeDocument/2006/relationships/hyperlink" Target="https://www.patado.net/tieng-anh-giao-tiep" TargetMode="External"/><Relationship Id="rId17" Type="http://schemas.openxmlformats.org/officeDocument/2006/relationships/hyperlink" Target="https://www.patado.net/tieng-anh-giao-tiep" TargetMode="External"/><Relationship Id="rId16" Type="http://schemas.openxmlformats.org/officeDocument/2006/relationships/hyperlink" Target="https://www.patado.net/tieng-anh-giao-tiep" TargetMode="External"/><Relationship Id="rId19" Type="http://schemas.openxmlformats.org/officeDocument/2006/relationships/hyperlink" Target="https://www.patado.net/tieng-anh-giao-tiep" TargetMode="External"/><Relationship Id="rId51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8" Type="http://schemas.openxmlformats.org/officeDocument/2006/relationships/hyperlink" Target="https://www.patado.net/tieng-anh-giao-tiep" TargetMode="External"/><Relationship Id="rId84" Type="http://schemas.openxmlformats.org/officeDocument/2006/relationships/hyperlink" Target="https://www.patado.net/anhtuanchik" TargetMode="External"/><Relationship Id="rId83" Type="http://schemas.openxmlformats.org/officeDocument/2006/relationships/hyperlink" Target="https://patadovietnam.edu.vn/" TargetMode="External"/><Relationship Id="rId86" Type="http://schemas.openxmlformats.org/officeDocument/2006/relationships/hyperlink" Target="https://www.patado.net/tieng-anh-giao-tiep-nuoc-ngoai" TargetMode="External"/><Relationship Id="rId85" Type="http://schemas.openxmlformats.org/officeDocument/2006/relationships/hyperlink" Target="https://www.patado.net/tieng-anh-giao-tiep-nuoc-ngoai" TargetMode="External"/><Relationship Id="rId88" Type="http://schemas.openxmlformats.org/officeDocument/2006/relationships/hyperlink" Target="https://www.patado.net/tieng-anh-giao-tiep-nuoc-ngoai" TargetMode="External"/><Relationship Id="rId87" Type="http://schemas.openxmlformats.org/officeDocument/2006/relationships/hyperlink" Target="https://www.patado.net/tieng-anh-giao-tiep-nuoc-ngoai" TargetMode="External"/><Relationship Id="rId89" Type="http://schemas.openxmlformats.org/officeDocument/2006/relationships/hyperlink" Target="https://www.patado.net/tieng-anh-giao-tiep-nuoc-ngoai" TargetMode="External"/><Relationship Id="rId80" Type="http://schemas.openxmlformats.org/officeDocument/2006/relationships/hyperlink" Target="https://www.patado.net/tieng-anh-giao-tiep-nuoc-ngoai" TargetMode="External"/><Relationship Id="rId82" Type="http://schemas.openxmlformats.org/officeDocument/2006/relationships/hyperlink" Target="https://www.patado.net/tieng-anh-giao-tiep-nuoc-ngoai" TargetMode="External"/><Relationship Id="rId81" Type="http://schemas.openxmlformats.org/officeDocument/2006/relationships/hyperlink" Target="https://www.patado.net/tieng-anh-giao-tiep-nuoc-ngoai" TargetMode="External"/><Relationship Id="rId73" Type="http://schemas.openxmlformats.org/officeDocument/2006/relationships/hyperlink" Target="https://www.patado.net/tieng-anh-giao-tiep-nuoc-ngoai" TargetMode="External"/><Relationship Id="rId72" Type="http://schemas.openxmlformats.org/officeDocument/2006/relationships/hyperlink" Target="https://www.patado.net/tieng-anh-giao-tiep" TargetMode="External"/><Relationship Id="rId75" Type="http://schemas.openxmlformats.org/officeDocument/2006/relationships/hyperlink" Target="https://www.patado.net/tieng-anh-giao-tiep-nuoc-ngoai" TargetMode="External"/><Relationship Id="rId74" Type="http://schemas.openxmlformats.org/officeDocument/2006/relationships/hyperlink" Target="https://www.patado.net/tieng-anh-giao-tiep-nuoc-ngoai" TargetMode="External"/><Relationship Id="rId77" Type="http://schemas.openxmlformats.org/officeDocument/2006/relationships/hyperlink" Target="https://www.patado.net/tieng-anh-giao-tiep-nuoc-ngoai" TargetMode="External"/><Relationship Id="rId76" Type="http://schemas.openxmlformats.org/officeDocument/2006/relationships/hyperlink" Target="https://www.patado.net/tieng-anh-giao-tiep-nuoc-ngoai" TargetMode="External"/><Relationship Id="rId79" Type="http://schemas.openxmlformats.org/officeDocument/2006/relationships/hyperlink" Target="https://www.patado.net/tieng-anh-giao-tiep-nuoc-ngoai" TargetMode="External"/><Relationship Id="rId78" Type="http://schemas.openxmlformats.org/officeDocument/2006/relationships/hyperlink" Target="https://www.patado.net/tieng-anh-giao-tiep-nuoc-ngoai" TargetMode="External"/><Relationship Id="rId71" Type="http://schemas.openxmlformats.org/officeDocument/2006/relationships/hyperlink" Target="https://www.patado.net/tieng-anh-giao-tiep-nuoc-ngoai" TargetMode="External"/><Relationship Id="rId70" Type="http://schemas.openxmlformats.org/officeDocument/2006/relationships/hyperlink" Target="https://www.patado.net/tieng-anh-giao-tiep-nuoc-ngoai" TargetMode="External"/><Relationship Id="rId62" Type="http://schemas.openxmlformats.org/officeDocument/2006/relationships/hyperlink" Target="https://www.patado.net/tieng-anh-giao-tiep-nuoc-ngoai" TargetMode="External"/><Relationship Id="rId61" Type="http://schemas.openxmlformats.org/officeDocument/2006/relationships/hyperlink" Target="https://www.patado.net/tieng-anh-giao-tiep-nuoc-ngoai" TargetMode="External"/><Relationship Id="rId64" Type="http://schemas.openxmlformats.org/officeDocument/2006/relationships/hyperlink" Target="https://www.patado.net/tieng-anh-giao-tiep-nuoc-ngoai" TargetMode="External"/><Relationship Id="rId63" Type="http://schemas.openxmlformats.org/officeDocument/2006/relationships/hyperlink" Target="https://www.patado.net/tieng-anh-giao-tiep-nuoc-ngoai" TargetMode="External"/><Relationship Id="rId66" Type="http://schemas.openxmlformats.org/officeDocument/2006/relationships/hyperlink" Target="https://www.patado.net/tieng-anh-giao-tiep-nuoc-ngoai" TargetMode="External"/><Relationship Id="rId65" Type="http://schemas.openxmlformats.org/officeDocument/2006/relationships/hyperlink" Target="https://www.patado.net/tieng-anh-giao-tiep-nuoc-ngoai" TargetMode="External"/><Relationship Id="rId68" Type="http://schemas.openxmlformats.org/officeDocument/2006/relationships/hyperlink" Target="https://www.patado.net/tieng-anh-giao-tiep-nuoc-ngoai" TargetMode="External"/><Relationship Id="rId67" Type="http://schemas.openxmlformats.org/officeDocument/2006/relationships/hyperlink" Target="https://www.patado.net/tieng-anh-giao-tiep-nuoc-ngoai" TargetMode="External"/><Relationship Id="rId60" Type="http://schemas.openxmlformats.org/officeDocument/2006/relationships/hyperlink" Target="https://www.patado.net/tieng-anh-giao-tiep-nuoc-ngoai" TargetMode="External"/><Relationship Id="rId69" Type="http://schemas.openxmlformats.org/officeDocument/2006/relationships/hyperlink" Target="https://www.patado.net/tieng-anh-giao-tiep-nuoc-ngoai" TargetMode="External"/><Relationship Id="rId51" Type="http://schemas.openxmlformats.org/officeDocument/2006/relationships/hyperlink" Target="https://www.patado.net/tieng-anh-giao-tiep-nuoc-ngoai" TargetMode="External"/><Relationship Id="rId50" Type="http://schemas.openxmlformats.org/officeDocument/2006/relationships/hyperlink" Target="https://www.patado.net/tieng-anh-giao-tiep" TargetMode="External"/><Relationship Id="rId53" Type="http://schemas.openxmlformats.org/officeDocument/2006/relationships/hyperlink" Target="https://www.patado.net/tieng-anh-giao-tiep-nuoc-ngoai" TargetMode="External"/><Relationship Id="rId52" Type="http://schemas.openxmlformats.org/officeDocument/2006/relationships/hyperlink" Target="https://www.patado.net/tieng-anh-giao-tiep-nuoc-ngoai" TargetMode="External"/><Relationship Id="rId55" Type="http://schemas.openxmlformats.org/officeDocument/2006/relationships/hyperlink" Target="https://www.patado.net/tieng-anh-giao-tiep-nuoc-ngoai" TargetMode="External"/><Relationship Id="rId54" Type="http://schemas.openxmlformats.org/officeDocument/2006/relationships/hyperlink" Target="https://www.patado.net/tieng-anh-giao-tiep-nuoc-ngoai" TargetMode="External"/><Relationship Id="rId57" Type="http://schemas.openxmlformats.org/officeDocument/2006/relationships/hyperlink" Target="https://www.patado.net/tieng-anh-giao-tiep-nuoc-ngoai" TargetMode="External"/><Relationship Id="rId56" Type="http://schemas.openxmlformats.org/officeDocument/2006/relationships/hyperlink" Target="https://www.patado.net/tieng-anh-giao-tiep-nuoc-ngoai" TargetMode="External"/><Relationship Id="rId59" Type="http://schemas.openxmlformats.org/officeDocument/2006/relationships/hyperlink" Target="https://www.patado.net/tieng-anh-giao-tiep-nuoc-ngoai" TargetMode="External"/><Relationship Id="rId58" Type="http://schemas.openxmlformats.org/officeDocument/2006/relationships/hyperlink" Target="https://www.patado.net/tieng-anh-giao-tiep-nuoc-ngoai" TargetMode="External"/><Relationship Id="rId59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7" Type="http://schemas.openxmlformats.org/officeDocument/2006/relationships/hyperlink" Target="https://patadovietnam.edu.vn/tai-lieu/english-grammar-in-use/" TargetMode="External"/><Relationship Id="rId34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6" Type="http://schemas.openxmlformats.org/officeDocument/2006/relationships/hyperlink" Target="https://patadovietnam.edu.vn/tai-lieu/tu-vung-co-ban-english-vocabulary-in-use-elementary/" TargetMode="External"/><Relationship Id="rId34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5" Type="http://schemas.openxmlformats.org/officeDocument/2006/relationships/hyperlink" Target="https://patadovietnam.edu.vn/tai-lieu/doi-thoai-hang-ngay-everyday-conversations/" TargetMode="External"/><Relationship Id="rId34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4" Type="http://schemas.openxmlformats.org/officeDocument/2006/relationships/hyperlink" Target="https://patadovietnam.edu.vn/tai-lieu/hoc-tieng-anh-cho-nguoi-di-lam-voi-cuon-sach-market-leader/" TargetMode="External"/><Relationship Id="rId34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9" Type="http://schemas.openxmlformats.org/officeDocument/2006/relationships/hyperlink" Target="https://patadovietnam.edu.vn/blog/tieng-anh-giao-tiep/10-website-luyen-nghe-online/" TargetMode="External"/><Relationship Id="rId108" Type="http://schemas.openxmlformats.org/officeDocument/2006/relationships/hyperlink" Target="https://patadovietnam.edu.vn/blog/tieng-anh-giao-tiep/phat-am-tieng-anh-chuan/" TargetMode="External"/><Relationship Id="rId34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4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3" Type="http://schemas.openxmlformats.org/officeDocument/2006/relationships/hyperlink" Target="https://patadovietnam.edu.vn/tai-lieu/full-bo-check-your-english-vocabulary/" TargetMode="External"/><Relationship Id="rId34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2" Type="http://schemas.openxmlformats.org/officeDocument/2006/relationships/hyperlink" Target="https://patadovietnam.edu.vn/tai-lieu/top-tips-for-ielts-academic/" TargetMode="External"/><Relationship Id="rId34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1" Type="http://schemas.openxmlformats.org/officeDocument/2006/relationships/hyperlink" Target="https://patadovietnam.edu.vn/tai-lieu/listening-strategies-for-the-ielts-test/" TargetMode="External"/><Relationship Id="rId34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00" Type="http://schemas.openxmlformats.org/officeDocument/2006/relationships/hyperlink" Target="https://patadovietnam.edu.vn/tai-lieu/reading-strategies-for-the-ielts-test/" TargetMode="External"/><Relationship Id="rId34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8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3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7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7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9" Type="http://schemas.openxmlformats.org/officeDocument/2006/relationships/hyperlink" Target="https://www.patado.net/tieng-anh-giao-tiep-nuoc-ngoai" TargetMode="External"/><Relationship Id="rId128" Type="http://schemas.openxmlformats.org/officeDocument/2006/relationships/hyperlink" Target="https://www.patado.net/tieng-anh-giao-tiep-nuoc-ngoai" TargetMode="External"/><Relationship Id="rId127" Type="http://schemas.openxmlformats.org/officeDocument/2006/relationships/hyperlink" Target="https://www.patado.net/tieng-anh-giao-tiep-nuoc-ngoai" TargetMode="External"/><Relationship Id="rId36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6" Type="http://schemas.openxmlformats.org/officeDocument/2006/relationships/hyperlink" Target="https://www.patado.net/tieng-anh-giao-tiep-nuoc-ngoai" TargetMode="External"/><Relationship Id="rId36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1" Type="http://schemas.openxmlformats.org/officeDocument/2006/relationships/hyperlink" Target="https://patadovietnam.edu.vn/khoa-hoc-ielts/" TargetMode="External"/><Relationship Id="rId36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0" Type="http://schemas.openxmlformats.org/officeDocument/2006/relationships/hyperlink" Target="https://patadovietnam.edu.vn/blog/ielts-writting/cau-truc-bai-thi-ielts-academic-writing/" TargetMode="External"/><Relationship Id="rId36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6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5" Type="http://schemas.openxmlformats.org/officeDocument/2006/relationships/hyperlink" Target="https://www.patado.net/tieng-anh-giao-tiep-nuoc-ngoai" TargetMode="External"/><Relationship Id="rId36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4" Type="http://schemas.openxmlformats.org/officeDocument/2006/relationships/hyperlink" Target="https://www.patado.net/tieng-anh-giao-tiep-nuoc-ngoai" TargetMode="External"/><Relationship Id="rId36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3" Type="http://schemas.openxmlformats.org/officeDocument/2006/relationships/hyperlink" Target="https://patadovietnam.edu.vn/blog/ielts-reading/de-thi-ielts-reading-thu/" TargetMode="External"/><Relationship Id="rId36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22" Type="http://schemas.openxmlformats.org/officeDocument/2006/relationships/hyperlink" Target="https://patadovietnam.edu.vn/blog/kinh-nghiem-thi/ielts/" TargetMode="External"/><Relationship Id="rId36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95" Type="http://schemas.openxmlformats.org/officeDocument/2006/relationships/hyperlink" Target="https://patadovietnam.edu.vn/tai-lieu/focus-on-academic-skills-for-ielts/" TargetMode="External"/><Relationship Id="rId94" Type="http://schemas.openxmlformats.org/officeDocument/2006/relationships/hyperlink" Target="https://patadovietnam.edu.vn/tai-lieu/cambridge-instant-ielts/" TargetMode="External"/><Relationship Id="rId97" Type="http://schemas.openxmlformats.org/officeDocument/2006/relationships/hyperlink" Target="https://patadovietnam.edu.vn/tai-lieu/cambridge-grammar-for-ielts/" TargetMode="External"/><Relationship Id="rId96" Type="http://schemas.openxmlformats.org/officeDocument/2006/relationships/hyperlink" Target="https://patadovietnam.edu.vn/tai-lieu/basic-ielts-full-pdf/" TargetMode="External"/><Relationship Id="rId99" Type="http://schemas.openxmlformats.org/officeDocument/2006/relationships/hyperlink" Target="https://patadovietnam.edu.vn/tai-lieu/destination-b1-b2-va-c1c2/" TargetMode="External"/><Relationship Id="rId98" Type="http://schemas.openxmlformats.org/officeDocument/2006/relationships/hyperlink" Target="https://patadovietnam.edu.vn/tai-lieu/tips-for-ielts-meo-hoc-ielts/" TargetMode="External"/><Relationship Id="rId91" Type="http://schemas.openxmlformats.org/officeDocument/2006/relationships/hyperlink" Target="https://www.patado.net/tieng-anh-giao-tiep-nuoc-ngoai" TargetMode="External"/><Relationship Id="rId90" Type="http://schemas.openxmlformats.org/officeDocument/2006/relationships/hyperlink" Target="https://www.patado.net/tieng-anh-giao-tiep-nuoc-ngoai" TargetMode="External"/><Relationship Id="rId93" Type="http://schemas.openxmlformats.org/officeDocument/2006/relationships/hyperlink" Target="https://patadovietnam.edu.vn/tai-lieu/chinh-phuc-ielts-writing-course/" TargetMode="External"/><Relationship Id="rId92" Type="http://schemas.openxmlformats.org/officeDocument/2006/relationships/hyperlink" Target="https://patadovietnam.edu.vn/" TargetMode="External"/><Relationship Id="rId118" Type="http://schemas.openxmlformats.org/officeDocument/2006/relationships/hyperlink" Target="https://www.patado.net/tieng-anh-giao-tiep-nuoc-ngoai" TargetMode="External"/><Relationship Id="rId117" Type="http://schemas.openxmlformats.org/officeDocument/2006/relationships/hyperlink" Target="https://www.patado.net/tieng-anh-giao-tiep-nuoc-ngoai" TargetMode="External"/><Relationship Id="rId35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6" Type="http://schemas.openxmlformats.org/officeDocument/2006/relationships/hyperlink" Target="https://www.patado.net/tieng-anh-giao-tiep-nuoc-ngoai" TargetMode="External"/><Relationship Id="rId35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5" Type="http://schemas.openxmlformats.org/officeDocument/2006/relationships/hyperlink" Target="https://www.patado.net/tieng-anh-giao-tiep-nuoc-ngoai" TargetMode="External"/><Relationship Id="rId35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9" Type="http://schemas.openxmlformats.org/officeDocument/2006/relationships/hyperlink" Target="https://www.patado.net/tieng-anh-giao-tiep-nuoc-ngoai" TargetMode="External"/><Relationship Id="rId110" Type="http://schemas.openxmlformats.org/officeDocument/2006/relationships/hyperlink" Target="https://patadovietnam.edu.vn/blog/tieng-anh-giao-tiep/phan-mem-hoc-tieng-anh-mien-phi/" TargetMode="External"/><Relationship Id="rId35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5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4" Type="http://schemas.openxmlformats.org/officeDocument/2006/relationships/hyperlink" Target="https://patadovietnam.edu.vn/" TargetMode="External"/><Relationship Id="rId35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3" Type="http://schemas.openxmlformats.org/officeDocument/2006/relationships/hyperlink" Target="https://patadovietnam.edu.vn/" TargetMode="External"/><Relationship Id="rId35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2" Type="http://schemas.openxmlformats.org/officeDocument/2006/relationships/hyperlink" Target="https://www.patado.net/tieng-anh-giao-tiep-nuoc-ngoai" TargetMode="External"/><Relationship Id="rId35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111" Type="http://schemas.openxmlformats.org/officeDocument/2006/relationships/hyperlink" Target="https://www.patado.net/tieng-anh-giao-tiep-nuoc-ngoai" TargetMode="External"/><Relationship Id="rId35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9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5" Type="http://schemas.openxmlformats.org/officeDocument/2006/relationships/hyperlink" Target="https://patadovietnam.edu.vn/khoa-hoc-giao-tiep/" TargetMode="External"/><Relationship Id="rId54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4" Type="http://schemas.openxmlformats.org/officeDocument/2006/relationships/hyperlink" Target="https://patadovietnam.edu.vn/khoa-hoc-giao-tiep/" TargetMode="External"/><Relationship Id="rId54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3" Type="http://schemas.openxmlformats.org/officeDocument/2006/relationships/hyperlink" Target="https://patadovietnam.edu.vn/khoa-hoc-giao-tiep/" TargetMode="External"/><Relationship Id="rId54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2" Type="http://schemas.openxmlformats.org/officeDocument/2006/relationships/hyperlink" Target="https://patadovietnam.edu.vn/khoa-hoc-giao-tiep/" TargetMode="External"/><Relationship Id="rId54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9" Type="http://schemas.openxmlformats.org/officeDocument/2006/relationships/hyperlink" Target="https://patadovietnam.edu.vn/khoa-hoc-giao-tiep/" TargetMode="External"/><Relationship Id="rId308" Type="http://schemas.openxmlformats.org/officeDocument/2006/relationships/hyperlink" Target="https://patadovietnam.edu.vn/khoa-hoc-giao-tiep/" TargetMode="External"/><Relationship Id="rId307" Type="http://schemas.openxmlformats.org/officeDocument/2006/relationships/hyperlink" Target="https://patadovietnam.edu.vn/khoa-hoc-giao-tiep/" TargetMode="External"/><Relationship Id="rId54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6" Type="http://schemas.openxmlformats.org/officeDocument/2006/relationships/hyperlink" Target="https://patadovietnam.edu.vn/khoa-hoc-giao-tiep/" TargetMode="External"/><Relationship Id="rId54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1" Type="http://schemas.openxmlformats.org/officeDocument/2006/relationships/hyperlink" Target="https://patadovietnam.edu.vn/khoa-hoc-giao-tiep/" TargetMode="External"/><Relationship Id="rId54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00" Type="http://schemas.openxmlformats.org/officeDocument/2006/relationships/hyperlink" Target="https://patadovietnam.edu.vn/khoa-hoc-giao-tiep/" TargetMode="External"/><Relationship Id="rId54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4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3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7" Type="http://schemas.openxmlformats.org/officeDocument/2006/relationships/hyperlink" Target="https://patadovietnam.edu.vn/japan_hlg/" TargetMode="External"/><Relationship Id="rId56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6" Type="http://schemas.openxmlformats.org/officeDocument/2006/relationships/hyperlink" Target="https://patadovietnam.edu.vn/korea_cvs/" TargetMode="External"/><Relationship Id="rId56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5" Type="http://schemas.openxmlformats.org/officeDocument/2006/relationships/hyperlink" Target="http://sweden.kg/" TargetMode="External"/><Relationship Id="rId56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4" Type="http://schemas.openxmlformats.org/officeDocument/2006/relationships/hyperlink" Target="https://patadovietnam.edu.vn/khoa-hoc-giao-tiep/" TargetMode="External"/><Relationship Id="rId56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9" Type="http://schemas.openxmlformats.org/officeDocument/2006/relationships/hyperlink" Target="https://patadovietnam.edu.vn/japan_hlg/" TargetMode="External"/><Relationship Id="rId328" Type="http://schemas.openxmlformats.org/officeDocument/2006/relationships/hyperlink" Target="https://patadovietnam.edu.vn/korea_cvs/" TargetMode="External"/><Relationship Id="rId56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6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3" Type="http://schemas.openxmlformats.org/officeDocument/2006/relationships/hyperlink" Target="http://sweden.kg/" TargetMode="External"/><Relationship Id="rId56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2" Type="http://schemas.openxmlformats.org/officeDocument/2006/relationships/hyperlink" Target="https://patadovietnam.edu.vn/khoa-hoc-giao-tiep/" TargetMode="External"/><Relationship Id="rId56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1" Type="http://schemas.openxmlformats.org/officeDocument/2006/relationships/hyperlink" Target="http://sweden.kg/" TargetMode="External"/><Relationship Id="rId56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20" Type="http://schemas.openxmlformats.org/officeDocument/2006/relationships/hyperlink" Target="https://patadovietnam.edu.vn/khoa-hoc-giao-tiep/" TargetMode="External"/><Relationship Id="rId56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6" Type="http://schemas.openxmlformats.org/officeDocument/2006/relationships/hyperlink" Target="https://patadovietnam.edu.vn/khoa-hoc-giao-tiep/" TargetMode="External"/><Relationship Id="rId55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5" Type="http://schemas.openxmlformats.org/officeDocument/2006/relationships/hyperlink" Target="https://patadovietnam.edu.vn/khoa-hoc-giao-tiep/" TargetMode="External"/><Relationship Id="rId55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4" Type="http://schemas.openxmlformats.org/officeDocument/2006/relationships/hyperlink" Target="https://patadovietnam.edu.vn/khoa-hoc-giao-tiep/" TargetMode="External"/><Relationship Id="rId55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3" Type="http://schemas.openxmlformats.org/officeDocument/2006/relationships/hyperlink" Target="https://patadovietnam.edu.vn/khoa-hoc-giao-tiep/" TargetMode="External"/><Relationship Id="rId55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9" Type="http://schemas.openxmlformats.org/officeDocument/2006/relationships/hyperlink" Target="http://sweden.kg/" TargetMode="External"/><Relationship Id="rId318" Type="http://schemas.openxmlformats.org/officeDocument/2006/relationships/hyperlink" Target="https://patadovietnam.edu.vn/khoa-hoc-giao-tiep/" TargetMode="External"/><Relationship Id="rId317" Type="http://schemas.openxmlformats.org/officeDocument/2006/relationships/hyperlink" Target="http://sweden.kg/" TargetMode="External"/><Relationship Id="rId55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2" Type="http://schemas.openxmlformats.org/officeDocument/2006/relationships/hyperlink" Target="https://patadovietnam.edu.vn/khoa-hoc-giao-tiep/" TargetMode="External"/><Relationship Id="rId55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1" Type="http://schemas.openxmlformats.org/officeDocument/2006/relationships/hyperlink" Target="https://patadovietnam.edu.vn/khoa-hoc-giao-tiep/" TargetMode="External"/><Relationship Id="rId55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310" Type="http://schemas.openxmlformats.org/officeDocument/2006/relationships/hyperlink" Target="https://patadovietnam.edu.vn/khoa-hoc-giao-tiep/" TargetMode="External"/><Relationship Id="rId55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55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7" Type="http://schemas.openxmlformats.org/officeDocument/2006/relationships/hyperlink" Target="https://patadovietnam.edu.vn/khoa-hoc-giao-tiep/" TargetMode="External"/><Relationship Id="rId296" Type="http://schemas.openxmlformats.org/officeDocument/2006/relationships/hyperlink" Target="https://patadovietnam.edu.vn/khoa-hoc-giao-tiep/" TargetMode="External"/><Relationship Id="rId295" Type="http://schemas.openxmlformats.org/officeDocument/2006/relationships/hyperlink" Target="https://patadovietnam.edu.vn/khoa-hoc-giao-tiep/" TargetMode="External"/><Relationship Id="rId294" Type="http://schemas.openxmlformats.org/officeDocument/2006/relationships/hyperlink" Target="https://patadovietnam.edu.vn/khoa-hoc-giao-tiep/" TargetMode="External"/><Relationship Id="rId299" Type="http://schemas.openxmlformats.org/officeDocument/2006/relationships/hyperlink" Target="https://patadovietnam.edu.vn/khoa-hoc-giao-tiep/" TargetMode="External"/><Relationship Id="rId298" Type="http://schemas.openxmlformats.org/officeDocument/2006/relationships/hyperlink" Target="https://patadovietnam.edu.vn/khoa-hoc-giao-tiep/" TargetMode="External"/><Relationship Id="rId271" Type="http://schemas.openxmlformats.org/officeDocument/2006/relationships/hyperlink" Target="http://japan.nmg.gt/" TargetMode="External"/><Relationship Id="rId270" Type="http://schemas.openxmlformats.org/officeDocument/2006/relationships/hyperlink" Target="http://japan.nmg.gt/" TargetMode="External"/><Relationship Id="rId269" Type="http://schemas.openxmlformats.org/officeDocument/2006/relationships/hyperlink" Target="http://japan.nmg.gt/" TargetMode="External"/><Relationship Id="rId264" Type="http://schemas.openxmlformats.org/officeDocument/2006/relationships/hyperlink" Target="http://canada.gt/" TargetMode="External"/><Relationship Id="rId263" Type="http://schemas.openxmlformats.org/officeDocument/2006/relationships/hyperlink" Target="http://canada.gt/" TargetMode="External"/><Relationship Id="rId262" Type="http://schemas.openxmlformats.org/officeDocument/2006/relationships/hyperlink" Target="http://canada.gt/" TargetMode="External"/><Relationship Id="rId261" Type="http://schemas.openxmlformats.org/officeDocument/2006/relationships/hyperlink" Target="http://canada.gt/" TargetMode="External"/><Relationship Id="rId268" Type="http://schemas.openxmlformats.org/officeDocument/2006/relationships/hyperlink" Target="https://patadovietnam.edu.vn/japancvs/" TargetMode="External"/><Relationship Id="rId267" Type="http://schemas.openxmlformats.org/officeDocument/2006/relationships/hyperlink" Target="http://canada.gt/" TargetMode="External"/><Relationship Id="rId266" Type="http://schemas.openxmlformats.org/officeDocument/2006/relationships/hyperlink" Target="http://canada.gt/" TargetMode="External"/><Relationship Id="rId265" Type="http://schemas.openxmlformats.org/officeDocument/2006/relationships/hyperlink" Target="https://patadovietnam.edu.vn/japancvs/" TargetMode="External"/><Relationship Id="rId260" Type="http://schemas.openxmlformats.org/officeDocument/2006/relationships/hyperlink" Target="http://canada.gt/" TargetMode="External"/><Relationship Id="rId259" Type="http://schemas.openxmlformats.org/officeDocument/2006/relationships/hyperlink" Target="http://canada.gt/" TargetMode="External"/><Relationship Id="rId258" Type="http://schemas.openxmlformats.org/officeDocument/2006/relationships/hyperlink" Target="http://canada.gt/" TargetMode="External"/><Relationship Id="rId253" Type="http://schemas.openxmlformats.org/officeDocument/2006/relationships/hyperlink" Target="http://japan.gt/" TargetMode="External"/><Relationship Id="rId49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2" Type="http://schemas.openxmlformats.org/officeDocument/2006/relationships/hyperlink" Target="http://japan.gt/" TargetMode="External"/><Relationship Id="rId49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1" Type="http://schemas.openxmlformats.org/officeDocument/2006/relationships/hyperlink" Target="http://japan.gt/" TargetMode="External"/><Relationship Id="rId49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0" Type="http://schemas.openxmlformats.org/officeDocument/2006/relationships/hyperlink" Target="http://japan.gt/" TargetMode="External"/><Relationship Id="rId49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7" Type="http://schemas.openxmlformats.org/officeDocument/2006/relationships/hyperlink" Target="http://canada.gt/" TargetMode="External"/><Relationship Id="rId49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6" Type="http://schemas.openxmlformats.org/officeDocument/2006/relationships/hyperlink" Target="http://canada.gt/" TargetMode="External"/><Relationship Id="rId49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5" Type="http://schemas.openxmlformats.org/officeDocument/2006/relationships/hyperlink" Target="http://canada.gt/" TargetMode="External"/><Relationship Id="rId49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54" Type="http://schemas.openxmlformats.org/officeDocument/2006/relationships/hyperlink" Target="http://japan.gt/" TargetMode="External"/><Relationship Id="rId49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93" Type="http://schemas.openxmlformats.org/officeDocument/2006/relationships/hyperlink" Target="https://patadovietnam.edu.vn/khoa-hoc-giao-tiep/" TargetMode="External"/><Relationship Id="rId292" Type="http://schemas.openxmlformats.org/officeDocument/2006/relationships/hyperlink" Target="https://patadovietnam.edu.vn/khoa-hoc-giao-tiep/" TargetMode="External"/><Relationship Id="rId291" Type="http://schemas.openxmlformats.org/officeDocument/2006/relationships/hyperlink" Target="https://patadovietnam.edu.vn/khoa-hoc-giao-tiep/" TargetMode="External"/><Relationship Id="rId290" Type="http://schemas.openxmlformats.org/officeDocument/2006/relationships/hyperlink" Target="http://japan.gt/" TargetMode="External"/><Relationship Id="rId286" Type="http://schemas.openxmlformats.org/officeDocument/2006/relationships/hyperlink" Target="http://japan.gt/" TargetMode="External"/><Relationship Id="rId285" Type="http://schemas.openxmlformats.org/officeDocument/2006/relationships/hyperlink" Target="http://japan.gt/" TargetMode="External"/><Relationship Id="rId284" Type="http://schemas.openxmlformats.org/officeDocument/2006/relationships/hyperlink" Target="http://japan.gt/" TargetMode="External"/><Relationship Id="rId283" Type="http://schemas.openxmlformats.org/officeDocument/2006/relationships/hyperlink" Target="http://japan.gt/" TargetMode="External"/><Relationship Id="rId289" Type="http://schemas.openxmlformats.org/officeDocument/2006/relationships/hyperlink" Target="http://japan.gt/" TargetMode="External"/><Relationship Id="rId288" Type="http://schemas.openxmlformats.org/officeDocument/2006/relationships/hyperlink" Target="http://japan.gt/" TargetMode="External"/><Relationship Id="rId287" Type="http://schemas.openxmlformats.org/officeDocument/2006/relationships/hyperlink" Target="http://japan.gt/" TargetMode="External"/><Relationship Id="rId282" Type="http://schemas.openxmlformats.org/officeDocument/2006/relationships/hyperlink" Target="http://japan.gt/" TargetMode="External"/><Relationship Id="rId281" Type="http://schemas.openxmlformats.org/officeDocument/2006/relationships/hyperlink" Target="http://japan.gt/" TargetMode="External"/><Relationship Id="rId280" Type="http://schemas.openxmlformats.org/officeDocument/2006/relationships/hyperlink" Target="http://japan.gt/" TargetMode="External"/><Relationship Id="rId275" Type="http://schemas.openxmlformats.org/officeDocument/2006/relationships/hyperlink" Target="http://japan.anhtext.gt/" TargetMode="External"/><Relationship Id="rId274" Type="http://schemas.openxmlformats.org/officeDocument/2006/relationships/hyperlink" Target="http://japan.anhtext.gt/" TargetMode="External"/><Relationship Id="rId273" Type="http://schemas.openxmlformats.org/officeDocument/2006/relationships/hyperlink" Target="http://japan.nmg.gt/" TargetMode="External"/><Relationship Id="rId272" Type="http://schemas.openxmlformats.org/officeDocument/2006/relationships/hyperlink" Target="http://japan.nmg.gt/" TargetMode="External"/><Relationship Id="rId279" Type="http://schemas.openxmlformats.org/officeDocument/2006/relationships/hyperlink" Target="http://japan.gt/" TargetMode="External"/><Relationship Id="rId278" Type="http://schemas.openxmlformats.org/officeDocument/2006/relationships/hyperlink" Target="http://japan.anhtext.gt/" TargetMode="External"/><Relationship Id="rId277" Type="http://schemas.openxmlformats.org/officeDocument/2006/relationships/hyperlink" Target="http://japan.anhtext.gt/" TargetMode="External"/><Relationship Id="rId276" Type="http://schemas.openxmlformats.org/officeDocument/2006/relationships/hyperlink" Target="http://japan.anhtext.gt/" TargetMode="External"/><Relationship Id="rId62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2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1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0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4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3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0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8" Type="http://schemas.openxmlformats.org/officeDocument/2006/relationships/hyperlink" Target="http://japan.gt/" TargetMode="External"/><Relationship Id="rId227" Type="http://schemas.openxmlformats.org/officeDocument/2006/relationships/hyperlink" Target="https://patadovietnam.edu.vn/khoa-hoc-giao-tiep/" TargetMode="External"/><Relationship Id="rId46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6" Type="http://schemas.openxmlformats.org/officeDocument/2006/relationships/hyperlink" Target="https://patadovietnam.edu.vn/khoa-hoc-giao-tiep/" TargetMode="External"/><Relationship Id="rId46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5" Type="http://schemas.openxmlformats.org/officeDocument/2006/relationships/hyperlink" Target="https://www.patado.net/tieng-anh-giao-tiep-nuoc-ngoai" TargetMode="External"/><Relationship Id="rId46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9" Type="http://schemas.openxmlformats.org/officeDocument/2006/relationships/hyperlink" Target="http://japan.gt/" TargetMode="External"/><Relationship Id="rId220" Type="http://schemas.openxmlformats.org/officeDocument/2006/relationships/hyperlink" Target="https://patadovietnam.edu.vn/korea_cvs/" TargetMode="External"/><Relationship Id="rId46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6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4" Type="http://schemas.openxmlformats.org/officeDocument/2006/relationships/hyperlink" Target="https://www.patado.net/tieng-anh-giao-tiep-nuoc-ngoai" TargetMode="External"/><Relationship Id="rId46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3" Type="http://schemas.openxmlformats.org/officeDocument/2006/relationships/hyperlink" Target="https://patadovietnam.edu.vn/korea_cvs/" TargetMode="External"/><Relationship Id="rId46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2" Type="http://schemas.openxmlformats.org/officeDocument/2006/relationships/hyperlink" Target="https://patadovietnam.edu.vn/hoaky_cvs/" TargetMode="External"/><Relationship Id="rId46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21" Type="http://schemas.openxmlformats.org/officeDocument/2006/relationships/hyperlink" Target="https://patadovietnam.edu.vn/khoa-hoc-giao-tiep/" TargetMode="External"/><Relationship Id="rId46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7" Type="http://schemas.openxmlformats.org/officeDocument/2006/relationships/hyperlink" Target="https://patadovietnam.edu.vn/khoa-hoc-giao-tiep/" TargetMode="External"/><Relationship Id="rId45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6" Type="http://schemas.openxmlformats.org/officeDocument/2006/relationships/hyperlink" Target="https://patadovietnam.edu.vn/khoa-hoc-giao-tiep/" TargetMode="External"/><Relationship Id="rId45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5" Type="http://schemas.openxmlformats.org/officeDocument/2006/relationships/hyperlink" Target="https://patadovietnam.edu.vn/khoa-hoc-giao-tiep/" TargetMode="External"/><Relationship Id="rId45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4" Type="http://schemas.openxmlformats.org/officeDocument/2006/relationships/hyperlink" Target="https://patadovietnam.edu.vn/khoa-hoc-giao-tiep/" TargetMode="External"/><Relationship Id="rId45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9" Type="http://schemas.openxmlformats.org/officeDocument/2006/relationships/hyperlink" Target="https://patadovietnam.edu.vn/japancvs/" TargetMode="External"/><Relationship Id="rId218" Type="http://schemas.openxmlformats.org/officeDocument/2006/relationships/hyperlink" Target="https://patadovietnam.edu.vn/hoaky_cvs/" TargetMode="External"/><Relationship Id="rId45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5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3" Type="http://schemas.openxmlformats.org/officeDocument/2006/relationships/hyperlink" Target="https://patadovietnam.edu.vn/korea_cvs/" TargetMode="External"/><Relationship Id="rId45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2" Type="http://schemas.openxmlformats.org/officeDocument/2006/relationships/hyperlink" Target="https://patadovietnam.edu.vn/japancvs/" TargetMode="External"/><Relationship Id="rId45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1" Type="http://schemas.openxmlformats.org/officeDocument/2006/relationships/hyperlink" Target="https://patadovietnam.edu.vn/hoaky_cvs/" TargetMode="External"/><Relationship Id="rId45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10" Type="http://schemas.openxmlformats.org/officeDocument/2006/relationships/hyperlink" Target="https://patadovietnam.edu.vn/japancvs/" TargetMode="External"/><Relationship Id="rId45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9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9" Type="http://schemas.openxmlformats.org/officeDocument/2006/relationships/hyperlink" Target="http://japan.gt/" TargetMode="External"/><Relationship Id="rId248" Type="http://schemas.openxmlformats.org/officeDocument/2006/relationships/hyperlink" Target="http://japan.gt/" TargetMode="External"/><Relationship Id="rId247" Type="http://schemas.openxmlformats.org/officeDocument/2006/relationships/hyperlink" Target="http://japan.gt/" TargetMode="External"/><Relationship Id="rId48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2" Type="http://schemas.openxmlformats.org/officeDocument/2006/relationships/hyperlink" Target="http://japan.gt/" TargetMode="External"/><Relationship Id="rId48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1" Type="http://schemas.openxmlformats.org/officeDocument/2006/relationships/hyperlink" Target="http://japan.gt/" TargetMode="External"/><Relationship Id="rId48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0" Type="http://schemas.openxmlformats.org/officeDocument/2006/relationships/hyperlink" Target="http://japan.gt/" TargetMode="External"/><Relationship Id="rId48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6" Type="http://schemas.openxmlformats.org/officeDocument/2006/relationships/hyperlink" Target="http://japan.gt/" TargetMode="External"/><Relationship Id="rId48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5" Type="http://schemas.openxmlformats.org/officeDocument/2006/relationships/hyperlink" Target="http://japan.gt/" TargetMode="External"/><Relationship Id="rId48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4" Type="http://schemas.openxmlformats.org/officeDocument/2006/relationships/hyperlink" Target="http://japan.gt/" TargetMode="External"/><Relationship Id="rId48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43" Type="http://schemas.openxmlformats.org/officeDocument/2006/relationships/hyperlink" Target="http://japan.gt/" TargetMode="External"/><Relationship Id="rId48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8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9" Type="http://schemas.openxmlformats.org/officeDocument/2006/relationships/hyperlink" Target="http://japan.gt/" TargetMode="External"/><Relationship Id="rId238" Type="http://schemas.openxmlformats.org/officeDocument/2006/relationships/hyperlink" Target="http://japan.gt/" TargetMode="External"/><Relationship Id="rId237" Type="http://schemas.openxmlformats.org/officeDocument/2006/relationships/hyperlink" Target="http://japan.gt/" TargetMode="External"/><Relationship Id="rId47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6" Type="http://schemas.openxmlformats.org/officeDocument/2006/relationships/hyperlink" Target="http://japan.gt/" TargetMode="External"/><Relationship Id="rId47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1" Type="http://schemas.openxmlformats.org/officeDocument/2006/relationships/hyperlink" Target="http://japan.gt/" TargetMode="External"/><Relationship Id="rId47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0" Type="http://schemas.openxmlformats.org/officeDocument/2006/relationships/hyperlink" Target="http://japan.gt/" TargetMode="External"/><Relationship Id="rId47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7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5" Type="http://schemas.openxmlformats.org/officeDocument/2006/relationships/hyperlink" Target="http://japan.gt/" TargetMode="External"/><Relationship Id="rId47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4" Type="http://schemas.openxmlformats.org/officeDocument/2006/relationships/hyperlink" Target="http://japan.gt/" TargetMode="External"/><Relationship Id="rId47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3" Type="http://schemas.openxmlformats.org/officeDocument/2006/relationships/hyperlink" Target="http://japan.gt/" TargetMode="External"/><Relationship Id="rId47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32" Type="http://schemas.openxmlformats.org/officeDocument/2006/relationships/hyperlink" Target="http://japan.gt/" TargetMode="External"/><Relationship Id="rId47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2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4" Type="http://schemas.openxmlformats.org/officeDocument/2006/relationships/drawing" Target="../drawings/drawing4.xml"/><Relationship Id="rId41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1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65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6" Type="http://schemas.openxmlformats.org/officeDocument/2006/relationships/hyperlink" Target="https://patadovietnam.edu.vn/hoaky_cvs/" TargetMode="External"/><Relationship Id="rId44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5" Type="http://schemas.openxmlformats.org/officeDocument/2006/relationships/hyperlink" Target="https://patadovietnam.edu.vn/hoaky_cvs/" TargetMode="External"/><Relationship Id="rId44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4" Type="http://schemas.openxmlformats.org/officeDocument/2006/relationships/hyperlink" Target="https://patadovietnam.edu.vn/hoaky_cvs/" TargetMode="External"/><Relationship Id="rId44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3" Type="http://schemas.openxmlformats.org/officeDocument/2006/relationships/hyperlink" Target="https://patadovietnam.edu.vn/hoaky_cvs/" TargetMode="External"/><Relationship Id="rId44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9" Type="http://schemas.openxmlformats.org/officeDocument/2006/relationships/hyperlink" Target="https://patadovietnam.edu.vn/hoaky_cvs/" TargetMode="External"/><Relationship Id="rId208" Type="http://schemas.openxmlformats.org/officeDocument/2006/relationships/hyperlink" Target="https://patadovietnam.edu.vn/ielts_cvs/" TargetMode="External"/><Relationship Id="rId207" Type="http://schemas.openxmlformats.org/officeDocument/2006/relationships/hyperlink" Target="https://patadovietnam.edu.vn/hoaky_cvs/" TargetMode="External"/><Relationship Id="rId44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2" Type="http://schemas.openxmlformats.org/officeDocument/2006/relationships/hyperlink" Target="https://patadovietnam.edu.vn/hoaky_cvs/" TargetMode="External"/><Relationship Id="rId44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1" Type="http://schemas.openxmlformats.org/officeDocument/2006/relationships/hyperlink" Target="https://patadovietnam.edu.vn/hoaky_cvs/" TargetMode="External"/><Relationship Id="rId44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200" Type="http://schemas.openxmlformats.org/officeDocument/2006/relationships/hyperlink" Target="https://patadovietnam.edu.vn/hoaky_cvs/" TargetMode="External"/><Relationship Id="rId44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4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7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6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5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4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9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8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3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2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1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Relationship Id="rId430" Type="http://schemas.openxmlformats.org/officeDocument/2006/relationships/hyperlink" Target="https://www.patado.net/tieng-anh-giao-tiep-nuoc-ngoai/?utm_source=Facebook&amp;utm_medium=MES&amp;utm_term=NEW_Canada_1865_none_140521&amp;utm_content=saletructiep_Canada.AnhBiQuyet.PTATT_PTATT_LD005&amp;utm_campaign=Canada.AnhBiQuyet.PTATT_MatthewNguyen.7687_MES_HuyNV_140521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toandien.tienganh24h.net/khoahocgiaotiep/" TargetMode="External"/><Relationship Id="rId2" Type="http://schemas.openxmlformats.org/officeDocument/2006/relationships/hyperlink" Target="https://www.patado.net/tieng-anh-giao-tiep-online" TargetMode="External"/><Relationship Id="rId3" Type="http://schemas.openxmlformats.org/officeDocument/2006/relationships/hyperlink" Target="https://patadovietnam.edu.vn/jptt249/" TargetMode="External"/><Relationship Id="rId4" Type="http://schemas.openxmlformats.org/officeDocument/2006/relationships/hyperlink" Target="http://japan.tn/" TargetMode="External"/><Relationship Id="rId9" Type="http://schemas.openxmlformats.org/officeDocument/2006/relationships/hyperlink" Target="http://unitedstates.tn/" TargetMode="External"/><Relationship Id="rId5" Type="http://schemas.openxmlformats.org/officeDocument/2006/relationships/hyperlink" Target="http://japan.tn/" TargetMode="External"/><Relationship Id="rId6" Type="http://schemas.openxmlformats.org/officeDocument/2006/relationships/hyperlink" Target="https://patadovietnam.edu.vn/jptt249/?utm_source=Tiktok&amp;utm_medium=CVS&amp;utm_term=NEW_Japan_1840_none_251026&amp;utm_content=saletructiep_Japan.TN.M2_THCNGDP_LD191&amp;utm_campaign=Japan.TN.M2_PTD_Tiktok_HieuPM_251026" TargetMode="External"/><Relationship Id="rId7" Type="http://schemas.openxmlformats.org/officeDocument/2006/relationships/hyperlink" Target="https://patadovietnam.edu.vn/hktt249/" TargetMode="External"/><Relationship Id="rId8" Type="http://schemas.openxmlformats.org/officeDocument/2006/relationships/hyperlink" Target="http://unitedstates.tn/" TargetMode="External"/><Relationship Id="rId40" Type="http://schemas.openxmlformats.org/officeDocument/2006/relationships/hyperlink" Target="https://patadovietnam.edu.vn/hqfb2910/?utm_source=Facebook&amp;utm_medium=CVS&amp;utm_term=NEW_KoreaSouth_1840_none_251026&amp;utm_content=saletructiep_KoreaSouth.M69C4_THCNGDP_LD201&amp;utm_campaign=KoreaSouth.M32C51_PTD_CVS_HieuPM_251026" TargetMode="External"/><Relationship Id="rId42" Type="http://schemas.openxmlformats.org/officeDocument/2006/relationships/hyperlink" Target="http://all.gt/" TargetMode="External"/><Relationship Id="rId41" Type="http://schemas.openxmlformats.org/officeDocument/2006/relationships/hyperlink" Target="https://patadovietnam.edu.vn/allfb91123" TargetMode="External"/><Relationship Id="rId44" Type="http://schemas.openxmlformats.org/officeDocument/2006/relationships/hyperlink" Target="https://patadovietnam.edu.vn/allfb91123/?utm_source=Facebook&amp;utm_medium=CVS&amp;utm_term=NEW_ALL_1840_none_251026&amp;utm_content=saletructiep_ALL.GT.M37_THCNGDP_LD197&amp;utm_campaign=ALL.GT.M37_PTD_MES_HieuPM_251026" TargetMode="External"/><Relationship Id="rId43" Type="http://schemas.openxmlformats.org/officeDocument/2006/relationships/hyperlink" Target="http://all.gt/" TargetMode="External"/><Relationship Id="rId46" Type="http://schemas.openxmlformats.org/officeDocument/2006/relationships/hyperlink" Target="http://australia.gt/" TargetMode="External"/><Relationship Id="rId45" Type="http://schemas.openxmlformats.org/officeDocument/2006/relationships/hyperlink" Target="https://patadovietnam.edu.vn/allfb91123" TargetMode="External"/><Relationship Id="rId48" Type="http://schemas.openxmlformats.org/officeDocument/2006/relationships/hyperlink" Target="https://patadovietnam.edu.vn/allfb91123/?utm_source=Facebook&amp;utm_medium=CVS&amp;utm_term=NEW_Australia_1840_none_251026&amp;utm_content=saletructiep_Australia.GT.M69C43_THCNGDP_LD197&amp;utm_campaign=Australia.GT.M32C51_PTD_CVS_HieuPM_251026" TargetMode="External"/><Relationship Id="rId47" Type="http://schemas.openxmlformats.org/officeDocument/2006/relationships/hyperlink" Target="http://australia.gt/" TargetMode="External"/><Relationship Id="rId49" Type="http://schemas.openxmlformats.org/officeDocument/2006/relationships/hyperlink" Target="https://patadovietnam.edu.vn/allfb91123" TargetMode="External"/><Relationship Id="rId31" Type="http://schemas.openxmlformats.org/officeDocument/2006/relationships/hyperlink" Target="https://patadovietnam.edu.vn/hkfb2910" TargetMode="External"/><Relationship Id="rId30" Type="http://schemas.openxmlformats.org/officeDocument/2006/relationships/hyperlink" Target="https://patadovietnam.edu.vn/altiktok21923/?utm_source=Tiktok&amp;utm_medium=CVS&amp;utm_term=NEW_ALL_1840_none_251026&amp;utm_content=saletructiep_ALL.M183_THCNGDP_LD188&amp;utm_campaign=ALL.M183_PTD_Tiktok_HieuPM_251026" TargetMode="External"/><Relationship Id="rId33" Type="http://schemas.openxmlformats.org/officeDocument/2006/relationships/hyperlink" Target="http://unitedstates.gt/" TargetMode="External"/><Relationship Id="rId32" Type="http://schemas.openxmlformats.org/officeDocument/2006/relationships/hyperlink" Target="http://unitedstates.gt/" TargetMode="External"/><Relationship Id="rId35" Type="http://schemas.openxmlformats.org/officeDocument/2006/relationships/hyperlink" Target="https://patadovietnam.edu.vn/jpfb2910" TargetMode="External"/><Relationship Id="rId34" Type="http://schemas.openxmlformats.org/officeDocument/2006/relationships/hyperlink" Target="https://patadovietnam.edu.vn/hkfb2910/?utm_source=Facebook&amp;utm_medium=MES&amp;utm_term=NEW_UnitedStates_1845_none_251026&amp;utm_content=saletructiep_UnitedStates.GT.M_THCNGDP_LD199&amp;utm_campaign=UnitedStates.GT.M_PTD_MES_HieuPM_251026" TargetMode="External"/><Relationship Id="rId37" Type="http://schemas.openxmlformats.org/officeDocument/2006/relationships/hyperlink" Target="http://japan.gt/" TargetMode="External"/><Relationship Id="rId36" Type="http://schemas.openxmlformats.org/officeDocument/2006/relationships/hyperlink" Target="http://japan.gt/" TargetMode="External"/><Relationship Id="rId39" Type="http://schemas.openxmlformats.org/officeDocument/2006/relationships/hyperlink" Target="https://patadovietnam.edu.vn/hqfb2910" TargetMode="External"/><Relationship Id="rId38" Type="http://schemas.openxmlformats.org/officeDocument/2006/relationships/hyperlink" Target="https://patadovietnam.edu.vn/jpfb2910/?utm_source=Facebook&amp;utm_medium=CVS&amp;utm_term=NEW_Japan_1840_none_251026&amp;utm_content=saletructiep_Japan.GT.M0_TAGTTDP_LD200&amp;utm_campaign=Japan.GT.M0_PTD_CVS_HieuPM_251026" TargetMode="External"/><Relationship Id="rId20" Type="http://schemas.openxmlformats.org/officeDocument/2006/relationships/hyperlink" Target="http://europe.tn/" TargetMode="External"/><Relationship Id="rId22" Type="http://schemas.openxmlformats.org/officeDocument/2006/relationships/hyperlink" Target="https://patadovietnam.edu.vn/eutt249/?utm_source=Tiktok&amp;utm_medium=CVS&amp;utm_term=NEW_Europe_1840_none_251026&amp;utm_content=saletructiep_Europe.M8_THCNGDP_LD193&amp;utm_campaign=Europe.M8_PTD_Tiktok_HieuPM_251026" TargetMode="External"/><Relationship Id="rId21" Type="http://schemas.openxmlformats.org/officeDocument/2006/relationships/hyperlink" Target="http://europe.tn/" TargetMode="External"/><Relationship Id="rId24" Type="http://schemas.openxmlformats.org/officeDocument/2006/relationships/hyperlink" Target="http://taiwan.tn/" TargetMode="External"/><Relationship Id="rId23" Type="http://schemas.openxmlformats.org/officeDocument/2006/relationships/hyperlink" Target="https://patadovietnam.edu.vn/twtt249/" TargetMode="External"/><Relationship Id="rId26" Type="http://schemas.openxmlformats.org/officeDocument/2006/relationships/hyperlink" Target="https://patadovietnam.edu.vn/twtt249/?utm_source=Tiktok&amp;utm_medium=CVS&amp;utm_term=NEW_Taiwan_1840_none_251026&amp;utm_content=saletructiep_Taiwan.TN.M1_THCNGDP_LD192&amp;utm_campaign=Taiwan.TN.M1_PTD_Tiktok_HieuPM_251026" TargetMode="External"/><Relationship Id="rId25" Type="http://schemas.openxmlformats.org/officeDocument/2006/relationships/hyperlink" Target="http://taiwan.tn/" TargetMode="External"/><Relationship Id="rId28" Type="http://schemas.openxmlformats.org/officeDocument/2006/relationships/hyperlink" Target="https://patadovietnam.edu.vn/catt249/?utm_source=Tiktok&amp;utm_medium=CVS&amp;utm_term=NEW_Canada_1840_none_251026&amp;utm_content=saletructiep_Canada.HT6T1844_THCNGDP_LD194&amp;utm_campaign=Canada.HT6T1844_PTD_Tiktok_HieuPM_251026" TargetMode="External"/><Relationship Id="rId27" Type="http://schemas.openxmlformats.org/officeDocument/2006/relationships/hyperlink" Target="https://patadovietnam.edu.vn/catt249/" TargetMode="External"/><Relationship Id="rId29" Type="http://schemas.openxmlformats.org/officeDocument/2006/relationships/hyperlink" Target="https://patadovietnam.edu.vn/altiktok21923/" TargetMode="External"/><Relationship Id="rId11" Type="http://schemas.openxmlformats.org/officeDocument/2006/relationships/hyperlink" Target="https://patadovietnam.edu.vn/hqtt249/" TargetMode="External"/><Relationship Id="rId10" Type="http://schemas.openxmlformats.org/officeDocument/2006/relationships/hyperlink" Target="https://patadovietnam.edu.vn/hktt249/?utm_source=Tiktok&amp;utm_medium=CVS&amp;utm_term=NEW_UnitedStates_1840_none_251026&amp;utm_content=saletructiep_UnitedStates.M1_THCNGDP_LD189&amp;utm_campaign=UnitedStates.M1_PTD_Tiktok_HieuPM_251026" TargetMode="External"/><Relationship Id="rId13" Type="http://schemas.openxmlformats.org/officeDocument/2006/relationships/hyperlink" Target="http://koreasouth.tn/" TargetMode="External"/><Relationship Id="rId12" Type="http://schemas.openxmlformats.org/officeDocument/2006/relationships/hyperlink" Target="http://koreasouth.tn/" TargetMode="External"/><Relationship Id="rId15" Type="http://schemas.openxmlformats.org/officeDocument/2006/relationships/hyperlink" Target="https://patadovietnam.edu.vn/uctt249/" TargetMode="External"/><Relationship Id="rId14" Type="http://schemas.openxmlformats.org/officeDocument/2006/relationships/hyperlink" Target="https://patadovietnam.edu.vn/hqtt249/?utm_source=Tiktok&amp;utm_medium=CVS&amp;utm_term=NEW_KoreaSouth_1840_none_251026&amp;utm_content=saletructiep_KoreaSouth.M1_THCNGDP_LD190&amp;utm_campaign=KoreaSouth.M1_PTD_Tiktok_HieuPM_251026" TargetMode="External"/><Relationship Id="rId17" Type="http://schemas.openxmlformats.org/officeDocument/2006/relationships/hyperlink" Target="https://patadovietnam.edu.vn/allielts259" TargetMode="External"/><Relationship Id="rId16" Type="http://schemas.openxmlformats.org/officeDocument/2006/relationships/hyperlink" Target="https://patadovietnam.edu.vn/uctt249/?utm_source=Tiktok&amp;utm_medium=CVS&amp;utm_term=NEW_Australia_1840_none_251026&amp;utm_content=saletructiep_Australia.M37_THCNGDP_LD195&amp;utm_campaign=Australia.M37_PTD_Tiktok_HieuPM_251026" TargetMode="External"/><Relationship Id="rId19" Type="http://schemas.openxmlformats.org/officeDocument/2006/relationships/hyperlink" Target="https://patadovietnam.edu.vn/eutt249/" TargetMode="External"/><Relationship Id="rId18" Type="http://schemas.openxmlformats.org/officeDocument/2006/relationships/hyperlink" Target="https://patadovietnam.edu.vn/ielts26923/?utm_source=Tiktok&amp;utm_medium=CVS&amp;utm_term=NEW_ALL_1840_none_251026&amp;utm_content=saletructiep_ALL.IELTS.M23_THCNGDP_LD211&amp;utm_campaign=ALL.IELTS.M23_PTD_Tiktok_HieuPM_251026" TargetMode="External"/><Relationship Id="rId62" Type="http://schemas.openxmlformats.org/officeDocument/2006/relationships/hyperlink" Target="https://patadovietnam.edu.vn/ielts26923/?utm_source=Facebook&amp;utm_medium=CVS&amp;utm_term=NEW_ALL_1840_none_251026&amp;utm_content=saletructiep_ALL.IELTS.M81C56_THCNGDP_LD211&amp;utm_campaign=ALL.IELTS.M81C56_PTD_CVS_HieuPM_251026" TargetMode="External"/><Relationship Id="rId61" Type="http://schemas.openxmlformats.org/officeDocument/2006/relationships/hyperlink" Target="https://patadovietnam.edu.vn/ielts26923" TargetMode="External"/><Relationship Id="rId63" Type="http://schemas.openxmlformats.org/officeDocument/2006/relationships/drawing" Target="../drawings/drawing5.xml"/><Relationship Id="rId60" Type="http://schemas.openxmlformats.org/officeDocument/2006/relationships/hyperlink" Target="https://patadovietnam.edu.vn/allfb91123/?utm_source=Facebook&amp;utm_medium=CVS&amp;utm_term=NEW_Europe_1840_none_251026&amp;utm_content=saletructiep_Europe.GT.M0_THCNGDP_LD197&amp;utm_campaign=Europe.GT.M0_PTD_CVS_HieuPM_251026" TargetMode="External"/><Relationship Id="rId51" Type="http://schemas.openxmlformats.org/officeDocument/2006/relationships/hyperlink" Target="http://canad.gt/" TargetMode="External"/><Relationship Id="rId50" Type="http://schemas.openxmlformats.org/officeDocument/2006/relationships/hyperlink" Target="http://canad.gt/" TargetMode="External"/><Relationship Id="rId53" Type="http://schemas.openxmlformats.org/officeDocument/2006/relationships/hyperlink" Target="https://patadovietnam.edu.vn/allfb91123" TargetMode="External"/><Relationship Id="rId52" Type="http://schemas.openxmlformats.org/officeDocument/2006/relationships/hyperlink" Target="https://patadovietnam.edu.vn/allfb91123/?utm_source=Facebook&amp;utm_medium=CVS&amp;utm_term=NEW_Canada_1840_none_251026&amp;utm_content=saletructiep_Canada.GT.M69C43_THCNGDP_LD197&amp;utm_campaign=Canada.GT.M32C51_PTD_CVS_HieuPM_251026" TargetMode="External"/><Relationship Id="rId55" Type="http://schemas.openxmlformats.org/officeDocument/2006/relationships/hyperlink" Target="http://philippine.gt/" TargetMode="External"/><Relationship Id="rId54" Type="http://schemas.openxmlformats.org/officeDocument/2006/relationships/hyperlink" Target="http://philippine.gt/" TargetMode="External"/><Relationship Id="rId57" Type="http://schemas.openxmlformats.org/officeDocument/2006/relationships/hyperlink" Target="https://patadovietnam.edu.vn/allfb91123" TargetMode="External"/><Relationship Id="rId56" Type="http://schemas.openxmlformats.org/officeDocument/2006/relationships/hyperlink" Target="https://patadovietnam.edu.vn/allfb91123/?utm_source=Facebook&amp;utm_medium=CVS&amp;utm_term=NEW_Philippines_1840_none_251026&amp;utm_content=saletructiep_Philippine.GT.M69C43_THCNGDP_LD197&amp;utm_campaign=Philippine.GT.M32C51_PTD_CVS_HieuPM_251026" TargetMode="External"/><Relationship Id="rId59" Type="http://schemas.openxmlformats.org/officeDocument/2006/relationships/hyperlink" Target="http://europ.gt/" TargetMode="External"/><Relationship Id="rId58" Type="http://schemas.openxmlformats.org/officeDocument/2006/relationships/hyperlink" Target="http://europ.gt/" TargetMode="External"/></Relationships>
</file>

<file path=xl/worksheets/_rels/sheet6.xml.rels><?xml version="1.0" encoding="UTF-8" standalone="yes"?><Relationships xmlns="http://schemas.openxmlformats.org/package/2006/relationships"><Relationship Id="rId392" Type="http://schemas.openxmlformats.org/officeDocument/2006/relationships/hyperlink" Target="http://ldp.to/ltx2taiwan_HN" TargetMode="External"/><Relationship Id="rId391" Type="http://schemas.openxmlformats.org/officeDocument/2006/relationships/hyperlink" Target="https://patadovietnam.edu.vn/gtall_namnh/?utm_source=Facebook&amp;utm_medium=MES&amp;utm_term=NEW_Taiwan_1838_none_050923&amp;utm_content=saletructiep_Taiwan.anhltx2.1838.giaotiep_PTATT_LD169&amp;utm_campaign=Taiwan.giaotiep.anhltx2_95360_MES_NamNH_050923" TargetMode="External"/><Relationship Id="rId390" Type="http://schemas.openxmlformats.org/officeDocument/2006/relationships/hyperlink" Target="https://patadovietnam.edu.vn/gtall_namnh" TargetMode="External"/><Relationship Id="rId2180" Type="http://schemas.openxmlformats.org/officeDocument/2006/relationships/hyperlink" Target="https://patadovietnam.edu.vn/tienganhgiaotiep_hn/" TargetMode="External"/><Relationship Id="rId2181" Type="http://schemas.openxmlformats.org/officeDocument/2006/relationships/hyperlink" Target="https://patadovietnam.edu.vn/tienganhgiaotiep_hn/?utm_source=Facebook&amp;utm_medium=MES&amp;utm_term=NEW_Philippines_1840_none_021224&amp;utm_content=saletructiep_Philippines.M324.1840.giaotiep_PTATT_LD153&amp;utm_campaign=Philippines.giaotiep.M324_16917_MES_NamNH_021224" TargetMode="External"/><Relationship Id="rId2182" Type="http://schemas.openxmlformats.org/officeDocument/2006/relationships/hyperlink" Target="https://patadovietnam.edu.vn/tienganhgiaotiep_hn/" TargetMode="External"/><Relationship Id="rId2183" Type="http://schemas.openxmlformats.org/officeDocument/2006/relationships/hyperlink" Target="https://patadovietnam.edu.vn/tienganhgiaotiep_hn/?utm_source=Facebook&amp;utm_medium=MES&amp;utm_term=NEW_Taiwan_1840_none_021224&amp;utm_content=saletructiep_Taiwan.M324.1840.giaotiep_PTATT_LD153&amp;utm_campaign=Taiwan.giaotiep.M324_16917_MES_NamNH_021224" TargetMode="External"/><Relationship Id="rId385" Type="http://schemas.openxmlformats.org/officeDocument/2006/relationships/hyperlink" Target="https://patadovietnam.edu.vn/gtall_namnh/?utm_source=Facebook&amp;utm_medium=MES&amp;utm_term=NEW_KoreaSouth_1840_none_050923&amp;utm_content=saletructiep_Korea.anhltx2.1840.giaotiep_PTATT_LD169&amp;utm_campaign=Korea.giaotiep.anhltx2_95360_MES_NamNH_050923" TargetMode="External"/><Relationship Id="rId2184" Type="http://schemas.openxmlformats.org/officeDocument/2006/relationships/hyperlink" Target="https://patadovietnam.edu.vn/tienganhgiaotiep_hn/" TargetMode="External"/><Relationship Id="rId384" Type="http://schemas.openxmlformats.org/officeDocument/2006/relationships/hyperlink" Target="https://patadovietnam.edu.vn/gtall_namnh" TargetMode="External"/><Relationship Id="rId2185" Type="http://schemas.openxmlformats.org/officeDocument/2006/relationships/hyperlink" Target="https://patadovietnam.edu.vn/tienganhgiaotiep_hn/?utm_source=Facebook&amp;utm_medium=MES&amp;utm_term=NEW_KoreaSouth_1840_none_021224&amp;utm_content=saletructiep_KoreaSouth.M331.1840.giaotiep_PTATT_LD153&amp;utm_campaign=KoreaSouth.giaotiep.M331_16917_MES_NamNH_021224" TargetMode="External"/><Relationship Id="rId383" Type="http://schemas.openxmlformats.org/officeDocument/2006/relationships/hyperlink" Target="http://ldp.ink/note3USA_HN" TargetMode="External"/><Relationship Id="rId2186" Type="http://schemas.openxmlformats.org/officeDocument/2006/relationships/hyperlink" Target="https://patadovietnam.edu.vn/tienganhgiaotiep_hn/" TargetMode="External"/><Relationship Id="rId382" Type="http://schemas.openxmlformats.org/officeDocument/2006/relationships/hyperlink" Target="https://patadovietnam.edu.vn/gtusa1_nhn/?utm_source=Facebook&amp;utm_medium=MES&amp;utm_term=NEW_UnitedStates_2045_none_050923&amp;utm_content=saletructiep_UnitedStates.anhnote3.2045.giaotiep_PTATT_LD161&amp;utm_campaign=UnitedStates.giaotiep.anhnote3_16917_MES_NamNH_050923" TargetMode="External"/><Relationship Id="rId2187" Type="http://schemas.openxmlformats.org/officeDocument/2006/relationships/hyperlink" Target="https://patadovietnam.edu.vn/tienganhgiaotiep_hn/?utm_source=Facebook&amp;utm_medium=MES&amp;utm_term=NEW_Philippines_1840_none_021224&amp;utm_content=saletructiep_Philippines.M331.1840.giaotiep_PTATT_LD153&amp;utm_campaign=Philippines.giaotiep.M331_16917_MES_NamNH_021224" TargetMode="External"/><Relationship Id="rId389" Type="http://schemas.openxmlformats.org/officeDocument/2006/relationships/hyperlink" Target="http://ldp.to/GTtoandien1_USA" TargetMode="External"/><Relationship Id="rId2188" Type="http://schemas.openxmlformats.org/officeDocument/2006/relationships/hyperlink" Target="https://patadovietnam.edu.vn/tienganhgiaotiep_hn/" TargetMode="External"/><Relationship Id="rId388" Type="http://schemas.openxmlformats.org/officeDocument/2006/relationships/hyperlink" Target="https://patadovietnam.edu.vn/gtusa1_nhn/?utm_source=Facebook&amp;utm_medium=MES&amp;utm_term=NEW_UnitedStates_2045_none_050923&amp;utm_content=saletructiep_UnitedStates.anhhot2.2045.giaotiep_PTATT_LD161&amp;utm_campaign=UnitedStates.giaotiep.anhhot2_95360_MES_NamNH_050923" TargetMode="External"/><Relationship Id="rId2189" Type="http://schemas.openxmlformats.org/officeDocument/2006/relationships/hyperlink" Target="https://patadovietnam.edu.vn/tienganhgiaotiep_hn/?utm_source=Facebook&amp;utm_medium=MES&amp;utm_term=NEW_Taiwan_1840_none_021224&amp;utm_content=saletructiep_Taiwan.M331.1840.giaotiep_PTATT_LD153&amp;utm_campaign=Taiwan.giaotiep.M331_16917_MES_NamNH_021224" TargetMode="External"/><Relationship Id="rId387" Type="http://schemas.openxmlformats.org/officeDocument/2006/relationships/hyperlink" Target="https://patadovietnam.edu.vn/gtusa1_nhn" TargetMode="External"/><Relationship Id="rId386" Type="http://schemas.openxmlformats.org/officeDocument/2006/relationships/hyperlink" Target="http://ldp.to/ltx2_HN" TargetMode="External"/><Relationship Id="rId381" Type="http://schemas.openxmlformats.org/officeDocument/2006/relationships/hyperlink" Target="https://patadovietnam.edu.vn/gtusa1_nhn" TargetMode="External"/><Relationship Id="rId380" Type="http://schemas.openxmlformats.org/officeDocument/2006/relationships/hyperlink" Target="http://ldp.to/note3canada_HN" TargetMode="External"/><Relationship Id="rId379" Type="http://schemas.openxmlformats.org/officeDocument/2006/relationships/hyperlink" Target="https://patadovietnam.edu.vn/gtall_namnh/?utm_source=Facebook&amp;utm_medium=MES&amp;utm_term=NEW_Canada_2043_none_050923&amp;utm_content=saletructiep_Canada.anhnote3.2043.giaotiep_PTATT_LD169&amp;utm_campaign=Canada.giaotiep.anhnote3_95360_MES_NamNH_050923" TargetMode="External"/><Relationship Id="rId2170" Type="http://schemas.openxmlformats.org/officeDocument/2006/relationships/hyperlink" Target="https://patadovietnam.edu.vn/gtjapan_nhn3" TargetMode="External"/><Relationship Id="rId2171" Type="http://schemas.openxmlformats.org/officeDocument/2006/relationships/hyperlink" Target="https://patadovietnam.edu.vn/gtjapan_nhn3/?utm_source=Facebook&amp;utm_medium=CVS&amp;utm_term=NEW_Japan_1840_none_021224&amp;utm_content=saletructiep_Japan.M333.1840.giaotiep_PTATT_LD164&amp;utm_campaign=Japan.giaotiep.M333_16917_CVS_NamNH_021224" TargetMode="External"/><Relationship Id="rId2172" Type="http://schemas.openxmlformats.org/officeDocument/2006/relationships/hyperlink" Target="https://patadovietnam.edu.vn/gtusa1_nhn" TargetMode="External"/><Relationship Id="rId374" Type="http://schemas.openxmlformats.org/officeDocument/2006/relationships/hyperlink" Target="http://ldp.to/note3philippines_HN" TargetMode="External"/><Relationship Id="rId2173" Type="http://schemas.openxmlformats.org/officeDocument/2006/relationships/hyperlink" Target="https://patadovietnam.edu.vn/gtusa1_nhn/?utm_source=Facebook&amp;utm_medium=MES&amp;utm_term=NEW_UnitedStates_1840_none_021224&amp;utm_content=saletructiep_UnitedStates.M333.1840.giaotiep_PTATT_LD161&amp;utm_campaign=UnitedStates.giaotiep.M333_16917_MES_NamNH_021224" TargetMode="External"/><Relationship Id="rId373" Type="http://schemas.openxmlformats.org/officeDocument/2006/relationships/hyperlink" Target="https://patadovietnam.edu.vn/gtall_namnh/?utm_source=Facebook&amp;utm_medium=MES&amp;utm_term=NEW_Philippines_1836_none_310823&amp;utm_content=saletructiep_Philippines.anhnote3.1836.giaotiep_PTATT_LD169&amp;utm_campaign=Philippines.giaotiep.anhnote3_95360_MES_NamNH_310823" TargetMode="External"/><Relationship Id="rId2174" Type="http://schemas.openxmlformats.org/officeDocument/2006/relationships/hyperlink" Target="https://patadovietnam.edu.vn/tienganhgiaotiep_hn/" TargetMode="External"/><Relationship Id="rId372" Type="http://schemas.openxmlformats.org/officeDocument/2006/relationships/hyperlink" Target="https://patadovietnam.edu.vn/gtall_namnh" TargetMode="External"/><Relationship Id="rId2175" Type="http://schemas.openxmlformats.org/officeDocument/2006/relationships/hyperlink" Target="https://patadovietnam.edu.vn/tienganhgiaotiep_hn/?utm_source=Facebook&amp;utm_medium=CVS&amp;utm_term=NEW_Europe_1840_none_021224&amp;utm_content=saletructiep_Europe.M324.1840.giaotiep_PTATT_LD153&amp;utm_campaign=Europe.giaotiep.M324_16917_CVS_NamNH_021224" TargetMode="External"/><Relationship Id="rId371" Type="http://schemas.openxmlformats.org/officeDocument/2006/relationships/hyperlink" Target="http://ldp.to/note3korea_HN" TargetMode="External"/><Relationship Id="rId2176" Type="http://schemas.openxmlformats.org/officeDocument/2006/relationships/hyperlink" Target="https://patadovietnam.edu.vn/gtjapan_nhn3" TargetMode="External"/><Relationship Id="rId378" Type="http://schemas.openxmlformats.org/officeDocument/2006/relationships/hyperlink" Target="https://patadovietnam.edu.vn/gtall_namnh" TargetMode="External"/><Relationship Id="rId2177" Type="http://schemas.openxmlformats.org/officeDocument/2006/relationships/hyperlink" Target="https://patadovietnam.edu.vn/gtjapan_nhn3/?utm_source=Facebook&amp;utm_medium=CVS&amp;utm_term=NEW_Japan_1840_none_021224&amp;utm_content=saletructiep_Japan.M324.1840.giaotiep_PTATT_LD164&amp;utm_campaign=Japan.giaotiep.M324_16917_CVS_NamNH_021224" TargetMode="External"/><Relationship Id="rId377" Type="http://schemas.openxmlformats.org/officeDocument/2006/relationships/hyperlink" Target="http://ldp.to/note3uc_HN" TargetMode="External"/><Relationship Id="rId2178" Type="http://schemas.openxmlformats.org/officeDocument/2006/relationships/hyperlink" Target="https://patadovietnam.edu.vn/tienganhgiaotiep_hn/" TargetMode="External"/><Relationship Id="rId376" Type="http://schemas.openxmlformats.org/officeDocument/2006/relationships/hyperlink" Target="https://patadovietnam.edu.vn/gtall_namnh/?utm_source=Facebook&amp;utm_medium=MES&amp;utm_term=NEW_Australia_1843_none_310823&amp;utm_content=saletructiep_Australia.anhnote3.1843.giaotiep_PTATT_LD169&amp;utm_campaign=Australia.giaotiep.anhnote3_95360_MES_NamNH_310823" TargetMode="External"/><Relationship Id="rId2179" Type="http://schemas.openxmlformats.org/officeDocument/2006/relationships/hyperlink" Target="https://patadovietnam.edu.vn/tienganhgiaotiep_hn/?utm_source=Facebook&amp;utm_medium=MES&amp;utm_term=NEW_KoreaSouth_1840_none_021224&amp;utm_content=saletructiep_KoreaSouth.M324.1840.giaotiep_PTATT_LD153&amp;utm_campaign=KoreaSouth.giaotiep.M324_16917_MES_NamNH_021224" TargetMode="External"/><Relationship Id="rId375" Type="http://schemas.openxmlformats.org/officeDocument/2006/relationships/hyperlink" Target="https://patadovietnam.edu.vn/gtall_namnh" TargetMode="External"/><Relationship Id="rId2190" Type="http://schemas.openxmlformats.org/officeDocument/2006/relationships/hyperlink" Target="https://patadovietnam.edu.vn/gtusa1_nhn" TargetMode="External"/><Relationship Id="rId2191" Type="http://schemas.openxmlformats.org/officeDocument/2006/relationships/hyperlink" Target="https://patadovietnam.edu.vn/gtusa1_nhn/?utm_source=Facebook&amp;utm_medium=MES&amp;utm_term=NEW_UnitedStates_2050_none_021224&amp;utm_content=saletructiep_UnitedStates.M336.1840.giaotiep_PTATT_LD161&amp;utm_campaign=UnitedStates.giaotiep.M336_16917_MES_NamNH_021224" TargetMode="External"/><Relationship Id="rId2192" Type="http://schemas.openxmlformats.org/officeDocument/2006/relationships/hyperlink" Target="https://patadovietnam.edu.vn/tienganhgiaotiep_hn/" TargetMode="External"/><Relationship Id="rId2193" Type="http://schemas.openxmlformats.org/officeDocument/2006/relationships/hyperlink" Target="https://patadovietnam.edu.vn/tienganhgiaotiep_hn/?utm_source=Facebook&amp;utm_medium=CVS&amp;utm_term=NEW_Europe_1840_none_061224&amp;utm_content=saletructiep_Europe.M336.1840.giaotiep_PTATT_LD153&amp;utm_campaign=Europe.giaotiep.M336_16917_CVS_NamNH_061224" TargetMode="External"/><Relationship Id="rId2194" Type="http://schemas.openxmlformats.org/officeDocument/2006/relationships/hyperlink" Target="https://patadovietnam.edu.vn/gtjapan_nhn3" TargetMode="External"/><Relationship Id="rId396" Type="http://schemas.openxmlformats.org/officeDocument/2006/relationships/hyperlink" Target="https://patadovietnam.edu.vn/gtall_namnh" TargetMode="External"/><Relationship Id="rId2195" Type="http://schemas.openxmlformats.org/officeDocument/2006/relationships/hyperlink" Target="https://patadovietnam.edu.vn/gtjapan_nhn3/?utm_source=Facebook&amp;utm_medium=CVS&amp;utm_term=NEW_Japan_1840_none_061224&amp;utm_content=saletructiep_Japan.M336.1840.giaotiep_PTATT_LD164&amp;utm_campaign=Japan.giaotiep.M336_16917_CVS_NamNH_061224" TargetMode="External"/><Relationship Id="rId395" Type="http://schemas.openxmlformats.org/officeDocument/2006/relationships/hyperlink" Target="http://ldp.to/Cnhvkorea_HN" TargetMode="External"/><Relationship Id="rId2196" Type="http://schemas.openxmlformats.org/officeDocument/2006/relationships/hyperlink" Target="https://patadovietnam.edu.vn/tienganhgiaotiep_hn/" TargetMode="External"/><Relationship Id="rId394" Type="http://schemas.openxmlformats.org/officeDocument/2006/relationships/hyperlink" Target="https://patadovietnam.edu.vn/gtall_namnh/?utm_source=Facebook&amp;utm_medium=MES&amp;utm_term=NEW_KoreaSouth_1840_none_060923&amp;utm_content=saletructiep_Korea.videoCNHV2.1840.giaotiep_PTATT_LD169&amp;utm_campaign=Korea.giaotiep.videoCNHV2_95360_MES_NamNH_060923" TargetMode="External"/><Relationship Id="rId2197" Type="http://schemas.openxmlformats.org/officeDocument/2006/relationships/hyperlink" Target="https://patadovietnam.edu.vn/tienganhgiaotiep_hn/?utm_source=Facebook&amp;utm_medium=MES&amp;utm_term=NEW_Philippines_1840_none_061224&amp;utm_content=saletructiep_Philippines.M336.1840.giaotiep_PTATT_LD153&amp;utm_campaign=Philippines.giaotiep.M336_16917_MES_NamNH_061224" TargetMode="External"/><Relationship Id="rId393" Type="http://schemas.openxmlformats.org/officeDocument/2006/relationships/hyperlink" Target="https://patadovietnam.edu.vn/gtall_namnh" TargetMode="External"/><Relationship Id="rId2198" Type="http://schemas.openxmlformats.org/officeDocument/2006/relationships/hyperlink" Target="https://patadovietnam.edu.vn/gtusa1_nhn" TargetMode="External"/><Relationship Id="rId2199" Type="http://schemas.openxmlformats.org/officeDocument/2006/relationships/hyperlink" Target="https://patadovietnam.edu.vn/gtusa1_nhn/?utm_source=Facebook&amp;utm_medium=MES&amp;utm_term=NEW_UnitedStates_2050_none_091224&amp;utm_content=saletructiep_UnitedStates.M339.1840.giaotiep_PTATT_LD161&amp;utm_campaign=UnitedStates.giaotiep.M339_16917_MES_NamNH_091224" TargetMode="External"/><Relationship Id="rId399" Type="http://schemas.openxmlformats.org/officeDocument/2006/relationships/hyperlink" Target="https://patadovietnam.edu.vn/gtall_namnh" TargetMode="External"/><Relationship Id="rId398" Type="http://schemas.openxmlformats.org/officeDocument/2006/relationships/hyperlink" Target="http://ldp.to/Cnhvphilippines_HN" TargetMode="External"/><Relationship Id="rId397" Type="http://schemas.openxmlformats.org/officeDocument/2006/relationships/hyperlink" Target="https://patadovietnam.edu.vn/gtall_namnh/?utm_source=Facebook&amp;utm_medium=MES&amp;utm_term=NEW_Philippines_1838_none_060923&amp;utm_content=saletructiep_Philippines.videoCNHV2.1838.giaotiep_PTATT_LD169&amp;utm_campaign=Philippines.giaotiep.videoCNHV2_95360_MES_NamNH_060923" TargetMode="External"/><Relationship Id="rId1730" Type="http://schemas.openxmlformats.org/officeDocument/2006/relationships/hyperlink" Target="https://patadovietnam.edu.vn/tienganhgiaotiep_hn/" TargetMode="External"/><Relationship Id="rId1731" Type="http://schemas.openxmlformats.org/officeDocument/2006/relationships/hyperlink" Target="https://patadovietnam.edu.vn/tienganhgiaotiep_hn/?utm_source=Facebook&amp;utm_medium=CVS&amp;utm_term=NEW_Europe_1840_none_120624&amp;utm_content=saletructiep_Europe.M250.1840.giaotiep_PTATT_LD153&amp;utm_campaign=Europe.giaotiep.M250_16917_CVS_NamNH_120624" TargetMode="External"/><Relationship Id="rId1732" Type="http://schemas.openxmlformats.org/officeDocument/2006/relationships/hyperlink" Target="https://s.net.vn/M250-europe" TargetMode="External"/><Relationship Id="rId1733" Type="http://schemas.openxmlformats.org/officeDocument/2006/relationships/hyperlink" Target="https://patadovietnam.edu.vn/tienganhdoanhnghiep_hn" TargetMode="External"/><Relationship Id="rId1734" Type="http://schemas.openxmlformats.org/officeDocument/2006/relationships/hyperlink" Target="https://patadovietnam.edu.vn/tienganhdoanhnghiep_hn/?utm_source=Facebook&amp;utm_medium=MES&amp;utm_term=NEW_Vietnam_2035_none_130624&amp;utm_content=saletructiep_Vietnam.MB18.1836.Congso_PTATT_LD224&amp;utm_campaign=Vietnam.Congso.MB18_16917_MES_NamNH_130624" TargetMode="External"/><Relationship Id="rId1735" Type="http://schemas.openxmlformats.org/officeDocument/2006/relationships/hyperlink" Target="https://s.net.vn/MB18-vietnam" TargetMode="External"/><Relationship Id="rId1736" Type="http://schemas.openxmlformats.org/officeDocument/2006/relationships/hyperlink" Target="https://patadovietnam.edu.vn/tienganhdoanhnghiep_hn" TargetMode="External"/><Relationship Id="rId1737" Type="http://schemas.openxmlformats.org/officeDocument/2006/relationships/hyperlink" Target="https://patadovietnam.edu.vn/tienganhdoanhnghiep_hn/?utm_source=Facebook&amp;utm_medium=MES&amp;utm_term=NEW_Vietnam_2035_none_130624&amp;utm_content=saletructiep_Vietnam.MB19.1836.Congso_PTATT_LD224&amp;utm_campaign=Vietnam.Congso.MB19_16917_MES_NamNH_130624" TargetMode="External"/><Relationship Id="rId1738" Type="http://schemas.openxmlformats.org/officeDocument/2006/relationships/hyperlink" Target="https://s.net.vn/MB19-vietnam" TargetMode="External"/><Relationship Id="rId1739" Type="http://schemas.openxmlformats.org/officeDocument/2006/relationships/hyperlink" Target="https://patadovietnam.edu.vn/tienganhdoanhnghiep_hn" TargetMode="External"/><Relationship Id="rId1720" Type="http://schemas.openxmlformats.org/officeDocument/2006/relationships/hyperlink" Target="https://s.net.vn/M247-usa" TargetMode="External"/><Relationship Id="rId1721" Type="http://schemas.openxmlformats.org/officeDocument/2006/relationships/hyperlink" Target="https://patadovietnam.edu.vn/gtjapan_nhn3" TargetMode="External"/><Relationship Id="rId1722" Type="http://schemas.openxmlformats.org/officeDocument/2006/relationships/hyperlink" Target="https://patadovietnam.edu.vn/gtjapan_nhn3/?utm_source=Facebook&amp;utm_medium=CVS&amp;utm_term=NEW_Japan_1840_none_120624&amp;utm_content=saletructiep_Japan.M247.1840.giaotiep_PTATT_LD164&amp;utm_campaign=Japan.giaotiep.M247_16917_CVS_NamNH_120624" TargetMode="External"/><Relationship Id="rId1723" Type="http://schemas.openxmlformats.org/officeDocument/2006/relationships/hyperlink" Target="https://s.net.vn/M247-japan" TargetMode="External"/><Relationship Id="rId1724" Type="http://schemas.openxmlformats.org/officeDocument/2006/relationships/hyperlink" Target="https://patadovietnam.edu.vn/giaotiep_japan/" TargetMode="External"/><Relationship Id="rId1725" Type="http://schemas.openxmlformats.org/officeDocument/2006/relationships/hyperlink" Target="https://patadovietnam.edu.vn/giaotiep_japan/?utm_source=Facebook&amp;utm_medium=CVS&amp;utm_term=NEW_Japan_1840_none_120624&amp;utm_content=saletructiep_Japan.M250.1840.giaotiep_PTATT_LD227&amp;utm_campaign=Japan.giaotiep.M250_16917_CVS_NamNH_120624" TargetMode="External"/><Relationship Id="rId1726" Type="http://schemas.openxmlformats.org/officeDocument/2006/relationships/hyperlink" Target="https://s.net.vn/M250-japan" TargetMode="External"/><Relationship Id="rId1727" Type="http://schemas.openxmlformats.org/officeDocument/2006/relationships/hyperlink" Target="https://patadovietnam.edu.vn/tienganhgiaotiep_hn/" TargetMode="External"/><Relationship Id="rId1728" Type="http://schemas.openxmlformats.org/officeDocument/2006/relationships/hyperlink" Target="https://patadovietnam.edu.vn/tienganhgiaotiep_hn/?utm_source=Facebook&amp;utm_medium=MES&amp;utm_term=NEW_ALL_1840_none_120624&amp;utm_content=saletructiep_ALL.M250.1840.giaotiep_PTATT_LD153&amp;utm_campaign=ALL.giaotiep.M250_16917_MES_NamNH_120624" TargetMode="External"/><Relationship Id="rId1729" Type="http://schemas.openxmlformats.org/officeDocument/2006/relationships/hyperlink" Target="https://s.net.vn/M250-all" TargetMode="External"/><Relationship Id="rId1752" Type="http://schemas.openxmlformats.org/officeDocument/2006/relationships/hyperlink" Target="https://patadovietnam.edu.vn/gtjapan_nhn3/?utm_source=Facebook&amp;utm_medium=CVS&amp;utm_term=NEW_Japan_1840_none_280624&amp;utm_content=saletructiep_Japan.M254.1840.giaotiep_PTATT_LD164&amp;utm_campaign=Japan.giaotiep.M254_16917_CVS_NamNH_280624" TargetMode="External"/><Relationship Id="rId1753" Type="http://schemas.openxmlformats.org/officeDocument/2006/relationships/hyperlink" Target="https://s.net.vn/M254-japan" TargetMode="External"/><Relationship Id="rId1754" Type="http://schemas.openxmlformats.org/officeDocument/2006/relationships/hyperlink" Target="https://patadovietnam.edu.vn/tienganhgiaotiep_hn/" TargetMode="External"/><Relationship Id="rId1755" Type="http://schemas.openxmlformats.org/officeDocument/2006/relationships/hyperlink" Target="https://patadovietnam.edu.vn/tienganhgiaotiep_hn/?utm_source=Facebook&amp;utm_medium=CVS&amp;utm_term=NEW_Europe_1840_none_280624&amp;utm_content=saletructiep_Europe.M257.1840.giaotiep_PTATT_LD153&amp;utm_campaign=Europe.giaotiep.M257_16917_CVS_NamNH_280624" TargetMode="External"/><Relationship Id="rId1756" Type="http://schemas.openxmlformats.org/officeDocument/2006/relationships/hyperlink" Target="https://s.net.vn/M257-europe" TargetMode="External"/><Relationship Id="rId1757" Type="http://schemas.openxmlformats.org/officeDocument/2006/relationships/hyperlink" Target="https://patadovietnam.edu.vn/tienganhgiaotiep_hn/" TargetMode="External"/><Relationship Id="rId1758" Type="http://schemas.openxmlformats.org/officeDocument/2006/relationships/hyperlink" Target="https://patadovietnam.edu.vn/tienganhgiaotiep_hn/?utm_source=Facebook&amp;utm_medium=MES&amp;utm_term=NEW_Taiwan_1840_none_280624&amp;utm_content=saletructiep_Taiwan.M256.1840.giaotiep_PTATT_LD153&amp;utm_campaign=Taiwan.giaotiep.M256_16917_MES_NamNH_280624" TargetMode="External"/><Relationship Id="rId1759" Type="http://schemas.openxmlformats.org/officeDocument/2006/relationships/hyperlink" Target="https://s.net.vn/M256-taiwan" TargetMode="External"/><Relationship Id="rId1750" Type="http://schemas.openxmlformats.org/officeDocument/2006/relationships/hyperlink" Target="https://s.net.vn/M254-europe" TargetMode="External"/><Relationship Id="rId1751" Type="http://schemas.openxmlformats.org/officeDocument/2006/relationships/hyperlink" Target="https://patadovietnam.edu.vn/gtjapan_nhn3" TargetMode="External"/><Relationship Id="rId1741" Type="http://schemas.openxmlformats.org/officeDocument/2006/relationships/hyperlink" Target="https://s.net.vn/MB20-HNHCM" TargetMode="External"/><Relationship Id="rId1742" Type="http://schemas.openxmlformats.org/officeDocument/2006/relationships/hyperlink" Target="https://patadovietnam.edu.vn/gtjapan_nhn3" TargetMode="External"/><Relationship Id="rId1743" Type="http://schemas.openxmlformats.org/officeDocument/2006/relationships/hyperlink" Target="https://patadovietnam.edu.vn/gtjapan_nhn3/?utm_source=Facebook&amp;utm_medium=CVS&amp;utm_term=NEW_Japan_1840_none_280624&amp;utm_content=saletructiep_Japan.M256.1840.giaotiep_PTATT_LD164&amp;utm_campaign=Japan.giaotiep.M256_16917_CVS_NamNH_280624" TargetMode="External"/><Relationship Id="rId1744" Type="http://schemas.openxmlformats.org/officeDocument/2006/relationships/hyperlink" Target="https://s.net.vn/M256-japan" TargetMode="External"/><Relationship Id="rId1745" Type="http://schemas.openxmlformats.org/officeDocument/2006/relationships/hyperlink" Target="https://patadovietnam.edu.vn/tienganhgiaotiep_hn/" TargetMode="External"/><Relationship Id="rId1746" Type="http://schemas.openxmlformats.org/officeDocument/2006/relationships/hyperlink" Target="https://patadovietnam.edu.vn/tienganhgiaotiep_hn/?utm_source=Facebook&amp;utm_medium=CVS&amp;utm_term=NEW_Europe_1840_none_280624&amp;utm_content=saletructiep_Europe.M256.1840.giaotiep_PTATT_LD153&amp;utm_campaign=Europe.giaotiep.M256_16917_CVS_NamNH_280624" TargetMode="External"/><Relationship Id="rId1747" Type="http://schemas.openxmlformats.org/officeDocument/2006/relationships/hyperlink" Target="https://s.net.vn/M256-europe" TargetMode="External"/><Relationship Id="rId1748" Type="http://schemas.openxmlformats.org/officeDocument/2006/relationships/hyperlink" Target="https://patadovietnam.edu.vn/tienganhgiaotiep_hn/" TargetMode="External"/><Relationship Id="rId1749" Type="http://schemas.openxmlformats.org/officeDocument/2006/relationships/hyperlink" Target="https://patadovietnam.edu.vn/tienganhgiaotiep_hn/?utm_source=Facebook&amp;utm_medium=CVS&amp;utm_term=NEW_Europe_1840_none_280624&amp;utm_content=saletructiep_Europe.M254.1840.giaotiep_PTATT_LD153&amp;utm_campaign=Europe.giaotiep.M254_16917_CVS_NamNH_280624" TargetMode="External"/><Relationship Id="rId1740" Type="http://schemas.openxmlformats.org/officeDocument/2006/relationships/hyperlink" Target="https://patadovietnam.edu.vn/tienganhdoanhnghiep_hn/?utm_source=Facebook&amp;utm_medium=MES&amp;utm_term=NEW_Vietnam_2035_none_250624&amp;utm_content=saletructiep_Vietnam.MB20.1836.Congso_PTATT_LD224&amp;utm_campaign=Vietnam.Congso.MB20_16917_MES_NamNH_250624" TargetMode="External"/><Relationship Id="rId1710" Type="http://schemas.openxmlformats.org/officeDocument/2006/relationships/hyperlink" Target="https://patadovietnam.edu.vn/tienganhdoanhnghiep_hn/?utm_source=Facebook&amp;utm_medium=MES&amp;utm_term=NEW_Vietnam_1840_none_090624&amp;utm_content=saletructiep_Vietnam.MB15.1840.giaotiep_PTATT_LD224&amp;utm_campaign=Vietnam.Congso.MB15_16917_MES_NamNH_090624" TargetMode="External"/><Relationship Id="rId1711" Type="http://schemas.openxmlformats.org/officeDocument/2006/relationships/hyperlink" Target="https://s.net.vn/MB15-vietnam" TargetMode="External"/><Relationship Id="rId1712" Type="http://schemas.openxmlformats.org/officeDocument/2006/relationships/hyperlink" Target="https://patadovietnam.edu.vn/tienganhdoanhnghiep_hn" TargetMode="External"/><Relationship Id="rId1713" Type="http://schemas.openxmlformats.org/officeDocument/2006/relationships/hyperlink" Target="https://patadovietnam.edu.vn/tienganhdoanhnghiep_hn/?utm_source=Facebook&amp;utm_medium=MES&amp;utm_term=NEW_Vietnam_1840_none_090624&amp;utm_content=saletructiep_Vietnam.MB16.1840.giaotiep_PTATT_LD224&amp;utm_campaign=Vietnam.Congso.MB16_16917_MES_NamNH_090624" TargetMode="External"/><Relationship Id="rId1714" Type="http://schemas.openxmlformats.org/officeDocument/2006/relationships/hyperlink" Target="https://s.net.vn/MB16-vietnam" TargetMode="External"/><Relationship Id="rId1715" Type="http://schemas.openxmlformats.org/officeDocument/2006/relationships/hyperlink" Target="https://patadovietnam.edu.vn/tienganhdoanhnghiep_hn" TargetMode="External"/><Relationship Id="rId1716" Type="http://schemas.openxmlformats.org/officeDocument/2006/relationships/hyperlink" Target="https://patadovietnam.edu.vn/tienganhdoanhnghiep_hn/?utm_source=Facebook&amp;utm_medium=MES&amp;utm_term=NEW_Vietnam_1840_none_090624&amp;utm_content=saletructiep_Vietnam.MB17.1840.giaotiep_PTATT_LD224&amp;utm_campaign=Vietnam.Congso.MB17_16917_MES_NamNH_090624" TargetMode="External"/><Relationship Id="rId1717" Type="http://schemas.openxmlformats.org/officeDocument/2006/relationships/hyperlink" Target="https://s.net.vn/MB17-vietnam" TargetMode="External"/><Relationship Id="rId1718" Type="http://schemas.openxmlformats.org/officeDocument/2006/relationships/hyperlink" Target="https://patadovietnam.edu.vn/gtusa1_nhn" TargetMode="External"/><Relationship Id="rId1719" Type="http://schemas.openxmlformats.org/officeDocument/2006/relationships/hyperlink" Target="https://patadovietnam.edu.vn/gtusa1_nhn/?utm_source=Facebook&amp;utm_medium=MES&amp;utm_term=NEW_UnitedStates_1840_none_120624&amp;utm_content=saletructiep_UnitedStates.M247.1840.giaotiep_PTATT_LD161&amp;utm_campaign=UnitedStates.giaotiep.M247_16917_MES_NamNH_120624" TargetMode="External"/><Relationship Id="rId1700" Type="http://schemas.openxmlformats.org/officeDocument/2006/relationships/hyperlink" Target="https://patadovietnam.edu.vn/tienganhgiaotiep_hn/" TargetMode="External"/><Relationship Id="rId1701" Type="http://schemas.openxmlformats.org/officeDocument/2006/relationships/hyperlink" Target="https://patadovietnam.edu.vn/tienganhgiaotiep_hn/?utm_source=Facebook&amp;utm_medium=MES&amp;utm_term=NEW_Philippines_1840_none_090624&amp;utm_content=saletructiep_Philippines.M246.1840.giaotiep_PTATT_LD153&amp;utm_campaign=Philippines.giaotiep.M246_16917_MES_NamNH_090624" TargetMode="External"/><Relationship Id="rId1702" Type="http://schemas.openxmlformats.org/officeDocument/2006/relationships/hyperlink" Target="https://s.net.vn/M246-philippines" TargetMode="External"/><Relationship Id="rId1703" Type="http://schemas.openxmlformats.org/officeDocument/2006/relationships/hyperlink" Target="https://patadovietnam.edu.vn/tienganhgiaotiep_hn/" TargetMode="External"/><Relationship Id="rId1704" Type="http://schemas.openxmlformats.org/officeDocument/2006/relationships/hyperlink" Target="https://patadovietnam.edu.vn/tienganhgiaotiep_hn/?utm_source=Facebook&amp;utm_medium=MES&amp;utm_term=NEW_Australia_1840_none_090624&amp;utm_content=saletructiep_Australia.M246.1840.giaotiep_PTATT_LD153&amp;utm_campaign=Australia.giaotiep.M246_16917_MES_NamNH_090624" TargetMode="External"/><Relationship Id="rId1705" Type="http://schemas.openxmlformats.org/officeDocument/2006/relationships/hyperlink" Target="https://s.net.vn/M246-uc" TargetMode="External"/><Relationship Id="rId1706" Type="http://schemas.openxmlformats.org/officeDocument/2006/relationships/hyperlink" Target="https://patadovietnam.edu.vn/gtjapan_nhn3" TargetMode="External"/><Relationship Id="rId1707" Type="http://schemas.openxmlformats.org/officeDocument/2006/relationships/hyperlink" Target="https://patadovietnam.edu.vn/gtjapan_nhn3/?utm_source=Facebook&amp;utm_medium=CVS&amp;utm_term=NEW_Japan_1840_none_090624&amp;utm_content=saletructiep_Japan.M199.1840.giaotiep_PTATT_LD164&amp;utm_campaign=Japan.giaotiep.M199_16917_CVS_NamNH_090624" TargetMode="External"/><Relationship Id="rId1708" Type="http://schemas.openxmlformats.org/officeDocument/2006/relationships/hyperlink" Target="https://s.net.vn/M199-japan" TargetMode="External"/><Relationship Id="rId1709" Type="http://schemas.openxmlformats.org/officeDocument/2006/relationships/hyperlink" Target="https://patadovietnam.edu.vn/tienganhdoanhnghiep_hn" TargetMode="External"/><Relationship Id="rId40" Type="http://schemas.openxmlformats.org/officeDocument/2006/relationships/hyperlink" Target="https://patadovietnam.edu.vn/tienganhgiaotiep_hn/?utm_source=Facebook&amp;utm_medium=MES&amp;utm_term=NEW_Australia_2045_none_190423&amp;utm_content=saletructiep_Australia.anhgiaotiep2.2045.giaotiep_PTATT_LD153&amp;utm_campaign=Australia.giaotiep.anhgiaotiep2_95360_MES_NamNH_190423" TargetMode="External"/><Relationship Id="rId42" Type="http://schemas.openxmlformats.org/officeDocument/2006/relationships/hyperlink" Target="https://patadovietnam.edu.vn/gtjapan_namnh" TargetMode="External"/><Relationship Id="rId41" Type="http://schemas.openxmlformats.org/officeDocument/2006/relationships/hyperlink" Target="http://ldp.to/Australia_NamNH" TargetMode="External"/><Relationship Id="rId44" Type="http://schemas.openxmlformats.org/officeDocument/2006/relationships/hyperlink" Target="http://ldp.to/gtjapan_namnh" TargetMode="External"/><Relationship Id="rId43" Type="http://schemas.openxmlformats.org/officeDocument/2006/relationships/hyperlink" Target="https://patadovietnam.edu.vn/gtjapan_namnh/?utm_source=Facebook&amp;utm_medium=MES&amp;utm_term=NEW_Japan_1842_none_210423&amp;utm_content=saletructiep_Japan.giaotiepjapan1.1842.giaotiep_PTATT_LD156&amp;utm_campaign=Japan.giaotiep.giaotiepjapan1_95360_MES_NamNH_210423" TargetMode="External"/><Relationship Id="rId46" Type="http://schemas.openxmlformats.org/officeDocument/2006/relationships/hyperlink" Target="https://patadovietnam.edu.vn/tienganhgiaotiep_hn/?utm_source=Facebook&amp;utm_medium=MES&amp;utm_term=NEW_Philippines_1840_none_210423&amp;utm_content=saletructiep_Philipines.GTPHILIPINES1.1840.giaotiep_PTATT_LD153&amp;utm_campaign=Philipines.giao.tiep.GTPHILIPINES1_95360_MES_NamNH_210423" TargetMode="External"/><Relationship Id="rId45" Type="http://schemas.openxmlformats.org/officeDocument/2006/relationships/hyperlink" Target="https://patadovietnam.edu.vn/tienganhgiaotiep_hn/" TargetMode="External"/><Relationship Id="rId48" Type="http://schemas.openxmlformats.org/officeDocument/2006/relationships/hyperlink" Target="https://patadovietnam.edu.vn/gtjapan_namnh1" TargetMode="External"/><Relationship Id="rId47" Type="http://schemas.openxmlformats.org/officeDocument/2006/relationships/hyperlink" Target="http://ldp.to/GTphilipines_NHN" TargetMode="External"/><Relationship Id="rId49" Type="http://schemas.openxmlformats.org/officeDocument/2006/relationships/hyperlink" Target="https://patadovietnam.edu.vn/gtjapan_namnh1/?utm_source=Facebook&amp;utm_medium=MES&amp;utm_term=NEW_Japan_2043_none_240423&amp;utm_content=saletructiep_Japan.giaotiepjapan2.2043.giaotiep_PTATT_LD157&amp;utm_campaign=Japan.giaotiep.giaotiepjapan2_95360_MES_NamNH_240423" TargetMode="External"/><Relationship Id="rId31" Type="http://schemas.openxmlformats.org/officeDocument/2006/relationships/hyperlink" Target="https://patadovietnam.edu.vn/tienganhgiaotiep_hn/?utm_source=Facebook&amp;utm_medium=MES&amp;utm_term=NEW_Australia_1842_none_170423&amp;utm_content=saletructiep_Australia.TAgiaotiepAUSTRALIA1.1842.giaotiep_PTATT_LD153&amp;utm_campaign=Australia.giaotiep.TAgiaotiepAUSTRALIA1_95360_MES_NamNH_170423" TargetMode="External"/><Relationship Id="rId30" Type="http://schemas.openxmlformats.org/officeDocument/2006/relationships/hyperlink" Target="https://patadovietnam.edu.vn/tienganhgiaotiep_hn/" TargetMode="External"/><Relationship Id="rId33" Type="http://schemas.openxmlformats.org/officeDocument/2006/relationships/hyperlink" Target="https://patadovietnam.edu.vn/tienganhgiaotiep_hn/" TargetMode="External"/><Relationship Id="rId32" Type="http://schemas.openxmlformats.org/officeDocument/2006/relationships/hyperlink" Target="http://ldp.to/Australia_NamNH" TargetMode="External"/><Relationship Id="rId35" Type="http://schemas.openxmlformats.org/officeDocument/2006/relationships/hyperlink" Target="http://ldp.to/giaotiepEurope_NHN" TargetMode="External"/><Relationship Id="rId34" Type="http://schemas.openxmlformats.org/officeDocument/2006/relationships/hyperlink" Target="https://patadovietnam.edu.vn/tienganhgiaotiep_hn/?utm_source=Facebook&amp;utm_medium=MES&amp;utm_term=NEW_Europe_2042_none_180423&amp;utm_content=saletructiep_Europe.TAgiaotiepeurope.2042.giaotiep_PTATT_LD153&amp;utm_campaign=Europe.giaotiep.TAgiaotiepEurope_95360_MES_NamNH_180423" TargetMode="External"/><Relationship Id="rId37" Type="http://schemas.openxmlformats.org/officeDocument/2006/relationships/hyperlink" Target="https://patadovietnam.edu.vn/tienganhgiaotiepkorea_nhn/?utm_source=Facebook&amp;utm_medium=MES&amp;utm_term=NEW_Korea_2045_none_190423&amp;utm_content=saletructiep_Korea.giaotiepkorea1.2045.giaotiep_PTATT_LD155&amp;utm_campaign=Korea.giaotiep.giaotiepkorea1_95360_MES_NamNH_190423" TargetMode="External"/><Relationship Id="rId36" Type="http://schemas.openxmlformats.org/officeDocument/2006/relationships/hyperlink" Target="https://patadovietnam.edu.vn/tienganhgiaotiepkorea_nhn" TargetMode="External"/><Relationship Id="rId39" Type="http://schemas.openxmlformats.org/officeDocument/2006/relationships/hyperlink" Target="https://patadovietnam.edu.vn/tienganhgiaotiep_hn/" TargetMode="External"/><Relationship Id="rId38" Type="http://schemas.openxmlformats.org/officeDocument/2006/relationships/hyperlink" Target="http://ldp.to/giaotiepkorea1_NHN" TargetMode="External"/><Relationship Id="rId2203" Type="http://schemas.openxmlformats.org/officeDocument/2006/relationships/hyperlink" Target="https://patadovietnam.edu.vn/gtjapan_nhn3/?utm_source=Facebook&amp;utm_medium=CVS&amp;utm_term=NEW_Japan_1840_none_091224&amp;utm_content=saletructiep_Japan.M339.1840.giaotiep_PTATT_LD164&amp;utm_campaign=Japan.giaotiep.M339_16917_CVS_NamNH_091224" TargetMode="External"/><Relationship Id="rId2204" Type="http://schemas.openxmlformats.org/officeDocument/2006/relationships/hyperlink" Target="https://patadovietnam.edu.vn/gtjapan_nhn3" TargetMode="External"/><Relationship Id="rId20" Type="http://schemas.openxmlformats.org/officeDocument/2006/relationships/hyperlink" Target="http://ldp.to/TagtHungary_Nhn" TargetMode="External"/><Relationship Id="rId2205" Type="http://schemas.openxmlformats.org/officeDocument/2006/relationships/hyperlink" Target="https://patadovietnam.edu.vn/gtjapan_nhn3/?utm_source=Facebook&amp;utm_medium=CVS&amp;utm_term=NEW_Japan_1840_none_091224&amp;utm_content=saletructiep_Japan.M340.1840.giaotiep_PTATT_LD164&amp;utm_campaign=Japan.giaotiep.M340_16917_CVS_NamNH_091224" TargetMode="External"/><Relationship Id="rId2206" Type="http://schemas.openxmlformats.org/officeDocument/2006/relationships/hyperlink" Target="https://patadovietnam.edu.vn/tienganhgiaotiep_hn/" TargetMode="External"/><Relationship Id="rId22" Type="http://schemas.openxmlformats.org/officeDocument/2006/relationships/hyperlink" Target="https://patadovietnam.edu.vn/tienganhgiaotiep_hn/?utm_source=Facebook&amp;utm_medium=MES&amp;utm_term=NEW_Germany_1840_none_150423&amp;utm_content=saletructiep_Germany.TAgiaotiepDUC.1840.giaotiep_PTATT_LD153&amp;utm_campaign=Germany.giaotiep.TAgiaotiepDUC_95360_MES_NamNH_150423" TargetMode="External"/><Relationship Id="rId2207" Type="http://schemas.openxmlformats.org/officeDocument/2006/relationships/hyperlink" Target="https://patadovietnam.edu.vn/tienganhgiaotiep_hn/?utm_source=Facebook&amp;utm_medium=CVS&amp;utm_term=NEW_Europe_1840_none_091224&amp;utm_content=saletructiep_Europe.M340.1840.giaotiep_PTATT_LD153&amp;utm_campaign=Europe.giaotiep.M340_16917_CVS_NamNH_091224" TargetMode="External"/><Relationship Id="rId21" Type="http://schemas.openxmlformats.org/officeDocument/2006/relationships/hyperlink" Target="https://patadovietnam.edu.vn/tienganhgiaotiep_hn/" TargetMode="External"/><Relationship Id="rId2208" Type="http://schemas.openxmlformats.org/officeDocument/2006/relationships/hyperlink" Target="https://patadovietnam.edu.vn/tienganhgiaotiep_hn/" TargetMode="External"/><Relationship Id="rId24" Type="http://schemas.openxmlformats.org/officeDocument/2006/relationships/hyperlink" Target="https://patadovietnam.edu.vn/tienganhgiaotiep_hn/" TargetMode="External"/><Relationship Id="rId2209" Type="http://schemas.openxmlformats.org/officeDocument/2006/relationships/hyperlink" Target="https://patadovietnam.edu.vn/tienganhgiaotiep_hn/?utm_source=Facebook&amp;utm_medium=MES&amp;utm_term=NEW_Taiwan_1840_none_091224&amp;utm_content=saletructiep_Taiwan.M340.1840.giaotiep_PTATT_LD153&amp;utm_campaign=Taiwan.giaotiep.M340_16917_MES_NamNH_091224" TargetMode="External"/><Relationship Id="rId23" Type="http://schemas.openxmlformats.org/officeDocument/2006/relationships/hyperlink" Target="http://ldp.to/TAgiaotiepDUC_NamNH" TargetMode="External"/><Relationship Id="rId26" Type="http://schemas.openxmlformats.org/officeDocument/2006/relationships/hyperlink" Target="http://ldp.to/TAgiaotiepcanada_NamNH" TargetMode="External"/><Relationship Id="rId25" Type="http://schemas.openxmlformats.org/officeDocument/2006/relationships/hyperlink" Target="https://patadovietnam.edu.vn/tienganhgiaotiep_hn/?utm_source=Facebook&amp;utm_medium=MES&amp;utm_term=NEW_Canada_2040_none_150423&amp;utm_content=saletructiep_Canada.anhgiaotiepcanada.2040.giaotiep_PTATT_LD153&amp;utm_campaign=Canada.giaotiep.anhgiaotiepcanada_95360_MES_NamNH_150423" TargetMode="External"/><Relationship Id="rId28" Type="http://schemas.openxmlformats.org/officeDocument/2006/relationships/hyperlink" Target="https://patadovietnam.edu.vn/tienganhgiaotiep_hn/?utm_source=Facebook&amp;utm_medium=MES&amp;utm_term=NEW_UnitedStates_1838_none_150423&amp;utm_content=saletructiep_UnitedStates.TAgiaotiepHOAKY.1838.giaotiep_PTATT_LD153&amp;utm_campaign=UnitedStates.giaotiep.TAgiaotiepHOAKY_95360_MES_NamNH_150423" TargetMode="External"/><Relationship Id="rId27" Type="http://schemas.openxmlformats.org/officeDocument/2006/relationships/hyperlink" Target="https://patadovietnam.edu.vn/tienganhgiaotiep_hn/" TargetMode="External"/><Relationship Id="rId29" Type="http://schemas.openxmlformats.org/officeDocument/2006/relationships/hyperlink" Target="http://ldp.to/USA_Namnh" TargetMode="External"/><Relationship Id="rId2200" Type="http://schemas.openxmlformats.org/officeDocument/2006/relationships/hyperlink" Target="https://patadovietnam.edu.vn/tienganhgiaotiep_hn/" TargetMode="External"/><Relationship Id="rId2201" Type="http://schemas.openxmlformats.org/officeDocument/2006/relationships/hyperlink" Target="https://patadovietnam.edu.vn/tienganhgiaotiep_hn/?utm_source=Facebook&amp;utm_medium=CVS&amp;utm_term=NEW_Europe_1840_none_061224&amp;utm_content=saletructiep_Europe.M339.1840.giaotiep_PTATT_LD153&amp;utm_campaign=Europe.giaotiep.M339_16917_CVS_NamNH_061224" TargetMode="External"/><Relationship Id="rId2202" Type="http://schemas.openxmlformats.org/officeDocument/2006/relationships/hyperlink" Target="https://patadovietnam.edu.vn/gtjapan_nhn3" TargetMode="External"/><Relationship Id="rId11" Type="http://schemas.openxmlformats.org/officeDocument/2006/relationships/hyperlink" Target="http://ldp.to/Australia_NamNH" TargetMode="External"/><Relationship Id="rId10" Type="http://schemas.openxmlformats.org/officeDocument/2006/relationships/hyperlink" Target="https://patadovietnam.edu.vn/tienganhgiaotiep_hn/?utm_source=Facebook&amp;utm_medium=MES&amp;utm_term=NEW_Australia_2045_none_110423&amp;utm_content=saletructiep_Australia.anhgiaotiep2.2045.giaotiep_PTATT_LD153&amp;utm_campaign=Australia.giaotiep.anhgiaotiep2_95360_MES_NamNH_110423" TargetMode="External"/><Relationship Id="rId13" Type="http://schemas.openxmlformats.org/officeDocument/2006/relationships/hyperlink" Target="https://patadovietnam.edu.vn/tienganhgiaotiep_hn/?utm_source=Facebook&amp;utm_medium=MES&amp;utm_term=NEW_Singapore_2045_none_130423&amp;utm_content=saletructiep_Singapore.anhgiaotiep3.2045.giaotiep_PTATT_LD153&amp;utm_campaign=Singapore.giaotiep.anhgiaotiep3_95360_MES_NamNH_130423" TargetMode="External"/><Relationship Id="rId12" Type="http://schemas.openxmlformats.org/officeDocument/2006/relationships/hyperlink" Target="https://patadovietnam.edu.vn/tienganhgiaotiep_hn/" TargetMode="External"/><Relationship Id="rId15" Type="http://schemas.openxmlformats.org/officeDocument/2006/relationships/hyperlink" Target="https://patadovietnam.edu.vn/tienganhgiaotiep_hn/" TargetMode="External"/><Relationship Id="rId14" Type="http://schemas.openxmlformats.org/officeDocument/2006/relationships/hyperlink" Target="http://ldp.to/Singapore_NAMNH" TargetMode="External"/><Relationship Id="rId17" Type="http://schemas.openxmlformats.org/officeDocument/2006/relationships/hyperlink" Target="http://ldp.to/TAGTAsia_NamNH" TargetMode="External"/><Relationship Id="rId16" Type="http://schemas.openxmlformats.org/officeDocument/2006/relationships/hyperlink" Target="https://patadovietnam.edu.vn/tienganhgiaotiep_hn/?utm_source=Facebook&amp;utm_medium=MES&amp;utm_term=NEW_Asia_1843_none_130423&amp;utm_content=saletructiep_Asia.anhgiaotiep4.1843.giaotiep_PTATT_LD153&amp;utm_campaign=Asia.giaotiep.anhgiaotiep4_95360_MES_NamNH_130423" TargetMode="External"/><Relationship Id="rId19" Type="http://schemas.openxmlformats.org/officeDocument/2006/relationships/hyperlink" Target="https://patadovietnam.edu.vn/tienganhgiaotiep_hn/?utm_source=Facebook&amp;utm_medium=MES&amp;utm_term=NEW_Hungary_1842_none_130423&amp;utm_content=saletructiep_Hungary.anhgiaotiep3hungary.1842.giaotiep_PTATT_LD153&amp;utm_campaign=Hungary.giaotiep.anhgiaotiep3hungary_95360_MES_NamNH_130423" TargetMode="External"/><Relationship Id="rId18" Type="http://schemas.openxmlformats.org/officeDocument/2006/relationships/hyperlink" Target="https://patadovietnam.edu.vn/tienganhgiaotiep_hn/" TargetMode="External"/><Relationship Id="rId84" Type="http://schemas.openxmlformats.org/officeDocument/2006/relationships/hyperlink" Target="https://patadovietnam.edu.vn/gtusa1_nhn" TargetMode="External"/><Relationship Id="rId1774" Type="http://schemas.openxmlformats.org/officeDocument/2006/relationships/hyperlink" Target="https://s.net.vn/M260-USA" TargetMode="External"/><Relationship Id="rId83" Type="http://schemas.openxmlformats.org/officeDocument/2006/relationships/hyperlink" Target="http://ldp.to/Australia_NamNH" TargetMode="External"/><Relationship Id="rId1775" Type="http://schemas.openxmlformats.org/officeDocument/2006/relationships/hyperlink" Target="https://patadovietnam.edu.vn/gtusa1_nhn" TargetMode="External"/><Relationship Id="rId86" Type="http://schemas.openxmlformats.org/officeDocument/2006/relationships/hyperlink" Target="http://ldp.to/GTUSA1_nhn" TargetMode="External"/><Relationship Id="rId1776" Type="http://schemas.openxmlformats.org/officeDocument/2006/relationships/hyperlink" Target="https://patadovietnam.edu.vn/gtusa1_nhn/?utm_source=Facebook&amp;utm_medium=MES&amp;utm_term=NEW_UnitedStates_1840_none_010724&amp;utm_content=saletructiep_UnitedStates.M258.1840.giaotiep_PTATT_LD161&amp;utm_campaign=UnitedStates.giaotiep.M258_16917_MES_NamNH_010724" TargetMode="External"/><Relationship Id="rId85" Type="http://schemas.openxmlformats.org/officeDocument/2006/relationships/hyperlink" Target="https://patadovietnam.edu.vn/gtusa1_nhn/?utm_source=Facebook&amp;utm_medium=MES&amp;utm_term=NEW_UnitedStates_2045_none_060523&amp;utm_content=saletructiep_Unitedstates.giaotiep.giaotiepmy_nhn_PTATT_LD161&amp;utm_campaign=Unitedstates.giaotiep.giaotiepmy_nhn_95360_MES_NamNH_060523" TargetMode="External"/><Relationship Id="rId1777" Type="http://schemas.openxmlformats.org/officeDocument/2006/relationships/hyperlink" Target="https://s.net.vn/M258-USA" TargetMode="External"/><Relationship Id="rId88" Type="http://schemas.openxmlformats.org/officeDocument/2006/relationships/hyperlink" Target="https://patadovietnam.edu.vn/tienganhgiaotiep_hn/?utm_source=Facebook&amp;utm_medium=MES&amp;utm_term=NEW_Australia_2045_none_060523&amp;utm_content=saletructiep_Australia.anhgiaotiep2.2045.giaotiep_PTATT_LD153&amp;utm_campaign=Australia.giaotiep.anhgiaotiep2_95360_MES_NamNH_060523" TargetMode="External"/><Relationship Id="rId1778" Type="http://schemas.openxmlformats.org/officeDocument/2006/relationships/hyperlink" Target="https://patadovietnam.edu.vn/tienganhgiaotiep_hn/" TargetMode="External"/><Relationship Id="rId87" Type="http://schemas.openxmlformats.org/officeDocument/2006/relationships/hyperlink" Target="https://patadovietnam.edu.vn/tienganhgiaotiep_hn/" TargetMode="External"/><Relationship Id="rId1779" Type="http://schemas.openxmlformats.org/officeDocument/2006/relationships/hyperlink" Target="https://patadovietnam.edu.vn/tienganhgiaotiep_hn/?utm_source=Facebook&amp;utm_medium=CVS&amp;utm_term=NEW_Europe_1840_none_010724&amp;utm_content=saletructiep_Europe.M258.1840.giaotiep_PTATT_LD153&amp;utm_campaign=Europe.giaotiep.M258_16917_CVS_NamNH_010724" TargetMode="External"/><Relationship Id="rId89" Type="http://schemas.openxmlformats.org/officeDocument/2006/relationships/hyperlink" Target="http://ldp.to/GTAustralia2_NHN" TargetMode="External"/><Relationship Id="rId80" Type="http://schemas.openxmlformats.org/officeDocument/2006/relationships/hyperlink" Target="http://ldp.to/Australia_NamNH" TargetMode="External"/><Relationship Id="rId82" Type="http://schemas.openxmlformats.org/officeDocument/2006/relationships/hyperlink" Target="https://patadovietnam.edu.vn/tienganhgiaotiep_hn/?utm_source=Facebook&amp;utm_medium=MES&amp;utm_term=NEW_Australia_2045_none_050523&amp;utm_content=saletructiep_Australia.anhgiaotiep2.2045.giaotiep_PTATT_LD153&amp;utm_campaign=Australia.giaotiep.anhgiaotiep2_95360_MES_NamNH_050523" TargetMode="External"/><Relationship Id="rId81" Type="http://schemas.openxmlformats.org/officeDocument/2006/relationships/hyperlink" Target="https://patadovietnam.edu.vn/tienganhgiaotiep_hn/" TargetMode="External"/><Relationship Id="rId1770" Type="http://schemas.openxmlformats.org/officeDocument/2006/relationships/hyperlink" Target="https://patadovietnam.edu.vn/gtusa1_nhn/?utm_source=Facebook&amp;utm_medium=MES&amp;utm_term=NEW_UnitedStates_1840_none_010724&amp;utm_content=saletructiep_UnitedStates.M259.1840.giaotiep_PTATT_LD161&amp;utm_campaign=UnitedStates.giaotiep.M259_16917_MES_NamNH_010724" TargetMode="External"/><Relationship Id="rId1771" Type="http://schemas.openxmlformats.org/officeDocument/2006/relationships/hyperlink" Target="https://s.net.vn/M259-USA" TargetMode="External"/><Relationship Id="rId1772" Type="http://schemas.openxmlformats.org/officeDocument/2006/relationships/hyperlink" Target="https://patadovietnam.edu.vn/gtusa1_nhn" TargetMode="External"/><Relationship Id="rId1773" Type="http://schemas.openxmlformats.org/officeDocument/2006/relationships/hyperlink" Target="https://patadovietnam.edu.vn/gtusa1_nhn/?utm_source=Facebook&amp;utm_medium=MES&amp;utm_term=NEW_UnitedStates_1840_none_010724&amp;utm_content=saletructiep_UnitedStates.M260.1840.giaotiep_PTATT_LD161&amp;utm_campaign=UnitedStates.giaotiep.M260_16917_MES_NamNH_010724" TargetMode="External"/><Relationship Id="rId73" Type="http://schemas.openxmlformats.org/officeDocument/2006/relationships/hyperlink" Target="https://patadovietnam.edu.vn/gtusa1_nhn/?utm_source=Facebook&amp;utm_medium=MES&amp;utm_term=NEW_UnitedStates_2045_none_040523&amp;utm_content=saletructiep_Unitedstates.giaotiep.giaotiepmy_nhn_PTATT_LD161&amp;utm_campaign=Unitedstates.giaotiep.giaotiepmy_nhn_95360_MES_NamNH_040523" TargetMode="External"/><Relationship Id="rId1763" Type="http://schemas.openxmlformats.org/officeDocument/2006/relationships/hyperlink" Target="https://patadovietnam.edu.vn/giaotiep_japan/" TargetMode="External"/><Relationship Id="rId72" Type="http://schemas.openxmlformats.org/officeDocument/2006/relationships/hyperlink" Target="https://patadovietnam.edu.vn/gtusa1_nhn" TargetMode="External"/><Relationship Id="rId1764" Type="http://schemas.openxmlformats.org/officeDocument/2006/relationships/hyperlink" Target="https://patadovietnam.edu.vn/giaotiep_japan/?utm_source=Facebook&amp;utm_medium=LEAD&amp;utm_term=NEW_Japan_1840_none_280624&amp;utm_content=saletructiep_Japan.M256.1840.giaotiep_PTATT_LD227&amp;utm_campaign=Japan.giaotiep.M256_16917_CVS_NamNH_280624" TargetMode="External"/><Relationship Id="rId75" Type="http://schemas.openxmlformats.org/officeDocument/2006/relationships/hyperlink" Target="https://patadovietnam.edu.vn/gtjapan_nhn2" TargetMode="External"/><Relationship Id="rId1765" Type="http://schemas.openxmlformats.org/officeDocument/2006/relationships/hyperlink" Target="https://s.net.vn/M256-nhatban" TargetMode="External"/><Relationship Id="rId74" Type="http://schemas.openxmlformats.org/officeDocument/2006/relationships/hyperlink" Target="http://ldp.to/GTUSA1_nhn" TargetMode="External"/><Relationship Id="rId1766" Type="http://schemas.openxmlformats.org/officeDocument/2006/relationships/hyperlink" Target="https://patadovietnam.edu.vn/gtusa1_nhn" TargetMode="External"/><Relationship Id="rId77" Type="http://schemas.openxmlformats.org/officeDocument/2006/relationships/hyperlink" Target="http://ldp.to/gtjapan_nhn2" TargetMode="External"/><Relationship Id="rId1767" Type="http://schemas.openxmlformats.org/officeDocument/2006/relationships/hyperlink" Target="https://patadovietnam.edu.vn/gtusa1_nhn/?utm_source=Facebook&amp;utm_medium=MES&amp;utm_term=NEW_UnitedStates_1840_none_280624&amp;utm_content=saletructiep_UnitedStates.M256.1840.giaotiep_PTATT_LD161&amp;utm_campaign=UnitedStates.giaotiep.M256_16917_MES_NamNH_280624" TargetMode="External"/><Relationship Id="rId76" Type="http://schemas.openxmlformats.org/officeDocument/2006/relationships/hyperlink" Target="https://patadovietnam.edu.vn/gtjapan_nhn2/?utm_source=Facebook&amp;utm_medium=CVS&amp;utm_term=NEW_Japan_2045_none_040523&amp;utm_content=saletructiep_Japan.GTjapan3.2045.giaotiep_PTATT_LD163&amp;utm_campaign=Japan.giaotiep.GTjapan3_95360_CVS_NamNH_040523" TargetMode="External"/><Relationship Id="rId1768" Type="http://schemas.openxmlformats.org/officeDocument/2006/relationships/hyperlink" Target="https://s.net.vn/M256-USA" TargetMode="External"/><Relationship Id="rId79" Type="http://schemas.openxmlformats.org/officeDocument/2006/relationships/hyperlink" Target="https://patadovietnam.edu.vn/tienganhgiaotiep_hn/?utm_source=Facebook&amp;utm_medium=MES&amp;utm_term=NEW_Australia_2045_none_040523&amp;utm_content=saletructiep_Australia.GTaustra2.2045.giaotiep_PTATT_LD153&amp;utm_campaign=Australia.giaotiep.Gtaustra2_95360_MES_NamNH_040523" TargetMode="External"/><Relationship Id="rId1769" Type="http://schemas.openxmlformats.org/officeDocument/2006/relationships/hyperlink" Target="https://patadovietnam.edu.vn/gtusa1_nhn" TargetMode="External"/><Relationship Id="rId78" Type="http://schemas.openxmlformats.org/officeDocument/2006/relationships/hyperlink" Target="https://patadovietnam.edu.vn/tienganhgiaotiep_hn/" TargetMode="External"/><Relationship Id="rId71" Type="http://schemas.openxmlformats.org/officeDocument/2006/relationships/hyperlink" Target="http://ldp.to/GTeurope_NHN" TargetMode="External"/><Relationship Id="rId70" Type="http://schemas.openxmlformats.org/officeDocument/2006/relationships/hyperlink" Target="https://patadovietnam.edu.vn/gteurope_nhn/?utm_source=Facebook&amp;utm_medium=CVS&amp;utm_term=NEW_Europe_2045_none_040523&amp;utm_content=saletructiep_Europe.GTeurope2.2045.giaotiep_PTATT_LD162&amp;utm_campaign=Europe.giaotiep.GTeurope2_95360_CVS_NamNH_040523" TargetMode="External"/><Relationship Id="rId1760" Type="http://schemas.openxmlformats.org/officeDocument/2006/relationships/hyperlink" Target="https://patadovietnam.edu.vn/giaotiep_japan/" TargetMode="External"/><Relationship Id="rId1761" Type="http://schemas.openxmlformats.org/officeDocument/2006/relationships/hyperlink" Target="https://patadovietnam.edu.vn/giaotiep_japan/?utm_source=Facebook&amp;utm_medium=CVS&amp;utm_term=NEW_Japan_1840_none_280624&amp;utm_content=saletructiep_Japan.M257.1840.giaotiep_PTATT_LD227&amp;utm_campaign=Japan.giaotiep.M257_16917_CVS_NamNH_280624" TargetMode="External"/><Relationship Id="rId1762" Type="http://schemas.openxmlformats.org/officeDocument/2006/relationships/hyperlink" Target="https://patadovietnam.edu.vn/giaotiep_japan/?utm_source=Facebook&amp;utm_medium=CVS&amp;utm_term=NEW_Japan_1840_none_280624&amp;utm_content=saletructiep_Japan.M257.1840.giaotiep_PTATT_LD227&amp;utm_campaign=Japan.giaotiep.M257_16917_CVS_NamNH_280624" TargetMode="External"/><Relationship Id="rId62" Type="http://schemas.openxmlformats.org/officeDocument/2006/relationships/hyperlink" Target="http://ldp.to/GTUSA1_nhn" TargetMode="External"/><Relationship Id="rId1796" Type="http://schemas.openxmlformats.org/officeDocument/2006/relationships/hyperlink" Target="https://patadovietnam.edu.vn/tienganhgiaotiep_hn/" TargetMode="External"/><Relationship Id="rId61" Type="http://schemas.openxmlformats.org/officeDocument/2006/relationships/hyperlink" Target="https://patadovietnam.edu.vn/gtusa1_nhn/?utm_source=Facebook&amp;utm_medium=MES&amp;utm_term=NEW_UnitedStates_2045_none_020523&amp;utm_content=saletructiep_Unitedstates.giaotiepmy_nhn.2045.giaotiep_PTATT_LD161&amp;utm_campaign=Unitedstates.giaotiep.giaotiepmy_nhn_95360_CVS_NamNH_020523" TargetMode="External"/><Relationship Id="rId1797" Type="http://schemas.openxmlformats.org/officeDocument/2006/relationships/hyperlink" Target="https://patadovietnam.edu.vn/tienganhgiaotiep_hn/?utm_source=Facebook&amp;utm_medium=MES&amp;utm_term=NEW_Taiwan_1840_none_010724&amp;utm_content=saletructiep_Taiwan.M260.1840.giaotiep_PTATT_LD153&amp;utm_campaign=Taiwan.giaotiep.M260_16917_MES_NamNH_010724" TargetMode="External"/><Relationship Id="rId64" Type="http://schemas.openxmlformats.org/officeDocument/2006/relationships/hyperlink" Target="https://patadovietnam.edu.vn/gtjapan_namnh1/?utm_source=Facebook&amp;utm_medium=MES&amp;utm_term=NEW_Japan_2040_none_030523&amp;utm_content=saletructiep_Japan.GTJAPAN2.2040.giaotiep_PTATT_LD157&amp;utm_campaign=Japan.giaotiep.GTJAPAN2_95360_MES_NamNH_030523" TargetMode="External"/><Relationship Id="rId1798" Type="http://schemas.openxmlformats.org/officeDocument/2006/relationships/hyperlink" Target="https://s.net.vn/M260-taiwan" TargetMode="External"/><Relationship Id="rId63" Type="http://schemas.openxmlformats.org/officeDocument/2006/relationships/hyperlink" Target="https://patadovietnam.edu.vn/gtjapan_namnh1" TargetMode="External"/><Relationship Id="rId1799" Type="http://schemas.openxmlformats.org/officeDocument/2006/relationships/hyperlink" Target="https://patadovietnam.edu.vn/tienganhgiaotiep_hn/" TargetMode="External"/><Relationship Id="rId66" Type="http://schemas.openxmlformats.org/officeDocument/2006/relationships/hyperlink" Target="https://patadovietnam.edu.vn/tienganhgiaotiep_hn/" TargetMode="External"/><Relationship Id="rId65" Type="http://schemas.openxmlformats.org/officeDocument/2006/relationships/hyperlink" Target="http://ldp.to/gtjapan_namnh1" TargetMode="External"/><Relationship Id="rId68" Type="http://schemas.openxmlformats.org/officeDocument/2006/relationships/hyperlink" Target="http://ldp.to/GTtaiwan_NHN" TargetMode="External"/><Relationship Id="rId67" Type="http://schemas.openxmlformats.org/officeDocument/2006/relationships/hyperlink" Target="https://patadovietnam.edu.vn/tienganhgiaotiep_hn/?utm_source=Facebook&amp;utm_medium=MES&amp;utm_term=NEW_Taiwan_1840_none_040523&amp;utm_content=saletructiep_Taiwan.GTtaiwan.1840.giaotiep_PTATT_LD153&amp;utm_campaign=Taiwan.giaotiep.GTtaiwan_95360_MES_NamNH_040523" TargetMode="External"/><Relationship Id="rId60" Type="http://schemas.openxmlformats.org/officeDocument/2006/relationships/hyperlink" Target="https://patadovietnam.edu.vn/gtusa1_nhn" TargetMode="External"/><Relationship Id="rId69" Type="http://schemas.openxmlformats.org/officeDocument/2006/relationships/hyperlink" Target="https://patadovietnam.edu.vn/gteurope_nhn" TargetMode="External"/><Relationship Id="rId1790" Type="http://schemas.openxmlformats.org/officeDocument/2006/relationships/hyperlink" Target="https://patadovietnam.edu.vn/gtjapan_nhn3" TargetMode="External"/><Relationship Id="rId1791" Type="http://schemas.openxmlformats.org/officeDocument/2006/relationships/hyperlink" Target="https://patadovietnam.edu.vn/gtjapan_nhn3/?utm_source=Facebook&amp;utm_medium=CVS&amp;utm_term=NEW_Japan_1840_none_010724&amp;utm_content=saletructiep_Japan.M260.1840.giaotiep_PTATT_LD164&amp;utm_campaign=Japan.giaotiep.M260_16917_CVS_NamNH_010724" TargetMode="External"/><Relationship Id="rId1792" Type="http://schemas.openxmlformats.org/officeDocument/2006/relationships/hyperlink" Target="https://s.net.vn/M260-japan" TargetMode="External"/><Relationship Id="rId1793" Type="http://schemas.openxmlformats.org/officeDocument/2006/relationships/hyperlink" Target="https://patadovietnam.edu.vn/gtjapan_nhn3" TargetMode="External"/><Relationship Id="rId1794" Type="http://schemas.openxmlformats.org/officeDocument/2006/relationships/hyperlink" Target="https://patadovietnam.edu.vn/gtjapan_nhn3/?utm_source=Facebook&amp;utm_medium=CVS&amp;utm_term=NEW_Japan_1840_none_010724&amp;utm_content=saletructiep_Japan.M261.1840.giaotiep_PTATT_LD164&amp;utm_campaign=Japan.giaotiep.M261_16917_CVS_NamNH_010724" TargetMode="External"/><Relationship Id="rId1795" Type="http://schemas.openxmlformats.org/officeDocument/2006/relationships/hyperlink" Target="https://s.net.vn/M261-jp" TargetMode="External"/><Relationship Id="rId51" Type="http://schemas.openxmlformats.org/officeDocument/2006/relationships/hyperlink" Target="https://patadovietnam.edu.vn/gtusa_namnh" TargetMode="External"/><Relationship Id="rId1785" Type="http://schemas.openxmlformats.org/officeDocument/2006/relationships/hyperlink" Target="https://patadovietnam.edu.vn/tienganhgiaotiep_hn/?utm_source=Facebook&amp;utm_medium=CVS&amp;utm_term=NEW_Europe_1840_none_010724&amp;utm_content=saletructiep_Europe.M260.1840.giaotiep_PTATT_LD153&amp;utm_campaign=Europe.giaotiep.M260_16917_CVS_NamNH_010724" TargetMode="External"/><Relationship Id="rId50" Type="http://schemas.openxmlformats.org/officeDocument/2006/relationships/hyperlink" Target="http://ldp.to/gtjapan_namnh1" TargetMode="External"/><Relationship Id="rId1786" Type="http://schemas.openxmlformats.org/officeDocument/2006/relationships/hyperlink" Target="https://s.net.vn/M260-europe" TargetMode="External"/><Relationship Id="rId53" Type="http://schemas.openxmlformats.org/officeDocument/2006/relationships/hyperlink" Target="http://ldp.to/GTUSA_NHN" TargetMode="External"/><Relationship Id="rId1787" Type="http://schemas.openxmlformats.org/officeDocument/2006/relationships/hyperlink" Target="https://patadovietnam.edu.vn/gtjapan_nhn3" TargetMode="External"/><Relationship Id="rId52" Type="http://schemas.openxmlformats.org/officeDocument/2006/relationships/hyperlink" Target="https://patadovietnam.edu.vn/gtusa_namnh/?utm_source=Facebook&amp;utm_medium=CVS&amp;utm_term=NEW_UnitedStates_2043_none_250423&amp;utm_content=saletructiep_Unitedstates.giaotiepmy_nhn.2043.giaotiep_PTATT_LD158&amp;utm_campaign=Unitedstates.giaotiep.giaotiepmy_nhn_95360_CVS_NamNH_250423" TargetMode="External"/><Relationship Id="rId1788" Type="http://schemas.openxmlformats.org/officeDocument/2006/relationships/hyperlink" Target="https://patadovietnam.edu.vn/gtjapan_nhn3/?utm_source=Facebook&amp;utm_medium=CVS&amp;utm_term=NEW_Japan_1840_none_010724&amp;utm_content=saletructiep_Japan.M258.1840.giaotiep_PTATT_LD164&amp;utm_campaign=Japan.giaotiep.M258_16917_CVS_NamNH_010724" TargetMode="External"/><Relationship Id="rId55" Type="http://schemas.openxmlformats.org/officeDocument/2006/relationships/hyperlink" Target="https://patadovietnam.edu.vn/tagiaotiep_nhn/?utm_source=Facebook&amp;utm_medium=CVS&amp;utm_term=NEW_Asia_2043_none_260423&amp;utm_content=saletructiep_Asia.anhgiaotiep4.2043.giaotiep_PTATT_LD159&amp;utm_campaign=Asia.giaotiep.anhgiaotiep4_95360_CVS_NamNH_260423" TargetMode="External"/><Relationship Id="rId1789" Type="http://schemas.openxmlformats.org/officeDocument/2006/relationships/hyperlink" Target="https://s.net.vn/M258-japan" TargetMode="External"/><Relationship Id="rId54" Type="http://schemas.openxmlformats.org/officeDocument/2006/relationships/hyperlink" Target="https://patadovietnam.edu.vn/tagiaotiep_nhn" TargetMode="External"/><Relationship Id="rId57" Type="http://schemas.openxmlformats.org/officeDocument/2006/relationships/hyperlink" Target="https://patadovietnam.edu.vn/gtjapannm_nhn" TargetMode="External"/><Relationship Id="rId56" Type="http://schemas.openxmlformats.org/officeDocument/2006/relationships/hyperlink" Target="http://ldp.to/GTAsia_nhn1" TargetMode="External"/><Relationship Id="rId59" Type="http://schemas.openxmlformats.org/officeDocument/2006/relationships/hyperlink" Target="http://ldp.to/gtJAPANNM_nhn" TargetMode="External"/><Relationship Id="rId58" Type="http://schemas.openxmlformats.org/officeDocument/2006/relationships/hyperlink" Target="https://patadovietnam.edu.vn/gtjapannm_nhn/?utm_source=Facebook&amp;utm_medium=CVS&amp;utm_term=NEW_Japan_1840_none_260423&amp;utm_content=saletructiep_Japan.GTJAPAN.1840.giaotiep_PTATT_LD160&amp;utm_campaign=Japan.giaotiep.GTJAPAN_95360_CVS_NamNH_260423" TargetMode="External"/><Relationship Id="rId1780" Type="http://schemas.openxmlformats.org/officeDocument/2006/relationships/hyperlink" Target="https://s.net.vn/M258-europe" TargetMode="External"/><Relationship Id="rId1781" Type="http://schemas.openxmlformats.org/officeDocument/2006/relationships/hyperlink" Target="https://patadovietnam.edu.vn/tienganhgiaotiep_hn/" TargetMode="External"/><Relationship Id="rId1782" Type="http://schemas.openxmlformats.org/officeDocument/2006/relationships/hyperlink" Target="https://patadovietnam.edu.vn/tienganhgiaotiep_hn/?utm_source=Facebook&amp;utm_medium=CVS&amp;utm_term=NEW_Europe_1840_none_010724&amp;utm_content=saletructiep_Europe.M261.1840.giaotiep_PTATT_LD153&amp;utm_campaign=Europe.giaotiep.M261_16917_CVS_NamNH_010724" TargetMode="External"/><Relationship Id="rId1783" Type="http://schemas.openxmlformats.org/officeDocument/2006/relationships/hyperlink" Target="https://s.net.vn/M261-europe" TargetMode="External"/><Relationship Id="rId1784" Type="http://schemas.openxmlformats.org/officeDocument/2006/relationships/hyperlink" Target="https://patadovietnam.edu.vn/tienganhgiaotiep_hn/" TargetMode="External"/><Relationship Id="rId2269" Type="http://schemas.openxmlformats.org/officeDocument/2006/relationships/hyperlink" Target="https://s.net.vn/M364-USA" TargetMode="External"/><Relationship Id="rId349" Type="http://schemas.openxmlformats.org/officeDocument/2006/relationships/hyperlink" Target="https://patadovietnam.edu.vn/gtall_namnh/?utm_source=Facebook&amp;utm_medium=MES&amp;utm_term=NEW_Taiwan_1838_none_220823&amp;utm_content=saletructiep_Taiwan.anhsquid.1838.giaotiep_PTATT_LD169&amp;utm_campaign=Taiwan.giaotiep.anhsquid_95360_MES_NamNH_220823" TargetMode="External"/><Relationship Id="rId348" Type="http://schemas.openxmlformats.org/officeDocument/2006/relationships/hyperlink" Target="https://patadovietnam.edu.vn/gtall_namnh" TargetMode="External"/><Relationship Id="rId347" Type="http://schemas.openxmlformats.org/officeDocument/2006/relationships/hyperlink" Target="http://ldp.to/SQKOREA_HN" TargetMode="External"/><Relationship Id="rId346" Type="http://schemas.openxmlformats.org/officeDocument/2006/relationships/hyperlink" Target="https://patadovietnam.edu.vn/gtall_namnh/?utm_source=Facebook&amp;utm_medium=MES&amp;utm_term=NEW_KoreaSouth_1838_none_210823&amp;utm_content=saletructiep_Korea.anhsquid.1838.giaotiep_PTATT_LD169&amp;utm_campaign=Korea.giaotiep.anhsquid_95360_MES_NamNH_210823" TargetMode="External"/><Relationship Id="rId2260" Type="http://schemas.openxmlformats.org/officeDocument/2006/relationships/hyperlink" Target="https://s.net.vn/M364-europe" TargetMode="External"/><Relationship Id="rId341" Type="http://schemas.openxmlformats.org/officeDocument/2006/relationships/hyperlink" Target="http://ldp.to/jh6_Hn" TargetMode="External"/><Relationship Id="rId2261" Type="http://schemas.openxmlformats.org/officeDocument/2006/relationships/hyperlink" Target="https://patadovietnam.edu.vn/gtjapan_nhn3" TargetMode="External"/><Relationship Id="rId340" Type="http://schemas.openxmlformats.org/officeDocument/2006/relationships/hyperlink" Target="https://patadovietnam.edu.vn/gtusa1_nhn/?utm_source=Facebook&amp;utm_medium=MES&amp;utm_term=NEW_UnitedStates_2045_none_190823&amp;utm_content=saletructiep_UnitedStates.anhhot3.2045.giaotiep_PTATT_LD161&amp;utm_campaign=UnitedStates.giaotiep.anhhot3_95360_MES_NamNH_190823" TargetMode="External"/><Relationship Id="rId2262" Type="http://schemas.openxmlformats.org/officeDocument/2006/relationships/hyperlink" Target="https://patadovietnam.edu.vn/gtjapan_nhn3/?utm_source=Facebook&amp;utm_medium=CVS&amp;utm_term=NEW_Japan_1840_none_100125&amp;utm_content=saletructiep_Japan.M364.1840.giaotiep_PTATT_LD164&amp;utm_campaign=Japan.giaotiep.M364_16917_CVS_NamNH_100125" TargetMode="External"/><Relationship Id="rId2263" Type="http://schemas.openxmlformats.org/officeDocument/2006/relationships/hyperlink" Target="https://s.net.vn/M364-japan" TargetMode="External"/><Relationship Id="rId2264" Type="http://schemas.openxmlformats.org/officeDocument/2006/relationships/hyperlink" Target="https://patadovietnam.edu.vn/tienganhgiaotiep_hn/" TargetMode="External"/><Relationship Id="rId345" Type="http://schemas.openxmlformats.org/officeDocument/2006/relationships/hyperlink" Target="https://patadovietnam.edu.vn/gtall_namnh" TargetMode="External"/><Relationship Id="rId2265" Type="http://schemas.openxmlformats.org/officeDocument/2006/relationships/hyperlink" Target="https://patadovietnam.edu.vn/tienganhgiaotiep_hn/?utm_source=Facebook&amp;utm_medium=MES&amp;utm_term=NEW_KoreaSouth_1840_none_100125&amp;utm_content=saletructiep_KoreaSouth.M363.1840.giaotiep_PTATT_LD153&amp;utm_campaign=KoreaSouth.giaotiep.M363_16917_MES_NamNH_100125" TargetMode="External"/><Relationship Id="rId344" Type="http://schemas.openxmlformats.org/officeDocument/2006/relationships/hyperlink" Target="http://ldp.to/jh8_hn" TargetMode="External"/><Relationship Id="rId2266" Type="http://schemas.openxmlformats.org/officeDocument/2006/relationships/hyperlink" Target="https://s.net.vn/M363-korea" TargetMode="External"/><Relationship Id="rId343" Type="http://schemas.openxmlformats.org/officeDocument/2006/relationships/hyperlink" Target="https://patadovietnam.edu.vn/gtall_namnh/?utm_source=Facebook&amp;utm_medium=MES&amp;utm_term=NEW_Canada_2045_none_190823&amp;utm_content=saletructiep_Canada.anhhot3.2045.giaotiep_PTATT_LD169&amp;utm_campaign=Canada.giaotiep.anhhot3_16917_MES_NamNH_190823" TargetMode="External"/><Relationship Id="rId2267" Type="http://schemas.openxmlformats.org/officeDocument/2006/relationships/hyperlink" Target="https://patadovietnam.edu.vn/gtusa1_nhn" TargetMode="External"/><Relationship Id="rId342" Type="http://schemas.openxmlformats.org/officeDocument/2006/relationships/hyperlink" Target="https://patadovietnam.edu.vn/gtall_namnh" TargetMode="External"/><Relationship Id="rId2268" Type="http://schemas.openxmlformats.org/officeDocument/2006/relationships/hyperlink" Target="https://patadovietnam.edu.vn/gtusa1_nhn/?utm_source=Facebook&amp;utm_medium=MES&amp;utm_term=NEW_UnitedStates_2050_none_100125&amp;utm_content=saletructiep_UnitedStates.M364.1840.giaotiep_PTATT_LD161&amp;utm_campaign=UnitedStates.giaotiep.M364_16917_MES_NamNH_100125" TargetMode="External"/><Relationship Id="rId2258" Type="http://schemas.openxmlformats.org/officeDocument/2006/relationships/hyperlink" Target="https://patadovietnam.edu.vn/tienganhgiaotiep_hn/" TargetMode="External"/><Relationship Id="rId2259" Type="http://schemas.openxmlformats.org/officeDocument/2006/relationships/hyperlink" Target="https://patadovietnam.edu.vn/tienganhgiaotiep_hn/?utm_source=Facebook&amp;utm_medium=CVS&amp;utm_term=NEW_Europe_1840_none_100125&amp;utm_content=saletructiep_Europe.M364.1840.giaotiep_PTATT_LD153&amp;utm_campaign=Europe.giaotiep.M364_16917_CVS_NamNH_100125" TargetMode="External"/><Relationship Id="rId338" Type="http://schemas.openxmlformats.org/officeDocument/2006/relationships/hyperlink" Target="http://ldp.to/jh5_hn" TargetMode="External"/><Relationship Id="rId337" Type="http://schemas.openxmlformats.org/officeDocument/2006/relationships/hyperlink" Target="https://patadovietnam.edu.vn/gtall_namnh/?utm_source=Facebook&amp;utm_medium=MES&amp;utm_term=NEW_Philippines_1838_none_190823&amp;utm_content=saletructiep_Philipines.anhhot3.1838.giaotiep_PTATT_LD169&amp;utm_campaign=Philippines.giaotiep.anhhot3_16917_MES_NamNH_190823" TargetMode="External"/><Relationship Id="rId336" Type="http://schemas.openxmlformats.org/officeDocument/2006/relationships/hyperlink" Target="https://patadovietnam.edu.vn/gtall_namnh" TargetMode="External"/><Relationship Id="rId335" Type="http://schemas.openxmlformats.org/officeDocument/2006/relationships/hyperlink" Target="http://ldp.to/hotkorea_hn" TargetMode="External"/><Relationship Id="rId339" Type="http://schemas.openxmlformats.org/officeDocument/2006/relationships/hyperlink" Target="https://patadovietnam.edu.vn/gtusa1_nhn" TargetMode="External"/><Relationship Id="rId330" Type="http://schemas.openxmlformats.org/officeDocument/2006/relationships/hyperlink" Target="https://patadovietnam.edu.vn/gtall_namnh" TargetMode="External"/><Relationship Id="rId2250" Type="http://schemas.openxmlformats.org/officeDocument/2006/relationships/hyperlink" Target="https://patadovietnam.edu.vn/tienganhgiaotiep_hn/" TargetMode="External"/><Relationship Id="rId2251" Type="http://schemas.openxmlformats.org/officeDocument/2006/relationships/hyperlink" Target="https://patadovietnam.edu.vn/tienganhgiaotiep_hn/?utm_source=Facebook&amp;utm_medium=MES&amp;utm_term=NEW_Australia_1840_none_241224&amp;utm_content=saletructiep_Australia.M355.1840.giaotiep_PTATT_LD153&amp;utm_campaign=Australia.giaotiep.M355_16917_MES_NamNH_241224" TargetMode="External"/><Relationship Id="rId2252" Type="http://schemas.openxmlformats.org/officeDocument/2006/relationships/hyperlink" Target="https://patadovietnam.edu.vn/tienganhgiaotiep_hn/" TargetMode="External"/><Relationship Id="rId2253" Type="http://schemas.openxmlformats.org/officeDocument/2006/relationships/hyperlink" Target="https://patadovietnam.edu.vn/tienganhgiaotiep_hn/?utm_source=Facebook&amp;utm_medium=MES&amp;utm_term=NEW_Europe_1840_none_100125&amp;utm_content=saletructiep_Europe.HTKOC2.1840.giaotiep_PTATT_LD153&amp;utm_campaign=Europe.giaotiep.HTKOC2_16917_MES_NamNH_100125" TargetMode="External"/><Relationship Id="rId334" Type="http://schemas.openxmlformats.org/officeDocument/2006/relationships/hyperlink" Target="https://patadovietnam.edu.vn/gtall_namnh/?utm_source=Facebook&amp;utm_medium=MES&amp;utm_term=NEW_KoreaSouth_1840_none_180823&amp;utm_content=saletructiep_Korea.anhhot2.1840.giaotiep_PTATT_LD169&amp;utm_campaign=Korea.giaotiep.anhhot2_95360_MES_NamNH_180823" TargetMode="External"/><Relationship Id="rId2254" Type="http://schemas.openxmlformats.org/officeDocument/2006/relationships/hyperlink" Target="https://s.net.vn/ht2-europe" TargetMode="External"/><Relationship Id="rId333" Type="http://schemas.openxmlformats.org/officeDocument/2006/relationships/hyperlink" Target="https://patadovietnam.edu.vn/gtall_namnh" TargetMode="External"/><Relationship Id="rId2255" Type="http://schemas.openxmlformats.org/officeDocument/2006/relationships/hyperlink" Target="https://patadovietnam.edu.vn/tienganhgiaotiep_hn/" TargetMode="External"/><Relationship Id="rId332" Type="http://schemas.openxmlformats.org/officeDocument/2006/relationships/hyperlink" Target="http://ldp.to/TAGTdailoan_hn" TargetMode="External"/><Relationship Id="rId2256" Type="http://schemas.openxmlformats.org/officeDocument/2006/relationships/hyperlink" Target="https://patadovietnam.edu.vn/tienganhgiaotiep_hn/?utm_source=Facebook&amp;utm_medium=MES&amp;utm_term=NEW_Australia_1840_none_100125&amp;utm_content=saletructiep_Australia.M364.1840.giaotiep_PTATT_LD153&amp;utm_campaign=Australia.giaotiep.M364_16917_MES_NamNH_100125" TargetMode="External"/><Relationship Id="rId331" Type="http://schemas.openxmlformats.org/officeDocument/2006/relationships/hyperlink" Target="https://patadovietnam.edu.vn/gtall_namnh/?utm_source=Facebook&amp;utm_medium=MES&amp;utm_term=NEW_Taiwan_1838_none_180823&amp;utm_content=saletructiep_Taiwan.Patadottam.1838.giaotiep_PTATT_LD169&amp;utm_campaign=Taiwan.giaotiep.Patadottam_16917_MES_NamNH_180823" TargetMode="External"/><Relationship Id="rId2257" Type="http://schemas.openxmlformats.org/officeDocument/2006/relationships/hyperlink" Target="https://s.net.vn/M364-uc" TargetMode="External"/><Relationship Id="rId370" Type="http://schemas.openxmlformats.org/officeDocument/2006/relationships/hyperlink" Target="https://patadovietnam.edu.vn/gtall_namnh/?utm_source=Facebook&amp;utm_medium=MES&amp;utm_term=NEW_KoreaSouth_1840_none_310823&amp;utm_content=saletructiep_Korea.anhnote3.1840.giaotiep_PTATT_LD169&amp;utm_campaign=Korea.giaotiep.anhnote3_95360_MES_NamNH_310823" TargetMode="External"/><Relationship Id="rId369" Type="http://schemas.openxmlformats.org/officeDocument/2006/relationships/hyperlink" Target="https://patadovietnam.edu.vn/gtall_namnh" TargetMode="External"/><Relationship Id="rId368" Type="http://schemas.openxmlformats.org/officeDocument/2006/relationships/hyperlink" Target="http://ldp.to/SQJAPAN_HN" TargetMode="External"/><Relationship Id="rId2280" Type="http://schemas.openxmlformats.org/officeDocument/2006/relationships/hyperlink" Target="https://patadovietnam.edu.vn/tienganhgiaotiep_hn/" TargetMode="External"/><Relationship Id="rId2281" Type="http://schemas.openxmlformats.org/officeDocument/2006/relationships/hyperlink" Target="https://patadovietnam.edu.vn/tienganhgiaotiep_hn/?utm_source=Facebook&amp;utm_medium=CVS&amp;utm_term=NEW_Japan_1840_none_110125&amp;utm_content=saletructiep_Japan.M368.1840.giaotiep_PTATT_LD153&amp;utm_campaign=Japan.giaotiep.M368_16917_CVS_NamNH_110125" TargetMode="External"/><Relationship Id="rId2282" Type="http://schemas.openxmlformats.org/officeDocument/2006/relationships/hyperlink" Target="https://patadovietnam.edu.vn/tienganhgiaotiep_hn/" TargetMode="External"/><Relationship Id="rId363" Type="http://schemas.openxmlformats.org/officeDocument/2006/relationships/hyperlink" Target="https://patadovietnam.edu.vn/gtall_namnh" TargetMode="External"/><Relationship Id="rId2283" Type="http://schemas.openxmlformats.org/officeDocument/2006/relationships/hyperlink" Target="https://patadovietnam.edu.vn/tienganhgiaotiep_hn/?utm_source=Facebook&amp;utm_medium=CVS&amp;utm_term=NEW_Europe_1840_none_110125&amp;utm_content=saletructiep_Europe.M368.1840.giaotiep_PTATT_LD153&amp;utm_campaign=Europe.giaotiep.M368_16917_CVS_NamNH_110125" TargetMode="External"/><Relationship Id="rId362" Type="http://schemas.openxmlformats.org/officeDocument/2006/relationships/hyperlink" Target="http://ldp.to/note2taiwan_HN" TargetMode="External"/><Relationship Id="rId2284" Type="http://schemas.openxmlformats.org/officeDocument/2006/relationships/hyperlink" Target="https://patadovietnam.edu.vn/gtusa1_nhn" TargetMode="External"/><Relationship Id="rId361" Type="http://schemas.openxmlformats.org/officeDocument/2006/relationships/hyperlink" Target="https://patadovietnam.edu.vn/gtall_namnh/?utm_source=Facebook&amp;utm_medium=MES&amp;utm_term=NEW_Taiwan_1838_none_220823&amp;utm_content=saletructiep_Taiwan.anhnote2.1838.giaotiep_PTATT_LD169&amp;utm_campaign=Taiwan.giaotiep.anhnote2_95360_MES_NamNH_220823" TargetMode="External"/><Relationship Id="rId2285" Type="http://schemas.openxmlformats.org/officeDocument/2006/relationships/hyperlink" Target="https://patadovietnam.edu.vn/gtusa1_nhn/?utm_source=Facebook&amp;utm_medium=MES&amp;utm_term=NEW_UnitedStates_2050_none_110125&amp;utm_content=saletructiep_UnitedStates.M368.1840.giaotiep_PTATT_LD161&amp;utm_campaign=UnitedStates.giaotiep.M368_16917_MES_NamNH_110125" TargetMode="External"/><Relationship Id="rId360" Type="http://schemas.openxmlformats.org/officeDocument/2006/relationships/hyperlink" Target="https://patadovietnam.edu.vn/gtall_namnh" TargetMode="External"/><Relationship Id="rId2286" Type="http://schemas.openxmlformats.org/officeDocument/2006/relationships/hyperlink" Target="https://patadovietnam.edu.vn/tienganhgiaotiep_hn/" TargetMode="External"/><Relationship Id="rId367" Type="http://schemas.openxmlformats.org/officeDocument/2006/relationships/hyperlink" Target="https://patadovietnam.edu.vn/gtjapan_nhn3/?utm_source=Facebook&amp;utm_medium=CVS&amp;utm_term=NEW_Japan_1840_none_220823&amp;utm_content=saletructiep_Japan.anhsquid.1840.giaotiep_PTATT_LD164&amp;utm_campaign=Japan.giaotiep.anhsquid_16917_CVS_NamNH_220823" TargetMode="External"/><Relationship Id="rId2287" Type="http://schemas.openxmlformats.org/officeDocument/2006/relationships/hyperlink" Target="https://patadovietnam.edu.vn/tienganhgiaotiep_hn/?utm_source=Facebook&amp;utm_medium=MES&amp;utm_term=NEW_KoreaSouth_1840_none_110125&amp;utm_content=saletructiep_KoreaSouth.M368.1840.giaotiep_PTATT_LD153&amp;utm_campaign=KoreaSouth.giaotiep.M368_16917_MES_NamNH_110125" TargetMode="External"/><Relationship Id="rId366" Type="http://schemas.openxmlformats.org/officeDocument/2006/relationships/hyperlink" Target="https://patadovietnam.edu.vn/gtjapan_nhn3" TargetMode="External"/><Relationship Id="rId2288" Type="http://schemas.openxmlformats.org/officeDocument/2006/relationships/hyperlink" Target="https://patadovietnam.edu.vn/tienganhgiaotiep_hn/" TargetMode="External"/><Relationship Id="rId365" Type="http://schemas.openxmlformats.org/officeDocument/2006/relationships/hyperlink" Target="http://ldp.to/note2korea_HN" TargetMode="External"/><Relationship Id="rId2289" Type="http://schemas.openxmlformats.org/officeDocument/2006/relationships/hyperlink" Target="https://patadovietnam.edu.vn/tienganhgiaotiep_hn/?utm_source=Facebook&amp;utm_medium=MES&amp;utm_term=NEW_Taiwan_1840_none_110125&amp;utm_content=saletructiep_Taiwan.M368.1840.giaotiep_PTATT_LD153&amp;utm_campaign=Taiwan.giaotiep.M368_16917_MES_NamNH_110125" TargetMode="External"/><Relationship Id="rId364" Type="http://schemas.openxmlformats.org/officeDocument/2006/relationships/hyperlink" Target="https://patadovietnam.edu.vn/gtall_namnh/?utm_source=Facebook&amp;utm_medium=MES&amp;utm_term=NEW_KoreaSouth_1838_none_220823&amp;utm_content=saletructiep_Korea.anhnote2.1838.giaotiep_PTATT_LD169&amp;utm_campaign=Korea.giaotiep.anhnote2_95360_MES_NamNH_220823" TargetMode="External"/><Relationship Id="rId95" Type="http://schemas.openxmlformats.org/officeDocument/2006/relationships/hyperlink" Target="http://ldp.to/GTUSA1_nhn" TargetMode="External"/><Relationship Id="rId94" Type="http://schemas.openxmlformats.org/officeDocument/2006/relationships/hyperlink" Target="https://patadovietnam.edu.vn/gtusa1_nhn/?utm_source=Facebook&amp;utm_medium=MES&amp;utm_term=NEW_UnitedStates_2045_none_040523&amp;utm_content=saletructiep_Unitedstates.giaotiep.giaotiepmynhn_PTATT_LD161&amp;utm_campaign=Unitedstates.giaotiep.giaotiepmynhn_95360_MES_NamNH_040523" TargetMode="External"/><Relationship Id="rId97" Type="http://schemas.openxmlformats.org/officeDocument/2006/relationships/hyperlink" Target="https://patadovietnam.edu.vn/gtjapan_nhn3/?utm_source=Facebook&amp;utm_medium=MES&amp;utm_term=NEW_Japan_1840_none_090523&amp;utm_content=saletructiep_Japan.GTjapan4.1840.giaotiep_PTATT_LD164&amp;utm_campaign=Japan.giaotiep.GTjapan4_16917_MES_NamNH_090523" TargetMode="External"/><Relationship Id="rId96" Type="http://schemas.openxmlformats.org/officeDocument/2006/relationships/hyperlink" Target="https://patadovietnam.edu.vn/gtjapan_nhn3" TargetMode="External"/><Relationship Id="rId99" Type="http://schemas.openxmlformats.org/officeDocument/2006/relationships/hyperlink" Target="https://patadovietnam.edu.vn/tienganhgiaotiep_hn/" TargetMode="External"/><Relationship Id="rId98" Type="http://schemas.openxmlformats.org/officeDocument/2006/relationships/hyperlink" Target="http://ldp.to/gtjapannhn3" TargetMode="External"/><Relationship Id="rId91" Type="http://schemas.openxmlformats.org/officeDocument/2006/relationships/hyperlink" Target="https://patadovietnam.edu.vn/gtjapan_nhn2/?utm_source=Facebook&amp;utm_medium=MES&amp;utm_term=NEW_Japan_1840_none_060523&amp;utm_content=saletructiep_Japan.GTjapan4.1840.giaotiep_PTATT_LD163&amp;utm_campaign=Japan.giaotiep.GTjapan4_95360_MES_NamNH_060523" TargetMode="External"/><Relationship Id="rId90" Type="http://schemas.openxmlformats.org/officeDocument/2006/relationships/hyperlink" Target="https://patadovietnam.edu.vn/gtjapan_nhn2" TargetMode="External"/><Relationship Id="rId93" Type="http://schemas.openxmlformats.org/officeDocument/2006/relationships/hyperlink" Target="https://patadovietnam.edu.vn/gtusa1_nhn" TargetMode="External"/><Relationship Id="rId92" Type="http://schemas.openxmlformats.org/officeDocument/2006/relationships/hyperlink" Target="http://ldp.to/gtjapan_hn3" TargetMode="External"/><Relationship Id="rId359" Type="http://schemas.openxmlformats.org/officeDocument/2006/relationships/hyperlink" Target="http://ldp.to/note2usa_HN" TargetMode="External"/><Relationship Id="rId358" Type="http://schemas.openxmlformats.org/officeDocument/2006/relationships/hyperlink" Target="https://patadovietnam.edu.vn/gtusa1_nhn/?utm_source=Facebook&amp;utm_medium=MES&amp;utm_term=NEW_UnitedStates_2045_none_210823&amp;utm_content=saletructiep_UnitedStates.anhnote2.2045.giaotiep_PTATT_LD161&amp;utm_campaign=UnitedStates.giaotiep.anhnote2_16917_MES_NamNH_210823" TargetMode="External"/><Relationship Id="rId357" Type="http://schemas.openxmlformats.org/officeDocument/2006/relationships/hyperlink" Target="https://patadovietnam.edu.vn/gtusa1_nhn" TargetMode="External"/><Relationship Id="rId2270" Type="http://schemas.openxmlformats.org/officeDocument/2006/relationships/hyperlink" Target="https://patadovietnam.edu.vn/gtusa1_nhn" TargetMode="External"/><Relationship Id="rId2271" Type="http://schemas.openxmlformats.org/officeDocument/2006/relationships/hyperlink" Target="https://patadovietnam.edu.vn/gtusa1_nhn/?utm_source=Facebook&amp;utm_medium=MES&amp;utm_term=NEW_UnitedStates_2050_none_110125&amp;utm_content=saletructiep_UnitedStates.M307.1840.giaotiep_PTATT_LD161&amp;utm_campaign=UnitedStates.giaotiep.M307_16917_MES_NamNH_110125" TargetMode="External"/><Relationship Id="rId352" Type="http://schemas.openxmlformats.org/officeDocument/2006/relationships/hyperlink" Target="https://patadovietnam.edu.vn/gtusa1_nhn/?utm_source=Facebook&amp;utm_medium=MES&amp;utm_term=NEW_UnitedStates_2045_none_210823&amp;utm_content=saletructiep_UnitedStates.anhsquid.2045.giaotiep_PTATT_LD161&amp;utm_campaign=UnitedStates.giaotiep.anhsquid_16917_MES_NamNH_210823" TargetMode="External"/><Relationship Id="rId2272" Type="http://schemas.openxmlformats.org/officeDocument/2006/relationships/hyperlink" Target="https://patadovietnam.edu.vn/gtusa1_nhn" TargetMode="External"/><Relationship Id="rId351" Type="http://schemas.openxmlformats.org/officeDocument/2006/relationships/hyperlink" Target="https://patadovietnam.edu.vn/gtusa1_nhn" TargetMode="External"/><Relationship Id="rId2273" Type="http://schemas.openxmlformats.org/officeDocument/2006/relationships/hyperlink" Target="https://patadovietnam.edu.vn/gtusa1_nhn/?utm_source=Facebook&amp;utm_medium=MES&amp;utm_term=NEW_UnitedStates_2050_none_110125&amp;utm_content=saletructiep_UnitedStates.M318.1840.giaotiep_PTATT_LD161&amp;utm_campaign=UnitedStates.giaotiep.M318_16917_MES_NamNH_110125" TargetMode="External"/><Relationship Id="rId350" Type="http://schemas.openxmlformats.org/officeDocument/2006/relationships/hyperlink" Target="http://ldp.to/SQTAIWAN_HN" TargetMode="External"/><Relationship Id="rId2274" Type="http://schemas.openxmlformats.org/officeDocument/2006/relationships/hyperlink" Target="https://patadovietnam.edu.vn/gtjapan_nhn3" TargetMode="External"/><Relationship Id="rId2275" Type="http://schemas.openxmlformats.org/officeDocument/2006/relationships/hyperlink" Target="https://patadovietnam.edu.vn/gtjapan_nhn3/?utm_source=Facebook&amp;utm_medium=CVS&amp;utm_term=NEW_Japan_1840_none_110125&amp;utm_content=saletructiep_Japan.M318.1840.giaotiep_PTATT_LD164&amp;utm_campaign=Japan.giaotiep.M318_16917_CVS_NamNH_110125" TargetMode="External"/><Relationship Id="rId356" Type="http://schemas.openxmlformats.org/officeDocument/2006/relationships/hyperlink" Target="http://ldp.to/SQPhilippines_HN" TargetMode="External"/><Relationship Id="rId2276" Type="http://schemas.openxmlformats.org/officeDocument/2006/relationships/hyperlink" Target="https://patadovietnam.edu.vn/gtjapan_nhn3" TargetMode="External"/><Relationship Id="rId355" Type="http://schemas.openxmlformats.org/officeDocument/2006/relationships/hyperlink" Target="https://patadovietnam.edu.vn/gtall_namnh/?utm_source=Facebook&amp;utm_medium=MES&amp;utm_term=NEW_Philippines_1836_none_210823&amp;utm_content=saletructiep_Philippines.anhsquid.1836.giaotiep_PTATT_LD169&amp;utm_campaign=Philippines.giaotiep.anhsquid_95360_MES_NamNH_210823" TargetMode="External"/><Relationship Id="rId2277" Type="http://schemas.openxmlformats.org/officeDocument/2006/relationships/hyperlink" Target="https://patadovietnam.edu.vn/gtjapan_nhn3/?utm_source=Facebook&amp;utm_medium=CVS&amp;utm_term=NEW_Japan_1840_none_110125&amp;utm_content=saletructiep_Japan.M307.1840.giaotiep_PTATT_LD164&amp;utm_campaign=Japan.giaotiep.M307_16917_CVS_NamNH_110125" TargetMode="External"/><Relationship Id="rId354" Type="http://schemas.openxmlformats.org/officeDocument/2006/relationships/hyperlink" Target="https://patadovietnam.edu.vn/gtall_namnh" TargetMode="External"/><Relationship Id="rId2278" Type="http://schemas.openxmlformats.org/officeDocument/2006/relationships/hyperlink" Target="https://patadovietnam.edu.vn/tienganhgiaotiep_hn/" TargetMode="External"/><Relationship Id="rId353" Type="http://schemas.openxmlformats.org/officeDocument/2006/relationships/hyperlink" Target="http://ldp.to/SQUSA_HN" TargetMode="External"/><Relationship Id="rId2279" Type="http://schemas.openxmlformats.org/officeDocument/2006/relationships/hyperlink" Target="https://patadovietnam.edu.vn/tienganhgiaotiep_hn/?utm_source=Facebook&amp;utm_medium=MES&amp;utm_term=NEW_KoreaSouth_1840_none_110125&amp;utm_content=saletructiep_KoreaSouth.M191.1840.giaotiep_PTATT_LD153&amp;utm_campaign=KoreaSouth.giaotiep.M191_16917_MES_NamNH_110125" TargetMode="External"/><Relationship Id="rId2225" Type="http://schemas.openxmlformats.org/officeDocument/2006/relationships/hyperlink" Target="https://patadovietnam.edu.vn/tienganhgiaotiep_hn/" TargetMode="External"/><Relationship Id="rId2226" Type="http://schemas.openxmlformats.org/officeDocument/2006/relationships/hyperlink" Target="https://patadovietnam.edu.vn/tienganhgiaotiep_hn/?utm_source=Facebook&amp;utm_medium=MES&amp;utm_term=NEW_Europe_1840_none_181224&amp;utm_content=saletructiep_Europe.M349.1840.giaotiep_PTATT_LD153&amp;utm_campaign=Europe.giaotiep.M349_16917_MES_NamNH_181224" TargetMode="External"/><Relationship Id="rId2227" Type="http://schemas.openxmlformats.org/officeDocument/2006/relationships/hyperlink" Target="https://patadovietnam.edu.vn/tienganhgiaotiep_hn/" TargetMode="External"/><Relationship Id="rId2228" Type="http://schemas.openxmlformats.org/officeDocument/2006/relationships/hyperlink" Target="https://patadovietnam.edu.vn/tienganhgiaotiep_hn/?utm_source=Facebook&amp;utm_medium=CVS&amp;utm_term=NEW_Japan_1840_none_241224&amp;utm_content=saletructiep_Japan.M355.1840.giaotiep_PTATT_LD153&amp;utm_campaign=Japan.giaotiep.M355_16917_CVS_NamNH_241224" TargetMode="External"/><Relationship Id="rId2229" Type="http://schemas.openxmlformats.org/officeDocument/2006/relationships/hyperlink" Target="https://patadovietnam.edu.vn/tienganhgiaotiep_hn/" TargetMode="External"/><Relationship Id="rId305" Type="http://schemas.openxmlformats.org/officeDocument/2006/relationships/hyperlink" Target="http://ldp.to/IBTAIWAN_HN" TargetMode="External"/><Relationship Id="rId304" Type="http://schemas.openxmlformats.org/officeDocument/2006/relationships/hyperlink" Target="https://patadovietnam.edu.vn/gtall_namnh/?utm_source=Facebook&amp;utm_medium=MES&amp;utm_term=NEW_Taiwan_1840_none_030823&amp;utm_content=saletructiep_Taiwan.anhib.1840.giaotiep_PTATT_LD169&amp;utm_campaign=Taiwan.giaotiep.anhib_95360_MES_NamNH_030823" TargetMode="External"/><Relationship Id="rId303" Type="http://schemas.openxmlformats.org/officeDocument/2006/relationships/hyperlink" Target="https://patadovietnam.edu.vn/gtall_namnh" TargetMode="External"/><Relationship Id="rId302" Type="http://schemas.openxmlformats.org/officeDocument/2006/relationships/hyperlink" Target="http://ldp.to/IBKOREA_HN" TargetMode="External"/><Relationship Id="rId309" Type="http://schemas.openxmlformats.org/officeDocument/2006/relationships/hyperlink" Target="https://patadovietnam.edu.vn/tienganhgiaotiep_hn/" TargetMode="External"/><Relationship Id="rId308" Type="http://schemas.openxmlformats.org/officeDocument/2006/relationships/hyperlink" Target="http://ldp.to/CNHVUC_HN" TargetMode="External"/><Relationship Id="rId307" Type="http://schemas.openxmlformats.org/officeDocument/2006/relationships/hyperlink" Target="https://patadovietnam.edu.vn/gtall_namnh/?utm_source=Facebook&amp;utm_medium=MES&amp;utm_term=NEW_Australia_2045_none_040823&amp;utm_content=saletructiep_Australia.videoCNHV.2045.giaotiep_PTATT_LD169&amp;utm_campaign=Australia.giaotiep.videoCNHV_95360_MES_NamNH_040823" TargetMode="External"/><Relationship Id="rId306" Type="http://schemas.openxmlformats.org/officeDocument/2006/relationships/hyperlink" Target="https://patadovietnam.edu.vn/gtall_namnh" TargetMode="External"/><Relationship Id="rId2220" Type="http://schemas.openxmlformats.org/officeDocument/2006/relationships/hyperlink" Target="https://patadovietnam.edu.vn/tienganhgiaotiep_hn/" TargetMode="External"/><Relationship Id="rId301" Type="http://schemas.openxmlformats.org/officeDocument/2006/relationships/hyperlink" Target="https://patadovietnam.edu.vn/gtall_namnh/?utm_source=Facebook&amp;utm_medium=MES&amp;utm_term=NEW_Korea_1838_none_030823&amp;utm_content=saletructiep_Korea.anhib.1840.giaotiep_PTATT_LD169&amp;utm_campaign=Korea.giaotiep.anhib_95360_MES_NamNH_030823" TargetMode="External"/><Relationship Id="rId2221" Type="http://schemas.openxmlformats.org/officeDocument/2006/relationships/hyperlink" Target="https://patadovietnam.edu.vn/tienganhgiaotiep_hn/?utm_source=Facebook&amp;utm_medium=MES&amp;utm_term=NEW_Australia_1840_none_181224&amp;utm_content=saletructiep_Australia.anhsale10.1840.giaotiep_PTATT_LD153&amp;utm_campaign=Australia.giaotiep.anhsale10_16917_MES_NamNH_181224" TargetMode="External"/><Relationship Id="rId300" Type="http://schemas.openxmlformats.org/officeDocument/2006/relationships/hyperlink" Target="https://patadovietnam.edu.vn/gtall_namnh" TargetMode="External"/><Relationship Id="rId2222" Type="http://schemas.openxmlformats.org/officeDocument/2006/relationships/hyperlink" Target="https://tinyurl.com/anhs10uc" TargetMode="External"/><Relationship Id="rId2223" Type="http://schemas.openxmlformats.org/officeDocument/2006/relationships/hyperlink" Target="https://patadovietnam.edu.vn/tienganhgiaotiep_hn/" TargetMode="External"/><Relationship Id="rId2224" Type="http://schemas.openxmlformats.org/officeDocument/2006/relationships/hyperlink" Target="https://patadovietnam.edu.vn/tienganhgiaotiep_hn/?utm_source=Facebook&amp;utm_medium=MES&amp;utm_term=NEW_Europe_1840_none_181224&amp;utm_content=saletructiep_Europe.M350.1840.giaotiep_PTATT_LD153&amp;utm_campaign=Europe.giaotiep.M350_16917_MES_NamNH_181224" TargetMode="External"/><Relationship Id="rId2214" Type="http://schemas.openxmlformats.org/officeDocument/2006/relationships/hyperlink" Target="https://patadovietnam.edu.vn/gtjapan_nhn3" TargetMode="External"/><Relationship Id="rId2215" Type="http://schemas.openxmlformats.org/officeDocument/2006/relationships/hyperlink" Target="https://patadovietnam.edu.vn/gtjapan_nhn3/?utm_source=Facebook&amp;utm_medium=CVS&amp;utm_term=NEW_Japan_1840_none_091224&amp;utm_content=saletructiep_Japan.M347.1840.giaotiep_PTATT_LD164&amp;utm_campaign=Japan.giaotiep.M347_16917_CVS_NamNH_091224" TargetMode="External"/><Relationship Id="rId2216" Type="http://schemas.openxmlformats.org/officeDocument/2006/relationships/hyperlink" Target="https://patadovietnam.edu.vn/tienganhgiaotiep_hn/" TargetMode="External"/><Relationship Id="rId2217" Type="http://schemas.openxmlformats.org/officeDocument/2006/relationships/hyperlink" Target="https://patadovietnam.edu.vn/tienganhgiaotiep_hn/?utm_source=Facebook&amp;utm_medium=CVS&amp;utm_term=NEW_Europe_1840_none_181224&amp;utm_content=saletructiep_Europe.M347.1840.giaotiep_PTATT_LD153&amp;utm_campaign=Europe.giaotiep.M347_16917_CVS_NamNH_181224" TargetMode="External"/><Relationship Id="rId2218" Type="http://schemas.openxmlformats.org/officeDocument/2006/relationships/hyperlink" Target="https://patadovietnam.edu.vn/tienganhgiaotiep_hn/" TargetMode="External"/><Relationship Id="rId2219" Type="http://schemas.openxmlformats.org/officeDocument/2006/relationships/hyperlink" Target="https://patadovietnam.edu.vn/tienganhgiaotiep_hn/?utm_source=Facebook&amp;utm_medium=MES&amp;utm_term=NEW_ALL_1840_none_181224&amp;utm_content=saletructiep_ALL.M347.1840.giaotiep_PTATT_LD153&amp;utm_campaign=ALL.giaotiep.M347_16917_MES_NamNH_181224" TargetMode="External"/><Relationship Id="rId2210" Type="http://schemas.openxmlformats.org/officeDocument/2006/relationships/hyperlink" Target="https://patadovietnam.edu.vn/tienganhgiaotiep_hn/" TargetMode="External"/><Relationship Id="rId2211" Type="http://schemas.openxmlformats.org/officeDocument/2006/relationships/hyperlink" Target="https://patadovietnam.edu.vn/tienganhgiaotiep_hn/?utm_source=Facebook&amp;utm_medium=MES&amp;utm_term=NEW_Philippines_1840_none_091224&amp;utm_content=saletructiep_Philippines.M340.1840.giaotiep_PTATT_LD153&amp;utm_campaign=Philippines.giaotiep.M340_16917_MES_NamNH_091224" TargetMode="External"/><Relationship Id="rId2212" Type="http://schemas.openxmlformats.org/officeDocument/2006/relationships/hyperlink" Target="https://patadovietnam.edu.vn/tienganhgiaotiep_hn/" TargetMode="External"/><Relationship Id="rId2213" Type="http://schemas.openxmlformats.org/officeDocument/2006/relationships/hyperlink" Target="https://patadovietnam.edu.vn/tienganhgiaotiep_hn/?utm_source=Facebook&amp;utm_medium=MES&amp;utm_term=NEW_KoreaSouth_1840_none_091224&amp;utm_content=saletructiep_KoreaSouth.M340.1840.giaotiep_PTATT_LD153&amp;utm_campaign=KoreaSouth.giaotiep.M340_16917_MES_NamNH_091224" TargetMode="External"/><Relationship Id="rId2247" Type="http://schemas.openxmlformats.org/officeDocument/2006/relationships/hyperlink" Target="https://patadovietnam.edu.vn/tienganhgiaotiep_hn/?utm_source=Facebook&amp;utm_medium=MES&amp;utm_term=NEW_KoreaSouth_1840_none_241224&amp;utm_content=saletructiep_KoreaSouth.M355.1840.giaotiep_PTATT_LD153&amp;utm_campaign=KoreaSouth.giaotiep.M355_16917_MES_NamNH_241224" TargetMode="External"/><Relationship Id="rId2248" Type="http://schemas.openxmlformats.org/officeDocument/2006/relationships/hyperlink" Target="https://patadovietnam.edu.vn/tienganhgiaotiep_hn/" TargetMode="External"/><Relationship Id="rId2249" Type="http://schemas.openxmlformats.org/officeDocument/2006/relationships/hyperlink" Target="https://patadovietnam.edu.vn/tienganhgiaotiep_hn/?utm_source=Facebook&amp;utm_medium=MES&amp;utm_term=NEW_Taiwan_1840_none_241224&amp;utm_content=saletructiep_Taiwan.M355.1840.giaotiep_PTATT_LD153&amp;utm_campaign=Taiwan.giaotiep.M355_16917_MES_NamNH_241224" TargetMode="External"/><Relationship Id="rId327" Type="http://schemas.openxmlformats.org/officeDocument/2006/relationships/hyperlink" Target="https://patadovietnam.edu.vn/allcvs_hn" TargetMode="External"/><Relationship Id="rId326" Type="http://schemas.openxmlformats.org/officeDocument/2006/relationships/hyperlink" Target="http://ldp.to/hottaiwan_NHN" TargetMode="External"/><Relationship Id="rId325" Type="http://schemas.openxmlformats.org/officeDocument/2006/relationships/hyperlink" Target="https://patadovietnam.edu.vn/tienganhgiaotiep_hn/?utm_source=Facebook&amp;utm_medium=MES&amp;utm_term=NEW_Taiwan_1838_none_150823&amp;utm_content=saletructiep_Taiwan.anhhot2.1838.giaotiep_PTATT_LD153&amp;utm_campaign=Taiwan.giaotiep.anhhot2_95360_MES_NamNH_150823" TargetMode="External"/><Relationship Id="rId324" Type="http://schemas.openxmlformats.org/officeDocument/2006/relationships/hyperlink" Target="https://patadovietnam.edu.vn/tienganhgiaotiep_hn/" TargetMode="External"/><Relationship Id="rId329" Type="http://schemas.openxmlformats.org/officeDocument/2006/relationships/hyperlink" Target="http://ldp.to/ALLttam_NHN" TargetMode="External"/><Relationship Id="rId328" Type="http://schemas.openxmlformats.org/officeDocument/2006/relationships/hyperlink" Target="https://patadovietnam.edu.vn/allcvs_hn/?utm_source=Facebook&amp;utm_medium=MES&amp;utm_term=NEW_ALL_1845_none_170823&amp;utm_content=saletructiep_ALL.Patadottam.1845.giaotiep_PTATT_LD170&amp;utm_campaign=ALL.giaotiep.Patadottam_16917_MES_NamNH_170823" TargetMode="External"/><Relationship Id="rId2240" Type="http://schemas.openxmlformats.org/officeDocument/2006/relationships/hyperlink" Target="https://patadovietnam.edu.vn/tienganhgiaotiep_hn/" TargetMode="External"/><Relationship Id="rId2241" Type="http://schemas.openxmlformats.org/officeDocument/2006/relationships/hyperlink" Target="https://patadovietnam.edu.vn/tienganhgiaotiep_hn/?utm_source=Facebook&amp;utm_medium=MES&amp;utm_term=NEW_KoreaSouth_1840_none_181224&amp;utm_content=saletructiep_KoreaSouth.M356.1840.giaotiep_PTATT_LD153&amp;utm_campaign=KoreaSouth.giaotiep.M356_16917_MES_NamNH_181224" TargetMode="External"/><Relationship Id="rId2242" Type="http://schemas.openxmlformats.org/officeDocument/2006/relationships/hyperlink" Target="https://patadovietnam.edu.vn/tienganhgiaotiep_hn/" TargetMode="External"/><Relationship Id="rId323" Type="http://schemas.openxmlformats.org/officeDocument/2006/relationships/hyperlink" Target="http://ldp.to/anhhot2_NHN" TargetMode="External"/><Relationship Id="rId2243" Type="http://schemas.openxmlformats.org/officeDocument/2006/relationships/hyperlink" Target="https://patadovietnam.edu.vn/tienganhgiaotiep_hn/?utm_source=Facebook&amp;utm_medium=MES&amp;utm_term=NEW_Taiwan_1840_none_181224&amp;utm_content=saletructiep_Taiwan.M356.1840.giaotiep_PTATT_LD153&amp;utm_campaign=Taiwan.giaotiep.M356_16917_MES_NamNH_181224" TargetMode="External"/><Relationship Id="rId322" Type="http://schemas.openxmlformats.org/officeDocument/2006/relationships/hyperlink" Target="https://patadovietnam.edu.vn/tienganhgiaotiep_hn/?utm_source=Facebook&amp;utm_medium=MES&amp;utm_term=NEW_Philippines_1838_none_150823&amp;utm_content=saletructiep_Philipines.anhhot2.1838.giaotiep_PTATT_LD153&amp;utm_campaign=Philippines.giaotiep.anhhot2_16917_MES_NamNH_150823" TargetMode="External"/><Relationship Id="rId2244" Type="http://schemas.openxmlformats.org/officeDocument/2006/relationships/hyperlink" Target="https://patadovietnam.edu.vn/tienganhgiaotiep_hn/" TargetMode="External"/><Relationship Id="rId321" Type="http://schemas.openxmlformats.org/officeDocument/2006/relationships/hyperlink" Target="https://patadovietnam.edu.vn/tienganhgiaotiep_hn/" TargetMode="External"/><Relationship Id="rId2245" Type="http://schemas.openxmlformats.org/officeDocument/2006/relationships/hyperlink" Target="https://patadovietnam.edu.vn/tienganhgiaotiep_hn/?utm_source=Facebook&amp;utm_medium=MES&amp;utm_term=NEW_Australia_1840_none_181224&amp;utm_content=saletructiep_Australia.M356.1840.giaotiep_PTATT_LD153&amp;utm_campaign=Australia.giaotiep.M356_16917_MES_NamNH_181224" TargetMode="External"/><Relationship Id="rId320" Type="http://schemas.openxmlformats.org/officeDocument/2006/relationships/hyperlink" Target="http://ldp.to/noteusa_HN" TargetMode="External"/><Relationship Id="rId2246" Type="http://schemas.openxmlformats.org/officeDocument/2006/relationships/hyperlink" Target="https://patadovietnam.edu.vn/tienganhgiaotiep_hn/" TargetMode="External"/><Relationship Id="rId2236" Type="http://schemas.openxmlformats.org/officeDocument/2006/relationships/hyperlink" Target="https://patadovietnam.edu.vn/gtusa1_nhn/?utm_source=Facebook&amp;utm_medium=MES&amp;utm_term=NEW_UnitedStates_2050_none_181224&amp;utm_content=saletructiep_UnitedStates.M356.1840.giaotiep_PTATT_LD161&amp;utm_campaign=UnitedStates.giaotiep.M356_16917_MES_NamNH_181224" TargetMode="External"/><Relationship Id="rId2237" Type="http://schemas.openxmlformats.org/officeDocument/2006/relationships/hyperlink" Target="https://s.pro.vn/7hDH" TargetMode="External"/><Relationship Id="rId2238" Type="http://schemas.openxmlformats.org/officeDocument/2006/relationships/hyperlink" Target="https://patadovietnam.edu.vn/gtjapan_nhn3" TargetMode="External"/><Relationship Id="rId2239" Type="http://schemas.openxmlformats.org/officeDocument/2006/relationships/hyperlink" Target="https://patadovietnam.edu.vn/gtjapan_nhn3/?utm_source=Facebook&amp;utm_medium=CVS&amp;utm_term=NEW_Japan_1840_none_181224&amp;utm_content=saletructiep_Japan.M356.1840.giaotiep_PTATT_LD164&amp;utm_campaign=Japan.giaotiep.M356_16917_CVS_NamNH_181224" TargetMode="External"/><Relationship Id="rId316" Type="http://schemas.openxmlformats.org/officeDocument/2006/relationships/hyperlink" Target="https://patadovietnam.edu.vn/gtjapan_nhn3/?utm_source=Facebook&amp;utm_medium=CVS&amp;utm_term=NEW_Japan_1838_none_130823&amp;utm_content=saletructiep_Japan.anhnote.1838.giaotiep_PTATT_LD164&amp;utm_campaign=Japan.giaotiep.anhnote_16917_CVS_NamNH_130823" TargetMode="External"/><Relationship Id="rId315" Type="http://schemas.openxmlformats.org/officeDocument/2006/relationships/hyperlink" Target="https://patadovietnam.edu.vn/gtjapan_nhn3" TargetMode="External"/><Relationship Id="rId314" Type="http://schemas.openxmlformats.org/officeDocument/2006/relationships/hyperlink" Target="http://ldp.to/notephilipin_HN" TargetMode="External"/><Relationship Id="rId313" Type="http://schemas.openxmlformats.org/officeDocument/2006/relationships/hyperlink" Target="https://patadovietnam.edu.vn/tienganhgiaotiep_hn/?utm_source=Facebook&amp;utm_medium=MES&amp;utm_term=NEW_Philippines_1838_none_120823&amp;utm_content=saletructiep_Philipines.anhnote.1838.giaotiep_PTATT_LD153&amp;utm_campaign=Philippines.giaotiep.anhnote_95360_MES_NamNH_120823" TargetMode="External"/><Relationship Id="rId319" Type="http://schemas.openxmlformats.org/officeDocument/2006/relationships/hyperlink" Target="https://patadovietnam.edu.vn/gtusa1_nhn/?utm_source=Facebook&amp;utm_medium=MES&amp;utm_term=NEW_UnitedStates_2045_none_130823&amp;utm_content=saletructiep_UnitedStates.anhnote.2045.giaotiep_PTATT_LD161&amp;utm_campaign=UnitedStates.giaotiep.anhnote_16917_MES_NamNH_130823" TargetMode="External"/><Relationship Id="rId318" Type="http://schemas.openxmlformats.org/officeDocument/2006/relationships/hyperlink" Target="https://patadovietnam.edu.vn/gtusa1_nhn" TargetMode="External"/><Relationship Id="rId317" Type="http://schemas.openxmlformats.org/officeDocument/2006/relationships/hyperlink" Target="http://ldp.ink/notejapan_Hn" TargetMode="External"/><Relationship Id="rId2230" Type="http://schemas.openxmlformats.org/officeDocument/2006/relationships/hyperlink" Target="https://patadovietnam.edu.vn/tienganhgiaotiep_hn/?utm_source=Facebook&amp;utm_medium=CVS&amp;utm_term=NEW_Europe_1840_none_181224&amp;utm_content=saletructiep_Europe.M355.1840.giaotiep_PTATT_LD153&amp;utm_campaign=Europe.giaotiep.M355_16917_CVS_NamNH_181224" TargetMode="External"/><Relationship Id="rId2231" Type="http://schemas.openxmlformats.org/officeDocument/2006/relationships/hyperlink" Target="https://patadovietnam.edu.vn/gtusa1_nhn" TargetMode="External"/><Relationship Id="rId312" Type="http://schemas.openxmlformats.org/officeDocument/2006/relationships/hyperlink" Target="https://patadovietnam.edu.vn/tienganhgiaotiep_hn/" TargetMode="External"/><Relationship Id="rId2232" Type="http://schemas.openxmlformats.org/officeDocument/2006/relationships/hyperlink" Target="https://patadovietnam.edu.vn/gtusa1_nhn/?utm_source=Facebook&amp;utm_medium=MES&amp;utm_term=NEW_UnitedStates_2050_none_181224&amp;utm_content=saletructiep_UnitedStates.M355.1840.giaotiep_PTATT_LD161&amp;utm_campaign=UnitedStates.giaotiep.M355_16917_MES_NamNH_181224" TargetMode="External"/><Relationship Id="rId311" Type="http://schemas.openxmlformats.org/officeDocument/2006/relationships/hyperlink" Target="http://ldp.ink/notetaiwan_HN" TargetMode="External"/><Relationship Id="rId2233" Type="http://schemas.openxmlformats.org/officeDocument/2006/relationships/hyperlink" Target="https://patadovietnam.edu.vn/tienganhgiaotiep_hn/" TargetMode="External"/><Relationship Id="rId310" Type="http://schemas.openxmlformats.org/officeDocument/2006/relationships/hyperlink" Target="https://patadovietnam.edu.vn/tienganhgiaotiep_hn/?utm_source=Facebook&amp;utm_medium=MES&amp;utm_term=NEW_Taiwan_1838_none_120823&amp;utm_content=saletructiep_Taiwan.anhnote.1838.giaotiep_PTATT_LD153&amp;utm_campaign=Taiwan.giaotiep.anhnote_95360_MES_NamNH_120823" TargetMode="External"/><Relationship Id="rId2234" Type="http://schemas.openxmlformats.org/officeDocument/2006/relationships/hyperlink" Target="https://patadovietnam.edu.vn/tienganhgiaotiep_hn/?utm_source=Facebook&amp;utm_medium=CVS&amp;utm_term=NEW_Europe_1840_none_181224&amp;utm_content=saletructiep_Europe.M356.1840.giaotiep_PTATT_LD153&amp;utm_campaign=Europe.giaotiep.M356_16917_CVS_NamNH_181224" TargetMode="External"/><Relationship Id="rId2235" Type="http://schemas.openxmlformats.org/officeDocument/2006/relationships/hyperlink" Target="https://patadovietnam.edu.vn/gtusa1_nhn" TargetMode="External"/><Relationship Id="rId297" Type="http://schemas.openxmlformats.org/officeDocument/2006/relationships/hyperlink" Target="https://patadovietnam.edu.vn/gtusa1_nhn" TargetMode="External"/><Relationship Id="rId296" Type="http://schemas.openxmlformats.org/officeDocument/2006/relationships/hyperlink" Target="http://ldp.to/CNHVjapan_HN" TargetMode="External"/><Relationship Id="rId295" Type="http://schemas.openxmlformats.org/officeDocument/2006/relationships/hyperlink" Target="https://patadovietnam.edu.vn/gtjapan_nhn3/?utm_source=Facebook&amp;utm_medium=CVS&amp;utm_term=NEW_Japan_1840_none_020823&amp;utm_content=saletructiep_Japan.videoCNHV.1840.giaotiep_PTATT_LD164&amp;utm_campaign=Japan.giaotiep.videoCNHV_16917_CVS_NamNH_020823" TargetMode="External"/><Relationship Id="rId294" Type="http://schemas.openxmlformats.org/officeDocument/2006/relationships/hyperlink" Target="https://patadovietnam.edu.vn/gtjapan_nhn3" TargetMode="External"/><Relationship Id="rId299" Type="http://schemas.openxmlformats.org/officeDocument/2006/relationships/hyperlink" Target="http://ldp.to/CNHVHK_HN" TargetMode="External"/><Relationship Id="rId298" Type="http://schemas.openxmlformats.org/officeDocument/2006/relationships/hyperlink" Target="https://patadovietnam.edu.vn/gtusa1_nhn/?utm_source=Facebook&amp;utm_medium=MES&amp;utm_term=NEW_UnitedStates_2047_none_020823&amp;utm_content=saletructiep_UnitedStates.videoCNHV.1840.giaotiep_PTATT_LD161&amp;utm_campaign=UnitedStates.giaotiep.videoCNHV_16917_MES_NamNH_020823" TargetMode="External"/><Relationship Id="rId271" Type="http://schemas.openxmlformats.org/officeDocument/2006/relationships/hyperlink" Target="https://patadovietnam.edu.vn/gtall_namnh/?utm_source=Facebook&amp;utm_medium=MES&amp;utm_term=NEW_KoreaSouth_1838_none_120723&amp;utm_content=saletructiep_Korea.anhhot.1838.giaotiep_PTATT_LD169&amp;utm_campaign=Korea.giaotiep.anhhot_95360_MES_NamNH_120723" TargetMode="External"/><Relationship Id="rId270" Type="http://schemas.openxmlformats.org/officeDocument/2006/relationships/hyperlink" Target="https://patadovietnam.edu.vn/gtall_namnh" TargetMode="External"/><Relationship Id="rId269" Type="http://schemas.openxmlformats.org/officeDocument/2006/relationships/hyperlink" Target="http://ldp.to/Philippineshot_hn" TargetMode="External"/><Relationship Id="rId264" Type="http://schemas.openxmlformats.org/officeDocument/2006/relationships/hyperlink" Target="https://patadovietnam.edu.vn/gtjapan_nhn3" TargetMode="External"/><Relationship Id="rId263" Type="http://schemas.openxmlformats.org/officeDocument/2006/relationships/hyperlink" Target="http://ldp.to/USAPatadott_hn" TargetMode="External"/><Relationship Id="rId262" Type="http://schemas.openxmlformats.org/officeDocument/2006/relationships/hyperlink" Target="https://patadovietnam.edu.vn/gtusa1_nhn/?utm_source=Facebook&amp;utm_medium=MES&amp;utm_term=NEW_UnitedStates_2045_none_100723&amp;utm_content=saletructiep_UnitedStates.Patadottam.giaotiep.2045_PTATT_LD161&amp;utm_campaign=UnitedStates.giaotiep.Patadottam_95360_MES_NamNH_100723" TargetMode="External"/><Relationship Id="rId261" Type="http://schemas.openxmlformats.org/officeDocument/2006/relationships/hyperlink" Target="https://patadovietnam.edu.vn/gtusa1_nhn" TargetMode="External"/><Relationship Id="rId268" Type="http://schemas.openxmlformats.org/officeDocument/2006/relationships/hyperlink" Target="https://patadovietnam.edu.vn/tienganhgiaotiep_hn/?utm_source=Facebook&amp;utm_medium=MES&amp;utm_term=NEW_Philippines_1838_none_120723&amp;utm_content=saletructiep_Philipines.anhhot.1838.giaotiep_PTATT_LD153&amp;utm_campaign=Philippines.giaotiep.anhhot_95360_MES_NamNH_120723" TargetMode="External"/><Relationship Id="rId267" Type="http://schemas.openxmlformats.org/officeDocument/2006/relationships/hyperlink" Target="https://patadovietnam.edu.vn/tienganhgiaotiep_hn/" TargetMode="External"/><Relationship Id="rId266" Type="http://schemas.openxmlformats.org/officeDocument/2006/relationships/hyperlink" Target="http://ldp.to/Japanhot_hn" TargetMode="External"/><Relationship Id="rId265" Type="http://schemas.openxmlformats.org/officeDocument/2006/relationships/hyperlink" Target="https://patadovietnam.edu.vn/gtjapan_nhn3/?utm_source=Facebook&amp;utm_medium=CVS&amp;utm_term=NEW_Japan_1838_none_110723&amp;utm_content=saletructiep_Japan.anhhot.1838.giaotiep_PTATT_LD164&amp;utm_campaign=Japan.giaotiep.anhhot_16917_CVS_NamNH_110723" TargetMode="External"/><Relationship Id="rId260" Type="http://schemas.openxmlformats.org/officeDocument/2006/relationships/hyperlink" Target="http://ldp.to/Kgtaiwan_hn" TargetMode="External"/><Relationship Id="rId259" Type="http://schemas.openxmlformats.org/officeDocument/2006/relationships/hyperlink" Target="https://patadovietnam.edu.vn/tienganhgiaotiep_hn/?utm_source=Facebook&amp;utm_medium=MES&amp;utm_term=NEW_Taiwan_1838_none_080723&amp;utm_content=saletructiep_Taiwan.anhphoto.1838.giaotiep_PTATT_LD153&amp;utm_campaign=Taiwan.giaotiep.anhphoto_95360_MES_NamNH_080723" TargetMode="External"/><Relationship Id="rId258" Type="http://schemas.openxmlformats.org/officeDocument/2006/relationships/hyperlink" Target="https://patadovietnam.edu.vn/tienganhgiaotiep_hn/" TargetMode="External"/><Relationship Id="rId2290" Type="http://schemas.openxmlformats.org/officeDocument/2006/relationships/hyperlink" Target="https://patadovietnam.edu.vn/tienganhgiaotiep_hn/" TargetMode="External"/><Relationship Id="rId2291" Type="http://schemas.openxmlformats.org/officeDocument/2006/relationships/hyperlink" Target="https://patadovietnam.edu.vn/tienganhgiaotiep_hn/?utm_source=Facebook&amp;utm_medium=MES&amp;utm_term=NEW_Australia_1840_none_110125&amp;utm_content=saletructiep_Australia.M368.1840.giaotiep_PTATT_LD153&amp;utm_campaign=Australia.giaotiep.M368_16917_MES_NamNH_110125" TargetMode="External"/><Relationship Id="rId2292" Type="http://schemas.openxmlformats.org/officeDocument/2006/relationships/hyperlink" Target="https://patadovietnam.edu.vn/tienganhgiaotiep_hn/" TargetMode="External"/><Relationship Id="rId2293" Type="http://schemas.openxmlformats.org/officeDocument/2006/relationships/hyperlink" Target="https://patadovietnam.edu.vn/tienganhgiaotiep_hn/?utm_source=Facebook&amp;utm_medium=CVS&amp;utm_term=NEW_Europe_1840_none_070225&amp;utm_content=saletructiep_Europe.M375.1840.giaotiep_PTATT_LD153&amp;utm_campaign=Europe.giaotiep.M375_16917_CVS_NamNH_070225" TargetMode="External"/><Relationship Id="rId253" Type="http://schemas.openxmlformats.org/officeDocument/2006/relationships/hyperlink" Target="https://patadovietnam.edu.vn/tienganhgiaotiep_hn/?utm_source=Facebook&amp;utm_medium=MES&amp;utm_term=NEW_UnitedStates_2045_none_080723&amp;utm_content=saletructiep_UnitedStates.anhdt.giaotiep.2045_PTATT_LD153&amp;utm_campaign=UnitedStates.giaotiep.anhdt_16917_MES_NamNH_080723" TargetMode="External"/><Relationship Id="rId2294" Type="http://schemas.openxmlformats.org/officeDocument/2006/relationships/hyperlink" Target="https://patadovietnam.edu.vn/gtjapan_nhn3" TargetMode="External"/><Relationship Id="rId252" Type="http://schemas.openxmlformats.org/officeDocument/2006/relationships/hyperlink" Target="https://patadovietnam.edu.vn/tienganhgiaotiep_hn/" TargetMode="External"/><Relationship Id="rId2295" Type="http://schemas.openxmlformats.org/officeDocument/2006/relationships/hyperlink" Target="https://patadovietnam.edu.vn/gtjapan_nhn3/?utm_source=Facebook&amp;utm_medium=CVS&amp;utm_term=NEW_Japan_1840_none_070225&amp;utm_content=saletructiep_Japan.M388.1840.giaotiep_PTATT_LD164&amp;utm_campaign=Japan.giaotiep.M388_16917_CVS_NamNH_070225" TargetMode="External"/><Relationship Id="rId251" Type="http://schemas.openxmlformats.org/officeDocument/2006/relationships/hyperlink" Target="http://ldp.to/Kgphilippines3_hn" TargetMode="External"/><Relationship Id="rId2296" Type="http://schemas.openxmlformats.org/officeDocument/2006/relationships/hyperlink" Target="https://patadovietnam.edu.vn/gtusa1_nhn" TargetMode="External"/><Relationship Id="rId250" Type="http://schemas.openxmlformats.org/officeDocument/2006/relationships/hyperlink" Target="https://patadovietnam.edu.vn/tienganhgiaotiep_hn/?utm_source=Facebook&amp;utm_medium=MES&amp;utm_term=NEW_Philippines_1838_none_050723&amp;utm_content=saletructiep_Philipines.qcpatado.1838.giaotiep_PTATT_LD153&amp;utm_campaign=Philippines.giaotiep.qcpatado_95360_MES_NamNH_050723" TargetMode="External"/><Relationship Id="rId2297" Type="http://schemas.openxmlformats.org/officeDocument/2006/relationships/hyperlink" Target="https://patadovietnam.edu.vn/gtusa1_nhn/?utm_source=Facebook&amp;utm_medium=MES&amp;utm_term=NEW_UnitedStates_2050_none_070225&amp;utm_content=saletructiep_UnitedStates.M388.1840.giaotiep_PTATT_LD161&amp;utm_campaign=UnitedStates.giaotiep.M388_16917_MES_NamNH_070225" TargetMode="External"/><Relationship Id="rId257" Type="http://schemas.openxmlformats.org/officeDocument/2006/relationships/hyperlink" Target="http://ldp.to/Kgaustralia_hn" TargetMode="External"/><Relationship Id="rId2298" Type="http://schemas.openxmlformats.org/officeDocument/2006/relationships/hyperlink" Target="https://patadovietnam.edu.vn/tienganhgiaotiep_hn/" TargetMode="External"/><Relationship Id="rId256" Type="http://schemas.openxmlformats.org/officeDocument/2006/relationships/hyperlink" Target="https://patadovietnam.edu.vn/tienganhgiaotiep_hn/?utm_source=Facebook&amp;utm_medium=MES&amp;utm_term=NEW_Australia_2045_none_080723&amp;utm_content=saletructiep_Australia.anhdt.2045.giaotiep_PTATT_LD153&amp;utm_campaign=Australia.giaotiep.anhdt_95360_MES_NamNH_080723" TargetMode="External"/><Relationship Id="rId2299" Type="http://schemas.openxmlformats.org/officeDocument/2006/relationships/hyperlink" Target="https://patadovietnam.edu.vn/tienganhgiaotiep_hn/?utm_source=Facebook&amp;utm_medium=MES&amp;utm_term=NEW_KoreaSouth_1840_none_070225&amp;utm_content=saletructiep_KoreaSouth.M375.1840.giaotiep_PTATT_LD153&amp;utm_campaign=KoreaSouth.giaotiep.M375_16917_MES_NamNH_070225" TargetMode="External"/><Relationship Id="rId255" Type="http://schemas.openxmlformats.org/officeDocument/2006/relationships/hyperlink" Target="https://patadovietnam.edu.vn/tienganhgiaotiep_hn/" TargetMode="External"/><Relationship Id="rId254" Type="http://schemas.openxmlformats.org/officeDocument/2006/relationships/hyperlink" Target="http://ldp.to/Kghoaky6_hn" TargetMode="External"/><Relationship Id="rId293" Type="http://schemas.openxmlformats.org/officeDocument/2006/relationships/hyperlink" Target="http://ldp.to/CNHV3_HN" TargetMode="External"/><Relationship Id="rId292" Type="http://schemas.openxmlformats.org/officeDocument/2006/relationships/hyperlink" Target="https://patadovietnam.edu.vn/gtall_namnh/?utm_source=Facebook&amp;utm_medium=MES&amp;utm_term=NEW_Korea_1840_none_020823&amp;utm_content=saletructiep_Korea.videoCNHV.1840.giaotiep_PTATT_LD169&amp;utm_campaign=Korea.giaotiep.videoCNHV_95360_MES_NamNH_020823" TargetMode="External"/><Relationship Id="rId291" Type="http://schemas.openxmlformats.org/officeDocument/2006/relationships/hyperlink" Target="https://patadovietnam.edu.vn/gtall_namnh" TargetMode="External"/><Relationship Id="rId290" Type="http://schemas.openxmlformats.org/officeDocument/2006/relationships/hyperlink" Target="http://ldp.to/CNHV2_HN" TargetMode="External"/><Relationship Id="rId286" Type="http://schemas.openxmlformats.org/officeDocument/2006/relationships/hyperlink" Target="https://patadovietnam.edu.vn/tienganhgiaotiep_hn/?utm_source=Facebook&amp;utm_medium=MES&amp;utm_term=NEW_Taiwan_1838_none_020823&amp;utm_content=saletructiep_Taiwan.videoCNHV.1838.giaotiep_PTATT_LD153&amp;utm_campaign=Taiwan.giaotiep.videoCNHV_95360_MES_NamNH_020823" TargetMode="External"/><Relationship Id="rId285" Type="http://schemas.openxmlformats.org/officeDocument/2006/relationships/hyperlink" Target="https://patadovietnam.edu.vn/tienganhgiaotiep_hn/" TargetMode="External"/><Relationship Id="rId284" Type="http://schemas.openxmlformats.org/officeDocument/2006/relationships/hyperlink" Target="http://ldp.to/flashsale_hn" TargetMode="External"/><Relationship Id="rId283" Type="http://schemas.openxmlformats.org/officeDocument/2006/relationships/hyperlink" Target="https://patadovietnam.edu.vn/tienganhgiaotiep_hn/?utm_source=Facebook&amp;utm_medium=MES&amp;utm_term=NEW_ALL_2045_none_250723&amp;utm_content=saletructiep_ALL.flashsale1.giaotiep.2045_PTATT_LD153&amp;utm_campaign=ALL.giaotiep.flashsale1_95360_MES_NamNH_250723" TargetMode="External"/><Relationship Id="rId289" Type="http://schemas.openxmlformats.org/officeDocument/2006/relationships/hyperlink" Target="https://patadovietnam.edu.vn/tienganhgiaotiep_hn/?utm_source=Facebook&amp;utm_medium=MES&amp;utm_term=NEW_Philippines_1838_none_020823&amp;utm_content=saletructiep_Philipines.videoCNHV.1838.giaotiep_PTATT_LD153&amp;utm_campaign=Philippines.giaotiep.videoCNHV_95360_MES_NamNH_020823" TargetMode="External"/><Relationship Id="rId288" Type="http://schemas.openxmlformats.org/officeDocument/2006/relationships/hyperlink" Target="https://patadovietnam.edu.vn/tienganhgiaotiep_hn/" TargetMode="External"/><Relationship Id="rId287" Type="http://schemas.openxmlformats.org/officeDocument/2006/relationships/hyperlink" Target="http://ldp.to/CNHV_HN" TargetMode="External"/><Relationship Id="rId282" Type="http://schemas.openxmlformats.org/officeDocument/2006/relationships/hyperlink" Target="https://patadovietnam.edu.vn/tienganhgiaotiep_hn/" TargetMode="External"/><Relationship Id="rId281" Type="http://schemas.openxmlformats.org/officeDocument/2006/relationships/hyperlink" Target="http://ldp.to/ctent_hn" TargetMode="External"/><Relationship Id="rId280" Type="http://schemas.openxmlformats.org/officeDocument/2006/relationships/hyperlink" Target="https://patadovietnam.edu.vn/gtusa1_nhn/?utm_source=Facebook&amp;utm_medium=MES&amp;utm_term=NEW_UnitedStates_2045_none_220723&amp;utm_content=saletructiep_UnitedStates.content.giaotiep.2045_PTATT_LD161&amp;utm_campaign=UnitedStates.giaotiep.content_16917_MES_NamNH_220723" TargetMode="External"/><Relationship Id="rId275" Type="http://schemas.openxmlformats.org/officeDocument/2006/relationships/hyperlink" Target="http://ldp.to/USAQT_hn" TargetMode="External"/><Relationship Id="rId274" Type="http://schemas.openxmlformats.org/officeDocument/2006/relationships/hyperlink" Target="https://patadovietnam.edu.vn/gtusa1_nhn/?utm_source=Facebook&amp;utm_medium=MES&amp;utm_term=NEW_UnitedStates_2045_none_140723&amp;utm_content=saletructiep_UnitedStates.QT.giaotiep.2045_PTATT_LD161&amp;utm_campaign=UnitedStates.giaotiep.QT_16917_MES_NamNH_140723" TargetMode="External"/><Relationship Id="rId273" Type="http://schemas.openxmlformats.org/officeDocument/2006/relationships/hyperlink" Target="https://patadovietnam.edu.vn/gtusa1_nhn" TargetMode="External"/><Relationship Id="rId272" Type="http://schemas.openxmlformats.org/officeDocument/2006/relationships/hyperlink" Target="http://ldp.to/Koreahot_hn" TargetMode="External"/><Relationship Id="rId279" Type="http://schemas.openxmlformats.org/officeDocument/2006/relationships/hyperlink" Target="https://patadovietnam.edu.vn/gtusa1_nhn" TargetMode="External"/><Relationship Id="rId278" Type="http://schemas.openxmlformats.org/officeDocument/2006/relationships/hyperlink" Target="http://ldp.to/ALL_hn" TargetMode="External"/><Relationship Id="rId277" Type="http://schemas.openxmlformats.org/officeDocument/2006/relationships/hyperlink" Target="https://patadovietnam.edu.vn/allcvs_hn/?utm_source=Facebook&amp;utm_medium=MES&amp;utm_term=NEW_ALL_2045_none_220723&amp;utm_content=saletructiep_ALL.anhlt3.giaotiep.2045_PTATT_LD170&amp;utm_campaign=ALL.giaotiep.anhlt3_95360_MES_NamNH_220723" TargetMode="External"/><Relationship Id="rId276" Type="http://schemas.openxmlformats.org/officeDocument/2006/relationships/hyperlink" Target="https://patadovietnam.edu.vn/allcvs_hn" TargetMode="External"/><Relationship Id="rId1851" Type="http://schemas.openxmlformats.org/officeDocument/2006/relationships/hyperlink" Target="https://patadovietnam.edu.vn/gtjapan_nhn3/?utm_source=Facebook&amp;utm_medium=CVS&amp;utm_term=NEW_Japan_1840_none_180724&amp;utm_content=saletructiep_Japan.M269.1840.giaotiep_PTATT_LD164&amp;utm_campaign=Japan.giaotiep.M269_16917_CVS_NamNH_180724" TargetMode="External"/><Relationship Id="rId1852" Type="http://schemas.openxmlformats.org/officeDocument/2006/relationships/hyperlink" Target="https://s.net.vn/M269-japan" TargetMode="External"/><Relationship Id="rId1853" Type="http://schemas.openxmlformats.org/officeDocument/2006/relationships/hyperlink" Target="https://patadovietnam.edu.vn/gtjapan_nhn3" TargetMode="External"/><Relationship Id="rId1854" Type="http://schemas.openxmlformats.org/officeDocument/2006/relationships/hyperlink" Target="https://patadovietnam.edu.vn/gtjapan_nhn3/?utm_source=Facebook&amp;utm_medium=CVS&amp;utm_term=NEW_Japan_1840_none_180724&amp;utm_content=saletructiep_Japan.M270.1840.giaotiep_PTATT_LD164&amp;utm_campaign=Japan.giaotiep.M270_16917_CVS_NamNH_180724" TargetMode="External"/><Relationship Id="rId1855" Type="http://schemas.openxmlformats.org/officeDocument/2006/relationships/hyperlink" Target="https://s.net.vn/M270-japan" TargetMode="External"/><Relationship Id="rId1856" Type="http://schemas.openxmlformats.org/officeDocument/2006/relationships/hyperlink" Target="https://patadovietnam.edu.vn/tienganhgiaotiep_hn/" TargetMode="External"/><Relationship Id="rId1857" Type="http://schemas.openxmlformats.org/officeDocument/2006/relationships/hyperlink" Target="https://patadovietnam.edu.vn/tienganhgiaotiep_hn/?utm_source=Facebook&amp;utm_medium=CVS&amp;utm_term=NEW_Europe_1840_none_180724&amp;utm_content=saletructiep_Europe.M270.1840.giaotiep_PTATT_LD153&amp;utm_campaign=Europe.giaotiep.M270_16917_CVS_NamNH_180724" TargetMode="External"/><Relationship Id="rId1858" Type="http://schemas.openxmlformats.org/officeDocument/2006/relationships/hyperlink" Target="https://s.net.vn/M270-europe" TargetMode="External"/><Relationship Id="rId1859" Type="http://schemas.openxmlformats.org/officeDocument/2006/relationships/hyperlink" Target="https://patadovietnam.edu.vn/tienganhgiaotiep_hn/" TargetMode="External"/><Relationship Id="rId1850" Type="http://schemas.openxmlformats.org/officeDocument/2006/relationships/hyperlink" Target="https://patadovietnam.edu.vn/gtjapan_nhn3" TargetMode="External"/><Relationship Id="rId1840" Type="http://schemas.openxmlformats.org/officeDocument/2006/relationships/hyperlink" Target="https://s.net.vn/M264-australia" TargetMode="External"/><Relationship Id="rId1841" Type="http://schemas.openxmlformats.org/officeDocument/2006/relationships/hyperlink" Target="https://patadovietnam.edu.vn/tienganhgiaotiep_hn/" TargetMode="External"/><Relationship Id="rId1842" Type="http://schemas.openxmlformats.org/officeDocument/2006/relationships/hyperlink" Target="https://patadovietnam.edu.vn/tienganhgiaotiep_hn/?utm_source=Facebook&amp;utm_medium=MES&amp;utm_term=NEW_Philippines_1840_none_100724&amp;utm_content=saletructiep_Philippines.M264.1840.giaotiep_PTATT_LD153&amp;utm_campaign=Philippines.giaotiep.M264_16917_MES_NamNH_100724" TargetMode="External"/><Relationship Id="rId1843" Type="http://schemas.openxmlformats.org/officeDocument/2006/relationships/hyperlink" Target="https://s.net.vn/M264-philippines" TargetMode="External"/><Relationship Id="rId1844" Type="http://schemas.openxmlformats.org/officeDocument/2006/relationships/hyperlink" Target="https://patadovietnam.edu.vn/gtusa1_nhn" TargetMode="External"/><Relationship Id="rId1845" Type="http://schemas.openxmlformats.org/officeDocument/2006/relationships/hyperlink" Target="https://patadovietnam.edu.vn/gtusa1_nhn/?utm_source=Facebook&amp;utm_medium=MES&amp;utm_term=NEW_UnitedStates_1840_none_180724&amp;utm_content=saletructiep_UnitedStates.M269.1840.giaotiep_PTATT_LD161&amp;utm_campaign=UnitedStates.giaotiep.M269_16917_MES_NamNH_180724" TargetMode="External"/><Relationship Id="rId1846" Type="http://schemas.openxmlformats.org/officeDocument/2006/relationships/hyperlink" Target="https://s.net.vn/M269-usa" TargetMode="External"/><Relationship Id="rId1847" Type="http://schemas.openxmlformats.org/officeDocument/2006/relationships/hyperlink" Target="https://patadovietnam.edu.vn/tienganhgiaotiep_hn/" TargetMode="External"/><Relationship Id="rId1848" Type="http://schemas.openxmlformats.org/officeDocument/2006/relationships/hyperlink" Target="https://patadovietnam.edu.vn/tienganhgiaotiep_hn/?utm_source=Facebook&amp;utm_medium=CVS&amp;utm_term=NEW_Europe_1840_none_180724&amp;utm_content=saletructiep_Europe.M269.1840.giaotiep_PTATT_LD153&amp;utm_campaign=Europe.giaotiep.M269_16917_CVS_NamNH_180724" TargetMode="External"/><Relationship Id="rId1849" Type="http://schemas.openxmlformats.org/officeDocument/2006/relationships/hyperlink" Target="https://tinyurl.com/M269eufb" TargetMode="External"/><Relationship Id="rId1873" Type="http://schemas.openxmlformats.org/officeDocument/2006/relationships/hyperlink" Target="https://s.net.vn/MB37-HN" TargetMode="External"/><Relationship Id="rId1874" Type="http://schemas.openxmlformats.org/officeDocument/2006/relationships/hyperlink" Target="https://patadovietnam.edu.vn/tienganhdoanhnghiep_hn" TargetMode="External"/><Relationship Id="rId1875" Type="http://schemas.openxmlformats.org/officeDocument/2006/relationships/hyperlink" Target="https://patadovietnam.edu.vn/tienganhdoanhnghiep_hn/?utm_source=Facebook&amp;utm_medium=MES&amp;utm_term=NEW_HCM_2035_none_180724&amp;utm_content=saletructiep_HCM.MB37.1840.giaotiep_PTATT_LD224&amp;utm_campaign=HCM.Congso.MB37_16917_MES_NamNH_180724" TargetMode="External"/><Relationship Id="rId1876" Type="http://schemas.openxmlformats.org/officeDocument/2006/relationships/hyperlink" Target="https://s.net.vn/MB37-HCM" TargetMode="External"/><Relationship Id="rId1877" Type="http://schemas.openxmlformats.org/officeDocument/2006/relationships/hyperlink" Target="https://patadovietnam.edu.vn/tienganhdoanhnghiep_hn" TargetMode="External"/><Relationship Id="rId1878" Type="http://schemas.openxmlformats.org/officeDocument/2006/relationships/hyperlink" Target="https://patadovietnam.edu.vn/tienganhdoanhnghiep_hn/?utm_source=Facebook&amp;utm_medium=MES&amp;utm_term=NEW_HN_2035_none_180724&amp;utm_content=saletructiep_HN.MB38.1840.giaotiep_PTATT_LD224&amp;utm_campaign=HN.Congso.MB38_16917_MES_NamNH_180724" TargetMode="External"/><Relationship Id="rId1879" Type="http://schemas.openxmlformats.org/officeDocument/2006/relationships/hyperlink" Target="https://s.net.vn/MB38-HN" TargetMode="External"/><Relationship Id="rId1870" Type="http://schemas.openxmlformats.org/officeDocument/2006/relationships/hyperlink" Target="https://s.net.vn/MB36-HCM" TargetMode="External"/><Relationship Id="rId1871" Type="http://schemas.openxmlformats.org/officeDocument/2006/relationships/hyperlink" Target="https://patadovietnam.edu.vn/tienganhdoanhnghiep_hn" TargetMode="External"/><Relationship Id="rId1872" Type="http://schemas.openxmlformats.org/officeDocument/2006/relationships/hyperlink" Target="https://patadovietnam.edu.vn/tienganhdoanhnghiep_hn/?utm_source=Facebook&amp;utm_medium=MES&amp;utm_term=NEW_HN_2035_none_180724&amp;utm_content=saletructiep_HN.MB37.1840.giaotiep_PTATT_LD224&amp;utm_campaign=HN.Congso.MB37_16917_MES_NamNH_180724" TargetMode="External"/><Relationship Id="rId1862" Type="http://schemas.openxmlformats.org/officeDocument/2006/relationships/hyperlink" Target="https://patadovietnam.edu.vn/tienganhgiaotiep_hn/" TargetMode="External"/><Relationship Id="rId1863" Type="http://schemas.openxmlformats.org/officeDocument/2006/relationships/hyperlink" Target="https://patadovietnam.edu.vn/tienganhgiaotiep_hn/?utm_source=Facebook&amp;utm_medium=MES&amp;utm_term=NEW_KoreaSouth_1840_none_180724&amp;utm_content=saletructiep_KoreaSouth.M269.1840.giaotiep_PTATT_LD153&amp;utm_campaign=KoreaSouth.giaotiep.M269_16917_MES_NamNH_180724" TargetMode="External"/><Relationship Id="rId1864" Type="http://schemas.openxmlformats.org/officeDocument/2006/relationships/hyperlink" Target="https://s.net.vn/M269-koreasouth" TargetMode="External"/><Relationship Id="rId1865" Type="http://schemas.openxmlformats.org/officeDocument/2006/relationships/hyperlink" Target="https://patadovietnam.edu.vn/tienganhdoanhnghiep_hn" TargetMode="External"/><Relationship Id="rId1866" Type="http://schemas.openxmlformats.org/officeDocument/2006/relationships/hyperlink" Target="https://patadovietnam.edu.vn/tienganhdoanhnghiep_hn/?utm_source=Facebook&amp;utm_medium=MES&amp;utm_term=NEW_HN_2035_none_180724&amp;utm_content=saletructiep_HN.MB36.1840.giaotiep_PTATT_LD224&amp;utm_campaign=HN.Congso.MB36_16917_MES_NamNH_180724" TargetMode="External"/><Relationship Id="rId1867" Type="http://schemas.openxmlformats.org/officeDocument/2006/relationships/hyperlink" Target="https://s.net.vn/MB36-HN" TargetMode="External"/><Relationship Id="rId1868" Type="http://schemas.openxmlformats.org/officeDocument/2006/relationships/hyperlink" Target="https://patadovietnam.edu.vn/tienganhdoanhnghiep_hn" TargetMode="External"/><Relationship Id="rId1869" Type="http://schemas.openxmlformats.org/officeDocument/2006/relationships/hyperlink" Target="https://patadovietnam.edu.vn/tienganhdoanhnghiep_hn/?utm_source=Facebook&amp;utm_medium=MES&amp;utm_term=NEW_HCM_2035_none_180724&amp;utm_content=saletructiep_HCM.MB36.1840.giaotiep_PTATT_LD224&amp;utm_campaign=HCM.Congso.MB36_16917_MES_NamNH_180724" TargetMode="External"/><Relationship Id="rId1860" Type="http://schemas.openxmlformats.org/officeDocument/2006/relationships/hyperlink" Target="https://patadovietnam.edu.vn/tienganhgiaotiep_hn/?utm_source=Facebook&amp;utm_medium=MES&amp;utm_term=NEW_Philippines_1840_none_180724&amp;utm_content=saletructiep_Philippines.M269.1840.giaotiep_PTATT_LD153&amp;utm_campaign=Philippines.giaotiep.M269_16917_MES_NamNH_180724" TargetMode="External"/><Relationship Id="rId1861" Type="http://schemas.openxmlformats.org/officeDocument/2006/relationships/hyperlink" Target="https://s.net.vn/M269-philippines" TargetMode="External"/><Relationship Id="rId1810" Type="http://schemas.openxmlformats.org/officeDocument/2006/relationships/hyperlink" Target="https://s.net.vn/M260-philippines" TargetMode="External"/><Relationship Id="rId1811" Type="http://schemas.openxmlformats.org/officeDocument/2006/relationships/hyperlink" Target="https://patadovietnam.edu.vn/tienganhgiaotiep_hn/" TargetMode="External"/><Relationship Id="rId1812" Type="http://schemas.openxmlformats.org/officeDocument/2006/relationships/hyperlink" Target="https://patadovietnam.edu.vn/tienganhgiaotiep_hn/?utm_source=Facebook&amp;utm_medium=MES&amp;utm_term=NEW_Philippines_1840_none_010724&amp;utm_content=saletructiep_Philippines.M260.1840.giaotiep_PTATT_LD153&amp;utm_campaign=Philippines.giaotiep.M261_16917_MES_NamNH_010724" TargetMode="External"/><Relationship Id="rId1813" Type="http://schemas.openxmlformats.org/officeDocument/2006/relationships/hyperlink" Target="https://s.net.vn/M261-philippines" TargetMode="External"/><Relationship Id="rId1814" Type="http://schemas.openxmlformats.org/officeDocument/2006/relationships/hyperlink" Target="https://patadovietnam.edu.vn/tienganhgiaotiep_hn/" TargetMode="External"/><Relationship Id="rId1815" Type="http://schemas.openxmlformats.org/officeDocument/2006/relationships/hyperlink" Target="https://patadovietnam.edu.vn/tienganhgiaotiep_hn/?utm_source=Facebook&amp;utm_medium=MES&amp;utm_term=NEW_Australia_1840_none_010724&amp;utm_content=saletructiep_Australia.M261.1840.giaotiep_PTATT_LD153&amp;utm_campaign=Australia.giaotiep.M261_16917_MES_NamNH_010724" TargetMode="External"/><Relationship Id="rId1816" Type="http://schemas.openxmlformats.org/officeDocument/2006/relationships/hyperlink" Target="https://s.net.vn/M261-uc" TargetMode="External"/><Relationship Id="rId1817" Type="http://schemas.openxmlformats.org/officeDocument/2006/relationships/hyperlink" Target="https://patadovietnam.edu.vn/tienganhgiaotiep_hn/" TargetMode="External"/><Relationship Id="rId1818" Type="http://schemas.openxmlformats.org/officeDocument/2006/relationships/hyperlink" Target="https://patadovietnam.edu.vn/tienganhgiaotiep_hn/?utm_source=Facebook&amp;utm_medium=MES&amp;utm_term=NEW_Australia_1840_none_010724&amp;utm_content=saletructiep_Australia.M260.1840.giaotiep_PTATT_LD153&amp;utm_campaign=Australia.giaotiep.M260_16917_MES_NamNH_010724" TargetMode="External"/><Relationship Id="rId1819" Type="http://schemas.openxmlformats.org/officeDocument/2006/relationships/hyperlink" Target="https://s.net.vn/M260-australia" TargetMode="External"/><Relationship Id="rId1800" Type="http://schemas.openxmlformats.org/officeDocument/2006/relationships/hyperlink" Target="https://patadovietnam.edu.vn/tienganhgiaotiep_hn/?utm_source=Facebook&amp;utm_medium=MES&amp;utm_term=NEW_Taiwan_1840_none_010724&amp;utm_content=saletructiep_Taiwan.M261.1840.giaotiep_PTATT_LD153&amp;utm_campaign=Taiwan.giaotiep.M261_16917_MES_NamNH_010724" TargetMode="External"/><Relationship Id="rId1801" Type="http://schemas.openxmlformats.org/officeDocument/2006/relationships/hyperlink" Target="https://s.net.vn/M261-taiwan" TargetMode="External"/><Relationship Id="rId1802" Type="http://schemas.openxmlformats.org/officeDocument/2006/relationships/hyperlink" Target="https://patadovietnam.edu.vn/tienganhgiaotiep_hn/" TargetMode="External"/><Relationship Id="rId1803" Type="http://schemas.openxmlformats.org/officeDocument/2006/relationships/hyperlink" Target="https://patadovietnam.edu.vn/tienganhgiaotiep_hn/?utm_source=Facebook&amp;utm_medium=MES&amp;utm_term=NEW_KoreaSouth_1840_none_010724&amp;utm_content=saletructiep_KoreaSouth.M260.1840.giaotiep_PTATT_LD153&amp;utm_campaign=KoreaSouth.giaotiep.M260_16917_MES_NamNH_010724" TargetMode="External"/><Relationship Id="rId1804" Type="http://schemas.openxmlformats.org/officeDocument/2006/relationships/hyperlink" Target="https://s.net.vn/M260-korea" TargetMode="External"/><Relationship Id="rId1805" Type="http://schemas.openxmlformats.org/officeDocument/2006/relationships/hyperlink" Target="https://patadovietnam.edu.vn/tienganhgiaotiep_hn/" TargetMode="External"/><Relationship Id="rId1806" Type="http://schemas.openxmlformats.org/officeDocument/2006/relationships/hyperlink" Target="https://patadovietnam.edu.vn/tienganhgiaotiep_hn/?utm_source=Facebook&amp;utm_medium=MES&amp;utm_term=NEW_KoreaSouth_1840_none_010724&amp;utm_content=saletructiep_KoreaSouth.M260.1840.giaotiep_PTATT_LD153&amp;utm_campaign=KoreaSouth.giaotiep.M261_16917_MES_NamNH_010724" TargetMode="External"/><Relationship Id="rId1807" Type="http://schemas.openxmlformats.org/officeDocument/2006/relationships/hyperlink" Target="https://s.net.vn/M261-koreasouth" TargetMode="External"/><Relationship Id="rId1808" Type="http://schemas.openxmlformats.org/officeDocument/2006/relationships/hyperlink" Target="https://patadovietnam.edu.vn/tienganhgiaotiep_hn/" TargetMode="External"/><Relationship Id="rId1809" Type="http://schemas.openxmlformats.org/officeDocument/2006/relationships/hyperlink" Target="https://patadovietnam.edu.vn/tienganhgiaotiep_hn/?utm_source=Facebook&amp;utm_medium=MES&amp;utm_term=NEW_Philippines_1840_none_010724&amp;utm_content=saletructiep_Philippines.M260.1840.giaotiep_PTATT_LD153&amp;utm_campaign=Philippines.giaotiep.M260_16917_MES_NamNH_010724" TargetMode="External"/><Relationship Id="rId1830" Type="http://schemas.openxmlformats.org/officeDocument/2006/relationships/hyperlink" Target="https://patadovietnam.edu.vn/tienganhgiaotiep_hn/?utm_source=Facebook&amp;utm_medium=CVS&amp;utm_term=NEW_Japan_1840_none_100724&amp;utm_content=saletructiep_Japan.M264.1840.giaotiep_PTATT_LD153&amp;utm_campaign=Japan.giaotiep.M264_16917_CVS_NamNH_100724" TargetMode="External"/><Relationship Id="rId1831" Type="http://schemas.openxmlformats.org/officeDocument/2006/relationships/hyperlink" Target="https://s.net.vn/M264-japan" TargetMode="External"/><Relationship Id="rId1832" Type="http://schemas.openxmlformats.org/officeDocument/2006/relationships/hyperlink" Target="https://patadovietnam.edu.vn/tienganhgiaotiep_hn/" TargetMode="External"/><Relationship Id="rId1833" Type="http://schemas.openxmlformats.org/officeDocument/2006/relationships/hyperlink" Target="https://patadovietnam.edu.vn/tienganhgiaotiep_hn/?utm_source=Facebook&amp;utm_medium=CVS&amp;utm_term=NEW_Europe_1840_none_100724&amp;utm_content=saletructiep_Europe.M264.1840.giaotiep_PTATT_LD153&amp;utm_campaign=Europe.giaotiep.M264_16917_CVS_NamNH_100724" TargetMode="External"/><Relationship Id="rId1834" Type="http://schemas.openxmlformats.org/officeDocument/2006/relationships/hyperlink" Target="https://s.net.vn/M264-europe" TargetMode="External"/><Relationship Id="rId1835" Type="http://schemas.openxmlformats.org/officeDocument/2006/relationships/hyperlink" Target="https://patadovietnam.edu.vn/tienganhgiaotiep_hn/" TargetMode="External"/><Relationship Id="rId1836" Type="http://schemas.openxmlformats.org/officeDocument/2006/relationships/hyperlink" Target="https://patadovietnam.edu.vn/tienganhgiaotiep_hn/?utm_source=Facebook&amp;utm_medium=MES&amp;utm_term=NEW_KoreaSouth_1840_none_100724&amp;utm_content=saletructiep_KoreaSouth.M264.1840.giaotiep_PTATT_LD153&amp;utm_campaign=KoreaSouth.giaotiep.M264_16917_MES_NamNH_100724" TargetMode="External"/><Relationship Id="rId1837" Type="http://schemas.openxmlformats.org/officeDocument/2006/relationships/hyperlink" Target="https://s.net.vn/M264-korea" TargetMode="External"/><Relationship Id="rId1838" Type="http://schemas.openxmlformats.org/officeDocument/2006/relationships/hyperlink" Target="https://patadovietnam.edu.vn/tienganhgiaotiep_hn/" TargetMode="External"/><Relationship Id="rId1839" Type="http://schemas.openxmlformats.org/officeDocument/2006/relationships/hyperlink" Target="https://patadovietnam.edu.vn/tienganhgiaotiep_hn/?utm_source=Facebook&amp;utm_medium=MES&amp;utm_term=NEW_Australia_1840_none_100724&amp;utm_content=saletructiep_Australia.M264.1840.giaotiep_PTATT_LD153&amp;utm_campaign=Australia.giaotiep.M264_16917_MES_NamNH_100724" TargetMode="External"/><Relationship Id="rId1820" Type="http://schemas.openxmlformats.org/officeDocument/2006/relationships/hyperlink" Target="https://patadovietnam.edu.vn/tienganhdoanhnghiep_hn" TargetMode="External"/><Relationship Id="rId1821" Type="http://schemas.openxmlformats.org/officeDocument/2006/relationships/hyperlink" Target="https://patadovietnam.edu.vn/tienganhdoanhnghiep_hn/?utm_source=Facebook&amp;utm_medium=MES&amp;utm_term=NEW_Vietnam_2035_none_030724&amp;utm_content=saletructiep_Vietnam.MB24.1840.giaotiep_PTATT_LD224&amp;utm_campaign=Vietnam.Congso.MB24_16917_MES_NamNH_030724" TargetMode="External"/><Relationship Id="rId1822" Type="http://schemas.openxmlformats.org/officeDocument/2006/relationships/hyperlink" Target="https://s.net.vn/MB24-vietnam" TargetMode="External"/><Relationship Id="rId1823" Type="http://schemas.openxmlformats.org/officeDocument/2006/relationships/hyperlink" Target="https://patadovietnam.edu.vn/tienganhdoanhnghiep_hn" TargetMode="External"/><Relationship Id="rId1824" Type="http://schemas.openxmlformats.org/officeDocument/2006/relationships/hyperlink" Target="https://patadovietnam.edu.vn/tienganhdoanhnghiep_hn/?utm_source=Facebook&amp;utm_medium=MES&amp;utm_term=NEW_Vietnam_2035_none_030724&amp;utm_content=saletructiep_Vietnam.MB23.1840.giaotiep_PTATT_LD224&amp;utm_campaign=Vietnam.Congso.MB23_16917_MES_NamNH_030724" TargetMode="External"/><Relationship Id="rId1825" Type="http://schemas.openxmlformats.org/officeDocument/2006/relationships/hyperlink" Target="https://s.net.vn/MB23-vietnam" TargetMode="External"/><Relationship Id="rId1826" Type="http://schemas.openxmlformats.org/officeDocument/2006/relationships/hyperlink" Target="https://patadovietnam.edu.vn/tienganhgiaotiep_hn/" TargetMode="External"/><Relationship Id="rId1827" Type="http://schemas.openxmlformats.org/officeDocument/2006/relationships/hyperlink" Target="https://patadovietnam.edu.vn/tienganhgiaotiep_hn/?utm_source=Facebook&amp;utm_medium=MES&amp;utm_term=NEW_UnitedStates_1840_none_100724&amp;utm_content=saletructiep_UnitedStates.M264.1840.giaotiep_PTATT_LD153&amp;utm_campaign=UnitedStates.giaotiep.M264_16917_MES_NamNH_100724" TargetMode="External"/><Relationship Id="rId1828" Type="http://schemas.openxmlformats.org/officeDocument/2006/relationships/hyperlink" Target="https://s.net.vn/M264-usa" TargetMode="External"/><Relationship Id="rId1829" Type="http://schemas.openxmlformats.org/officeDocument/2006/relationships/hyperlink" Target="https://patadovietnam.edu.vn/tienganhgiaotiep_hn/" TargetMode="External"/><Relationship Id="rId2302" Type="http://schemas.openxmlformats.org/officeDocument/2006/relationships/hyperlink" Target="https://patadovietnam.edu.vn/gtjapan_nhn3" TargetMode="External"/><Relationship Id="rId2303" Type="http://schemas.openxmlformats.org/officeDocument/2006/relationships/hyperlink" Target="https://patadovietnam.edu.vn/gtjapan_nhn3/?utm_source=Facebook&amp;utm_medium=CVS&amp;utm_term=NEW_Japan_1840_none_070225&amp;utm_content=saletructiep_Japan.M375.1840.giaotiep_PTATT_LD164&amp;utm_campaign=Japan.giaotiep.M375_16917_CVS_NamNH_070225" TargetMode="External"/><Relationship Id="rId2304" Type="http://schemas.openxmlformats.org/officeDocument/2006/relationships/hyperlink" Target="https://patadovietnam.edu.vn/gtusa1_nhn" TargetMode="External"/><Relationship Id="rId2305" Type="http://schemas.openxmlformats.org/officeDocument/2006/relationships/hyperlink" Target="https://patadovietnam.edu.vn/gtusa1_nhn/?utm_source=Facebook&amp;utm_medium=MES&amp;utm_term=NEW_UnitedStates_2050_none_150225&amp;utm_content=saletructiep_UnitedStates.M390.1840.giaotiep_PTATT_LD161&amp;utm_campaign=UnitedStates.giaotiep.M390_16917_MES_NamNH_150225" TargetMode="External"/><Relationship Id="rId2306" Type="http://schemas.openxmlformats.org/officeDocument/2006/relationships/hyperlink" Target="https://patadovietnam.edu.vn/gtjapan_nhn3" TargetMode="External"/><Relationship Id="rId2307" Type="http://schemas.openxmlformats.org/officeDocument/2006/relationships/hyperlink" Target="https://patadovietnam.edu.vn/gtjapan_nhn3/?utm_source=Facebook&amp;utm_medium=CVS&amp;utm_term=NEW_Japan_1840_none_150225&amp;utm_content=saletructiep_Japan.M390.1840.giaotiep_PTATT_LD164&amp;utm_campaign=Japan.giaotiep.M390_16917_CVS_NamNH_150225" TargetMode="External"/><Relationship Id="rId2308" Type="http://schemas.openxmlformats.org/officeDocument/2006/relationships/hyperlink" Target="https://patadovietnam.edu.vn/gtjapan_nhn3" TargetMode="External"/><Relationship Id="rId2309" Type="http://schemas.openxmlformats.org/officeDocument/2006/relationships/hyperlink" Target="https://patadovietnam.edu.vn/gtjapan_nhn3/?utm_source=Facebook&amp;utm_medium=CVS&amp;utm_term=NEW_Japan_1840_none_150225&amp;utm_content=saletructiep_Japan.M396mot.1840.giaotiep_PTATT_LD164&amp;utm_campaign=Japan.giaotiep.M396mot_16917_CVS_NamNH_150225" TargetMode="External"/><Relationship Id="rId2300" Type="http://schemas.openxmlformats.org/officeDocument/2006/relationships/hyperlink" Target="https://patadovietnam.edu.vn/tienganhgiaotiep_hn/" TargetMode="External"/><Relationship Id="rId2301" Type="http://schemas.openxmlformats.org/officeDocument/2006/relationships/hyperlink" Target="https://patadovietnam.edu.vn/tienganhgiaotiep_hn/?utm_source=Facebook&amp;utm_medium=CVS&amp;utm_term=NEW_Europe_1840_none_070225&amp;utm_content=saletructiep_Europe.M388.1840.giaotiep_PTATT_LD153&amp;utm_campaign=Europe.giaotiep.M388_16917_CVS_NamNH_070225" TargetMode="External"/><Relationship Id="rId2324" Type="http://schemas.openxmlformats.org/officeDocument/2006/relationships/hyperlink" Target="https://patadovietnam.edu.vn/tienganhgiaotiep_hn/" TargetMode="External"/><Relationship Id="rId2325" Type="http://schemas.openxmlformats.org/officeDocument/2006/relationships/hyperlink" Target="https://patadovietnam.edu.vn/tienganhgiaotiep_hn/?utm_source=Facebook&amp;utm_medium=LAL&amp;utm_term=NEW_Europe_1840_none_150225&amp;utm_content=saletructiep_Europe.qcpatado1.1840.LAL_PTATT_LD153&amp;utm_campaign=Europe.LAL.qcpatado1_16917_CVS_NamNH_150225" TargetMode="External"/><Relationship Id="rId2326" Type="http://schemas.openxmlformats.org/officeDocument/2006/relationships/hyperlink" Target="https://patadovietnam.edu.vn/gtjapan_nhn3" TargetMode="External"/><Relationship Id="rId2327" Type="http://schemas.openxmlformats.org/officeDocument/2006/relationships/hyperlink" Target="https://patadovietnam.edu.vn/gtjapan_nhn3/?utm_source=Facebook&amp;utm_medium=LAL&amp;utm_term=NEW_Japan_1840_none_150225&amp;utm_content=saletructiep_Japan.qcpatado1.1840.LAL_PTATT_LD164&amp;utm_campaign=Japan.LAL.qcpatado1_16917_CVS_NamNH_150225" TargetMode="External"/><Relationship Id="rId2328" Type="http://schemas.openxmlformats.org/officeDocument/2006/relationships/hyperlink" Target="https://patadovietnam.edu.vn/tienganhgiaotiep_hn/" TargetMode="External"/><Relationship Id="rId2329" Type="http://schemas.openxmlformats.org/officeDocument/2006/relationships/hyperlink" Target="https://patadovietnam.edu.vn/tienganhgiaotiep_hn/?utm_source=Facebook&amp;utm_medium=TLS&amp;utm_term=NEW_ALL_1840_none_240225&amp;utm_content=saletructiep_ALL.OSAKA.1840.TLS_PTATT_LD153&amp;utm_campaign=ALL.TLS.OSAKA_16917_CVS_NamNH_240225" TargetMode="External"/><Relationship Id="rId2320" Type="http://schemas.openxmlformats.org/officeDocument/2006/relationships/hyperlink" Target="https://patadovietnam.edu.vn/tienganhgiaotiep_hn/" TargetMode="External"/><Relationship Id="rId2321" Type="http://schemas.openxmlformats.org/officeDocument/2006/relationships/hyperlink" Target="https://patadovietnam.edu.vn/tienganhgiaotiep_hn/?utm_source=Facebook&amp;utm_medium=CVS&amp;utm_term=NEW_Europe_1840_none_150225&amp;utm_content=saletructiep_Europe.M396bon.1840.giaotiep_PTATT_LD153&amp;utm_campaign=Europe.giaotiep.M396bon_16917_CVS_NamNH_150225" TargetMode="External"/><Relationship Id="rId2322" Type="http://schemas.openxmlformats.org/officeDocument/2006/relationships/hyperlink" Target="https://patadovietnam.edu.vn/tienganhgiaotiep_hn/" TargetMode="External"/><Relationship Id="rId2323" Type="http://schemas.openxmlformats.org/officeDocument/2006/relationships/hyperlink" Target="https://patadovietnam.edu.vn/tienganhgiaotiep_hn/?utm_source=Facebook&amp;utm_medium=RMK&amp;utm_term=NEW_Europe_1840_none_150225&amp;utm_content=saletructiep_Europe.M269.1840.RMK_PTATT_LD153&amp;utm_campaign=Europe.RMK.M269_16917_CVS_NamNH_150225" TargetMode="External"/><Relationship Id="rId2313" Type="http://schemas.openxmlformats.org/officeDocument/2006/relationships/hyperlink" Target="https://patadovietnam.edu.vn/gtjapan_nhn3" TargetMode="External"/><Relationship Id="rId2314" Type="http://schemas.openxmlformats.org/officeDocument/2006/relationships/hyperlink" Target="https://patadovietnam.edu.vn/gtjapan_nhn3/?utm_source=Facebook&amp;utm_medium=CVS&amp;utm_term=NEW_Japan_1840_none_150225&amp;utm_content=saletructiep_Japan.M395.1840.giaotiep_PTATT_LD164&amp;utm_campaign=Japan.giaotiep.M395_16917_CVS_NamNH_150225" TargetMode="External"/><Relationship Id="rId2315" Type="http://schemas.openxmlformats.org/officeDocument/2006/relationships/hyperlink" Target="https://patadovietnam.edu.vn/tienganhgiaotiep_hn/" TargetMode="External"/><Relationship Id="rId2316" Type="http://schemas.openxmlformats.org/officeDocument/2006/relationships/hyperlink" Target="https://patadovietnam.edu.vn/tienganhgiaotiep_hn/?utm_source=Facebook&amp;utm_medium=CVS&amp;utm_term=NEW_Europe_1840_none_150225&amp;utm_content=saletructiep_Europe.M390.1840.giaotiep_PTATT_LD153&amp;utm_campaign=Europe.giaotiep.M390_16917_CVS_NamNH_150225" TargetMode="External"/><Relationship Id="rId2317" Type="http://schemas.openxmlformats.org/officeDocument/2006/relationships/hyperlink" Target="https://patadovietnam.edu.vn/tienganhgiaotiep_hn/" TargetMode="External"/><Relationship Id="rId2318" Type="http://schemas.openxmlformats.org/officeDocument/2006/relationships/hyperlink" Target="https://patadovietnam.edu.vn/tienganhgiaotiep_hn/?utm_source=Facebook&amp;utm_medium=CVS&amp;utm_term=NEW_Europe_1840_none_150225&amp;utm_content=saletructiep_Europe.M396ba.1840.giaotiep_PTATT_LD153&amp;utm_campaign=Europe.giaotiep.M396ba_16917_CVS_NamNH_150225" TargetMode="External"/><Relationship Id="rId2319" Type="http://schemas.openxmlformats.org/officeDocument/2006/relationships/hyperlink" Target="https://tinyurl.com/M396baEU" TargetMode="External"/><Relationship Id="rId2310" Type="http://schemas.openxmlformats.org/officeDocument/2006/relationships/hyperlink" Target="https://tinyurl.com/M396motjp" TargetMode="External"/><Relationship Id="rId2311" Type="http://schemas.openxmlformats.org/officeDocument/2006/relationships/hyperlink" Target="https://patadovietnam.edu.vn/gtjapan_nhn3" TargetMode="External"/><Relationship Id="rId2312" Type="http://schemas.openxmlformats.org/officeDocument/2006/relationships/hyperlink" Target="https://patadovietnam.edu.vn/gtjapan_nhn3/?utm_source=Facebook&amp;utm_medium=CVS&amp;utm_term=NEW_Japan_1840_none_150225&amp;utm_content=saletructiep_Japan.M396hai.1840.giaotiep_PTATT_LD164&amp;utm_campaign=Japan.giaotiep.M396hai_16917_CVS_NamNH_150225" TargetMode="External"/><Relationship Id="rId1895" Type="http://schemas.openxmlformats.org/officeDocument/2006/relationships/hyperlink" Target="https://patadovietnam.edu.vn/gtusa1_nhn" TargetMode="External"/><Relationship Id="rId1896" Type="http://schemas.openxmlformats.org/officeDocument/2006/relationships/hyperlink" Target="https://patadovietnam.edu.vn/gtusa1_nhn/?utm_source=Facebook&amp;utm_medium=MES&amp;utm_term=NEW_UnitedStates_1840_none_110824&amp;utm_content=saletructiep_UnitedStates.M272.1840.giaotiep_PTATT_LD161&amp;utm_campaign=UnitedStates.giaotiep.M272_16917_MES_NamNH_110824" TargetMode="External"/><Relationship Id="rId1897" Type="http://schemas.openxmlformats.org/officeDocument/2006/relationships/hyperlink" Target="https://s.net.vn/M272-USA" TargetMode="External"/><Relationship Id="rId1898" Type="http://schemas.openxmlformats.org/officeDocument/2006/relationships/hyperlink" Target="https://patadovietnam.edu.vn/gtusa1_nhn" TargetMode="External"/><Relationship Id="rId1899" Type="http://schemas.openxmlformats.org/officeDocument/2006/relationships/hyperlink" Target="https://patadovietnam.edu.vn/gtusa1_nhn/?utm_source=Facebook&amp;utm_medium=MES&amp;utm_term=NEW_UnitedStates_1840_none_110824&amp;utm_content=saletructiep_UnitedStates.M271.1840.giaotiep_PTATT_LD161&amp;utm_campaign=UnitedStates.giaotiep.M271_16917_MES_NamNH_110824" TargetMode="External"/><Relationship Id="rId1890" Type="http://schemas.openxmlformats.org/officeDocument/2006/relationships/hyperlink" Target="https://patadovietnam.edu.vn/vqmm_be/?utm_source=Facebook&amp;utm_medium=CVS&amp;utm_term=NEW_Vietnam_2025_none_250724&amp;utm_content=saletructiep_Vietnam.MB43.1840.Congso_PTATT_LD230&amp;utm_campaign=Vietnam.Congso.MB43_16917_CVS_NamNH_250724" TargetMode="External"/><Relationship Id="rId1891" Type="http://schemas.openxmlformats.org/officeDocument/2006/relationships/hyperlink" Target="https://s.net.vn/VQMM-vietnam" TargetMode="External"/><Relationship Id="rId1892" Type="http://schemas.openxmlformats.org/officeDocument/2006/relationships/hyperlink" Target="https://patadovietnam.edu.vn/vqmm_be/" TargetMode="External"/><Relationship Id="rId1893" Type="http://schemas.openxmlformats.org/officeDocument/2006/relationships/hyperlink" Target="https://patadovietnam.edu.vn/vqmm_be/?utm_source=Facebook&amp;utm_medium=CVS&amp;utm_term=NEW_Vietnam_2532_none_260724&amp;utm_content=saletructiep_Vietnam.MB43.1840.Congso_PTATT_LD230&amp;utm_campaign=Vietnam.Congso.MB43_16917_CVS_NamNH_260724" TargetMode="External"/><Relationship Id="rId1894" Type="http://schemas.openxmlformats.org/officeDocument/2006/relationships/hyperlink" Target="https://s.net.vn/VQMM1-vietnam" TargetMode="External"/><Relationship Id="rId1884" Type="http://schemas.openxmlformats.org/officeDocument/2006/relationships/hyperlink" Target="https://patadovietnam.edu.vn/tienganhdoanhnghiep_hn/?utm_source=Facebook&amp;utm_medium=MES&amp;utm_term=NEW_HN_2535_none_230724&amp;utm_content=saletructiep_HN.MB43.1840.giaotiep_PTATT_LD224&amp;utm_campaign=HN.Congso.MB43_16917_MES_NamNH_230724" TargetMode="External"/><Relationship Id="rId1885" Type="http://schemas.openxmlformats.org/officeDocument/2006/relationships/hyperlink" Target="https://s.net.vn/MB43-HN" TargetMode="External"/><Relationship Id="rId1886" Type="http://schemas.openxmlformats.org/officeDocument/2006/relationships/hyperlink" Target="https://patadovietnam.edu.vn/tienganhdoanhnghiep_hn" TargetMode="External"/><Relationship Id="rId1887" Type="http://schemas.openxmlformats.org/officeDocument/2006/relationships/hyperlink" Target="https://patadovietnam.edu.vn/tienganhdoanhnghiep_hn/?utm_source=Facebook&amp;utm_medium=MES&amp;utm_term=NEW_HCM_2535_none_230724&amp;utm_content=saletructiep_HCM.MB43.1840.giaotiep_PTATT_LD224&amp;utm_campaign=HCM.Congso.MB43_16917_MES_NamNH_230724" TargetMode="External"/><Relationship Id="rId1888" Type="http://schemas.openxmlformats.org/officeDocument/2006/relationships/hyperlink" Target="https://s.net.vn/MB43-HCM" TargetMode="External"/><Relationship Id="rId1889" Type="http://schemas.openxmlformats.org/officeDocument/2006/relationships/hyperlink" Target="https://patadovietnam.edu.vn/vqmm_be/" TargetMode="External"/><Relationship Id="rId1880" Type="http://schemas.openxmlformats.org/officeDocument/2006/relationships/hyperlink" Target="https://patadovietnam.edu.vn/tienganhdoanhnghiep_hn" TargetMode="External"/><Relationship Id="rId1881" Type="http://schemas.openxmlformats.org/officeDocument/2006/relationships/hyperlink" Target="https://patadovietnam.edu.vn/tienganhdoanhnghiep_hn/?utm_source=Facebook&amp;utm_medium=MES&amp;utm_term=NEW_HCM_2035_none_180724&amp;utm_content=saletructiep_HCM.MB38.1840.giaotiep_PTATT_LD224&amp;utm_campaign=HCM.Congso.MB38_16917_MES_NamNH_180724" TargetMode="External"/><Relationship Id="rId1882" Type="http://schemas.openxmlformats.org/officeDocument/2006/relationships/hyperlink" Target="https://s.net.vn/MB38-HCM" TargetMode="External"/><Relationship Id="rId1883" Type="http://schemas.openxmlformats.org/officeDocument/2006/relationships/hyperlink" Target="https://patadovietnam.edu.vn/tienganhdoanhnghiep_hn" TargetMode="External"/><Relationship Id="rId1059" Type="http://schemas.openxmlformats.org/officeDocument/2006/relationships/hyperlink" Target="https://patadovietnam.edu.vn/gtjapan_nhn3" TargetMode="External"/><Relationship Id="rId228" Type="http://schemas.openxmlformats.org/officeDocument/2006/relationships/hyperlink" Target="https://patadovietnam.edu.vn/gtusa1_nhn" TargetMode="External"/><Relationship Id="rId227" Type="http://schemas.openxmlformats.org/officeDocument/2006/relationships/hyperlink" Target="http://ldp.to/Kgphilippines_hn" TargetMode="External"/><Relationship Id="rId226" Type="http://schemas.openxmlformats.org/officeDocument/2006/relationships/hyperlink" Target="https://patadovietnam.edu.vn/allcvs_hn/?utm_source=Facebook&amp;utm_medium=MES&amp;utm_term=NEW_Philippines_2038_none_290623&amp;utm_content=saletructiep_Philipines.Kgphilipines.2038.giaotiep_PTATT_LD170&amp;utm_campaign=Philippines.giaotiep.Kgphilipines_95360_MES_NamNH_290623" TargetMode="External"/><Relationship Id="rId225" Type="http://schemas.openxmlformats.org/officeDocument/2006/relationships/hyperlink" Target="https://patadovietnam.edu.vn/allcvs_hn" TargetMode="External"/><Relationship Id="rId2380" Type="http://schemas.openxmlformats.org/officeDocument/2006/relationships/hyperlink" Target="https://patadovietnam.edu.vn/tienganhgiaotiep_hn/" TargetMode="External"/><Relationship Id="rId229" Type="http://schemas.openxmlformats.org/officeDocument/2006/relationships/hyperlink" Target="https://patadovietnam.edu.vn/gtusa1_nhn/?utm_source=Facebook&amp;utm_medium=MES&amp;utm_term=NEW_UnitedStates_2045_none_290623&amp;utm_content=saletructiep_UnitedStates.giaotiepmynhn.giaotiep.2045_PTATT_LD161&amp;utm_campaign=UnitedStates.giaotiep.giaotiepmynhn_95360_MES_NamNH_290623" TargetMode="External"/><Relationship Id="rId1050" Type="http://schemas.openxmlformats.org/officeDocument/2006/relationships/hyperlink" Target="https://patadovietnam.edu.vn/gtusa1_nhn" TargetMode="External"/><Relationship Id="rId2381" Type="http://schemas.openxmlformats.org/officeDocument/2006/relationships/hyperlink" Target="https://patadovietnam.edu.vn/tienganhgiaotiep_hn/?utm_source=Facebook&amp;utm_medium=CVS&amp;utm_term=NEW_Europe_1840_none_010425&amp;utm_content=saletructiep_Europe.M415xM418.1840.giaotiep_PTATT_LD153&amp;utm_campaign=Europe.giaotiep.M415xM418_16917_CVS_NamNH_010425" TargetMode="External"/><Relationship Id="rId220" Type="http://schemas.openxmlformats.org/officeDocument/2006/relationships/hyperlink" Target="https://patadovietnam.edu.vn/allcvs_hn/?utm_source=Facebook&amp;utm_medium=MES&amp;utm_term=NEW_Europe_2045_none_210623&amp;utm_content=saletructiep_Europe.Patadottam.2045.giaotiep_PTATT_LD170&amp;utm_campaign=Europe.giaotiep.Patadottam_95360_MES_NamNH_210623" TargetMode="External"/><Relationship Id="rId1051" Type="http://schemas.openxmlformats.org/officeDocument/2006/relationships/hyperlink" Target="https://patadovietnam.edu.vn/gtusa1_nhn/?utm_source=Facebook&amp;utm_medium=MES&amp;utm_term=NEW_UnitedStates_1840_none_240124&amp;utm_content=saletructiep_UnitedStates.TATT.1840.giaotiep_PTATT_LD161&amp;utm_campaign=UnitedStates.giaotiep.TATT_16917_MES_NamNH_240124" TargetMode="External"/><Relationship Id="rId2382" Type="http://schemas.openxmlformats.org/officeDocument/2006/relationships/hyperlink" Target="https://tinyurl.com/M415xM418EU" TargetMode="External"/><Relationship Id="rId1052" Type="http://schemas.openxmlformats.org/officeDocument/2006/relationships/hyperlink" Target="http://ldp.ink/TATT_HOAKY" TargetMode="External"/><Relationship Id="rId2383" Type="http://schemas.openxmlformats.org/officeDocument/2006/relationships/hyperlink" Target="https://patadovietnam.edu.vn/gtjapan_nhn3" TargetMode="External"/><Relationship Id="rId1053" Type="http://schemas.openxmlformats.org/officeDocument/2006/relationships/hyperlink" Target="https://patadovietnam.edu.vn/tienganhgiaotiep_hn/" TargetMode="External"/><Relationship Id="rId2384" Type="http://schemas.openxmlformats.org/officeDocument/2006/relationships/hyperlink" Target="https://patadovietnam.edu.vn/gtjapan_nhn3/?utm_source=Facebook&amp;utm_medium=CVS&amp;utm_term=NEW_Japan_1840_none_010425&amp;utm_content=saletructiep_Japan.M415xM418.1840.giaotiep_PTATT_LD164&amp;utm_campaign=Japan.giaotiep.M415xM418_16917_CVS_NamNH_010425" TargetMode="External"/><Relationship Id="rId1054" Type="http://schemas.openxmlformats.org/officeDocument/2006/relationships/hyperlink" Target="https://patadovietnam.edu.vn/tienganhgiaotiep_hn/?utm_source=Facebook&amp;utm_medium=CVS&amp;utm_term=NEW_Europe_1840_none_240124&amp;utm_content=saletructiep_Europe.TATT.1840.giaotiep_PTATT_LD153&amp;utm_campaign=Europe.giaotiep.TATT_16917_CVS_NamNH_240124" TargetMode="External"/><Relationship Id="rId2385" Type="http://schemas.openxmlformats.org/officeDocument/2006/relationships/hyperlink" Target="https://tinyurl.com/M415xM418JP" TargetMode="External"/><Relationship Id="rId224" Type="http://schemas.openxmlformats.org/officeDocument/2006/relationships/hyperlink" Target="http://ldp.to/Kghoaky_hn" TargetMode="External"/><Relationship Id="rId1055" Type="http://schemas.openxmlformats.org/officeDocument/2006/relationships/hyperlink" Target="http://ldp.ink/TATT_europe" TargetMode="External"/><Relationship Id="rId2386" Type="http://schemas.openxmlformats.org/officeDocument/2006/relationships/hyperlink" Target="https://patadovietnam.edu.vn/tienganhgiaotiep_hn/" TargetMode="External"/><Relationship Id="rId223" Type="http://schemas.openxmlformats.org/officeDocument/2006/relationships/hyperlink" Target="https://patadovietnam.edu.vn/gtusa1_nhn/?utm_source=Facebook&amp;utm_medium=MES&amp;utm_term=NEW_UnitedStates_2045_none_290623&amp;utm_content=saletructiep_UnitedStates.Kghoaky.giaotiep.2045_PTATT_LD161&amp;utm_campaign=UnitedStates.giaotiep.Kghoaky_16917_MES_NamNH_290623" TargetMode="External"/><Relationship Id="rId1056" Type="http://schemas.openxmlformats.org/officeDocument/2006/relationships/hyperlink" Target="https://patadovietnam.edu.vn/tienganhgiaotiep_hn/" TargetMode="External"/><Relationship Id="rId2387" Type="http://schemas.openxmlformats.org/officeDocument/2006/relationships/hyperlink" Target="https://patadovietnam.edu.vn/tienganhgiaotiep_hn/?utm_source=Facebook&amp;utm_medium=MES&amp;utm_term=NEW_ALL_1840_none_010425&amp;utm_content=saletructiep_ALL.M415xM418.1840.giaotiep_PTATT_LD153&amp;utm_campaign=ALL.giaotiep.M415xM418_16917_MES_NamNH_010425" TargetMode="External"/><Relationship Id="rId222" Type="http://schemas.openxmlformats.org/officeDocument/2006/relationships/hyperlink" Target="https://patadovietnam.edu.vn/gtusa1_nhn" TargetMode="External"/><Relationship Id="rId1057" Type="http://schemas.openxmlformats.org/officeDocument/2006/relationships/hyperlink" Target="https://patadovietnam.edu.vn/tienganhgiaotiep_hn/?utm_source=Facebook&amp;utm_medium=MES&amp;utm_term=NEW_Taiwan_1840_none_240124&amp;utm_content=saletructiep_Taiwan.TATT.1840.giaotiep_PTATT_LD153&amp;utm_campaign=Taiwan.giaotiep.TATT_95360_MES_NamNH_240124" TargetMode="External"/><Relationship Id="rId2388" Type="http://schemas.openxmlformats.org/officeDocument/2006/relationships/hyperlink" Target="https://tinyurl.com/M415xM418ALL" TargetMode="External"/><Relationship Id="rId221" Type="http://schemas.openxmlformats.org/officeDocument/2006/relationships/hyperlink" Target="http://ldp.to/Patadottam_hn" TargetMode="External"/><Relationship Id="rId1058" Type="http://schemas.openxmlformats.org/officeDocument/2006/relationships/hyperlink" Target="http://ldp.ink/TATT_taiwan" TargetMode="External"/><Relationship Id="rId2389" Type="http://schemas.openxmlformats.org/officeDocument/2006/relationships/hyperlink" Target="https://patadovietnam.edu.vn/tienganhgiaotiep_hn/" TargetMode="External"/><Relationship Id="rId1048" Type="http://schemas.openxmlformats.org/officeDocument/2006/relationships/hyperlink" Target="https://patadovietnam.edu.vn/tienganhgiaotiep_hn/?utm_source=Facebook&amp;utm_medium=MES&amp;utm_term=NEW_Philippines_1840_none_170124&amp;utm_content=saletructiep_Philippines.UDBH.1840.giaotiep_PTATT_LD153&amp;utm_campaign=Philippines.giaotiep.UDBH_95360_MES_NamNH_170124" TargetMode="External"/><Relationship Id="rId2379" Type="http://schemas.openxmlformats.org/officeDocument/2006/relationships/hyperlink" Target="https://tinyurl.com/M416xM417korea" TargetMode="External"/><Relationship Id="rId1049" Type="http://schemas.openxmlformats.org/officeDocument/2006/relationships/hyperlink" Target="http://ldp.ink/UDBH_PHILIPPINES" TargetMode="External"/><Relationship Id="rId217" Type="http://schemas.openxmlformats.org/officeDocument/2006/relationships/hyperlink" Target="https://patadovietnam.edu.vn/allcvs_hn/?utm_source=Facebook&amp;utm_medium=MES&amp;utm_term=NEW_Singapore_2040_none_190623&amp;utm_content=saletructiep_Singapore.jh1.2040.giaotiep_PTATT_LD170&amp;utm_campaign=Singapore.giaotiep.jh1_95360_MES_NamNH_190623" TargetMode="External"/><Relationship Id="rId216" Type="http://schemas.openxmlformats.org/officeDocument/2006/relationships/hyperlink" Target="https://patadovietnam.edu.vn/allcvs_hn" TargetMode="External"/><Relationship Id="rId215" Type="http://schemas.openxmlformats.org/officeDocument/2006/relationships/hyperlink" Target="http://ldp.to/taiwanall_hn" TargetMode="External"/><Relationship Id="rId214" Type="http://schemas.openxmlformats.org/officeDocument/2006/relationships/hyperlink" Target="https://patadovietnam.edu.vn/allcvs_hn/?utm_source=Facebook&amp;utm_medium=MES&amp;utm_term=NEW_Taiwan_1840_none_170623&amp;utm_content=saletructiep_Taiwan.anhlt.1840.giaotiep_PTATT_LD170&amp;utm_campaign=Taiwan.giaotiep.anhlt_95360_MES_NamNH_170623" TargetMode="External"/><Relationship Id="rId219" Type="http://schemas.openxmlformats.org/officeDocument/2006/relationships/hyperlink" Target="https://patadovietnam.edu.vn/allcvs_hn" TargetMode="External"/><Relationship Id="rId218" Type="http://schemas.openxmlformats.org/officeDocument/2006/relationships/hyperlink" Target="http://ldp.to/Singaporeall_hn" TargetMode="External"/><Relationship Id="rId2370" Type="http://schemas.openxmlformats.org/officeDocument/2006/relationships/hyperlink" Target="https://tinyurl.com/M416xM417JP" TargetMode="External"/><Relationship Id="rId1040" Type="http://schemas.openxmlformats.org/officeDocument/2006/relationships/hyperlink" Target="http://ldp.ink/UDBH_TAIWAN" TargetMode="External"/><Relationship Id="rId2371" Type="http://schemas.openxmlformats.org/officeDocument/2006/relationships/hyperlink" Target="https://patadovietnam.edu.vn/gtusa1_nhn" TargetMode="External"/><Relationship Id="rId1041" Type="http://schemas.openxmlformats.org/officeDocument/2006/relationships/hyperlink" Target="https://patadovietnam.edu.vn/gtjapan_nhn3" TargetMode="External"/><Relationship Id="rId2372" Type="http://schemas.openxmlformats.org/officeDocument/2006/relationships/hyperlink" Target="https://patadovietnam.edu.vn/gtusa1_nhn/?utm_source=Facebook&amp;utm_medium=MES&amp;utm_term=NEW_UnitedStates_2050_none_010425&amp;utm_content=saletructiep_UnitedStates.M416XM417.1840.giaotiep_PTATT_LD161&amp;utm_campaign=UnitedStates.giaotiep.M416xM417_16917_MES_NamNH_010425" TargetMode="External"/><Relationship Id="rId1042" Type="http://schemas.openxmlformats.org/officeDocument/2006/relationships/hyperlink" Target="https://patadovietnam.edu.vn/gtjapan_nhn3/?utm_source=Facebook&amp;utm_medium=CVS&amp;utm_term=NEW_Japan_1840_none_170124&amp;utm_content=saletructiep_Japan.UDBH.1840.giaotiep_PTATT_LD164&amp;utm_campaign=Japan.giaotiep.UDBH_16917_CVS_NamNH_170124" TargetMode="External"/><Relationship Id="rId2373" Type="http://schemas.openxmlformats.org/officeDocument/2006/relationships/hyperlink" Target="https://tinyurl.com/M416xM417USA" TargetMode="External"/><Relationship Id="rId1043" Type="http://schemas.openxmlformats.org/officeDocument/2006/relationships/hyperlink" Target="http://ldp.ink/UDBH_JAPAN" TargetMode="External"/><Relationship Id="rId2374" Type="http://schemas.openxmlformats.org/officeDocument/2006/relationships/hyperlink" Target="https://patadovietnam.edu.vn/tienganhgiaotiep_hn/" TargetMode="External"/><Relationship Id="rId213" Type="http://schemas.openxmlformats.org/officeDocument/2006/relationships/hyperlink" Target="https://patadovietnam.edu.vn/allcvs_hn" TargetMode="External"/><Relationship Id="rId1044" Type="http://schemas.openxmlformats.org/officeDocument/2006/relationships/hyperlink" Target="https://patadovietnam.edu.vn/khoagiaotiep_all/" TargetMode="External"/><Relationship Id="rId2375" Type="http://schemas.openxmlformats.org/officeDocument/2006/relationships/hyperlink" Target="https://patadovietnam.edu.vn/tienganhgiaotiep_hn/?utm_source=Facebook&amp;utm_medium=MES&amp;utm_term=NEW_ALL_1840_none_010425&amp;utm_content=saletructiep_ALL.M416xM417.1840.giaotiep_PTATT_LD153&amp;utm_campaign=ALL.giaotiep.M416xM417_16917_MES_NamNH_010425" TargetMode="External"/><Relationship Id="rId212" Type="http://schemas.openxmlformats.org/officeDocument/2006/relationships/hyperlink" Target="http://ldp.to/GTphilippines_hn3" TargetMode="External"/><Relationship Id="rId1045" Type="http://schemas.openxmlformats.org/officeDocument/2006/relationships/hyperlink" Target="https://patadovietnam.edu.vn/khoagiaotiep_all/?utm_source=Facebook&amp;utm_medium=CVS&amp;utm_term=NEW_Europe_1840_none_170124&amp;utm_content=saletructiep_Europe.UDBH.1840.giaotiep_PTATT_LD212&amp;utm_campaign=Europe.giaotiep.UDBH_16917_CVS_NamNH_170124" TargetMode="External"/><Relationship Id="rId2376" Type="http://schemas.openxmlformats.org/officeDocument/2006/relationships/hyperlink" Target="https://tinyurl.com/M416xM417ALL" TargetMode="External"/><Relationship Id="rId211" Type="http://schemas.openxmlformats.org/officeDocument/2006/relationships/hyperlink" Target="https://patadovietnam.edu.vn/allcvs_hn/?utm_source=Facebook&amp;utm_medium=MES&amp;utm_term=NEW_Philippines_2038_none_150623&amp;utm_content=saletructiep_Philipines.anhlt.2038.giaotiep_PTATT_LD170&amp;utm_campaign=Philippines.giaotiep.anhlt_95360_MES_NamNH_150623" TargetMode="External"/><Relationship Id="rId1046" Type="http://schemas.openxmlformats.org/officeDocument/2006/relationships/hyperlink" Target="http://ldp.ink/UDBH_EUROPE" TargetMode="External"/><Relationship Id="rId2377" Type="http://schemas.openxmlformats.org/officeDocument/2006/relationships/hyperlink" Target="https://patadovietnam.edu.vn/tienganhgiaotiep_hn/" TargetMode="External"/><Relationship Id="rId210" Type="http://schemas.openxmlformats.org/officeDocument/2006/relationships/hyperlink" Target="https://patadovietnam.edu.vn/allcvs_hn" TargetMode="External"/><Relationship Id="rId1047" Type="http://schemas.openxmlformats.org/officeDocument/2006/relationships/hyperlink" Target="https://patadovietnam.edu.vn/tienganhgiaotiep_hn/" TargetMode="External"/><Relationship Id="rId2378" Type="http://schemas.openxmlformats.org/officeDocument/2006/relationships/hyperlink" Target="https://patadovietnam.edu.vn/tienganhgiaotiep_hn/?utm_source=Facebook&amp;utm_medium=MES&amp;utm_term=NEW_KoreaSouth_1840_none_010425&amp;utm_content=saletructiep_KoreaSouth.M416xM417.1840.giaotiep_PTATT_LD153&amp;utm_campaign=KoreaSouth.giaotiep.M416xM417_16917_MES_NamNH_010425" TargetMode="External"/><Relationship Id="rId249" Type="http://schemas.openxmlformats.org/officeDocument/2006/relationships/hyperlink" Target="https://patadovietnam.edu.vn/tienganhgiaotiep_hn/" TargetMode="External"/><Relationship Id="rId248" Type="http://schemas.openxmlformats.org/officeDocument/2006/relationships/hyperlink" Target="http://ldp.to/Kghoaky5_hn" TargetMode="External"/><Relationship Id="rId247" Type="http://schemas.openxmlformats.org/officeDocument/2006/relationships/hyperlink" Target="https://patadovietnam.edu.vn/gtusa2_hn/?utm_source=Facebook&amp;utm_medium=MES&amp;utm_term=NEW_UnitedStates_2045_none_040723&amp;utm_content=saletructiep_UnitedStates.qcpatado.giaotiep.2046_PTATT_LD173&amp;utm_campaign=UnitedStates.giaotiep.qcpatado_16917_MES_NamNH_040723" TargetMode="External"/><Relationship Id="rId1070" Type="http://schemas.openxmlformats.org/officeDocument/2006/relationships/hyperlink" Target="http://ldp.ink/4KN_europe" TargetMode="External"/><Relationship Id="rId1071" Type="http://schemas.openxmlformats.org/officeDocument/2006/relationships/hyperlink" Target="https://patadovietnam.edu.vn/tienganhgiaotiep_hn/" TargetMode="External"/><Relationship Id="rId1072" Type="http://schemas.openxmlformats.org/officeDocument/2006/relationships/hyperlink" Target="https://patadovietnam.edu.vn/tienganhgiaotiep_hn/?utm_source=Facebook&amp;utm_medium=MES&amp;utm_term=NEW_Philippines_1840_none_240124&amp;utm_content=saletructiep_Philippines.4KN.1840.giaotiep_PTATT_LD153&amp;utm_campaign=Philippines.giaotiep.4KN_95360_MES_NamNH_240124" TargetMode="External"/><Relationship Id="rId242" Type="http://schemas.openxmlformats.org/officeDocument/2006/relationships/hyperlink" Target="http://ldp.to/Kgphilippines2_hn" TargetMode="External"/><Relationship Id="rId1073" Type="http://schemas.openxmlformats.org/officeDocument/2006/relationships/hyperlink" Target="http://ldp.ink/4KN_Philippines" TargetMode="External"/><Relationship Id="rId241" Type="http://schemas.openxmlformats.org/officeDocument/2006/relationships/hyperlink" Target="https://patadovietnam.edu.vn/allcvs_hn/?utm_source=Facebook&amp;utm_medium=MES&amp;utm_term=NEW_Philippines_1838_none_030723&amp;utm_content=saletructiep_Philipines.ttam.1838.giaotiep_PTATT_LD170&amp;utm_campaign=Philippines.giaotiep.ttam_95360_MES_NamNH_030723" TargetMode="External"/><Relationship Id="rId1074" Type="http://schemas.openxmlformats.org/officeDocument/2006/relationships/hyperlink" Target="https://patadovietnam.edu.vn/tienganhgiaotiep_hn/" TargetMode="External"/><Relationship Id="rId240" Type="http://schemas.openxmlformats.org/officeDocument/2006/relationships/hyperlink" Target="https://patadovietnam.edu.vn/allcvs_hn" TargetMode="External"/><Relationship Id="rId1075" Type="http://schemas.openxmlformats.org/officeDocument/2006/relationships/hyperlink" Target="https://patadovietnam.edu.vn/tienganhgiaotiep_hn/?utm_source=Facebook&amp;utm_medium=MES&amp;utm_term=NEW_KoreaSouth_1840_none_240124&amp;utm_content=saletructiep_KoreaSouth.4KN.1840.giaotiep_PTATT_LD153&amp;utm_campaign=KoreaSouth.giaotiep.4KN_95360_MES_NamNH_240124" TargetMode="External"/><Relationship Id="rId1076" Type="http://schemas.openxmlformats.org/officeDocument/2006/relationships/hyperlink" Target="http://ldp.ink/4KN_hanquoc" TargetMode="External"/><Relationship Id="rId246" Type="http://schemas.openxmlformats.org/officeDocument/2006/relationships/hyperlink" Target="https://patadovietnam.edu.vn/gtusa2_hn" TargetMode="External"/><Relationship Id="rId1077" Type="http://schemas.openxmlformats.org/officeDocument/2006/relationships/hyperlink" Target="https://patadovietnam.edu.vn/tienganhgiaotiep_hn/" TargetMode="External"/><Relationship Id="rId245" Type="http://schemas.openxmlformats.org/officeDocument/2006/relationships/hyperlink" Target="http://ldp.to/Kghoaky3_hn" TargetMode="External"/><Relationship Id="rId1078" Type="http://schemas.openxmlformats.org/officeDocument/2006/relationships/hyperlink" Target="https://patadovietnam.edu.vn/tienganhgiaotiep_hn/?utm_source=Facebook&amp;utm_medium=MES&amp;utm_term=NEW_Taiwan_1840_none_240124&amp;utm_content=saletructiep_Taiwan.4KN.1840.giaotiep_PTATT_LD153&amp;utm_campaign=Taiwan.giaotiep.4KN_95360_MES_NamNH_240124" TargetMode="External"/><Relationship Id="rId244" Type="http://schemas.openxmlformats.org/officeDocument/2006/relationships/hyperlink" Target="https://patadovietnam.edu.vn/gtusa1_nhn/?utm_source=Facebook&amp;utm_medium=MES&amp;utm_term=NEW_UnitedStates_2045_none_040723&amp;utm_content=saletructiep_UnitedStates.qcpatado.giaotiep.2045_PTATT_LD161&amp;utm_campaign=UnitedStates.giaotiep.qcpatado_16917_MES_NamNH_040723" TargetMode="External"/><Relationship Id="rId1079" Type="http://schemas.openxmlformats.org/officeDocument/2006/relationships/hyperlink" Target="http://ldp.ink/4KN_taiwan" TargetMode="External"/><Relationship Id="rId243" Type="http://schemas.openxmlformats.org/officeDocument/2006/relationships/hyperlink" Target="https://patadovietnam.edu.vn/gtusa1_nhn" TargetMode="External"/><Relationship Id="rId239" Type="http://schemas.openxmlformats.org/officeDocument/2006/relationships/hyperlink" Target="http://ldp.to/Kgjapan2_hn" TargetMode="External"/><Relationship Id="rId238" Type="http://schemas.openxmlformats.org/officeDocument/2006/relationships/hyperlink" Target="https://patadovietnam.edu.vn/gtjapan_nhn3/?utm_source=Facebook&amp;utm_medium=CVS&amp;utm_term=NEW_Japan_1838_none_020723&amp;utm_content=saletructiep_Japan.anhtb2.1838.giaotiep_PTATT_LD164&amp;utm_campaign=Japan.giaotiep.anhtb2_16917_CVS_NamNH_020723" TargetMode="External"/><Relationship Id="rId237" Type="http://schemas.openxmlformats.org/officeDocument/2006/relationships/hyperlink" Target="https://patadovietnam.edu.vn/gtjapan_nhn3" TargetMode="External"/><Relationship Id="rId236" Type="http://schemas.openxmlformats.org/officeDocument/2006/relationships/hyperlink" Target="http://ldp.to/taiwanall2_hn" TargetMode="External"/><Relationship Id="rId2390" Type="http://schemas.openxmlformats.org/officeDocument/2006/relationships/hyperlink" Target="https://patadovietnam.edu.vn/tienganhgiaotiep_hn/?utm_source=Facebook&amp;utm_medium=CVS&amp;utm_term=NEW_Europe_1840_none_060525&amp;utm_content=saletructiep_Europe.M429xM438.1840.giaotiep_PTATT_LD153&amp;utm_campaign=Europe.giaotiep.M429xM438_16917_CVS_NamNH_060525" TargetMode="External"/><Relationship Id="rId1060" Type="http://schemas.openxmlformats.org/officeDocument/2006/relationships/hyperlink" Target="https://patadovietnam.edu.vn/gtjapan_nhn3/?utm_source=Facebook&amp;utm_medium=CVS&amp;utm_term=NEW_Japan_1840_none_240124&amp;utm_content=saletructiep_Japan.TATT.1840.giaotiep_PTATT_LD164&amp;utm_campaign=Japan.giaotiep.TATT_16917_CVS_NamNH_240124" TargetMode="External"/><Relationship Id="rId2391" Type="http://schemas.openxmlformats.org/officeDocument/2006/relationships/hyperlink" Target="https://tinyurl.com/M429xM438eu" TargetMode="External"/><Relationship Id="rId1061" Type="http://schemas.openxmlformats.org/officeDocument/2006/relationships/hyperlink" Target="http://ldp.ink/TATT_japan" TargetMode="External"/><Relationship Id="rId2392" Type="http://schemas.openxmlformats.org/officeDocument/2006/relationships/hyperlink" Target="https://patadovietnam.edu.vn/gtjapan_nhn3" TargetMode="External"/><Relationship Id="rId231" Type="http://schemas.openxmlformats.org/officeDocument/2006/relationships/hyperlink" Target="https://patadovietnam.edu.vn/japanall_nhn" TargetMode="External"/><Relationship Id="rId1062" Type="http://schemas.openxmlformats.org/officeDocument/2006/relationships/hyperlink" Target="https://patadovietnam.edu.vn/tienganhgiaotiep_hn/" TargetMode="External"/><Relationship Id="rId2393" Type="http://schemas.openxmlformats.org/officeDocument/2006/relationships/hyperlink" Target="https://patadovietnam.edu.vn/gtjapan_nhn3/?utm_source=Facebook&amp;utm_medium=CVS&amp;utm_term=NEW_Japan_1840_none_060525&amp;utm_content=saletructiep_Japan.M430xM438.1840.giaotiep_PTATT_LD164&amp;utm_campaign=Japan.giaotiep.M430xM438_16918_CVS_NamNH_060525" TargetMode="External"/><Relationship Id="rId230" Type="http://schemas.openxmlformats.org/officeDocument/2006/relationships/hyperlink" Target="http://ldp.to/Kghoaky2_hn" TargetMode="External"/><Relationship Id="rId1063" Type="http://schemas.openxmlformats.org/officeDocument/2006/relationships/hyperlink" Target="https://patadovietnam.edu.vn/tienganhgiaotiep_hn/?utm_source=Facebook&amp;utm_medium=MES&amp;utm_term=NEW_Philippines_1840_none_240124&amp;utm_content=saletructiep_Philippines.TATT.1840.giaotiep_PTATT_LD153&amp;utm_campaign=Philippines.giaotiep.TATT_95360_MES_NamNH_240124" TargetMode="External"/><Relationship Id="rId2394" Type="http://schemas.openxmlformats.org/officeDocument/2006/relationships/hyperlink" Target="https://tinyurl.com/M430xM438jp" TargetMode="External"/><Relationship Id="rId1064" Type="http://schemas.openxmlformats.org/officeDocument/2006/relationships/hyperlink" Target="http://ldp.ink/TATT_philippin" TargetMode="External"/><Relationship Id="rId2395" Type="http://schemas.openxmlformats.org/officeDocument/2006/relationships/hyperlink" Target="https://patadovietnam.edu.vn/tienganhgiaotiep_hn/" TargetMode="External"/><Relationship Id="rId1065" Type="http://schemas.openxmlformats.org/officeDocument/2006/relationships/hyperlink" Target="https://patadovietnam.edu.vn/gtjapan_nhn3" TargetMode="External"/><Relationship Id="rId2396" Type="http://schemas.openxmlformats.org/officeDocument/2006/relationships/hyperlink" Target="https://patadovietnam.edu.vn/tienganhgiaotiep_hn/?utm_source=Facebook&amp;utm_medium=MES&amp;utm_term=NEW_ALL_1840_none_060525&amp;utm_content=saletructiep_ALL.M438xM440.1840.giaotiep_PTATT_LD153&amp;utm_campaign=ALL.giaotiep.M440xM438_16917_MES_NamNH_060525" TargetMode="External"/><Relationship Id="rId235" Type="http://schemas.openxmlformats.org/officeDocument/2006/relationships/hyperlink" Target="https://patadovietnam.edu.vn/allcvs_hn/?utm_source=Facebook&amp;utm_medium=MES&amp;utm_term=NEW_Taiwan_1840_none_300623&amp;utm_content=saletructiep_Taiwan.anhtb2.1840.giaotiep_PTATT_LD170&amp;utm_campaign=Taiwan.giaotiep.anhtb2_95360_MES_NamNH_300623" TargetMode="External"/><Relationship Id="rId1066" Type="http://schemas.openxmlformats.org/officeDocument/2006/relationships/hyperlink" Target="https://patadovietnam.edu.vn/gtjapan_nhn3/?utm_source=Facebook&amp;utm_medium=CVS&amp;utm_term=NEW_Japan_1840_none_240124&amp;utm_content=saletructiep_Japan.4KN.1840.giaotiep_PTATT_LD164&amp;utm_campaign=Japan.giaotiep.4KN_16917_CVS_NamNH_240124" TargetMode="External"/><Relationship Id="rId2397" Type="http://schemas.openxmlformats.org/officeDocument/2006/relationships/hyperlink" Target="https://tinyurl.com/M438xM440all" TargetMode="External"/><Relationship Id="rId234" Type="http://schemas.openxmlformats.org/officeDocument/2006/relationships/hyperlink" Target="https://patadovietnam.edu.vn/allcvs_hn" TargetMode="External"/><Relationship Id="rId1067" Type="http://schemas.openxmlformats.org/officeDocument/2006/relationships/hyperlink" Target="http://ldp.ink/4KN_japan" TargetMode="External"/><Relationship Id="rId2398" Type="http://schemas.openxmlformats.org/officeDocument/2006/relationships/hyperlink" Target="https://patadovietnam.edu.vn/gtusa1_nhn" TargetMode="External"/><Relationship Id="rId233" Type="http://schemas.openxmlformats.org/officeDocument/2006/relationships/hyperlink" Target="http://ldp.to/Kgjapan_hn" TargetMode="External"/><Relationship Id="rId1068" Type="http://schemas.openxmlformats.org/officeDocument/2006/relationships/hyperlink" Target="https://patadovietnam.edu.vn/tienganhgiaotiep_hn/" TargetMode="External"/><Relationship Id="rId2399" Type="http://schemas.openxmlformats.org/officeDocument/2006/relationships/hyperlink" Target="https://patadovietnam.edu.vn/gtusa1_nhn/?utm_source=Facebook&amp;utm_medium=MES&amp;utm_term=NEW_UnitedStates_2050_none_060525&amp;utm_content=saletructiep_UnitedStates.TATTxVTSxM271.1840.giaotiep_PTATT_LD161&amp;utm_campaign=UnitedStates.giaotiep.TATTxVTSxM271_16917_MES_NamNH_060525" TargetMode="External"/><Relationship Id="rId232" Type="http://schemas.openxmlformats.org/officeDocument/2006/relationships/hyperlink" Target="https://patadovietnam.edu.vn/japanall_nhn/?utm_source=Facebook&amp;utm_medium=CVS&amp;utm_term=NEW_Japan_1838_none_290623&amp;utm_content=saletructiep_Japan.Kgjapan.1838.giaotiep_PTATT_LD172&amp;utm_campaign=Japan.giaotiep.Kgjapan_16917_CVS_NamNH_290623" TargetMode="External"/><Relationship Id="rId1069" Type="http://schemas.openxmlformats.org/officeDocument/2006/relationships/hyperlink" Target="https://patadovietnam.edu.vn/tienganhgiaotiep_hn/?utm_source=Facebook&amp;utm_medium=CVS&amp;utm_term=NEW_Europe_1840_none_240124&amp;utm_content=saletructiep_Europe.4KN.1840.giaotiep_PTATT_LD153&amp;utm_campaign=Europe.giaotiep.4KN_16917_CVS_NamNH_240124" TargetMode="External"/><Relationship Id="rId1015" Type="http://schemas.openxmlformats.org/officeDocument/2006/relationships/hyperlink" Target="https://patadovietnam.edu.vn/vongquay_namnh/?utm_source=Facebook&amp;utm_medium=CVS&amp;utm_term=NEW_Japan_1840_none_130124&amp;utm_content=saletructiep_Japan.VQMM.1840.giaotiep_PTATT_LD215&amp;utm_campaign=Japan.giaotiep.VQMM_16917_CVS_NamNH_130124" TargetMode="External"/><Relationship Id="rId2346" Type="http://schemas.openxmlformats.org/officeDocument/2006/relationships/hyperlink" Target="https://tinyurl.com/M236xJHxanhnote" TargetMode="External"/><Relationship Id="rId1016" Type="http://schemas.openxmlformats.org/officeDocument/2006/relationships/hyperlink" Target="http://ldp.ink/VQMM_JAPAN" TargetMode="External"/><Relationship Id="rId2347" Type="http://schemas.openxmlformats.org/officeDocument/2006/relationships/hyperlink" Target="https://patadovietnam.edu.vn/tienganhgiaotiep_hn/" TargetMode="External"/><Relationship Id="rId1017" Type="http://schemas.openxmlformats.org/officeDocument/2006/relationships/hyperlink" Target="https://patadovietnam.edu.vn/vongquay_namnh" TargetMode="External"/><Relationship Id="rId2348" Type="http://schemas.openxmlformats.org/officeDocument/2006/relationships/hyperlink" Target="https://patadovietnam.edu.vn/tienganhgiaotiep_hn/?utm_source=Facebook&amp;utm_medium=CVS&amp;utm_term=NEW_KoreaSouth_1840_none_270225&amp;utm_content=saletructiep_KoreaSouth.M400xM403.1840.giaotiep_PTATT_LD153&amp;utm_campaign=KoreaSouth.giaotiep.M400xM403_16917_CVS_NamNH_270225" TargetMode="External"/><Relationship Id="rId1018" Type="http://schemas.openxmlformats.org/officeDocument/2006/relationships/hyperlink" Target="https://patadovietnam.edu.vn/vongquay_namnh/?utm_source=Facebook&amp;utm_medium=CVS&amp;utm_term=NEW_Europe_1840_none_130124&amp;utm_content=saletructiep_Europe.VQMM.1840.giaotiep_PTATT_LD215&amp;utm_campaign=Europe.giaotiep.VQMM_16917_CVS_NamNH_130124" TargetMode="External"/><Relationship Id="rId2349" Type="http://schemas.openxmlformats.org/officeDocument/2006/relationships/hyperlink" Target="https://patadovietnam.edu.vn/tienganhgiaotiep_hn/" TargetMode="External"/><Relationship Id="rId1019" Type="http://schemas.openxmlformats.org/officeDocument/2006/relationships/hyperlink" Target="http://ldp.ink/VQMM_EUROPE" TargetMode="External"/><Relationship Id="rId2340" Type="http://schemas.openxmlformats.org/officeDocument/2006/relationships/hyperlink" Target="https://patadovietnam.edu.vn/gtjapan_nhn3/?utm_source=Facebook&amp;utm_medium=CVS&amp;utm_term=NEW_Japan_1840_none_270225&amp;utm_content=saletructiep_Japan.anhtbxJH.1840.giaotiep_PTATT_LD164&amp;utm_campaign=Japan.giaotiep.anhtbxJH_16917_CVS_NamNH_270225" TargetMode="External"/><Relationship Id="rId1010" Type="http://schemas.openxmlformats.org/officeDocument/2006/relationships/hyperlink" Target="http://ldp.ink/hoinhap_philippines" TargetMode="External"/><Relationship Id="rId2341" Type="http://schemas.openxmlformats.org/officeDocument/2006/relationships/hyperlink" Target="https://tinyurl.com/anhtbjapan" TargetMode="External"/><Relationship Id="rId1011" Type="http://schemas.openxmlformats.org/officeDocument/2006/relationships/hyperlink" Target="https://patadovietnam.edu.vn/vongquay_namnh" TargetMode="External"/><Relationship Id="rId2342" Type="http://schemas.openxmlformats.org/officeDocument/2006/relationships/hyperlink" Target="https://patadovietnam.edu.vn/tienganhgiaotiep_hn/" TargetMode="External"/><Relationship Id="rId1012" Type="http://schemas.openxmlformats.org/officeDocument/2006/relationships/hyperlink" Target="https://patadovietnam.edu.vn/vongquay_namnh/?utm_source=Facebook&amp;utm_medium=CVS&amp;utm_term=NEW_ALL_1840_none_130124&amp;utm_content=saletructiep_ALL.VQMM.1840.giaotiep_PTATT_LD215&amp;utm_campaign=ALL.giaotiep.VQMM_95360_CVS_NamNH_130124" TargetMode="External"/><Relationship Id="rId2343" Type="http://schemas.openxmlformats.org/officeDocument/2006/relationships/hyperlink" Target="https://patadovietnam.edu.vn/tienganhgiaotiep_hn/?utm_source=Facebook&amp;utm_medium=CVS&amp;utm_term=NEW_Europe_1840_none_270225&amp;utm_content=saletructiep_Europe.M400xM241.1840.giaotiep_PTATT_LD153&amp;utm_campaign=Europe.giaotiep.M400xM241_16917_CVS_NamNH_270225" TargetMode="External"/><Relationship Id="rId1013" Type="http://schemas.openxmlformats.org/officeDocument/2006/relationships/hyperlink" Target="http://ldp.ink/VQMM_ALL" TargetMode="External"/><Relationship Id="rId2344" Type="http://schemas.openxmlformats.org/officeDocument/2006/relationships/hyperlink" Target="https://patadovietnam.edu.vn/tienganhgiaotiep_hn/" TargetMode="External"/><Relationship Id="rId1014" Type="http://schemas.openxmlformats.org/officeDocument/2006/relationships/hyperlink" Target="https://patadovietnam.edu.vn/vongquay_namnh" TargetMode="External"/><Relationship Id="rId2345" Type="http://schemas.openxmlformats.org/officeDocument/2006/relationships/hyperlink" Target="https://patadovietnam.edu.vn/tienganhgiaotiep_hn/?utm_source=Facebook&amp;utm_medium=CVS&amp;utm_term=NEW_Europe_1840_none_270225&amp;utm_content=saletructiep_Europe.M236xJHxanhnote.1840.giaotiep_PTATT_LD153&amp;utm_campaign=Europe.giaotiep.M236xJHxanhnotex_16917_CVS_NamNH_270225" TargetMode="External"/><Relationship Id="rId1004" Type="http://schemas.openxmlformats.org/officeDocument/2006/relationships/hyperlink" Target="http://ldp.ink/hoinhap_europe" TargetMode="External"/><Relationship Id="rId2335" Type="http://schemas.openxmlformats.org/officeDocument/2006/relationships/hyperlink" Target="https://tinyurl.com/M332xM236HK" TargetMode="External"/><Relationship Id="rId1005" Type="http://schemas.openxmlformats.org/officeDocument/2006/relationships/hyperlink" Target="https://patadovietnam.edu.vn/khoagiaotiep_all/" TargetMode="External"/><Relationship Id="rId2336" Type="http://schemas.openxmlformats.org/officeDocument/2006/relationships/hyperlink" Target="https://patadovietnam.edu.vn/gtjapan_nhn3" TargetMode="External"/><Relationship Id="rId1006" Type="http://schemas.openxmlformats.org/officeDocument/2006/relationships/hyperlink" Target="https://patadovietnam.edu.vn/khoagiaotiep_all/?utm_source=Facebook&amp;utm_medium=MES&amp;utm_term=NEW_Australia_1840_none_110124&amp;utm_content=saletructiep_Australia.hoinhap.1840.giaotiep_PTATT_LD212&amp;utm_campaign=Australia.giaotiep.hoinhap_95360_MES_NamNH_110124" TargetMode="External"/><Relationship Id="rId2337" Type="http://schemas.openxmlformats.org/officeDocument/2006/relationships/hyperlink" Target="https://patadovietnam.edu.vn/gtjapan_nhn3/?utm_source=Facebook&amp;utm_medium=CVS&amp;utm_term=NEW_Japan_1840_none_270225&amp;utm_content=saletructiep_Japan.M403XJH.1840.giaotiep_PTATT_LD164&amp;utm_campaign=Japan.giaotiep.M403XJH_16917_CVS_NamNH_270225" TargetMode="External"/><Relationship Id="rId1007" Type="http://schemas.openxmlformats.org/officeDocument/2006/relationships/hyperlink" Target="http://ldp.ink/hoinhap_australia" TargetMode="External"/><Relationship Id="rId2338" Type="http://schemas.openxmlformats.org/officeDocument/2006/relationships/hyperlink" Target="https://tinyurl.com/M403xJHJP" TargetMode="External"/><Relationship Id="rId1008" Type="http://schemas.openxmlformats.org/officeDocument/2006/relationships/hyperlink" Target="https://patadovietnam.edu.vn/khoagiaotiep_all/" TargetMode="External"/><Relationship Id="rId2339" Type="http://schemas.openxmlformats.org/officeDocument/2006/relationships/hyperlink" Target="https://patadovietnam.edu.vn/gtjapan_nhn3" TargetMode="External"/><Relationship Id="rId1009" Type="http://schemas.openxmlformats.org/officeDocument/2006/relationships/hyperlink" Target="https://patadovietnam.edu.vn/khoagiaotiep_all/?utm_source=Facebook&amp;utm_medium=MES&amp;utm_term=NEW_Philippines_1840_none_110124&amp;utm_content=saletructiep_Philippines.hoinhap.1840.giaotiep_PTATT_LD212&amp;utm_campaign=Philippines.giaotiep.hoinhap_95360_MES_NamNH_110124" TargetMode="External"/><Relationship Id="rId2330" Type="http://schemas.openxmlformats.org/officeDocument/2006/relationships/hyperlink" Target="https://patadovietnam.edu.vn/gtusa1_nhn" TargetMode="External"/><Relationship Id="rId1000" Type="http://schemas.openxmlformats.org/officeDocument/2006/relationships/hyperlink" Target="https://patadovietnam.edu.vn/gtjapan_nhn3/?utm_source=Facebook&amp;utm_medium=CVS&amp;utm_term=NEW_Japan_1840_none_110124&amp;utm_content=saletructiep_Japan.hoinhap.1840.giaotiep_PTATT_LD164&amp;utm_campaign=Japan.giaotiep.hoinhap_16917_CVS_NamNH_110124" TargetMode="External"/><Relationship Id="rId2331" Type="http://schemas.openxmlformats.org/officeDocument/2006/relationships/hyperlink" Target="https://patadovietnam.edu.vn/gtusa1_nhn/?utm_source=Facebook&amp;utm_medium=CVS&amp;utm_term=NEW_UnitedStates_2050_none_270225&amp;utm_content=saletructiep_UnitedStates.M396motHK.1840.giaotiep_PTATT_LD161&amp;utm_campaign=UnitedStates.giaotiep.M396motHK_16917_CVS_NamNH_270225" TargetMode="External"/><Relationship Id="rId1001" Type="http://schemas.openxmlformats.org/officeDocument/2006/relationships/hyperlink" Target="http://ldp.ink/hoinhap_japan" TargetMode="External"/><Relationship Id="rId2332" Type="http://schemas.openxmlformats.org/officeDocument/2006/relationships/hyperlink" Target="https://tinyurl.com/M396HKCVS" TargetMode="External"/><Relationship Id="rId1002" Type="http://schemas.openxmlformats.org/officeDocument/2006/relationships/hyperlink" Target="https://patadovietnam.edu.vn/khoagiaotiep_all/" TargetMode="External"/><Relationship Id="rId2333" Type="http://schemas.openxmlformats.org/officeDocument/2006/relationships/hyperlink" Target="https://patadovietnam.edu.vn/gtusa1_nhn" TargetMode="External"/><Relationship Id="rId1003" Type="http://schemas.openxmlformats.org/officeDocument/2006/relationships/hyperlink" Target="https://patadovietnam.edu.vn/khoagiaotiep_all/?utm_source=Facebook&amp;utm_medium=CVS&amp;utm_term=NEW_Europe_1840_none_110124&amp;utm_content=saletructiep_Europe.hoinhap.1840.giaotiep_PTATT_LD212&amp;utm_campaign=Europe.giaotiep.hoinhap_16917_CVS_NamNH_110124" TargetMode="External"/><Relationship Id="rId2334" Type="http://schemas.openxmlformats.org/officeDocument/2006/relationships/hyperlink" Target="https://patadovietnam.edu.vn/gtusa1_nhn/?utm_source=Facebook&amp;utm_medium=MES&amp;utm_term=NEW_UnitedStates_2050_none_270225&amp;utm_content=saletructiep_UnitedStates.M332XM236.1840.giaotiep_PTATT_LD161&amp;utm_campaign=UnitedStates.giaotiep.M332XM236_16917_MES_NamNH_270225" TargetMode="External"/><Relationship Id="rId1037" Type="http://schemas.openxmlformats.org/officeDocument/2006/relationships/hyperlink" Target="http://ldp.ink/UDBH_HOAKY" TargetMode="External"/><Relationship Id="rId2368" Type="http://schemas.openxmlformats.org/officeDocument/2006/relationships/hyperlink" Target="https://patadovietnam.edu.vn/gtjapan_nhn3" TargetMode="External"/><Relationship Id="rId1038" Type="http://schemas.openxmlformats.org/officeDocument/2006/relationships/hyperlink" Target="https://patadovietnam.edu.vn/tienganhgiaotiep_hn/" TargetMode="External"/><Relationship Id="rId2369" Type="http://schemas.openxmlformats.org/officeDocument/2006/relationships/hyperlink" Target="https://patadovietnam.edu.vn/gtjapan_nhn3/?utm_source=Facebook&amp;utm_medium=CVS&amp;utm_term=NEW_Japan_1840_none_010425&amp;utm_content=saletructiep_Japan.M416xM417.1840.giaotiep_PTATT_LD164&amp;utm_campaign=Japan.giaotiep.M416xM417_16917_CVS_NamNH_010425" TargetMode="External"/><Relationship Id="rId1039" Type="http://schemas.openxmlformats.org/officeDocument/2006/relationships/hyperlink" Target="https://patadovietnam.edu.vn/tienganhgiaotiep_hn/?utm_source=Facebook&amp;utm_medium=MES&amp;utm_term=NEW_Taiwan_1840_none_170124&amp;utm_content=saletructiep_Taiwan.UDBH.1840.giaotiep_PTATT_LD153&amp;utm_campaign=Taiwan.giaotiep.UDBH_95360_MES_NamNH_170124" TargetMode="External"/><Relationship Id="rId206" Type="http://schemas.openxmlformats.org/officeDocument/2006/relationships/hyperlink" Target="http://ldp.to/europegt1_hn" TargetMode="External"/><Relationship Id="rId205" Type="http://schemas.openxmlformats.org/officeDocument/2006/relationships/hyperlink" Target="https://patadovietnam.edu.vn/allcvs_hn/?utm_source=Facebook&amp;utm_medium=CVS&amp;utm_term=NEW_Europe_2045_none_150623&amp;utm_content=saletructiep_Europe.anhgteurope3.2045.giaotiep_PTATT_LD170&amp;utm_campaign=Europe.giaotiep.anhgteurope3_16917_CVS_NamNH_150623" TargetMode="External"/><Relationship Id="rId204" Type="http://schemas.openxmlformats.org/officeDocument/2006/relationships/hyperlink" Target="https://patadovietnam.edu.vn/allcvs_hn" TargetMode="External"/><Relationship Id="rId203" Type="http://schemas.openxmlformats.org/officeDocument/2006/relationships/hyperlink" Target="http://ldp.to/Japancvs_NHN" TargetMode="External"/><Relationship Id="rId209" Type="http://schemas.openxmlformats.org/officeDocument/2006/relationships/hyperlink" Target="http://ldp.ink/Japancvs2_nhn" TargetMode="External"/><Relationship Id="rId208" Type="http://schemas.openxmlformats.org/officeDocument/2006/relationships/hyperlink" Target="https://patadovietnam.edu.vn/japanall_nhn/?utm_source=Facebook&amp;utm_medium=CVS&amp;utm_term=NEW_Japan_1838_none_150623&amp;utm_content=saletructiep_Japan.jh1.1838.giaotiep_PTATT_LD172&amp;utm_campaign=Japan.giaotiep.jh1_16917_CVS_NamNH_150623" TargetMode="External"/><Relationship Id="rId207" Type="http://schemas.openxmlformats.org/officeDocument/2006/relationships/hyperlink" Target="https://patadovietnam.edu.vn/japanall_nhn" TargetMode="External"/><Relationship Id="rId2360" Type="http://schemas.openxmlformats.org/officeDocument/2006/relationships/hyperlink" Target="https://patadovietnam.edu.vn/tienganhgiaotiep_hn/?utm_source=Facebook&amp;utm_medium=LAL&amp;utm_term=NEW_Europe_1840_none_060225&amp;utm_content=saletructiep_Europe.M396baxM105C84.1840.LAL_PTATT_LD153&amp;utm_campaign=Europe.LAL.M396baxM105C84_16917_CVS_NamNH_060225" TargetMode="External"/><Relationship Id="rId1030" Type="http://schemas.openxmlformats.org/officeDocument/2006/relationships/hyperlink" Target="https://patadovietnam.edu.vn/tienganhgiaotiep_hn/?utm_source=Facebook&amp;utm_medium=CVS&amp;utm_term=NEW_Europe_1840_none_150124&amp;utm_content=saletructiep_Europe.videoNTT.1840.giaotiep_PTATT_LD153&amp;utm_campaign=Europe.giaotiep.videoNTT_16917_CVS_NamNH_150124" TargetMode="External"/><Relationship Id="rId2361" Type="http://schemas.openxmlformats.org/officeDocument/2006/relationships/hyperlink" Target="https://tinyurl.com/M396baxM105eu" TargetMode="External"/><Relationship Id="rId1031" Type="http://schemas.openxmlformats.org/officeDocument/2006/relationships/hyperlink" Target="http://ldp.ink/NTT_europe" TargetMode="External"/><Relationship Id="rId2362" Type="http://schemas.openxmlformats.org/officeDocument/2006/relationships/hyperlink" Target="https://patadovietnam.edu.vn/tienganhgiaotiep_hn/" TargetMode="External"/><Relationship Id="rId1032" Type="http://schemas.openxmlformats.org/officeDocument/2006/relationships/hyperlink" Target="https://patadovietnam.edu.vn/tienganhgiaotiep_hn/" TargetMode="External"/><Relationship Id="rId2363" Type="http://schemas.openxmlformats.org/officeDocument/2006/relationships/hyperlink" Target="https://patadovietnam.edu.vn/tienganhgiaotiep_hn/?utm_source=Facebook&amp;utm_medium=CVS&amp;utm_term=NEW_Europe_1840_none_110325&amp;utm_content=saletructiep_Europe.M400xM403.1840.giaotiep_PTATT_LD153&amp;utm_campaign=Europe.giaotiep.M400xM403_16917_CVS_NamNH_110325" TargetMode="External"/><Relationship Id="rId202" Type="http://schemas.openxmlformats.org/officeDocument/2006/relationships/hyperlink" Target="https://patadovietnam.edu.vn/allcvs_hn/?utm_source=Facebook&amp;utm_medium=CVS&amp;utm_term=NEW_Japan_1838_none_120623&amp;utm_content=saletructiep_Japan.anhsale.1838.giaotiep_PTATT_LD170&amp;utm_campaign=Japan.giaotiep.anhsale_16917_CVS_NamNH_120623" TargetMode="External"/><Relationship Id="rId1033" Type="http://schemas.openxmlformats.org/officeDocument/2006/relationships/hyperlink" Target="https://patadovietnam.edu.vn/tienganhgiaotiep_hn/?utm_source=Facebook&amp;utm_medium=MES&amp;utm_term=NEW_Philippines_1840_none_150124&amp;utm_content=saletructiep_Philippines.videoNTT.1840.giaotiep_PTATT_LD153&amp;utm_campaign=Philippines.giaotiep.videoNTT_95360_MES_NamNH_150124" TargetMode="External"/><Relationship Id="rId2364" Type="http://schemas.openxmlformats.org/officeDocument/2006/relationships/hyperlink" Target="https://tinyurl.com/M400xM403EU" TargetMode="External"/><Relationship Id="rId201" Type="http://schemas.openxmlformats.org/officeDocument/2006/relationships/hyperlink" Target="https://patadovietnam.edu.vn/allcvs_hn" TargetMode="External"/><Relationship Id="rId1034" Type="http://schemas.openxmlformats.org/officeDocument/2006/relationships/hyperlink" Target="http://ldp.ink/NTT_philippines" TargetMode="External"/><Relationship Id="rId2365" Type="http://schemas.openxmlformats.org/officeDocument/2006/relationships/hyperlink" Target="https://patadovietnam.edu.vn/tienganhgiaotiep_hn/" TargetMode="External"/><Relationship Id="rId200" Type="http://schemas.openxmlformats.org/officeDocument/2006/relationships/hyperlink" Target="http://ldp.to/koreagt_hn" TargetMode="External"/><Relationship Id="rId1035" Type="http://schemas.openxmlformats.org/officeDocument/2006/relationships/hyperlink" Target="https://patadovietnam.edu.vn/gtusa1_nhn" TargetMode="External"/><Relationship Id="rId2366" Type="http://schemas.openxmlformats.org/officeDocument/2006/relationships/hyperlink" Target="https://patadovietnam.edu.vn/tienganhgiaotiep_hn/?utm_source=Facebook&amp;utm_medium=CVS&amp;utm_term=NEW_Europe_1840_none_010425&amp;utm_content=saletructiep_Europe.M416xM417.1840.giaotiep_PTATT_LD153&amp;utm_campaign=Europe.giaotiep.M416xM417_16917_CVS_NamNH_010425" TargetMode="External"/><Relationship Id="rId1036" Type="http://schemas.openxmlformats.org/officeDocument/2006/relationships/hyperlink" Target="https://patadovietnam.edu.vn/gtusa1_nhn/?utm_source=Facebook&amp;utm_medium=MES&amp;utm_term=NEW_UnitedStates_1840_none_170124&amp;utm_content=saletructiep_UnitedStates.UDBH.1840.giaotiep_PTATT_LD161&amp;utm_campaign=UnitedStates.giaotiep.UDBH_16917_MES_NamNH_170124" TargetMode="External"/><Relationship Id="rId2367" Type="http://schemas.openxmlformats.org/officeDocument/2006/relationships/hyperlink" Target="https://tinyurl.com/M416xM417EU" TargetMode="External"/><Relationship Id="rId1026" Type="http://schemas.openxmlformats.org/officeDocument/2006/relationships/hyperlink" Target="https://patadovietnam.edu.vn/gtusa1_nhn" TargetMode="External"/><Relationship Id="rId2357" Type="http://schemas.openxmlformats.org/officeDocument/2006/relationships/hyperlink" Target="https://patadovietnam.edu.vn/tienganhgiaotiep_hn/" TargetMode="External"/><Relationship Id="rId1027" Type="http://schemas.openxmlformats.org/officeDocument/2006/relationships/hyperlink" Target="https://patadovietnam.edu.vn/gtusa1_nhn/?utm_source=Facebook&amp;utm_medium=MES&amp;utm_term=NEW_UnitedStates_1840_none_150124&amp;utm_content=saletructiep_UnitedStates.videoNTT.1840.giaotiep_PTATT_LD161&amp;utm_campaign=UnitedStates.giaotiep.videoNTT_16917_MES_NamNH_150124" TargetMode="External"/><Relationship Id="rId2358" Type="http://schemas.openxmlformats.org/officeDocument/2006/relationships/hyperlink" Target="https://patadovietnam.edu.vn/tienganhgiaotiep_hn/?utm_source=Facebook&amp;utm_medium=LAL&amp;utm_term=NEW_Europe_1840_none_060225&amp;utm_content=saletructiep_Europe.molopchauauxanhnote.1840.LAL_PTATT_LD153&amp;utm_campaign=Europe.LAL.molopchauauxanhnote_16917_CVS_NamNH_060225" TargetMode="External"/><Relationship Id="rId1028" Type="http://schemas.openxmlformats.org/officeDocument/2006/relationships/hyperlink" Target="http://ldp.ink/NTT_MY" TargetMode="External"/><Relationship Id="rId2359" Type="http://schemas.openxmlformats.org/officeDocument/2006/relationships/hyperlink" Target="https://patadovietnam.edu.vn/tienganhgiaotiep_hn/" TargetMode="External"/><Relationship Id="rId1029" Type="http://schemas.openxmlformats.org/officeDocument/2006/relationships/hyperlink" Target="https://patadovietnam.edu.vn/tienganhgiaotiep_hn/" TargetMode="External"/><Relationship Id="rId2350" Type="http://schemas.openxmlformats.org/officeDocument/2006/relationships/hyperlink" Target="https://patadovietnam.edu.vn/tienganhgiaotiep_hn/?utm_source=Facebook&amp;utm_medium=MES&amp;utm_term=NEW_Australia_1840_none_270225&amp;utm_content=saletructiep_Australia.anhsale10xanhnote.1840.giaotiep_PTATT_LD153&amp;utm_campaign=Australia.giaotiep.anhsale10xanhnote_16917_MES_NamNH_270225" TargetMode="External"/><Relationship Id="rId1020" Type="http://schemas.openxmlformats.org/officeDocument/2006/relationships/hyperlink" Target="https://patadovietnam.edu.vn/gtjapan_nhn3" TargetMode="External"/><Relationship Id="rId2351" Type="http://schemas.openxmlformats.org/officeDocument/2006/relationships/hyperlink" Target="https://tinyurl.com/anhs10xanhnote" TargetMode="External"/><Relationship Id="rId1021" Type="http://schemas.openxmlformats.org/officeDocument/2006/relationships/hyperlink" Target="https://patadovietnam.edu.vn/gtjapan_nhn3/?utm_source=Facebook&amp;utm_medium=CVS&amp;utm_term=NEW_Japan_1840_none_150124&amp;utm_content=saletructiep_Japan.videoNTT.1840.giaotiep_PTATT_LD164&amp;utm_campaign=Japan.giaotiep.videoNTT_16917_CVS_NamNH_150124" TargetMode="External"/><Relationship Id="rId2352" Type="http://schemas.openxmlformats.org/officeDocument/2006/relationships/hyperlink" Target="https://patadovietnam.edu.vn/tienganhgiaotiep_hn/" TargetMode="External"/><Relationship Id="rId1022" Type="http://schemas.openxmlformats.org/officeDocument/2006/relationships/hyperlink" Target="http://ldp.ink/NTT_JAPAN" TargetMode="External"/><Relationship Id="rId2353" Type="http://schemas.openxmlformats.org/officeDocument/2006/relationships/hyperlink" Target="https://patadovietnam.edu.vn/tienganhgiaotiep_hn/?utm_source=Facebook&amp;utm_medium=MES&amp;utm_term=NEW_ALL_1840_none_280225&amp;utm_content=saletructiep_ALL.anhnotexqcpatado1.1840.giaotiep_PTATT_LD153&amp;utm_campaign=ALL.giaotiep.anhnotexqcpatado1_16917_MES_NamNH_280225" TargetMode="External"/><Relationship Id="rId1023" Type="http://schemas.openxmlformats.org/officeDocument/2006/relationships/hyperlink" Target="https://patadovietnam.edu.vn/tienganhgiaotiep_hn/" TargetMode="External"/><Relationship Id="rId2354" Type="http://schemas.openxmlformats.org/officeDocument/2006/relationships/hyperlink" Target="https://tinyurl.com/anxqcptdall" TargetMode="External"/><Relationship Id="rId1024" Type="http://schemas.openxmlformats.org/officeDocument/2006/relationships/hyperlink" Target="https://patadovietnam.edu.vn/tienganhgiaotiep_hn/?utm_source=Facebook&amp;utm_medium=MES&amp;utm_term=NEW_Taiwan_1840_none_150124&amp;utm_content=saletructiep_Taiwan.videoNTT.1840.giaotiep_PTATT_LD153&amp;utm_campaign=Taiwan.giaotiep.videoNTT_16917_MES_NamNH_150124" TargetMode="External"/><Relationship Id="rId2355" Type="http://schemas.openxmlformats.org/officeDocument/2006/relationships/hyperlink" Target="https://patadovietnam.edu.vn/tienganhgiaotiep_hn/" TargetMode="External"/><Relationship Id="rId1025" Type="http://schemas.openxmlformats.org/officeDocument/2006/relationships/hyperlink" Target="http://ldp.ink/NTT_taiwan" TargetMode="External"/><Relationship Id="rId2356" Type="http://schemas.openxmlformats.org/officeDocument/2006/relationships/hyperlink" Target="https://patadovietnam.edu.vn/tienganhgiaotiep_hn/?utm_source=Facebook&amp;utm_medium=RMK&amp;utm_term=NEW_ALL_1840_none_280225&amp;utm_content=saletructiep_ALL.RMK.1840.giaotiep_PTATT_LD153&amp;utm_campaign=ALL.giaotiep.RMK_16917_MES_NamNH_280225" TargetMode="External"/><Relationship Id="rId1910" Type="http://schemas.openxmlformats.org/officeDocument/2006/relationships/hyperlink" Target="https://patadovietnam.edu.vn/tienganhgiaotiep_hn/" TargetMode="External"/><Relationship Id="rId1911" Type="http://schemas.openxmlformats.org/officeDocument/2006/relationships/hyperlink" Target="https://patadovietnam.edu.vn/tienganhgiaotiep_hn/?utm_source=Facebook&amp;utm_medium=CVS&amp;utm_term=NEW_Europe_1840_none_110824&amp;utm_content=saletructiep_Europe.M271.1840.giaotiep_PTATT_LD153&amp;utm_campaign=Europe.giaotiep.M271_16917_CVS_NamNH_110824" TargetMode="External"/><Relationship Id="rId1912" Type="http://schemas.openxmlformats.org/officeDocument/2006/relationships/hyperlink" Target="https://s.net.vn/M271-europe" TargetMode="External"/><Relationship Id="rId1913" Type="http://schemas.openxmlformats.org/officeDocument/2006/relationships/hyperlink" Target="https://patadovietnam.edu.vn/patadoxlead" TargetMode="External"/><Relationship Id="rId1914" Type="http://schemas.openxmlformats.org/officeDocument/2006/relationships/hyperlink" Target="https://patadovietnam.edu.vn/patadoxlead/?utm_source=Facebook&amp;utm_medium=CVS&amp;utm_term=NEW_Vietnam_2030_none_110824&amp;utm_content=saletructiep_Vietnam.MB47.1840.Congso_PTATT_LD231&amp;utm_campaign=Vietnam.Congso.MB47_16917_CVS_NamNH_110824" TargetMode="External"/><Relationship Id="rId1915" Type="http://schemas.openxmlformats.org/officeDocument/2006/relationships/hyperlink" Target="https://s.net.vn/MB47-vietnam" TargetMode="External"/><Relationship Id="rId1916" Type="http://schemas.openxmlformats.org/officeDocument/2006/relationships/hyperlink" Target="https://patadovietnam.edu.vn/patadoxlead" TargetMode="External"/><Relationship Id="rId1917" Type="http://schemas.openxmlformats.org/officeDocument/2006/relationships/hyperlink" Target="https://patadovietnam.edu.vn/patadoxlead/?utm_source=Facebook&amp;utm_medium=CVS&amp;utm_term=NEW_Vietnam_2030_none_110824&amp;utm_content=saletructiep_Vietnam.MB100.1840.Congso_PTATT_LD231&amp;utm_campaign=Vietnam.Congso.MB100_16917_CVS_NamNH_110824" TargetMode="External"/><Relationship Id="rId1918" Type="http://schemas.openxmlformats.org/officeDocument/2006/relationships/hyperlink" Target="https://s.net.vn/MB100-vietnam" TargetMode="External"/><Relationship Id="rId1919" Type="http://schemas.openxmlformats.org/officeDocument/2006/relationships/hyperlink" Target="https://patadovietnam.edu.vn/patadoxlead" TargetMode="External"/><Relationship Id="rId1900" Type="http://schemas.openxmlformats.org/officeDocument/2006/relationships/hyperlink" Target="https://s.net.vn/M271-USA" TargetMode="External"/><Relationship Id="rId1901" Type="http://schemas.openxmlformats.org/officeDocument/2006/relationships/hyperlink" Target="https://patadovietnam.edu.vn/tienganhgiaotiep_hn/" TargetMode="External"/><Relationship Id="rId1902" Type="http://schemas.openxmlformats.org/officeDocument/2006/relationships/hyperlink" Target="https://patadovietnam.edu.vn/tienganhgiaotiep_hn/?utm_source=Facebook&amp;utm_medium=CVS&amp;utm_term=NEW_Japan_1840_none_110824&amp;utm_content=saletructiep_Japan.M271.1840.giaotiep_PTATT_LD153&amp;utm_campaign=Japan.giaotiep.M271_16917_CVS_NamNH_110824" TargetMode="External"/><Relationship Id="rId1903" Type="http://schemas.openxmlformats.org/officeDocument/2006/relationships/hyperlink" Target="https://s.net.vn/M271-Japan" TargetMode="External"/><Relationship Id="rId1904" Type="http://schemas.openxmlformats.org/officeDocument/2006/relationships/hyperlink" Target="https://patadovietnam.edu.vn/tienganhgiaotiep_hn/" TargetMode="External"/><Relationship Id="rId1905" Type="http://schemas.openxmlformats.org/officeDocument/2006/relationships/hyperlink" Target="https://patadovietnam.edu.vn/tienganhgiaotiep_hn/?utm_source=Facebook&amp;utm_medium=MES&amp;utm_term=NEW_KoreaSouth_1840_none_110824&amp;utm_content=saletructiep_KoreaSouth.M271.1840.giaotiep_PTATT_LD153&amp;utm_campaign=KoreaSouth.giaotiep.M271_16917_MES_NamNH_110824" TargetMode="External"/><Relationship Id="rId1906" Type="http://schemas.openxmlformats.org/officeDocument/2006/relationships/hyperlink" Target="https://s.net.vn/M271-koreasouth" TargetMode="External"/><Relationship Id="rId1907" Type="http://schemas.openxmlformats.org/officeDocument/2006/relationships/hyperlink" Target="https://patadovietnam.edu.vn/tienganhgiaotiep_hn/" TargetMode="External"/><Relationship Id="rId1908" Type="http://schemas.openxmlformats.org/officeDocument/2006/relationships/hyperlink" Target="https://patadovietnam.edu.vn/tienganhgiaotiep_hn/?utm_source=Facebook&amp;utm_medium=MES&amp;utm_term=NEW_Philippines_1840_none_110824&amp;utm_content=saletructiep_Philippines.M271.1840.giaotiep_PTATT_LD153&amp;utm_campaign=Philippines.giaotiep.M271_16917_MES_NamNH_110824" TargetMode="External"/><Relationship Id="rId1909" Type="http://schemas.openxmlformats.org/officeDocument/2006/relationships/hyperlink" Target="https://s.net.vn/M271-philippines" TargetMode="External"/><Relationship Id="rId1090" Type="http://schemas.openxmlformats.org/officeDocument/2006/relationships/hyperlink" Target="https://patadovietnam.edu.vn/tienganhgiaotiep_hn/?utm_source=Facebook&amp;utm_medium=CVS&amp;utm_term=NEW_Europe_1840_none_250124&amp;utm_content=saletructiep_Europe.qcpatado1.1840.giaotiep_PTATT_LD153&amp;utm_campaign=Europe.giaotiep.qcpatado1_16917_CVS_NamNH_250124" TargetMode="External"/><Relationship Id="rId1091" Type="http://schemas.openxmlformats.org/officeDocument/2006/relationships/hyperlink" Target="http://ldp.ink/qcpatado_europe" TargetMode="External"/><Relationship Id="rId1092" Type="http://schemas.openxmlformats.org/officeDocument/2006/relationships/hyperlink" Target="https://patadovietnam.edu.vn/gtusa1_nhn" TargetMode="External"/><Relationship Id="rId1093" Type="http://schemas.openxmlformats.org/officeDocument/2006/relationships/hyperlink" Target="https://patadovietnam.edu.vn/gtusa1_nhn/?utm_source=Facebook&amp;utm_medium=MES&amp;utm_term=NEW_UnitedStates_1840_none_250124&amp;utm_content=saletructiep_UnitedStates.JulieCarter.1840.giaotiep_PTATT_LD161&amp;utm_campaign=UnitedStates.giaotiep.JulieCarter_16917_MES_NamNH_250124" TargetMode="External"/><Relationship Id="rId1094" Type="http://schemas.openxmlformats.org/officeDocument/2006/relationships/hyperlink" Target="http://ldp.ink/JC_hoaky" TargetMode="External"/><Relationship Id="rId1095" Type="http://schemas.openxmlformats.org/officeDocument/2006/relationships/hyperlink" Target="https://patadovietnam.edu.vn/gtjapan_nhn3" TargetMode="External"/><Relationship Id="rId1096" Type="http://schemas.openxmlformats.org/officeDocument/2006/relationships/hyperlink" Target="https://patadovietnam.edu.vn/gtjapan_nhn3/?utm_source=Facebook&amp;utm_medium=CVS&amp;utm_term=NEW_Japan_1840_none_250124&amp;utm_content=saletructiep_Japan.JulieCarter.1840.giaotiep_PTATT_LD164&amp;utm_campaign=Japan.giaotiep.JulieCarter_16917_CVS_NamNH_250124" TargetMode="External"/><Relationship Id="rId1097" Type="http://schemas.openxmlformats.org/officeDocument/2006/relationships/hyperlink" Target="http://ldp.ink/JC_japan" TargetMode="External"/><Relationship Id="rId1098" Type="http://schemas.openxmlformats.org/officeDocument/2006/relationships/hyperlink" Target="https://patadovietnam.edu.vn/tienganhgiaotiep_hn/" TargetMode="External"/><Relationship Id="rId1099" Type="http://schemas.openxmlformats.org/officeDocument/2006/relationships/hyperlink" Target="https://patadovietnam.edu.vn/tienganhgiaotiep_hn/?utm_source=Facebook&amp;utm_medium=CVS&amp;utm_term=NEW_Europe_1840_none_250124&amp;utm_content=saletructiep_Europe.JulieCarter.1840.giaotiep_PTATT_LD153&amp;utm_campaign=Europe.giaotiep.JulieCarter_16917_CVS_NamNH_250124" TargetMode="External"/><Relationship Id="rId1080" Type="http://schemas.openxmlformats.org/officeDocument/2006/relationships/hyperlink" Target="https://patadovietnam.edu.vn/tienganhgiaotiep_hn/" TargetMode="External"/><Relationship Id="rId1081" Type="http://schemas.openxmlformats.org/officeDocument/2006/relationships/hyperlink" Target="https://patadovietnam.edu.vn/tienganhgiaotiep_hn/?utm_source=Facebook&amp;utm_medium=CVS&amp;utm_term=NEW_Europe_1840_none_250124&amp;utm_content=saletructiep_Europe.videoTTTH.1840.giaotiep_PTATT_LD153&amp;utm_campaign=Europe.giaotiep.videoTTTH_16917_CVS_NamNH_250124" TargetMode="External"/><Relationship Id="rId1082" Type="http://schemas.openxmlformats.org/officeDocument/2006/relationships/hyperlink" Target="http://ldp.ink/TTTH_chauau" TargetMode="External"/><Relationship Id="rId1083" Type="http://schemas.openxmlformats.org/officeDocument/2006/relationships/hyperlink" Target="https://patadovietnam.edu.vn/gtjapan_nhn3" TargetMode="External"/><Relationship Id="rId1084" Type="http://schemas.openxmlformats.org/officeDocument/2006/relationships/hyperlink" Target="https://patadovietnam.edu.vn/gtjapan_nhn3/?utm_source=Facebook&amp;utm_medium=CVS&amp;utm_term=NEW_Japan_1840_none_250124&amp;utm_content=saletructiep_Japan.qcpatado1.1840.giaotiep_PTATT_LD164&amp;utm_campaign=Japan.giaotiep.qcpatado1_16917_CVS_NamNH_250124" TargetMode="External"/><Relationship Id="rId1085" Type="http://schemas.openxmlformats.org/officeDocument/2006/relationships/hyperlink" Target="http://ldp.ink/qcpatado_japan" TargetMode="External"/><Relationship Id="rId1086" Type="http://schemas.openxmlformats.org/officeDocument/2006/relationships/hyperlink" Target="https://patadovietnam.edu.vn/gtusa1_nhn" TargetMode="External"/><Relationship Id="rId1087" Type="http://schemas.openxmlformats.org/officeDocument/2006/relationships/hyperlink" Target="https://patadovietnam.edu.vn/gtusa1_nhn/?utm_source=Facebook&amp;utm_medium=MES&amp;utm_term=NEW_UnitedStates_1840_none_250124&amp;utm_content=saletructiep_UnitedStates.qcpatado1.1840.giaotiep_PTATT_LD161&amp;utm_campaign=UnitedStates.giaotiep.qcpatado1_16917_MES_NamNH_250124" TargetMode="External"/><Relationship Id="rId1088" Type="http://schemas.openxmlformats.org/officeDocument/2006/relationships/hyperlink" Target="http://ldp.ink/qcpatado_my" TargetMode="External"/><Relationship Id="rId1089" Type="http://schemas.openxmlformats.org/officeDocument/2006/relationships/hyperlink" Target="https://patadovietnam.edu.vn/tienganhgiaotiep_hn/" TargetMode="External"/><Relationship Id="rId1972" Type="http://schemas.openxmlformats.org/officeDocument/2006/relationships/hyperlink" Target="https://s.net.vn/M277-europe" TargetMode="External"/><Relationship Id="rId1973" Type="http://schemas.openxmlformats.org/officeDocument/2006/relationships/hyperlink" Target="https://patadovietnam.edu.vn/tienganhgiaotiep_hn/" TargetMode="External"/><Relationship Id="rId1974" Type="http://schemas.openxmlformats.org/officeDocument/2006/relationships/hyperlink" Target="https://patadovietnam.edu.vn/tienganhgiaotiep_hn/?utm_source=Facebook&amp;utm_medium=CVS&amp;utm_term=NEW_Europe_1840_none_220824&amp;utm_content=saletructiep_Europe.qcpatado2.1840.giaotiep_PTATT_LD153&amp;utm_campaign=Europe.giaotiep.qcpatado2_16917_CVS_NamNH_220824" TargetMode="External"/><Relationship Id="rId1975" Type="http://schemas.openxmlformats.org/officeDocument/2006/relationships/hyperlink" Target="https://s.net.vn/qcpatado2-europe" TargetMode="External"/><Relationship Id="rId1976" Type="http://schemas.openxmlformats.org/officeDocument/2006/relationships/hyperlink" Target="https://patadovietnam.edu.vn/tienganhgiaotiep_hn/" TargetMode="External"/><Relationship Id="rId1977" Type="http://schemas.openxmlformats.org/officeDocument/2006/relationships/hyperlink" Target="https://patadovietnam.edu.vn/tienganhgiaotiep_hn/?utm_source=Facebook&amp;utm_medium=MES&amp;utm_term=NEW_Philippines_1840_none_090924&amp;utm_content=saletructiep_Philippines.PTKOC1.1840.giaotiep_PTATT_LD153&amp;utm_campaign=Philippines.giaotiep.PTKOC1_16917_MES_NamNH_090924" TargetMode="External"/><Relationship Id="rId1978" Type="http://schemas.openxmlformats.org/officeDocument/2006/relationships/hyperlink" Target="https://s.net.vn/PTKOC1-philippines" TargetMode="External"/><Relationship Id="rId1979" Type="http://schemas.openxmlformats.org/officeDocument/2006/relationships/hyperlink" Target="https://patadovietnam.edu.vn/tienganhgiaotiep_hn/" TargetMode="External"/><Relationship Id="rId1970" Type="http://schemas.openxmlformats.org/officeDocument/2006/relationships/hyperlink" Target="https://patadovietnam.edu.vn/tienganhgiaotiep_hn/" TargetMode="External"/><Relationship Id="rId1971" Type="http://schemas.openxmlformats.org/officeDocument/2006/relationships/hyperlink" Target="https://patadovietnam.edu.vn/tienganhgiaotiep_hn/?utm_source=Facebook&amp;utm_medium=CVS&amp;utm_term=NEW_Europe_1840_none_220824&amp;utm_content=saletructiep_Europe.M277.1840.giaotiep_PTATT_LD153&amp;utm_campaign=Europe.giaotiep.M277_16917_CVS_NamNH_220824" TargetMode="External"/><Relationship Id="rId1961" Type="http://schemas.openxmlformats.org/officeDocument/2006/relationships/hyperlink" Target="https://patadovietnam.edu.vn/patadoxlead" TargetMode="External"/><Relationship Id="rId1962" Type="http://schemas.openxmlformats.org/officeDocument/2006/relationships/hyperlink" Target="https://patadovietnam.edu.vn/patadoxlead/?utm_source=Facebook&amp;utm_medium=MES&amp;utm_term=NEW_Vietnam_2035_none_220824&amp;utm_content=saletructiep_Vietnam.MB57.1840.congso_PTATT_LD231&amp;utm_campaign=Vietnam.Congso.MB57_16917_MES_NamNH_220824" TargetMode="External"/><Relationship Id="rId1963" Type="http://schemas.openxmlformats.org/officeDocument/2006/relationships/hyperlink" Target="https://s.net.vn/MB57-vietnam" TargetMode="External"/><Relationship Id="rId1964" Type="http://schemas.openxmlformats.org/officeDocument/2006/relationships/hyperlink" Target="https://patadovietnam.edu.vn/patadoxlead" TargetMode="External"/><Relationship Id="rId1965" Type="http://schemas.openxmlformats.org/officeDocument/2006/relationships/hyperlink" Target="https://patadovietnam.edu.vn/patadoxlead/?utm_source=Facebook&amp;utm_medium=MES&amp;utm_term=NEW_Vietnam_2035_none_220824&amp;utm_content=saletructiep_Vietnam.MB24.1840.congso_PTATT_LD231&amp;utm_campaign=Vietnam.Congso.MB24_16917_MES_NamNH_220824" TargetMode="External"/><Relationship Id="rId1966" Type="http://schemas.openxmlformats.org/officeDocument/2006/relationships/hyperlink" Target="https://s.net.vn/MB24-vietnam" TargetMode="External"/><Relationship Id="rId1967" Type="http://schemas.openxmlformats.org/officeDocument/2006/relationships/hyperlink" Target="https://patadovietnam.edu.vn/japan_hn/" TargetMode="External"/><Relationship Id="rId1968" Type="http://schemas.openxmlformats.org/officeDocument/2006/relationships/hyperlink" Target="https://patadovietnam.edu.vn/japan_hn/?utm_source=Facebook&amp;utm_medium=CVS&amp;utm_term=NEW_Japan_1840_none_090924&amp;utm_content=saletructiep_Japan.qcpatado2.1840.giaotiep_PTATT_LD221&amp;utm_campaign=Japan.giaotiep.qcpatado2_16917_CVS_NamNH_090924" TargetMode="External"/><Relationship Id="rId1969" Type="http://schemas.openxmlformats.org/officeDocument/2006/relationships/hyperlink" Target="https://s.net.vn/qcpatado2-japan" TargetMode="External"/><Relationship Id="rId1960" Type="http://schemas.openxmlformats.org/officeDocument/2006/relationships/hyperlink" Target="https://s.net.vn/M268-all" TargetMode="External"/><Relationship Id="rId1994" Type="http://schemas.openxmlformats.org/officeDocument/2006/relationships/hyperlink" Target="https://patadovietnam.edu.vn/gtusa1_nhn" TargetMode="External"/><Relationship Id="rId1995" Type="http://schemas.openxmlformats.org/officeDocument/2006/relationships/hyperlink" Target="https://patadovietnam.edu.vn/gtusa1_nhn/?utm_source=Facebook&amp;utm_medium=MES&amp;utm_term=NEW_UnitedStates_1840_none_170924&amp;utm_content=saletructiep_UnitedStates.M278.1840.giaotiep_PTATT_LD161&amp;utm_campaign=UnitedStates.giaotiep.M278_16917_MES_NamNH_170924" TargetMode="External"/><Relationship Id="rId1996" Type="http://schemas.openxmlformats.org/officeDocument/2006/relationships/hyperlink" Target="https://patadovietnam.edu.vn/gtusa1_nhn" TargetMode="External"/><Relationship Id="rId1997" Type="http://schemas.openxmlformats.org/officeDocument/2006/relationships/hyperlink" Target="https://patadovietnam.edu.vn/gtusa1_nhn/?utm_source=Facebook&amp;utm_medium=MES&amp;utm_term=NEW_UnitedStates_1840_none_170924&amp;utm_content=saletructiep_UnitedStates.M271.1840.giaotiep_PTATT_LD161&amp;utm_campaign=UnitedStates.giaotiep.M271_16917_MES_NamNH_170924" TargetMode="External"/><Relationship Id="rId1998" Type="http://schemas.openxmlformats.org/officeDocument/2006/relationships/hyperlink" Target="https://s.net.vn/M271-HOAKY" TargetMode="External"/><Relationship Id="rId1999" Type="http://schemas.openxmlformats.org/officeDocument/2006/relationships/hyperlink" Target="https://patadovietnam.edu.vn/tienganhgiaotiep_hn/" TargetMode="External"/><Relationship Id="rId1990" Type="http://schemas.openxmlformats.org/officeDocument/2006/relationships/hyperlink" Target="https://s.net.vn/TAGTTT2-philippines" TargetMode="External"/><Relationship Id="rId1991" Type="http://schemas.openxmlformats.org/officeDocument/2006/relationships/hyperlink" Target="https://patadovietnam.edu.vn/tienganhgiaotiep_hn/" TargetMode="External"/><Relationship Id="rId1992" Type="http://schemas.openxmlformats.org/officeDocument/2006/relationships/hyperlink" Target="https://patadovietnam.edu.vn/tienganhgiaotiep_hn/?utm_source=Facebook&amp;utm_medium=MES&amp;utm_term=NEW_KoreaSouth_1840_none_150924&amp;utm_content=saletructiep_KoreaSouth.M278.1840.giaotiep_PTATT_LD153&amp;utm_campaign=KoreaSouth.giaotiep.M278_16917_MES_NamNH_150924" TargetMode="External"/><Relationship Id="rId1993" Type="http://schemas.openxmlformats.org/officeDocument/2006/relationships/hyperlink" Target="https://s.net.vn/M278-korea" TargetMode="External"/><Relationship Id="rId1983" Type="http://schemas.openxmlformats.org/officeDocument/2006/relationships/hyperlink" Target="https://patadovietnam.edu.vn/tienganhgiaotiep_hn/?utm_source=Facebook&amp;utm_medium=CVS&amp;utm_term=NEW_Europe_1840_none_120924&amp;utm_content=saletructiep_Europe.M271.1.1840.giaotiep_PTATT_LD153&amp;utm_campaign=Europe.giaotiep.M271.1_16917_CVS_NamNH_120924" TargetMode="External"/><Relationship Id="rId1984" Type="http://schemas.openxmlformats.org/officeDocument/2006/relationships/hyperlink" Target="https://s.net.vn/M271-1-europe" TargetMode="External"/><Relationship Id="rId1985" Type="http://schemas.openxmlformats.org/officeDocument/2006/relationships/hyperlink" Target="https://patadovietnam.edu.vn/tienganhgiaotiep_hn/" TargetMode="External"/><Relationship Id="rId1986" Type="http://schemas.openxmlformats.org/officeDocument/2006/relationships/hyperlink" Target="https://patadovietnam.edu.vn/tienganhgiaotiep_hn/?utm_source=Facebook&amp;utm_medium=CVS&amp;utm_term=NEW_Europe_1840_none_120924&amp;utm_content=saletructiep_Europe.tienganhgiaotiep1.1840.giaotiep_PTATT_LD153&amp;utm_campaign=Europe.giaotiep.tienganhgiaotiep1_16917_CVS_NamNH_120924" TargetMode="External"/><Relationship Id="rId1987" Type="http://schemas.openxmlformats.org/officeDocument/2006/relationships/hyperlink" Target="https://s.net.vn/TAGTTT-europe" TargetMode="External"/><Relationship Id="rId1988" Type="http://schemas.openxmlformats.org/officeDocument/2006/relationships/hyperlink" Target="https://patadovietnam.edu.vn/tienganhgiaotiep_hn/" TargetMode="External"/><Relationship Id="rId1989" Type="http://schemas.openxmlformats.org/officeDocument/2006/relationships/hyperlink" Target="https://patadovietnam.edu.vn/tienganhgiaotiep_hn/?utm_source=Facebook&amp;utm_medium=MES&amp;utm_term=NEW_Philippines_1840_none_120924&amp;utm_content=saletructiep_Philippines.tienganhgiaotiep2.1840.giaotiep_PTATT_LD153&amp;utm_campaign=Philippines.giaotiep.tienganhgiaotiep2_16917_MES_NamNH_120924" TargetMode="External"/><Relationship Id="rId1980" Type="http://schemas.openxmlformats.org/officeDocument/2006/relationships/hyperlink" Target="https://patadovietnam.edu.vn/tienganhgiaotiep_hn/?utm_source=Facebook&amp;utm_medium=MES&amp;utm_term=NEW_ALL_1840_none_090924&amp;utm_content=saletructiep_ALL.CTT.1840.giaotiep_PTATT_LD153&amp;utm_campaign=ALL.giaotiep.CTT_16917_MES_NamNH_090924" TargetMode="External"/><Relationship Id="rId1981" Type="http://schemas.openxmlformats.org/officeDocument/2006/relationships/hyperlink" Target="https://s.net.vn/CTT-all" TargetMode="External"/><Relationship Id="rId1982" Type="http://schemas.openxmlformats.org/officeDocument/2006/relationships/hyperlink" Target="https://patadovietnam.edu.vn/tienganhgiaotiep_hn/" TargetMode="External"/><Relationship Id="rId1930" Type="http://schemas.openxmlformats.org/officeDocument/2006/relationships/hyperlink" Target="https://s.net.vn/MB51-vietnam" TargetMode="External"/><Relationship Id="rId1931" Type="http://schemas.openxmlformats.org/officeDocument/2006/relationships/hyperlink" Target="https://patadovietnam.edu.vn/patadoxlead" TargetMode="External"/><Relationship Id="rId1932" Type="http://schemas.openxmlformats.org/officeDocument/2006/relationships/hyperlink" Target="https://patadovietnam.edu.vn/patadoxlead/?utm_source=Facebook&amp;utm_medium=MES&amp;utm_term=NEW_Vietnam_2035_none_200824&amp;utm_content=saletructiep_Vietnam.MB52.1840.congso_PTATT_LD231&amp;utm_campaign=Vietnam.Congso.MB52_16917_MES_NamNH_200824" TargetMode="External"/><Relationship Id="rId1933" Type="http://schemas.openxmlformats.org/officeDocument/2006/relationships/hyperlink" Target="https://s.net.vn/MB52-vietnam" TargetMode="External"/><Relationship Id="rId1934" Type="http://schemas.openxmlformats.org/officeDocument/2006/relationships/hyperlink" Target="https://patadovietnam.edu.vn/patadoxlead" TargetMode="External"/><Relationship Id="rId1935" Type="http://schemas.openxmlformats.org/officeDocument/2006/relationships/hyperlink" Target="https://patadovietnam.edu.vn/patadoxlead/?utm_source=Facebook&amp;utm_medium=MES&amp;utm_term=NEW_Vietnam_2035_none_200824&amp;utm_content=saletructiep_Vietnam.MB52.1840.congso_PTATT_LD231&amp;utm_campaign=Vietnam.Congso.MB53_16917_MES_NamNH_200824" TargetMode="External"/><Relationship Id="rId1936" Type="http://schemas.openxmlformats.org/officeDocument/2006/relationships/hyperlink" Target="https://s.net.vn/MB53-vietnam" TargetMode="External"/><Relationship Id="rId1937" Type="http://schemas.openxmlformats.org/officeDocument/2006/relationships/hyperlink" Target="https://patadovietnam.edu.vn/gtusa1_nhn" TargetMode="External"/><Relationship Id="rId1938" Type="http://schemas.openxmlformats.org/officeDocument/2006/relationships/hyperlink" Target="https://patadovietnam.edu.vn/gtusa1_nhn/?utm_source=Facebook&amp;utm_medium=MES&amp;utm_term=NEW_UnitedStates_1840_none_220824&amp;utm_content=saletructiep_UnitedStates.M276.1840.giaotiep_PTATT_LD161&amp;utm_campaign=UnitedStates.giaotiep.M276_16917_MES_NamNH_220824" TargetMode="External"/><Relationship Id="rId1939" Type="http://schemas.openxmlformats.org/officeDocument/2006/relationships/hyperlink" Target="https://s.net.vn/M276-usa" TargetMode="External"/><Relationship Id="rId1920" Type="http://schemas.openxmlformats.org/officeDocument/2006/relationships/hyperlink" Target="https://patadovietnam.edu.vn/patadoxlead/?utm_source=Facebook&amp;utm_medium=MES&amp;utm_term=NEW_Vietnam_2035_none_140824&amp;utm_content=saletructiep_Vietnam.MB49.1840.congso_PTATT_LD231&amp;utm_campaign=Vietnam.Congso.MB49_16917_MES_NamNH_140824" TargetMode="External"/><Relationship Id="rId1921" Type="http://schemas.openxmlformats.org/officeDocument/2006/relationships/hyperlink" Target="https://s.net.vn/MB49-vietnam" TargetMode="External"/><Relationship Id="rId1922" Type="http://schemas.openxmlformats.org/officeDocument/2006/relationships/hyperlink" Target="https://docs.google.com/forms/d/1zaOdpSo0gx4FjBK5SGbcqd3eeGvvZUTUst3QjANn3qI/edit" TargetMode="External"/><Relationship Id="rId1923" Type="http://schemas.openxmlformats.org/officeDocument/2006/relationships/hyperlink" Target="https://docs.google.com/forms/d/1zaOdpSo0gx4FjBK5SGbcqd3eeGvvZUTUst3QjANn3qI/edit/?utm_source=Facebook&amp;utm_medium=MES&amp;utm_term=NEW_Vietnam_2035_none_140824&amp;utm_content=saletructiep_Vietnam.MB1000.1840.congso_PTATT_LD232&amp;utm_campaign=Vietnam.Congso.MB1000_16917_MES_NamNH_140824" TargetMode="External"/><Relationship Id="rId1924" Type="http://schemas.openxmlformats.org/officeDocument/2006/relationships/hyperlink" Target="https://s.net.vn/MB1000-vietnam" TargetMode="External"/><Relationship Id="rId1925" Type="http://schemas.openxmlformats.org/officeDocument/2006/relationships/hyperlink" Target="https://patadovietnam.edu.vn/patadoxlead" TargetMode="External"/><Relationship Id="rId1926" Type="http://schemas.openxmlformats.org/officeDocument/2006/relationships/hyperlink" Target="https://patadovietnam.edu.vn/patadoxlead/?utm_source=Facebook&amp;utm_medium=MES&amp;utm_term=NEW_Vietnam_2035_none_200824&amp;utm_content=saletructiep_Vietnam.MB48.1840.congso_PTATT_LD231&amp;utm_campaign=Vietnam.Congso.MB48_16917_MES_NamNH_200824" TargetMode="External"/><Relationship Id="rId1927" Type="http://schemas.openxmlformats.org/officeDocument/2006/relationships/hyperlink" Target="https://s.net.vn/MB50-vietnam" TargetMode="External"/><Relationship Id="rId1928" Type="http://schemas.openxmlformats.org/officeDocument/2006/relationships/hyperlink" Target="https://patadovietnam.edu.vn/patadoxlead" TargetMode="External"/><Relationship Id="rId1929" Type="http://schemas.openxmlformats.org/officeDocument/2006/relationships/hyperlink" Target="https://patadovietnam.edu.vn/patadoxlead/?utm_source=Facebook&amp;utm_medium=MES&amp;utm_term=NEW_Vietnam_2035_none_200824&amp;utm_content=saletructiep_Vietnam.MB51.1840.congso_PTATT_LD231&amp;utm_campaign=Vietnam.Congso.MB51_16917_MES_NamNH_200824" TargetMode="External"/><Relationship Id="rId1950" Type="http://schemas.openxmlformats.org/officeDocument/2006/relationships/hyperlink" Target="https://patadovietnam.edu.vn/gtusa1_nhn/?utm_source=Facebook&amp;utm_medium=MES&amp;utm_term=NEW_UnitedStates_1840_none_220824&amp;utm_content=saletructiep_UnitedStates.M268.1840.giaotiep_PTATT_LD161&amp;utm_campaign=UnitedStates.giaotiep.M268_16917_MES_NamNH_220824" TargetMode="External"/><Relationship Id="rId1951" Type="http://schemas.openxmlformats.org/officeDocument/2006/relationships/hyperlink" Target="https://s.net.vn/M268-usa" TargetMode="External"/><Relationship Id="rId1952" Type="http://schemas.openxmlformats.org/officeDocument/2006/relationships/hyperlink" Target="https://patadovietnam.edu.vn/tienganhgiaotiep_hn/" TargetMode="External"/><Relationship Id="rId1953" Type="http://schemas.openxmlformats.org/officeDocument/2006/relationships/hyperlink" Target="https://patadovietnam.edu.vn/tienganhgiaotiep_hn/?utm_source=Facebook&amp;utm_medium=CVS&amp;utm_term=NEW_Europe_1840_none_220824&amp;utm_content=saletructiep_Europe.M268.1840.giaotiep_PTATT_LD153&amp;utm_campaign=Europe.giaotiep.M268_16917_CVS_NamNH_220824" TargetMode="External"/><Relationship Id="rId1954" Type="http://schemas.openxmlformats.org/officeDocument/2006/relationships/hyperlink" Target="https://s.net.vn/M268-europe" TargetMode="External"/><Relationship Id="rId1955" Type="http://schemas.openxmlformats.org/officeDocument/2006/relationships/hyperlink" Target="https://patadovietnam.edu.vn/gtjapan_nhn3" TargetMode="External"/><Relationship Id="rId1956" Type="http://schemas.openxmlformats.org/officeDocument/2006/relationships/hyperlink" Target="https://patadovietnam.edu.vn/gtjapan_nhn3/?utm_source=Facebook&amp;utm_medium=CVS&amp;utm_term=NEW_Japan_1840_none_220824&amp;utm_content=saletructiep_Japan.M268.1840.giaotiep_PTATT_LD164&amp;utm_campaign=Japan.giaotiep.M268_16917_CVS_NamNH_220824" TargetMode="External"/><Relationship Id="rId1957" Type="http://schemas.openxmlformats.org/officeDocument/2006/relationships/hyperlink" Target="https://s.net.vn/M268-japan" TargetMode="External"/><Relationship Id="rId1958" Type="http://schemas.openxmlformats.org/officeDocument/2006/relationships/hyperlink" Target="https://patadovietnam.edu.vn/tienganhgiaotiep_hn/" TargetMode="External"/><Relationship Id="rId1959" Type="http://schemas.openxmlformats.org/officeDocument/2006/relationships/hyperlink" Target="https://patadovietnam.edu.vn/tienganhgiaotiep_hn/?utm_source=Facebook&amp;utm_medium=MES&amp;utm_term=NEW_ALL_1840_none_220824&amp;utm_content=saletructiep_ALL.M268.1840.giaotiep_PTATT_LD153&amp;utm_campaign=ALL.giaotiep.M268_16917_MES_NamNH_220824" TargetMode="External"/><Relationship Id="rId1940" Type="http://schemas.openxmlformats.org/officeDocument/2006/relationships/hyperlink" Target="https://patadovietnam.edu.vn/tienganhgiaotiep_hn/" TargetMode="External"/><Relationship Id="rId1941" Type="http://schemas.openxmlformats.org/officeDocument/2006/relationships/hyperlink" Target="https://patadovietnam.edu.vn/tienganhgiaotiep_hn/?utm_source=Facebook&amp;utm_medium=CVS&amp;utm_term=NEW_Europe_1840_none_220824&amp;utm_content=saletructiep_Europe.M276.1840.giaotiep_PTATT_LD153&amp;utm_campaign=Europe.giaotiep.M276_16917_CVS_NamNH_220824" TargetMode="External"/><Relationship Id="rId1942" Type="http://schemas.openxmlformats.org/officeDocument/2006/relationships/hyperlink" Target="https://s.net.vn/M276-europe" TargetMode="External"/><Relationship Id="rId1943" Type="http://schemas.openxmlformats.org/officeDocument/2006/relationships/hyperlink" Target="https://patadovietnam.edu.vn/gtjapan_nhn3" TargetMode="External"/><Relationship Id="rId1944" Type="http://schemas.openxmlformats.org/officeDocument/2006/relationships/hyperlink" Target="https://patadovietnam.edu.vn/gtjapan_nhn3/?utm_source=Facebook&amp;utm_medium=CVS&amp;utm_term=NEW_Japan_1840_none_220824&amp;utm_content=saletructiep_Japan.M276.1840.giaotiep_PTATT_LD164&amp;utm_campaign=Japan.giaotiep.M276_16917_CVS_NamNH_220824" TargetMode="External"/><Relationship Id="rId1945" Type="http://schemas.openxmlformats.org/officeDocument/2006/relationships/hyperlink" Target="https://s.net.vn/M276-japan" TargetMode="External"/><Relationship Id="rId1946" Type="http://schemas.openxmlformats.org/officeDocument/2006/relationships/hyperlink" Target="https://patadovietnam.edu.vn/tienganhgiaotiep_hn/" TargetMode="External"/><Relationship Id="rId1947" Type="http://schemas.openxmlformats.org/officeDocument/2006/relationships/hyperlink" Target="https://patadovietnam.edu.vn/tienganhgiaotiep_hn/?utm_source=Facebook&amp;utm_medium=MES&amp;utm_term=NEW_ALL_1840_none_220824&amp;utm_content=saletructiep_ALL.M276.1840.giaotiep_PTATT_LD153&amp;utm_campaign=ALL.giaotiep.M276_16917_MES_NamNH_220824" TargetMode="External"/><Relationship Id="rId1948" Type="http://schemas.openxmlformats.org/officeDocument/2006/relationships/hyperlink" Target="https://s.net.vn/M276-all" TargetMode="External"/><Relationship Id="rId1949" Type="http://schemas.openxmlformats.org/officeDocument/2006/relationships/hyperlink" Target="https://patadovietnam.edu.vn/gtusa1_nhn" TargetMode="External"/><Relationship Id="rId2423" Type="http://schemas.openxmlformats.org/officeDocument/2006/relationships/hyperlink" Target="https://patadovietnam.edu.vn/tienganhgiaotiep_hn/?utm_source=Facebook&amp;utm_medium=MES&amp;utm_term=NEW_ALL_1840_none_160525&amp;utm_content=saletructiep_ALL.M269xM236.1840.giaotiep_PTATT_LD153&amp;utm_campaign=ALL.giaotiep.M269xM236_16917_MES_NamNH_160525" TargetMode="External"/><Relationship Id="rId2424" Type="http://schemas.openxmlformats.org/officeDocument/2006/relationships/hyperlink" Target="https://tinyurl.com/M269xM236ALL" TargetMode="External"/><Relationship Id="rId2425" Type="http://schemas.openxmlformats.org/officeDocument/2006/relationships/hyperlink" Target="https://patadovietnam.edu.vn/tienganhgiaotiep_hn/" TargetMode="External"/><Relationship Id="rId2426" Type="http://schemas.openxmlformats.org/officeDocument/2006/relationships/hyperlink" Target="https://patadovietnam.edu.vn/tienganhgiaotiep_hn/?utm_source=Facebook&amp;utm_medium=MES&amp;utm_term=NEW_ALL_1840_none_160525&amp;utm_content=saletructiep_ALL.M269xM236a.1840.giaotiep_PTATT_LD153&amp;utm_campaign=ALL.giaotiep.M269xM236a_16917_MES_NamNH_160525" TargetMode="External"/><Relationship Id="rId2427" Type="http://schemas.openxmlformats.org/officeDocument/2006/relationships/hyperlink" Target="https://tinyurl.com/M269xM236a" TargetMode="External"/><Relationship Id="rId2428" Type="http://schemas.openxmlformats.org/officeDocument/2006/relationships/hyperlink" Target="https://patadovietnam.edu.vn/gtjapan_nhn3" TargetMode="External"/><Relationship Id="rId2429" Type="http://schemas.openxmlformats.org/officeDocument/2006/relationships/hyperlink" Target="https://patadovietnam.edu.vn/gtjapan_nhn3/?utm_source=Facebook&amp;utm_medium=CVS&amp;utm_term=NEW_Japan_1840_none_160525&amp;utm_content=saletructiep_Japan.anhltxanhnote.1840.giaotiep_PTATT_LD164&amp;utm_campaign=Japan.giaotiep.anhltxanhnote_16917_CVS_NamNH_160525" TargetMode="External"/><Relationship Id="rId509" Type="http://schemas.openxmlformats.org/officeDocument/2006/relationships/hyperlink" Target="http://ldp.ink/tbpht_canada" TargetMode="External"/><Relationship Id="rId508" Type="http://schemas.openxmlformats.org/officeDocument/2006/relationships/hyperlink" Target="https://patadovietnam.edu.vn/tienganhgiaotiep_hn/?utm_source=Facebook&amp;utm_medium=MES&amp;utm_term=NEW_Canada_2045_none_310823&amp;utm_content=saletructiep_Canada.tbphoto.2045.giaotiep_PTATT_LD153&amp;utm_campaign=Canada.giaotiep.tbphoto_16917_MES_NamNH_310823" TargetMode="External"/><Relationship Id="rId503" Type="http://schemas.openxmlformats.org/officeDocument/2006/relationships/hyperlink" Target="http://ldp.ink/tbpht_uc" TargetMode="External"/><Relationship Id="rId502" Type="http://schemas.openxmlformats.org/officeDocument/2006/relationships/hyperlink" Target="https://patadovietnam.edu.vn/tienganhgiaotiep_hn/?utm_source=Facebook&amp;utm_medium=MES&amp;utm_term=NEW_Australia_2045_none_310823&amp;utm_content=saletructiep_Australia.tbphoto.2045.giaotiep_PTATT_LD153&amp;utm_campaign=Australia.giaotiep.tbphoto_95360_MES_NamNH_310823" TargetMode="External"/><Relationship Id="rId501" Type="http://schemas.openxmlformats.org/officeDocument/2006/relationships/hyperlink" Target="https://patadovietnam.edu.vn/tienganhgiaotiep_hn/" TargetMode="External"/><Relationship Id="rId500" Type="http://schemas.openxmlformats.org/officeDocument/2006/relationships/hyperlink" Target="http://ldp.ink/tbpht_japan" TargetMode="External"/><Relationship Id="rId507" Type="http://schemas.openxmlformats.org/officeDocument/2006/relationships/hyperlink" Target="https://patadovietnam.edu.vn/tienganhgiaotiep_hn/" TargetMode="External"/><Relationship Id="rId506" Type="http://schemas.openxmlformats.org/officeDocument/2006/relationships/hyperlink" Target="http://ldp.ink/chungchi_uc" TargetMode="External"/><Relationship Id="rId505" Type="http://schemas.openxmlformats.org/officeDocument/2006/relationships/hyperlink" Target="https://patadovietnam.edu.vn/tienganhgiaotiep_hn/?utm_source=Facebook&amp;utm_medium=MES&amp;utm_term=NEW_Australia_2045_none_310823&amp;utm_content=saletructiep_Australia.chungchihot.2045.giaotiep_PTATT_LD153&amp;utm_campaign=Australia.giaotiep.chungchihot_16917_MES_NamNH_310823" TargetMode="External"/><Relationship Id="rId504" Type="http://schemas.openxmlformats.org/officeDocument/2006/relationships/hyperlink" Target="https://patadovietnam.edu.vn/tienganhgiaotiep_hn/" TargetMode="External"/><Relationship Id="rId2420" Type="http://schemas.openxmlformats.org/officeDocument/2006/relationships/hyperlink" Target="https://patadovietnam.edu.vn/tienganhgiaotiep_hn/?utm_source=Facebook&amp;utm_medium=MES&amp;utm_term=NEW_ALL_1840_none_160525&amp;utm_content=saletructiep_ALL.anhnotexqcpatado2.1840.giaotiep_PTATT_LD153&amp;utm_campaign=ALL.giaotiep.anhnotexpcpatado2_16917_MES_NamNH_160525" TargetMode="External"/><Relationship Id="rId2421" Type="http://schemas.openxmlformats.org/officeDocument/2006/relationships/hyperlink" Target="https://tinyurl.com/anxpcptd2all" TargetMode="External"/><Relationship Id="rId2422" Type="http://schemas.openxmlformats.org/officeDocument/2006/relationships/hyperlink" Target="https://patadovietnam.edu.vn/tienganhgiaotiep_hn/" TargetMode="External"/><Relationship Id="rId2412" Type="http://schemas.openxmlformats.org/officeDocument/2006/relationships/hyperlink" Target="https://tinyurl.com/M444xM446ALL" TargetMode="External"/><Relationship Id="rId2413" Type="http://schemas.openxmlformats.org/officeDocument/2006/relationships/hyperlink" Target="https://patadovietnam.edu.vn/tienganhgiaotiep_hn/" TargetMode="External"/><Relationship Id="rId2414" Type="http://schemas.openxmlformats.org/officeDocument/2006/relationships/hyperlink" Target="https://patadovietnam.edu.vn/tienganhgiaotiep_hn/?utm_source=Facebook&amp;utm_medium=MES&amp;utm_term=NEW_ALL_1840_none_120525&amp;utm_content=saletructiep_ALL.M444xM446mot.1840.giaotiep_PTATT_LD153&amp;utm_campaign=ALL.giaotiep.M444xM446mot_16917_MES_NamNH_120525" TargetMode="External"/><Relationship Id="rId2415" Type="http://schemas.openxmlformats.org/officeDocument/2006/relationships/hyperlink" Target="https://tinyurl.com/M444xM446mot" TargetMode="External"/><Relationship Id="rId2416" Type="http://schemas.openxmlformats.org/officeDocument/2006/relationships/hyperlink" Target="https://patadovietnam.edu.vn/tienganhgiaotiep_hn/" TargetMode="External"/><Relationship Id="rId2417" Type="http://schemas.openxmlformats.org/officeDocument/2006/relationships/hyperlink" Target="https://patadovietnam.edu.vn/tienganhgiaotiep_hn/?utm_source=Facebook&amp;utm_medium=MES&amp;utm_term=NEW_ALL_1840_none_120525&amp;utm_content=saletructiep_ALL.M445.1840.giaotiep_PTATT_LD153&amp;utm_campaign=ALL.giaotiep.M445_16917_MES_NamNH_120525" TargetMode="External"/><Relationship Id="rId2418" Type="http://schemas.openxmlformats.org/officeDocument/2006/relationships/hyperlink" Target="https://tinyurl.com/M445all" TargetMode="External"/><Relationship Id="rId2419" Type="http://schemas.openxmlformats.org/officeDocument/2006/relationships/hyperlink" Target="https://patadovietnam.edu.vn/tienganhgiaotiep_hn/" TargetMode="External"/><Relationship Id="rId2410" Type="http://schemas.openxmlformats.org/officeDocument/2006/relationships/hyperlink" Target="https://patadovietnam.edu.vn/tienganhgiaotiep_hn/" TargetMode="External"/><Relationship Id="rId2411" Type="http://schemas.openxmlformats.org/officeDocument/2006/relationships/hyperlink" Target="https://patadovietnam.edu.vn/tienganhgiaotiep_hn/?utm_source=Facebook&amp;utm_medium=MES&amp;utm_term=NEW_ALL_1840_none_120525&amp;utm_content=saletructiep_ALL.M444xM446.1840.giaotiep_PTATT_LD153&amp;utm_campaign=ALL.giaotiep.M444xM446_16917_MES_NamNH_120525" TargetMode="External"/><Relationship Id="rId1114" Type="http://schemas.openxmlformats.org/officeDocument/2006/relationships/hyperlink" Target="https://www.anhngupatado.edu.vn/giaotiepall_hn/?utm_source=Facebook&amp;utm_medium=CVS&amp;utm_term=NEW_Japan_1840_none_020224&amp;utm_content=saletructiep_Japan.videoTTTH.1840.giaotiep_PTATT_LD216&amp;utm_campaign=Japan.giaotiep.videoTTTH_16917_CVS_NamNH_020224" TargetMode="External"/><Relationship Id="rId2445" Type="http://schemas.openxmlformats.org/officeDocument/2006/relationships/hyperlink" Target="https://tinyurl.com/M269usa" TargetMode="External"/><Relationship Id="rId1115" Type="http://schemas.openxmlformats.org/officeDocument/2006/relationships/hyperlink" Target="http://ldp.ink/TTTH_japan" TargetMode="External"/><Relationship Id="rId2446" Type="http://schemas.openxmlformats.org/officeDocument/2006/relationships/hyperlink" Target="https://patadovietnam.edu.vn/gtusa1_nhn" TargetMode="External"/><Relationship Id="rId1116" Type="http://schemas.openxmlformats.org/officeDocument/2006/relationships/hyperlink" Target="https://www.anhngupatado.edu.vn/giaotiepall_hn" TargetMode="External"/><Relationship Id="rId2447" Type="http://schemas.openxmlformats.org/officeDocument/2006/relationships/hyperlink" Target="https://patadovietnam.edu.vn/gtusa1_nhn/?utm_source=Facebook&amp;utm_medium=MES&amp;utm_term=NEW_UnitedStates_2050_none_160525&amp;utm_content=saletructiep_UnitedStates.M236.1840.giaotiep_PTATT_LD161&amp;utm_campaign=UnitedStates.giaotiep.M236_16917_MES_NamNH_160525" TargetMode="External"/><Relationship Id="rId1117" Type="http://schemas.openxmlformats.org/officeDocument/2006/relationships/hyperlink" Target="https://www.anhngupatado.edu.vn/giaotiepall_hn/?utm_source=Facebook&amp;utm_medium=MES&amp;utm_term=NEW_Taiwan_1840_none_020224&amp;utm_content=saletructiep_Taiwan.TNMall.1840.giaotiep_PTATT_LD216&amp;utm_campaign=Taiwan.giaotiep.TNMall_95360_MES_NamNH_020224" TargetMode="External"/><Relationship Id="rId2448" Type="http://schemas.openxmlformats.org/officeDocument/2006/relationships/hyperlink" Target="https://tinyurl.com/M236USA" TargetMode="External"/><Relationship Id="rId1118" Type="http://schemas.openxmlformats.org/officeDocument/2006/relationships/hyperlink" Target="http://ldp.ink/TNM_taiwan" TargetMode="External"/><Relationship Id="rId2449" Type="http://schemas.openxmlformats.org/officeDocument/2006/relationships/hyperlink" Target="https://patadovietnam.edu.vn/gtusa1_nhn" TargetMode="External"/><Relationship Id="rId1119" Type="http://schemas.openxmlformats.org/officeDocument/2006/relationships/hyperlink" Target="https://www.anhngupatado.edu.vn/giaotiepall_hn" TargetMode="External"/><Relationship Id="rId525" Type="http://schemas.openxmlformats.org/officeDocument/2006/relationships/hyperlink" Target="http://ldp.ink/JH2_hanquoc" TargetMode="External"/><Relationship Id="rId524" Type="http://schemas.openxmlformats.org/officeDocument/2006/relationships/hyperlink" Target="https://patadovietnam.edu.vn/tienganhgiaotiep_hn/?utm_source=Facebook&amp;utm_medium=CVS&amp;utm_term=NEW_KoreaSouth_1838_none_010823&amp;utm_content=saletructiep_KoreaSouth.JH2.1838.giaotiep_PTATT_LD153&amp;utm_campaign=KoreaSouth.giaotiep.JH2_95360_CVS_NamNH_010823" TargetMode="External"/><Relationship Id="rId523" Type="http://schemas.openxmlformats.org/officeDocument/2006/relationships/hyperlink" Target="https://patadovietnam.edu.vn/tienganhgiaotiep_hn/" TargetMode="External"/><Relationship Id="rId522" Type="http://schemas.openxmlformats.org/officeDocument/2006/relationships/hyperlink" Target="https://www.anhngupatado.edu.vn/seahn/?utm_source=Google&amp;utm_medium=SEA&amp;utm_term=NEW_ALL_2045_none_030923&amp;utm_content=saletructiep_tieude1ALL_PTATTTD_LD196&amp;utm_campaign=ALL.giaotiep.CDKL_nam.patado_SEA_NamNH_030923" TargetMode="External"/><Relationship Id="rId529" Type="http://schemas.openxmlformats.org/officeDocument/2006/relationships/hyperlink" Target="https://patadovietnam.edu.vn/tienganhgiaotiep_hn/" TargetMode="External"/><Relationship Id="rId528" Type="http://schemas.openxmlformats.org/officeDocument/2006/relationships/hyperlink" Target="http://ldp.ink/JH2_dailoan" TargetMode="External"/><Relationship Id="rId527" Type="http://schemas.openxmlformats.org/officeDocument/2006/relationships/hyperlink" Target="https://patadovietnam.edu.vn/tienganhgiaotiep_hn/?utm_source=Facebook&amp;utm_medium=CVS&amp;utm_term=NEW_Taiwan_1838_none_010823&amp;utm_content=saletructiep_Taiwan.JH2.1838.giaotiep_PTATT_LD153&amp;utm_campaign=Taiwan.giaotiep.JH2_95360_CVS_NamNH_010823" TargetMode="External"/><Relationship Id="rId526" Type="http://schemas.openxmlformats.org/officeDocument/2006/relationships/hyperlink" Target="https://patadovietnam.edu.vn/tienganhgiaotiep_hn/" TargetMode="External"/><Relationship Id="rId2440" Type="http://schemas.openxmlformats.org/officeDocument/2006/relationships/hyperlink" Target="https://patadovietnam.edu.vn/tienganhgiaotiep_hn/" TargetMode="External"/><Relationship Id="rId521" Type="http://schemas.openxmlformats.org/officeDocument/2006/relationships/hyperlink" Target="https://www.anhngupatado.edu.vn/seahn" TargetMode="External"/><Relationship Id="rId1110" Type="http://schemas.openxmlformats.org/officeDocument/2006/relationships/hyperlink" Target="https://www.anhngupatado.edu.vn/vqmm" TargetMode="External"/><Relationship Id="rId2441" Type="http://schemas.openxmlformats.org/officeDocument/2006/relationships/hyperlink" Target="https://patadovietnam.edu.vn/tienganhgiaotiep_hn/?utm_source=Facebook&amp;utm_medium=MES&amp;utm_term=NEW_ALL_1840_none_160525&amp;utm_content=saletructiep_ALL.HTKOC2xPTKOCa.1840.giaotiep_PTATT_LD153&amp;utm_campaign=ALL.giaotiep.HTKOC2xPTKOCa_16917_MES_NamNH_160525" TargetMode="External"/><Relationship Id="rId520" Type="http://schemas.openxmlformats.org/officeDocument/2006/relationships/hyperlink" Target="http://ldp.ink/kvjh_ALL" TargetMode="External"/><Relationship Id="rId1111" Type="http://schemas.openxmlformats.org/officeDocument/2006/relationships/hyperlink" Target="https://www.anhngupatado.edu.vn/vqmm/?utm_source=Facebook&amp;utm_medium=CVS&amp;utm_term=NEW_Europe_1840_none_020224&amp;utm_content=saletructiep_Europe.VQMM1.1840.giaotiep_PTATT_LD217&amp;utm_campaign=Europe.giaotiep.VQMM1_16917_CVS_NamNH_020224" TargetMode="External"/><Relationship Id="rId2442" Type="http://schemas.openxmlformats.org/officeDocument/2006/relationships/hyperlink" Target="https://tinyurl.com/HTKOCxPTKOCaall" TargetMode="External"/><Relationship Id="rId1112" Type="http://schemas.openxmlformats.org/officeDocument/2006/relationships/hyperlink" Target="http://ldp.ink/VQMM1_europe" TargetMode="External"/><Relationship Id="rId2443" Type="http://schemas.openxmlformats.org/officeDocument/2006/relationships/hyperlink" Target="https://patadovietnam.edu.vn/gtusa1_nhn" TargetMode="External"/><Relationship Id="rId1113" Type="http://schemas.openxmlformats.org/officeDocument/2006/relationships/hyperlink" Target="https://www.anhngupatado.edu.vn/giaotiepall_hn" TargetMode="External"/><Relationship Id="rId2444" Type="http://schemas.openxmlformats.org/officeDocument/2006/relationships/hyperlink" Target="https://patadovietnam.edu.vn/gtusa1_nhn/?utm_source=Facebook&amp;utm_medium=MES&amp;utm_term=NEW_UnitedStates_2050_none_160525&amp;utm_content=saletructiep_UnitedStates.M269.1840.giaotiep_PTATT_LD161&amp;utm_campaign=UnitedStates.giaotiep.M269_16917_MES_NamNH_160525" TargetMode="External"/><Relationship Id="rId1103" Type="http://schemas.openxmlformats.org/officeDocument/2006/relationships/hyperlink" Target="http://ldp.ink/TNM_japan" TargetMode="External"/><Relationship Id="rId2434" Type="http://schemas.openxmlformats.org/officeDocument/2006/relationships/hyperlink" Target="https://patadovietnam.edu.vn/tienganhgiaotiep_hn/" TargetMode="External"/><Relationship Id="rId1104" Type="http://schemas.openxmlformats.org/officeDocument/2006/relationships/hyperlink" Target="https://www.anhngupatado.edu.vn/vqmm" TargetMode="External"/><Relationship Id="rId2435" Type="http://schemas.openxmlformats.org/officeDocument/2006/relationships/hyperlink" Target="https://patadovietnam.edu.vn/tienganhgiaotiep_hn/?utm_source=Facebook&amp;utm_medium=CVS&amp;utm_term=NEW_Europe_1840_none_160525&amp;utm_content=saletructiep_Europe.HTKOC2xPTKOC.1840.giaotiep_PTATT_LD153&amp;utm_campaign=Europe.giaotiep.HTKOC2xPTKOC_16917_CVS_NamNH_160525" TargetMode="External"/><Relationship Id="rId1105" Type="http://schemas.openxmlformats.org/officeDocument/2006/relationships/hyperlink" Target="https://www.anhngupatado.edu.vn/vqmm/?utm_source=Facebook&amp;utm_medium=CVS&amp;utm_term=NEW_Japan_1840_none_020224&amp;utm_content=saletructiep_Japan.VQMM1.1840.giaotiep_PTATT_LD217&amp;utm_campaign=Japan.giaotiep.VQMM1_16917_CVS_NamNH_020224" TargetMode="External"/><Relationship Id="rId2436" Type="http://schemas.openxmlformats.org/officeDocument/2006/relationships/hyperlink" Target="https://tinyurl.com/HTKOC2xPTKOCEU" TargetMode="External"/><Relationship Id="rId1106" Type="http://schemas.openxmlformats.org/officeDocument/2006/relationships/hyperlink" Target="http://ldp.ink/VQMM1_japan" TargetMode="External"/><Relationship Id="rId2437" Type="http://schemas.openxmlformats.org/officeDocument/2006/relationships/hyperlink" Target="https://patadovietnam.edu.vn/tienganhgiaotiep_hn/" TargetMode="External"/><Relationship Id="rId1107" Type="http://schemas.openxmlformats.org/officeDocument/2006/relationships/hyperlink" Target="https://www.anhngupatado.edu.vn/vqmm" TargetMode="External"/><Relationship Id="rId2438" Type="http://schemas.openxmlformats.org/officeDocument/2006/relationships/hyperlink" Target="https://patadovietnam.edu.vn/tienganhgiaotiep_hn/?utm_source=Facebook&amp;utm_medium=MES&amp;utm_term=NEW_ALL_1840_none_160525&amp;utm_content=saletructiep_ALL.HTKOC2xPTKOC.1840.giaotiep_PTATT_LD153&amp;utm_campaign=ALL.giaotiep.HTKOC2xPTKOC_16917_MES_NamNH_160525" TargetMode="External"/><Relationship Id="rId1108" Type="http://schemas.openxmlformats.org/officeDocument/2006/relationships/hyperlink" Target="https://www.anhngupatado.edu.vn/vqmm/?utm_source=Facebook&amp;utm_medium=CVS&amp;utm_term=NEW_ALL_1840_none_020224&amp;utm_content=saletructiep_ALL.VQMM1.1840.giaotiep_PTATT_LD217&amp;utm_campaign=ALL.giaotiep.VQMM1_16917_CVS_NamNH_020224" TargetMode="External"/><Relationship Id="rId2439" Type="http://schemas.openxmlformats.org/officeDocument/2006/relationships/hyperlink" Target="https://tinyurl.com/HTKOC2xPTKOCall" TargetMode="External"/><Relationship Id="rId1109" Type="http://schemas.openxmlformats.org/officeDocument/2006/relationships/hyperlink" Target="http://ldp.ink/VQMM1_all" TargetMode="External"/><Relationship Id="rId519" Type="http://schemas.openxmlformats.org/officeDocument/2006/relationships/hyperlink" Target="https://patadovietnam.edu.vn/tienganhgiaotiep_hn/?utm_source=Facebook&amp;utm_medium=CVS&amp;utm_term=NEW_ALL_1845_none_150723&amp;utm_content=saletructiep_ALL.kvjh.1838.giaotiep_PTATT_LD153&amp;utm_campaign=ALL.giaotiep.kvjh_95360_CVS_NamNH_150723" TargetMode="External"/><Relationship Id="rId514" Type="http://schemas.openxmlformats.org/officeDocument/2006/relationships/hyperlink" Target="http://ldp.ink/kvjh_hanquoc" TargetMode="External"/><Relationship Id="rId513" Type="http://schemas.openxmlformats.org/officeDocument/2006/relationships/hyperlink" Target="https://patadovietnam.edu.vn/tienganhgiaotiep_hn/?utm_source=Facebook&amp;utm_medium=CVS&amp;utm_term=NEW_KoreaSouth_1838_none_150723&amp;utm_content=saletructiep_KoreaSouth.kvjh.1838.giaotiep_PTATT_LD153&amp;utm_campaign=KoreaSouth.giaotiep.kvjh_95360_CVS_NamNH_150723" TargetMode="External"/><Relationship Id="rId512" Type="http://schemas.openxmlformats.org/officeDocument/2006/relationships/hyperlink" Target="https://patadovietnam.edu.vn/tienganhgiaotiep_hn/" TargetMode="External"/><Relationship Id="rId511" Type="http://schemas.openxmlformats.org/officeDocument/2006/relationships/hyperlink" Target="https://www.anhngupatado.edu.vn/seahn/?utm_source=Google&amp;utm_medium=SEA&amp;utm_term=NEW_UnitedStates_2045_none_031023&amp;utm_content=saletructiep_tieude1_PTATTTD_LD196&amp;utm_campaign=Hoaky.giaotiep.CDKL_nam.patado_SEA_NamNH_031023" TargetMode="External"/><Relationship Id="rId518" Type="http://schemas.openxmlformats.org/officeDocument/2006/relationships/hyperlink" Target="https://patadovietnam.edu.vn/tienganhgiaotiep_hn/" TargetMode="External"/><Relationship Id="rId517" Type="http://schemas.openxmlformats.org/officeDocument/2006/relationships/hyperlink" Target="http://ldp.ink/kvjh_taiwan" TargetMode="External"/><Relationship Id="rId516" Type="http://schemas.openxmlformats.org/officeDocument/2006/relationships/hyperlink" Target="https://patadovietnam.edu.vn/tienganhgiaotiep_hn/?utm_source=Facebook&amp;utm_medium=CVS&amp;utm_term=NEW_Taiwan_1838_none_150723&amp;utm_content=saletructiep_Taiwan.kvjh.1838.giaotiep_PTATT_LD153&amp;utm_campaign=Taiwan.giaotiep.kvjh_95360_CVS_NamNH_150723" TargetMode="External"/><Relationship Id="rId515" Type="http://schemas.openxmlformats.org/officeDocument/2006/relationships/hyperlink" Target="https://patadovietnam.edu.vn/tienganhgiaotiep_hn/" TargetMode="External"/><Relationship Id="rId510" Type="http://schemas.openxmlformats.org/officeDocument/2006/relationships/hyperlink" Target="https://www.anhngupatado.edu.vn/seahn" TargetMode="External"/><Relationship Id="rId2430" Type="http://schemas.openxmlformats.org/officeDocument/2006/relationships/hyperlink" Target="https://tinyurl.com/anhltxanhnotejp" TargetMode="External"/><Relationship Id="rId1100" Type="http://schemas.openxmlformats.org/officeDocument/2006/relationships/hyperlink" Target="http://ldp.ink/JC_europe" TargetMode="External"/><Relationship Id="rId2431" Type="http://schemas.openxmlformats.org/officeDocument/2006/relationships/hyperlink" Target="https://patadovietnam.edu.vn/gtjapan_nhn3" TargetMode="External"/><Relationship Id="rId1101" Type="http://schemas.openxmlformats.org/officeDocument/2006/relationships/hyperlink" Target="https://www.anhngupatado.edu.vn/giaotiepall_hn" TargetMode="External"/><Relationship Id="rId2432" Type="http://schemas.openxmlformats.org/officeDocument/2006/relationships/hyperlink" Target="https://patadovietnam.edu.vn/gtjapan_nhn3/?utm_source=Facebook&amp;utm_medium=CVS&amp;utm_term=NEW_Japan_1840_none_160525&amp;utm_content=saletructiep_Japan.HTKOC2xPTKOC.1840.giaotiep_PTATT_LD164&amp;utm_campaign=Japan.giaotiep.HTKOC2xPTKOC_16917_CVS_NamNH_160525" TargetMode="External"/><Relationship Id="rId1102" Type="http://schemas.openxmlformats.org/officeDocument/2006/relationships/hyperlink" Target="https://www.anhngupatado.edu.vn/giaotiepall_hn/?utm_source=Facebook&amp;utm_medium=CVS&amp;utm_term=NEW_Japan_1840_none_020224&amp;utm_content=saletructiep_Japan.TNMjapan.1840.giaotiep_PTATT_LD216&amp;utm_campaign=Japan.giaotiep.TNMjapan_16917_CVS_NamNH_020224" TargetMode="External"/><Relationship Id="rId2433" Type="http://schemas.openxmlformats.org/officeDocument/2006/relationships/hyperlink" Target="https://tinyurl.com/HTKOC2xPTKOCJp" TargetMode="External"/><Relationship Id="rId2401" Type="http://schemas.openxmlformats.org/officeDocument/2006/relationships/hyperlink" Target="https://patadovietnam.edu.vn/tienganhgiaotiep_hn/" TargetMode="External"/><Relationship Id="rId2402" Type="http://schemas.openxmlformats.org/officeDocument/2006/relationships/hyperlink" Target="https://patadovietnam.edu.vn/tienganhgiaotiep_hn/?utm_source=Facebook&amp;utm_medium=CVS&amp;utm_term=NEW_Europe_1840_none_120525&amp;utm_content=saletructiep_Europe.M444xM446.1840.giaotiep_PTATT_LD153&amp;utm_campaign=Europe.giaotiep.M444xM446_16917_CVS_NamNH_120525" TargetMode="External"/><Relationship Id="rId2403" Type="http://schemas.openxmlformats.org/officeDocument/2006/relationships/hyperlink" Target="https://tinyurl.com/M444xM446EU" TargetMode="External"/><Relationship Id="rId2404" Type="http://schemas.openxmlformats.org/officeDocument/2006/relationships/hyperlink" Target="https://patadovietnam.edu.vn/gtjapan_nhn3" TargetMode="External"/><Relationship Id="rId2405" Type="http://schemas.openxmlformats.org/officeDocument/2006/relationships/hyperlink" Target="https://patadovietnam.edu.vn/gtjapan_nhn3/?utm_source=Facebook&amp;utm_medium=CVS&amp;utm_term=NEW_Japan_1840_none_120525&amp;utm_content=saletructiep_Japan.M444xM446.1840.giaotiep_PTATT_LD164&amp;utm_campaign=Japan.giaotiep.M444xM446_16917_CVS_NamNH_120525" TargetMode="External"/><Relationship Id="rId2406" Type="http://schemas.openxmlformats.org/officeDocument/2006/relationships/hyperlink" Target="https://tinyurl.com/M444xM446JP" TargetMode="External"/><Relationship Id="rId2407" Type="http://schemas.openxmlformats.org/officeDocument/2006/relationships/hyperlink" Target="https://patadovietnam.edu.vn/gtusa1_nhn" TargetMode="External"/><Relationship Id="rId2408" Type="http://schemas.openxmlformats.org/officeDocument/2006/relationships/hyperlink" Target="https://patadovietnam.edu.vn/gtusa1_nhn/?utm_source=Facebook&amp;utm_medium=MES&amp;utm_term=NEW_UnitedStates_2050_none_120525&amp;utm_content=saletructiep_UnitedStates.M444xM446.1840.giaotiep_PTATT_LD161&amp;utm_campaign=UnitedStates.giaotiep.M444xM446_16917_MES_NamNH_120525" TargetMode="External"/><Relationship Id="rId2409" Type="http://schemas.openxmlformats.org/officeDocument/2006/relationships/hyperlink" Target="https://tinyurl.com/M444xM446US" TargetMode="External"/><Relationship Id="rId2400" Type="http://schemas.openxmlformats.org/officeDocument/2006/relationships/hyperlink" Target="https://tinyurl.com/tvm271us" TargetMode="External"/><Relationship Id="rId590" Type="http://schemas.openxmlformats.org/officeDocument/2006/relationships/hyperlink" Target="https://patadovietnam.edu.vn/tatoandien_namnh/?utm_source=Facebook&amp;utm_medium=MES&amp;utm_term=NEW_Australia_2045_none_150923&amp;utm_content=saletructiep_Australia.bvb.2045.giaotiep_PTATT_LD187&amp;utm_campaign=Australia.giaotiep.bvb_95360_MES_NamNH_150923" TargetMode="External"/><Relationship Id="rId589" Type="http://schemas.openxmlformats.org/officeDocument/2006/relationships/hyperlink" Target="https://patadovietnam.edu.vn/tatoandien_namnh" TargetMode="External"/><Relationship Id="rId588" Type="http://schemas.openxmlformats.org/officeDocument/2006/relationships/hyperlink" Target="http://ldp.ink/BVB_hoaky" TargetMode="External"/><Relationship Id="rId1170" Type="http://schemas.openxmlformats.org/officeDocument/2006/relationships/hyperlink" Target="https://patadovietnam.edu.vn/tienganhgiaotiep_hn/" TargetMode="External"/><Relationship Id="rId1171" Type="http://schemas.openxmlformats.org/officeDocument/2006/relationships/hyperlink" Target="https://patadovietnam.edu.vn/tienganhgiaotiep_hn/?utm_source=Facebook&amp;utm_medium=CVS&amp;utm_term=NEW_Japan_1840_none_040324&amp;utm_content=saletructiep_Japan.TANDL.1840.giaotiep_PTATT_LD153&amp;utm_campaign=Japan.giaotiep.TANDL_16917_CVS_NamNH_040324" TargetMode="External"/><Relationship Id="rId583" Type="http://schemas.openxmlformats.org/officeDocument/2006/relationships/hyperlink" Target="https://patadovietnam.edu.vn/gtjapan_nhn3" TargetMode="External"/><Relationship Id="rId1172" Type="http://schemas.openxmlformats.org/officeDocument/2006/relationships/hyperlink" Target="http://ldp.ink/TANDL_japan" TargetMode="External"/><Relationship Id="rId582" Type="http://schemas.openxmlformats.org/officeDocument/2006/relationships/hyperlink" Target="http://ldp.ink/BVB_hanquoc" TargetMode="External"/><Relationship Id="rId1173" Type="http://schemas.openxmlformats.org/officeDocument/2006/relationships/hyperlink" Target="https://patadovietnam.edu.vn/gtusa1_nhn" TargetMode="External"/><Relationship Id="rId581" Type="http://schemas.openxmlformats.org/officeDocument/2006/relationships/hyperlink" Target="https://patadovietnam.edu.vn/tatoandien_namnh/?utm_source=Facebook&amp;utm_medium=CVS&amp;utm_term=NEW_KoreaSouth_1838_none_150923&amp;utm_content=saletructiep_KoreaSouth.bvb.1838.giaotiep_PTATT_LD187&amp;utm_campaign=KoreaSouth.giaotiep.bvb_95360_MES_NamNH_150923" TargetMode="External"/><Relationship Id="rId1174" Type="http://schemas.openxmlformats.org/officeDocument/2006/relationships/hyperlink" Target="https://patadovietnam.edu.vn/gtusa1_nhn/?utm_source=Facebook&amp;utm_medium=MES&amp;utm_term=NEW_UnitedStates_1840_none_060324&amp;utm_content=saletructiep_UnitedStates.DCLT.1840.giaotiep_PTATT_LD161&amp;utm_campaign=UnitedStates.giaotiep.DCLT_16917_MES_NamNH_060324" TargetMode="External"/><Relationship Id="rId580" Type="http://schemas.openxmlformats.org/officeDocument/2006/relationships/hyperlink" Target="https://patadovietnam.edu.vn/tatoandien_namnh" TargetMode="External"/><Relationship Id="rId1175" Type="http://schemas.openxmlformats.org/officeDocument/2006/relationships/hyperlink" Target="http://ldp.ink/DCLT_hoaky" TargetMode="External"/><Relationship Id="rId587" Type="http://schemas.openxmlformats.org/officeDocument/2006/relationships/hyperlink" Target="https://patadovietnam.edu.vn/gtusa1_nhn/?utm_source=Facebook&amp;utm_medium=MES&amp;utm_term=NEW_UnitedStates_2045_none_150923&amp;utm_content=saletructiep_UnitedStates.bvb.2045.giaotiep_PTATT_LD161&amp;utm_campaign=UnitedStates.giaotiep.bvb_16917_MES_NamNH_150923" TargetMode="External"/><Relationship Id="rId1176" Type="http://schemas.openxmlformats.org/officeDocument/2006/relationships/hyperlink" Target="https://patadovietnam.edu.vn/gtusa1_nhn" TargetMode="External"/><Relationship Id="rId586" Type="http://schemas.openxmlformats.org/officeDocument/2006/relationships/hyperlink" Target="https://patadovietnam.edu.vn/gtusa1_nhn" TargetMode="External"/><Relationship Id="rId1177" Type="http://schemas.openxmlformats.org/officeDocument/2006/relationships/hyperlink" Target="https://patadovietnam.edu.vn/gtusa1_nhn/?utm_source=Facebook&amp;utm_medium=MES&amp;utm_term=NEW_UnitedStates_1840_none_060324&amp;utm_content=saletructiep_UnitedStates.TANDL.1840.giaotiep_PTATT_LD161&amp;utm_campaign=UnitedStates.giaotiep.TANDL_16917_MES_NamNH_060324" TargetMode="External"/><Relationship Id="rId585" Type="http://schemas.openxmlformats.org/officeDocument/2006/relationships/hyperlink" Target="http://ldp.ink/BVB_japan" TargetMode="External"/><Relationship Id="rId1178" Type="http://schemas.openxmlformats.org/officeDocument/2006/relationships/hyperlink" Target="http://ldp.ink/TANDL_hoaky" TargetMode="External"/><Relationship Id="rId584" Type="http://schemas.openxmlformats.org/officeDocument/2006/relationships/hyperlink" Target="https://patadovietnam.edu.vn/gtjapan_nhn3/?utm_source=Facebook&amp;utm_medium=CVS&amp;utm_term=NEW_Japan_1840_none_150923&amp;utm_content=saletructiep_Japan.bvb.1840.giaotiep_PTATT_LD164&amp;utm_campaign=Japan.giaotiep.bvb_16917_CVS_NamNH_150923" TargetMode="External"/><Relationship Id="rId1179" Type="http://schemas.openxmlformats.org/officeDocument/2006/relationships/hyperlink" Target="https://patadovietnam.edu.vn/tienganhgiaotiep_hn/" TargetMode="External"/><Relationship Id="rId1169" Type="http://schemas.openxmlformats.org/officeDocument/2006/relationships/hyperlink" Target="http://ldp.ink/DCLT_all" TargetMode="External"/><Relationship Id="rId579" Type="http://schemas.openxmlformats.org/officeDocument/2006/relationships/hyperlink" Target="http://ldp.ink/bvb_taiwan" TargetMode="External"/><Relationship Id="rId578" Type="http://schemas.openxmlformats.org/officeDocument/2006/relationships/hyperlink" Target="https://patadovietnam.edu.vn/tatoandien_namnh/?utm_source=Facebook&amp;utm_medium=MES&amp;utm_term=NEW_Taiwan_1840_none_150923&amp;utm_content=saletructiep_Taiwan.bvb.1840.giaotiep_PTATT_LD187&amp;utm_campaign=Taiwan.giaotiep.bvb_95360_MES_NamNH_150923" TargetMode="External"/><Relationship Id="rId577" Type="http://schemas.openxmlformats.org/officeDocument/2006/relationships/hyperlink" Target="https://patadovietnam.edu.vn/tatoandien_namnh" TargetMode="External"/><Relationship Id="rId2490" Type="http://schemas.openxmlformats.org/officeDocument/2006/relationships/hyperlink" Target="https://tinyurl.com/M447chauau" TargetMode="External"/><Relationship Id="rId1160" Type="http://schemas.openxmlformats.org/officeDocument/2006/relationships/hyperlink" Target="http://ldp.ink/DCLT_japan" TargetMode="External"/><Relationship Id="rId2491" Type="http://schemas.openxmlformats.org/officeDocument/2006/relationships/hyperlink" Target="https://patadovietnam.edu.vn/careereng_nhn/" TargetMode="External"/><Relationship Id="rId572" Type="http://schemas.openxmlformats.org/officeDocument/2006/relationships/hyperlink" Target="https://patadovietnam.edu.vn/gtusa1_nhn/?utm_source=Facebook&amp;utm_medium=MES&amp;utm_term=NEW_UnitedStates_2045_none_081023&amp;utm_content=saletructiep_UnitedStates.oanhvtv.2045.giaotiep_PTATT_LD161&amp;utm_campaign=UnitedStates.giaotiep.oanhvtv_16917_CVS_NamNH_081023" TargetMode="External"/><Relationship Id="rId1161" Type="http://schemas.openxmlformats.org/officeDocument/2006/relationships/hyperlink" Target="https://patadovietnam.edu.vn/tienganhgiaotiep_hn/" TargetMode="External"/><Relationship Id="rId2492" Type="http://schemas.openxmlformats.org/officeDocument/2006/relationships/hyperlink" Target="https://patadovietnam.edu.vn/careereng_nhn/?utm_source=Facebook&amp;utm_medium=CVS&amp;utm_term=NEW_Japan_1840_none_050625&amp;utm_content=saletructiep_Japan.M473.1840.Career_PTATT_LD239&amp;utm_campaign=Japan.Career.M473_16917_CVS_NamNH_050625" TargetMode="External"/><Relationship Id="rId571" Type="http://schemas.openxmlformats.org/officeDocument/2006/relationships/hyperlink" Target="https://patadovietnam.edu.vn/gtusa1_nhn" TargetMode="External"/><Relationship Id="rId1162" Type="http://schemas.openxmlformats.org/officeDocument/2006/relationships/hyperlink" Target="https://patadovietnam.edu.vn/tienganhgiaotiep_hn/?utm_source=Facebook&amp;utm_medium=CVS&amp;utm_term=NEW_Europe_1840_none_040324&amp;utm_content=saletructiep_Europe.DCLT.1840.giaotiep_PTATT_LD153&amp;utm_campaign=Europe.giaotiep.DCLT_16917_CVS_NamNH_040324" TargetMode="External"/><Relationship Id="rId2493" Type="http://schemas.openxmlformats.org/officeDocument/2006/relationships/hyperlink" Target="https://tinyurl.com/M473jp" TargetMode="External"/><Relationship Id="rId570" Type="http://schemas.openxmlformats.org/officeDocument/2006/relationships/hyperlink" Target="http://ldp.ink/vtv_australia" TargetMode="External"/><Relationship Id="rId1163" Type="http://schemas.openxmlformats.org/officeDocument/2006/relationships/hyperlink" Target="http://ldp.ink/DCLT_europe" TargetMode="External"/><Relationship Id="rId2494" Type="http://schemas.openxmlformats.org/officeDocument/2006/relationships/hyperlink" Target="https://patadovietnam.edu.vn/careereng_nhn/" TargetMode="External"/><Relationship Id="rId1164" Type="http://schemas.openxmlformats.org/officeDocument/2006/relationships/hyperlink" Target="https://patadovietnam.edu.vn/gtjapan_nhn3" TargetMode="External"/><Relationship Id="rId2495" Type="http://schemas.openxmlformats.org/officeDocument/2006/relationships/hyperlink" Target="https://patadovietnam.edu.vn/careereng_nhn/?utm_source=Facebook&amp;utm_medium=CVS&amp;utm_term=NEW_Europe_1840_none_090625&amp;utm_content=saletructiep_Europe.M473.1840.Career_PTATT_LD239&amp;utm_campaign=Europe.Career.M473_16917_CVS_NamNH_090625" TargetMode="External"/><Relationship Id="rId576" Type="http://schemas.openxmlformats.org/officeDocument/2006/relationships/hyperlink" Target="http://ldp.ink/VTV_EUROPE" TargetMode="External"/><Relationship Id="rId1165" Type="http://schemas.openxmlformats.org/officeDocument/2006/relationships/hyperlink" Target="https://patadovietnam.edu.vn/gtjapan_nhn3/?utm_source=Facebook&amp;utm_medium=CVS&amp;utm_term=NEW_Japan_1840_none_040324&amp;utm_content=saletructiep_Japan.TBMLJP.1840.giaotiep_PTATT_LD164&amp;utm_campaign=Japan.giaotiep.TBMLJP_16917_CVS_NamNH_040324" TargetMode="External"/><Relationship Id="rId2496" Type="http://schemas.openxmlformats.org/officeDocument/2006/relationships/hyperlink" Target="https://tinyurl.com/M473eu" TargetMode="External"/><Relationship Id="rId575" Type="http://schemas.openxmlformats.org/officeDocument/2006/relationships/hyperlink" Target="https://patadovietnam.edu.vn/tatoandien_namnh/?utm_source=Facebook&amp;utm_medium=CVS&amp;utm_term=NEW_Europe_1843_none_081023&amp;utm_content=saletructiep_Europe.oanhvtv.1843.giaotiep_PTATT_LD187&amp;utm_campaign=Europe.giaotiep.oanhvtv_16917_CVS_NamNH_081023" TargetMode="External"/><Relationship Id="rId1166" Type="http://schemas.openxmlformats.org/officeDocument/2006/relationships/hyperlink" Target="http://ldp.ink/tbml_japan" TargetMode="External"/><Relationship Id="rId2497" Type="http://schemas.openxmlformats.org/officeDocument/2006/relationships/hyperlink" Target="https://patadovietnam.edu.vn/careereng_nhn/" TargetMode="External"/><Relationship Id="rId574" Type="http://schemas.openxmlformats.org/officeDocument/2006/relationships/hyperlink" Target="https://patadovietnam.edu.vn/tatoandien_namnh" TargetMode="External"/><Relationship Id="rId1167" Type="http://schemas.openxmlformats.org/officeDocument/2006/relationships/hyperlink" Target="https://patadovietnam.edu.vn/tienganhgiaotiep_hn/" TargetMode="External"/><Relationship Id="rId2498" Type="http://schemas.openxmlformats.org/officeDocument/2006/relationships/hyperlink" Target="https://patadovietnam.edu.vn/careereng_nhn/?utm_source=Facebook&amp;utm_medium=MES&amp;utm_term=NEW_ALL_2050_none_090625&amp;utm_content=saletructiep_ALL.M473.1840.Career_PTATT_LD239&amp;utm_campaign=ALL.Career.M473_16917_MES_NamNH_090625" TargetMode="External"/><Relationship Id="rId573" Type="http://schemas.openxmlformats.org/officeDocument/2006/relationships/hyperlink" Target="http://ldp.ink/vtv_hoaky" TargetMode="External"/><Relationship Id="rId1168" Type="http://schemas.openxmlformats.org/officeDocument/2006/relationships/hyperlink" Target="https://patadovietnam.edu.vn/tienganhgiaotiep_hn/?utm_source=Facebook&amp;utm_medium=CVS&amp;utm_term=NEW_ALL_1840_none_040324&amp;utm_content=saletructiep_ALL.DCLT.1840.giaotiep_PTATT_LD153&amp;utm_campaign=ALL.giaotiep.DCLT_16917_CVS_NamNH_040324" TargetMode="External"/><Relationship Id="rId2499" Type="http://schemas.openxmlformats.org/officeDocument/2006/relationships/hyperlink" Target="https://tinyurl.com/M473koma" TargetMode="External"/><Relationship Id="rId1190" Type="http://schemas.openxmlformats.org/officeDocument/2006/relationships/hyperlink" Target="http://ldp.ink/DCLT1_hoaky" TargetMode="External"/><Relationship Id="rId1191" Type="http://schemas.openxmlformats.org/officeDocument/2006/relationships/hyperlink" Target="https://patadovietnam.edu.vn/gtusa1_nhn" TargetMode="External"/><Relationship Id="rId1192" Type="http://schemas.openxmlformats.org/officeDocument/2006/relationships/hyperlink" Target="https://patadovietnam.edu.vn/gtusa1_nhn/?utm_source=Facebook&amp;utm_medium=MES&amp;utm_term=NEW_UnitedStates_1840_none_080324&amp;utm_content=saletructiep_UnitedStates.TANDL.1840.giaotiep_PTATT_LD161&amp;utm_campaign=UnitedStates.giaotiep.TANDL_16917_MES_NamNH_080324" TargetMode="External"/><Relationship Id="rId1193" Type="http://schemas.openxmlformats.org/officeDocument/2006/relationships/hyperlink" Target="http://ldp.ink/TANDL1_hoaky" TargetMode="External"/><Relationship Id="rId1194" Type="http://schemas.openxmlformats.org/officeDocument/2006/relationships/hyperlink" Target="https://patadovietnam.edu.vn/tienganhgiaotiep_hn/" TargetMode="External"/><Relationship Id="rId1195" Type="http://schemas.openxmlformats.org/officeDocument/2006/relationships/hyperlink" Target="https://patadovietnam.edu.vn/tienganhgiaotiep_hn/?utm_source=Facebook&amp;utm_medium=MES&amp;utm_term=NEW_KoreaSouth_1840_none_080324&amp;utm_content=saletructiep_KoreaSouth.metatt.1840.giaotiep_PTATT_LD153&amp;utm_campaign=KoreaSouth.giaotiep.metatt_16917_MES_NamNH_080324" TargetMode="External"/><Relationship Id="rId1196" Type="http://schemas.openxmlformats.org/officeDocument/2006/relationships/hyperlink" Target="http://ldp.ink/metatt_ks" TargetMode="External"/><Relationship Id="rId1197" Type="http://schemas.openxmlformats.org/officeDocument/2006/relationships/hyperlink" Target="https://patadovietnam.edu.vn/gtjapan_nhn3" TargetMode="External"/><Relationship Id="rId1198" Type="http://schemas.openxmlformats.org/officeDocument/2006/relationships/hyperlink" Target="https://patadovietnam.edu.vn/gtjapan_nhn3/?utm_source=Facebook&amp;utm_medium=CVS&amp;utm_term=NEW_Japan_1840_none_170324&amp;utm_content=saletructiep_Japan.HTKOC.1840.giaotiep_PTATT_LD164&amp;utm_campaign=Japan.giaotiep.HTKOC_16917_CVS_NamNH_170324" TargetMode="External"/><Relationship Id="rId1199" Type="http://schemas.openxmlformats.org/officeDocument/2006/relationships/hyperlink" Target="http://ldp.ink/TTHT_japan" TargetMode="External"/><Relationship Id="rId599" Type="http://schemas.openxmlformats.org/officeDocument/2006/relationships/hyperlink" Target="https://patadovietnam.edu.vn/tatoandien_namnh/?utm_source=Facebook&amp;utm_medium=CVS&amp;utm_term=NEW_KoreaSouth_1840_none_160923&amp;utm_content=saletructiep_KoreaSouth.MGDTD.1840.giaotiep_PTATT_LD187&amp;utm_campaign=KoreaSouth.giaotiep.MGDTD_95360_CVS_NamNH_160923" TargetMode="External"/><Relationship Id="rId1180" Type="http://schemas.openxmlformats.org/officeDocument/2006/relationships/hyperlink" Target="https://patadovietnam.edu.vn/tienganhgiaotiep_hn/?utm_source=Facebook&amp;utm_medium=CVS&amp;utm_term=NEW_Europe_1840_none_060324&amp;utm_content=saletructiep_Europe.HSNL.1840.giaotiep_PTATT_LD153&amp;utm_campaign=Europe.giaotiep.HSNL_16917_CVS_NamNH_060324" TargetMode="External"/><Relationship Id="rId1181" Type="http://schemas.openxmlformats.org/officeDocument/2006/relationships/hyperlink" Target="http://ldp.ink/HSNL_europe" TargetMode="External"/><Relationship Id="rId1182" Type="http://schemas.openxmlformats.org/officeDocument/2006/relationships/hyperlink" Target="https://patadovietnam.edu.vn/tienganhgiaotiep_hn/" TargetMode="External"/><Relationship Id="rId594" Type="http://schemas.openxmlformats.org/officeDocument/2006/relationships/hyperlink" Target="http://ldp.ink/MGDTD_taiwan" TargetMode="External"/><Relationship Id="rId1183" Type="http://schemas.openxmlformats.org/officeDocument/2006/relationships/hyperlink" Target="https://patadovietnam.edu.vn/tienganhgiaotiep_hn/?utm_source=Facebook&amp;utm_medium=CVS&amp;utm_term=NEW_Europe_1840_none_060324&amp;utm_content=saletructiep_Europe.TANDL.1840.giaotiep_PTATT_LD153&amp;utm_campaign=Europe.giaotiep.TANDL_16917_CVS_NamNH_060324" TargetMode="External"/><Relationship Id="rId593" Type="http://schemas.openxmlformats.org/officeDocument/2006/relationships/hyperlink" Target="https://patadovietnam.edu.vn/tatoandien_namnh/?utm_source=Facebook&amp;utm_medium=MES&amp;utm_term=NEW_Taiwan_1840_none_160923&amp;utm_content=saletructiep_Taiwan.MGDTD.1840.giaotiep_PTATT_LD187&amp;utm_campaign=Taiwan.giaotiep.MGDTD_95360_MES_NamNH_160923" TargetMode="External"/><Relationship Id="rId1184" Type="http://schemas.openxmlformats.org/officeDocument/2006/relationships/hyperlink" Target="http://ldp.ink/TANDL_europe" TargetMode="External"/><Relationship Id="rId592" Type="http://schemas.openxmlformats.org/officeDocument/2006/relationships/hyperlink" Target="https://patadovietnam.edu.vn/tatoandien_namnh" TargetMode="External"/><Relationship Id="rId1185" Type="http://schemas.openxmlformats.org/officeDocument/2006/relationships/hyperlink" Target="https://patadovietnam.edu.vn/tienganhgiaotiep_hn/" TargetMode="External"/><Relationship Id="rId591" Type="http://schemas.openxmlformats.org/officeDocument/2006/relationships/hyperlink" Target="http://ldp.ink/BVB_australia" TargetMode="External"/><Relationship Id="rId1186" Type="http://schemas.openxmlformats.org/officeDocument/2006/relationships/hyperlink" Target="https://patadovietnam.edu.vn/tienganhgiaotiep_hn/?utm_source=Facebook&amp;utm_medium=CVS&amp;utm_term=NEW_Europe_1840_none_060324&amp;utm_content=saletructiep_Europe.LKG2.1840.giaotiep_PTATT_LD153&amp;utm_campaign=Europe.giaotiep.LKG2_16917_CVS_NamNH_060324" TargetMode="External"/><Relationship Id="rId598" Type="http://schemas.openxmlformats.org/officeDocument/2006/relationships/hyperlink" Target="https://patadovietnam.edu.vn/tatoandien_namnh" TargetMode="External"/><Relationship Id="rId1187" Type="http://schemas.openxmlformats.org/officeDocument/2006/relationships/hyperlink" Target="http://ldp.ink/LKG2_europe" TargetMode="External"/><Relationship Id="rId597" Type="http://schemas.openxmlformats.org/officeDocument/2006/relationships/hyperlink" Target="http://ldp.ink/MGDTD_nhatban" TargetMode="External"/><Relationship Id="rId1188" Type="http://schemas.openxmlformats.org/officeDocument/2006/relationships/hyperlink" Target="https://patadovietnam.edu.vn/gtusa1_nhn" TargetMode="External"/><Relationship Id="rId596" Type="http://schemas.openxmlformats.org/officeDocument/2006/relationships/hyperlink" Target="https://patadovietnam.edu.vn/gtjapan_nhn3/?utm_source=Facebook&amp;utm_medium=CVS&amp;utm_term=NEW_Japan_1840_none_160923&amp;utm_content=saletructiep_Japan.MGDTD.1840.giaotiep_PTATT_LD164&amp;utm_campaign=Japan.giaotiep.MGDTD_16917_CVS_NamNH_160923" TargetMode="External"/><Relationship Id="rId1189" Type="http://schemas.openxmlformats.org/officeDocument/2006/relationships/hyperlink" Target="https://patadovietnam.edu.vn/gtusa1_nhn/?utm_source=Facebook&amp;utm_medium=MES&amp;utm_term=NEW_UnitedStates_1840_none_080324&amp;utm_content=saletructiep_UnitedStates.DCLT1.1840.giaotiep_PTATT_LD161&amp;utm_campaign=UnitedStates.giaotiep.DCLT1_16917_MES_NamNH_080324" TargetMode="External"/><Relationship Id="rId595" Type="http://schemas.openxmlformats.org/officeDocument/2006/relationships/hyperlink" Target="https://patadovietnam.edu.vn/gtjapan_nhn3" TargetMode="External"/><Relationship Id="rId1136" Type="http://schemas.openxmlformats.org/officeDocument/2006/relationships/hyperlink" Target="http://ldp.ink/3bpatado_CND" TargetMode="External"/><Relationship Id="rId2467" Type="http://schemas.openxmlformats.org/officeDocument/2006/relationships/hyperlink" Target="https://patadovietnam.edu.vn/tienganhgiaotiep_hn/" TargetMode="External"/><Relationship Id="rId1137" Type="http://schemas.openxmlformats.org/officeDocument/2006/relationships/hyperlink" Target="https://patadovietnam.edu.vn/gtjapan_nhn3" TargetMode="External"/><Relationship Id="rId2468" Type="http://schemas.openxmlformats.org/officeDocument/2006/relationships/hyperlink" Target="https://patadovietnam.edu.vn/tienganhgiaotiep_hn/?utm_source=Facebook&amp;utm_medium=CVS&amp;utm_term=NEW_Japan_1840_none_040625&amp;utm_content=saletructiep_Japan.M456.1840.giaotiep_PTATT_LD153&amp;utm_campaign=Japan.giaotiep.M456_16917_CVS_NamNH_040625" TargetMode="External"/><Relationship Id="rId1138" Type="http://schemas.openxmlformats.org/officeDocument/2006/relationships/hyperlink" Target="https://patadovietnam.edu.vn/gtjapan_nhn3/?utm_source=Facebook&amp;utm_medium=CVS&amp;utm_term=NEW_Japan_1840_none_010324&amp;utm_content=saletructiep_Japan.Anhtblh.1840.giaotiep_PTATT_LD164&amp;utm_campaign=Japan.giaotiep.Anhtblh_95360_CVS_NamNH_010324" TargetMode="External"/><Relationship Id="rId2469" Type="http://schemas.openxmlformats.org/officeDocument/2006/relationships/hyperlink" Target="https://tinyurl.com/M456nhat" TargetMode="External"/><Relationship Id="rId1139" Type="http://schemas.openxmlformats.org/officeDocument/2006/relationships/hyperlink" Target="http://ldp.ink/tblh_japan" TargetMode="External"/><Relationship Id="rId547" Type="http://schemas.openxmlformats.org/officeDocument/2006/relationships/hyperlink" Target="https://patadovietnam.edu.vn/tienganhgiaotiep_hn/" TargetMode="External"/><Relationship Id="rId546" Type="http://schemas.openxmlformats.org/officeDocument/2006/relationships/hyperlink" Target="http://ldp.ink/molop_dailoan" TargetMode="External"/><Relationship Id="rId545" Type="http://schemas.openxmlformats.org/officeDocument/2006/relationships/hyperlink" Target="https://patadovietnam.edu.vn/tienganhgiaotiep_hn/?utm_source=Facebook&amp;utm_medium=MES&amp;utm_term=NEW_Taiwan_1840_none_020623&amp;utm_content=saletructiep_Taiwan.molopdailoan.1840.giaotiep_PTATT_LD153&amp;utm_campaign=Taiwan.giaotiep.molopdailoan_95360_MES_NamNH_020623" TargetMode="External"/><Relationship Id="rId544" Type="http://schemas.openxmlformats.org/officeDocument/2006/relationships/hyperlink" Target="https://patadovietnam.edu.vn/tienganhgiaotiep_hn/" TargetMode="External"/><Relationship Id="rId549" Type="http://schemas.openxmlformats.org/officeDocument/2006/relationships/hyperlink" Target="http://ldp.ink/molop_korea" TargetMode="External"/><Relationship Id="rId548" Type="http://schemas.openxmlformats.org/officeDocument/2006/relationships/hyperlink" Target="https://patadovietnam.edu.vn/tienganhgiaotiep_hn/?utm_source=Facebook&amp;utm_medium=MES&amp;utm_term=NEW_KoreaSouth_1838_none_020623&amp;utm_content=saletructiep_KoreaSouth.molopkorea.1840.giaotiep_PTATT_LD153&amp;utm_campaign=KoreaSouth.giaotiep.molopkorea_95360_MES_NamNH_020623" TargetMode="External"/><Relationship Id="rId2460" Type="http://schemas.openxmlformats.org/officeDocument/2006/relationships/hyperlink" Target="https://patadovietnam.edu.vn/tienganhgiaotiep_hn/?utm_source=Facebook&amp;utm_medium=MES&amp;utm_term=NEW_ALL_2050_none_040625&amp;utm_content=saletructiep_ALL.M461.1840.giaotiep_PTATT_LD153&amp;utm_campaign=ALL.Career.M461_16917_MES_NamNH_040625" TargetMode="External"/><Relationship Id="rId1130" Type="http://schemas.openxmlformats.org/officeDocument/2006/relationships/hyperlink" Target="http://ldp.ink/anhaz_australia" TargetMode="External"/><Relationship Id="rId2461" Type="http://schemas.openxmlformats.org/officeDocument/2006/relationships/hyperlink" Target="https://patadovietnam.edu.vn/tienganhgiaotiep_hn/" TargetMode="External"/><Relationship Id="rId1131" Type="http://schemas.openxmlformats.org/officeDocument/2006/relationships/hyperlink" Target="https://patadovietnam.edu.vn/tienganhgiaotiep_hn/" TargetMode="External"/><Relationship Id="rId2462" Type="http://schemas.openxmlformats.org/officeDocument/2006/relationships/hyperlink" Target="https://patadovietnam.edu.vn/tienganhgiaotiep_hn/?utm_source=Facebook&amp;utm_medium=MES&amp;utm_term=NEW_Japan_2050_none_040625&amp;utm_content=saletructiep_Japan.M462.1840.giaotiep_PTATT_LD153&amp;utm_campaign=Japan.Career.M462_16917_MES_NamNH_040625" TargetMode="External"/><Relationship Id="rId543" Type="http://schemas.openxmlformats.org/officeDocument/2006/relationships/hyperlink" Target="http://ldp.ink/molop_nhat" TargetMode="External"/><Relationship Id="rId1132" Type="http://schemas.openxmlformats.org/officeDocument/2006/relationships/hyperlink" Target="https://patadovietnam.edu.vn/tienganhgiaotiep_hn/?utm_source=Facebook&amp;utm_medium=MES&amp;utm_term=NEW_Philippines_1840_none_010324&amp;utm_content=saletructiep_Philippines.anhkg.1840.giaotiep_PTATT_LD153&amp;utm_campaign=Philippines.giaotiep.anhkg_95360_MES_NamNH_010324" TargetMode="External"/><Relationship Id="rId2463" Type="http://schemas.openxmlformats.org/officeDocument/2006/relationships/hyperlink" Target="https://patadovietnam.edu.vn/tienganhgiaotiep_hn/" TargetMode="External"/><Relationship Id="rId542" Type="http://schemas.openxmlformats.org/officeDocument/2006/relationships/hyperlink" Target="https://patadovietnam.edu.vn/gtjapan_nhn3/?utm_source=Facebook&amp;utm_medium=CVS&amp;utm_term=NEW_Japan_1840_none_020623&amp;utm_content=saletructiep_Japan.molopnhat.1840.giaotiep_PTATT_LD164&amp;utm_campaign=Japan.giaotiep.molopnhat_16917_CVS_NamNH_020623" TargetMode="External"/><Relationship Id="rId1133" Type="http://schemas.openxmlformats.org/officeDocument/2006/relationships/hyperlink" Target="http://ldp.ink/anhkg_philippines" TargetMode="External"/><Relationship Id="rId2464" Type="http://schemas.openxmlformats.org/officeDocument/2006/relationships/hyperlink" Target="https://patadovietnam.edu.vn/tienganhgiaotiep_hn/?utm_source=Facebook&amp;utm_medium=MES&amp;utm_term=NEW_Europe_2050_none_040625&amp;utm_content=saletructiep_Europe.M462.1840.Career_PTATT_LD153&amp;utm_campaign=Europe.Career.M462_16917_MES_NamNH_040625" TargetMode="External"/><Relationship Id="rId541" Type="http://schemas.openxmlformats.org/officeDocument/2006/relationships/hyperlink" Target="https://patadovietnam.edu.vn/gtjapan_nhn3" TargetMode="External"/><Relationship Id="rId1134" Type="http://schemas.openxmlformats.org/officeDocument/2006/relationships/hyperlink" Target="https://patadovietnam.edu.vn/tienganhgiaotiep_hn/" TargetMode="External"/><Relationship Id="rId2465" Type="http://schemas.openxmlformats.org/officeDocument/2006/relationships/hyperlink" Target="https://patadovietnam.edu.vn/tienganhgiaotiep_hn/" TargetMode="External"/><Relationship Id="rId540" Type="http://schemas.openxmlformats.org/officeDocument/2006/relationships/hyperlink" Target="http://ldp.ink/molop11_hoaky" TargetMode="External"/><Relationship Id="rId1135" Type="http://schemas.openxmlformats.org/officeDocument/2006/relationships/hyperlink" Target="https://patadovietnam.edu.vn/tienganhgiaotiep_hn/?utm_source=Facebook&amp;utm_medium=MES&amp;utm_term=NEW_Canada_1840_none_010324&amp;utm_content=saletructiep_Canada.3bpatado.1840.giaotiep_PTATT_LD153&amp;utm_campaign=Canada.giaotiep.3bpatado_95360_MES_NamNH_010324" TargetMode="External"/><Relationship Id="rId2466" Type="http://schemas.openxmlformats.org/officeDocument/2006/relationships/hyperlink" Target="https://patadovietnam.edu.vn/tienganhgiaotiep_hn/?utm_source=Facebook&amp;utm_medium=MES&amp;utm_term=NEW_ALL_2050_none_040625&amp;utm_content=saletructiep_ALL.M462.1840.Career_PTATT_LD153&amp;utm_campaign=ALL.Career.M462_16917_MES_NamNH_040625" TargetMode="External"/><Relationship Id="rId1125" Type="http://schemas.openxmlformats.org/officeDocument/2006/relationships/hyperlink" Target="https://www.anhngupatado.edu.vn/giaotiepall_hn" TargetMode="External"/><Relationship Id="rId2456" Type="http://schemas.openxmlformats.org/officeDocument/2006/relationships/hyperlink" Target="https://tinyurl.com/M456chauau" TargetMode="External"/><Relationship Id="rId1126" Type="http://schemas.openxmlformats.org/officeDocument/2006/relationships/hyperlink" Target="https://www.anhngupatado.edu.vn/giaotiepall_hn/?utm_source=Facebook&amp;utm_medium=MES&amp;utm_term=NEW_UnitedStates_1840_none_020224&amp;utm_content=saletructiep_UnitedStates.TNMmy.1840.giaotiep_PTATT_LD216&amp;utm_campaign=UnitedStates.giaotiep.TNMmy_16917_MES_NamNH_020224" TargetMode="External"/><Relationship Id="rId2457" Type="http://schemas.openxmlformats.org/officeDocument/2006/relationships/hyperlink" Target="https://patadovietnam.edu.vn/tienganhgiaotiep_hn/" TargetMode="External"/><Relationship Id="rId1127" Type="http://schemas.openxmlformats.org/officeDocument/2006/relationships/hyperlink" Target="http://ldp.ink/TNM_hoaky" TargetMode="External"/><Relationship Id="rId2458" Type="http://schemas.openxmlformats.org/officeDocument/2006/relationships/hyperlink" Target="https://patadovietnam.edu.vn/tienganhgiaotiep_hn/?utm_source=Facebook&amp;utm_medium=MES&amp;utm_term=NEW_Europe_2050_none_040625&amp;utm_content=saletructiep_Europe.M461.1840.giaotiep_PTATT_LD153&amp;utm_campaign=Europe.Career.M461_16917_MES_NamNH_040625" TargetMode="External"/><Relationship Id="rId1128" Type="http://schemas.openxmlformats.org/officeDocument/2006/relationships/hyperlink" Target="https://patadovietnam.edu.vn/tienganhgiaotiep_hn/" TargetMode="External"/><Relationship Id="rId2459" Type="http://schemas.openxmlformats.org/officeDocument/2006/relationships/hyperlink" Target="https://patadovietnam.edu.vn/tienganhgiaotiep_hn/" TargetMode="External"/><Relationship Id="rId1129" Type="http://schemas.openxmlformats.org/officeDocument/2006/relationships/hyperlink" Target="https://patadovietnam.edu.vn/tienganhgiaotiep_hn/?utm_source=Facebook&amp;utm_medium=MES&amp;utm_term=NEW_Australia_1840_none_010324&amp;utm_content=saletructiep_Australia.anhaz.1840.giaotiep_PTATT_LD153&amp;utm_campaign=Australia.giaotiep.anhaz_16917_MES_NamNH_010324" TargetMode="External"/><Relationship Id="rId536" Type="http://schemas.openxmlformats.org/officeDocument/2006/relationships/hyperlink" Target="https://patadovietnam.edu.vn/gtjapan_nhn3/?utm_source=Facebook&amp;utm_medium=CVS&amp;utm_term=NEW_Japan_1840_none_010623&amp;utm_content=saletructiep_Japan.JH2.1840.giaotiep_PTATT_LD164&amp;utm_campaign=Japan.giaotiep.JH2_16917_CVS_NamNH_010623" TargetMode="External"/><Relationship Id="rId535" Type="http://schemas.openxmlformats.org/officeDocument/2006/relationships/hyperlink" Target="https://patadovietnam.edu.vn/gtjapan_nhn3" TargetMode="External"/><Relationship Id="rId534" Type="http://schemas.openxmlformats.org/officeDocument/2006/relationships/hyperlink" Target="http://ldp.ink/JH2_hoaky" TargetMode="External"/><Relationship Id="rId533" Type="http://schemas.openxmlformats.org/officeDocument/2006/relationships/hyperlink" Target="https://patadovietnam.edu.vn/gtusa1_nhn/?utm_source=Facebook&amp;utm_medium=CVS&amp;utm_term=NEW_UnitedStates_2045_none_010623&amp;utm_content=saletructiep_UnitedStates.JH2.2045.giaotiep_PTATT_LD161&amp;utm_campaign=UnitedStates.giaotiep.JH2_16917_CVS_NamNH_010623" TargetMode="External"/><Relationship Id="rId539" Type="http://schemas.openxmlformats.org/officeDocument/2006/relationships/hyperlink" Target="https://patadovietnam.edu.vn/gtusa1_nhn/?utm_source=Facebook&amp;utm_medium=MES&amp;utm_term=NEW_UnitedStates_2045_none_010623&amp;utm_content=saletructiep_UnitedStates.molopmy.2045.giaotiep_PTATT_LD161&amp;utm_campaign=UnitedStates.giaotiep.molopmy_16917_MES_NamNH_010623" TargetMode="External"/><Relationship Id="rId538" Type="http://schemas.openxmlformats.org/officeDocument/2006/relationships/hyperlink" Target="https://patadovietnam.edu.vn/gtusa1_nhn" TargetMode="External"/><Relationship Id="rId537" Type="http://schemas.openxmlformats.org/officeDocument/2006/relationships/hyperlink" Target="http://ldp.ink/JH2_nhatban" TargetMode="External"/><Relationship Id="rId2450" Type="http://schemas.openxmlformats.org/officeDocument/2006/relationships/hyperlink" Target="https://patadovietnam.edu.vn/gtusa1_nhn/?utm_source=Facebook&amp;utm_medium=MES&amp;utm_term=NEW_UnitedStates_2050_none_160525&amp;utm_content=saletructiep_UnitedStates.M264.1840.giaotiep_PTATT_LD161&amp;utm_campaign=UnitedStates.giaotiep.M264_16917_MES_NamNH_160525" TargetMode="External"/><Relationship Id="rId1120" Type="http://schemas.openxmlformats.org/officeDocument/2006/relationships/hyperlink" Target="https://www.anhngupatado.edu.vn/giaotiepall_hn/?utm_source=Facebook&amp;utm_medium=MES&amp;utm_term=NEW_Philippines_1840_none_020224&amp;utm_content=saletructiep_Philippines.TNMall.1840.giaotiep_PTATT_LD216&amp;utm_campaign=Philippines.giaotiep.TNMall_95360_MES_NamNH_020224" TargetMode="External"/><Relationship Id="rId2451" Type="http://schemas.openxmlformats.org/officeDocument/2006/relationships/hyperlink" Target="https://tinyurl.com/M264hoaky" TargetMode="External"/><Relationship Id="rId532" Type="http://schemas.openxmlformats.org/officeDocument/2006/relationships/hyperlink" Target="https://patadovietnam.edu.vn/gtusa1_nhn" TargetMode="External"/><Relationship Id="rId1121" Type="http://schemas.openxmlformats.org/officeDocument/2006/relationships/hyperlink" Target="http://ldp.ink/TNM_philippines" TargetMode="External"/><Relationship Id="rId2452" Type="http://schemas.openxmlformats.org/officeDocument/2006/relationships/hyperlink" Target="https://patadovietnam.edu.vn/tienganhgiaotiep_hn/" TargetMode="External"/><Relationship Id="rId531" Type="http://schemas.openxmlformats.org/officeDocument/2006/relationships/hyperlink" Target="http://ldp.ink/JH2_ALL" TargetMode="External"/><Relationship Id="rId1122" Type="http://schemas.openxmlformats.org/officeDocument/2006/relationships/hyperlink" Target="https://www.anhngupatado.edu.vn/giaotiepall_hn" TargetMode="External"/><Relationship Id="rId2453" Type="http://schemas.openxmlformats.org/officeDocument/2006/relationships/hyperlink" Target="https://patadovietnam.edu.vn/tienganhgiaotiep_hn/?utm_source=Facebook&amp;utm_medium=MES&amp;utm_term=NEW_Japan_2050_none_040625&amp;utm_content=saletructiep_Japan.M461.1840.giaotiep_PTATT_LD153&amp;utm_campaign=Japan.Career.M461_16917_MES_NamNH_040625" TargetMode="External"/><Relationship Id="rId530" Type="http://schemas.openxmlformats.org/officeDocument/2006/relationships/hyperlink" Target="https://patadovietnam.edu.vn/tienganhgiaotiep_hn/?utm_source=Facebook&amp;utm_medium=CVS&amp;utm_term=NEW_ALL_2045_none_010623&amp;utm_content=saletructiep_ALL.JH2.2045.giaotiep_PTATT_LD153&amp;utm_campaign=ALL.giaotiep.JH2_95360_CVS_NamNH_010623" TargetMode="External"/><Relationship Id="rId1123" Type="http://schemas.openxmlformats.org/officeDocument/2006/relationships/hyperlink" Target="https://www.anhngupatado.edu.vn/giaotiepall_hn/?utm_source=Facebook&amp;utm_medium=MES&amp;utm_term=NEW_KoreaSouth_1840_none_020224&amp;utm_content=saletructiep_KoreaSouth.TNMall.1840.giaotiep_PTATT_LD216&amp;utm_campaign=KoreaSouth.giaotiep.TNMall_95360_MES_NamNH_020224" TargetMode="External"/><Relationship Id="rId2454" Type="http://schemas.openxmlformats.org/officeDocument/2006/relationships/hyperlink" Target="https://patadovietnam.edu.vn/tienganhgiaotiep_hn/" TargetMode="External"/><Relationship Id="rId1124" Type="http://schemas.openxmlformats.org/officeDocument/2006/relationships/hyperlink" Target="http://ldp.ink/TNM_hanquoc" TargetMode="External"/><Relationship Id="rId2455" Type="http://schemas.openxmlformats.org/officeDocument/2006/relationships/hyperlink" Target="https://patadovietnam.edu.vn/tienganhgiaotiep_hn/?utm_source=Facebook&amp;utm_medium=CVS&amp;utm_term=NEW_Europe_1840_none_040625&amp;utm_content=saletructiep_Europe.M456.1840.giaotiep_PTATT_LD153&amp;utm_campaign=Europe.giaotiep.M456_16917_CVS_NamNH_040625" TargetMode="External"/><Relationship Id="rId1158" Type="http://schemas.openxmlformats.org/officeDocument/2006/relationships/hyperlink" Target="https://patadovietnam.edu.vn/gtjapan_nhn3" TargetMode="External"/><Relationship Id="rId2489" Type="http://schemas.openxmlformats.org/officeDocument/2006/relationships/hyperlink" Target="https://patadovietnam.edu.vn/tienganhgiaotiep_hn/?utm_source=Facebook&amp;utm_medium=CVS&amp;utm_term=NEW_Europe_1840_none_050625&amp;utm_content=saletructiep_Europe.M447.1840.giaotiep_PTATT_LD153&amp;utm_campaign=Europe.giaotiep.M447_16917_CVS_NamNH_050625" TargetMode="External"/><Relationship Id="rId1159" Type="http://schemas.openxmlformats.org/officeDocument/2006/relationships/hyperlink" Target="https://patadovietnam.edu.vn/gtjapan_nhn3/?utm_source=Facebook&amp;utm_medium=CVS&amp;utm_term=NEW_Japan_1840_none_040324&amp;utm_content=saletructiep_Japan.DCLT.1840.giaotiep_PTATT_LD164&amp;utm_campaign=Japan.giaotiep.DCLT_16917_CVS_NamNH_040324" TargetMode="External"/><Relationship Id="rId569" Type="http://schemas.openxmlformats.org/officeDocument/2006/relationships/hyperlink" Target="https://patadovietnam.edu.vn/tienganhgiaotiep_hn/?utm_source=Facebook&amp;utm_medium=MES&amp;utm_term=NEW_Australia_1843_none_081023&amp;utm_content=saletructiep_Australia.oanhvtv.1843.giaotiep_PTATT_LD153&amp;utm_campaign=Australia.giaotiep.oanhvtv_95360_MES_NamNH_081023" TargetMode="External"/><Relationship Id="rId568" Type="http://schemas.openxmlformats.org/officeDocument/2006/relationships/hyperlink" Target="https://patadovietnam.edu.vn/tienganhgiaotiep_hn/" TargetMode="External"/><Relationship Id="rId567" Type="http://schemas.openxmlformats.org/officeDocument/2006/relationships/hyperlink" Target="http://ldp.ink/VTV_hanquoc" TargetMode="External"/><Relationship Id="rId566" Type="http://schemas.openxmlformats.org/officeDocument/2006/relationships/hyperlink" Target="https://patadovietnam.edu.vn/tatoandien_namnh/?utm_source=Facebook&amp;utm_medium=MES&amp;utm_term=NEW_KoreaSouth_1840_none_081023&amp;utm_content=saletructiep_KoreaSouth.oanhvtv.1840.giaotiep_PTATT_LD187&amp;utm_campaign=KoreaSouth.giaotiep.oanhvtv_95360_MES_NamNH_081023" TargetMode="External"/><Relationship Id="rId2480" Type="http://schemas.openxmlformats.org/officeDocument/2006/relationships/hyperlink" Target="https://patadovietnam.edu.vn/tienganhgiaotiep_hn/?utm_source=Facebook&amp;utm_medium=MES&amp;utm_term=NEW_Taiwan_2050_none_050625&amp;utm_content=saletructiep_Taiwan.M463.1840.giaotiep_PTATT_LD153&amp;utm_campaign=Taiwan.giaotiep.M463_16917_MES_NamNH_050625" TargetMode="External"/><Relationship Id="rId561" Type="http://schemas.openxmlformats.org/officeDocument/2006/relationships/hyperlink" Target="http://ldp.ink/vtv_dailoan" TargetMode="External"/><Relationship Id="rId1150" Type="http://schemas.openxmlformats.org/officeDocument/2006/relationships/hyperlink" Target="https://patadovietnam.edu.vn/tienganhgiaotiep_hn/?utm_source=Facebook&amp;utm_medium=MES&amp;utm_term=NEW_Canada_1840_none_030324&amp;utm_content=saletructiep_Canada.anhkg.1840.giaotiep_PTATT_LD153&amp;utm_campaign=Canada.giaotiep.anhkg_95360_MES_NamNH_030324" TargetMode="External"/><Relationship Id="rId2481" Type="http://schemas.openxmlformats.org/officeDocument/2006/relationships/hyperlink" Target="https://tinyurl.com/M463dailoan" TargetMode="External"/><Relationship Id="rId560" Type="http://schemas.openxmlformats.org/officeDocument/2006/relationships/hyperlink" Target="https://patadovietnam.edu.vn/tienganhgiaotiep_hn/?utm_source=Facebook&amp;utm_medium=MES&amp;utm_term=NEW_Taiwan_1840_none_081023&amp;utm_content=saletructiep_Taiwan.oanhvtv.1840.giaotiep_PTATT_LD153&amp;utm_campaign=Taiwan.giaotiep.oanhvtv_95360_MES_NamNH_081023" TargetMode="External"/><Relationship Id="rId1151" Type="http://schemas.openxmlformats.org/officeDocument/2006/relationships/hyperlink" Target="http://ldp.ink/anhkg_canada" TargetMode="External"/><Relationship Id="rId2482" Type="http://schemas.openxmlformats.org/officeDocument/2006/relationships/hyperlink" Target="https://patadovietnam.edu.vn/tienganhgiaotiep_hn/" TargetMode="External"/><Relationship Id="rId1152" Type="http://schemas.openxmlformats.org/officeDocument/2006/relationships/hyperlink" Target="https://patadovietnam.edu.vn/gtjapan_nhn3" TargetMode="External"/><Relationship Id="rId2483" Type="http://schemas.openxmlformats.org/officeDocument/2006/relationships/hyperlink" Target="https://patadovietnam.edu.vn/tienganhgiaotiep_hn/?utm_source=Facebook&amp;utm_medium=MES&amp;utm_term=NEW_KoreaSouth_2050_none_050625&amp;utm_content=saletructiep_KoreaSouth.M463.1840.giaotiep_PTATT_LD153&amp;utm_campaign=KoreaSouth.giaotiep.M463_16917_MES_NamNH_050625" TargetMode="External"/><Relationship Id="rId1153" Type="http://schemas.openxmlformats.org/officeDocument/2006/relationships/hyperlink" Target="https://patadovietnam.edu.vn/gtjapan_nhn3/?utm_source=Facebook&amp;utm_medium=CVS&amp;utm_term=NEW_Japan_1840_none_040324&amp;utm_content=saletructiep_Japan.PTDVNJP.1840.giaotiep_PTATT_LD164&amp;utm_campaign=Japan.giaotiep.PTDVNJP_16917_CVS_NamNH_040324" TargetMode="External"/><Relationship Id="rId2484" Type="http://schemas.openxmlformats.org/officeDocument/2006/relationships/hyperlink" Target="https://tinyurl.com/M463korea" TargetMode="External"/><Relationship Id="rId565" Type="http://schemas.openxmlformats.org/officeDocument/2006/relationships/hyperlink" Target="https://patadovietnam.edu.vn/tatoandien_namnh" TargetMode="External"/><Relationship Id="rId1154" Type="http://schemas.openxmlformats.org/officeDocument/2006/relationships/hyperlink" Target="http://ldp.ink/PTDVN_japan" TargetMode="External"/><Relationship Id="rId2485" Type="http://schemas.openxmlformats.org/officeDocument/2006/relationships/hyperlink" Target="https://patadovietnam.edu.vn/tienganhgiaotiep_hn/" TargetMode="External"/><Relationship Id="rId564" Type="http://schemas.openxmlformats.org/officeDocument/2006/relationships/hyperlink" Target="http://ldp.ink/VTV_japan" TargetMode="External"/><Relationship Id="rId1155" Type="http://schemas.openxmlformats.org/officeDocument/2006/relationships/hyperlink" Target="https://patadovietnam.edu.vn/tienganhgiaotiep_hn/" TargetMode="External"/><Relationship Id="rId2486" Type="http://schemas.openxmlformats.org/officeDocument/2006/relationships/hyperlink" Target="https://patadovietnam.edu.vn/tienganhgiaotiep_hn/?utm_source=Facebook&amp;utm_medium=CVS&amp;utm_term=NEW_Europe_1840_none_050625&amp;utm_content=saletructiep_Europe.M451.1840.giaotiep_PTATT_LD153&amp;utm_campaign=Europe.giaotiep.M451_16917_CVS_NamNH_050625" TargetMode="External"/><Relationship Id="rId563" Type="http://schemas.openxmlformats.org/officeDocument/2006/relationships/hyperlink" Target="https://patadovietnam.edu.vn/gtjapan_nhn3/?utm_source=Facebook&amp;utm_medium=CVS&amp;utm_term=NEW_Japan_1843_none_081023&amp;utm_content=saletructiep_Japan.oanhvtv.1840.giaotiep_PTATT_LD164&amp;utm_campaign=Japan.giaotiep.oanhvtv_16917_CVS_NamNH_081023" TargetMode="External"/><Relationship Id="rId1156" Type="http://schemas.openxmlformats.org/officeDocument/2006/relationships/hyperlink" Target="https://patadovietnam.edu.vn/tienganhgiaotiep_hn/?utm_source=Facebook&amp;utm_medium=CVS&amp;utm_term=NEW_Europe_1840_none_040324&amp;utm_content=saletructiep_Europe.PTDVN.1840.giaotiep_PTATT_LD153&amp;utm_campaign=Europe.giaotiep.PTDVN_16917_CVS_NamNH_040324" TargetMode="External"/><Relationship Id="rId2487" Type="http://schemas.openxmlformats.org/officeDocument/2006/relationships/hyperlink" Target="https://tinyurl.com/M451chauau" TargetMode="External"/><Relationship Id="rId562" Type="http://schemas.openxmlformats.org/officeDocument/2006/relationships/hyperlink" Target="https://patadovietnam.edu.vn/gtjapan_nhn3" TargetMode="External"/><Relationship Id="rId1157" Type="http://schemas.openxmlformats.org/officeDocument/2006/relationships/hyperlink" Target="http://ldp.ink/PTDVN_europe" TargetMode="External"/><Relationship Id="rId2488" Type="http://schemas.openxmlformats.org/officeDocument/2006/relationships/hyperlink" Target="https://patadovietnam.edu.vn/tienganhgiaotiep_hn/" TargetMode="External"/><Relationship Id="rId1147" Type="http://schemas.openxmlformats.org/officeDocument/2006/relationships/hyperlink" Target="https://patadovietnam.edu.vn/tienganhgiaotiep_hn/?utm_source=Facebook&amp;utm_medium=MES&amp;utm_term=NEW_Philippines_1840_none_030324&amp;utm_content=saletructiep_Philippines.anhtblh.1840.giaotiep_PTATT_LD153&amp;utm_campaign=Philippines.giaotiep.anhtblh_95360_MES_NamNH_030324" TargetMode="External"/><Relationship Id="rId2478" Type="http://schemas.openxmlformats.org/officeDocument/2006/relationships/hyperlink" Target="https://tinyurl.com/M463chauau" TargetMode="External"/><Relationship Id="rId1148" Type="http://schemas.openxmlformats.org/officeDocument/2006/relationships/hyperlink" Target="http://ldp.ink/tblh_philippines" TargetMode="External"/><Relationship Id="rId2479" Type="http://schemas.openxmlformats.org/officeDocument/2006/relationships/hyperlink" Target="https://patadovietnam.edu.vn/tienganhgiaotiep_hn/" TargetMode="External"/><Relationship Id="rId1149" Type="http://schemas.openxmlformats.org/officeDocument/2006/relationships/hyperlink" Target="https://patadovietnam.edu.vn/tienganhgiaotiep_hn/" TargetMode="External"/><Relationship Id="rId558" Type="http://schemas.openxmlformats.org/officeDocument/2006/relationships/hyperlink" Target="https://tinyurl.com/molopchauaueu" TargetMode="External"/><Relationship Id="rId557" Type="http://schemas.openxmlformats.org/officeDocument/2006/relationships/hyperlink" Target="https://patadovietnam.edu.vn/tienganhgiaotiep_hn/?utm_source=Facebook&amp;utm_medium=CVS&amp;utm_term=NEW_Europe_2045_none_080723&amp;utm_content=saletructiep_Europe.molopchauau.2045.giaotiep_PTATT_LD153&amp;utm_campaign=Europe.giaotiep.molopchauau_95360_CVS_NamNH_080723" TargetMode="External"/><Relationship Id="rId556" Type="http://schemas.openxmlformats.org/officeDocument/2006/relationships/hyperlink" Target="https://patadovietnam.edu.vn/tienganhgiaotiep_hn/" TargetMode="External"/><Relationship Id="rId555" Type="http://schemas.openxmlformats.org/officeDocument/2006/relationships/hyperlink" Target="http://ldp.ink/JH2_philippines" TargetMode="External"/><Relationship Id="rId559" Type="http://schemas.openxmlformats.org/officeDocument/2006/relationships/hyperlink" Target="https://patadovietnam.edu.vn/tienganhgiaotiep_hn/" TargetMode="External"/><Relationship Id="rId550" Type="http://schemas.openxmlformats.org/officeDocument/2006/relationships/hyperlink" Target="https://patadovietnam.edu.vn/tienganhgiaotiep_hn/" TargetMode="External"/><Relationship Id="rId2470" Type="http://schemas.openxmlformats.org/officeDocument/2006/relationships/hyperlink" Target="https://patadovietnam.edu.vn/tienganhgiaotiep_hn/" TargetMode="External"/><Relationship Id="rId1140" Type="http://schemas.openxmlformats.org/officeDocument/2006/relationships/hyperlink" Target="https://patadovietnam.edu.vn/gtusa1_nhn" TargetMode="External"/><Relationship Id="rId2471" Type="http://schemas.openxmlformats.org/officeDocument/2006/relationships/hyperlink" Target="https://patadovietnam.edu.vn/tienganhgiaotiep_hn/?utm_source=Facebook&amp;utm_medium=MES&amp;utm_term=NEW_UnitedStates_2050_none_040625&amp;utm_content=saletructiep_UnitedStates.M456.1840.giaotiep_PTATT_LD153&amp;utm_campaign=UnitedStates.giaotiep.M456_16917_MES_NamNH_040625" TargetMode="External"/><Relationship Id="rId1141" Type="http://schemas.openxmlformats.org/officeDocument/2006/relationships/hyperlink" Target="https://patadovietnam.edu.vn/gtusa1_nhn/?utm_source=Facebook&amp;utm_medium=MES&amp;utm_term=NEW_UnitedStates_1840_none_020324&amp;utm_content=saletructiep_UnitedStates.anhkg.1840.giaotiep_PTATT_LD161&amp;utm_campaign=UnitedStates.giaotiep.anhkg_16917_MES_NamNH_020324" TargetMode="External"/><Relationship Id="rId2472" Type="http://schemas.openxmlformats.org/officeDocument/2006/relationships/hyperlink" Target="https://tinyurl.com/M456my" TargetMode="External"/><Relationship Id="rId1142" Type="http://schemas.openxmlformats.org/officeDocument/2006/relationships/hyperlink" Target="http://ldp.ink/kg_usa" TargetMode="External"/><Relationship Id="rId2473" Type="http://schemas.openxmlformats.org/officeDocument/2006/relationships/hyperlink" Target="https://patadovietnam.edu.vn/gtjapan_nhn3" TargetMode="External"/><Relationship Id="rId554" Type="http://schemas.openxmlformats.org/officeDocument/2006/relationships/hyperlink" Target="https://patadovietnam.edu.vn/tienganhgiaotiep_hn/?utm_source=Facebook&amp;utm_medium=MES&amp;utm_term=NEW_Philippines_1838_none_020623&amp;utm_content=saletructiep_Philippines.JH2.1838.giaotiep_PTATT_LD153&amp;utm_campaign=Philippines.giaotiep.JH2_95360_MES_NamNH_020623" TargetMode="External"/><Relationship Id="rId1143" Type="http://schemas.openxmlformats.org/officeDocument/2006/relationships/hyperlink" Target="https://patadovietnam.edu.vn/tienganhgiaotiep_hn/" TargetMode="External"/><Relationship Id="rId2474" Type="http://schemas.openxmlformats.org/officeDocument/2006/relationships/hyperlink" Target="https://patadovietnam.edu.vn/gtjapan_nhn3/?utm_source=Facebook&amp;utm_medium=CVS&amp;utm_term=NEW_Japan_1840_none_050625&amp;utm_content=saletructiep_Japan.M463.1840.giaotiep_PTATT_LD164&amp;utm_campaign=Japan.giaotiep.M463_16917_CVS_NamNH_050625" TargetMode="External"/><Relationship Id="rId553" Type="http://schemas.openxmlformats.org/officeDocument/2006/relationships/hyperlink" Target="https://patadovietnam.edu.vn/tienganhgiaotiep_hn/" TargetMode="External"/><Relationship Id="rId1144" Type="http://schemas.openxmlformats.org/officeDocument/2006/relationships/hyperlink" Target="https://patadovietnam.edu.vn/tienganhgiaotiep_hn/?utm_source=Facebook&amp;utm_medium=MES&amp;utm_term=NEW_Taiwan_1840_none_030324&amp;utm_content=saletructiep_Taiwan.anhbeaf.1840.giaotiep_PTATT_LD153&amp;utm_campaign=Taiwan.giaotiep.anhbeaf_95360_MES_NamNH_030324" TargetMode="External"/><Relationship Id="rId2475" Type="http://schemas.openxmlformats.org/officeDocument/2006/relationships/hyperlink" Target="https://tinyurl.com/M463nhat" TargetMode="External"/><Relationship Id="rId552" Type="http://schemas.openxmlformats.org/officeDocument/2006/relationships/hyperlink" Target="http://ldp.ink/molop_philippines" TargetMode="External"/><Relationship Id="rId1145" Type="http://schemas.openxmlformats.org/officeDocument/2006/relationships/hyperlink" Target="http://ldp.ink/anhbeaf_taiwan" TargetMode="External"/><Relationship Id="rId2476" Type="http://schemas.openxmlformats.org/officeDocument/2006/relationships/hyperlink" Target="https://patadovietnam.edu.vn/tienganhgiaotiep_hn/" TargetMode="External"/><Relationship Id="rId551" Type="http://schemas.openxmlformats.org/officeDocument/2006/relationships/hyperlink" Target="https://patadovietnam.edu.vn/tienganhgiaotiep_hn/?utm_source=Facebook&amp;utm_medium=MES&amp;utm_term=NEW_Philippines_1838_none_020623&amp;utm_content=saletructiep_Philippines.molopphilipin.1838.giaotiep_PTATT_LD153&amp;utm_campaign=Philippines.giaotiep.molopphilipin_95360_MES_NamNH_020623" TargetMode="External"/><Relationship Id="rId1146" Type="http://schemas.openxmlformats.org/officeDocument/2006/relationships/hyperlink" Target="https://patadovietnam.edu.vn/tienganhgiaotiep_hn/" TargetMode="External"/><Relationship Id="rId2477" Type="http://schemas.openxmlformats.org/officeDocument/2006/relationships/hyperlink" Target="https://patadovietnam.edu.vn/tienganhgiaotiep_hn/?utm_source=Facebook&amp;utm_medium=CVS&amp;utm_term=NEW_Europe_1840_none_050625&amp;utm_content=saletructiep_Europe.M463.1840.giaotiep_PTATT_LD153&amp;utm_campaign=Europe.giaotiep.M463_16917_CVS_NamNH_050625" TargetMode="External"/><Relationship Id="rId495" Type="http://schemas.openxmlformats.org/officeDocument/2006/relationships/hyperlink" Target="https://patadovietnam.edu.vn/gtusa1_nhn" TargetMode="External"/><Relationship Id="rId494" Type="http://schemas.openxmlformats.org/officeDocument/2006/relationships/hyperlink" Target="http://ldp.ink/tbpht_dailoan" TargetMode="External"/><Relationship Id="rId493" Type="http://schemas.openxmlformats.org/officeDocument/2006/relationships/hyperlink" Target="https://patadovietnam.edu.vn/tienganhgiaotiep_hn/?utm_source=Facebook&amp;utm_medium=MES&amp;utm_term=NEW_Taiwan_1840_none_290823&amp;utm_content=saletructiep_Taiwan.tbphoto.1840.giaotiep_PTATT_LD153&amp;utm_campaign=Taiwan.giaotiep.tbphoto_95360_MES_NamNH_290823" TargetMode="External"/><Relationship Id="rId492" Type="http://schemas.openxmlformats.org/officeDocument/2006/relationships/hyperlink" Target="https://patadovietnam.edu.vn/tienganhgiaotiep_hn/" TargetMode="External"/><Relationship Id="rId499" Type="http://schemas.openxmlformats.org/officeDocument/2006/relationships/hyperlink" Target="https://patadovietnam.edu.vn/gtjapan_nhn3/?utm_source=Facebook&amp;utm_medium=CVS&amp;utm_term=NEW_Japan_1840_none_300823&amp;utm_content=saletructiep_Japan.tbphoto.1840.giaotiep_PTATT_LD164&amp;utm_campaign=Japan.giaotiep.tbphoto_16917_CVS_NamNH_300823" TargetMode="External"/><Relationship Id="rId498" Type="http://schemas.openxmlformats.org/officeDocument/2006/relationships/hyperlink" Target="https://patadovietnam.edu.vn/gtjapan_nhn3" TargetMode="External"/><Relationship Id="rId497" Type="http://schemas.openxmlformats.org/officeDocument/2006/relationships/hyperlink" Target="http://ldp.ink/tbpht_hoaky" TargetMode="External"/><Relationship Id="rId496" Type="http://schemas.openxmlformats.org/officeDocument/2006/relationships/hyperlink" Target="https://patadovietnam.edu.vn/gtusa1_nhn/?utm_source=Facebook&amp;utm_medium=MES&amp;utm_term=NEW_UnitedStates_2045_none_290823&amp;utm_content=saletructiep_UnitedStates.tbphoto.2045.giaotiep_PTATT_LD161&amp;utm_campaign=UnitedStates.giaotiep.tbphoto_16917_MES_NamNH_290823" TargetMode="External"/><Relationship Id="rId1213" Type="http://schemas.openxmlformats.org/officeDocument/2006/relationships/hyperlink" Target="https://patadovietnam.edu.vn/tienganhgiaotiep_hn/?utm_source=Facebook&amp;utm_medium=MES&amp;utm_term=NEW_ALL_1840_none_170324&amp;utm_content=saletructiep_ALL.HTKOC.1840.giaotiep_PTATT_LD153&amp;utm_campaign=ALL.giaotiep.HTKOC_95360_MES_NamNH_170324" TargetMode="External"/><Relationship Id="rId2544" Type="http://schemas.openxmlformats.org/officeDocument/2006/relationships/hyperlink" Target="https://patadovietnam.edu.vn/tienganhgiaotiep_hn/" TargetMode="External"/><Relationship Id="rId1214" Type="http://schemas.openxmlformats.org/officeDocument/2006/relationships/hyperlink" Target="http://ldp.ink/ttht_all" TargetMode="External"/><Relationship Id="rId2545" Type="http://schemas.openxmlformats.org/officeDocument/2006/relationships/hyperlink" Target="https://patadovietnam.edu.vn/tienganhgiaotiep_hn/?utm_source=Facebook&amp;utm_medium=CVS&amp;utm_term=NEW_Europe_1840_none_020725&amp;utm_content=saletructiep_Europe.M489.1840.giaotiep_PTATT_LD153&amp;utm_campaign=Europe.giaotiep.M489_16917_CVS_NamNH_020725" TargetMode="External"/><Relationship Id="rId1215" Type="http://schemas.openxmlformats.org/officeDocument/2006/relationships/hyperlink" Target="https://patadovietnam.edu.vn/tienganhgiaotiep_hn/" TargetMode="External"/><Relationship Id="rId2546" Type="http://schemas.openxmlformats.org/officeDocument/2006/relationships/hyperlink" Target="https://tinyurl.com/M489chauau" TargetMode="External"/><Relationship Id="rId1216" Type="http://schemas.openxmlformats.org/officeDocument/2006/relationships/hyperlink" Target="https://patadovietnam.edu.vn/tienganhgiaotiep_hn/?utm_source=Facebook&amp;utm_medium=CVS&amp;utm_term=NEW_Europe_1840_none_230324&amp;utm_content=saletructiep_Europe.HTKOC2.1840.giaotiep_PTATT_LD153&amp;utm_campaign=Europe.giaotiep.HTKOC2_16917_CVS_NamNH_230324" TargetMode="External"/><Relationship Id="rId2547" Type="http://schemas.openxmlformats.org/officeDocument/2006/relationships/hyperlink" Target="https://patadovietnam.edu.vn/gtusa1_nhn" TargetMode="External"/><Relationship Id="rId1217" Type="http://schemas.openxmlformats.org/officeDocument/2006/relationships/hyperlink" Target="https://s.net.vn/HTKOC2-europe" TargetMode="External"/><Relationship Id="rId2548" Type="http://schemas.openxmlformats.org/officeDocument/2006/relationships/hyperlink" Target="https://patadovietnam.edu.vn/gtusa1_nhn/?utm_source=Facebook&amp;utm_medium=MES&amp;utm_term=NEW_UnitedStates_2050_none_020725&amp;utm_content=saletructiep_UnitedStates.M488xM489.1840.giaotiep_PTATT_LD161&amp;utm_campaign=UnitedStates.giaotiep.M488xM489_16917_MES_NamNH_020725" TargetMode="External"/><Relationship Id="rId1218" Type="http://schemas.openxmlformats.org/officeDocument/2006/relationships/hyperlink" Target="https://patadovietnam.edu.vn/tienganhgiaotiep_hn/" TargetMode="External"/><Relationship Id="rId2549" Type="http://schemas.openxmlformats.org/officeDocument/2006/relationships/hyperlink" Target="https://tinyurl.com/M488xM489usa" TargetMode="External"/><Relationship Id="rId1219" Type="http://schemas.openxmlformats.org/officeDocument/2006/relationships/hyperlink" Target="https://patadovietnam.edu.vn/tienganhgiaotiep_hn/?utm_source=Facebook&amp;utm_medium=CVS&amp;utm_term=NEW_ALL_1840_none_230324&amp;utm_content=saletructiep_ALL.HTKOC2.1840.giaotiep_PTATT_LD153&amp;utm_campaign=ALL.giaotiep.HTKOC2_16917_CVS_NamNH_230324" TargetMode="External"/><Relationship Id="rId2540" Type="http://schemas.openxmlformats.org/officeDocument/2006/relationships/hyperlink" Target="https://tinyurl.com/M488japan" TargetMode="External"/><Relationship Id="rId1210" Type="http://schemas.openxmlformats.org/officeDocument/2006/relationships/hyperlink" Target="https://patadovietnam.edu.vn/tienganhgiaotiep_hn/?utm_source=Facebook&amp;utm_medium=MES&amp;utm_term=NEW_Taiwan_1840_none_170324&amp;utm_content=saletructiep_Taiwan.HTKOC.1840.giaotiep_PTATT_LD153&amp;utm_campaign=Taiwan.giaotiep.HTKOC_95360_MES_NamNH_170324" TargetMode="External"/><Relationship Id="rId2541" Type="http://schemas.openxmlformats.org/officeDocument/2006/relationships/hyperlink" Target="https://patadovietnam.edu.vn/tienganhgiaotiep_hn/" TargetMode="External"/><Relationship Id="rId1211" Type="http://schemas.openxmlformats.org/officeDocument/2006/relationships/hyperlink" Target="http://ldp.ink/ttht_taiwan" TargetMode="External"/><Relationship Id="rId2542" Type="http://schemas.openxmlformats.org/officeDocument/2006/relationships/hyperlink" Target="https://patadovietnam.edu.vn/tienganhgiaotiep_hn/?utm_source=Facebook&amp;utm_medium=CVS&amp;utm_term=NEW_Europe_1840_none_020725&amp;utm_content=saletructiep_Europe.M488.1840.giaotiep_PTATT_LD153&amp;utm_campaign=Europe.giaotiep.M488_16917_CVS_NamNH_020725" TargetMode="External"/><Relationship Id="rId1212" Type="http://schemas.openxmlformats.org/officeDocument/2006/relationships/hyperlink" Target="https://patadovietnam.edu.vn/tienganhgiaotiep_hn/" TargetMode="External"/><Relationship Id="rId2543" Type="http://schemas.openxmlformats.org/officeDocument/2006/relationships/hyperlink" Target="https://tinyurl.com/M488chauau" TargetMode="External"/><Relationship Id="rId1202" Type="http://schemas.openxmlformats.org/officeDocument/2006/relationships/hyperlink" Target="http://ldp.ink/ttht_philippines" TargetMode="External"/><Relationship Id="rId2533" Type="http://schemas.openxmlformats.org/officeDocument/2006/relationships/hyperlink" Target="https://patadovietnam.edu.vn/tienganhgiaotiep1_hn/?utm_source=Facebook&amp;utm_medium=MES&amp;utm_term=NEW_ALL_2050_none_240625&amp;utm_content=saletructiep_ALL.M482.1840.giaotiep_PTATT_LD243&amp;utm_campaign=ALL.giaotiep.M482_16917_MES_NamNH_240625" TargetMode="External"/><Relationship Id="rId1203" Type="http://schemas.openxmlformats.org/officeDocument/2006/relationships/hyperlink" Target="https://patadovietnam.edu.vn/tienganhgiaotiep_hn/" TargetMode="External"/><Relationship Id="rId2534" Type="http://schemas.openxmlformats.org/officeDocument/2006/relationships/hyperlink" Target="https://tinyurl.com/M482all" TargetMode="External"/><Relationship Id="rId1204" Type="http://schemas.openxmlformats.org/officeDocument/2006/relationships/hyperlink" Target="https://patadovietnam.edu.vn/tienganhgiaotiep_hn/?utm_source=Facebook&amp;utm_medium=MES&amp;utm_term=NEW_KoreaSouth_1840_none_170324&amp;utm_content=saletructiep_KoreaSouth.HTKOC.1840.giaotiep_PTATT_LD153&amp;utm_campaign=KoreaSouth.giaotiep.HTKOC_95360_MES_NamNH_170324" TargetMode="External"/><Relationship Id="rId2535" Type="http://schemas.openxmlformats.org/officeDocument/2006/relationships/hyperlink" Target="https://patadovietnam.edu.vn/gtusa2_nhn" TargetMode="External"/><Relationship Id="rId1205" Type="http://schemas.openxmlformats.org/officeDocument/2006/relationships/hyperlink" Target="http://ldp.ink/ttht_korea" TargetMode="External"/><Relationship Id="rId2536" Type="http://schemas.openxmlformats.org/officeDocument/2006/relationships/hyperlink" Target="https://patadovietnam.edu.vn/gtusa2_nhn/?utm_source=Facebook&amp;utm_medium=CVS&amp;utm_term=NEW_UnitedStates_2050_none_240625&amp;utm_content=saletructiep_UnitedStates.M482.1840.giaotiep_PTATT_LD242&amp;utm_campaign=UnitedStates.giaotiep.M482_16917_MES_NamNH_240625" TargetMode="External"/><Relationship Id="rId1206" Type="http://schemas.openxmlformats.org/officeDocument/2006/relationships/hyperlink" Target="https://patadovietnam.edu.vn/tienganhgiaotiep_hn/" TargetMode="External"/><Relationship Id="rId2537" Type="http://schemas.openxmlformats.org/officeDocument/2006/relationships/hyperlink" Target="https://tinyurl.com/M482hoaky" TargetMode="External"/><Relationship Id="rId1207" Type="http://schemas.openxmlformats.org/officeDocument/2006/relationships/hyperlink" Target="https://patadovietnam.edu.vn/tienganhgiaotiep_hn/?utm_source=Facebook&amp;utm_medium=MES&amp;utm_term=NEW_Australia_1840_none_170324&amp;utm_content=saletructiep_Australia.HTKOC.1840.giaotiep_PTATT_LD153&amp;utm_campaign=Australia.giaotiep.HTKOC_95360_MES_NamNH_170324" TargetMode="External"/><Relationship Id="rId2538" Type="http://schemas.openxmlformats.org/officeDocument/2006/relationships/hyperlink" Target="https://patadovietnam.edu.vn/gtjapan_nhn3" TargetMode="External"/><Relationship Id="rId1208" Type="http://schemas.openxmlformats.org/officeDocument/2006/relationships/hyperlink" Target="http://ldp.ink/ttht_australia" TargetMode="External"/><Relationship Id="rId2539" Type="http://schemas.openxmlformats.org/officeDocument/2006/relationships/hyperlink" Target="https://patadovietnam.edu.vn/gtjapan_nhn3/?utm_source=Facebook&amp;utm_medium=CVS&amp;utm_term=NEW_Japan_1840_none_240625&amp;utm_content=saletructiep_Japan.M488.1840.giaotiep_PTATT_LD164&amp;utm_campaign=Japan.giaotiep.M488_16917_CVS_NamNH_240625" TargetMode="External"/><Relationship Id="rId1209" Type="http://schemas.openxmlformats.org/officeDocument/2006/relationships/hyperlink" Target="https://patadovietnam.edu.vn/tienganhgiaotiep_hn/" TargetMode="External"/><Relationship Id="rId2530" Type="http://schemas.openxmlformats.org/officeDocument/2006/relationships/hyperlink" Target="https://patadovietnam.edu.vn/tienganhgiaotiep1_hn/?utm_source=Facebook&amp;utm_medium=CVS&amp;utm_term=NEW_Europe_1840_none_240625&amp;utm_content=saletructiep_Europe.M482.1840.giaotiep_PTATT_LD243&amp;utm_campaign=Europe.giaotiep.M482_16917_CVS_NamNH_240625" TargetMode="External"/><Relationship Id="rId1200" Type="http://schemas.openxmlformats.org/officeDocument/2006/relationships/hyperlink" Target="https://patadovietnam.edu.vn/tienganhgiaotiep_hn/" TargetMode="External"/><Relationship Id="rId2531" Type="http://schemas.openxmlformats.org/officeDocument/2006/relationships/hyperlink" Target="https://tinyurl.com/M482chauau" TargetMode="External"/><Relationship Id="rId1201" Type="http://schemas.openxmlformats.org/officeDocument/2006/relationships/hyperlink" Target="https://patadovietnam.edu.vn/tienganhgiaotiep_hn/?utm_source=Facebook&amp;utm_medium=MES&amp;utm_term=NEW_Philippines_1840_none_170324&amp;utm_content=saletructiep_Philippines.HTKOC.1840.giaotiep_PTATT_LD153&amp;utm_campaign=Philippines.giaotiep.HTKOC_95360_MES_NamNH_170324" TargetMode="External"/><Relationship Id="rId2532" Type="http://schemas.openxmlformats.org/officeDocument/2006/relationships/hyperlink" Target="https://patadovietnam.edu.vn/tienganhgiaotiep1_hn/" TargetMode="External"/><Relationship Id="rId1235" Type="http://schemas.openxmlformats.org/officeDocument/2006/relationships/hyperlink" Target="http://ldp.ink/PT_philippines" TargetMode="External"/><Relationship Id="rId2566" Type="http://schemas.openxmlformats.org/officeDocument/2006/relationships/hyperlink" Target="https://patadovietnam.edu.vn/tienganhgiaotiep_hn/?utm_source=Facebook&amp;utm_medium=MES&amp;utm_term=NEW_Europe_1840_none_160725&amp;utm_content=saletructiep_Europe.M491xM492.1840.giaotiep_PTATT_LD153&amp;utm_campaign=Europe.giaotiep.M491xM492_16917_MES_NamNH_160725" TargetMode="External"/><Relationship Id="rId1236" Type="http://schemas.openxmlformats.org/officeDocument/2006/relationships/hyperlink" Target="https://patadovietnam.edu.vn/tienganhgiaotiep_hn/" TargetMode="External"/><Relationship Id="rId2567" Type="http://schemas.openxmlformats.org/officeDocument/2006/relationships/hyperlink" Target="https://tinyurl.com/M491xM492MCA" TargetMode="External"/><Relationship Id="rId1237" Type="http://schemas.openxmlformats.org/officeDocument/2006/relationships/hyperlink" Target="https://patadovietnam.edu.vn/tienganhgiaotiep_hn/?utm_source=Facebook&amp;utm_medium=MES&amp;utm_term=NEW_KoreaSouth_1840_none_040424&amp;utm_content=saletructiep_KoreaSouth.PTKOC.1840.giaotiep_PTATT_LD153&amp;utm_campaign=KoreaSouth.giaotiep.PTKOC_16917_MES_NamNH_040424" TargetMode="External"/><Relationship Id="rId2568" Type="http://schemas.openxmlformats.org/officeDocument/2006/relationships/hyperlink" Target="https://patadovietnam.edu.vn/tienganhgiaotiep_hn/" TargetMode="External"/><Relationship Id="rId1238" Type="http://schemas.openxmlformats.org/officeDocument/2006/relationships/hyperlink" Target="http://ldp.ink/PT_hanquoc" TargetMode="External"/><Relationship Id="rId2569" Type="http://schemas.openxmlformats.org/officeDocument/2006/relationships/hyperlink" Target="https://patadovietnam.edu.vn/tienganhgiaotiep_hn/?utm_source=Facebook&amp;utm_medium=MES&amp;utm_term=NEW_Europe_1840_none_160725&amp;utm_content=saletructiep_Europe.M497xM498.1840.giaotiep_PTATT_LD153&amp;utm_campaign=Europe.giaotiep.M497xM498_16917_MES_NamNH_160725" TargetMode="External"/><Relationship Id="rId1239" Type="http://schemas.openxmlformats.org/officeDocument/2006/relationships/hyperlink" Target="https://patadovietnam.edu.vn/tienganhgiaotiep_hn/" TargetMode="External"/><Relationship Id="rId409" Type="http://schemas.openxmlformats.org/officeDocument/2006/relationships/hyperlink" Target="https://patadovietnam.edu.vn/gtusa1_nhn/?utm_source=Facebook&amp;utm_medium=CVS&amp;utm_term=NEW_UnitedStates_2045_none_070923&amp;utm_content=saletructiep_UnitedStates.Gthocvien.2045.giaotiep_PTATT_LD161&amp;utm_campaign=UnitedStates.giaotiep.Gthocvien_16917_CVS_NamNH_070923" TargetMode="External"/><Relationship Id="rId404" Type="http://schemas.openxmlformats.org/officeDocument/2006/relationships/hyperlink" Target="http://ldp.to/HhotUSA_HN" TargetMode="External"/><Relationship Id="rId403" Type="http://schemas.openxmlformats.org/officeDocument/2006/relationships/hyperlink" Target="https://patadovietnam.edu.vn/gtusa1_nhn/?utm_source=Facebook&amp;utm_medium=MES&amp;utm_term=NEW_UnitedStates_2045_none_060923&amp;utm_content=saletructiep_UnitedStates.Hhot.2045.giaotiep_PTATT_LD161&amp;utm_campaign=UnitedStates.giaotiep.Hhot_16917_MES_NamNH_060923" TargetMode="External"/><Relationship Id="rId402" Type="http://schemas.openxmlformats.org/officeDocument/2006/relationships/hyperlink" Target="https://patadovietnam.edu.vn/gtusa1_nhn" TargetMode="External"/><Relationship Id="rId401" Type="http://schemas.openxmlformats.org/officeDocument/2006/relationships/hyperlink" Target="http://ldp.to/Hhotphilippines_HN" TargetMode="External"/><Relationship Id="rId408" Type="http://schemas.openxmlformats.org/officeDocument/2006/relationships/hyperlink" Target="https://patadovietnam.edu.vn/gtusa1_nhn" TargetMode="External"/><Relationship Id="rId407" Type="http://schemas.openxmlformats.org/officeDocument/2006/relationships/hyperlink" Target="http://ldp.to/Hhotdailoan_HN" TargetMode="External"/><Relationship Id="rId406" Type="http://schemas.openxmlformats.org/officeDocument/2006/relationships/hyperlink" Target="https://patadovietnam.edu.vn/gtall_namnh/?utm_source=Facebook&amp;utm_medium=MES&amp;utm_term=NEW_Taiwan_1838_none_070923&amp;utm_content=saletructiep_Taiwan.Hhot.1838.giaotiep_PTATT_LD169&amp;utm_campaign=Taiwan.giaotiep.Hhot_95360_MES_NamNH_070923" TargetMode="External"/><Relationship Id="rId405" Type="http://schemas.openxmlformats.org/officeDocument/2006/relationships/hyperlink" Target="https://patadovietnam.edu.vn/gtall_namnh" TargetMode="External"/><Relationship Id="rId2560" Type="http://schemas.openxmlformats.org/officeDocument/2006/relationships/hyperlink" Target="https://patadovietnam.edu.vn/tienganhgiaotiep_hn/?utm_source=Facebook&amp;utm_medium=CVS&amp;utm_term=NEW_Europe_1840_none_070725&amp;utm_content=saletructiep_Europe.M491xM492.1840.giaotiep_PTATT_LD153&amp;utm_campaign=Europe.giaotiep.M491xM492_16917_CVS_NamNH_070725" TargetMode="External"/><Relationship Id="rId1230" Type="http://schemas.openxmlformats.org/officeDocument/2006/relationships/hyperlink" Target="https://patadovietnam.edu.vn/gtusa1_nhn" TargetMode="External"/><Relationship Id="rId2561" Type="http://schemas.openxmlformats.org/officeDocument/2006/relationships/hyperlink" Target="https://tinyurl.com/M491xM492chauau" TargetMode="External"/><Relationship Id="rId400" Type="http://schemas.openxmlformats.org/officeDocument/2006/relationships/hyperlink" Target="https://patadovietnam.edu.vn/gtall_namnh/?utm_source=Facebook&amp;utm_medium=MES&amp;utm_term=NEW_Philippines_1838_none_060923&amp;utm_content=saletructiep_Philippines.Hhot.1838.giaotiep_PTATT_LD169&amp;utm_campaign=Philippines.giaotiep.Hhot_95360_MES_NamNH_060923" TargetMode="External"/><Relationship Id="rId1231" Type="http://schemas.openxmlformats.org/officeDocument/2006/relationships/hyperlink" Target="https://patadovietnam.edu.vn/gtusa1_nhn/?utm_source=Facebook&amp;utm_medium=MES&amp;utm_term=NEW_UnitedStates_1840_none_230324&amp;utm_content=saletructiep_UnitedStates.PTKOC.1840.giaotiep_PTATT_LD161&amp;utm_campaign=UnitedStates.giaotiep.PTKOC_16917_MES_NamNH_230324" TargetMode="External"/><Relationship Id="rId2562" Type="http://schemas.openxmlformats.org/officeDocument/2006/relationships/hyperlink" Target="https://patadovietnam.edu.vn/tienganhgiaotiep_hn/" TargetMode="External"/><Relationship Id="rId1232" Type="http://schemas.openxmlformats.org/officeDocument/2006/relationships/hyperlink" Target="http://ldp.ink/PTKOC_hoaky" TargetMode="External"/><Relationship Id="rId2563" Type="http://schemas.openxmlformats.org/officeDocument/2006/relationships/hyperlink" Target="https://patadovietnam.edu.vn/tienganhgiaotiep_hn/?utm_source=Facebook&amp;utm_medium=MES&amp;utm_term=NEW_ALL_2050_none_080725&amp;utm_content=saletructiep_ALL.M417.1840.giaotiep_PTATT_LD153&amp;utm_campaign=ALL.giaotiep.M417_16917_CVS_NamNH_080725" TargetMode="External"/><Relationship Id="rId1233" Type="http://schemas.openxmlformats.org/officeDocument/2006/relationships/hyperlink" Target="https://patadovietnam.edu.vn/tienganhgiaotiep_hn/" TargetMode="External"/><Relationship Id="rId2564" Type="http://schemas.openxmlformats.org/officeDocument/2006/relationships/hyperlink" Target="https://tinyurl.com/M417FBALL" TargetMode="External"/><Relationship Id="rId1234" Type="http://schemas.openxmlformats.org/officeDocument/2006/relationships/hyperlink" Target="https://patadovietnam.edu.vn/tienganhgiaotiep_hn/?utm_source=Facebook&amp;utm_medium=MES&amp;utm_term=NEW_Philippines_1840_none_040424&amp;utm_content=saletructiep_Philippines.PTKOC.1840.giaotiep_PTATT_LD153&amp;utm_campaign=Philippines.giaotiep.PTKOC_16917_MES_NamNH_040424" TargetMode="External"/><Relationship Id="rId2565" Type="http://schemas.openxmlformats.org/officeDocument/2006/relationships/hyperlink" Target="https://patadovietnam.edu.vn/tienganhgiaotiep_hn/" TargetMode="External"/><Relationship Id="rId1224" Type="http://schemas.openxmlformats.org/officeDocument/2006/relationships/hyperlink" Target="https://patadovietnam.edu.vn/tienganhgiaotiep_hn/" TargetMode="External"/><Relationship Id="rId2555" Type="http://schemas.openxmlformats.org/officeDocument/2006/relationships/hyperlink" Target="https://tinyurl.com/M488xM489korea" TargetMode="External"/><Relationship Id="rId1225" Type="http://schemas.openxmlformats.org/officeDocument/2006/relationships/hyperlink" Target="https://patadovietnam.edu.vn/tienganhgiaotiep_hn/?utm_source=Facebook&amp;utm_medium=CVS&amp;utm_term=NEW_Europe_1840_none_230324&amp;utm_content=saletructiep_Europe.PTKOC.1840.giaotiep_PTATT_LD153&amp;utm_campaign=Europe.giaotiep.PTKOC_16917_CVS_NamNH_230324" TargetMode="External"/><Relationship Id="rId2556" Type="http://schemas.openxmlformats.org/officeDocument/2006/relationships/hyperlink" Target="https://patadovietnam.edu.vn/gtjapan_nhn3" TargetMode="External"/><Relationship Id="rId1226" Type="http://schemas.openxmlformats.org/officeDocument/2006/relationships/hyperlink" Target="http://ldp.ink/PTKOC_europe" TargetMode="External"/><Relationship Id="rId2557" Type="http://schemas.openxmlformats.org/officeDocument/2006/relationships/hyperlink" Target="https://patadovietnam.edu.vn/gtjapan_nhn3/?utm_source=Facebook&amp;utm_medium=CVS&amp;utm_term=NEW_Japan_1840_none_070725&amp;utm_content=saletructiep_Japan.M491xM492.1840.giaotiep_PTATT_LD164&amp;utm_campaign=Japan.giaotiep.M491xM492_16917_CVS_NamNH_070725" TargetMode="External"/><Relationship Id="rId1227" Type="http://schemas.openxmlformats.org/officeDocument/2006/relationships/hyperlink" Target="https://patadovietnam.edu.vn/tienganhgiaotiep_hn/" TargetMode="External"/><Relationship Id="rId2558" Type="http://schemas.openxmlformats.org/officeDocument/2006/relationships/hyperlink" Target="https://tinyurl.com/M491xM492japan" TargetMode="External"/><Relationship Id="rId1228" Type="http://schemas.openxmlformats.org/officeDocument/2006/relationships/hyperlink" Target="https://patadovietnam.edu.vn/tienganhgiaotiep_hn/?utm_source=Facebook&amp;utm_medium=CVS&amp;utm_term=NEW_ALL_1840_none_230324&amp;utm_content=saletructiep_ALL.PTKOC.1840.giaotiep_PTATT_LD153&amp;utm_campaign=ALL.giaotiep.PTKOC_16917_CVS_NamNH_230324" TargetMode="External"/><Relationship Id="rId2559" Type="http://schemas.openxmlformats.org/officeDocument/2006/relationships/hyperlink" Target="https://patadovietnam.edu.vn/tienganhgiaotiep_hn/" TargetMode="External"/><Relationship Id="rId1229" Type="http://schemas.openxmlformats.org/officeDocument/2006/relationships/hyperlink" Target="http://ldp.ink/PTKOC_all" TargetMode="External"/><Relationship Id="rId2550" Type="http://schemas.openxmlformats.org/officeDocument/2006/relationships/hyperlink" Target="https://patadovietnam.edu.vn/gtusa1_nhn" TargetMode="External"/><Relationship Id="rId1220" Type="http://schemas.openxmlformats.org/officeDocument/2006/relationships/hyperlink" Target="http://ldp.ink/HTKOC2_all" TargetMode="External"/><Relationship Id="rId2551" Type="http://schemas.openxmlformats.org/officeDocument/2006/relationships/hyperlink" Target="https://patadovietnam.edu.vn/gtusa1_nhn/?utm_source=Facebook&amp;utm_medium=MES&amp;utm_term=NEW_UnitedStates_2050_none_020725&amp;utm_content=saletructiep_UnitedStates.M490.1840.giaotiep_PTATT_LD161&amp;utm_campaign=UnitedStates.giaotiep.M490_16917_MES_NamNH_020725" TargetMode="External"/><Relationship Id="rId1221" Type="http://schemas.openxmlformats.org/officeDocument/2006/relationships/hyperlink" Target="https://patadovietnam.edu.vn/gtjapan_nhn3" TargetMode="External"/><Relationship Id="rId2552" Type="http://schemas.openxmlformats.org/officeDocument/2006/relationships/hyperlink" Target="https://tinyurl.com/M490hoaky" TargetMode="External"/><Relationship Id="rId1222" Type="http://schemas.openxmlformats.org/officeDocument/2006/relationships/hyperlink" Target="https://patadovietnam.edu.vn/gtjapan_nhn3/?utm_source=Facebook&amp;utm_medium=CVS&amp;utm_term=NEW_Japan_1840_none_230324&amp;utm_content=saletructiep_Japan.PTKOC.1840.giaotiep_PTATT_LD164&amp;utm_campaign=Japan.giaotiep.PTKOC_16917_CVS_NamNH_230324" TargetMode="External"/><Relationship Id="rId2553" Type="http://schemas.openxmlformats.org/officeDocument/2006/relationships/hyperlink" Target="https://patadovietnam.edu.vn/tienganhgiaotiep_hn/" TargetMode="External"/><Relationship Id="rId1223" Type="http://schemas.openxmlformats.org/officeDocument/2006/relationships/hyperlink" Target="http://ldp.ink/PTKOC_japan" TargetMode="External"/><Relationship Id="rId2554" Type="http://schemas.openxmlformats.org/officeDocument/2006/relationships/hyperlink" Target="https://patadovietnam.edu.vn/tienganhgiaotiep_hn/?utm_source=Facebook&amp;utm_medium=MES&amp;utm_term=NEW_KoreaSouth_2050_none_020725&amp;utm_content=saletructiep_KoreaSouth.M488xM489.1840.giaotiep_PTATT_LD153&amp;utm_campaign=KoreaSouth.giaotiep.M488xM489_16917_MES_NamNH_020725" TargetMode="External"/><Relationship Id="rId2500" Type="http://schemas.openxmlformats.org/officeDocument/2006/relationships/hyperlink" Target="https://patadovietnam.edu.vn/careereng_nhn/" TargetMode="External"/><Relationship Id="rId2501" Type="http://schemas.openxmlformats.org/officeDocument/2006/relationships/hyperlink" Target="https://patadovietnam.edu.vn/careereng_nhn/?utm_source=Facebook&amp;utm_medium=CVS&amp;utm_term=NEW_Japan_1840_none_090625&amp;utm_content=saletructiep_Japan.M472.1840.Career_PTATT_LD239&amp;utm_campaign=Japan.Career.M472_16917_CVS_NamNH_090625" TargetMode="External"/><Relationship Id="rId2502" Type="http://schemas.openxmlformats.org/officeDocument/2006/relationships/hyperlink" Target="https://tinyurl.com/M472japan" TargetMode="External"/><Relationship Id="rId2503" Type="http://schemas.openxmlformats.org/officeDocument/2006/relationships/hyperlink" Target="https://patadovietnam.edu.vn/careereng_nhn/" TargetMode="External"/><Relationship Id="rId2504" Type="http://schemas.openxmlformats.org/officeDocument/2006/relationships/hyperlink" Target="https://patadovietnam.edu.vn/careereng_nhn/?utm_source=Facebook&amp;utm_medium=MES&amp;utm_term=NEW_Vietnam_2050_none_090625&amp;utm_content=saletructiep_Vietnam.M473.1840.Career_PTATT_LD239&amp;utm_campaign=Vietnam.Career.M473_16917_MES_NamNH_090625" TargetMode="External"/><Relationship Id="rId2505" Type="http://schemas.openxmlformats.org/officeDocument/2006/relationships/hyperlink" Target="https://tinyurl.com/M473vietnam" TargetMode="External"/><Relationship Id="rId2506" Type="http://schemas.openxmlformats.org/officeDocument/2006/relationships/hyperlink" Target="https://patadovietnam.edu.vn/tienganhgiaotiep_hn/" TargetMode="External"/><Relationship Id="rId2507" Type="http://schemas.openxmlformats.org/officeDocument/2006/relationships/hyperlink" Target="https://patadovietnam.edu.vn/tienganhgiaotiep_hn/?utm_source=Facebook&amp;utm_medium=MES&amp;utm_term=NEW_UnitedStates_2050_none_090625&amp;utm_content=saletructiep_UnitedStates.Congdongnails.1840.giaotiep_PTATT_LD153&amp;utm_campaign=UnitedStates.giaotiep.Congdongnails_16917_MES_NamNH_090625" TargetMode="External"/><Relationship Id="rId2508" Type="http://schemas.openxmlformats.org/officeDocument/2006/relationships/hyperlink" Target="https://patadovietnam.edu.vn/tienganhgiaotiep1_hn/" TargetMode="External"/><Relationship Id="rId2509" Type="http://schemas.openxmlformats.org/officeDocument/2006/relationships/hyperlink" Target="https://patadovietnam.edu.vn/tienganhgiaotiep1_hn/?utm_source=Facebook&amp;utm_medium=CVS&amp;utm_term=NEW_Europe_1840_none_190625&amp;utm_content=saletructiep_Europe.M479LQ.1840.giaotiep_PTATT_LD243&amp;utm_campaign=Europe.giaotiep.M479LQ_16917_CVS_NamNH_190625" TargetMode="External"/><Relationship Id="rId2522" Type="http://schemas.openxmlformats.org/officeDocument/2006/relationships/hyperlink" Target="https://tinyurl.com/M480USA" TargetMode="External"/><Relationship Id="rId2523" Type="http://schemas.openxmlformats.org/officeDocument/2006/relationships/hyperlink" Target="https://patadovietnam.edu.vn/gtusa2_nhn" TargetMode="External"/><Relationship Id="rId2524" Type="http://schemas.openxmlformats.org/officeDocument/2006/relationships/hyperlink" Target="https://patadovietnam.edu.vn/gtusa2_nhn/?utm_source=Facebook&amp;utm_medium=MES&amp;utm_term=NEW_UnitedStates_2050_none_190625&amp;utm_content=saletructiep_UnitedStates.M479NM.1840.giaotiep_PTATT_LD242&amp;utm_campaign=UnitedStates.giaotiep.M479NM_16917_MES_NamNH_190625" TargetMode="External"/><Relationship Id="rId2525" Type="http://schemas.openxmlformats.org/officeDocument/2006/relationships/hyperlink" Target="https://tinyurl.com/M479NMUS" TargetMode="External"/><Relationship Id="rId2526" Type="http://schemas.openxmlformats.org/officeDocument/2006/relationships/hyperlink" Target="https://patadovietnam.edu.vn/tienganhgiaotiep1_hn/" TargetMode="External"/><Relationship Id="rId2527" Type="http://schemas.openxmlformats.org/officeDocument/2006/relationships/hyperlink" Target="https://patadovietnam.edu.vn/tienganhgiaotiep1_hn/?utm_source=Facebook&amp;utm_medium=CVS&amp;utm_term=NEW_Europe_1840_none_240625&amp;utm_content=saletructiep_Europe.M478.1840.giaotiep_PTATT_LD243&amp;utm_campaign=Europe.giaotiep.M478_16917_CVS_NamNH_240625" TargetMode="External"/><Relationship Id="rId2528" Type="http://schemas.openxmlformats.org/officeDocument/2006/relationships/hyperlink" Target="https://tinyurl.com/M478chauau" TargetMode="External"/><Relationship Id="rId2529" Type="http://schemas.openxmlformats.org/officeDocument/2006/relationships/hyperlink" Target="https://patadovietnam.edu.vn/tienganhgiaotiep1_hn/" TargetMode="External"/><Relationship Id="rId2520" Type="http://schemas.openxmlformats.org/officeDocument/2006/relationships/hyperlink" Target="https://patadovietnam.edu.vn/gtusa2_nhn" TargetMode="External"/><Relationship Id="rId2521" Type="http://schemas.openxmlformats.org/officeDocument/2006/relationships/hyperlink" Target="https://patadovietnam.edu.vn/gtusa2_nhn/?utm_source=Facebook&amp;utm_medium=MES&amp;utm_term=NEW_UnitedStates_2050_none_190625&amp;utm_content=saletructiep_UnitedStates.M480.1840.giaotiep_PTATT_LD242&amp;utm_campaign=UnitedStates.giaotiep.M480_16917_MES_NamNH_190625" TargetMode="External"/><Relationship Id="rId2511" Type="http://schemas.openxmlformats.org/officeDocument/2006/relationships/hyperlink" Target="https://patadovietnam.edu.vn/tienganhgiaotiep1_hn/" TargetMode="External"/><Relationship Id="rId2512" Type="http://schemas.openxmlformats.org/officeDocument/2006/relationships/hyperlink" Target="https://patadovietnam.edu.vn/tienganhgiaotiep1_hn/?utm_source=Facebook&amp;utm_medium=CVS&amp;utm_term=NEW_Europe_1840_none_190625&amp;utm_content=saletructiep_Europe.M480.1840.giaotiep_PTATT_LD243&amp;utm_campaign=Europe.giaotiep.M480_16917_CVS_NamNH_190625" TargetMode="External"/><Relationship Id="rId2513" Type="http://schemas.openxmlformats.org/officeDocument/2006/relationships/hyperlink" Target="https://tinyurl.com/M480chauau" TargetMode="External"/><Relationship Id="rId2514" Type="http://schemas.openxmlformats.org/officeDocument/2006/relationships/hyperlink" Target="https://patadovietnam.edu.vn/gtjapan_nhn5" TargetMode="External"/><Relationship Id="rId2515" Type="http://schemas.openxmlformats.org/officeDocument/2006/relationships/hyperlink" Target="https://patadovietnam.edu.vn/gtjapan_nhn5/?utm_source=Facebook&amp;utm_medium=CVS&amp;utm_term=NEW_Japan_1840_none_190625&amp;utm_content=saletructiep_Japan.M479KS.1840.giaotiep_PTATT_LD241&amp;utm_campaign=Japan.giaotiep.M479KS_16917_CVS_NamNH_190625" TargetMode="External"/><Relationship Id="rId2516" Type="http://schemas.openxmlformats.org/officeDocument/2006/relationships/hyperlink" Target="https://tinyurl.com/M479KSjp" TargetMode="External"/><Relationship Id="rId2517" Type="http://schemas.openxmlformats.org/officeDocument/2006/relationships/hyperlink" Target="https://patadovietnam.edu.vn/gtjapan_nhn5" TargetMode="External"/><Relationship Id="rId2518" Type="http://schemas.openxmlformats.org/officeDocument/2006/relationships/hyperlink" Target="https://patadovietnam.edu.vn/gtjapan_nhn5/?utm_source=Facebook&amp;utm_medium=CVS&amp;utm_term=NEW_Japan_1840_none_190625&amp;utm_content=saletructiep_Japan.M480.1840.giaotiep_PTATT_LD241&amp;utm_campaign=Japan.giaotiep.M480_16917_CVS_NamNH_190625" TargetMode="External"/><Relationship Id="rId2519" Type="http://schemas.openxmlformats.org/officeDocument/2006/relationships/hyperlink" Target="https://tinyurl.com/M480nhatban" TargetMode="External"/><Relationship Id="rId2510" Type="http://schemas.openxmlformats.org/officeDocument/2006/relationships/hyperlink" Target="https://tinyurl.com/M479LQEU" TargetMode="External"/><Relationship Id="rId469" Type="http://schemas.openxmlformats.org/officeDocument/2006/relationships/hyperlink" Target="https://patadovietnam.edu.vn/tatoandien_namnh" TargetMode="External"/><Relationship Id="rId468" Type="http://schemas.openxmlformats.org/officeDocument/2006/relationships/hyperlink" Target="https://patadovietnam.edu.vn/tatoandien_namnh/?utm_source=Google&amp;utm_medium=SEA&amp;utm_term=NEW_UnitedStates_2045_none_270923&amp;utm_content=saletructiep_tieude1_PTATTTD_LD187&amp;utm_campaign=HoaKy.hoctienganhgiaotiep_nam.patado_SEA_NamNH_270923" TargetMode="External"/><Relationship Id="rId467" Type="http://schemas.openxmlformats.org/officeDocument/2006/relationships/hyperlink" Target="https://patadovietnam.edu.vn/tatoandien_namnh" TargetMode="External"/><Relationship Id="rId1290" Type="http://schemas.openxmlformats.org/officeDocument/2006/relationships/hyperlink" Target="https://patadovietnam.edu.vn/tienganhgiaotiep_hn/" TargetMode="External"/><Relationship Id="rId1291" Type="http://schemas.openxmlformats.org/officeDocument/2006/relationships/hyperlink" Target="https://patadovietnam.edu.vn/tienganhgiaotiep_hn/?utm_source=Facebook&amp;utm_medium=MES&amp;utm_term=NEW_Taiwan_1840_none_150424&amp;utm_content=saletructiep_Taiwan.BDB.1840.giaotiep_PTATT_LD153&amp;utm_campaign=Taiwan.giaotiep.BDB_95360_MES_NamNH_150424" TargetMode="External"/><Relationship Id="rId1292" Type="http://schemas.openxmlformats.org/officeDocument/2006/relationships/hyperlink" Target="http://ldp.ink/BDB_taiwan" TargetMode="External"/><Relationship Id="rId462" Type="http://schemas.openxmlformats.org/officeDocument/2006/relationships/hyperlink" Target="https://patadovietnam.edu.vn/tatoandien_namnh" TargetMode="External"/><Relationship Id="rId1293" Type="http://schemas.openxmlformats.org/officeDocument/2006/relationships/hyperlink" Target="https://patadovietnam.edu.vn/tienganhgiaotiep_hn/" TargetMode="External"/><Relationship Id="rId461" Type="http://schemas.openxmlformats.org/officeDocument/2006/relationships/hyperlink" Target="http://ldp.ink/nncdnhatban_HN" TargetMode="External"/><Relationship Id="rId1294" Type="http://schemas.openxmlformats.org/officeDocument/2006/relationships/hyperlink" Target="https://patadovietnam.edu.vn/tienganhgiaotiep_hn/?utm_source=Facebook&amp;utm_medium=MES&amp;utm_term=NEW_Philippines_1840_none_150424&amp;utm_content=saletructiep_Philippines.BDB.1840.giaotiep_PTATT_LD153&amp;utm_campaign=Philippines.giaotiep.BDB_95360_MES_NamNH_150424" TargetMode="External"/><Relationship Id="rId460" Type="http://schemas.openxmlformats.org/officeDocument/2006/relationships/hyperlink" Target="https://patadovietnam.edu.vn/tatoandien_namnh/?utm_source=Facebook&amp;utm_medium=CVS&amp;utm_term=NEW_Japan_1840_none_220923&amp;utm_content=saletructiep_Japan.NNCD.1840.giaotiep_PTATT_LD187&amp;utm_campaign=Japan.giaotiep.NNCD_16917_CVS_NamNH_220923" TargetMode="External"/><Relationship Id="rId1295" Type="http://schemas.openxmlformats.org/officeDocument/2006/relationships/hyperlink" Target="http://ldp.ink/BDB_philippines" TargetMode="External"/><Relationship Id="rId1296" Type="http://schemas.openxmlformats.org/officeDocument/2006/relationships/hyperlink" Target="https://patadovietnam.edu.vn/tienganhgiaotiep_hn/" TargetMode="External"/><Relationship Id="rId466" Type="http://schemas.openxmlformats.org/officeDocument/2006/relationships/hyperlink" Target="https://patadovietnam.edu.vn/tatoandien_namnh/?utm_source=Facebook&amp;utm_medium=MES&amp;utm_term=NEW_Philippines_1838_none_220923&amp;utm_content=saletructiep_Philippines.NNCD.2045.giaotiep_PTATT_LD187&amp;utm_campaign=Philippines.giaotiep.NNCD_95360_MES_NamNH_220923" TargetMode="External"/><Relationship Id="rId1297" Type="http://schemas.openxmlformats.org/officeDocument/2006/relationships/hyperlink" Target="https://patadovietnam.edu.vn/tienganhgiaotiep_hn/?utm_source=Facebook&amp;utm_medium=MES&amp;utm_term=NEW_KoreaSouth_1840_none_150424&amp;utm_content=saletructiep_KoreaSouth.BDB.1840.giaotiep_PTATT_LD153&amp;utm_campaign=KoreaSouth.giaotiep.BDB_95360_MES_NamNH_150424" TargetMode="External"/><Relationship Id="rId465" Type="http://schemas.openxmlformats.org/officeDocument/2006/relationships/hyperlink" Target="https://patadovietnam.edu.vn/tatoandien_namnh" TargetMode="External"/><Relationship Id="rId1298" Type="http://schemas.openxmlformats.org/officeDocument/2006/relationships/hyperlink" Target="http://ldp.ink/BDB_hanquoc" TargetMode="External"/><Relationship Id="rId464" Type="http://schemas.openxmlformats.org/officeDocument/2006/relationships/hyperlink" Target="http://ldp.ink/NNCDUC_HN" TargetMode="External"/><Relationship Id="rId1299" Type="http://schemas.openxmlformats.org/officeDocument/2006/relationships/hyperlink" Target="https://patadovietnam.edu.vn/tienganhgiaotiep_hn/" TargetMode="External"/><Relationship Id="rId463" Type="http://schemas.openxmlformats.org/officeDocument/2006/relationships/hyperlink" Target="https://patadovietnam.edu.vn/tatoandien_namnh/?utm_source=Facebook&amp;utm_medium=MES&amp;utm_term=NEW_Australia_2045_none_230923&amp;utm_content=saletructiep_Australia.NNCD.2045.giaotiep_PTATT_LD187&amp;utm_campaign=Australia.giaotiep.NNCD_95360_MES_NamNH_230923" TargetMode="External"/><Relationship Id="rId459" Type="http://schemas.openxmlformats.org/officeDocument/2006/relationships/hyperlink" Target="https://patadovietnam.edu.vn/tatoandien_namnh" TargetMode="External"/><Relationship Id="rId458" Type="http://schemas.openxmlformats.org/officeDocument/2006/relationships/hyperlink" Target="https://patadovietnam.edu.vn/tatoandien_namnh/?utm_source=Facebook&amp;utm_medium=MES&amp;utm_term=NEW_UnitedStates_2045_none_220923&amp;utm_content=saletructiep_UnitedStates.NNCD.2045.giaotiep_PTATT_LD187&amp;utm_campaign=UnitedStates.giaotiep.NNCD_16917_MES_NamNH_220923" TargetMode="External"/><Relationship Id="rId457" Type="http://schemas.openxmlformats.org/officeDocument/2006/relationships/hyperlink" Target="https://patadovietnam.edu.vn/tatoandien_namnh" TargetMode="External"/><Relationship Id="rId456" Type="http://schemas.openxmlformats.org/officeDocument/2006/relationships/hyperlink" Target="https://patadovietnam.edu.vn/tatoandien_namnh/?utm_source=Facebook&amp;utm_medium=MES&amp;utm_term=NEW_KoreaSouth_1838_none_220923&amp;utm_content=saletructiep_KoreaSouth.NNCD.1838.giaotiep_PTATT_LD187&amp;utm_campaign=KoreaSouth.giaotiep.NNCD_95360_MES_NamNH_220923" TargetMode="External"/><Relationship Id="rId1280" Type="http://schemas.openxmlformats.org/officeDocument/2006/relationships/hyperlink" Target="http://ldp.ink/4KNBE2_qn" TargetMode="External"/><Relationship Id="rId1281" Type="http://schemas.openxmlformats.org/officeDocument/2006/relationships/hyperlink" Target="https://patadovietnam.edu.vn/tienganhdoanhnghiep_hn" TargetMode="External"/><Relationship Id="rId451" Type="http://schemas.openxmlformats.org/officeDocument/2006/relationships/hyperlink" Target="https://patadovietnam.edu.vn/gtjapan_nhn3/?utm_source=Facebook&amp;utm_medium=CVS&amp;utm_term=NEW_Japan_1840_none_210923&amp;utm_content=saletructiep_Japan.videoCNHV1.1840.giaotiep_PTATT_LD164&amp;utm_campaign=Japan.giaotiep.videoCNHV1_16917_CVS_NamNH_210923" TargetMode="External"/><Relationship Id="rId1282" Type="http://schemas.openxmlformats.org/officeDocument/2006/relationships/hyperlink" Target="https://patadovietnam.edu.vn/tienganhdoanhnghiep_hn/?utm_source=Facebook&amp;utm_medium=CVS&amp;utm_term=NEW_HCM_1836_none_150424&amp;utm_content=saletructiep_HCM.4KNBE2.1836.DoanhNghiep_PTATT_LD224&amp;utm_campaign=HCM.DoanhNghiep.4KNBE2_SCB.9889_CVS_NamNH_150424" TargetMode="External"/><Relationship Id="rId450" Type="http://schemas.openxmlformats.org/officeDocument/2006/relationships/hyperlink" Target="https://patadovietnam.edu.vn/gtjapan_nhn3" TargetMode="External"/><Relationship Id="rId1283" Type="http://schemas.openxmlformats.org/officeDocument/2006/relationships/hyperlink" Target="http://ldp.ink/4KNBE2_hcm" TargetMode="External"/><Relationship Id="rId1284" Type="http://schemas.openxmlformats.org/officeDocument/2006/relationships/hyperlink" Target="https://patadovietnam.edu.vn/tienganhdoanhnghiep_hn" TargetMode="External"/><Relationship Id="rId1285" Type="http://schemas.openxmlformats.org/officeDocument/2006/relationships/hyperlink" Target="https://patadovietnam.edu.vn/tienganhdoanhnghiep_hn/?utm_source=Facebook&amp;utm_medium=MES&amp;utm_term=NEW_QuangNinh_1836_none_150424&amp;utm_content=saletructiep_QuangNinh.VDM.1840.DoanhNghiep_PTATT_LD224&amp;utm_campaign=QuangNinh.DoanhNghiep.VDM_SCB.9889_MES_NamNH_150424" TargetMode="External"/><Relationship Id="rId455" Type="http://schemas.openxmlformats.org/officeDocument/2006/relationships/hyperlink" Target="https://patadovietnam.edu.vn/tatoandien_namnh" TargetMode="External"/><Relationship Id="rId1286" Type="http://schemas.openxmlformats.org/officeDocument/2006/relationships/hyperlink" Target="http://ldp.ink/VDM_quangninh" TargetMode="External"/><Relationship Id="rId454" Type="http://schemas.openxmlformats.org/officeDocument/2006/relationships/hyperlink" Target="https://patadovietnam.edu.vn/gtall_namnh/?utm_source=Facebook&amp;utm_medium=MES&amp;utm_term=NEW_Taiwan_1840_none_220923&amp;utm_content=saletructiep_Taiwan.NNCD.1840.giaotiep_PTATT_LD169&amp;utm_campaign=Taiwan.giaotiep.NNCD_95360_MES_NamNH_220923" TargetMode="External"/><Relationship Id="rId1287" Type="http://schemas.openxmlformats.org/officeDocument/2006/relationships/hyperlink" Target="https://patadovietnam.edu.vn/tienganhgiaotiep_hn/" TargetMode="External"/><Relationship Id="rId453" Type="http://schemas.openxmlformats.org/officeDocument/2006/relationships/hyperlink" Target="https://patadovietnam.edu.vn/gtall_namnh" TargetMode="External"/><Relationship Id="rId1288" Type="http://schemas.openxmlformats.org/officeDocument/2006/relationships/hyperlink" Target="https://patadovietnam.edu.vn/tienganhgiaotiep_hn/?utm_source=Facebook&amp;utm_medium=MES&amp;utm_term=NEW_UnitedStates_1840_none_150424&amp;utm_content=saletructiep_UnitedStates.BDB.1840.giaotiep_PTATT_LD153&amp;utm_campaign=UnitedStates.giaotiep.BDB_16917_MES_NamNH_150424" TargetMode="External"/><Relationship Id="rId452" Type="http://schemas.openxmlformats.org/officeDocument/2006/relationships/hyperlink" Target="http://ldp.ink/CNHVnhatban_HN" TargetMode="External"/><Relationship Id="rId1289" Type="http://schemas.openxmlformats.org/officeDocument/2006/relationships/hyperlink" Target="http://ldp.ink/BDB_hoaky" TargetMode="External"/><Relationship Id="rId3018" Type="http://schemas.openxmlformats.org/officeDocument/2006/relationships/hyperlink" Target="https://patado.edu.vn/gtjapan_nhn3/" TargetMode="External"/><Relationship Id="rId3017" Type="http://schemas.openxmlformats.org/officeDocument/2006/relationships/hyperlink" Target="https://tinyurl.com/M657xM683ALLM" TargetMode="External"/><Relationship Id="rId3019" Type="http://schemas.openxmlformats.org/officeDocument/2006/relationships/hyperlink" Target="https://patado.edu.vn/gtjapan_nhn3/?utm_source=Facebook&amp;utm_medium=CVS&amp;utm_term=NEW_Japan_1840_none_060526&amp;utm_content=saletructiep_Japan.M658.1840.giaotiep_PTATT_LD265&amp;utm_campaign=Japan.giaotiep.M658xM659_16917_CVS_NamNH_060526" TargetMode="External"/><Relationship Id="rId491" Type="http://schemas.openxmlformats.org/officeDocument/2006/relationships/hyperlink" Target="http://ldp.ink/tbpht_hanquoc" TargetMode="External"/><Relationship Id="rId490" Type="http://schemas.openxmlformats.org/officeDocument/2006/relationships/hyperlink" Target="https://patadovietnam.edu.vn/tienganhgiaotiep_hn/?utm_source=Facebook&amp;utm_medium=MES&amp;utm_term=NEW_KoreaSouth_1838_none_290823&amp;utm_content=saletructiep_KoreaSouth.tbphoto.1838.giaotiep_PTATT_LD153&amp;utm_campaign=KoreaSouth.giaotiep.tbphoto_95360_MES_NamNH_290823" TargetMode="External"/><Relationship Id="rId489" Type="http://schemas.openxmlformats.org/officeDocument/2006/relationships/hyperlink" Target="https://patadovietnam.edu.vn/tienganhgiaotiep_hn/" TargetMode="External"/><Relationship Id="rId484" Type="http://schemas.openxmlformats.org/officeDocument/2006/relationships/hyperlink" Target="https://patadovietnam.edu.vn/tatoandien_namnh/?utm_source=Facebook&amp;utm_medium=MES&amp;utm_term=NEW_Taiwan_1840_none_021023&amp;utm_content=saletructiep_Taiwan.chungchihot.1840.giaotiep_PTATT_LD187&amp;utm_campaign=Taiwan.giaotiep.chungchihot_95360_MES_NamNH_021023" TargetMode="External"/><Relationship Id="rId3010" Type="http://schemas.openxmlformats.org/officeDocument/2006/relationships/hyperlink" Target="https://patado.edu.vn/gtjapan_nhn3/?utm_source=Facebook&amp;utm_medium=CVS&amp;utm_term=NEW_Japan_1840_none_050526&amp;utm_content=saletructiep_Japan.M657.1840.giaotiep_PTATT_LD265&amp;utm_campaign=Japan.giaotiep.M657xM683_16917_CVS_NamNH_050526" TargetMode="External"/><Relationship Id="rId483" Type="http://schemas.openxmlformats.org/officeDocument/2006/relationships/hyperlink" Target="https://patadovietnam.edu.vn/tatoandien_namnh" TargetMode="External"/><Relationship Id="rId482" Type="http://schemas.openxmlformats.org/officeDocument/2006/relationships/hyperlink" Target="http://ldp.ink/tb_japan" TargetMode="External"/><Relationship Id="rId3012" Type="http://schemas.openxmlformats.org/officeDocument/2006/relationships/hyperlink" Target="https://patado.edu.vn/tienganhgiaotiep1_hn/" TargetMode="External"/><Relationship Id="rId481" Type="http://schemas.openxmlformats.org/officeDocument/2006/relationships/hyperlink" Target="https://patadovietnam.edu.vn/gtjapan_nhn3/?utm_source=Facebook&amp;utm_medium=CVS&amp;utm_term=NEW_Japan_1840_none_011023&amp;utm_content=saletructiep_Japan.tb.1840.giaotiep_PTATT_LD164&amp;utm_campaign=Japan.giaotiep.tb_16917_CVS_NamNH_011023" TargetMode="External"/><Relationship Id="rId3011" Type="http://schemas.openxmlformats.org/officeDocument/2006/relationships/hyperlink" Target="https://tinyurl.com/M657xM683JPC" TargetMode="External"/><Relationship Id="rId488" Type="http://schemas.openxmlformats.org/officeDocument/2006/relationships/hyperlink" Target="http://ldp.ink/chungchi_hanquoc" TargetMode="External"/><Relationship Id="rId3014" Type="http://schemas.openxmlformats.org/officeDocument/2006/relationships/hyperlink" Target="https://tinyurl.com/M658xM659ALLM" TargetMode="External"/><Relationship Id="rId487" Type="http://schemas.openxmlformats.org/officeDocument/2006/relationships/hyperlink" Target="https://patadovietnam.edu.vn/tatoandien_namnh/?utm_source=Facebook&amp;utm_medium=MES&amp;utm_term=NEW_KoreaSouth_1838_none_300823&amp;utm_content=saletructiep_KoreaSouth.chungchihot.1838.giaotiep_PTATT_LD187&amp;utm_campaign=KoreaSouth.giaotiep.chungchihot_95360_MES_NamNH_300823" TargetMode="External"/><Relationship Id="rId3013" Type="http://schemas.openxmlformats.org/officeDocument/2006/relationships/hyperlink" Target="https://patado.edu.vn/tienganhgiaotiep1_hn/?utm_source=Facebook&amp;utm_medium=MES&amp;utm_term=NEW_ALL_1840_none_060526&amp;utm_content=saletructiep_ALL.M658.1840.giaotiep_PTATT_LD267&amp;utm_campaign=ALL.giaotiep.M658xM659_16917_MES_NamNH_060526" TargetMode="External"/><Relationship Id="rId486" Type="http://schemas.openxmlformats.org/officeDocument/2006/relationships/hyperlink" Target="https://patadovietnam.edu.vn/tatoandien_namnh" TargetMode="External"/><Relationship Id="rId3016" Type="http://schemas.openxmlformats.org/officeDocument/2006/relationships/hyperlink" Target="https://patado.edu.vn/tienganhgiaotiep1_hn/?utm_source=Facebook&amp;utm_medium=MES&amp;utm_term=NEW_ALL_1840_none_050526&amp;utm_content=saletructiep_ALL.M657.1840.giaotiep_PTATT_LD267&amp;utm_campaign=ALL.giaotiep.M657xM683_16917_MES_NamNH_050526" TargetMode="External"/><Relationship Id="rId485" Type="http://schemas.openxmlformats.org/officeDocument/2006/relationships/hyperlink" Target="http://ldp.ink/chungchi_dailoan" TargetMode="External"/><Relationship Id="rId3015" Type="http://schemas.openxmlformats.org/officeDocument/2006/relationships/hyperlink" Target="https://patado.edu.vn/tienganhgiaotiep1_hn/" TargetMode="External"/><Relationship Id="rId3007" Type="http://schemas.openxmlformats.org/officeDocument/2006/relationships/hyperlink" Target="https://patado.edu.vn/tienganhgiaotiep1_hn/?utm_source=Facebook&amp;utm_medium=CVS&amp;utm_term=NEW_Europe_1840_none_050526&amp;utm_content=saletructiep_Europe.M657.1840.giaotiep_PTATT_LD267&amp;utm_campaign=Europe.giaotiep.M657xM683_16917_CVS_NamNH_050526" TargetMode="External"/><Relationship Id="rId3006" Type="http://schemas.openxmlformats.org/officeDocument/2006/relationships/hyperlink" Target="https://patado.edu.vn/tienganhgiaotiep1_hn/" TargetMode="External"/><Relationship Id="rId3009" Type="http://schemas.openxmlformats.org/officeDocument/2006/relationships/hyperlink" Target="https://patado.edu.vn/gtjapan_nhn3/" TargetMode="External"/><Relationship Id="rId3008" Type="http://schemas.openxmlformats.org/officeDocument/2006/relationships/hyperlink" Target="https://tinyurl.com/M657xM683EUC" TargetMode="External"/><Relationship Id="rId480" Type="http://schemas.openxmlformats.org/officeDocument/2006/relationships/hyperlink" Target="https://patadovietnam.edu.vn/gtjapan_nhn3" TargetMode="External"/><Relationship Id="rId479" Type="http://schemas.openxmlformats.org/officeDocument/2006/relationships/hyperlink" Target="http://ldp.ink/note3_taiwan" TargetMode="External"/><Relationship Id="rId478" Type="http://schemas.openxmlformats.org/officeDocument/2006/relationships/hyperlink" Target="https://patadovietnam.edu.vn/tienganhgiaotiep_hn/?utm_source=Facebook&amp;utm_medium=MES&amp;utm_term=NEW_Taiwan_1840_none_011023&amp;utm_content=saletructiep_Taiwan.note3.1840.giaotiep_PTATT_LD153&amp;utm_campaign=Taiwan.giaotiep.note3_95360_MES_NamNH_011023" TargetMode="External"/><Relationship Id="rId473" Type="http://schemas.openxmlformats.org/officeDocument/2006/relationships/hyperlink" Target="http://ldp.ink/JH_NHN" TargetMode="External"/><Relationship Id="rId472" Type="http://schemas.openxmlformats.org/officeDocument/2006/relationships/hyperlink" Target="https://patadovietnam.edu.vn/gtjapan_nhn3/?utm_source=Facebook&amp;utm_medium=CVS&amp;utm_term=NEW_Japan_1840_none_011023&amp;utm_content=saletructiep_Japan.H.1840.giaotiep_PTATT_LD164&amp;utm_campaign=Japan.giaotiep.H_16917_CVS_NamNH_011023" TargetMode="External"/><Relationship Id="rId471" Type="http://schemas.openxmlformats.org/officeDocument/2006/relationships/hyperlink" Target="https://patadovietnam.edu.vn/gtjapan_nhn3" TargetMode="External"/><Relationship Id="rId3001" Type="http://schemas.openxmlformats.org/officeDocument/2006/relationships/hyperlink" Target="https://patado.edu.vn/tienganhgiaotiep1_hn/?utm_source=Facebook&amp;utm_medium=MES&amp;utm_term=NEW_ALL_1840_none_200426&amp;utm_content=saletructiep_ALL.M666.1840.giaotiep_PTATT_LD267&amp;utm_campaign=ALL.giaotiep.M666xM668_16917_MES_NamNH_200426" TargetMode="External"/><Relationship Id="rId470" Type="http://schemas.openxmlformats.org/officeDocument/2006/relationships/hyperlink" Target="https://patadovietnam.edu.vn/tatoandien_namnh/?utm_source=Google&amp;utm_medium=SEA&amp;utm_term=NEW_UnitedStates_2045_none_270923&amp;utm_content=saletructiep_tieude1_PTATTTD_LD187&amp;utm_campaign=Hoaky.giaotiep.CDKL_nam.patado_SEA_NamNH_270923" TargetMode="External"/><Relationship Id="rId3000" Type="http://schemas.openxmlformats.org/officeDocument/2006/relationships/hyperlink" Target="https://patado.edu.vn/tienganhgiaotiep1_hn/" TargetMode="External"/><Relationship Id="rId477" Type="http://schemas.openxmlformats.org/officeDocument/2006/relationships/hyperlink" Target="https://patadovietnam.edu.vn/tienganhgiaotiep_hn/" TargetMode="External"/><Relationship Id="rId3003" Type="http://schemas.openxmlformats.org/officeDocument/2006/relationships/hyperlink" Target="https://patado.edu.vn/tienganhgiaotiep1_hn/" TargetMode="External"/><Relationship Id="rId476" Type="http://schemas.openxmlformats.org/officeDocument/2006/relationships/hyperlink" Target="http://ldp.ink/JH_taiwan" TargetMode="External"/><Relationship Id="rId3002" Type="http://schemas.openxmlformats.org/officeDocument/2006/relationships/hyperlink" Target="https://tinyurl.com/M666xM668ALL" TargetMode="External"/><Relationship Id="rId475" Type="http://schemas.openxmlformats.org/officeDocument/2006/relationships/hyperlink" Target="https://patadovietnam.edu.vn/tatoandien_namnh/?utm_source=Facebook&amp;utm_medium=MES&amp;utm_term=NEW_Taiwan_1840_none_011023&amp;utm_content=saletructiep_Taiwan.H.1840.giaotiep_PTATT_LD187&amp;utm_campaign=Taiwan.giaotiep.H_95360_MES_NamNH_011023" TargetMode="External"/><Relationship Id="rId3005" Type="http://schemas.openxmlformats.org/officeDocument/2006/relationships/hyperlink" Target="https://tinyurl.com/M658xM659EUC" TargetMode="External"/><Relationship Id="rId474" Type="http://schemas.openxmlformats.org/officeDocument/2006/relationships/hyperlink" Target="https://patadovietnam.edu.vn/tatoandien_namnh" TargetMode="External"/><Relationship Id="rId3004" Type="http://schemas.openxmlformats.org/officeDocument/2006/relationships/hyperlink" Target="https://patado.edu.vn/tienganhgiaotiep1_hn/?utm_source=Facebook&amp;utm_medium=CVS&amp;utm_term=NEW_Europe_1840_none_050526&amp;utm_content=saletructiep_Europe.M658.1840.giaotiep_PTATT_LD267&amp;utm_campaign=Europe.giaotiep.M658xM659_16917_CVS_NamNH_050526" TargetMode="External"/><Relationship Id="rId1257" Type="http://schemas.openxmlformats.org/officeDocument/2006/relationships/hyperlink" Target="https://patadovietnam.edu.vn/giaotiepchung_hn/" TargetMode="External"/><Relationship Id="rId2588" Type="http://schemas.openxmlformats.org/officeDocument/2006/relationships/hyperlink" Target="https://tinyurl.com/M505xM506USA" TargetMode="External"/><Relationship Id="rId1258" Type="http://schemas.openxmlformats.org/officeDocument/2006/relationships/hyperlink" Target="https://patadovietnam.edu.vn/giaotiepchung_hn/?utm_source=Facebook&amp;utm_medium=MES&amp;utm_term=NEW_KoreaSouth_1840_none_040424&amp;utm_content=saletructiep_KoreaSouth.jh3.1840.giaotiep_PTATT_LD222&amp;utm_campaign=KoreaSouth.giaotiep.jh3_16917_MES_NamNH_040424" TargetMode="External"/><Relationship Id="rId2589" Type="http://schemas.openxmlformats.org/officeDocument/2006/relationships/hyperlink" Target="https://patadovietnam.edu.vn/tienganhgiaotiep_hn/" TargetMode="External"/><Relationship Id="rId1259" Type="http://schemas.openxmlformats.org/officeDocument/2006/relationships/hyperlink" Target="http://ldp.ink/jh3_hanquoc" TargetMode="External"/><Relationship Id="rId426" Type="http://schemas.openxmlformats.org/officeDocument/2006/relationships/hyperlink" Target="https://patadovietnam.edu.vn/gtall_namnh" TargetMode="External"/><Relationship Id="rId425" Type="http://schemas.openxmlformats.org/officeDocument/2006/relationships/hyperlink" Target="http://ldp.to/Hhotnhatban_HN" TargetMode="External"/><Relationship Id="rId424" Type="http://schemas.openxmlformats.org/officeDocument/2006/relationships/hyperlink" Target="https://patadovietnam.edu.vn/gtjapan_nhn3/?utm_source=Facebook&amp;utm_medium=CVS&amp;utm_term=NEW_Japan_1840_none_180923&amp;utm_content=saletructiep_Japan.Hhot.1840.giaotiep_PTATT_LD164&amp;utm_campaign=Japan.giaotiep.Hhot_16917_CVS_NamNH_180923" TargetMode="External"/><Relationship Id="rId423" Type="http://schemas.openxmlformats.org/officeDocument/2006/relationships/hyperlink" Target="https://patadovietnam.edu.vn/gtjapan_nhn3" TargetMode="External"/><Relationship Id="rId429" Type="http://schemas.openxmlformats.org/officeDocument/2006/relationships/hyperlink" Target="https://patadovietnam.edu.vn/gtusa1_nhn" TargetMode="External"/><Relationship Id="rId428" Type="http://schemas.openxmlformats.org/officeDocument/2006/relationships/hyperlink" Target="http://ldp.to/chungchidailoan_HN" TargetMode="External"/><Relationship Id="rId427" Type="http://schemas.openxmlformats.org/officeDocument/2006/relationships/hyperlink" Target="https://patadovietnam.edu.vn/gtall_namnh/?utm_source=Facebook&amp;utm_medium=MES&amp;utm_term=NEW_Taiwan_1840_none_200923&amp;utm_content=saletructiep_UnitedStates.anhchungchi.2045.giaotiep_PTATT_LD169&amp;utm_campaign=Taiwan.giaotiep.anhchungchi_95360_MES_NamNH_200923" TargetMode="External"/><Relationship Id="rId2580" Type="http://schemas.openxmlformats.org/officeDocument/2006/relationships/hyperlink" Target="https://patadovietnam.edu.vn/gtjapan_nhn3" TargetMode="External"/><Relationship Id="rId1250" Type="http://schemas.openxmlformats.org/officeDocument/2006/relationships/hyperlink" Target="http://ldp.ink/jh3_hoaky" TargetMode="External"/><Relationship Id="rId2581" Type="http://schemas.openxmlformats.org/officeDocument/2006/relationships/hyperlink" Target="https://patadovietnam.edu.vn/gtjapan_nhn3/?utm_source=Facebook&amp;utm_medium=MES&amp;utm_term=NEW_Japan_1840_none_010825&amp;utm_content=saletructiep_Japan.anhltxanhnote.1840.giaotiep_PTATT_LD164&amp;utm_campaign=Japan.giaotiep.anhltxanhnote_16917_MES_NamNH_010825" TargetMode="External"/><Relationship Id="rId1251" Type="http://schemas.openxmlformats.org/officeDocument/2006/relationships/hyperlink" Target="https://patadovietnam.edu.vn/giaotiepchung_hn/" TargetMode="External"/><Relationship Id="rId2582" Type="http://schemas.openxmlformats.org/officeDocument/2006/relationships/hyperlink" Target="https://tinyurl.com/anhltxanhnoteJPM" TargetMode="External"/><Relationship Id="rId1252" Type="http://schemas.openxmlformats.org/officeDocument/2006/relationships/hyperlink" Target="https://patadovietnam.edu.vn/giaotiepchung_hn/?utm_source=Facebook&amp;utm_medium=MES&amp;utm_term=NEW_Taiwan_1840_none_040424&amp;utm_content=saletructiep_Taiwan.jh3.1840.giaotiep_PTATT_LD222&amp;utm_campaign=Taiwan.giaotiep.jh3_16917_MES_NamNH_040424" TargetMode="External"/><Relationship Id="rId2583" Type="http://schemas.openxmlformats.org/officeDocument/2006/relationships/hyperlink" Target="https://patadovietnam.edu.vn/tienganhgiaotiep_hn/" TargetMode="External"/><Relationship Id="rId422" Type="http://schemas.openxmlformats.org/officeDocument/2006/relationships/hyperlink" Target="http://ldp.to/Hhotcanada_HN" TargetMode="External"/><Relationship Id="rId1253" Type="http://schemas.openxmlformats.org/officeDocument/2006/relationships/hyperlink" Target="http://ldp.ink/jh3_taiwan" TargetMode="External"/><Relationship Id="rId2584" Type="http://schemas.openxmlformats.org/officeDocument/2006/relationships/hyperlink" Target="https://patadovietnam.edu.vn/tienganhgiaotiep_hn/?utm_source=Facebook&amp;utm_medium=CVS&amp;utm_term=NEW_Europe_1840_none_010825&amp;utm_content=saletructiep_Europe.M505xM506.1840.giaotiep_PTATT_LD153&amp;utm_campaign=Europe.giaotiep.M505xM506_16917_CVS_NamNH_010825" TargetMode="External"/><Relationship Id="rId421" Type="http://schemas.openxmlformats.org/officeDocument/2006/relationships/hyperlink" Target="https://patadovietnam.edu.vn/gtall_namnh/?utm_source=Facebook&amp;utm_medium=MES&amp;utm_term=NEW_Canada_1843_none_100923&amp;utm_content=saletructiep_Canada.Hhot.1843.giaotiep_PTATT_LD169&amp;utm_campaign=Canada.giaotiep.Hhot_95360_MES_NamNH_100923" TargetMode="External"/><Relationship Id="rId1254" Type="http://schemas.openxmlformats.org/officeDocument/2006/relationships/hyperlink" Target="https://patadovietnam.edu.vn/giaotiepchung_hn/" TargetMode="External"/><Relationship Id="rId2585" Type="http://schemas.openxmlformats.org/officeDocument/2006/relationships/hyperlink" Target="https://tinyurl.com/M505xM506EUC" TargetMode="External"/><Relationship Id="rId420" Type="http://schemas.openxmlformats.org/officeDocument/2006/relationships/hyperlink" Target="https://patadovietnam.edu.vn/gtall_namnh" TargetMode="External"/><Relationship Id="rId1255" Type="http://schemas.openxmlformats.org/officeDocument/2006/relationships/hyperlink" Target="https://patadovietnam.edu.vn/giaotiepchung_hn/?utm_source=Facebook&amp;utm_medium=MES&amp;utm_term=NEW_Philippines_1840_none_040424&amp;utm_content=saletructiep_Philippines.jh3.1840.giaotiep_PTATT_LD222&amp;utm_campaign=Philippines.giaotiep.jh3_16917_MES_NamNH_040424" TargetMode="External"/><Relationship Id="rId2586" Type="http://schemas.openxmlformats.org/officeDocument/2006/relationships/hyperlink" Target="https://patadovietnam.edu.vn/gtusa1_nhn" TargetMode="External"/><Relationship Id="rId1256" Type="http://schemas.openxmlformats.org/officeDocument/2006/relationships/hyperlink" Target="http://ldp.ink/jh3_philippines" TargetMode="External"/><Relationship Id="rId2587" Type="http://schemas.openxmlformats.org/officeDocument/2006/relationships/hyperlink" Target="https://patadovietnam.edu.vn/gtusa1_nhn/?utm_source=Facebook&amp;utm_medium=MES&amp;utm_term=NEW_UnitedStates_2050_none_010825&amp;utm_content=saletructiep_UnitedStates.M505xM506.1840.giaotiep_PTATT_LD161&amp;utm_campaign=UnitedStates.giaotiep.M505xM506_16917_MES_NamNH_010825" TargetMode="External"/><Relationship Id="rId1246" Type="http://schemas.openxmlformats.org/officeDocument/2006/relationships/hyperlink" Target="https://patadovietnam.edu.vn/japan_hn/?utm_source=Facebook&amp;utm_medium=CVS&amp;utm_term=NEW_Japan_1840_none_040424&amp;utm_content=saletructiep_Japan.jh3.1840.giaotiep_PTATT_LD221&amp;utm_campaign=Japan.giaotiep.jh3_16917_CVS_NamNH_040424" TargetMode="External"/><Relationship Id="rId2577" Type="http://schemas.openxmlformats.org/officeDocument/2006/relationships/hyperlink" Target="https://patadovietnam.edu.vn/gtjapan_nhn3" TargetMode="External"/><Relationship Id="rId1247" Type="http://schemas.openxmlformats.org/officeDocument/2006/relationships/hyperlink" Target="http://ldp.ink/jh3_japan" TargetMode="External"/><Relationship Id="rId2578" Type="http://schemas.openxmlformats.org/officeDocument/2006/relationships/hyperlink" Target="https://patadovietnam.edu.vn/gtjapan_nhn3/?utm_source=Facebook&amp;utm_medium=MES&amp;utm_term=NEW_Japan_1840_none_160725&amp;utm_content=saletructiep_Japan.M497xM498.1840.giaotiep_PTATT_LD164&amp;utm_campaign=Japan.giaotiep.M497xM498_16917_MES_NamNH_160725" TargetMode="External"/><Relationship Id="rId1248" Type="http://schemas.openxmlformats.org/officeDocument/2006/relationships/hyperlink" Target="https://patadovietnam.edu.vn/giaotiepchung_hn/" TargetMode="External"/><Relationship Id="rId2579" Type="http://schemas.openxmlformats.org/officeDocument/2006/relationships/hyperlink" Target="https://tinyurl.com/M497xM498MJP" TargetMode="External"/><Relationship Id="rId1249" Type="http://schemas.openxmlformats.org/officeDocument/2006/relationships/hyperlink" Target="https://patadovietnam.edu.vn/giaotiepchung_hn/?utm_source=Facebook&amp;utm_medium=MES&amp;utm_term=NEW_UnitedStates_1840_none_040424&amp;utm_content=saletructiep_UnitedStates.jh3.1840.giaotiep_PTATT_LD222&amp;utm_campaign=UnitedStates.giaotiep.jh3_16917_MES_NamNH_040424" TargetMode="External"/><Relationship Id="rId415" Type="http://schemas.openxmlformats.org/officeDocument/2006/relationships/hyperlink" Target="https://patadovietnam.edu.vn/gtall_namnh/?utm_source=Facebook&amp;utm_medium=MES&amp;utm_term=NEW_KoreaSouth_1838_none_090923&amp;utm_content=saletructiep_Korea.Hhot.1838.giaotiep_PTATT_LD169&amp;utm_campaign=Korea.giaotiep.GThocvien_95360_MES_NamNH_090923" TargetMode="External"/><Relationship Id="rId414" Type="http://schemas.openxmlformats.org/officeDocument/2006/relationships/hyperlink" Target="https://patadovietnam.edu.vn/gtall_namnh" TargetMode="External"/><Relationship Id="rId413" Type="http://schemas.openxmlformats.org/officeDocument/2006/relationships/hyperlink" Target="http://ldp.to/Hhoteurope_Hn" TargetMode="External"/><Relationship Id="rId412" Type="http://schemas.openxmlformats.org/officeDocument/2006/relationships/hyperlink" Target="https://patadovietnam.edu.vn/gtall_namnh/?utm_source=Facebook&amp;utm_medium=CVS&amp;utm_term=NEW_Europe_1845_none_080923&amp;utm_content=saletructiep_Europe.Hhot.1845.giaotiep_PTATT_LD169&amp;utm_campaign=Europe.giaotiep.Hhot_16917_CVS_NamNH_080923" TargetMode="External"/><Relationship Id="rId419" Type="http://schemas.openxmlformats.org/officeDocument/2006/relationships/hyperlink" Target="http://ldp.to/Hhotkorea_hn" TargetMode="External"/><Relationship Id="rId418" Type="http://schemas.openxmlformats.org/officeDocument/2006/relationships/hyperlink" Target="https://patadovietnam.edu.vn/gtall_namnh/?utm_source=Facebook&amp;utm_medium=MES&amp;utm_term=NEW_KoreaSouth_1838_none_080923&amp;utm_content=saletructiep_Korea.GThocvien.1838.giaotiep_PTATT_LD169&amp;utm_campaign=Korea.giaotiep.Hhot_95360_MES_NamNH_080923" TargetMode="External"/><Relationship Id="rId417" Type="http://schemas.openxmlformats.org/officeDocument/2006/relationships/hyperlink" Target="https://patadovietnam.edu.vn/gtall_namnh" TargetMode="External"/><Relationship Id="rId416" Type="http://schemas.openxmlformats.org/officeDocument/2006/relationships/hyperlink" Target="http://ldp.to/GTHVkorea_HN" TargetMode="External"/><Relationship Id="rId2570" Type="http://schemas.openxmlformats.org/officeDocument/2006/relationships/hyperlink" Target="https://tinyurl.com/M497xM498MCA" TargetMode="External"/><Relationship Id="rId1240" Type="http://schemas.openxmlformats.org/officeDocument/2006/relationships/hyperlink" Target="https://patadovietnam.edu.vn/tienganhgiaotiep_hn/?utm_source=Facebook&amp;utm_medium=MES&amp;utm_term=NEW_Taiwan_1840_none_040424&amp;utm_content=saletructiep_Taiwan.PTKOC.1840.giaotiep_PTATT_LD153&amp;utm_campaign=Taiwan.giaotiep.PTKOC_16917_MES_NamNH_040424" TargetMode="External"/><Relationship Id="rId2571" Type="http://schemas.openxmlformats.org/officeDocument/2006/relationships/hyperlink" Target="https://patadovietnam.edu.vn/tienganhgiaotiep_hn/" TargetMode="External"/><Relationship Id="rId1241" Type="http://schemas.openxmlformats.org/officeDocument/2006/relationships/hyperlink" Target="http://ldp.ink/PT_taiwan" TargetMode="External"/><Relationship Id="rId2572" Type="http://schemas.openxmlformats.org/officeDocument/2006/relationships/hyperlink" Target="https://patadovietnam.edu.vn/tienganhgiaotiep_hn/?utm_source=Facebook&amp;utm_medium=MES&amp;utm_term=NEW_Europe_1840_none_160725&amp;utm_content=saletructiep_Europe.M236xJHxanhnote.1840.giaotiep_PTATT_LD153&amp;utm_campaign=Europe.giaotiep.M236xJHxanhnote_16917_MES_NamNH_160725" TargetMode="External"/><Relationship Id="rId411" Type="http://schemas.openxmlformats.org/officeDocument/2006/relationships/hyperlink" Target="https://patadovietnam.edu.vn/gtall_namnh" TargetMode="External"/><Relationship Id="rId1242" Type="http://schemas.openxmlformats.org/officeDocument/2006/relationships/hyperlink" Target="https://patadovietnam.edu.vn/gtjapan_nhn3" TargetMode="External"/><Relationship Id="rId2573" Type="http://schemas.openxmlformats.org/officeDocument/2006/relationships/hyperlink" Target="https://tinyurl.com/M236xJHMCA" TargetMode="External"/><Relationship Id="rId410" Type="http://schemas.openxmlformats.org/officeDocument/2006/relationships/hyperlink" Target="http://ldp.to/GTHV_HN" TargetMode="External"/><Relationship Id="rId1243" Type="http://schemas.openxmlformats.org/officeDocument/2006/relationships/hyperlink" Target="https://patadovietnam.edu.vn/gtjapan_nhn3/?utm_source=Facebook&amp;utm_medium=CVS&amp;utm_term=NEW_Japan_1840_none_040424&amp;utm_content=saletructiep_Japan.jh2.1840.giaotiep_PTATT_LD164&amp;utm_campaign=Japan.giaotiep.jh2_16917_CVS_NamNH_040424" TargetMode="External"/><Relationship Id="rId2574" Type="http://schemas.openxmlformats.org/officeDocument/2006/relationships/hyperlink" Target="https://patadovietnam.edu.vn/gtjapan_nhn3" TargetMode="External"/><Relationship Id="rId1244" Type="http://schemas.openxmlformats.org/officeDocument/2006/relationships/hyperlink" Target="http://ldp.ink/jh2_japan" TargetMode="External"/><Relationship Id="rId2575" Type="http://schemas.openxmlformats.org/officeDocument/2006/relationships/hyperlink" Target="https://patadovietnam.edu.vn/gtjapan_nhn3/?utm_source=Facebook&amp;utm_medium=MES&amp;utm_term=NEW_Japan_1840_none_160725&amp;utm_content=saletructiep_Japan.M491xM492.1840.giaotiep_PTATT_LD164&amp;utm_campaign=Japan.giaotiep.M491xM492_16917_MES_NamNH_160725" TargetMode="External"/><Relationship Id="rId1245" Type="http://schemas.openxmlformats.org/officeDocument/2006/relationships/hyperlink" Target="https://patadovietnam.edu.vn/japan_hn/" TargetMode="External"/><Relationship Id="rId2576" Type="http://schemas.openxmlformats.org/officeDocument/2006/relationships/hyperlink" Target="https://tinyurl.com/M491xM492MJP" TargetMode="External"/><Relationship Id="rId1279" Type="http://schemas.openxmlformats.org/officeDocument/2006/relationships/hyperlink" Target="https://patadovietnam.edu.vn/tienganhdoanhnghiep_hn/?utm_source=Facebook&amp;utm_medium=MES&amp;utm_term=NEW_QuangNinh_1836_none_150424&amp;utm_content=saletructiep_QuangNinh.4KNBE2.1840.DoanhNghiep_PTATT_LD224&amp;utm_campaign=QuangNinh.DoanhNghiep.4KNBE2_SCB.9889_MES_NamNH_150424" TargetMode="External"/><Relationship Id="rId448" Type="http://schemas.openxmlformats.org/officeDocument/2006/relationships/hyperlink" Target="https://patadovietnam.edu.vn/gtusa1_nhn/?utm_source=Facebook&amp;utm_medium=MES&amp;utm_term=NEW_UnitedStates_2045_none_210923&amp;utm_content=saletructiep_UnitedStates.PatadoH.2045.giaotiep_PTATT_LD161&amp;utm_campaign=UnitedStates.giaotiep.PatadoH_16917_MES_NamNH_210923" TargetMode="External"/><Relationship Id="rId447" Type="http://schemas.openxmlformats.org/officeDocument/2006/relationships/hyperlink" Target="https://patadovietnam.edu.vn/gtusa1_nhn" TargetMode="External"/><Relationship Id="rId446" Type="http://schemas.openxmlformats.org/officeDocument/2006/relationships/hyperlink" Target="http://ldp.ink/Hchauau_HN" TargetMode="External"/><Relationship Id="rId445" Type="http://schemas.openxmlformats.org/officeDocument/2006/relationships/hyperlink" Target="https://patadovietnam.edu.vn/gtall_namnh/?utm_source=Facebook&amp;utm_medium=CVS&amp;utm_term=NEW_Europe_2045_none_210923&amp;utm_content=saletructiep_Europe.Hhot.2045.giaotiep_PTATT_LD169&amp;utm_campaign=Europe.giaotiep.Hhot1_16917_CVS_NamNH_210923" TargetMode="External"/><Relationship Id="rId449" Type="http://schemas.openxmlformats.org/officeDocument/2006/relationships/hyperlink" Target="http://ldp.ink/PatadoHhoaky_HN" TargetMode="External"/><Relationship Id="rId1270" Type="http://schemas.openxmlformats.org/officeDocument/2006/relationships/hyperlink" Target="https://patadovietnam.edu.vn/tienganhdoanhnghiep_hn/?utm_source=Facebook&amp;utm_medium=MES&amp;utm_term=NEW_Vietnam_1836_none_150424&amp;utm_content=saletructiep_Vietnam.VDM.1836.DoanhNghiep_PTATT_LD224&amp;utm_campaign=Vietnam.DoanhNghiep.VDM_SCB.9889_MES_NamNH_150424" TargetMode="External"/><Relationship Id="rId440" Type="http://schemas.openxmlformats.org/officeDocument/2006/relationships/hyperlink" Target="http://ldp.ink/Hhoaky_HN" TargetMode="External"/><Relationship Id="rId1271" Type="http://schemas.openxmlformats.org/officeDocument/2006/relationships/hyperlink" Target="http://ldp.ink/VDM_vietnam" TargetMode="External"/><Relationship Id="rId1272" Type="http://schemas.openxmlformats.org/officeDocument/2006/relationships/hyperlink" Target="https://patadovietnam.edu.vn/tienganhdoanhnghiep_hn" TargetMode="External"/><Relationship Id="rId1273" Type="http://schemas.openxmlformats.org/officeDocument/2006/relationships/hyperlink" Target="https://patadovietnam.edu.vn/tienganhdoanhnghiep_hn/?utm_source=Facebook&amp;utm_medium=MES&amp;utm_term=NEW_HCM_1836_none_150424&amp;utm_content=saletructiep_HCM.VDM.1836.DoanhNghiep_PTATT_LD224&amp;utm_campaign=HCM.DoanhNghiep.VDM_SCB.9889_MES_NamNH_150424" TargetMode="External"/><Relationship Id="rId1274" Type="http://schemas.openxmlformats.org/officeDocument/2006/relationships/hyperlink" Target="http://ldp.ink/VDM_HCM" TargetMode="External"/><Relationship Id="rId444" Type="http://schemas.openxmlformats.org/officeDocument/2006/relationships/hyperlink" Target="https://patadovietnam.edu.vn/gtall_namnh" TargetMode="External"/><Relationship Id="rId1275" Type="http://schemas.openxmlformats.org/officeDocument/2006/relationships/hyperlink" Target="https://patadovietnam.edu.vn/tienganhdoanhnghiep_hn" TargetMode="External"/><Relationship Id="rId443" Type="http://schemas.openxmlformats.org/officeDocument/2006/relationships/hyperlink" Target="http://ldp.ink/Hnhatban_HN" TargetMode="External"/><Relationship Id="rId1276" Type="http://schemas.openxmlformats.org/officeDocument/2006/relationships/hyperlink" Target="https://patadovietnam.edu.vn/tienganhdoanhnghiep_hn/?utm_source=Facebook&amp;utm_medium=MES&amp;utm_term=NEW_Haiphong_1836_none_150424&amp;utm_content=saletructiep_Haiphong.4KNBE2.1840.DoanhNghiep_PTATT_LD224&amp;utm_campaign=Haiphong.DoanhNghiep.4KNBE2_SCB.9889_MES_NamNH_150424" TargetMode="External"/><Relationship Id="rId442" Type="http://schemas.openxmlformats.org/officeDocument/2006/relationships/hyperlink" Target="https://patadovietnam.edu.vn/gtjapan_nhn3/?utm_source=Facebook&amp;utm_medium=CVS&amp;utm_term=NEW_Japan_1840_none_210923&amp;utm_content=saletructiep_Japan.Hhot1.1840.giaotiep_PTATT_LD164&amp;utm_campaign=Japan.giaotiep.Hhot1_16917_CVS_NamNH_210923" TargetMode="External"/><Relationship Id="rId1277" Type="http://schemas.openxmlformats.org/officeDocument/2006/relationships/hyperlink" Target="http://ldp.ink/4KNBE2_hp" TargetMode="External"/><Relationship Id="rId441" Type="http://schemas.openxmlformats.org/officeDocument/2006/relationships/hyperlink" Target="https://patadovietnam.edu.vn/gtjapan_nhn3" TargetMode="External"/><Relationship Id="rId1278" Type="http://schemas.openxmlformats.org/officeDocument/2006/relationships/hyperlink" Target="https://patadovietnam.edu.vn/tienganhdoanhnghiep_hn" TargetMode="External"/><Relationship Id="rId1268" Type="http://schemas.openxmlformats.org/officeDocument/2006/relationships/hyperlink" Target="http://ldp.ink/4KNBE2_Hn" TargetMode="External"/><Relationship Id="rId2599" Type="http://schemas.openxmlformats.org/officeDocument/2006/relationships/hyperlink" Target="https://patadovietnam.edu.vn/tienganhgiaotiep_hn/?utm_source=Facebook&amp;utm_medium=MES&amp;utm_term=NEW_ALL_1840_none_010825&amp;utm_content=saletructiep_ALL.M505xM506.1840.giaotiep_PTATT_LD153&amp;utm_campaign=ALL.giaotiep.M505xM506_16917_MES_NamNH_010825" TargetMode="External"/><Relationship Id="rId1269" Type="http://schemas.openxmlformats.org/officeDocument/2006/relationships/hyperlink" Target="https://patadovietnam.edu.vn/tienganhdoanhnghiep_hn" TargetMode="External"/><Relationship Id="rId437" Type="http://schemas.openxmlformats.org/officeDocument/2006/relationships/hyperlink" Target="http://ldp.ink/Patadohot_HN" TargetMode="External"/><Relationship Id="rId436" Type="http://schemas.openxmlformats.org/officeDocument/2006/relationships/hyperlink" Target="https://patadovietnam.edu.vn/gtall_namnh/?utm_source=Facebook&amp;utm_medium=MES&amp;utm_term=NEW_Europe_2045_none_210923&amp;utm_content=saletructiep_Europe.Patadohot.2045.giaotiep_PTATT_LD169&amp;utm_campaign=Europe.giaotiep.Patadohot_95360_MES_NamNH_210923" TargetMode="External"/><Relationship Id="rId435" Type="http://schemas.openxmlformats.org/officeDocument/2006/relationships/hyperlink" Target="https://patadovietnam.edu.vn/gtall_namnh" TargetMode="External"/><Relationship Id="rId434" Type="http://schemas.openxmlformats.org/officeDocument/2006/relationships/hyperlink" Target="http://ldp.ink/Htienganh_HN" TargetMode="External"/><Relationship Id="rId439" Type="http://schemas.openxmlformats.org/officeDocument/2006/relationships/hyperlink" Target="https://patadovietnam.edu.vn/gtusa1_nhn/?utm_source=Facebook&amp;utm_medium=MES&amp;utm_term=NEW_UnitedStates_2045_none_210923&amp;utm_content=saletructiep_UnitedStates.Hhot1.2045.giaotiep_PTATT_LD161&amp;utm_campaign=UnitedStates.giaotiep.Hhot1_95360_MES_NamNH_210923" TargetMode="External"/><Relationship Id="rId438" Type="http://schemas.openxmlformats.org/officeDocument/2006/relationships/hyperlink" Target="https://patadovietnam.edu.vn/gtusa1_nhn" TargetMode="External"/><Relationship Id="rId2590" Type="http://schemas.openxmlformats.org/officeDocument/2006/relationships/hyperlink" Target="https://patadovietnam.edu.vn/tienganhgiaotiep_hn/?utm_source=Facebook&amp;utm_medium=MES&amp;utm_term=NEW_Europe_1840_none_010825&amp;utm_content=saletructiep_Europe.M504.1840.giaotiep_PTATT_LD153&amp;utm_campaign=Europe.giaotiep.M504_16917_MES_NamNH_010825" TargetMode="External"/><Relationship Id="rId1260" Type="http://schemas.openxmlformats.org/officeDocument/2006/relationships/hyperlink" Target="https://patadovietnam.edu.vn/japan_hn/" TargetMode="External"/><Relationship Id="rId2591" Type="http://schemas.openxmlformats.org/officeDocument/2006/relationships/hyperlink" Target="https://tinyurl.com/M504EUM" TargetMode="External"/><Relationship Id="rId1261" Type="http://schemas.openxmlformats.org/officeDocument/2006/relationships/hyperlink" Target="https://patadovietnam.edu.vn/japan_hn/?utm_source=Facebook&amp;utm_medium=CVS&amp;utm_term=NEW_Japan_1840_none_040424&amp;utm_content=saletructiep_Japan.PTKOC.1840.giaotiep_PTATT_LD221&amp;utm_campaign=Japan.giaotiep.PTKOC_16917_CVS_NamNH_040424" TargetMode="External"/><Relationship Id="rId2592" Type="http://schemas.openxmlformats.org/officeDocument/2006/relationships/hyperlink" Target="https://patadovietnam.edu.vn/gtjapan_nhn3" TargetMode="External"/><Relationship Id="rId1262" Type="http://schemas.openxmlformats.org/officeDocument/2006/relationships/hyperlink" Target="http://ldp.ink/PT_japan" TargetMode="External"/><Relationship Id="rId2593" Type="http://schemas.openxmlformats.org/officeDocument/2006/relationships/hyperlink" Target="https://patadovietnam.edu.vn/gtjapan_nhn3/?utm_source=Facebook&amp;utm_medium=CVS&amp;utm_term=NEW_Japan_1840_none_010825&amp;utm_content=saletructiep_Japan.M505xM506.1840.giaotiep_PTATT_LD164&amp;utm_campaign=Japan.giaotiep.M505xM506_16917_CVS_NamNH_010825" TargetMode="External"/><Relationship Id="rId1263" Type="http://schemas.openxmlformats.org/officeDocument/2006/relationships/hyperlink" Target="https://patadovietnam.edu.vn/japan_hn/" TargetMode="External"/><Relationship Id="rId2594" Type="http://schemas.openxmlformats.org/officeDocument/2006/relationships/hyperlink" Target="https://tinyurl.com/M505xM506JPC" TargetMode="External"/><Relationship Id="rId433" Type="http://schemas.openxmlformats.org/officeDocument/2006/relationships/hyperlink" Target="https://patadovietnam.edu.vn/gtall_namnh/?utm_source=Facebook&amp;utm_medium=MES&amp;utm_term=NEW_KoreaSouth_1838_none_210923&amp;utm_content=saletructiep_KoreaSouth.Hhot1.1838.giaotiep_PTATT_LD169&amp;utm_campaign=KoreaSouth.giaotiep.Hhot1_95360_MES_NamNH_210923" TargetMode="External"/><Relationship Id="rId1264" Type="http://schemas.openxmlformats.org/officeDocument/2006/relationships/hyperlink" Target="https://patadovietnam.edu.vn/japan_hn/?utm_source=Facebook&amp;utm_medium=CVS&amp;utm_term=NEW_Japan_1840_none_040424&amp;utm_content=saletructiep_Japan.HTKOC.1840.giaotiep_PTATT_LD221&amp;utm_campaign=Japan.giaotiep.HTKOC_16917_CVS_NamNH_040424" TargetMode="External"/><Relationship Id="rId2595" Type="http://schemas.openxmlformats.org/officeDocument/2006/relationships/hyperlink" Target="https://patadovietnam.edu.vn/gtjapan_nhn3" TargetMode="External"/><Relationship Id="rId432" Type="http://schemas.openxmlformats.org/officeDocument/2006/relationships/hyperlink" Target="https://patadovietnam.edu.vn/gtall_namnh" TargetMode="External"/><Relationship Id="rId1265" Type="http://schemas.openxmlformats.org/officeDocument/2006/relationships/hyperlink" Target="http://ldp.ink/HT_japan" TargetMode="External"/><Relationship Id="rId2596" Type="http://schemas.openxmlformats.org/officeDocument/2006/relationships/hyperlink" Target="https://patadovietnam.edu.vn/gtjapan_nhn3/?utm_source=Facebook&amp;utm_medium=MES&amp;utm_term=NEW_Japan_1840_none_010825&amp;utm_content=saletructiep_Japan.M504.1840.giaotiep_PTATT_LD164&amp;utm_campaign=Japan.giaotiep.M504_16917_MES_NamNH_010825" TargetMode="External"/><Relationship Id="rId431" Type="http://schemas.openxmlformats.org/officeDocument/2006/relationships/hyperlink" Target="http://ldp.to/chungchihoaky_HN" TargetMode="External"/><Relationship Id="rId1266" Type="http://schemas.openxmlformats.org/officeDocument/2006/relationships/hyperlink" Target="https://patadovietnam.edu.vn/tienganhdoanhnghiep_hn" TargetMode="External"/><Relationship Id="rId2597" Type="http://schemas.openxmlformats.org/officeDocument/2006/relationships/hyperlink" Target="https://tinyurl.com/M504JPME" TargetMode="External"/><Relationship Id="rId430" Type="http://schemas.openxmlformats.org/officeDocument/2006/relationships/hyperlink" Target="https://patadovietnam.edu.vn/gtusa1_nhn/?utm_source=Facebook&amp;utm_medium=MES&amp;utm_term=NEW_UnitedStates_2045_none_200923&amp;utm_content=saletructiep_Taiwan.anhchungchi.1840.giaotiep_PTATT_LD161&amp;utm_campaign=UnitedStates.giaotiep.anhchungchi_16917_MES_NamNH_200923" TargetMode="External"/><Relationship Id="rId1267" Type="http://schemas.openxmlformats.org/officeDocument/2006/relationships/hyperlink" Target="https://patadovietnam.edu.vn/tienganhdoanhnghiep_hn/?utm_source=Facebook&amp;utm_medium=CVS&amp;utm_term=NEW_Vietnam_1836_none_150424&amp;utm_content=saletructiep_Vietnam.4KNBE2.1840.DoanhNghiep_PTATT_LD224&amp;utm_campaign=Vietnam.DoanhNghiep.4KNBE2_SCB.9889_CVS_NamNH_150424" TargetMode="External"/><Relationship Id="rId2598" Type="http://schemas.openxmlformats.org/officeDocument/2006/relationships/hyperlink" Target="https://patadovietnam.edu.vn/tienganhgiaotiep_hn/" TargetMode="External"/><Relationship Id="rId3070" Type="http://schemas.openxmlformats.org/officeDocument/2006/relationships/hyperlink" Target="https://tinyurl.com/M696xM698EUC" TargetMode="External"/><Relationship Id="rId3072" Type="http://schemas.openxmlformats.org/officeDocument/2006/relationships/hyperlink" Target="https://patado.edu.vn/tienganhgiaotiep1_hn/?utm_source=Facebook&amp;utm_medium=MES&amp;utm_term=NEW_ALL_1840_none_010626&amp;utm_content=saletructiep_ALL.M696.1840.giaotiep_PTATT_LD267&amp;utm_campaign=ALL.giaotiep.M696xM698_16917_MES_NamNH_010626" TargetMode="External"/><Relationship Id="rId3071" Type="http://schemas.openxmlformats.org/officeDocument/2006/relationships/hyperlink" Target="https://patado.edu.vn/tienganhgiaotiep1_hn/" TargetMode="External"/><Relationship Id="rId3074" Type="http://schemas.openxmlformats.org/officeDocument/2006/relationships/hyperlink" Target="https://patado.edu.vn/nhn_jp0106" TargetMode="External"/><Relationship Id="rId3073" Type="http://schemas.openxmlformats.org/officeDocument/2006/relationships/hyperlink" Target="https://tinyurl.com/M696xM698ALLM" TargetMode="External"/><Relationship Id="rId3076" Type="http://schemas.openxmlformats.org/officeDocument/2006/relationships/hyperlink" Target="https://tinyurl.com/M701xM702JPC" TargetMode="External"/><Relationship Id="rId3075" Type="http://schemas.openxmlformats.org/officeDocument/2006/relationships/hyperlink" Target="https://patado.edu.vn/nhn_jp0106/?utm_source=Facebook&amp;utm_medium=CVS&amp;utm_term=NEW_Japan_1840_none_040626&amp;utm_content=saletructiep_Japan.M701.1840.giaotiep_PTATT_LD282&amp;utm_campaign=Japan.giaotiep.M701xM702_16917_CVS_NamNH_040626" TargetMode="External"/><Relationship Id="rId3078" Type="http://schemas.openxmlformats.org/officeDocument/2006/relationships/hyperlink" Target="https://patado.edu.vn/tienganhgiaotiep1_hn/?utm_source=Facebook&amp;utm_medium=CVS&amp;utm_term=NEW_Europe_1840_none_040626&amp;utm_content=saletructiep_Europe.M701.1840.giaotiep_PTATT_LD267&amp;utm_campaign=Europe.giaotiep.M701xM702_16917_CVS_NamNH_040626" TargetMode="External"/><Relationship Id="rId3077" Type="http://schemas.openxmlformats.org/officeDocument/2006/relationships/hyperlink" Target="https://patado.edu.vn/tienganhgiaotiep1_hn/" TargetMode="External"/><Relationship Id="rId3079" Type="http://schemas.openxmlformats.org/officeDocument/2006/relationships/hyperlink" Target="https://tinyurl.com/M701xM702EUC" TargetMode="External"/><Relationship Id="rId3061" Type="http://schemas.openxmlformats.org/officeDocument/2006/relationships/hyperlink" Target="https://patado.edu.vn/tienganhgiaotiep1_hn/?utm_source=Facebook&amp;utm_medium=CVS&amp;utm_term=NEW_Europe_1840_none_190526&amp;utm_content=saletructiep_Europe.M681.1840.giaotiep_PTATT_LD267&amp;utm_campaign=Europe.giaotiep.M681xM682_16917_CVS_NamNH_190526" TargetMode="External"/><Relationship Id="rId3060" Type="http://schemas.openxmlformats.org/officeDocument/2006/relationships/hyperlink" Target="https://patado.edu.vn/tienganhgiaotiep1_hn/" TargetMode="External"/><Relationship Id="rId3063" Type="http://schemas.openxmlformats.org/officeDocument/2006/relationships/hyperlink" Target="https://patado.edu.vn/patadoenglisht/" TargetMode="External"/><Relationship Id="rId3062" Type="http://schemas.openxmlformats.org/officeDocument/2006/relationships/hyperlink" Target="https://tinyurl.com/M681xM682EUC" TargetMode="External"/><Relationship Id="rId3065" Type="http://schemas.openxmlformats.org/officeDocument/2006/relationships/hyperlink" Target="https://patado.edu.vn/nhn_jp0106" TargetMode="External"/><Relationship Id="rId3064" Type="http://schemas.openxmlformats.org/officeDocument/2006/relationships/hyperlink" Target="https://patado.edu.vn/patadoenglisht/?utm_source=Facebook&amp;utm_medium=MES&amp;utm_term=NEW_ALL_1840_none_200526&amp;utm_content=saletructiep_ALL.organic.1840.giaotiep_PTATT_LD281&amp;utm_campaign=ALL.giaotiep.organic_16917_MES_TrangLQ_200526" TargetMode="External"/><Relationship Id="rId3067" Type="http://schemas.openxmlformats.org/officeDocument/2006/relationships/hyperlink" Target="https://tinyurl.com/M696xM698JPC" TargetMode="External"/><Relationship Id="rId3066" Type="http://schemas.openxmlformats.org/officeDocument/2006/relationships/hyperlink" Target="https://patado.edu.vn/nhn_jp0106/?utm_source=Facebook&amp;utm_medium=CVS&amp;utm_term=NEW_Japan_1840_none_010626&amp;utm_content=saletructiep_Japan.M696.1840.giaotiep_PTATT_LD282&amp;utm_campaign=Japan.giaotiep.M696xM698_16917_CVS_NamNH_010626" TargetMode="External"/><Relationship Id="rId3069" Type="http://schemas.openxmlformats.org/officeDocument/2006/relationships/hyperlink" Target="https://patado.edu.vn/tienganhgiaotiep1_hn/?utm_source=Facebook&amp;utm_medium=CVS&amp;utm_term=NEW_Europe_1840_none_010626&amp;utm_content=saletructiep_Europe.M696.1840.giaotiep_PTATT_LD267&amp;utm_campaign=Europe.giaotiep.M696xM698_16917_CVS_NamNH_010626" TargetMode="External"/><Relationship Id="rId3068" Type="http://schemas.openxmlformats.org/officeDocument/2006/relationships/hyperlink" Target="https://patado.edu.vn/tienganhgiaotiep1_hn/" TargetMode="External"/><Relationship Id="rId3090" Type="http://schemas.openxmlformats.org/officeDocument/2006/relationships/hyperlink" Target="https://patado.edu.vn/tienganhgiaotiep1_hn/?utm_source=Facebook&amp;utm_medium=CVS&amp;utm_term=NEW_Europe_1840_none_040626&amp;utm_content=saletructiep_Europe.M705.1840.giaotiep_PTATT_LD267&amp;utm_campaign=Europe.giaotiep.M705xM711_16917_CVS_NamNH_040626" TargetMode="External"/><Relationship Id="rId3092" Type="http://schemas.openxmlformats.org/officeDocument/2006/relationships/hyperlink" Target="https://patado.edu.vn/ptd_hongtt/" TargetMode="External"/><Relationship Id="rId3091" Type="http://schemas.openxmlformats.org/officeDocument/2006/relationships/hyperlink" Target="https://tinyurl.com/M705xM711EUC" TargetMode="External"/><Relationship Id="rId3094" Type="http://schemas.openxmlformats.org/officeDocument/2006/relationships/hyperlink" Target="https://tinyurl.com/M677xEUC" TargetMode="External"/><Relationship Id="rId3093" Type="http://schemas.openxmlformats.org/officeDocument/2006/relationships/hyperlink" Target="https://patado.edu.vn/ptd_hongtt/?utm_source=Facebook&amp;utm_medium=CVS&amp;utm_term=NEW_Europe_1840_none_090626&amp;utm_content=saletructiep_Europe.M677.1840.giaotiep_PTATT_LD284&amp;utm_campaign=Europe.giaotiep.M677xM678_16917_CVS_NamNH_090626" TargetMode="External"/><Relationship Id="rId3096" Type="http://schemas.openxmlformats.org/officeDocument/2006/relationships/hyperlink" Target="https://patado.edu.vn/ptd_hongtt/?utm_source=Facebook&amp;utm_medium=CVS&amp;utm_term=NEW_Europe_1840_none_090626&amp;utm_content=saletructiep_Europe.M701.1840.giaotiep_PTATT_LD284&amp;utm_campaign=Europe.giaotiep.M701xM702_16917_CVS_NamNH_090626" TargetMode="External"/><Relationship Id="rId3095" Type="http://schemas.openxmlformats.org/officeDocument/2006/relationships/hyperlink" Target="https://patado.edu.vn/ptd_hongtt/" TargetMode="External"/><Relationship Id="rId3098" Type="http://schemas.openxmlformats.org/officeDocument/2006/relationships/hyperlink" Target="https://patado.edu.vn/ptd_hongtt/" TargetMode="External"/><Relationship Id="rId3097" Type="http://schemas.openxmlformats.org/officeDocument/2006/relationships/hyperlink" Target="https://tinyurl.com/M701xEUC" TargetMode="External"/><Relationship Id="rId3099" Type="http://schemas.openxmlformats.org/officeDocument/2006/relationships/hyperlink" Target="https://patado.edu.vn/ptd_hongtt/?utm_source=Facebook&amp;utm_medium=CVS&amp;utm_term=NEW_Europe_1840_none_090626&amp;utm_content=saletructiep_Europe.M704.1840.giaotiep_PTATT_LD284&amp;utm_campaign=Europe.giaotiep.M704xM706_16917_CVS_NamNH_090626" TargetMode="External"/><Relationship Id="rId3081" Type="http://schemas.openxmlformats.org/officeDocument/2006/relationships/hyperlink" Target="https://patado.edu.vn/tienganhgiaotiep1_hn/?utm_source=Facebook&amp;utm_medium=CVS&amp;utm_term=NEW_Europe_1840_none_040626&amp;utm_content=saletructiep_Europe.M704.1840.giaotiep_PTATT_LD267&amp;utm_campaign=Europe.giaotiep.M704xM706_16917_CVS_NamNH_040626" TargetMode="External"/><Relationship Id="rId3080" Type="http://schemas.openxmlformats.org/officeDocument/2006/relationships/hyperlink" Target="https://patado.edu.vn/tienganhgiaotiep1_hn/" TargetMode="External"/><Relationship Id="rId3083" Type="http://schemas.openxmlformats.org/officeDocument/2006/relationships/hyperlink" Target="https://patado.edu.vn/gtjapan_nhn3/" TargetMode="External"/><Relationship Id="rId3082" Type="http://schemas.openxmlformats.org/officeDocument/2006/relationships/hyperlink" Target="https://tinyurl.com/M704xM706EUC" TargetMode="External"/><Relationship Id="rId3085" Type="http://schemas.openxmlformats.org/officeDocument/2006/relationships/hyperlink" Target="https://tinyurl.com/M704xM707JPC" TargetMode="External"/><Relationship Id="rId3084" Type="http://schemas.openxmlformats.org/officeDocument/2006/relationships/hyperlink" Target="https://patado.edu.vn/gtjapan_nhn3/?utm_source=Facebook&amp;utm_medium=CVS&amp;utm_term=NEW_Japan_1840_none_040626&amp;utm_content=saletructiep_Japan.M704.1840.giaotiep_PTATT_LD265&amp;utm_campaign=Japan.giaotiep.M704xM707_16917_CVS_NamNH_040626" TargetMode="External"/><Relationship Id="rId3087" Type="http://schemas.openxmlformats.org/officeDocument/2006/relationships/hyperlink" Target="https://patado.edu.vn/tienganhgiaotiep1_hn/?utm_source=Facebook&amp;utm_medium=MES&amp;utm_term=NEW_ALL_1840_none_040626&amp;utm_content=saletructiep_ALL.M701.1840.giaotiep_PTATT_LD267&amp;utm_campaign=ALL.giaotiep.M701xM702_16917_MES_NamNH_040626" TargetMode="External"/><Relationship Id="rId3086" Type="http://schemas.openxmlformats.org/officeDocument/2006/relationships/hyperlink" Target="https://patado.edu.vn/tienganhgiaotiep1_hn/" TargetMode="External"/><Relationship Id="rId3089" Type="http://schemas.openxmlformats.org/officeDocument/2006/relationships/hyperlink" Target="https://patado.edu.vn/tienganhgiaotiep1_hn/" TargetMode="External"/><Relationship Id="rId3088" Type="http://schemas.openxmlformats.org/officeDocument/2006/relationships/hyperlink" Target="https://tinyurl.com/M701xM702ALLM" TargetMode="External"/><Relationship Id="rId3039" Type="http://schemas.openxmlformats.org/officeDocument/2006/relationships/hyperlink" Target="https://patado.edu.vn/tienganhgiaotiep1_hn/" TargetMode="External"/><Relationship Id="rId1" Type="http://schemas.openxmlformats.org/officeDocument/2006/relationships/hyperlink" Target="https://toandien.tienganh24h.net/khoahocgiaotiep/" TargetMode="External"/><Relationship Id="rId2" Type="http://schemas.openxmlformats.org/officeDocument/2006/relationships/hyperlink" Target="https://patadovietnam.edu.vn/tai-tai-lieu/" TargetMode="External"/><Relationship Id="rId3" Type="http://schemas.openxmlformats.org/officeDocument/2006/relationships/hyperlink" Target="https://patadovietnam.edu.vn/tienganhgiaotiep_hn/" TargetMode="External"/><Relationship Id="rId4" Type="http://schemas.openxmlformats.org/officeDocument/2006/relationships/hyperlink" Target="https://patadovietnam.edu.vn/tienganhgiaotiep_hn/?utm_source=Facebook&amp;utm_medium=MES&amp;utm_term=NEW_Vietnam_2040_none_110423&amp;utm_content=saletructiep_Vietnam.anhgiaotiep1.2040.giaotiep_PTATT_LD153&amp;utm_campaign=Vietnam.giaotiep.anhgiaotiep1_95360_MES_NamNH_110423" TargetMode="External"/><Relationship Id="rId3030" Type="http://schemas.openxmlformats.org/officeDocument/2006/relationships/hyperlink" Target="https://patado.edu.vn/gtjapan_nhn3/" TargetMode="External"/><Relationship Id="rId9" Type="http://schemas.openxmlformats.org/officeDocument/2006/relationships/hyperlink" Target="https://patadovietnam.edu.vn/tienganhgiaotiep_hn/" TargetMode="External"/><Relationship Id="rId3032" Type="http://schemas.openxmlformats.org/officeDocument/2006/relationships/hyperlink" Target="https://tinyurl.com/M654xM656JPC" TargetMode="External"/><Relationship Id="rId3031" Type="http://schemas.openxmlformats.org/officeDocument/2006/relationships/hyperlink" Target="https://patado.edu.vn/gtjapan_nhn3/?utm_source=Facebook&amp;utm_medium=CVS&amp;utm_term=NEW_Japan_1840_none_060526&amp;utm_content=saletructiep_Japan.M654.1840.giaotiep_PTATT_LD265&amp;utm_campaign=Japan.giaotiep.M654xM656_16917_CVS_NamNH_060526" TargetMode="External"/><Relationship Id="rId3034" Type="http://schemas.openxmlformats.org/officeDocument/2006/relationships/hyperlink" Target="https://patado.edu.vn/tienganhgiaotiep1_hn/?utm_source=Facebook&amp;utm_medium=CVS&amp;utm_term=NEW_Europe_1840_none_060526&amp;utm_content=saletructiep_Europe.M654.1840.giaotiep_PTATT_LD267&amp;utm_campaign=Europe.giaotiep.M654xM656_16917_CVS_NamNH_060526" TargetMode="External"/><Relationship Id="rId3033" Type="http://schemas.openxmlformats.org/officeDocument/2006/relationships/hyperlink" Target="https://patado.edu.vn/tienganhgiaotiep1_hn/" TargetMode="External"/><Relationship Id="rId5" Type="http://schemas.openxmlformats.org/officeDocument/2006/relationships/hyperlink" Target="http://ldp.to/vietnam_namnh" TargetMode="External"/><Relationship Id="rId3036" Type="http://schemas.openxmlformats.org/officeDocument/2006/relationships/hyperlink" Target="https://patado.edu.vn/tienganhgiaotiep1_hn/" TargetMode="External"/><Relationship Id="rId6" Type="http://schemas.openxmlformats.org/officeDocument/2006/relationships/hyperlink" Target="https://patadovietnam.edu.vn/tienganhgiaotiep_hn/" TargetMode="External"/><Relationship Id="rId3035" Type="http://schemas.openxmlformats.org/officeDocument/2006/relationships/hyperlink" Target="https://tinyurl.com/M654xM656EUC" TargetMode="External"/><Relationship Id="rId7" Type="http://schemas.openxmlformats.org/officeDocument/2006/relationships/hyperlink" Target="https://patadovietnam.edu.vn/tienganhgiaotiep_hn/?utm_source=Facebook&amp;utm_medium=MES&amp;utm_term=NEW_UnitedStates_2045_none_110423&amp;utm_content=saletructiep_UnitedStates.anhgiaotiep2.2045.giaotiep_PTATT_LD153&amp;utm_campaign=UnitedStates.giaotiep.anhgiaotiep2_95360_MES_NamNH_110423" TargetMode="External"/><Relationship Id="rId3038" Type="http://schemas.openxmlformats.org/officeDocument/2006/relationships/hyperlink" Target="https://tinyurl.com/M679xM680EUC" TargetMode="External"/><Relationship Id="rId8" Type="http://schemas.openxmlformats.org/officeDocument/2006/relationships/hyperlink" Target="http://ldp.to/USA_Namnh" TargetMode="External"/><Relationship Id="rId3037" Type="http://schemas.openxmlformats.org/officeDocument/2006/relationships/hyperlink" Target="https://patado.edu.vn/tienganhgiaotiep1_hn/?utm_source=Facebook&amp;utm_medium=CVS&amp;utm_term=NEW_Europe_1840_none_110526&amp;utm_content=saletructiep_Europe.M679.1840.giaotiep_PTATT_LD267&amp;utm_campaign=Europe.giaotiep.M679xM680_16917_CVS_NamNH_110526" TargetMode="External"/><Relationship Id="rId3029" Type="http://schemas.openxmlformats.org/officeDocument/2006/relationships/hyperlink" Target="https://tinyurl.com/M652xM655EUC" TargetMode="External"/><Relationship Id="rId3028" Type="http://schemas.openxmlformats.org/officeDocument/2006/relationships/hyperlink" Target="https://patado.edu.vn/tienganhgiaotiep1_hn/?utm_source=Facebook&amp;utm_medium=CVS&amp;utm_term=NEW_Europe_1840_none_060526&amp;utm_content=saletructiep_Europe.M652.1840.giaotiep_PTATT_LD267&amp;utm_campaign=Europe.giaotiep.M652xM655_16917_CVS_NamNH_060526" TargetMode="External"/><Relationship Id="rId3021" Type="http://schemas.openxmlformats.org/officeDocument/2006/relationships/hyperlink" Target="https://patado.edu.vn/gtusa1_nhn/" TargetMode="External"/><Relationship Id="rId3020" Type="http://schemas.openxmlformats.org/officeDocument/2006/relationships/hyperlink" Target="https://tinyurl.com/M658xM659JPC" TargetMode="External"/><Relationship Id="rId3023" Type="http://schemas.openxmlformats.org/officeDocument/2006/relationships/hyperlink" Target="https://tinyurl.com/M657xM683USM" TargetMode="External"/><Relationship Id="rId3022" Type="http://schemas.openxmlformats.org/officeDocument/2006/relationships/hyperlink" Target="https://patado.edu.vn/gtusa1_nhn/?utm_source=Facebook&amp;utm_medium=MES&amp;utm_term=NEW_UnitedStates_2050_none_060526&amp;utm_content=saletructiep_UnitedStates.M657.1840.giaotiep_PTATT_LD266&amp;utm_campaign=UnitedStates.giaotiep.M657xM683_16917_MES_NamNH_060526" TargetMode="External"/><Relationship Id="rId3025" Type="http://schemas.openxmlformats.org/officeDocument/2006/relationships/hyperlink" Target="https://patado.edu.vn/gtjapan_nhn3/?utm_source=Facebook&amp;utm_medium=CVS&amp;utm_term=NEW_Japan_1840_none_060526&amp;utm_content=saletructiep_Japan.M652.1840.giaotiep_PTATT_LD265&amp;utm_campaign=Japan.giaotiep.M652xM655_16917_CVS_NamNH_060526" TargetMode="External"/><Relationship Id="rId3024" Type="http://schemas.openxmlformats.org/officeDocument/2006/relationships/hyperlink" Target="https://patado.edu.vn/gtjapan_nhn3/" TargetMode="External"/><Relationship Id="rId3027" Type="http://schemas.openxmlformats.org/officeDocument/2006/relationships/hyperlink" Target="https://patado.edu.vn/tienganhgiaotiep1_hn/" TargetMode="External"/><Relationship Id="rId3026" Type="http://schemas.openxmlformats.org/officeDocument/2006/relationships/hyperlink" Target="https://tinyurl.com/M652xM655JPC" TargetMode="External"/><Relationship Id="rId3050" Type="http://schemas.openxmlformats.org/officeDocument/2006/relationships/hyperlink" Target="https://tinyurl.com/M684xM695EUC" TargetMode="External"/><Relationship Id="rId3052" Type="http://schemas.openxmlformats.org/officeDocument/2006/relationships/hyperlink" Target="https://patado.edu.vn/gtjapan_nhn3/?utm_source=Facebook&amp;utm_medium=CVS&amp;utm_term=NEW_Japan_1840_none_190526&amp;utm_content=saletructiep_Japan.M684.1840.giaotiep_PTATT_LD265&amp;utm_campaign=Japan.giaotiep.M684xM695_16917_CVS_NamNH_190526" TargetMode="External"/><Relationship Id="rId3051" Type="http://schemas.openxmlformats.org/officeDocument/2006/relationships/hyperlink" Target="https://patado.edu.vn/gtjapan_nhn3/" TargetMode="External"/><Relationship Id="rId3054" Type="http://schemas.openxmlformats.org/officeDocument/2006/relationships/hyperlink" Target="https://patado.edu.vn/tienganhgiaotiep1_hn/" TargetMode="External"/><Relationship Id="rId3053" Type="http://schemas.openxmlformats.org/officeDocument/2006/relationships/hyperlink" Target="https://tinyurl.com/M684xM695JPC" TargetMode="External"/><Relationship Id="rId3056" Type="http://schemas.openxmlformats.org/officeDocument/2006/relationships/hyperlink" Target="https://tinyurl.com/M677xM678EUC" TargetMode="External"/><Relationship Id="rId3055" Type="http://schemas.openxmlformats.org/officeDocument/2006/relationships/hyperlink" Target="https://patado.edu.vn/tienganhgiaotiep1_hn/?utm_source=Facebook&amp;utm_medium=CVS&amp;utm_term=NEW_Europe_1840_none_190526&amp;utm_content=saletructiep_Europe.M677.1840.giaotiep_PTATT_LD267&amp;utm_campaign=Europe.giaotiep.M677xM678_16917_CVS_NamNH_190526" TargetMode="External"/><Relationship Id="rId3058" Type="http://schemas.openxmlformats.org/officeDocument/2006/relationships/hyperlink" Target="https://patado.edu.vn/gtjapan_nhn3/?utm_source=Facebook&amp;utm_medium=CVS&amp;utm_term=NEW_Japan_1840_none_190526&amp;utm_content=saletructiep_Japan.M677.1840.giaotiep_PTATT_LD265&amp;utm_campaign=Japan.giaotiep.M677xM678_16917_CVS_NamNH_190526" TargetMode="External"/><Relationship Id="rId3057" Type="http://schemas.openxmlformats.org/officeDocument/2006/relationships/hyperlink" Target="https://patado.edu.vn/gtjapan_nhn3/" TargetMode="External"/><Relationship Id="rId3059" Type="http://schemas.openxmlformats.org/officeDocument/2006/relationships/hyperlink" Target="https://tinyurl.com/M677xM678JPC" TargetMode="External"/><Relationship Id="rId3041" Type="http://schemas.openxmlformats.org/officeDocument/2006/relationships/hyperlink" Target="https://tinyurl.com/M675xM676EUC" TargetMode="External"/><Relationship Id="rId3040" Type="http://schemas.openxmlformats.org/officeDocument/2006/relationships/hyperlink" Target="https://patado.edu.vn/tienganhgiaotiep1_hn/?utm_source=Facebook&amp;utm_medium=CVS&amp;utm_term=NEW_Europe_1841_none_110526&amp;utm_content=saletructiep_Europe.M675.1840.giaotiep_PTATT_LD267&amp;utm_campaign=Europe.giaotiep.M675xM676_16917_CVS_NamNH_110526" TargetMode="External"/><Relationship Id="rId3043" Type="http://schemas.openxmlformats.org/officeDocument/2006/relationships/hyperlink" Target="https://patado.edu.vn/gtjapan_nhn3/?utm_source=Facebook&amp;utm_medium=CVS&amp;utm_term=NEW_Japan_1840_none_110526&amp;utm_content=saletructiep_Japan.M679.1840.giaotiep_PTATT_LD265&amp;utm_campaign=Japan.giaotiep.M679xM680_16917_CVS_NamNH_110526" TargetMode="External"/><Relationship Id="rId3042" Type="http://schemas.openxmlformats.org/officeDocument/2006/relationships/hyperlink" Target="https://patado.edu.vn/gtjapan_nhn3/" TargetMode="External"/><Relationship Id="rId3045" Type="http://schemas.openxmlformats.org/officeDocument/2006/relationships/hyperlink" Target="https://patado.edu.vn/gtjapan_nhn3/" TargetMode="External"/><Relationship Id="rId3044" Type="http://schemas.openxmlformats.org/officeDocument/2006/relationships/hyperlink" Target="https://tinyurl.com/M679xM680JPC" TargetMode="External"/><Relationship Id="rId3047" Type="http://schemas.openxmlformats.org/officeDocument/2006/relationships/hyperlink" Target="https://tinyurl.com/M675xM676JPC" TargetMode="External"/><Relationship Id="rId3046" Type="http://schemas.openxmlformats.org/officeDocument/2006/relationships/hyperlink" Target="https://patado.edu.vn/gtjapan_nhn3/?utm_source=Facebook&amp;utm_medium=CVS&amp;utm_term=NEW_Japan_1840_none_110526&amp;utm_content=saletructiep_Japan.M675.1840.giaotiep_PTATT_LD265&amp;utm_campaign=Japan.giaotiep.M675xM676_16917_CVS_NamNH_110526" TargetMode="External"/><Relationship Id="rId3049" Type="http://schemas.openxmlformats.org/officeDocument/2006/relationships/hyperlink" Target="https://patado.edu.vn/tienganhgiaotiep1_hn/?utm_source=Facebook&amp;utm_medium=CVS&amp;utm_term=NEW_Europe_1840_none_190526&amp;utm_content=saletructiep_Europe.M684.1840.giaotiep_PTATT_LD267&amp;utm_campaign=Europe.giaotiep.M684xM695_16917_CVS_NamNH_190526" TargetMode="External"/><Relationship Id="rId3048" Type="http://schemas.openxmlformats.org/officeDocument/2006/relationships/hyperlink" Target="https://patado.edu.vn/tienganhgiaotiep1_hn/" TargetMode="External"/><Relationship Id="rId2600" Type="http://schemas.openxmlformats.org/officeDocument/2006/relationships/hyperlink" Target="https://tinyurl.com/M505xM506ALL1" TargetMode="External"/><Relationship Id="rId2601" Type="http://schemas.openxmlformats.org/officeDocument/2006/relationships/hyperlink" Target="https://patadovietnam.edu.vn/gt_nhn/" TargetMode="External"/><Relationship Id="rId2602" Type="http://schemas.openxmlformats.org/officeDocument/2006/relationships/hyperlink" Target="https://patadovietnam.edu.vn/gt_nhn/?utm_source=Facebook&amp;utm_medium=CVS&amp;utm_term=NEW_Japan_1840_none_040825&amp;utm_content=saletructiep_Japan.M505xM506.1840.giaotiep_PTATT_LD246&amp;utm_campaign=Japan.giaotiep.M505xM506_16917_CVS_NamNH_040825" TargetMode="External"/><Relationship Id="rId2603" Type="http://schemas.openxmlformats.org/officeDocument/2006/relationships/hyperlink" Target="https://tinyurl.com/M505xM506jp0408" TargetMode="External"/><Relationship Id="rId2604" Type="http://schemas.openxmlformats.org/officeDocument/2006/relationships/hyperlink" Target="https://patadovietnam.edu.vn/gt_nhn/" TargetMode="External"/><Relationship Id="rId2605" Type="http://schemas.openxmlformats.org/officeDocument/2006/relationships/hyperlink" Target="https://patadovietnam.edu.vn/gt_nhn/?utm_source=Facebook&amp;utm_medium=CVS&amp;utm_term=NEW_ALL_1840_none_040825&amp;utm_content=saletructiep_ALL.M264xM269xJHxqcpatado1.1840.giaotiep_PTATT_LD246&amp;utm_campaign=ALL.giaotiep.M264xM269xJHxqcpatado1_16917_CVS_NamNH_040825" TargetMode="External"/><Relationship Id="rId2606" Type="http://schemas.openxmlformats.org/officeDocument/2006/relationships/hyperlink" Target="https://tinyurl.com/All0408" TargetMode="External"/><Relationship Id="rId808" Type="http://schemas.openxmlformats.org/officeDocument/2006/relationships/hyperlink" Target="https://patadovietnam.edu.vn/gtjapan_nhn3/?utm_source=Facebook&amp;utm_medium=CVS&amp;utm_term=NEW_Japan_1840_none_011223&amp;utm_content=saletructiep_Japan.M73C51.1840.giaotiep_PTATT_LD164&amp;utm_campaign=Japan.giaotiep.M73C51_16917_CVS_NamNH_011223" TargetMode="External"/><Relationship Id="rId2607" Type="http://schemas.openxmlformats.org/officeDocument/2006/relationships/hyperlink" Target="https://patadovietnam.edu.vn/tienganhgiaotiep_hn/" TargetMode="External"/><Relationship Id="rId807" Type="http://schemas.openxmlformats.org/officeDocument/2006/relationships/hyperlink" Target="https://patadovietnam.edu.vn/gtjapan_nhn3" TargetMode="External"/><Relationship Id="rId2608" Type="http://schemas.openxmlformats.org/officeDocument/2006/relationships/hyperlink" Target="https://patadovietnam.edu.vn/tienganhgiaotiep_hn/?utm_source=Facebook&amp;utm_medium=MES&amp;utm_term=NEW_Europe_1840_none_150825&amp;utm_content=saletructiep_Europe.M508xM509.1840.kids_PTATT_LD153&amp;utm_campaign=Europe.kids.M508xM509_16917_MES_NamNH_150825" TargetMode="External"/><Relationship Id="rId806" Type="http://schemas.openxmlformats.org/officeDocument/2006/relationships/hyperlink" Target="http://ldp.ink/M79C51_all" TargetMode="External"/><Relationship Id="rId2609" Type="http://schemas.openxmlformats.org/officeDocument/2006/relationships/hyperlink" Target="https://tinyurl.com/M508xM509EK" TargetMode="External"/><Relationship Id="rId805" Type="http://schemas.openxmlformats.org/officeDocument/2006/relationships/hyperlink" Target="https://patadovietnam.edu.vn/tienganhgiaotiep_hn/?utm_source=Facebook&amp;utm_medium=CVS&amp;utm_term=NEW_Europe_1840_none_011223&amp;utm_content=saletructiep_Europe.M79C51.1840.giaotiep_PTATT_LD153&amp;utm_campaign=Europe.giaotiep.M79C51_16917_CVS_NamNH_011223" TargetMode="External"/><Relationship Id="rId809" Type="http://schemas.openxmlformats.org/officeDocument/2006/relationships/hyperlink" Target="http://ldp.ink/M73C51_japan" TargetMode="External"/><Relationship Id="rId800" Type="http://schemas.openxmlformats.org/officeDocument/2006/relationships/hyperlink" Target="http://ldp.ink/LTKT_nhatban" TargetMode="External"/><Relationship Id="rId804" Type="http://schemas.openxmlformats.org/officeDocument/2006/relationships/hyperlink" Target="https://patadovietnam.edu.vn/tienganhgiaotiep_hn/" TargetMode="External"/><Relationship Id="rId803" Type="http://schemas.openxmlformats.org/officeDocument/2006/relationships/hyperlink" Target="http://ldp.ink/LTKT_chauau" TargetMode="External"/><Relationship Id="rId802" Type="http://schemas.openxmlformats.org/officeDocument/2006/relationships/hyperlink" Target="https://patadovietnam.edu.vn/tienganhgiaotiep_hn/?utm_source=Facebook&amp;utm_medium=CVS&amp;utm_term=NEW_Europe_1840_none_211123&amp;utm_content=saletructiep_Europe.LTKT.1840.giaotiep_PTATT_LD153&amp;utm_campaign=Europe.giaotiep.LTKT_16917_CVS_NamNH_211123" TargetMode="External"/><Relationship Id="rId801" Type="http://schemas.openxmlformats.org/officeDocument/2006/relationships/hyperlink" Target="https://patadovietnam.edu.vn/tienganhgiaotiep_hn/" TargetMode="External"/><Relationship Id="rId1334" Type="http://schemas.openxmlformats.org/officeDocument/2006/relationships/hyperlink" Target="http://ldp.ink/JHKO_europe" TargetMode="External"/><Relationship Id="rId2665" Type="http://schemas.openxmlformats.org/officeDocument/2006/relationships/hyperlink" Target="https://patadovietnam.edu.vn/gtjapan_nhn3/?utm_source=Facebook&amp;utm_medium=CVS&amp;utm_term=NEW_Japan_1840_none_220925&amp;utm_content=saletructiep_Japan.M527xM537.1840.giaotiep_PTATT_LD164&amp;utm_campaign=Japan.giaotiep.M527xM537_16917_CVS_NamNH_220925" TargetMode="External"/><Relationship Id="rId1335" Type="http://schemas.openxmlformats.org/officeDocument/2006/relationships/hyperlink" Target="https://patadovietnam.edu.vn/tienganhdoanhnghiep_hn" TargetMode="External"/><Relationship Id="rId2666" Type="http://schemas.openxmlformats.org/officeDocument/2006/relationships/hyperlink" Target="https://tinyurl.com/M527xM537JPC" TargetMode="External"/><Relationship Id="rId1336" Type="http://schemas.openxmlformats.org/officeDocument/2006/relationships/hyperlink" Target="https://patadovietnam.edu.vn/tienganhdoanhnghiep_hn/?utm_source=Facebook&amp;utm_medium=MES&amp;utm_term=NEW_Vietnam_2030_none_260424&amp;utm_content=saletructiep_Vietnam.MLBE.1836.DoanhNghiep_PTATT_LD224&amp;utm_campaign=Vietnam.Doanhnghiep.MLBE_16917_MES_NamNH_260424" TargetMode="External"/><Relationship Id="rId2667" Type="http://schemas.openxmlformats.org/officeDocument/2006/relationships/hyperlink" Target="https://patadovietnam.edu.vn/tienganhgiaotiep_hn/" TargetMode="External"/><Relationship Id="rId1337" Type="http://schemas.openxmlformats.org/officeDocument/2006/relationships/hyperlink" Target="http://ldp.ink/MLBE_vietnam" TargetMode="External"/><Relationship Id="rId2668" Type="http://schemas.openxmlformats.org/officeDocument/2006/relationships/hyperlink" Target="https://patadovietnam.edu.vn/tienganhgiaotiep_hn/?utm_source=Facebook&amp;utm_medium=CVS&amp;utm_term=NEW_Europe_1840_none_131025&amp;utm_content=saletructiep_Europe.M554.1840.giaotiep_PTATT_LD153&amp;utm_campaign=Europe.giaotiep.M554_16917_CVS_NamNH_131025" TargetMode="External"/><Relationship Id="rId1338" Type="http://schemas.openxmlformats.org/officeDocument/2006/relationships/hyperlink" Target="https://patadovietnam.edu.vn/tienganhdoanhnghiep_hn" TargetMode="External"/><Relationship Id="rId2669" Type="http://schemas.openxmlformats.org/officeDocument/2006/relationships/hyperlink" Target="https://tinyurl.com/M554EUCV" TargetMode="External"/><Relationship Id="rId1339" Type="http://schemas.openxmlformats.org/officeDocument/2006/relationships/hyperlink" Target="https://patadovietnam.edu.vn/tienganhdoanhnghiep_hn/?utm_source=Facebook&amp;utm_medium=MES&amp;utm_term=NEW_Vietnam_3140_none_260424&amp;utm_content=saletructiep_Vietnam.MLBE1.1836.DoanhNghiep_PTATT_LD224&amp;utm_campaign=Vietnam.Doanhnghiep.MLBE1_16917_MES_NamNH_260424" TargetMode="External"/><Relationship Id="rId745" Type="http://schemas.openxmlformats.org/officeDocument/2006/relationships/hyperlink" Target="https://patadovietnam.edu.vn/gtjapan_nhn3/?utm_source=Facebook&amp;utm_medium=CVS&amp;utm_term=NEW_Japan_1840_none_141123&amp;utm_content=saletructiep_Japan.anhTK.1840.giaotiep_PTATT_LD164&amp;utm_campaign=Japan.giaotiep.anhTK_16917_CVS_NamNH_141123" TargetMode="External"/><Relationship Id="rId744" Type="http://schemas.openxmlformats.org/officeDocument/2006/relationships/hyperlink" Target="https://patadovietnam.edu.vn/gtjapan_nhn3" TargetMode="External"/><Relationship Id="rId743" Type="http://schemas.openxmlformats.org/officeDocument/2006/relationships/hyperlink" Target="http://ldp.ink/CSBQ_philippines" TargetMode="External"/><Relationship Id="rId742" Type="http://schemas.openxmlformats.org/officeDocument/2006/relationships/hyperlink" Target="https://patadovietnam.edu.vn/tienganhgiaotiep_hn/?utm_source=Facebook&amp;utm_medium=MES&amp;utm_term=NEW_Philippines_1840_none_091123&amp;utm_content=saletructiep_Philippines.CSBQ.1840.giaotiep_PTATT_LD153&amp;utm_campaign=Philippines.giaotiep.CSBQ_95360_MES_NamNH_091123" TargetMode="External"/><Relationship Id="rId749" Type="http://schemas.openxmlformats.org/officeDocument/2006/relationships/hyperlink" Target="http://ldp.ink/anhTK_taiwan" TargetMode="External"/><Relationship Id="rId748" Type="http://schemas.openxmlformats.org/officeDocument/2006/relationships/hyperlink" Target="https://patadovietnam.edu.vn/tienganhgiaotiep_hn/?utm_source=Facebook&amp;utm_medium=MES&amp;utm_term=NEW_Taiwan_1840_none_141123&amp;utm_content=saletructiep_Taiwan.anhTK1.1840.giaotiep_PTATT_LD153&amp;utm_campaign=Taiwan.giaotiep.anhTK1_95360_MES_NamNH_141123" TargetMode="External"/><Relationship Id="rId747" Type="http://schemas.openxmlformats.org/officeDocument/2006/relationships/hyperlink" Target="https://patadovietnam.edu.vn/tienganhgiaotiep_hn/" TargetMode="External"/><Relationship Id="rId746" Type="http://schemas.openxmlformats.org/officeDocument/2006/relationships/hyperlink" Target="http://ldp.ink/anhTK_japan" TargetMode="External"/><Relationship Id="rId2660" Type="http://schemas.openxmlformats.org/officeDocument/2006/relationships/hyperlink" Target="https://tinyurl.com/M105EUCVS" TargetMode="External"/><Relationship Id="rId741" Type="http://schemas.openxmlformats.org/officeDocument/2006/relationships/hyperlink" Target="https://patadovietnam.edu.vn/tienganhgiaotiep_hn/" TargetMode="External"/><Relationship Id="rId1330" Type="http://schemas.openxmlformats.org/officeDocument/2006/relationships/hyperlink" Target="https://patadovietnam.edu.vn/tienganhgiaotiep_hn/?utm_source=Facebook&amp;utm_medium=CVS&amp;utm_term=NEW_Europe_1840_none_250424&amp;utm_content=saletructiep_Europe.PTHTKO.1840.giaotiep_PTATT_LD153&amp;utm_campaign=Europe.giaotiep.PTHTKO_16917_CVS_NamNH_250424" TargetMode="External"/><Relationship Id="rId2661" Type="http://schemas.openxmlformats.org/officeDocument/2006/relationships/hyperlink" Target="https://patadovietnam.edu.vn/gtnhn220925" TargetMode="External"/><Relationship Id="rId740" Type="http://schemas.openxmlformats.org/officeDocument/2006/relationships/hyperlink" Target="http://ldp.ink/CSBQ_canada" TargetMode="External"/><Relationship Id="rId1331" Type="http://schemas.openxmlformats.org/officeDocument/2006/relationships/hyperlink" Target="http://ldp.ink/PTHTKO_europe" TargetMode="External"/><Relationship Id="rId2662" Type="http://schemas.openxmlformats.org/officeDocument/2006/relationships/hyperlink" Target="https://patadovietnam.edu.vn/gtnhn220925/?utm_source=Facebook&amp;utm_medium=CVS&amp;utm_term=NEW_Europe_1840_none_260925&amp;utm_content=saletructiep_Europe.M429xM438.1840.giaotiep_PTATT_LD250&amp;utm_campaign=Europe.giaotiep.M429xM438_16917_CVS_NamNH_260925" TargetMode="External"/><Relationship Id="rId1332" Type="http://schemas.openxmlformats.org/officeDocument/2006/relationships/hyperlink" Target="https://patadovietnam.edu.vn/tienganhgiaotiep_hn/" TargetMode="External"/><Relationship Id="rId2663" Type="http://schemas.openxmlformats.org/officeDocument/2006/relationships/hyperlink" Target="https://tinyurl.com/M429xM438EUC" TargetMode="External"/><Relationship Id="rId1333" Type="http://schemas.openxmlformats.org/officeDocument/2006/relationships/hyperlink" Target="https://patadovietnam.edu.vn/tienganhgiaotiep_hn/?utm_source=Facebook&amp;utm_medium=CVS&amp;utm_term=NEW_Europe_1840_none_250424&amp;utm_content=saletructiep_Europe.JHKO.1840.giaotiep_PTATT_LD153&amp;utm_campaign=Europe.giaotiep.JHKO_16917_CVS_NamNH_250424" TargetMode="External"/><Relationship Id="rId2664" Type="http://schemas.openxmlformats.org/officeDocument/2006/relationships/hyperlink" Target="https://patadovietnam.edu.vn/gtjapan_nhn3" TargetMode="External"/><Relationship Id="rId1323" Type="http://schemas.openxmlformats.org/officeDocument/2006/relationships/hyperlink" Target="https://patadovietnam.edu.vn/tienganhdoanhnghiep_hn" TargetMode="External"/><Relationship Id="rId2654" Type="http://schemas.openxmlformats.org/officeDocument/2006/relationships/hyperlink" Target="https://tinyurl.com/M537EUCVS" TargetMode="External"/><Relationship Id="rId1324" Type="http://schemas.openxmlformats.org/officeDocument/2006/relationships/hyperlink" Target="https://patadovietnam.edu.vn/tienganhdoanhnghiep_hn/?utm_source=Facebook&amp;utm_medium=MES&amp;utm_term=NEW_Vietnam_1840_none_220424&amp;utm_content=saletructiep_Vietnam.NDLCS.1836.DoanhNghiep_PTATT_LD224&amp;utm_campaign=Vietnam.Doanhnghiep.NDLCS_95360_MES_NamNH_220424" TargetMode="External"/><Relationship Id="rId2655" Type="http://schemas.openxmlformats.org/officeDocument/2006/relationships/hyperlink" Target="https://patadovietnam.edu.vn/gtnhn220925" TargetMode="External"/><Relationship Id="rId1325" Type="http://schemas.openxmlformats.org/officeDocument/2006/relationships/hyperlink" Target="http://ldp.ink/NDLCS_vietnam" TargetMode="External"/><Relationship Id="rId2656" Type="http://schemas.openxmlformats.org/officeDocument/2006/relationships/hyperlink" Target="https://patadovietnam.edu.vn/gtnhn220925/?utm_source=Facebook&amp;utm_medium=CVS&amp;utm_term=NEW_Japan_1840_none_220925&amp;utm_content=saletructiep_Japan.M527xM537.1840.giaotiep_PTATT_LD250&amp;utm_campaign=Japan.giaotiep.M527xM537_16917_CVS_NamNH_220925" TargetMode="External"/><Relationship Id="rId1326" Type="http://schemas.openxmlformats.org/officeDocument/2006/relationships/hyperlink" Target="https://patadovietnam.edu.vn/tienganhgiaotiep_hn/" TargetMode="External"/><Relationship Id="rId2657" Type="http://schemas.openxmlformats.org/officeDocument/2006/relationships/hyperlink" Target="https://tinyurl.com/M527xM537JP" TargetMode="External"/><Relationship Id="rId1327" Type="http://schemas.openxmlformats.org/officeDocument/2006/relationships/hyperlink" Target="https://patadovietnam.edu.vn/tienganhgiaotiep_hn/?utm_source=Facebook&amp;utm_medium=CVS&amp;utm_term=NEW_Europe_1840_none_250424&amp;utm_content=saletructiep_Europe.PTKO2.1840.giaotiep_PTATT_LD153&amp;utm_campaign=Europe.giaotiep.PTKO2_16917_CVS_NamNH_250424" TargetMode="External"/><Relationship Id="rId2658" Type="http://schemas.openxmlformats.org/officeDocument/2006/relationships/hyperlink" Target="https://patadovietnam.edu.vn/gtnhn220925" TargetMode="External"/><Relationship Id="rId1328" Type="http://schemas.openxmlformats.org/officeDocument/2006/relationships/hyperlink" Target="http://ldp.ink/PTKO2_europe" TargetMode="External"/><Relationship Id="rId2659" Type="http://schemas.openxmlformats.org/officeDocument/2006/relationships/hyperlink" Target="https://patadovietnam.edu.vn/gtnhn220925/?utm_source=Facebook&amp;utm_medium=CVS&amp;utm_term=NEW_Europe_1840_none_220925&amp;utm_content=saletructiep_Europe.M105C84.1840.giaotiep_PTATT_LD250&amp;utm_campaign=Europe.giaotiep.M105C84_16917_CVS_NamNH_220925" TargetMode="External"/><Relationship Id="rId1329" Type="http://schemas.openxmlformats.org/officeDocument/2006/relationships/hyperlink" Target="https://patadovietnam.edu.vn/tienganhgiaotiep_hn/" TargetMode="External"/><Relationship Id="rId739" Type="http://schemas.openxmlformats.org/officeDocument/2006/relationships/hyperlink" Target="https://patadovietnam.edu.vn/tienganhgiaotiep_hn/?utm_source=Facebook&amp;utm_medium=MES&amp;utm_term=NEW_Canada_1840_none_091123&amp;utm_content=saletructiep_Canada.CSBQ.1840.giaotiep_PTATT_LD153&amp;utm_campaign=Canada.giaotiep.CSBQ_95360_MES_NamNH_091123" TargetMode="External"/><Relationship Id="rId734" Type="http://schemas.openxmlformats.org/officeDocument/2006/relationships/hyperlink" Target="http://ldp.ink/CSBQ_taiwan" TargetMode="External"/><Relationship Id="rId733" Type="http://schemas.openxmlformats.org/officeDocument/2006/relationships/hyperlink" Target="https://patadovietnam.edu.vn/tienganhgiaotiep_hn/?utm_source=Facebook&amp;utm_medium=MES&amp;utm_term=NEW_Taiwan_1840_none_091123&amp;utm_content=saletructiep_Taiwan.CSBQ.1840.giaotiep_PTATT_LD153&amp;utm_campaign=Taiwan.giaotiep.CSBQ_16917_MES_NamNH_091123" TargetMode="External"/><Relationship Id="rId732" Type="http://schemas.openxmlformats.org/officeDocument/2006/relationships/hyperlink" Target="https://patadovietnam.edu.vn/tienganhgiaotiep_hn/" TargetMode="External"/><Relationship Id="rId731" Type="http://schemas.openxmlformats.org/officeDocument/2006/relationships/hyperlink" Target="http://ldp.ink/CSBQ_japan" TargetMode="External"/><Relationship Id="rId738" Type="http://schemas.openxmlformats.org/officeDocument/2006/relationships/hyperlink" Target="https://patadovietnam.edu.vn/tienganhgiaotiep_hn/" TargetMode="External"/><Relationship Id="rId737" Type="http://schemas.openxmlformats.org/officeDocument/2006/relationships/hyperlink" Target="http://ldp.ink/CSBQ_hanquoc" TargetMode="External"/><Relationship Id="rId736" Type="http://schemas.openxmlformats.org/officeDocument/2006/relationships/hyperlink" Target="https://patadovietnam.edu.vn/tienganhgiaotiep_hn/?utm_source=Facebook&amp;utm_medium=MES&amp;utm_term=NEW_KoreaSouth_1840_none_091123&amp;utm_content=saletructiep_KoreaSouth.CSBQ.1840.giaotiep_PTATT_LD153&amp;utm_campaign=KoreaSouth.giaotiep.CSBQ_95360_MES_NamNH_091123" TargetMode="External"/><Relationship Id="rId735" Type="http://schemas.openxmlformats.org/officeDocument/2006/relationships/hyperlink" Target="https://patadovietnam.edu.vn/tienganhgiaotiep_hn/" TargetMode="External"/><Relationship Id="rId730" Type="http://schemas.openxmlformats.org/officeDocument/2006/relationships/hyperlink" Target="https://patadovietnam.edu.vn/gtjapan_nhn3/?utm_source=Facebook&amp;utm_medium=CVS&amp;utm_term=NEW_Japan_1840_none_091123&amp;utm_content=saletructiep_Japan.CSBQ.1840.giaotiep_PTATT_LD164&amp;utm_campaign=Japan.giaotiep.CSBQ_16917_CVS_NamNH_091123" TargetMode="External"/><Relationship Id="rId2650" Type="http://schemas.openxmlformats.org/officeDocument/2006/relationships/hyperlink" Target="https://patadovietnam.edu.vn/gtnhn220925/?utm_source=Facebook&amp;utm_medium=CVS&amp;utm_term=NEW_Europe_1840_none_220925&amp;utm_content=saletructiep_Europe.M526.1840.giaotiep_PTATT_LD250&amp;utm_campaign=Europe.giaotiep.M526_16917_CVS_NamNH_220925" TargetMode="External"/><Relationship Id="rId1320" Type="http://schemas.openxmlformats.org/officeDocument/2006/relationships/hyperlink" Target="https://patadovietnam.edu.vn/tienganhdoanhnghiep_hn" TargetMode="External"/><Relationship Id="rId2651" Type="http://schemas.openxmlformats.org/officeDocument/2006/relationships/hyperlink" Target="https://tinyurl.com/M526CVEU" TargetMode="External"/><Relationship Id="rId1321" Type="http://schemas.openxmlformats.org/officeDocument/2006/relationships/hyperlink" Target="https://patadovietnam.edu.vn/tienganhdoanhnghiep_hn/?utm_source=Facebook&amp;utm_medium=MES&amp;utm_term=NEW_Vietnam_1840_none_220424&amp;utm_content=saletructiep_Vietnam.TACS.1836.DoanhNghiep_PTATT_LD224&amp;utm_campaign=Vietnam.Doanhnghiep.TACS_95360_MES_NamNH_220424" TargetMode="External"/><Relationship Id="rId2652" Type="http://schemas.openxmlformats.org/officeDocument/2006/relationships/hyperlink" Target="https://patadovietnam.edu.vn/gtnhn220925" TargetMode="External"/><Relationship Id="rId1322" Type="http://schemas.openxmlformats.org/officeDocument/2006/relationships/hyperlink" Target="http://ldp.ink/TACS_Vietnam" TargetMode="External"/><Relationship Id="rId2653" Type="http://schemas.openxmlformats.org/officeDocument/2006/relationships/hyperlink" Target="https://patadovietnam.edu.vn/gtnhn220925/?utm_source=Facebook&amp;utm_medium=CVS&amp;utm_term=NEW_Europe_1840_none_220925&amp;utm_content=saletructiep_Europe.M537.1840.giaotiep_PTATT_LD250&amp;utm_campaign=Europe.giaotiep.M537_16917_CVS_NamNH_220925" TargetMode="External"/><Relationship Id="rId1356" Type="http://schemas.openxmlformats.org/officeDocument/2006/relationships/hyperlink" Target="https://patadovietnam.edu.vn/gtjapan_nhn3" TargetMode="External"/><Relationship Id="rId2687" Type="http://schemas.openxmlformats.org/officeDocument/2006/relationships/hyperlink" Target="https://tinyurl.com/M551xM552US" TargetMode="External"/><Relationship Id="rId1357" Type="http://schemas.openxmlformats.org/officeDocument/2006/relationships/hyperlink" Target="https://patadovietnam.edu.vn/gtjapan_nhn3/?utm_source=Facebook&amp;utm_medium=CVS&amp;utm_term=NEW_Japan_1840_none_010524&amp;utm_content=saletructiep_Japan.PTHTKO.1840.giaotiep_PTATT_LD164&amp;utm_campaign=Japan.giaotiep.PTHTKO_16917_CVS_NamNH_010524" TargetMode="External"/><Relationship Id="rId2688" Type="http://schemas.openxmlformats.org/officeDocument/2006/relationships/hyperlink" Target="https://patadovietnam.edu.vn/tienganhgiaotiep_hn/" TargetMode="External"/><Relationship Id="rId1358" Type="http://schemas.openxmlformats.org/officeDocument/2006/relationships/hyperlink" Target="http://ldp.ink/PTHTKO_japan" TargetMode="External"/><Relationship Id="rId2689" Type="http://schemas.openxmlformats.org/officeDocument/2006/relationships/hyperlink" Target="https://patadovietnam.edu.vn/tienganhgiaotiep_hn/?utm_source=Facebook&amp;utm_medium=MES&amp;utm_term=NEW_Europe_1840_none_171025&amp;utm_content=saletructiep_Europe.M551xM552.1840.giaotiep_PTATT_LD153&amp;utm_campaign=Europe.giaotiep.M551xM552_16917_MES_NamNH_171025" TargetMode="External"/><Relationship Id="rId1359" Type="http://schemas.openxmlformats.org/officeDocument/2006/relationships/hyperlink" Target="https://patadovietnam.edu.vn/gtjapan_nhn3" TargetMode="External"/><Relationship Id="rId767" Type="http://schemas.openxmlformats.org/officeDocument/2006/relationships/hyperlink" Target="http://ldp.ink/note3_europe" TargetMode="External"/><Relationship Id="rId766" Type="http://schemas.openxmlformats.org/officeDocument/2006/relationships/hyperlink" Target="https://patadovietnam.edu.vn/tienganhgiaotiep_hn/?utm_source=Facebook&amp;utm_medium=CVS&amp;utm_term=NEW_Europe_1840_none_151123&amp;utm_content=saletructiep_Europe.anhnote3.1840.giaotiep_PTATT_LD153&amp;utm_campaign=Europe.giaotiep.anhnote3_16917_CVS_NamNH_151123" TargetMode="External"/><Relationship Id="rId765" Type="http://schemas.openxmlformats.org/officeDocument/2006/relationships/hyperlink" Target="https://patadovietnam.edu.vn/tienganhgiaotiep_hn/" TargetMode="External"/><Relationship Id="rId764" Type="http://schemas.openxmlformats.org/officeDocument/2006/relationships/hyperlink" Target="http://ldp.ink/anhTK_canada" TargetMode="External"/><Relationship Id="rId769" Type="http://schemas.openxmlformats.org/officeDocument/2006/relationships/hyperlink" Target="https://patadovietnam.edu.vn/tienganhgiaotiep_hn/?utm_source=Facebook&amp;utm_medium=MES&amp;utm_term=NEW_Taiwan_1840_none_171123&amp;utm_content=saletructiep_Taiwan.anhLKG.1840.giaotiep_PTATT_LD153&amp;utm_campaign=Taiwan.giaotiep.anhLKG_95360_MES_NamNH_171123" TargetMode="External"/><Relationship Id="rId768" Type="http://schemas.openxmlformats.org/officeDocument/2006/relationships/hyperlink" Target="https://patadovietnam.edu.vn/tienganhgiaotiep_hn/" TargetMode="External"/><Relationship Id="rId2680" Type="http://schemas.openxmlformats.org/officeDocument/2006/relationships/hyperlink" Target="https://patadovietnam.edu.vn/tienganhgiaotiep_hn/?utm_source=Facebook&amp;utm_medium=MES&amp;utm_term=NEW_ALL_1840_none_131025&amp;utm_content=saletructiep_ALL.M526xM536.1840.giaotiep_PTATT_LD153&amp;utm_campaign=ALL.giaotiep.M526xM536_16917_MES_NamNH_131025" TargetMode="External"/><Relationship Id="rId1350" Type="http://schemas.openxmlformats.org/officeDocument/2006/relationships/hyperlink" Target="https://patadovietnam.edu.vn/tienganhdoanhnghiep_hn" TargetMode="External"/><Relationship Id="rId2681" Type="http://schemas.openxmlformats.org/officeDocument/2006/relationships/hyperlink" Target="https://tinyurl.com/M526xM536ALLM" TargetMode="External"/><Relationship Id="rId1351" Type="http://schemas.openxmlformats.org/officeDocument/2006/relationships/hyperlink" Target="https://patadovietnam.edu.vn/tienganhdoanhnghiep_hn/?utm_source=Facebook&amp;utm_medium=CVS&amp;utm_term=NEW_Vietnam_3140_none_260424&amp;utm_content=saletructiep_Vietnam.MLBE1.3140.DoanhNghiep_PTATT_LD224&amp;utm_campaign=Vietnam.Doanhnghiep.MLBE1_95360_CVS_NamNH_260424" TargetMode="External"/><Relationship Id="rId2682" Type="http://schemas.openxmlformats.org/officeDocument/2006/relationships/hyperlink" Target="https://patadovietnam.edu.vn/tienganhgiaotiep_hn/" TargetMode="External"/><Relationship Id="rId763" Type="http://schemas.openxmlformats.org/officeDocument/2006/relationships/hyperlink" Target="https://patadovietnam.edu.vn/tienganhgiaotiep_hn/?utm_source=Facebook&amp;utm_medium=MES&amp;utm_term=NEW_Canada_1840_none_151123&amp;utm_content=saletructiep_Canada.anhTK.1840.giaotiep_PTATT_LD153&amp;utm_campaign=Canada.giaotiep.anhTK_95360_MES_NamNH_151123" TargetMode="External"/><Relationship Id="rId1352" Type="http://schemas.openxmlformats.org/officeDocument/2006/relationships/hyperlink" Target="http://ldp.ink/MLBE1_vnam" TargetMode="External"/><Relationship Id="rId2683" Type="http://schemas.openxmlformats.org/officeDocument/2006/relationships/hyperlink" Target="https://patadovietnam.edu.vn/tienganhgiaotiep_hn/?utm_source=Facebook&amp;utm_medium=MES&amp;utm_term=NEW_ALL_1840_none_131025&amp;utm_content=saletructiep_ALL.M537xM554.1840.giaotiep_PTATT_LD153&amp;utm_campaign=ALL.giaotiep.M537xM554_16917_MES_NamNH_131025" TargetMode="External"/><Relationship Id="rId762" Type="http://schemas.openxmlformats.org/officeDocument/2006/relationships/hyperlink" Target="https://patadovietnam.edu.vn/tienganhgiaotiep_hn/" TargetMode="External"/><Relationship Id="rId1353" Type="http://schemas.openxmlformats.org/officeDocument/2006/relationships/hyperlink" Target="https://patadovietnam.edu.vn/gtjapan_nhn3" TargetMode="External"/><Relationship Id="rId2684" Type="http://schemas.openxmlformats.org/officeDocument/2006/relationships/hyperlink" Target="https://tinyurl.com/M537xM554ALLm" TargetMode="External"/><Relationship Id="rId761" Type="http://schemas.openxmlformats.org/officeDocument/2006/relationships/hyperlink" Target="http://ldp.ink/anhTK_europe" TargetMode="External"/><Relationship Id="rId1354" Type="http://schemas.openxmlformats.org/officeDocument/2006/relationships/hyperlink" Target="https://patadovietnam.edu.vn/gtjapan_nhn3/?utm_source=Facebook&amp;utm_medium=CVS&amp;utm_term=NEW_Japan_1840_none_010524&amp;utm_content=saletructiep_Japan.PTKO2.1840.giaotiep_PTATT_LD164&amp;utm_campaign=Japan.giaotiep.PTKO2_16917_CVS_NamNH_010524" TargetMode="External"/><Relationship Id="rId2685" Type="http://schemas.openxmlformats.org/officeDocument/2006/relationships/hyperlink" Target="https://patadovietnam.edu.vn/gtusa1_nhn" TargetMode="External"/><Relationship Id="rId760" Type="http://schemas.openxmlformats.org/officeDocument/2006/relationships/hyperlink" Target="https://patadovietnam.edu.vn/tienganhgiaotiep_hn/?utm_source=Facebook&amp;utm_medium=CVS&amp;utm_term=NEW_Europe_1840_none_151123&amp;utm_content=saletructiep_Europe.anhTK.1840.giaotiep_PTATT_LD153&amp;utm_campaign=Europe.giaotiep.anhTK_16917_CVS_NamNH_151123" TargetMode="External"/><Relationship Id="rId1355" Type="http://schemas.openxmlformats.org/officeDocument/2006/relationships/hyperlink" Target="http://ldp.ink/PTKO2_japan" TargetMode="External"/><Relationship Id="rId2686" Type="http://schemas.openxmlformats.org/officeDocument/2006/relationships/hyperlink" Target="https://patadovietnam.edu.vn/gtusa1_nhn/?utm_source=Facebook&amp;utm_medium=MES&amp;utm_term=NEW_UnitedStates_2050_none_131025&amp;utm_content=saletructiep_UnitedStates.M551xM552.1840.giaotiep_PTATT_LD161&amp;utm_campaign=UnitedStates.giaotiep.M551xM552_16917_MES_NamNH_131025" TargetMode="External"/><Relationship Id="rId1345" Type="http://schemas.openxmlformats.org/officeDocument/2006/relationships/hyperlink" Target="https://patadovietnam.edu.vn/tienganhdoanhnghiep_hn/?utm_source=Facebook&amp;utm_medium=MES&amp;utm_term=NEW_Vietnam_2030_none_260424&amp;utm_content=saletructiep_Vietnam.UDBE1.2030.DoanhNghiep_PTATT_LD224&amp;utm_campaign=Vietnam.Doanhnghiep.UDBE1_16917_MES_NamNH_260424" TargetMode="External"/><Relationship Id="rId2676" Type="http://schemas.openxmlformats.org/officeDocument/2006/relationships/hyperlink" Target="https://patadovietnam.edu.vn/gtjapan_nhn3" TargetMode="External"/><Relationship Id="rId1346" Type="http://schemas.openxmlformats.org/officeDocument/2006/relationships/hyperlink" Target="http://ldp.ink/UDBE1_vn" TargetMode="External"/><Relationship Id="rId2677" Type="http://schemas.openxmlformats.org/officeDocument/2006/relationships/hyperlink" Target="https://patadovietnam.edu.vn/gtjapan_nhn3/?utm_source=Facebook&amp;utm_medium=CVS&amp;utm_term=NEW_Japan_1840_none_131025&amp;utm_content=saletructiep_Japan.M534xM536.1840.giaotiep_PTATT_LD164&amp;utm_campaign=Japan.giaotiep.M534xM536_16917_CVS_NamNH_131025" TargetMode="External"/><Relationship Id="rId1347" Type="http://schemas.openxmlformats.org/officeDocument/2006/relationships/hyperlink" Target="https://patadovietnam.edu.vn/tienganhdoanhnghiep_hn" TargetMode="External"/><Relationship Id="rId2678" Type="http://schemas.openxmlformats.org/officeDocument/2006/relationships/hyperlink" Target="https://tinyurl.com/M534xM536JPC" TargetMode="External"/><Relationship Id="rId1348" Type="http://schemas.openxmlformats.org/officeDocument/2006/relationships/hyperlink" Target="https://patadovietnam.edu.vn/tienganhdoanhnghiep_hn/?utm_source=Facebook&amp;utm_medium=CVS&amp;utm_term=NEW_Vietnam_2030_none_260424&amp;utm_content=saletructiep_Vietnam.MLBE.2030.DoanhNghiep_PTATT_LD224&amp;utm_campaign=Vietnam.Doanhnghiep.MLBE_95360_CVS_NamNH_260424" TargetMode="External"/><Relationship Id="rId2679" Type="http://schemas.openxmlformats.org/officeDocument/2006/relationships/hyperlink" Target="https://patadovietnam.edu.vn/tienganhgiaotiep_hn/" TargetMode="External"/><Relationship Id="rId1349" Type="http://schemas.openxmlformats.org/officeDocument/2006/relationships/hyperlink" Target="http://ldp.ink/MLBE_vnam" TargetMode="External"/><Relationship Id="rId756" Type="http://schemas.openxmlformats.org/officeDocument/2006/relationships/hyperlink" Target="https://patadovietnam.edu.vn/tienganhgiaotiep_hn/" TargetMode="External"/><Relationship Id="rId755" Type="http://schemas.openxmlformats.org/officeDocument/2006/relationships/hyperlink" Target="http://ldp.ink/anhtk_hanquoc" TargetMode="External"/><Relationship Id="rId754" Type="http://schemas.openxmlformats.org/officeDocument/2006/relationships/hyperlink" Target="https://patadovietnam.edu.vn/tienganhgiaotiep_hn/?utm_source=Facebook&amp;utm_medium=MES&amp;utm_term=NEW_KoreaSouth_1840_none_151123&amp;utm_content=saletructiep_KoreaSouth.anhTK1.1840.giaotiep_PTATT_LD153&amp;utm_campaign=KoreaSouth.giaotiep.anhTK1_95360_MES_NamNH_151123" TargetMode="External"/><Relationship Id="rId753" Type="http://schemas.openxmlformats.org/officeDocument/2006/relationships/hyperlink" Target="https://patadovietnam.edu.vn/tienganhgiaotiep_hn/" TargetMode="External"/><Relationship Id="rId759" Type="http://schemas.openxmlformats.org/officeDocument/2006/relationships/hyperlink" Target="https://patadovietnam.edu.vn/tienganhgiaotiep_hn/" TargetMode="External"/><Relationship Id="rId758" Type="http://schemas.openxmlformats.org/officeDocument/2006/relationships/hyperlink" Target="http://ldp.ink/anhtk_philippines" TargetMode="External"/><Relationship Id="rId757" Type="http://schemas.openxmlformats.org/officeDocument/2006/relationships/hyperlink" Target="https://patadovietnam.edu.vn/tienganhgiaotiep_hn/?utm_source=Facebook&amp;utm_medium=MES&amp;utm_term=NEW_Philippines_1840_none_151123&amp;utm_content=saletructiep_Philippines.anhTK1.1840.giaotiep_PTATT_LD153&amp;utm_campaign=Philippines.giaotiep.anhTK1_95360_MES_NamNH_151123" TargetMode="External"/><Relationship Id="rId2670" Type="http://schemas.openxmlformats.org/officeDocument/2006/relationships/hyperlink" Target="https://patadovietnam.edu.vn/gtjapan_nhn3" TargetMode="External"/><Relationship Id="rId1340" Type="http://schemas.openxmlformats.org/officeDocument/2006/relationships/hyperlink" Target="http://ldp.ink/MLBE1_vietnam" TargetMode="External"/><Relationship Id="rId2671" Type="http://schemas.openxmlformats.org/officeDocument/2006/relationships/hyperlink" Target="https://patadovietnam.edu.vn/gtjapan_nhn3/?utm_source=Facebook&amp;utm_medium=CVS&amp;utm_term=NEW_Japan_1840_none_131025&amp;utm_content=saletructiep_Japan.M549xM554.1840.giaotiep_PTATT_LD164&amp;utm_campaign=Japan.giaotiep.M549xM554_16917_CVS_NamNH_131025" TargetMode="External"/><Relationship Id="rId752" Type="http://schemas.openxmlformats.org/officeDocument/2006/relationships/hyperlink" Target="http://ldp.ink/anhtk_hoaky" TargetMode="External"/><Relationship Id="rId1341" Type="http://schemas.openxmlformats.org/officeDocument/2006/relationships/hyperlink" Target="https://patadovietnam.edu.vn/tienganhdoanhnghiep_hn" TargetMode="External"/><Relationship Id="rId2672" Type="http://schemas.openxmlformats.org/officeDocument/2006/relationships/hyperlink" Target="https://tinyurl.com/M549xM554JPC" TargetMode="External"/><Relationship Id="rId751" Type="http://schemas.openxmlformats.org/officeDocument/2006/relationships/hyperlink" Target="https://patadovietnam.edu.vn/gtusa1_nhn/?utm_source=Facebook&amp;utm_medium=MES&amp;utm_term=NEW_UnitedStates_1840_none_151123&amp;utm_content=saletructiep_UnitedStates.anhTK1.1840.giaotiep_PTATT_LD161&amp;utm_campaign=UnitedStates.giaotiep.anhTK1_16917_MES_NamNH_151123" TargetMode="External"/><Relationship Id="rId1342" Type="http://schemas.openxmlformats.org/officeDocument/2006/relationships/hyperlink" Target="https://patadovietnam.edu.vn/tienganhdoanhnghiep_hn/?utm_source=Facebook&amp;utm_medium=MES&amp;utm_term=NEW_Vietnam_3140_none_260424&amp;utm_content=saletructiep_Vietnam.UDBE.3140.DoanhNghiep_PTATT_LD224&amp;utm_campaign=Vietnam.Doanhnghiep.UDBE_16917_MES_NamNH_260424" TargetMode="External"/><Relationship Id="rId2673" Type="http://schemas.openxmlformats.org/officeDocument/2006/relationships/hyperlink" Target="https://patadovietnam.edu.vn/tienganhgiaotiep_hn/" TargetMode="External"/><Relationship Id="rId750" Type="http://schemas.openxmlformats.org/officeDocument/2006/relationships/hyperlink" Target="https://patadovietnam.edu.vn/gtusa1_nhn" TargetMode="External"/><Relationship Id="rId1343" Type="http://schemas.openxmlformats.org/officeDocument/2006/relationships/hyperlink" Target="http://ldp.ink/UDBE_vn" TargetMode="External"/><Relationship Id="rId2674" Type="http://schemas.openxmlformats.org/officeDocument/2006/relationships/hyperlink" Target="https://patadovietnam.edu.vn/tienganhgiaotiep_hn/?utm_source=Facebook&amp;utm_medium=CVS&amp;utm_term=NEW_Europe_1840_none_131025&amp;utm_content=saletructiep_Europe.M271.1840.giaotiep_PTATT_LD153&amp;utm_campaign=Europe.giaotiep.M271_16917_CVS_NamNH_131025" TargetMode="External"/><Relationship Id="rId1344" Type="http://schemas.openxmlformats.org/officeDocument/2006/relationships/hyperlink" Target="https://patadovietnam.edu.vn/tienganhdoanhnghiep_hn" TargetMode="External"/><Relationship Id="rId2675" Type="http://schemas.openxmlformats.org/officeDocument/2006/relationships/hyperlink" Target="https://tinyurl.com/M271EUCV" TargetMode="External"/><Relationship Id="rId2621" Type="http://schemas.openxmlformats.org/officeDocument/2006/relationships/hyperlink" Target="https://tinyurl.com/M523EU" TargetMode="External"/><Relationship Id="rId2622" Type="http://schemas.openxmlformats.org/officeDocument/2006/relationships/hyperlink" Target="https://patadovietnam.edu.vn/tienganhgiaotiep_hn/" TargetMode="External"/><Relationship Id="rId2623" Type="http://schemas.openxmlformats.org/officeDocument/2006/relationships/hyperlink" Target="https://patadovietnam.edu.vn/tienganhgiaotiep_hn/?utm_source=Facebook&amp;utm_medium=CVS&amp;utm_term=NEW_Japan_1840_none_040925&amp;utm_content=saletructiep_Japan.M523.1840.giaotiep_PTATT_LD153&amp;utm_campaign=Japan.giaotiep.M523_16917_CVS_NamNH_040925" TargetMode="External"/><Relationship Id="rId2624" Type="http://schemas.openxmlformats.org/officeDocument/2006/relationships/hyperlink" Target="https://tinyurl.com/M523japan" TargetMode="External"/><Relationship Id="rId2625" Type="http://schemas.openxmlformats.org/officeDocument/2006/relationships/hyperlink" Target="https://patadovietnam.edu.vn/gtusa1_nhn" TargetMode="External"/><Relationship Id="rId2626" Type="http://schemas.openxmlformats.org/officeDocument/2006/relationships/hyperlink" Target="https://patadovietnam.edu.vn/gtusa1_nhn/?utm_source=Facebook&amp;utm_medium=MES&amp;utm_term=NEW_UnitedStates_2050_none_080925&amp;utm_content=saletructiep_UnitedStates.M523.1840.giaotiep_PTATT_LD161&amp;utm_campaign=UnitedStates.giaotiep.M523_16917_MES_NamNH_080925" TargetMode="External"/><Relationship Id="rId2627" Type="http://schemas.openxmlformats.org/officeDocument/2006/relationships/hyperlink" Target="https://tinyurl.com/M523hoaky" TargetMode="External"/><Relationship Id="rId2628" Type="http://schemas.openxmlformats.org/officeDocument/2006/relationships/hyperlink" Target="https://patadovietnam.edu.vn/gtnhn_198" TargetMode="External"/><Relationship Id="rId709" Type="http://schemas.openxmlformats.org/officeDocument/2006/relationships/hyperlink" Target="https://patadovietnam.edu.vn/tienganhgiaotiep_hn/?utm_source=Facebook&amp;utm_medium=MES&amp;utm_term=NEW_Australia_1840_none_081123&amp;utm_content=saletructiep_Australia.M48C20.1840.giaotiep_PTATT_LD153&amp;utm_campaign=Australia.giaotiep.M48C20_95360_MES_NamNH_081123" TargetMode="External"/><Relationship Id="rId2629" Type="http://schemas.openxmlformats.org/officeDocument/2006/relationships/hyperlink" Target="https://patadovietnam.edu.vn/gtnhn_198/?utm_source=Facebook&amp;utm_medium=CVS&amp;utm_term=NEW_Europe_1840_none_100925&amp;utm_content=saletructiep_Europe.M236xJHxanhnote.1840.giaotiep_PTATT_LD248&amp;utm_campaign=Europe.giaotiep.M236xJHxanhnote_16917_CVS_NamNH_100925" TargetMode="External"/><Relationship Id="rId708" Type="http://schemas.openxmlformats.org/officeDocument/2006/relationships/hyperlink" Target="https://patadovietnam.edu.vn/tienganhgiaotiep_hn/" TargetMode="External"/><Relationship Id="rId707" Type="http://schemas.openxmlformats.org/officeDocument/2006/relationships/hyperlink" Target="http://ldp.ink/tbml_philippines" TargetMode="External"/><Relationship Id="rId706" Type="http://schemas.openxmlformats.org/officeDocument/2006/relationships/hyperlink" Target="https://patadovietnam.edu.vn/tienganhgiaotiep_hn/?utm_source=Facebook&amp;utm_medium=MES&amp;utm_term=NEW_Philippines_1840_none_081123&amp;utm_content=saletructiep_Philippines.M48C20.1840.giaotiep_PTATT_LD153&amp;utm_campaign=Philippines.giaotiep.M48C20_95360_MES_NamNH_081123" TargetMode="External"/><Relationship Id="rId701" Type="http://schemas.openxmlformats.org/officeDocument/2006/relationships/hyperlink" Target="http://ldp.ink/tbml_dailoan" TargetMode="External"/><Relationship Id="rId700" Type="http://schemas.openxmlformats.org/officeDocument/2006/relationships/hyperlink" Target="https://patadovietnam.edu.vn/tienganhgiaotiep_hn/?utm_source=Facebook&amp;utm_medium=MES&amp;utm_term=NEW_Taiwan_1840_none_091123&amp;utm_content=saletructiep_Taiwan.M48C20.1840.giaotiep_PTATT_LD153&amp;utm_campaign=Taiwan.giaotiep.M48C20_95360_MES_NamNH_091123" TargetMode="External"/><Relationship Id="rId705" Type="http://schemas.openxmlformats.org/officeDocument/2006/relationships/hyperlink" Target="https://patadovietnam.edu.vn/tienganhgiaotiep_hn/" TargetMode="External"/><Relationship Id="rId704" Type="http://schemas.openxmlformats.org/officeDocument/2006/relationships/hyperlink" Target="http://ldp.ink/tbml_hanquoc" TargetMode="External"/><Relationship Id="rId703" Type="http://schemas.openxmlformats.org/officeDocument/2006/relationships/hyperlink" Target="https://patadovietnam.edu.vn/tienganhgiaotiep_hn/?utm_source=Facebook&amp;utm_medium=MES&amp;utm_term=NEW_KoreaSouth_1840_none_081123&amp;utm_content=saletructiep_KoreaSouth.M48C20.1840.giaotiep_PTATT_LD153&amp;utm_campaign=KoreaSouth.giaotiep.M48C20_95360_MES_NamNH_081123" TargetMode="External"/><Relationship Id="rId702" Type="http://schemas.openxmlformats.org/officeDocument/2006/relationships/hyperlink" Target="https://patadovietnam.edu.vn/tienganhgiaotiep_hn/" TargetMode="External"/><Relationship Id="rId2620" Type="http://schemas.openxmlformats.org/officeDocument/2006/relationships/hyperlink" Target="https://patadovietnam.edu.vn/tienganhgiaotiep_hn/?utm_source=Facebook&amp;utm_medium=CVS&amp;utm_term=NEW_Europe_1840_none_030925&amp;utm_content=saletructiep_Europe.M523.1840.giaotiep_PTATT_LD153&amp;utm_campaign=Europe.giaotiep.M523_16917_CVS_NamNH_030925" TargetMode="External"/><Relationship Id="rId2610" Type="http://schemas.openxmlformats.org/officeDocument/2006/relationships/hyperlink" Target="https://patadovietnam.edu.vn/tienganhgiaotiep_hn/" TargetMode="External"/><Relationship Id="rId2611" Type="http://schemas.openxmlformats.org/officeDocument/2006/relationships/hyperlink" Target="https://patadovietnam.edu.vn/tienganhgiaotiep_hn/?utm_source=Facebook&amp;utm_medium=MES&amp;utm_term=NEW_ALL_1840_none_150825&amp;utm_content=saletructiep_ALL.M508xM509.1840.giaotiep_PTATT_LD153&amp;utm_campaign=ALL.kids.M508xM509_16917_MES_NamNH_150825" TargetMode="External"/><Relationship Id="rId2612" Type="http://schemas.openxmlformats.org/officeDocument/2006/relationships/hyperlink" Target="https://tinyurl.com/M508xM509all" TargetMode="External"/><Relationship Id="rId2613" Type="http://schemas.openxmlformats.org/officeDocument/2006/relationships/hyperlink" Target="https://patadovietnam.edu.vn/tienganhgiaotiep_hn/" TargetMode="External"/><Relationship Id="rId2614" Type="http://schemas.openxmlformats.org/officeDocument/2006/relationships/hyperlink" Target="https://patadovietnam.edu.vn/tienganhgiaotiep_hn/?utm_source=Facebook&amp;utm_medium=CVS&amp;utm_term=NEW_Europe_1840_none_030925&amp;utm_content=saletructiep_Europe.M526.1840.giaotiep_PTATT_LD153&amp;utm_campaign=Europe.giaotiep.M526_16917_CVS_NamNH_030925" TargetMode="External"/><Relationship Id="rId2615" Type="http://schemas.openxmlformats.org/officeDocument/2006/relationships/hyperlink" Target="https://tinyurl.com/M526ChauAU" TargetMode="External"/><Relationship Id="rId2616" Type="http://schemas.openxmlformats.org/officeDocument/2006/relationships/hyperlink" Target="https://patadovietnam.edu.vn/tienganhgiaotiep_hn/" TargetMode="External"/><Relationship Id="rId2617" Type="http://schemas.openxmlformats.org/officeDocument/2006/relationships/hyperlink" Target="https://patadovietnam.edu.vn/tienganhgiaotiep_hn/?utm_source=Facebook&amp;utm_medium=CVS&amp;utm_term=NEW_Japan_1840_none_030925&amp;utm_content=saletructiep_Japan.M526.1840.giaotiep_PTATT_LD153&amp;utm_campaign=Japan.giaotiep.M526_16917_CVS_NamNH_030925" TargetMode="External"/><Relationship Id="rId2618" Type="http://schemas.openxmlformats.org/officeDocument/2006/relationships/hyperlink" Target="https://tinyurl.com/M526japan" TargetMode="External"/><Relationship Id="rId2619" Type="http://schemas.openxmlformats.org/officeDocument/2006/relationships/hyperlink" Target="https://patadovietnam.edu.vn/tienganhgiaotiep_hn/" TargetMode="External"/><Relationship Id="rId1312" Type="http://schemas.openxmlformats.org/officeDocument/2006/relationships/hyperlink" Target="https://patadovietnam.edu.vn/tienganhdoanhnghiep_hn/?utm_source=Facebook&amp;utm_medium=MES&amp;utm_term=NEW_Vietnam_1840_none_170424&amp;utm_content=saletructiep_Vietnam.HTKOC2.1836.DoanhNghiep_PTATT_LD224&amp;utm_campaign=Vietnam.DoanhNghiep.HTKOC2_95360_MES_NamNH_170424" TargetMode="External"/><Relationship Id="rId2643" Type="http://schemas.openxmlformats.org/officeDocument/2006/relationships/hyperlink" Target="https://patadovietnam.edu.vn/tienganhgiaotiep_hn/" TargetMode="External"/><Relationship Id="rId1313" Type="http://schemas.openxmlformats.org/officeDocument/2006/relationships/hyperlink" Target="http://ldp.ink/HTKOC2_vietnam" TargetMode="External"/><Relationship Id="rId2644" Type="http://schemas.openxmlformats.org/officeDocument/2006/relationships/hyperlink" Target="https://patadovietnam.edu.vn/tienganhgiaotiep_hn/?utm_source=Facebook&amp;utm_medium=MES&amp;utm_term=NEW_Europe_1840_none_190925&amp;utm_content=saletructiep_Europe.M537.1840.giaotiep_PTATT_LD153&amp;utm_campaign=Europe.giaotiep.M537_16917_MES_NamNH_190925" TargetMode="External"/><Relationship Id="rId1314" Type="http://schemas.openxmlformats.org/officeDocument/2006/relationships/hyperlink" Target="https://patadovietnam.edu.vn/tienganhdoanhnghiep_hn" TargetMode="External"/><Relationship Id="rId2645" Type="http://schemas.openxmlformats.org/officeDocument/2006/relationships/hyperlink" Target="https://tinyurl.com/M537EUM" TargetMode="External"/><Relationship Id="rId1315" Type="http://schemas.openxmlformats.org/officeDocument/2006/relationships/hyperlink" Target="https://patadovietnam.edu.vn/tienganhdoanhnghiep_hn/?utm_source=Facebook&amp;utm_medium=MES&amp;utm_term=NEW_HCM_1840_none_170424&amp;utm_content=saletructiep_HCM.HTKOC2.1836.DoanhNghiep_PTATT_LD224&amp;utm_campaign=HCM.DoanhNghiep.HTKOC2_95360_MES_NamNH_170424" TargetMode="External"/><Relationship Id="rId2646" Type="http://schemas.openxmlformats.org/officeDocument/2006/relationships/hyperlink" Target="https://patadovietnam.edu.vn/tienganhgiaotiep_hn/" TargetMode="External"/><Relationship Id="rId1316" Type="http://schemas.openxmlformats.org/officeDocument/2006/relationships/hyperlink" Target="http://ldp.ink/HTKOC2_HCM" TargetMode="External"/><Relationship Id="rId2647" Type="http://schemas.openxmlformats.org/officeDocument/2006/relationships/hyperlink" Target="https://patadovietnam.edu.vn/tienganhgiaotiep_hn/?utm_source=Facebook&amp;utm_medium=MES&amp;utm_term=NEW_ALL_1840_none_190925&amp;utm_content=saletructiep_ALL.M527xM534.1840.giaotiep_PTATT_LD153&amp;utm_campaign=ALL.giaotiep.M527xM534_16917_MES_NamNH_190925" TargetMode="External"/><Relationship Id="rId1317" Type="http://schemas.openxmlformats.org/officeDocument/2006/relationships/hyperlink" Target="https://patadovietnam.edu.vn/gtjapan_nhn3" TargetMode="External"/><Relationship Id="rId2648" Type="http://schemas.openxmlformats.org/officeDocument/2006/relationships/hyperlink" Target="https://tinyurl.com/M527xM534ALL" TargetMode="External"/><Relationship Id="rId1318" Type="http://schemas.openxmlformats.org/officeDocument/2006/relationships/hyperlink" Target="https://patadovietnam.edu.vn/gtjapan_nhn3/?utm_source=Facebook&amp;utm_medium=CVS&amp;utm_term=NEW_Japan_1840_none_220424&amp;utm_content=saletructiep_Japan.HTKOC2.1840.giaotiep_PTATT_LD164&amp;utm_campaign=Japan.giaotiep.HTKOC2_16917_CVS_NamNH_220424" TargetMode="External"/><Relationship Id="rId2649" Type="http://schemas.openxmlformats.org/officeDocument/2006/relationships/hyperlink" Target="https://patadovietnam.edu.vn/gtnhn220925" TargetMode="External"/><Relationship Id="rId1319" Type="http://schemas.openxmlformats.org/officeDocument/2006/relationships/hyperlink" Target="http://ldp.ink/HTKOC2_japan" TargetMode="External"/><Relationship Id="rId729" Type="http://schemas.openxmlformats.org/officeDocument/2006/relationships/hyperlink" Target="https://patadovietnam.edu.vn/gtjapan_nhn3" TargetMode="External"/><Relationship Id="rId728" Type="http://schemas.openxmlformats.org/officeDocument/2006/relationships/hyperlink" Target="http://ldp.ink/tnvb_europe" TargetMode="External"/><Relationship Id="rId723" Type="http://schemas.openxmlformats.org/officeDocument/2006/relationships/hyperlink" Target="https://patadovietnam.edu.vn/gtusa1_nhn" TargetMode="External"/><Relationship Id="rId722" Type="http://schemas.openxmlformats.org/officeDocument/2006/relationships/hyperlink" Target="http://ldp.ink/tnvb_hanquoc" TargetMode="External"/><Relationship Id="rId721" Type="http://schemas.openxmlformats.org/officeDocument/2006/relationships/hyperlink" Target="https://patadovietnam.edu.vn/tienganhgiaotiep_hn/?utm_source=Facebook&amp;utm_medium=MES&amp;utm_term=NEW_KoreaSouth_1840_none_081123&amp;utm_content=saletructiep_KoreaSouth.tnvb.1840.giaotiep_PTATTTD_LD153&amp;utm_campaign=KoreaSouth.giaotiep.tnvb_95360_CVS_NamNH_081123" TargetMode="External"/><Relationship Id="rId720" Type="http://schemas.openxmlformats.org/officeDocument/2006/relationships/hyperlink" Target="https://patadovietnam.edu.vn/tienganhgiaotiep_hn/" TargetMode="External"/><Relationship Id="rId727" Type="http://schemas.openxmlformats.org/officeDocument/2006/relationships/hyperlink" Target="https://patadovietnam.edu.vn/tienganhgiaotiep_hn/?utm_source=Facebook&amp;utm_medium=CVS&amp;utm_term=NEW_Europe_1840_none_081123&amp;utm_content=saletructiep_Europe.tnvb.1840.giaotiep_PTATTTD_LD153&amp;utm_campaign=Europe.giaotiep.tnvb_16917_CVS_NamNH_081123" TargetMode="External"/><Relationship Id="rId726" Type="http://schemas.openxmlformats.org/officeDocument/2006/relationships/hyperlink" Target="https://patadovietnam.edu.vn/tienganhgiaotiep_hn/" TargetMode="External"/><Relationship Id="rId725" Type="http://schemas.openxmlformats.org/officeDocument/2006/relationships/hyperlink" Target="http://ldp.ink/tnvb_hoaky" TargetMode="External"/><Relationship Id="rId724" Type="http://schemas.openxmlformats.org/officeDocument/2006/relationships/hyperlink" Target="https://patadovietnam.edu.vn/gtusa1_nhn/?utm_source=Facebook&amp;utm_medium=MES&amp;utm_term=NEW_UnitedStates_1840_none_081123&amp;utm_content=saletructiep_UnitedStates.tnvb.1840.giaotiep_PTATT_LD161&amp;utm_campaign=UnitedStates.giaotiep.tnvb_16917_MES_NamNH_081123" TargetMode="External"/><Relationship Id="rId2640" Type="http://schemas.openxmlformats.org/officeDocument/2006/relationships/hyperlink" Target="https://patadovietnam.edu.vn/tienganhgiaotiep_hn/" TargetMode="External"/><Relationship Id="rId1310" Type="http://schemas.openxmlformats.org/officeDocument/2006/relationships/hyperlink" Target="http://ldp.ink/BDB_canada" TargetMode="External"/><Relationship Id="rId2641" Type="http://schemas.openxmlformats.org/officeDocument/2006/relationships/hyperlink" Target="https://patadovietnam.edu.vn/tienganhgiaotiep_hn/?utm_source=Facebook&amp;utm_medium=MES&amp;utm_term=NEW_Europe_1840_none_190925&amp;utm_content=saletructiep_Europe.M526.1840.giaotiep_PTATT_LD153&amp;utm_campaign=Europe.giaotiep.M526_16917_MES_NamNH_190925" TargetMode="External"/><Relationship Id="rId1311" Type="http://schemas.openxmlformats.org/officeDocument/2006/relationships/hyperlink" Target="https://patadovietnam.edu.vn/tienganhdoanhnghiep_hn" TargetMode="External"/><Relationship Id="rId2642" Type="http://schemas.openxmlformats.org/officeDocument/2006/relationships/hyperlink" Target="https://tinyurl.com/M526EUME" TargetMode="External"/><Relationship Id="rId1301" Type="http://schemas.openxmlformats.org/officeDocument/2006/relationships/hyperlink" Target="http://ldp.ink/BDB_europe" TargetMode="External"/><Relationship Id="rId2632" Type="http://schemas.openxmlformats.org/officeDocument/2006/relationships/hyperlink" Target="https://patadovietnam.edu.vn/gtnhn_198/?utm_source=Facebook&amp;utm_medium=CVS&amp;utm_term=NEW_Europe_1840_none_100925&amp;utm_content=saletructiep_Europe.molopchauau.1840.giaotiep_PTATT_LD248&amp;utm_campaign=Europe.giaotiep.molopchauau_16917_CVS_NamNH_100925" TargetMode="External"/><Relationship Id="rId1302" Type="http://schemas.openxmlformats.org/officeDocument/2006/relationships/hyperlink" Target="https://patadovietnam.edu.vn/gtjapan_nhn3" TargetMode="External"/><Relationship Id="rId2633" Type="http://schemas.openxmlformats.org/officeDocument/2006/relationships/hyperlink" Target="https://tinyurl.com/MLEUCVS" TargetMode="External"/><Relationship Id="rId1303" Type="http://schemas.openxmlformats.org/officeDocument/2006/relationships/hyperlink" Target="https://patadovietnam.edu.vn/gtjapan_nhn3/?utm_source=Facebook&amp;utm_medium=CVS&amp;utm_term=NEW_Japan_1840_none_150424&amp;utm_content=saletructiep_Japan.BDB.1840.giaotiep_PTATT_LD164&amp;utm_campaign=Japan.giaotiep.BDB_16917_CVS_NamNH_150424" TargetMode="External"/><Relationship Id="rId2634" Type="http://schemas.openxmlformats.org/officeDocument/2006/relationships/hyperlink" Target="https://patadovietnam.edu.vn/gtnhn_198" TargetMode="External"/><Relationship Id="rId1304" Type="http://schemas.openxmlformats.org/officeDocument/2006/relationships/hyperlink" Target="http://ldp.ink/BDB_japan" TargetMode="External"/><Relationship Id="rId2635" Type="http://schemas.openxmlformats.org/officeDocument/2006/relationships/hyperlink" Target="https://patadovietnam.edu.vn/gtnhn_198/?utm_source=Facebook&amp;utm_medium=CVS&amp;utm_term=NEW_Japan_1840_none_100925&amp;utm_content=saletructiep_Japan.anhltxanhnote.1840.giaotiep_PTATT_LD248&amp;utm_campaign=Japan.giaotiep.anhltxanhnote_16917_CVS_NamNH_100925" TargetMode="External"/><Relationship Id="rId1305" Type="http://schemas.openxmlformats.org/officeDocument/2006/relationships/hyperlink" Target="https://patadovietnam.edu.vn/tienganhgiaotiep_hn/" TargetMode="External"/><Relationship Id="rId2636" Type="http://schemas.openxmlformats.org/officeDocument/2006/relationships/hyperlink" Target="https://tinyurl.com/ALTxANCVS" TargetMode="External"/><Relationship Id="rId1306" Type="http://schemas.openxmlformats.org/officeDocument/2006/relationships/hyperlink" Target="https://patadovietnam.edu.vn/tienganhgiaotiep_hn/?utm_source=Facebook&amp;utm_medium=MES&amp;utm_term=NEW_Australia_1840_none_150424&amp;utm_content=saletructiep_Australia.BDB.1840.giaotiep_PTATT_LD153&amp;utm_campaign=Australia.giaotiep.BDB_95360_MES_NamNH_150424" TargetMode="External"/><Relationship Id="rId2637" Type="http://schemas.openxmlformats.org/officeDocument/2006/relationships/hyperlink" Target="https://patadovietnam.edu.vn/tienganhgiaotiep_hn/" TargetMode="External"/><Relationship Id="rId1307" Type="http://schemas.openxmlformats.org/officeDocument/2006/relationships/hyperlink" Target="http://ldp.ink/BDB_australia" TargetMode="External"/><Relationship Id="rId2638" Type="http://schemas.openxmlformats.org/officeDocument/2006/relationships/hyperlink" Target="https://patadovietnam.edu.vn/tienganhgiaotiep_hn/?utm_source=Facebook&amp;utm_medium=CVS&amp;utm_term=NEW_Europe_1840_none_100925&amp;utm_content=saletructiep_Europe.M269.1840.giaotiep_PTATT_LD153&amp;utm_campaign=Europe.giaotiep.M269_16917_CVS_NamNH_100925" TargetMode="External"/><Relationship Id="rId1308" Type="http://schemas.openxmlformats.org/officeDocument/2006/relationships/hyperlink" Target="https://patadovietnam.edu.vn/tienganhgiaotiep_hn/" TargetMode="External"/><Relationship Id="rId2639" Type="http://schemas.openxmlformats.org/officeDocument/2006/relationships/hyperlink" Target="https://tinyurl.com/M269159EU" TargetMode="External"/><Relationship Id="rId1309" Type="http://schemas.openxmlformats.org/officeDocument/2006/relationships/hyperlink" Target="https://patadovietnam.edu.vn/tienganhgiaotiep_hn/?utm_source=Facebook&amp;utm_medium=MES&amp;utm_term=NEW_Canada_1840_none_150424&amp;utm_content=saletructiep_Canada.BDB.1840.giaotiep_PTATT_LD153&amp;utm_campaign=Canada.giaotiep.BDB_95360_MES_NamNH_150424" TargetMode="External"/><Relationship Id="rId719" Type="http://schemas.openxmlformats.org/officeDocument/2006/relationships/hyperlink" Target="http://ldp.ink/tnvb_taiwan" TargetMode="External"/><Relationship Id="rId718" Type="http://schemas.openxmlformats.org/officeDocument/2006/relationships/hyperlink" Target="https://patadovietnam.edu.vn/tienganhgiaotiep_hn/?utm_source=Facebook&amp;utm_medium=MES&amp;utm_term=NEW_Taiwan_1840_none_081123&amp;utm_content=saletructiep_Taiwan.tnvb.1840.giaotiep_PTATTTD_LD153&amp;utm_campaign=Taiwan.giaotiep.tnvb_95360_MES_NamNH_081123" TargetMode="External"/><Relationship Id="rId717" Type="http://schemas.openxmlformats.org/officeDocument/2006/relationships/hyperlink" Target="https://patadovietnam.edu.vn/tienganhgiaotiep_hn/" TargetMode="External"/><Relationship Id="rId712" Type="http://schemas.openxmlformats.org/officeDocument/2006/relationships/hyperlink" Target="https://patadovietnam.edu.vn/gtusa1_nhn/?utm_source=Facebook&amp;utm_medium=MES&amp;utm_term=NEW_UnitedStates_1840_none_081123&amp;utm_content=saletructiep_UnitedStates.M48C20.1840.giaotiep_PTATTTD_LD161&amp;utm_campaign=UnitedStates.giaotiep.M48C20_16917_MES_NamNH_081123" TargetMode="External"/><Relationship Id="rId711" Type="http://schemas.openxmlformats.org/officeDocument/2006/relationships/hyperlink" Target="https://patadovietnam.edu.vn/gtusa1_nhn" TargetMode="External"/><Relationship Id="rId710" Type="http://schemas.openxmlformats.org/officeDocument/2006/relationships/hyperlink" Target="http://ldp.ink/tbml_australia" TargetMode="External"/><Relationship Id="rId716" Type="http://schemas.openxmlformats.org/officeDocument/2006/relationships/hyperlink" Target="http://ldp.ink/tnvb_japan" TargetMode="External"/><Relationship Id="rId715" Type="http://schemas.openxmlformats.org/officeDocument/2006/relationships/hyperlink" Target="https://patadovietnam.edu.vn/gtjapan_nhn3/?utm_source=Facebook&amp;utm_medium=CVS&amp;utm_term=NEW_Japan_1840_none_081123&amp;utm_content=saletructiep_Japan.tnvb.1840.giaotiep_PTATT_LD164&amp;utm_campaign=Japan.giaotiep.tnvb_16917_CVS_NamNH_081123" TargetMode="External"/><Relationship Id="rId714" Type="http://schemas.openxmlformats.org/officeDocument/2006/relationships/hyperlink" Target="https://patadovietnam.edu.vn/gtjapan_nhn3" TargetMode="External"/><Relationship Id="rId713" Type="http://schemas.openxmlformats.org/officeDocument/2006/relationships/hyperlink" Target="http://ldp.ink/tbml_hoaky" TargetMode="External"/><Relationship Id="rId2630" Type="http://schemas.openxmlformats.org/officeDocument/2006/relationships/hyperlink" Target="https://tinyurl.com/M236EUCVS" TargetMode="External"/><Relationship Id="rId1300" Type="http://schemas.openxmlformats.org/officeDocument/2006/relationships/hyperlink" Target="https://patadovietnam.edu.vn/tienganhgiaotiep_hn/?utm_source=Facebook&amp;utm_medium=CVS&amp;utm_term=NEW_Europe_1840_none_150424&amp;utm_content=saletructiep_Europe.BDB.1840.giaotiep_PTATT_LD153&amp;utm_campaign=Europe.giaotiep.BDB_16917_CVS_NamNH_150424" TargetMode="External"/><Relationship Id="rId2631" Type="http://schemas.openxmlformats.org/officeDocument/2006/relationships/hyperlink" Target="https://patadovietnam.edu.vn/gtnhn_198" TargetMode="External"/><Relationship Id="rId3117" Type="http://schemas.openxmlformats.org/officeDocument/2006/relationships/hyperlink" Target="https://patado.edu.vn/tienganhgiaotiep1_hn/?utm_source=Facebook&amp;utm_medium=CVS&amp;utm_term=NEW_Europe_1840_none_120626&amp;utm_content=saletructiep_Europe.M692.1840.giaotiep_PTATT_LD267&amp;utm_campaign=Europe.giaotiep.M692xM693_16917_CVS_NamNH_120626" TargetMode="External"/><Relationship Id="rId3116" Type="http://schemas.openxmlformats.org/officeDocument/2006/relationships/hyperlink" Target="https://patado.edu.vn/tienganhgiaotiep1_hn/" TargetMode="External"/><Relationship Id="rId3119" Type="http://schemas.openxmlformats.org/officeDocument/2006/relationships/hyperlink" Target="https://patado.edu.vn/tienganhgiaotiep1_hn/" TargetMode="External"/><Relationship Id="rId3118" Type="http://schemas.openxmlformats.org/officeDocument/2006/relationships/hyperlink" Target="https://tinyurl.com/M692xM693EUC" TargetMode="External"/><Relationship Id="rId3111" Type="http://schemas.openxmlformats.org/officeDocument/2006/relationships/hyperlink" Target="https://patado.edu.vn/ptd_hongtt/?utm_source=Facebook&amp;utm_medium=MES&amp;utm_term=NEW_ALL_1840_none_090626&amp;utm_content=saletructiep_ALL.M677.1840.giaotiep_PTATT_LD284&amp;utm_campaign=ALL.giaotiep.M677xM678_16917_MES_NamNH_090626" TargetMode="External"/><Relationship Id="rId3110" Type="http://schemas.openxmlformats.org/officeDocument/2006/relationships/hyperlink" Target="https://patado.edu.vn/ptd_hongtt/" TargetMode="External"/><Relationship Id="rId3113" Type="http://schemas.openxmlformats.org/officeDocument/2006/relationships/hyperlink" Target="https://patado.edu.vn/nhn_jp0106" TargetMode="External"/><Relationship Id="rId3112" Type="http://schemas.openxmlformats.org/officeDocument/2006/relationships/hyperlink" Target="https://tinyurl.com/M677ALLM" TargetMode="External"/><Relationship Id="rId3115" Type="http://schemas.openxmlformats.org/officeDocument/2006/relationships/hyperlink" Target="https://tinyurl.com/M704xJPC" TargetMode="External"/><Relationship Id="rId3114" Type="http://schemas.openxmlformats.org/officeDocument/2006/relationships/hyperlink" Target="https://patado.edu.vn/nhn_jp0106/?utm_source=Facebook&amp;utm_medium=CVS&amp;utm_term=NEW_Japan_1840_none_120626&amp;utm_content=saletructiep_Japan.M704.1840.giaotiep_PTATT_LD282&amp;utm_campaign=Japan.giaotiep.M704xM707_16917_CVS_NamNH_120626" TargetMode="External"/><Relationship Id="rId3106" Type="http://schemas.openxmlformats.org/officeDocument/2006/relationships/hyperlink" Target="https://tinyurl.com/M407xJPC" TargetMode="External"/><Relationship Id="rId3105" Type="http://schemas.openxmlformats.org/officeDocument/2006/relationships/hyperlink" Target="https://patado.edu.vn/ptd_hongtt/?utm_source=Facebook&amp;utm_medium=CVS&amp;utm_term=NEW_Japan_1840_none_090626&amp;utm_content=saletructiep_Japan.M704.1840.giaotiep_PTATT_LD284&amp;utm_campaign=Japan.giaotiep.M704xM707_16917_CVS_NamNH_090626" TargetMode="External"/><Relationship Id="rId3108" Type="http://schemas.openxmlformats.org/officeDocument/2006/relationships/hyperlink" Target="https://patado.edu.vn/nhn_jp0106/?utm_source=Facebook&amp;utm_medium=CVS&amp;utm_term=NEW_Japan_1840_none_090626&amp;utm_content=saletructiep_Japan.M677.1840.giaotiep_PTATT_LD282&amp;utm_campaign=Japan.giaotiep.M677xM678_16917_CVS_NamNH_090626" TargetMode="External"/><Relationship Id="rId3107" Type="http://schemas.openxmlformats.org/officeDocument/2006/relationships/hyperlink" Target="https://patado.edu.vn/nhn_jp0106" TargetMode="External"/><Relationship Id="rId3109" Type="http://schemas.openxmlformats.org/officeDocument/2006/relationships/hyperlink" Target="https://tinyurl.com/M677xJPC" TargetMode="External"/><Relationship Id="rId3100" Type="http://schemas.openxmlformats.org/officeDocument/2006/relationships/hyperlink" Target="https://tinyurl.com/M704xEUC" TargetMode="External"/><Relationship Id="rId3102" Type="http://schemas.openxmlformats.org/officeDocument/2006/relationships/hyperlink" Target="https://patado.edu.vn/ptd_hongtt/?utm_source=Facebook&amp;utm_medium=CVS&amp;utm_term=NEW_Japan_1840_none_090626&amp;utm_content=saletructiep_Japan.M701.1840.giaotiep_PTATT_LD284&amp;utm_campaign=Japan.giaotiep.M701xM702_16917_CVS_NamNH_090626" TargetMode="External"/><Relationship Id="rId3101" Type="http://schemas.openxmlformats.org/officeDocument/2006/relationships/hyperlink" Target="https://patado.edu.vn/ptd_hongtt/" TargetMode="External"/><Relationship Id="rId3104" Type="http://schemas.openxmlformats.org/officeDocument/2006/relationships/hyperlink" Target="https://patado.edu.vn/ptd_hongtt/" TargetMode="External"/><Relationship Id="rId3103" Type="http://schemas.openxmlformats.org/officeDocument/2006/relationships/hyperlink" Target="https://tinyurl.com/M701xJPC" TargetMode="External"/><Relationship Id="rId3139" Type="http://schemas.openxmlformats.org/officeDocument/2006/relationships/hyperlink" Target="https://tinyurl.com/M717xM720EUC" TargetMode="External"/><Relationship Id="rId3138" Type="http://schemas.openxmlformats.org/officeDocument/2006/relationships/hyperlink" Target="https://patado.edu.vn/ptd_hongtt/?utm_source=Facebook&amp;utm_medium=CVS&amp;utm_term=NEW_Europe_1840_none_170626&amp;utm_content=saletructiep_Europe.M717.1840.giaotiep_PTATT_LD284&amp;utm_campaign=Europe.giaotiep.M717xM720_16917_CVS_NamNH_170626" TargetMode="External"/><Relationship Id="rId3131" Type="http://schemas.openxmlformats.org/officeDocument/2006/relationships/hyperlink" Target="https://patado.edu.vn/ptd_hongtt/" TargetMode="External"/><Relationship Id="rId3130" Type="http://schemas.openxmlformats.org/officeDocument/2006/relationships/hyperlink" Target="https://tinyurl.com/M708xM712ALLM" TargetMode="External"/><Relationship Id="rId3133" Type="http://schemas.openxmlformats.org/officeDocument/2006/relationships/hyperlink" Target="https://tinyurl.com/M692xEUC" TargetMode="External"/><Relationship Id="rId3132" Type="http://schemas.openxmlformats.org/officeDocument/2006/relationships/hyperlink" Target="https://patado.edu.vn/ptd_hongtt/?utm_source=Facebook&amp;utm_medium=CVS&amp;utm_term=NEW_Europe_1840_none_160626&amp;utm_content=saletructiep_Europe.M692.1840.giaotiep_PTATT_LD284&amp;utm_campaign=Europe.giaotiep.M692xM693_16917_CVS_NamNH_160626" TargetMode="External"/><Relationship Id="rId3135" Type="http://schemas.openxmlformats.org/officeDocument/2006/relationships/hyperlink" Target="https://patado.edu.vn/ptd_hongtt/?utm_source=Facebook&amp;utm_medium=CVS&amp;utm_term=NEW_Europe_1840_none_170626&amp;utm_content=saletructiep_Europe.M718.1840.giaotiep_PTATT_LD284&amp;utm_campaign=Europe.giaotiep.M718xM719_16917_CVS_NamNH_170626" TargetMode="External"/><Relationship Id="rId3134" Type="http://schemas.openxmlformats.org/officeDocument/2006/relationships/hyperlink" Target="https://patado.edu.vn/ptd_hongtt/" TargetMode="External"/><Relationship Id="rId3137" Type="http://schemas.openxmlformats.org/officeDocument/2006/relationships/hyperlink" Target="https://patado.edu.vn/ptd_hongtt/" TargetMode="External"/><Relationship Id="rId3136" Type="http://schemas.openxmlformats.org/officeDocument/2006/relationships/hyperlink" Target="https://tinyurl.com/M718xM719EUC" TargetMode="External"/><Relationship Id="rId3128" Type="http://schemas.openxmlformats.org/officeDocument/2006/relationships/hyperlink" Target="https://patado.edu.vn/tienganhgiaotiep1_hn/" TargetMode="External"/><Relationship Id="rId3127" Type="http://schemas.openxmlformats.org/officeDocument/2006/relationships/hyperlink" Target="https://tinyurl.com/M700xM710EUC" TargetMode="External"/><Relationship Id="rId3129" Type="http://schemas.openxmlformats.org/officeDocument/2006/relationships/hyperlink" Target="https://patado.edu.vn/tienganhgiaotiep1_hn/?utm_source=Facebook&amp;utm_medium=MES&amp;utm_term=NEW_ALL_1840_none_120626&amp;utm_content=saletructiep_ALL.M708.1840.giaotiep_PTATT_LD267&amp;utm_campaign=ALL.giaotiep.M708xM712_16917_MES_NamNH_120626" TargetMode="External"/><Relationship Id="rId3120" Type="http://schemas.openxmlformats.org/officeDocument/2006/relationships/hyperlink" Target="https://patado.edu.vn/tienganhgiaotiep1_hn/?utm_source=Facebook&amp;utm_medium=CVS&amp;utm_term=NEW_Europe_1840_none_120626&amp;utm_content=saletructiep_Europe.M713.1840.giaotiep_PTATT_LD267&amp;utm_campaign=Europe.giaotiep.M713xM715_16917_CVS_NamNH_120626" TargetMode="External"/><Relationship Id="rId3122" Type="http://schemas.openxmlformats.org/officeDocument/2006/relationships/hyperlink" Target="https://patado.edu.vn/tienganhgiaotiep1_hn/" TargetMode="External"/><Relationship Id="rId3121" Type="http://schemas.openxmlformats.org/officeDocument/2006/relationships/hyperlink" Target="https://tinyurl.com/M713xM715EUC" TargetMode="External"/><Relationship Id="rId3124" Type="http://schemas.openxmlformats.org/officeDocument/2006/relationships/hyperlink" Target="https://tinyurl.com/M708xM712EUC" TargetMode="External"/><Relationship Id="rId3123" Type="http://schemas.openxmlformats.org/officeDocument/2006/relationships/hyperlink" Target="https://patado.edu.vn/tienganhgiaotiep1_hn/?utm_source=Facebook&amp;utm_medium=CVS&amp;utm_term=NEW_Europe_1840_none_120626&amp;utm_content=saletructiep_Europe.M708.1840.giaotiep_PTATT_LD267&amp;utm_campaign=Europe.giaotiep.M708xM712_16917_CVS_NamNH_120626" TargetMode="External"/><Relationship Id="rId3126" Type="http://schemas.openxmlformats.org/officeDocument/2006/relationships/hyperlink" Target="https://patado.edu.vn/tienganhgiaotiep1_hn/?utm_source=Facebook&amp;utm_medium=CVS&amp;utm_term=NEW_Europe_1840_none_120626&amp;utm_content=saletructiep_Europe.M700.1840.giaotiep_PTATT_LD267&amp;utm_campaign=Europe.giaotiep.M700xM710_16917_CVS_NamNH_120626" TargetMode="External"/><Relationship Id="rId3125" Type="http://schemas.openxmlformats.org/officeDocument/2006/relationships/hyperlink" Target="https://patado.edu.vn/tienganhgiaotiep1_hn/" TargetMode="External"/><Relationship Id="rId1378" Type="http://schemas.openxmlformats.org/officeDocument/2006/relationships/hyperlink" Target="https://patadovietnam.edu.vn/tienganhgiaotiep_hn/?utm_source=Facebook&amp;utm_medium=MES&amp;utm_term=NEW_Philippines_1840_none_010524&amp;utm_content=saletructiep_Philippines.PTKO2.1840.giaotiep_PTATT_LD153&amp;utm_campaign=Philippines.giaotiep.PTKO2_16917_MES_NamNH_010524" TargetMode="External"/><Relationship Id="rId1379" Type="http://schemas.openxmlformats.org/officeDocument/2006/relationships/hyperlink" Target="http://ldp.ink/PTKO2_philippines" TargetMode="External"/><Relationship Id="rId789" Type="http://schemas.openxmlformats.org/officeDocument/2006/relationships/hyperlink" Target="https://patadovietnam.edu.vn/gtusa1_nhn" TargetMode="External"/><Relationship Id="rId788" Type="http://schemas.openxmlformats.org/officeDocument/2006/relationships/hyperlink" Target="http://ldp.ink/LTKT_philippines" TargetMode="External"/><Relationship Id="rId787" Type="http://schemas.openxmlformats.org/officeDocument/2006/relationships/hyperlink" Target="https://patadovietnam.edu.vn/tienganhgiaotiep_hn/?utm_source=Facebook&amp;utm_medium=MES&amp;utm_term=NEW_Philippines_1840_none_201123&amp;utm_content=saletructiep_Philippines.LTKT.1840.giaotiep_PTATT_LD153&amp;utm_campaign=Philippines.giaotiep.LTKT_95360_MES_NamNH_201123" TargetMode="External"/><Relationship Id="rId786" Type="http://schemas.openxmlformats.org/officeDocument/2006/relationships/hyperlink" Target="https://patadovietnam.edu.vn/tienganhgiaotiep_hn/" TargetMode="External"/><Relationship Id="rId781" Type="http://schemas.openxmlformats.org/officeDocument/2006/relationships/hyperlink" Target="https://patadovietnam.edu.vn/gtusa1_nhn/?utm_source=Facebook&amp;utm_medium=MES&amp;utm_term=NEW_UnitedStates_1840_none_171123&amp;utm_content=saletructiep_UnitedStates.anhLKG.1840.giaotiep_PTATT_LD161&amp;utm_campaign=UnitedStates.giaotiep.anhLKG_16917_MES_NamNH_171123" TargetMode="External"/><Relationship Id="rId1370" Type="http://schemas.openxmlformats.org/officeDocument/2006/relationships/hyperlink" Target="http://ldp.ink/PTHTKO_hoaky" TargetMode="External"/><Relationship Id="rId780" Type="http://schemas.openxmlformats.org/officeDocument/2006/relationships/hyperlink" Target="https://patadovietnam.edu.vn/gtusa1_nhn" TargetMode="External"/><Relationship Id="rId1371" Type="http://schemas.openxmlformats.org/officeDocument/2006/relationships/hyperlink" Target="https://patadovietnam.edu.vn/gtusa1_nhn" TargetMode="External"/><Relationship Id="rId1372" Type="http://schemas.openxmlformats.org/officeDocument/2006/relationships/hyperlink" Target="https://patadovietnam.edu.vn/gtusa1_nhn/?utm_source=Facebook&amp;utm_medium=MES&amp;utm_term=NEW_UnitedStates_1840_none_010524&amp;utm_content=saletructiep_UnitedStates.JHKO.1840.giaotiep_PTATT_LD161&amp;utm_campaign=UnitedStates.giaotiep.JHKO_16917_MES_NamNH_010524" TargetMode="External"/><Relationship Id="rId1373" Type="http://schemas.openxmlformats.org/officeDocument/2006/relationships/hyperlink" Target="http://ldp.ink/JHKO_hoaky" TargetMode="External"/><Relationship Id="rId785" Type="http://schemas.openxmlformats.org/officeDocument/2006/relationships/hyperlink" Target="http://ldp.ink/LTKT_taiwan" TargetMode="External"/><Relationship Id="rId1374" Type="http://schemas.openxmlformats.org/officeDocument/2006/relationships/hyperlink" Target="https://patadovietnam.edu.vn/gtusa1_nhn" TargetMode="External"/><Relationship Id="rId784" Type="http://schemas.openxmlformats.org/officeDocument/2006/relationships/hyperlink" Target="https://patadovietnam.edu.vn/tienganhgiaotiep_hn/?utm_source=Facebook&amp;utm_medium=MES&amp;utm_term=NEW_Taiwan_1840_none_201123&amp;utm_content=saletructiep_Taiwan.LTKT.1840.giaotiep_PTATT_LD153&amp;utm_campaign=Taiwan.giaotiep.LTKT_95360_MES_NamNH_201123" TargetMode="External"/><Relationship Id="rId1375" Type="http://schemas.openxmlformats.org/officeDocument/2006/relationships/hyperlink" Target="https://patadovietnam.edu.vn/gtusa1_nhn/?utm_source=Facebook&amp;utm_medium=MES&amp;utm_term=NEW_UnitedStates_1840_none_010524&amp;utm_content=saletructiep_UnitedStates.PPJH.1840.giaotiep_PTATT_LD161&amp;utm_campaign=UnitedStates.giaotiep.PPJH_16917_MES_NamNH_010524" TargetMode="External"/><Relationship Id="rId783" Type="http://schemas.openxmlformats.org/officeDocument/2006/relationships/hyperlink" Target="https://patadovietnam.edu.vn/tienganhgiaotiep_hn/" TargetMode="External"/><Relationship Id="rId1376" Type="http://schemas.openxmlformats.org/officeDocument/2006/relationships/hyperlink" Target="http://ldp.ink/PPJH_hoaky" TargetMode="External"/><Relationship Id="rId782" Type="http://schemas.openxmlformats.org/officeDocument/2006/relationships/hyperlink" Target="http://ldp.ink/LKG_hoaky" TargetMode="External"/><Relationship Id="rId1377" Type="http://schemas.openxmlformats.org/officeDocument/2006/relationships/hyperlink" Target="https://patadovietnam.edu.vn/tienganhgiaotiep_hn/" TargetMode="External"/><Relationship Id="rId1367" Type="http://schemas.openxmlformats.org/officeDocument/2006/relationships/hyperlink" Target="http://ldp.ink/PTKO2_hoaky" TargetMode="External"/><Relationship Id="rId2698" Type="http://schemas.openxmlformats.org/officeDocument/2006/relationships/hyperlink" Target="https://patadovietnam.edu.vn/gtjapan_nhn3/?utm_source=Facebook&amp;utm_medium=CVS&amp;utm_term=NEW_Japan_1840_none_031125&amp;utm_content=saletructiep_Japan.M555xM567.1840.giaotiep_PTATT_LD164&amp;utm_campaign=Japan.giaotiep.M555xM567_16917_CVS_NamNH_031125" TargetMode="External"/><Relationship Id="rId1368" Type="http://schemas.openxmlformats.org/officeDocument/2006/relationships/hyperlink" Target="https://patadovietnam.edu.vn/gtusa1_nhn" TargetMode="External"/><Relationship Id="rId2699" Type="http://schemas.openxmlformats.org/officeDocument/2006/relationships/hyperlink" Target="https://tinyurl.com/M555xM567JPC" TargetMode="External"/><Relationship Id="rId1369" Type="http://schemas.openxmlformats.org/officeDocument/2006/relationships/hyperlink" Target="https://patadovietnam.edu.vn/gtusa1_nhn/?utm_source=Facebook&amp;utm_medium=MES&amp;utm_term=NEW_UnitedStates_1840_none_010524&amp;utm_content=saletructiep_UnitedStates.PTHTKO.1840.giaotiep_PTATT_LD161&amp;utm_campaign=UnitedStates.giaotiep.PTHTKO_16917_MES_NamNH_010524" TargetMode="External"/><Relationship Id="rId778" Type="http://schemas.openxmlformats.org/officeDocument/2006/relationships/hyperlink" Target="https://patadovietnam.edu.vn/tienganhgiaotiep_hn/?utm_source=Facebook&amp;utm_medium=MES&amp;utm_term=NEW_Philippines_1840_none_181123&amp;utm_content=saletructiep_Philippines.anhLKG.1840.giaotiep_PTATT_LD153&amp;utm_campaign=Philippines.giaotiep.anhLKG_95360_MES_NamNH_181123" TargetMode="External"/><Relationship Id="rId777" Type="http://schemas.openxmlformats.org/officeDocument/2006/relationships/hyperlink" Target="https://patadovietnam.edu.vn/tienganhgiaotiep_hn/" TargetMode="External"/><Relationship Id="rId776" Type="http://schemas.openxmlformats.org/officeDocument/2006/relationships/hyperlink" Target="http://ldp.ink/LKG_malaysia" TargetMode="External"/><Relationship Id="rId775" Type="http://schemas.openxmlformats.org/officeDocument/2006/relationships/hyperlink" Target="https://patadovietnam.edu.vn/tienganhgiaotiep_hn/?utm_source=Facebook&amp;utm_medium=MES&amp;utm_term=NEW_Malaysia_1840_none_171123&amp;utm_content=saletructiep_Malaysia.anhLKG.1840.giaotiep_PTATT_LD153&amp;utm_campaign=Malaysia.giaotiep.anhLKG_95360_MES_NamNH_171123" TargetMode="External"/><Relationship Id="rId779" Type="http://schemas.openxmlformats.org/officeDocument/2006/relationships/hyperlink" Target="http://ldp.ink/LKG_philippines" TargetMode="External"/><Relationship Id="rId770" Type="http://schemas.openxmlformats.org/officeDocument/2006/relationships/hyperlink" Target="http://ldp.ink/LKG_taiwan" TargetMode="External"/><Relationship Id="rId2690" Type="http://schemas.openxmlformats.org/officeDocument/2006/relationships/hyperlink" Target="https://tinyurl.com/M551xM552EUC" TargetMode="External"/><Relationship Id="rId1360" Type="http://schemas.openxmlformats.org/officeDocument/2006/relationships/hyperlink" Target="https://patadovietnam.edu.vn/gtjapan_nhn3/?utm_source=Facebook&amp;utm_medium=CVS&amp;utm_term=NEW_Japan_1840_none_010524&amp;utm_content=saletructiep_Japan.JHKO.1840.giaotiep_PTATT_LD164&amp;utm_campaign=Japan.giaotiep.JHKO_16917_CVS_NamNH_010524" TargetMode="External"/><Relationship Id="rId2691" Type="http://schemas.openxmlformats.org/officeDocument/2006/relationships/hyperlink" Target="https://patadovietnam.edu.vn/gtjapan_nhn3" TargetMode="External"/><Relationship Id="rId1361" Type="http://schemas.openxmlformats.org/officeDocument/2006/relationships/hyperlink" Target="http://ldp.ink/JHKO_japan" TargetMode="External"/><Relationship Id="rId2692" Type="http://schemas.openxmlformats.org/officeDocument/2006/relationships/hyperlink" Target="https://patadovietnam.edu.vn/gtjapan_nhn3/?utm_source=Facebook&amp;utm_medium=MES&amp;utm_term=NEW_Japan_1840_none_171025&amp;utm_content=saletructiep_Japan.M551xM552.1840.giaotiep_PTATT_LD164&amp;utm_campaign=Japan.giaotiep.M551xM552_16917_MES_NamNH_171025" TargetMode="External"/><Relationship Id="rId1362" Type="http://schemas.openxmlformats.org/officeDocument/2006/relationships/hyperlink" Target="https://patadovietnam.edu.vn/tienganhgiaotiep_hn/" TargetMode="External"/><Relationship Id="rId2693" Type="http://schemas.openxmlformats.org/officeDocument/2006/relationships/hyperlink" Target="https://tinyurl.com/M551xM552JPM" TargetMode="External"/><Relationship Id="rId774" Type="http://schemas.openxmlformats.org/officeDocument/2006/relationships/hyperlink" Target="https://patadovietnam.edu.vn/tienganhgiaotiep_hn/" TargetMode="External"/><Relationship Id="rId1363" Type="http://schemas.openxmlformats.org/officeDocument/2006/relationships/hyperlink" Target="https://patadovietnam.edu.vn/tienganhgiaotiep_hn/?utm_source=Facebook&amp;utm_medium=CVS&amp;utm_term=NEW_Europe_1840_none_010524&amp;utm_content=saletructiep_Europe.PPJH.1840.giaotiep_PTATT_LD153&amp;utm_campaign=Europe.giaotiep.PPJH_16917_CVS_NamNH_010524" TargetMode="External"/><Relationship Id="rId2694" Type="http://schemas.openxmlformats.org/officeDocument/2006/relationships/hyperlink" Target="https://patadovietnam.edu.vn/tienganhgiaotiep_hn/" TargetMode="External"/><Relationship Id="rId773" Type="http://schemas.openxmlformats.org/officeDocument/2006/relationships/hyperlink" Target="http://ldp.ink/LKG_hanquoc" TargetMode="External"/><Relationship Id="rId1364" Type="http://schemas.openxmlformats.org/officeDocument/2006/relationships/hyperlink" Target="http://ldp.ink/PPJH_europe" TargetMode="External"/><Relationship Id="rId2695" Type="http://schemas.openxmlformats.org/officeDocument/2006/relationships/hyperlink" Target="https://patadovietnam.edu.vn/tienganhgiaotiep_hn/?utm_source=Facebook&amp;utm_medium=CVS&amp;utm_term=NEW_Europe_1840_none_031125&amp;utm_content=saletructiep_Europe.M555xM567.1840.giaotiep_PTATT_LD153&amp;utm_campaign=Europe.giaotiep.M555xM567_16917_CVS_NamNH_031125" TargetMode="External"/><Relationship Id="rId772" Type="http://schemas.openxmlformats.org/officeDocument/2006/relationships/hyperlink" Target="https://patadovietnam.edu.vn/tienganhgiaotiep_hn/?utm_source=Facebook&amp;utm_medium=MES&amp;utm_term=NEW_KoreaSouth_1840_none_171123&amp;utm_content=saletructiep_KoreaSouth.anhLKG.1840.giaotiep_PTATT_LD153&amp;utm_campaign=KoreaSouth.giaotiep.anhLKG_95360_MES_NamNH_171123" TargetMode="External"/><Relationship Id="rId1365" Type="http://schemas.openxmlformats.org/officeDocument/2006/relationships/hyperlink" Target="https://patadovietnam.edu.vn/gtusa1_nhn" TargetMode="External"/><Relationship Id="rId2696" Type="http://schemas.openxmlformats.org/officeDocument/2006/relationships/hyperlink" Target="https://tinyurl.com/M555xM567EUC" TargetMode="External"/><Relationship Id="rId771" Type="http://schemas.openxmlformats.org/officeDocument/2006/relationships/hyperlink" Target="https://patadovietnam.edu.vn/tienganhgiaotiep_hn/" TargetMode="External"/><Relationship Id="rId1366" Type="http://schemas.openxmlformats.org/officeDocument/2006/relationships/hyperlink" Target="https://patadovietnam.edu.vn/gtusa1_nhn/?utm_source=Facebook&amp;utm_medium=MES&amp;utm_term=NEW_UnitedStates_1840_none_010524&amp;utm_content=saletructiep_UnitedStates.PTKO2.1840.giaotiep_PTATT_LD161&amp;utm_campaign=UnitedStates.giaotiep.PTKO2_16917_MES_NamNH_010524" TargetMode="External"/><Relationship Id="rId2697" Type="http://schemas.openxmlformats.org/officeDocument/2006/relationships/hyperlink" Target="https://patadovietnam.edu.vn/gtjapan_nhn3" TargetMode="External"/><Relationship Id="rId1390" Type="http://schemas.openxmlformats.org/officeDocument/2006/relationships/hyperlink" Target="https://patadovietnam.edu.vn/tienganhgiaotiep_hn/?utm_source=Facebook&amp;utm_medium=MES&amp;utm_term=NEW_Taiwan_1840_none_010524&amp;utm_content=saletructiep_Taiwan.PTKO2.1840.giaotiep_PTATT_LD153&amp;utm_campaign=Taiwan.giaotiep.PTKO2_16917_MES_NamNH_010524" TargetMode="External"/><Relationship Id="rId1391" Type="http://schemas.openxmlformats.org/officeDocument/2006/relationships/hyperlink" Target="http://ldp.ink/PTKO2_taiwan" TargetMode="External"/><Relationship Id="rId1392" Type="http://schemas.openxmlformats.org/officeDocument/2006/relationships/hyperlink" Target="https://patadovietnam.edu.vn/tienganhgiaotiep_hn/" TargetMode="External"/><Relationship Id="rId1393" Type="http://schemas.openxmlformats.org/officeDocument/2006/relationships/hyperlink" Target="https://patadovietnam.edu.vn/tienganhgiaotiep_hn/?utm_source=Facebook&amp;utm_medium=MES&amp;utm_term=NEW_Taiwan_1840_none_010524&amp;utm_content=saletructiep_Taiwan.PTHTKO.1840.giaotiep_PTATT_LD153&amp;utm_campaign=Taiwan.giaotiep.PTHTKO_16917_MES_NamNH_010524" TargetMode="External"/><Relationship Id="rId1394" Type="http://schemas.openxmlformats.org/officeDocument/2006/relationships/hyperlink" Target="http://ldp.ink/PTHTKO_taiwan" TargetMode="External"/><Relationship Id="rId1395" Type="http://schemas.openxmlformats.org/officeDocument/2006/relationships/hyperlink" Target="https://patadovietnam.edu.vn/tienganhgiaotiep_hn/" TargetMode="External"/><Relationship Id="rId1396" Type="http://schemas.openxmlformats.org/officeDocument/2006/relationships/hyperlink" Target="https://patadovietnam.edu.vn/tienganhgiaotiep_hn/?utm_source=Facebook&amp;utm_medium=MES&amp;utm_term=NEW_Taiwan_1840_none_010524&amp;utm_content=saletructiep_Taiwan.JHKO.1840.giaotiep_PTATT_LD153&amp;utm_campaign=Taiwan.giaotiep.JHKO_16917_MES_NamNH_010524" TargetMode="External"/><Relationship Id="rId1397" Type="http://schemas.openxmlformats.org/officeDocument/2006/relationships/hyperlink" Target="http://ldp.ink/JHKO_taiwan" TargetMode="External"/><Relationship Id="rId1398" Type="http://schemas.openxmlformats.org/officeDocument/2006/relationships/hyperlink" Target="https://patadovietnam.edu.vn/tienganhgiaotiep_hn/" TargetMode="External"/><Relationship Id="rId1399" Type="http://schemas.openxmlformats.org/officeDocument/2006/relationships/hyperlink" Target="https://patadovietnam.edu.vn/tienganhgiaotiep_hn/?utm_source=Facebook&amp;utm_medium=MES&amp;utm_term=NEW_Taiwan_1840_none_010524&amp;utm_content=saletructiep_Taiwan.PPJH.1840.giaotiep_PTATT_LD153&amp;utm_campaign=Taiwan.giaotiep.PPJH_16917_MES_NamNH_010524" TargetMode="External"/><Relationship Id="rId1389" Type="http://schemas.openxmlformats.org/officeDocument/2006/relationships/hyperlink" Target="https://patadovietnam.edu.vn/tienganhgiaotiep_hn/" TargetMode="External"/><Relationship Id="rId799" Type="http://schemas.openxmlformats.org/officeDocument/2006/relationships/hyperlink" Target="https://patadovietnam.edu.vn/gtjapan_nhn3/?utm_source=Facebook&amp;utm_medium=CVS&amp;utm_term=NEW_Japan_1840_none_211123&amp;utm_content=saletructiep_Japan.LTKT.1840.giaotiep_PTATT_LD164&amp;utm_campaign=Japan.giaotiep.LTKT_16917_CVS_NamNH_211123" TargetMode="External"/><Relationship Id="rId798" Type="http://schemas.openxmlformats.org/officeDocument/2006/relationships/hyperlink" Target="https://patadovietnam.edu.vn/gtjapan_nhn3" TargetMode="External"/><Relationship Id="rId797" Type="http://schemas.openxmlformats.org/officeDocument/2006/relationships/hyperlink" Target="http://ldp.ink/VTS_hoaky" TargetMode="External"/><Relationship Id="rId1380" Type="http://schemas.openxmlformats.org/officeDocument/2006/relationships/hyperlink" Target="https://patadovietnam.edu.vn/tienganhgiaotiep_hn/" TargetMode="External"/><Relationship Id="rId792" Type="http://schemas.openxmlformats.org/officeDocument/2006/relationships/hyperlink" Target="https://patadovietnam.edu.vn/gtjapan_nhn3" TargetMode="External"/><Relationship Id="rId1381" Type="http://schemas.openxmlformats.org/officeDocument/2006/relationships/hyperlink" Target="https://patadovietnam.edu.vn/tienganhgiaotiep_hn/?utm_source=Facebook&amp;utm_medium=MES&amp;utm_term=NEW_Philippines_1840_none_010524&amp;utm_content=saletructiep_Philippines.PTHTKO.1840.giaotiep_PTATT_LD153&amp;utm_campaign=Philippines.giaotiep.PTHTKO_16917_MES_NamNH_010524" TargetMode="External"/><Relationship Id="rId791" Type="http://schemas.openxmlformats.org/officeDocument/2006/relationships/hyperlink" Target="http://ldp.ink/LTKT_hoaky" TargetMode="External"/><Relationship Id="rId1382" Type="http://schemas.openxmlformats.org/officeDocument/2006/relationships/hyperlink" Target="http://ldp.ink/PTHTKO_philippines" TargetMode="External"/><Relationship Id="rId790" Type="http://schemas.openxmlformats.org/officeDocument/2006/relationships/hyperlink" Target="https://patadovietnam.edu.vn/gtusa1_nhn/?utm_source=Facebook&amp;utm_medium=MES&amp;utm_term=NEW_UnitedStates_1840_none_201123&amp;utm_content=saletructiep_UnitedStates.LTKT.1840.giaotiep_PTATT_LD161&amp;utm_campaign=UnitedStates.giaotiep.LTKT_16917_MES_NamNH_201123" TargetMode="External"/><Relationship Id="rId1383" Type="http://schemas.openxmlformats.org/officeDocument/2006/relationships/hyperlink" Target="https://patadovietnam.edu.vn/tienganhgiaotiep_hn/" TargetMode="External"/><Relationship Id="rId1384" Type="http://schemas.openxmlformats.org/officeDocument/2006/relationships/hyperlink" Target="https://patadovietnam.edu.vn/tienganhgiaotiep_hn/?utm_source=Facebook&amp;utm_medium=MES&amp;utm_term=NEW_Philippines_1840_none_010524&amp;utm_content=saletructiep_Philippines.JHKO.1840.giaotiep_PTATT_LD153&amp;utm_campaign=Philippines.giaotiep.JHKO_16917_MES_NamNH_010524" TargetMode="External"/><Relationship Id="rId796" Type="http://schemas.openxmlformats.org/officeDocument/2006/relationships/hyperlink" Target="https://patadovietnam.edu.vn/gtusa1_nhn/?utm_source=Facebook&amp;utm_medium=MES&amp;utm_term=NEW_UnitedStates_1840_none_211123&amp;utm_content=saletructiep_UnitedStates.VTS.1840.giaotiep_PTATT_LD161&amp;utm_campaign=UnitedStates.giaotiep.VTS_16917_MES_NamNH_211123" TargetMode="External"/><Relationship Id="rId1385" Type="http://schemas.openxmlformats.org/officeDocument/2006/relationships/hyperlink" Target="http://ldp.ink/JHKO_philippines" TargetMode="External"/><Relationship Id="rId795" Type="http://schemas.openxmlformats.org/officeDocument/2006/relationships/hyperlink" Target="https://patadovietnam.edu.vn/gtusa1_nhn" TargetMode="External"/><Relationship Id="rId1386" Type="http://schemas.openxmlformats.org/officeDocument/2006/relationships/hyperlink" Target="https://patadovietnam.edu.vn/tienganhgiaotiep_hn/" TargetMode="External"/><Relationship Id="rId794" Type="http://schemas.openxmlformats.org/officeDocument/2006/relationships/hyperlink" Target="http://ldp.ink/M53C40_japan" TargetMode="External"/><Relationship Id="rId1387" Type="http://schemas.openxmlformats.org/officeDocument/2006/relationships/hyperlink" Target="https://patadovietnam.edu.vn/tienganhgiaotiep_hn/?utm_source=Facebook&amp;utm_medium=MES&amp;utm_term=NEW_Philippines_1840_none_010524&amp;utm_content=saletructiep_Philippines.PPJH.1840.giaotiep_PTATT_LD153&amp;utm_campaign=Philippines.giaotiep.PPJH_16917_MES_NamNH_010524" TargetMode="External"/><Relationship Id="rId793" Type="http://schemas.openxmlformats.org/officeDocument/2006/relationships/hyperlink" Target="https://patadovietnam.edu.vn/gtjapan_nhn3/?utm_source=Facebook&amp;utm_medium=CVS&amp;utm_term=NEW_Japan_1840_none_211123&amp;utm_content=saletructiep_Japan.M53C40.1840.giaotiep_PTATT_LD164&amp;utm_campaign=Japan.giaotiep.M53C40_16917_CVS_NamNH_211123" TargetMode="External"/><Relationship Id="rId1388" Type="http://schemas.openxmlformats.org/officeDocument/2006/relationships/hyperlink" Target="http://ldp.ink/PPJH_philippines" TargetMode="External"/><Relationship Id="rId3191" Type="http://schemas.openxmlformats.org/officeDocument/2006/relationships/hyperlink" Target="https://patado.edu.vn/tienganhgiaotiep1_hn/" TargetMode="External"/><Relationship Id="rId3190" Type="http://schemas.openxmlformats.org/officeDocument/2006/relationships/hyperlink" Target="https://tinyurl.com/M743xM744JPC" TargetMode="External"/><Relationship Id="rId3193" Type="http://schemas.openxmlformats.org/officeDocument/2006/relationships/hyperlink" Target="https://tinyurl.com/M743xM744ALLM" TargetMode="External"/><Relationship Id="rId3192" Type="http://schemas.openxmlformats.org/officeDocument/2006/relationships/hyperlink" Target="https://patado.edu.vn/tienganhgiaotiep1_hn/?utm_source=Facebook&amp;utm_medium=MES&amp;utm_term=NEW_ALL_1840_none_050826&amp;utm_content=saletructiep_ALL.M743.1840.giaotiep_PTATT_LD267&amp;utm_campaign=ALL.giaotiep.M743xM744_16917_MES_NamNH_050826" TargetMode="External"/><Relationship Id="rId3195" Type="http://schemas.openxmlformats.org/officeDocument/2006/relationships/hyperlink" Target="https://patado.edu.vn/ptd_hongtt/?utm_source=Facebook&amp;utm_medium=CVS&amp;utm_term=NEW_Europe_1840_none_010926&amp;utm_content=saletructiep_Europe.M750.1840.giaotiep_PTATT_LD284&amp;utm_campaign=Europe.giaotiep.M750xM751_16917_CVS_NamNH_010926" TargetMode="External"/><Relationship Id="rId3194" Type="http://schemas.openxmlformats.org/officeDocument/2006/relationships/hyperlink" Target="https://patado.edu.vn/ptd_hongtt/" TargetMode="External"/><Relationship Id="rId3197" Type="http://schemas.openxmlformats.org/officeDocument/2006/relationships/hyperlink" Target="https://patado.edu.vn/gtjapan_nhn3/" TargetMode="External"/><Relationship Id="rId3196" Type="http://schemas.openxmlformats.org/officeDocument/2006/relationships/hyperlink" Target="https://tinyurl.com/M750xM751EUC" TargetMode="External"/><Relationship Id="rId3199" Type="http://schemas.openxmlformats.org/officeDocument/2006/relationships/hyperlink" Target="https://tinyurl.com/M750xM751JPC" TargetMode="External"/><Relationship Id="rId3198" Type="http://schemas.openxmlformats.org/officeDocument/2006/relationships/hyperlink" Target="https://patado.edu.vn/gtjapan_nhn3/?utm_source=Facebook&amp;utm_medium=CVS&amp;utm_term=NEW_Japan_1840_none_010926&amp;utm_content=saletructiep_Japan.M750.1840.giaotiep_PTATT_LD265&amp;utm_campaign=Japan.giaotiep.M750xM751_16917_CVS_NamNH_010926" TargetMode="External"/><Relationship Id="rId3180" Type="http://schemas.openxmlformats.org/officeDocument/2006/relationships/hyperlink" Target="https://patado.edu.vn/nhn_jp0106/?utm_source=Facebook&amp;utm_medium=CVS&amp;utm_term=NEW_Japan_1840_none_050826&amp;utm_content=saletructiep_Japan.M738.1840.giaotiep_PTATT_LD282&amp;utm_campaign=Japan.giaotiep.M738xM741_16917_CVS_NamNH_050826" TargetMode="External"/><Relationship Id="rId3182" Type="http://schemas.openxmlformats.org/officeDocument/2006/relationships/hyperlink" Target="https://patado.edu.vn/tienganhgiaotiep1_hn/" TargetMode="External"/><Relationship Id="rId3181" Type="http://schemas.openxmlformats.org/officeDocument/2006/relationships/hyperlink" Target="https://tinyurl.com/M738xM741JPC" TargetMode="External"/><Relationship Id="rId3184" Type="http://schemas.openxmlformats.org/officeDocument/2006/relationships/hyperlink" Target="https://tinyurl.com/M732xM733ALLM" TargetMode="External"/><Relationship Id="rId3183" Type="http://schemas.openxmlformats.org/officeDocument/2006/relationships/hyperlink" Target="https://patado.edu.vn/tienganhgiaotiep1_hn/?utm_source=Facebook&amp;utm_medium=MES&amp;utm_term=NEW_ALL_1840_none_050826&amp;utm_content=saletructiep_ALL.M732.1840.giaotiep_PTATT_LD267&amp;utm_campaign=ALL.giaotiep.M732xM733_16917_MES_NamNH_050826" TargetMode="External"/><Relationship Id="rId3186" Type="http://schemas.openxmlformats.org/officeDocument/2006/relationships/hyperlink" Target="https://patado.edu.vn/tienganhgiaotiep1_hn/?utm_source=Facebook&amp;utm_medium=CVS&amp;utm_term=NEW_Europe_1840_none_050826&amp;utm_content=saletructiep_Europe.M740.1840.giaotiep_PTATT_LD267&amp;utm_campaign=Europe.giaotiep.M740xM743_16917_CVS_NamNH_050826" TargetMode="External"/><Relationship Id="rId3185" Type="http://schemas.openxmlformats.org/officeDocument/2006/relationships/hyperlink" Target="https://patado.edu.vn/tienganhgiaotiep1_hn/" TargetMode="External"/><Relationship Id="rId3188" Type="http://schemas.openxmlformats.org/officeDocument/2006/relationships/hyperlink" Target="https://patado.edu.vn/nhn_jp0106" TargetMode="External"/><Relationship Id="rId3187" Type="http://schemas.openxmlformats.org/officeDocument/2006/relationships/hyperlink" Target="https://tinyurl.com/M740xM743EUC" TargetMode="External"/><Relationship Id="rId3189" Type="http://schemas.openxmlformats.org/officeDocument/2006/relationships/hyperlink" Target="https://patado.edu.vn/nhn_jp0106/?utm_source=Facebook&amp;utm_medium=CVS&amp;utm_term=NEW_Japan_1840_none_050826&amp;utm_content=saletructiep_Japan.M743.1840.giaotiep_PTATT_LD282&amp;utm_campaign=Japan.giaotiep.M743xM744_16917_CVS_NamNH_050826" TargetMode="External"/><Relationship Id="rId3151" Type="http://schemas.openxmlformats.org/officeDocument/2006/relationships/hyperlink" Target="https://tinyurl.com/M727ALLM" TargetMode="External"/><Relationship Id="rId3150" Type="http://schemas.openxmlformats.org/officeDocument/2006/relationships/hyperlink" Target="https://patado.edu.vn/tienganhgiaotiep1_hn/?utm_source=Facebook&amp;utm_medium=MES&amp;utm_term=NEW_ALL_1840_none_010726&amp;utm_content=saletructiep_ALL.M727.1840.giaotiep_PTATT_LD267&amp;utm_campaign=ALL.giaotiep.M727_16917_MES_NamNH_010726" TargetMode="External"/><Relationship Id="rId3153" Type="http://schemas.openxmlformats.org/officeDocument/2006/relationships/hyperlink" Target="https://patado.edu.vn/nhn_jp0106/?utm_source=Facebook&amp;utm_medium=CVS&amp;utm_term=NEW_Japan_1840_none_010726&amp;utm_content=saletructiep_Japan.M721.1840.giaotiep_PTATT_LD282&amp;utm_campaign=Japan.giaotiep.M721xM722_16917_CVS_NamNH_010726" TargetMode="External"/><Relationship Id="rId3152" Type="http://schemas.openxmlformats.org/officeDocument/2006/relationships/hyperlink" Target="https://patado.edu.vn/nhn_jp0106" TargetMode="External"/><Relationship Id="rId3155" Type="http://schemas.openxmlformats.org/officeDocument/2006/relationships/hyperlink" Target="https://patado.edu.vn/nhn_jp0106" TargetMode="External"/><Relationship Id="rId3154" Type="http://schemas.openxmlformats.org/officeDocument/2006/relationships/hyperlink" Target="https://tinyurl.com/M721xM722JPC" TargetMode="External"/><Relationship Id="rId3157" Type="http://schemas.openxmlformats.org/officeDocument/2006/relationships/hyperlink" Target="https://tinyurl.com/M716xM726JPC" TargetMode="External"/><Relationship Id="rId3156" Type="http://schemas.openxmlformats.org/officeDocument/2006/relationships/hyperlink" Target="https://patado.edu.vn/nhn_jp0106/?utm_source=Facebook&amp;utm_medium=CVS&amp;utm_term=NEW_Japan_1840_none_020726&amp;utm_content=saletructiep_Japan.M716.1840.giaotiep_PTATT_LD282&amp;utm_campaign=Japan.giaotiep.M716xM726_16917_CVS_NamNH_020726" TargetMode="External"/><Relationship Id="rId3159" Type="http://schemas.openxmlformats.org/officeDocument/2006/relationships/hyperlink" Target="https://patado.edu.vn/ptd_hongtt/?utm_source=Facebook&amp;utm_medium=CVS&amp;utm_term=NEW_Europe_1840_none_020726&amp;utm_content=saletructiep_Japan.M716.1840.giaotiep_PTATT_LD284&amp;utm_campaign=Europe.giaotiep.M728xM731_16917_CVS_NamNH_020726" TargetMode="External"/><Relationship Id="rId3158" Type="http://schemas.openxmlformats.org/officeDocument/2006/relationships/hyperlink" Target="https://patado.edu.vn/ptd_hongtt/" TargetMode="External"/><Relationship Id="rId3149" Type="http://schemas.openxmlformats.org/officeDocument/2006/relationships/hyperlink" Target="https://patado.edu.vn/tienganhgiaotiep1_hn/" TargetMode="External"/><Relationship Id="rId3140" Type="http://schemas.openxmlformats.org/officeDocument/2006/relationships/hyperlink" Target="https://patado.edu.vn/tienganhgiaotiep1_hn/" TargetMode="External"/><Relationship Id="rId3142" Type="http://schemas.openxmlformats.org/officeDocument/2006/relationships/hyperlink" Target="https://tinyurl.com/M718EUCV" TargetMode="External"/><Relationship Id="rId3141" Type="http://schemas.openxmlformats.org/officeDocument/2006/relationships/hyperlink" Target="https://patado.edu.vn/tienganhgiaotiep1_hn/?utm_source=Facebook&amp;utm_medium=CVS&amp;utm_term=NEW_Europe_1840_none_010726&amp;utm_content=saletructiep_Europe.M718.1840.giaotiep_PTATT_LD267&amp;utm_campaign=Europe.giaotiep.M718xM719_16917_CVS_NamNH_010726" TargetMode="External"/><Relationship Id="rId3144" Type="http://schemas.openxmlformats.org/officeDocument/2006/relationships/hyperlink" Target="https://patado.edu.vn/ptd_hongtt/?utm_source=Facebook&amp;utm_medium=CVS&amp;utm_term=NEW_Europe_1840_none_120626&amp;utm_content=saletructiep_Europe.M713.1840.giaotiep_PTATT_LD284&amp;utm_campaign=Europe.giaotiep.M713xM715_16917_CVS_NamNH_120626" TargetMode="External"/><Relationship Id="rId3143" Type="http://schemas.openxmlformats.org/officeDocument/2006/relationships/hyperlink" Target="https://patado.edu.vn/ptd_hongtt/" TargetMode="External"/><Relationship Id="rId3146" Type="http://schemas.openxmlformats.org/officeDocument/2006/relationships/hyperlink" Target="https://patado.edu.vn/tienganhgiaotiep1_hn/" TargetMode="External"/><Relationship Id="rId3145" Type="http://schemas.openxmlformats.org/officeDocument/2006/relationships/hyperlink" Target="https://tinyurl.com/M713xEUCV" TargetMode="External"/><Relationship Id="rId3148" Type="http://schemas.openxmlformats.org/officeDocument/2006/relationships/hyperlink" Target="https://tinyurl.com/M722xM727EUC" TargetMode="External"/><Relationship Id="rId3147" Type="http://schemas.openxmlformats.org/officeDocument/2006/relationships/hyperlink" Target="https://patado.edu.vn/tienganhgiaotiep1_hn/?utm_source=Facebook&amp;utm_medium=CVS&amp;utm_term=NEW_Europe_1840_none_010726&amp;utm_content=saletructiep_Europe.M722.1840.giaotiep_PTATT_LD267&amp;utm_campaign=Europe.giaotiep.M722xM727_16917_CVS_NamNH_010726" TargetMode="External"/><Relationship Id="rId3171" Type="http://schemas.openxmlformats.org/officeDocument/2006/relationships/hyperlink" Target="https://patado.edu.vn/ptd_hongtt/?utm_source=Facebook&amp;utm_medium=CVS&amp;utm_term=NEW_Europe_1840_none_050826&amp;utm_content=saletructiep_Europe.M732.1840.giaotiep_PTATT_LD284&amp;utm_campaign=Europe.giaotiep.M732xM733_16917_CVS_NamNH_050826" TargetMode="External"/><Relationship Id="rId3170" Type="http://schemas.openxmlformats.org/officeDocument/2006/relationships/hyperlink" Target="https://patado.edu.vn/ptd_hongtt/" TargetMode="External"/><Relationship Id="rId3173" Type="http://schemas.openxmlformats.org/officeDocument/2006/relationships/hyperlink" Target="https://patado.edu.vn/nhn_jp0106" TargetMode="External"/><Relationship Id="rId3172" Type="http://schemas.openxmlformats.org/officeDocument/2006/relationships/hyperlink" Target="https://tinyurl.com/M732xM733EUC" TargetMode="External"/><Relationship Id="rId3175" Type="http://schemas.openxmlformats.org/officeDocument/2006/relationships/hyperlink" Target="https://tinyurl.com/M733xM736JPC" TargetMode="External"/><Relationship Id="rId3174" Type="http://schemas.openxmlformats.org/officeDocument/2006/relationships/hyperlink" Target="https://patado.edu.vn/nhn_jp0106/?utm_source=Facebook&amp;utm_medium=CVS&amp;utm_term=NEW_Japan_1840_none_050826&amp;utm_content=saletructiep_Japan.M733.1840.giaotiep_PTATT_LD282&amp;utm_campaign=Japan.giaotiep.M733xM736_16917_CVS_NamNH_050826" TargetMode="External"/><Relationship Id="rId3177" Type="http://schemas.openxmlformats.org/officeDocument/2006/relationships/hyperlink" Target="https://patado.edu.vn/ptd_hongtt/?utm_source=Facebook&amp;utm_medium=CVS&amp;utm_term=NEW_Europe_1840_none_050826&amp;utm_content=saletructiep_Europe.M738.1840.giaotiep_PTATT_LD284&amp;utm_campaign=Europe.giaotiep.M738xM741_16917_CVS_NamNH_050826" TargetMode="External"/><Relationship Id="rId3176" Type="http://schemas.openxmlformats.org/officeDocument/2006/relationships/hyperlink" Target="https://patado.edu.vn/ptd_hongtt/" TargetMode="External"/><Relationship Id="rId3179" Type="http://schemas.openxmlformats.org/officeDocument/2006/relationships/hyperlink" Target="https://patado.edu.vn/nhn_jp0106" TargetMode="External"/><Relationship Id="rId3178" Type="http://schemas.openxmlformats.org/officeDocument/2006/relationships/hyperlink" Target="https://tinyurl.com/M738xM741EUC" TargetMode="External"/><Relationship Id="rId3160" Type="http://schemas.openxmlformats.org/officeDocument/2006/relationships/hyperlink" Target="https://tinyurl.com/M728xM731EUC" TargetMode="External"/><Relationship Id="rId3162" Type="http://schemas.openxmlformats.org/officeDocument/2006/relationships/hyperlink" Target="https://patado.edu.vn/nhn_jp0106/?utm_source=Facebook&amp;utm_medium=CVS&amp;utm_term=NEW_Japan_1840_none_020726&amp;utm_content=saletructiep_Japan.M730.1840.giaotiep_PTATT_LD282&amp;utm_campaign=Japan.giaotiep.M730xM731_16917_CVS_NamNH_020726" TargetMode="External"/><Relationship Id="rId3161" Type="http://schemas.openxmlformats.org/officeDocument/2006/relationships/hyperlink" Target="https://patado.edu.vn/nhn_jp0106" TargetMode="External"/><Relationship Id="rId3164" Type="http://schemas.openxmlformats.org/officeDocument/2006/relationships/hyperlink" Target="https://patado.edu.vn/tienganhgiaotiep1_hn/" TargetMode="External"/><Relationship Id="rId3163" Type="http://schemas.openxmlformats.org/officeDocument/2006/relationships/hyperlink" Target="https://tinyurl.com/M730xM731JPC" TargetMode="External"/><Relationship Id="rId3166" Type="http://schemas.openxmlformats.org/officeDocument/2006/relationships/hyperlink" Target="https://tinyurl.com/M692EUCV" TargetMode="External"/><Relationship Id="rId3165" Type="http://schemas.openxmlformats.org/officeDocument/2006/relationships/hyperlink" Target="https://patado.edu.vn/tienganhgiaotiep1_hn/?utm_source=Facebook&amp;utm_medium=CVS&amp;utm_term=NEW_Europe_1840_none_160626&amp;utm_content=saletructiep_Europe.M692.1840.giaotiep_PTATT_LD267&amp;utm_campaign=Europe.giaotiep.M692xM693_16917_CVS_NamNH_160626" TargetMode="External"/><Relationship Id="rId3168" Type="http://schemas.openxmlformats.org/officeDocument/2006/relationships/hyperlink" Target="https://patado.edu.vn/nhn_jp0106/?utm_source=Facebook&amp;utm_medium=CVS&amp;utm_term=NEW_Japan_1840_none_030726&amp;utm_content=saletructiep_Japan.M732.1840.giaotiep_PTATT_LD282&amp;utm_campaign=Japan.giaotiep.M732xM735_16917_CVS_NamNH_030726" TargetMode="External"/><Relationship Id="rId3167" Type="http://schemas.openxmlformats.org/officeDocument/2006/relationships/hyperlink" Target="https://patado.edu.vn/nhn_jp0106" TargetMode="External"/><Relationship Id="rId3169" Type="http://schemas.openxmlformats.org/officeDocument/2006/relationships/hyperlink" Target="https://tinyurl.com/M732xM735JPC" TargetMode="External"/><Relationship Id="rId2700" Type="http://schemas.openxmlformats.org/officeDocument/2006/relationships/hyperlink" Target="https://patadovietnam.edu.vn/tienganhgiaotiep_hn/" TargetMode="External"/><Relationship Id="rId2701" Type="http://schemas.openxmlformats.org/officeDocument/2006/relationships/hyperlink" Target="https://patadovietnam.edu.vn/tienganhgiaotiep_hn/?utm_source=Facebook&amp;utm_medium=MES&amp;utm_term=NEW_ALL_1840_none_031125&amp;utm_content=saletructiep_ALL.M555xM567.1840.giaotiep_PTATT_LD153&amp;utm_campaign=ALL.giaotiep.M555xM567_16917_MES_NamNH_031125" TargetMode="External"/><Relationship Id="rId2702" Type="http://schemas.openxmlformats.org/officeDocument/2006/relationships/hyperlink" Target="https://tinyurl.com/M555xM567ALLM" TargetMode="External"/><Relationship Id="rId2703" Type="http://schemas.openxmlformats.org/officeDocument/2006/relationships/hyperlink" Target="https://patadovietnam.edu.vn/gtusa1_nhn" TargetMode="External"/><Relationship Id="rId2704" Type="http://schemas.openxmlformats.org/officeDocument/2006/relationships/hyperlink" Target="https://patadovietnam.edu.vn/gtusa1_nhn/?utm_source=Facebook&amp;utm_medium=MES&amp;utm_term=NEW_UnitedStates_2050_none_031125&amp;utm_content=saletructiep_UnitedStates.M555xM567.1840.giaotiep_PTATT_LD161&amp;utm_campaign=UnitedStates.giaotiep.M555xM567_16917_MES_NamNH_031125" TargetMode="External"/><Relationship Id="rId2705" Type="http://schemas.openxmlformats.org/officeDocument/2006/relationships/hyperlink" Target="https://tinyurl.com/M555xM567USM" TargetMode="External"/><Relationship Id="rId2706" Type="http://schemas.openxmlformats.org/officeDocument/2006/relationships/hyperlink" Target="https://patadovietnam.edu.vn/tienganhgt_nnh/" TargetMode="External"/><Relationship Id="rId2707" Type="http://schemas.openxmlformats.org/officeDocument/2006/relationships/hyperlink" Target="https://patadovietnam.edu.vn/tienganhgt_nnh/?utm_source=Facebook&amp;utm_medium=CVS&amp;utm_term=NEW_Europe_1840_none_031125&amp;utm_content=saletructiep_Europe.M555xM567.1840.giaotiep_PTATT_LD251&amp;utm_campaign=Europe.giaotiep.M555xM567_16917_MES_NamNH_031125" TargetMode="External"/><Relationship Id="rId2708" Type="http://schemas.openxmlformats.org/officeDocument/2006/relationships/hyperlink" Target="https://tinyurl.com/M555xM567EUCV" TargetMode="External"/><Relationship Id="rId2709" Type="http://schemas.openxmlformats.org/officeDocument/2006/relationships/hyperlink" Target="https://patadovietnam.edu.vn/tienganhgiaotiep_hn/" TargetMode="External"/><Relationship Id="rId2720" Type="http://schemas.openxmlformats.org/officeDocument/2006/relationships/hyperlink" Target="https://patadovietnam.edu.vn/tienganhgiaotiep_hn/" TargetMode="External"/><Relationship Id="rId2721" Type="http://schemas.openxmlformats.org/officeDocument/2006/relationships/hyperlink" Target="https://patadovietnam.edu.vn/tienganhgiaotiep_hn/?utm_source=Facebook&amp;utm_medium=MES&amp;utm_term=NEW_ALL_1840_none_171125&amp;utm_content=saletructiep_ALL.M561.1840.giaotiep_PTATT_LD153&amp;utm_campaign=ALL.giaotiep.M561_16917_MES_NamNH_171125" TargetMode="External"/><Relationship Id="rId2722" Type="http://schemas.openxmlformats.org/officeDocument/2006/relationships/hyperlink" Target="https://patadovietnam.edu.vn/tienganhgiaotiep_hn/" TargetMode="External"/><Relationship Id="rId2723" Type="http://schemas.openxmlformats.org/officeDocument/2006/relationships/hyperlink" Target="https://patadovietnam.edu.vn/tienganhgiaotiep_hn/?utm_source=Facebook&amp;utm_medium=CVS&amp;utm_term=NEW_Japan_1840_none_011225&amp;utm_content=saletructiep_Japan.P1.1840.giaotiep_PTATT_LD153&amp;utm_campaign=Japan.giaotiep.P1_16917_CVS_NamNH_011225" TargetMode="External"/><Relationship Id="rId2724" Type="http://schemas.openxmlformats.org/officeDocument/2006/relationships/hyperlink" Target="https://tinyurl.com/P1xJPCVS" TargetMode="External"/><Relationship Id="rId2725" Type="http://schemas.openxmlformats.org/officeDocument/2006/relationships/hyperlink" Target="https://patadovietnam.edu.vn/tienganhgiaotiep_hn/" TargetMode="External"/><Relationship Id="rId2726" Type="http://schemas.openxmlformats.org/officeDocument/2006/relationships/hyperlink" Target="https://patadovietnam.edu.vn/tienganhgiaotiep_hn/?utm_source=Facebook&amp;utm_medium=CVS&amp;utm_term=NEW_Japan_1840_none_011225&amp;utm_content=saletructiep_Japan.P2.1840.giaotiep_PTATT_LD153&amp;utm_campaign=Japan.giaotiep.P2_16917_CVS_NamNH_011225" TargetMode="External"/><Relationship Id="rId2727" Type="http://schemas.openxmlformats.org/officeDocument/2006/relationships/hyperlink" Target="https://patadovietnam.edu.vn/gtjapan_nhn3" TargetMode="External"/><Relationship Id="rId2728" Type="http://schemas.openxmlformats.org/officeDocument/2006/relationships/hyperlink" Target="https://patadovietnam.edu.vn/gtjapan_nhn3/?utm_source=Facebook&amp;utm_medium=CVS&amp;utm_term=NEW_Japan_1840_none_011225&amp;utm_content=saletructiep_Japan.P3.1840.giaotiep_PTATT_LD164&amp;utm_campaign=Japan.giaotiep.P3_16917_CVS_NamNH_011225" TargetMode="External"/><Relationship Id="rId2729" Type="http://schemas.openxmlformats.org/officeDocument/2006/relationships/hyperlink" Target="https://tinyurl.com/P3xJPC" TargetMode="External"/><Relationship Id="rId2710" Type="http://schemas.openxmlformats.org/officeDocument/2006/relationships/hyperlink" Target="https://patadovietnam.edu.vn/tienganhgiaotiep_hn/?utm_source=Facebook&amp;utm_medium=MES&amp;utm_term=NEW_Europe_1840_none_121125&amp;utm_content=saletructiep_Europe.M566.1840.giaotiep_PTATT_LD153&amp;utm_campaign=Europe.giaotiep.M566_16917_MES_NamNH_121125" TargetMode="External"/><Relationship Id="rId2711" Type="http://schemas.openxmlformats.org/officeDocument/2006/relationships/hyperlink" Target="https://tinyurl.com/M566xEUCVS" TargetMode="External"/><Relationship Id="rId2712" Type="http://schemas.openxmlformats.org/officeDocument/2006/relationships/hyperlink" Target="https://patadovietnam.edu.vn/tienganhgiaotiep_hn/" TargetMode="External"/><Relationship Id="rId2713" Type="http://schemas.openxmlformats.org/officeDocument/2006/relationships/hyperlink" Target="https://patadovietnam.edu.vn/tienganhgiaotiep_hn/?utm_source=Facebook&amp;utm_medium=MES&amp;utm_term=NEW_Japan_1840_none_121125&amp;utm_content=saletructiep_Japan.M564.1840.giaotiep_PTATT_LD153&amp;utm_campaign=Japan.giaotiep.M564_16917_MES_NamNH_121125" TargetMode="External"/><Relationship Id="rId2714" Type="http://schemas.openxmlformats.org/officeDocument/2006/relationships/hyperlink" Target="https://patadovietnam.edu.vn/tienganhgiaotiep_hn/" TargetMode="External"/><Relationship Id="rId2715" Type="http://schemas.openxmlformats.org/officeDocument/2006/relationships/hyperlink" Target="https://patadovietnam.edu.vn/tienganhgiaotiep_hn/?utm_source=Facebook&amp;utm_medium=MES&amp;utm_term=NEW_ALL_1840_none_121125&amp;utm_content=saletructiep_ALL.M564.1840.giaotiep_PTATT_LD153&amp;utm_campaign=ALL.giaotiep.M564_16917_MES_NamNH_121125" TargetMode="External"/><Relationship Id="rId2716" Type="http://schemas.openxmlformats.org/officeDocument/2006/relationships/hyperlink" Target="https://patadovietnam.edu.vn/tienganhgiaotiep_hn/" TargetMode="External"/><Relationship Id="rId2717" Type="http://schemas.openxmlformats.org/officeDocument/2006/relationships/hyperlink" Target="https://patadovietnam.edu.vn/tienganhgiaotiep_hn/?utm_source=Facebook&amp;utm_medium=MES&amp;utm_term=NEW_UnitedStates_2050_none_121125&amp;utm_content=saletructiep_UnitedStates.M566.1840.giaotiep_PTATT_LD153&amp;utm_campaign=UnitedStates.giaotiep.M566_16917_MES_NamNH_121125" TargetMode="External"/><Relationship Id="rId2718" Type="http://schemas.openxmlformats.org/officeDocument/2006/relationships/hyperlink" Target="https://patadovietnam.edu.vn/gtjapan_nhn3" TargetMode="External"/><Relationship Id="rId2719" Type="http://schemas.openxmlformats.org/officeDocument/2006/relationships/hyperlink" Target="https://patadovietnam.edu.vn/gtjapan_nhn3/?utm_source=Facebook&amp;utm_medium=CVS&amp;utm_term=NEW_Japan_1840_none_171125&amp;utm_content=saletructiep_Japan.M564.1840.giaotiep_PTATT_LD164&amp;utm_campaign=Japan.giaotiep.M564_16917_CVS_NamNH_171125" TargetMode="External"/><Relationship Id="rId1455" Type="http://schemas.openxmlformats.org/officeDocument/2006/relationships/hyperlink" Target="https://patadovietnam.edu.vn/gtjapan_nhn3" TargetMode="External"/><Relationship Id="rId2786" Type="http://schemas.openxmlformats.org/officeDocument/2006/relationships/hyperlink" Target="https://patadovietnam.edu.vn/tienganhgiaotiep_hn/" TargetMode="External"/><Relationship Id="rId1456" Type="http://schemas.openxmlformats.org/officeDocument/2006/relationships/hyperlink" Target="https://patadovietnam.edu.vn/gtjapan_nhn3/?utm_source=Facebook&amp;utm_medium=CVS&amp;utm_term=NEW_Japan_3140_none_060524&amp;utm_content=saletructiep_Japan.ANO.1840.giaotiep_PTATT_LD164&amp;utm_campaign=Japan.giaotiep.ANO_16917_CVS_NamNH_060524" TargetMode="External"/><Relationship Id="rId2787" Type="http://schemas.openxmlformats.org/officeDocument/2006/relationships/hyperlink" Target="https://patadovietnam.edu.vn/tienganhgiaotiep_hn/?utm_source=Facebook&amp;utm_medium=CVS&amp;utm_term=NEW_Europe_1840_none_171225&amp;utm_content=saletructiep_Europe.M601.1840.giaotiep_PTATT_LD153&amp;utm_campaign=Europe.giaotiep.M601xM603_16917_CVS_NamNH_171225" TargetMode="External"/><Relationship Id="rId1457" Type="http://schemas.openxmlformats.org/officeDocument/2006/relationships/hyperlink" Target="https://s.net.vn/ano-japan" TargetMode="External"/><Relationship Id="rId2788" Type="http://schemas.openxmlformats.org/officeDocument/2006/relationships/hyperlink" Target="https://tinyurl.com/M601xM603EUC" TargetMode="External"/><Relationship Id="rId1458" Type="http://schemas.openxmlformats.org/officeDocument/2006/relationships/hyperlink" Target="https://patadovietnam.edu.vn/gtjapan_nhn3" TargetMode="External"/><Relationship Id="rId2789" Type="http://schemas.openxmlformats.org/officeDocument/2006/relationships/hyperlink" Target="https://patadovietnam.edu.vn/gtusa1_nhn" TargetMode="External"/><Relationship Id="rId1459" Type="http://schemas.openxmlformats.org/officeDocument/2006/relationships/hyperlink" Target="https://patadovietnam.edu.vn/gtjapan_nhn3/?utm_source=Facebook&amp;utm_medium=CVS&amp;utm_term=NEW_Japan_3140_none_060524&amp;utm_content=saletructiep_Japan.LTO.1840.giaotiep_PTATT_LD164&amp;utm_campaign=Japan.giaotiep.LTO_16917_CVS_NamNH_060524" TargetMode="External"/><Relationship Id="rId629" Type="http://schemas.openxmlformats.org/officeDocument/2006/relationships/hyperlink" Target="http://ldp.ink/TT1_hoaky" TargetMode="External"/><Relationship Id="rId624" Type="http://schemas.openxmlformats.org/officeDocument/2006/relationships/hyperlink" Target="http://ldp.ink/daura_japan" TargetMode="External"/><Relationship Id="rId623" Type="http://schemas.openxmlformats.org/officeDocument/2006/relationships/hyperlink" Target="https://patadovietnam.edu.vn/gtjapan_nhn3/?utm_source=Facebook&amp;utm_medium=CVS&amp;utm_term=NEW_Japan_1840_none_020923&amp;utm_content=saletructiep_Japan.daura.1840.giaotiep_PTATT_LD164&amp;utm_campaign=Japan.giaotiep.daura_16917_CVS_NamNH_020923" TargetMode="External"/><Relationship Id="rId622" Type="http://schemas.openxmlformats.org/officeDocument/2006/relationships/hyperlink" Target="https://patadovietnam.edu.vn/gtjapan_nhn3" TargetMode="External"/><Relationship Id="rId621" Type="http://schemas.openxmlformats.org/officeDocument/2006/relationships/hyperlink" Target="http://ldp.ink/daura_taiwan" TargetMode="External"/><Relationship Id="rId628" Type="http://schemas.openxmlformats.org/officeDocument/2006/relationships/hyperlink" Target="https://patadovietnam.edu.vn/gtusa1_nhn/?utm_source=Facebook&amp;utm_medium=MES&amp;utm_term=NEW_UnitedStates_1845_none_011023&amp;utm_content=saletructiep_UnitedStates.TT1.1845.giaotiep_PTATT_LD161&amp;utm_campaign=UnitedStates.giaotiep.TT1_16917_MES_NamNH_011023" TargetMode="External"/><Relationship Id="rId627" Type="http://schemas.openxmlformats.org/officeDocument/2006/relationships/hyperlink" Target="https://patadovietnam.edu.vn/gtusa1_nhn" TargetMode="External"/><Relationship Id="rId626" Type="http://schemas.openxmlformats.org/officeDocument/2006/relationships/hyperlink" Target="https://www.anhngupatado.edu.vn/patado_nhan_tai_lieu_mien_phi/?utm_source=Email&amp;utm_medium=CVS&amp;utm_term=RMK_ALL_1845_none_290923&amp;utm_content=saletructiep_Emailnuture29/9_PTATT_LD202&amp;utm_campaign=Emailnuture29/9_Patadoadmin_CVS_NamNH_290923" TargetMode="External"/><Relationship Id="rId625" Type="http://schemas.openxmlformats.org/officeDocument/2006/relationships/hyperlink" Target="https://www.anhngupatado.edu.vn/patado_nhan_tai_lieu_mien_phi" TargetMode="External"/><Relationship Id="rId2780" Type="http://schemas.openxmlformats.org/officeDocument/2006/relationships/hyperlink" Target="https://patadovietnam.edu.vn/tienganhgiaotiep_hn/" TargetMode="External"/><Relationship Id="rId1450" Type="http://schemas.openxmlformats.org/officeDocument/2006/relationships/hyperlink" Target="https://patadovietnam.edu.vn/tienganhdoanhnghiep_hn/?utm_source=Facebook&amp;utm_medium=CVS&amp;utm_term=NEW_Vietnam_2030_none_060524&amp;utm_content=saletructiep_Vietnam.KHCS.2030.DoanhNghiep_PTATT_LD224&amp;utm_campaign=Vietnam.Doanhnghiep.KHCS_95360_CVS_NamNH_060524" TargetMode="External"/><Relationship Id="rId2781" Type="http://schemas.openxmlformats.org/officeDocument/2006/relationships/hyperlink" Target="https://patadovietnam.edu.vn/tienganhgiaotiep_hn/?utm_source=Facebook&amp;utm_medium=MES&amp;utm_term=NEW_ALL_1840_none_121225&amp;utm_content=saletructiep_ALL.M416.1840.giaotiep_PTATT_LD153&amp;utm_campaign=ALL.giaotiep.M416xM603_16917_MES_NamNH_121225" TargetMode="External"/><Relationship Id="rId620" Type="http://schemas.openxmlformats.org/officeDocument/2006/relationships/hyperlink" Target="https://patadovietnam.edu.vn/tatoandien_namnh/?utm_source=Facebook&amp;utm_medium=MES&amp;utm_term=NEW_Taiwan_1840_none_020923&amp;utm_content=saletructiep_Taiwan.daura.1840.giaotiep_PTATT_LD187&amp;utm_campaign=Taiwan.giaotiep.daura_95360_MES_NamNH_020923" TargetMode="External"/><Relationship Id="rId1451" Type="http://schemas.openxmlformats.org/officeDocument/2006/relationships/hyperlink" Target="https://s.net.vn/KHCS-vietnam" TargetMode="External"/><Relationship Id="rId2782" Type="http://schemas.openxmlformats.org/officeDocument/2006/relationships/hyperlink" Target="https://tinyurl.com/M416xM603ALL" TargetMode="External"/><Relationship Id="rId1452" Type="http://schemas.openxmlformats.org/officeDocument/2006/relationships/hyperlink" Target="https://patadovietnam.edu.vn/tienganhdoanhnghiep_hn" TargetMode="External"/><Relationship Id="rId2783" Type="http://schemas.openxmlformats.org/officeDocument/2006/relationships/hyperlink" Target="https://patadovietnam.edu.vn/tienganhgiaotiep_hn/" TargetMode="External"/><Relationship Id="rId1453" Type="http://schemas.openxmlformats.org/officeDocument/2006/relationships/hyperlink" Target="https://patadovietnam.edu.vn/tienganhdoanhnghiep_hn/?utm_source=Facebook&amp;utm_medium=CVS&amp;utm_term=NEW_Vietnam_3140_none_060524&amp;utm_content=saletructiep_Vietnam.KHCS1.2030.DoanhNghiep_PTATT_LD224&amp;utm_campaign=Vietnam.Doanhnghiep.KHCS1_95360_CVS_NamNH_060524" TargetMode="External"/><Relationship Id="rId2784" Type="http://schemas.openxmlformats.org/officeDocument/2006/relationships/hyperlink" Target="https://patadovietnam.edu.vn/tienganhgiaotiep_hn/?utm_source=Facebook&amp;utm_medium=MES&amp;utm_term=NEW_ALL_1840_none_151225&amp;utm_content=saletructiep_ALL.M601.1840.giaotiep_PTATT_LD153&amp;utm_campaign=ALL.giaotiep.M601_16917_MES_NamNH_151225" TargetMode="External"/><Relationship Id="rId1454" Type="http://schemas.openxmlformats.org/officeDocument/2006/relationships/hyperlink" Target="https://s.net.vn/KHCS1-vietnam" TargetMode="External"/><Relationship Id="rId2785" Type="http://schemas.openxmlformats.org/officeDocument/2006/relationships/hyperlink" Target="https://tinyurl.com/M601xALLm" TargetMode="External"/><Relationship Id="rId1444" Type="http://schemas.openxmlformats.org/officeDocument/2006/relationships/hyperlink" Target="https://patadovietnam.edu.vn/tienganhdoanhnghiep_hn/?utm_source=Facebook&amp;utm_medium=MES&amp;utm_term=NEW_Vietnam_2030_none_060524&amp;utm_content=saletructiep_Vietnam.MGTT.2030.DoanhNghiep_PTATT_LD224&amp;utm_campaign=Vietnam.Doanhnghiep.MGTT_95360_MES_NamNH_060524" TargetMode="External"/><Relationship Id="rId2775" Type="http://schemas.openxmlformats.org/officeDocument/2006/relationships/hyperlink" Target="https://patadovietnam.edu.vn/gtusa1_nhn/?utm_source=Facebook&amp;utm_medium=CVS&amp;utm_term=NEW_UnitedStates_2050_none_121225&amp;utm_content=saletructiep_UnitedStates.M577.1840.giaotiep_PTATT_LD161&amp;utm_campaign=UnitedStates.giaotiep.M577xM603_16917_CVS_NamNH_121225" TargetMode="External"/><Relationship Id="rId1445" Type="http://schemas.openxmlformats.org/officeDocument/2006/relationships/hyperlink" Target="https://s.net.vn/MGTT-vietnam" TargetMode="External"/><Relationship Id="rId2776" Type="http://schemas.openxmlformats.org/officeDocument/2006/relationships/hyperlink" Target="https://tinyurl.com/M577xM603USC" TargetMode="External"/><Relationship Id="rId1446" Type="http://schemas.openxmlformats.org/officeDocument/2006/relationships/hyperlink" Target="https://patadovietnam.edu.vn/tienganhdoanhnghiep_hn" TargetMode="External"/><Relationship Id="rId2777" Type="http://schemas.openxmlformats.org/officeDocument/2006/relationships/hyperlink" Target="https://patadovietnam.edu.vn/tienganhgiaotiep_hn/" TargetMode="External"/><Relationship Id="rId1447" Type="http://schemas.openxmlformats.org/officeDocument/2006/relationships/hyperlink" Target="https://patadovietnam.edu.vn/tienganhdoanhnghiep_hn/?utm_source=Facebook&amp;utm_medium=MES&amp;utm_term=NEW_Vietnam_3140_none_060524&amp;utm_content=saletructiep_Vietnam.MGTT1.3140.DoanhNghiep_PTATT_LD224&amp;utm_campaign=Vietnam.Doanhnghiep.MGTT1_95360_MES_NamNH_060524" TargetMode="External"/><Relationship Id="rId2778" Type="http://schemas.openxmlformats.org/officeDocument/2006/relationships/hyperlink" Target="https://patadovietnam.edu.vn/tienganhgiaotiep_hn/?utm_source=Facebook&amp;utm_medium=CVS&amp;utm_term=NEW_Europe_1840_none_121225&amp;utm_content=saletructiep_Europe.M577.1840.giaotiep_PTATT_LD153&amp;utm_campaign=Europe.giaotiep.M577xM603_16917_CVS_NamNH_121225" TargetMode="External"/><Relationship Id="rId1448" Type="http://schemas.openxmlformats.org/officeDocument/2006/relationships/hyperlink" Target="https://s.net.vn/MGTT1-vietnam" TargetMode="External"/><Relationship Id="rId2779" Type="http://schemas.openxmlformats.org/officeDocument/2006/relationships/hyperlink" Target="https://tinyurl.com/M577xM603EUC" TargetMode="External"/><Relationship Id="rId1449" Type="http://schemas.openxmlformats.org/officeDocument/2006/relationships/hyperlink" Target="https://patadovietnam.edu.vn/tienganhdoanhnghiep_hn" TargetMode="External"/><Relationship Id="rId619" Type="http://schemas.openxmlformats.org/officeDocument/2006/relationships/hyperlink" Target="https://patadovietnam.edu.vn/tatoandien_namnh" TargetMode="External"/><Relationship Id="rId618" Type="http://schemas.openxmlformats.org/officeDocument/2006/relationships/hyperlink" Target="http://ldp.ink/daura_hanquoc" TargetMode="External"/><Relationship Id="rId613" Type="http://schemas.openxmlformats.org/officeDocument/2006/relationships/hyperlink" Target="https://patadovietnam.edu.vn/gtusa1_nhn" TargetMode="External"/><Relationship Id="rId612" Type="http://schemas.openxmlformats.org/officeDocument/2006/relationships/hyperlink" Target="http://ldp.ink/TLVDKN_japan" TargetMode="External"/><Relationship Id="rId611" Type="http://schemas.openxmlformats.org/officeDocument/2006/relationships/hyperlink" Target="https://patadovietnam.edu.vn/gtjapan_nhn3/?utm_source=Facebook&amp;utm_medium=CVS&amp;utm_term=NEW_Japan_1840_none_010923&amp;utm_content=saletructiep_Japan.TLVGTN.1840.giaotiep_PTATT_LD164&amp;utm_campaign=Japan.giaotiep.TLVGTN_16917_CVS_NamNH_010923" TargetMode="External"/><Relationship Id="rId610" Type="http://schemas.openxmlformats.org/officeDocument/2006/relationships/hyperlink" Target="https://patadovietnam.edu.vn/gtjapan_nhn3" TargetMode="External"/><Relationship Id="rId617" Type="http://schemas.openxmlformats.org/officeDocument/2006/relationships/hyperlink" Target="https://patadovietnam.edu.vn/tatoandien_namnh/?utm_source=Facebook&amp;utm_medium=CVS&amp;utm_term=NEW_KoreaSouth_1840_none_020923&amp;utm_content=saletructiep_KoreaSouth.daura.1840.giaotiep_PTATT_LD187&amp;utm_campaign=KoreaSouth.giaotiep.daura_95360_CVS_NamNH_020923" TargetMode="External"/><Relationship Id="rId616" Type="http://schemas.openxmlformats.org/officeDocument/2006/relationships/hyperlink" Target="https://patadovietnam.edu.vn/tatoandien_namnh" TargetMode="External"/><Relationship Id="rId615" Type="http://schemas.openxmlformats.org/officeDocument/2006/relationships/hyperlink" Target="http://ldp.ink/TLVGTN_hoaky" TargetMode="External"/><Relationship Id="rId614" Type="http://schemas.openxmlformats.org/officeDocument/2006/relationships/hyperlink" Target="https://patadovietnam.edu.vn/gtusa1_nhn/?utm_source=Facebook&amp;utm_medium=MES&amp;utm_term=NEW_UnitedStates_1840_none_010923&amp;utm_content=saletructiep_UnitedStates.TLVGTN.1840.giaotiep_PTATT_LD161&amp;utm_campaign=UnitedStates.giaotiep.TLVGTN_16917_MES_NamNH_010923" TargetMode="External"/><Relationship Id="rId2770" Type="http://schemas.openxmlformats.org/officeDocument/2006/relationships/hyperlink" Target="https://tinyurl.com/M580xM600US" TargetMode="External"/><Relationship Id="rId1440" Type="http://schemas.openxmlformats.org/officeDocument/2006/relationships/hyperlink" Target="https://patadovietnam.edu.vn/tienganhgiaotiep_hn/" TargetMode="External"/><Relationship Id="rId2771" Type="http://schemas.openxmlformats.org/officeDocument/2006/relationships/hyperlink" Target="https://patadovietnam.edu.vn/gtjapan_nhn3" TargetMode="External"/><Relationship Id="rId1441" Type="http://schemas.openxmlformats.org/officeDocument/2006/relationships/hyperlink" Target="https://patadovietnam.edu.vn/tienganhgiaotiep_hn/?utm_source=Facebook&amp;utm_medium=MES&amp;utm_term=NEW_Philippines_1840_none_050524&amp;utm_content=saletructiep_Philippines.M226.1840.giaotiep_PTATT_LD153&amp;utm_campaign=Philippines.giaotiep.M226_16917_MES_NamNH_050524" TargetMode="External"/><Relationship Id="rId2772" Type="http://schemas.openxmlformats.org/officeDocument/2006/relationships/hyperlink" Target="https://patadovietnam.edu.vn/gtjapan_nhn3/?utm_source=Facebook&amp;utm_medium=CVS&amp;utm_term=NEW_Japan_1840_none_121225&amp;utm_content=saletructiep_Japan.M577.1840.giaotiep_PTATT_LD164&amp;utm_campaign=Japan.giaotiep.M577xM603_16917_CVS_NamNH_121225" TargetMode="External"/><Relationship Id="rId1442" Type="http://schemas.openxmlformats.org/officeDocument/2006/relationships/hyperlink" Target="https://s.net.vn/M226-philippines" TargetMode="External"/><Relationship Id="rId2773" Type="http://schemas.openxmlformats.org/officeDocument/2006/relationships/hyperlink" Target="https://tinyurl.com/M577xM603JPC" TargetMode="External"/><Relationship Id="rId1443" Type="http://schemas.openxmlformats.org/officeDocument/2006/relationships/hyperlink" Target="https://patadovietnam.edu.vn/tienganhdoanhnghiep_hn" TargetMode="External"/><Relationship Id="rId2774" Type="http://schemas.openxmlformats.org/officeDocument/2006/relationships/hyperlink" Target="https://patadovietnam.edu.vn/gtusa1_nhn" TargetMode="External"/><Relationship Id="rId1477" Type="http://schemas.openxmlformats.org/officeDocument/2006/relationships/hyperlink" Target="https://patadovietnam.edu.vn/tienganhgiaotiep_hn/?utm_source=Facebook&amp;utm_medium=MES&amp;utm_term=NEW_Taiwan_1840_none_060524&amp;utm_content=saletructiep_Taiwan.anhtblh.1840.giaotiep_PTATT_LD153&amp;utm_campaign=Taiwan.giaotiep.anhtblh_95360_MES_NamNH_060524" TargetMode="External"/><Relationship Id="rId1478" Type="http://schemas.openxmlformats.org/officeDocument/2006/relationships/hyperlink" Target="https://s.net.vn/tblh-taiwan" TargetMode="External"/><Relationship Id="rId1479" Type="http://schemas.openxmlformats.org/officeDocument/2006/relationships/hyperlink" Target="https://patadovietnam.edu.vn/tienganhgiaotiep_hn/" TargetMode="External"/><Relationship Id="rId646" Type="http://schemas.openxmlformats.org/officeDocument/2006/relationships/hyperlink" Target="https://patadovietnam.edu.vn/tienganhgiaotiep_hn/?utm_source=Facebook&amp;utm_medium=MES&amp;utm_term=NEW_KoreaSouth_1840_none_021123&amp;utm_content=saletructiep_KoreaSouth.nghoa.1840.giaotiep_PTATT_LD153&amp;utm_campaign=KoreaSouth.giaotiep.nghoa_95360_MES_NamNH_021123" TargetMode="External"/><Relationship Id="rId645" Type="http://schemas.openxmlformats.org/officeDocument/2006/relationships/hyperlink" Target="https://patadovietnam.edu.vn/tienganhgiaotiep_hn/" TargetMode="External"/><Relationship Id="rId644" Type="http://schemas.openxmlformats.org/officeDocument/2006/relationships/hyperlink" Target="http://ldp.ink/nghoa_taiwan" TargetMode="External"/><Relationship Id="rId643" Type="http://schemas.openxmlformats.org/officeDocument/2006/relationships/hyperlink" Target="https://patadovietnam.edu.vn/tienganhgiaotiep_hn/?utm_source=Facebook&amp;utm_medium=MES&amp;utm_term=NEW_Taiwan_1840_none_021123&amp;utm_content=saletructiep_Taiwan.nghoa.1840.giaotiep_PTATT_LD153&amp;utm_campaign=Taiwan.giaotiep.nghoa_95360_MES_NamNH_021123" TargetMode="External"/><Relationship Id="rId649" Type="http://schemas.openxmlformats.org/officeDocument/2006/relationships/hyperlink" Target="https://patadovietnam.edu.vn/gtjapan_nhn3/?utm_source=Facebook&amp;utm_medium=CVS&amp;utm_term=NEW_Japan_1840_none_031023&amp;utm_content=saletructiep_Japan.nghoa.1840.giaotiep_PTATT_LD164&amp;utm_campaign=Japan.giaotiep.nghoa_16917_CVS_NamNH_031023" TargetMode="External"/><Relationship Id="rId648" Type="http://schemas.openxmlformats.org/officeDocument/2006/relationships/hyperlink" Target="https://patadovietnam.edu.vn/gtjapan_nhn3" TargetMode="External"/><Relationship Id="rId647" Type="http://schemas.openxmlformats.org/officeDocument/2006/relationships/hyperlink" Target="http://ldp.ink/NGHOA_hanquoc" TargetMode="External"/><Relationship Id="rId1470" Type="http://schemas.openxmlformats.org/officeDocument/2006/relationships/hyperlink" Target="https://patadovietnam.edu.vn/tienganhgiaotiep_hn/" TargetMode="External"/><Relationship Id="rId1471" Type="http://schemas.openxmlformats.org/officeDocument/2006/relationships/hyperlink" Target="https://patadovietnam.edu.vn/tienganhgiaotiep_hn/?utm_source=Facebook&amp;utm_medium=MES&amp;utm_term=NEW_KoreaSouth_1840_none_060524&amp;utm_content=saletructiep_KoreaSouth.anhnote.1840.giaotiep_PTATT_LD153&amp;utm_campaign=KoreaSouth.giaotiep.anhnote_95360_MES_NamNH_060524" TargetMode="External"/><Relationship Id="rId1472" Type="http://schemas.openxmlformats.org/officeDocument/2006/relationships/hyperlink" Target="https://s.net.vn/note-korea" TargetMode="External"/><Relationship Id="rId642" Type="http://schemas.openxmlformats.org/officeDocument/2006/relationships/hyperlink" Target="https://patadovietnam.edu.vn/tienganhgiaotiep_hn/" TargetMode="External"/><Relationship Id="rId1473" Type="http://schemas.openxmlformats.org/officeDocument/2006/relationships/hyperlink" Target="https://patadovietnam.edu.vn/tienganhgiaotiep_hn/" TargetMode="External"/><Relationship Id="rId641" Type="http://schemas.openxmlformats.org/officeDocument/2006/relationships/hyperlink" Target="http://ldp.ink/nghoa_hoaky" TargetMode="External"/><Relationship Id="rId1474" Type="http://schemas.openxmlformats.org/officeDocument/2006/relationships/hyperlink" Target="https://patadovietnam.edu.vn/tienganhgiaotiep_hn/?utm_source=Facebook&amp;utm_medium=MES&amp;utm_term=NEW_KoreaSouth_1840_none_060524&amp;utm_content=saletructiep_KoreaSouth.anhlt.1840.giaotiep_PTATT_LD153&amp;utm_campaign=KoreaSouth.giaotiep.anhlt_95360_MES_NamNH_060524" TargetMode="External"/><Relationship Id="rId640" Type="http://schemas.openxmlformats.org/officeDocument/2006/relationships/hyperlink" Target="https://patadovietnam.edu.vn/gtusa1_nhn/?utm_source=Facebook&amp;utm_medium=MES&amp;utm_term=NEW_UnitedStates_1840_none_021123&amp;utm_content=saletructiep_UnitedStates.nghoa.1840.giaotiep_PTATT_LD161&amp;utm_campaign=UnitedStates.giaotiep.nghoa_16917_MES_NamNH_021123" TargetMode="External"/><Relationship Id="rId1475" Type="http://schemas.openxmlformats.org/officeDocument/2006/relationships/hyperlink" Target="https://s.net.vn/lt-hanquoc" TargetMode="External"/><Relationship Id="rId1476" Type="http://schemas.openxmlformats.org/officeDocument/2006/relationships/hyperlink" Target="https://patadovietnam.edu.vn/tienganhgiaotiep_hn/" TargetMode="External"/><Relationship Id="rId1466" Type="http://schemas.openxmlformats.org/officeDocument/2006/relationships/hyperlink" Target="https://s.net.vn/lto-hoaky" TargetMode="External"/><Relationship Id="rId2797" Type="http://schemas.openxmlformats.org/officeDocument/2006/relationships/hyperlink" Target="https://tinyurl.com/M562xM578EUC" TargetMode="External"/><Relationship Id="rId1467" Type="http://schemas.openxmlformats.org/officeDocument/2006/relationships/hyperlink" Target="https://patadovietnam.edu.vn/gtusa1_nhn" TargetMode="External"/><Relationship Id="rId2798" Type="http://schemas.openxmlformats.org/officeDocument/2006/relationships/hyperlink" Target="https://patadovietnam.edu.vn/tienganhgiaotiep_hn/" TargetMode="External"/><Relationship Id="rId1468" Type="http://schemas.openxmlformats.org/officeDocument/2006/relationships/hyperlink" Target="https://patadovietnam.edu.vn/gtusa1_nhn/?utm_source=Facebook&amp;utm_medium=MES&amp;utm_term=NEW_UnitedStates_1840_none_060524&amp;utm_content=saletructiep_UnitedStates.ANO.1840.giaotiep_PTATT_LD161&amp;utm_campaign=UnitedStates.giaotiep.ANO_16917_MES_NamNH_060524" TargetMode="External"/><Relationship Id="rId2799" Type="http://schemas.openxmlformats.org/officeDocument/2006/relationships/hyperlink" Target="https://patadovietnam.edu.vn/tienganhgiaotiep_hn/?utm_source=Facebook&amp;utm_medium=MES&amp;utm_term=NEW_ALL_1840_none_241225&amp;utm_content=saletructiep_ALL.M562.1840.giaotiep_PTATT_LD153&amp;utm_campaign=ALL.giaotiep.M562xM578_16917_MES_NamNH_241225" TargetMode="External"/><Relationship Id="rId1469" Type="http://schemas.openxmlformats.org/officeDocument/2006/relationships/hyperlink" Target="https://s.net.vn/ano-hoaky" TargetMode="External"/><Relationship Id="rId635" Type="http://schemas.openxmlformats.org/officeDocument/2006/relationships/hyperlink" Target="http://ldp.ink/TT1_hanquoc" TargetMode="External"/><Relationship Id="rId634" Type="http://schemas.openxmlformats.org/officeDocument/2006/relationships/hyperlink" Target="https://patadovietnam.edu.vn/tatoandien_namnh/?utm_source=Facebook&amp;utm_medium=MES&amp;utm_term=NEW_KoreaSouth_1840_none_011023&amp;utm_content=saletructiep_KoreaSouth.TT1.1840.giaotiep_PTATT_LD187&amp;utm_campaign=KoreaSouth.giaotiep.TT1_95360_MES_NamNH_011023" TargetMode="External"/><Relationship Id="rId633" Type="http://schemas.openxmlformats.org/officeDocument/2006/relationships/hyperlink" Target="https://patadovietnam.edu.vn/tatoandien_namnh" TargetMode="External"/><Relationship Id="rId632" Type="http://schemas.openxmlformats.org/officeDocument/2006/relationships/hyperlink" Target="http://ldp.ink/TT1_taiwan" TargetMode="External"/><Relationship Id="rId639" Type="http://schemas.openxmlformats.org/officeDocument/2006/relationships/hyperlink" Target="https://patadovietnam.edu.vn/gtusa1_nhn" TargetMode="External"/><Relationship Id="rId638" Type="http://schemas.openxmlformats.org/officeDocument/2006/relationships/hyperlink" Target="http://ldp.ink/TT1_japan" TargetMode="External"/><Relationship Id="rId637" Type="http://schemas.openxmlformats.org/officeDocument/2006/relationships/hyperlink" Target="https://patadovietnam.edu.vn/gtjapan_nhn3/?utm_source=Facebook&amp;utm_medium=CVS&amp;utm_term=NEW_Japan_1840_none_011023&amp;utm_content=saletructiep_Japan.TT1.1840.giaotiep_PTATT_LD164&amp;utm_campaign=Japan.giaotiep.TT1_16917_CVS_NamNH_011023" TargetMode="External"/><Relationship Id="rId636" Type="http://schemas.openxmlformats.org/officeDocument/2006/relationships/hyperlink" Target="https://patadovietnam.edu.vn/gtjapan_nhn3" TargetMode="External"/><Relationship Id="rId2790" Type="http://schemas.openxmlformats.org/officeDocument/2006/relationships/hyperlink" Target="https://patadovietnam.edu.vn/gtusa1_nhn/?utm_source=Facebook&amp;utm_medium=CVS&amp;utm_term=NEW_UnitedStates_2050_none_171225&amp;utm_content=saletructiep_UnitedStates.M577.1840.giaotiep_PTATT_LD161&amp;utm_campaign=UnitedStates.giaotiep.M577xM601_16917_CVS_NamNH_171225" TargetMode="External"/><Relationship Id="rId1460" Type="http://schemas.openxmlformats.org/officeDocument/2006/relationships/hyperlink" Target="https://s.net.vn/lto-japan" TargetMode="External"/><Relationship Id="rId2791" Type="http://schemas.openxmlformats.org/officeDocument/2006/relationships/hyperlink" Target="https://tinyurl.com/M577xM601USC" TargetMode="External"/><Relationship Id="rId1461" Type="http://schemas.openxmlformats.org/officeDocument/2006/relationships/hyperlink" Target="https://patadovietnam.edu.vn/gtusa1_nhn" TargetMode="External"/><Relationship Id="rId2792" Type="http://schemas.openxmlformats.org/officeDocument/2006/relationships/hyperlink" Target="https://patadovietnam.edu.vn/gtjapan_nhn3" TargetMode="External"/><Relationship Id="rId631" Type="http://schemas.openxmlformats.org/officeDocument/2006/relationships/hyperlink" Target="https://patadovietnam.edu.vn/tienganhgiaotiep_hn/?utm_source=Facebook&amp;utm_medium=MES&amp;utm_term=NEW_Taiwan_1840_none_011023&amp;utm_content=saletructiep_Taiwan.TT1.1840.giaotiep_PTATT_LD153&amp;utm_campaign=Taiwan.giaotiep.TT1_95360_MES_NamNH_011023" TargetMode="External"/><Relationship Id="rId1462" Type="http://schemas.openxmlformats.org/officeDocument/2006/relationships/hyperlink" Target="https://patadovietnam.edu.vn/gtusa1_nhn/?utm_source=Facebook&amp;utm_medium=MES&amp;utm_term=NEW_UnitedStates_1840_none_060524&amp;utm_content=saletructiep_UnitedStates.NGHO.1840.giaotiep_PTATT_LD161&amp;utm_campaign=UnitedStates.giaotiep.NGHO_16917_MES_NamNH_060524" TargetMode="External"/><Relationship Id="rId2793" Type="http://schemas.openxmlformats.org/officeDocument/2006/relationships/hyperlink" Target="https://patadovietnam.edu.vn/gtjapan_nhn3/?utm_source=Facebook&amp;utm_medium=CVS&amp;utm_term=NEW_Japan_1840_none_231225&amp;utm_content=saletructiep_Japan.M562.1840.giaotiep_PTATT_LD164&amp;utm_campaign=Japan.giaotiep.M562xM578_16917_CVS_NamNH_231225" TargetMode="External"/><Relationship Id="rId630" Type="http://schemas.openxmlformats.org/officeDocument/2006/relationships/hyperlink" Target="https://patadovietnam.edu.vn/tienganhgiaotiep_hn/" TargetMode="External"/><Relationship Id="rId1463" Type="http://schemas.openxmlformats.org/officeDocument/2006/relationships/hyperlink" Target="https://s.net.vn/ngh-hoaky" TargetMode="External"/><Relationship Id="rId2794" Type="http://schemas.openxmlformats.org/officeDocument/2006/relationships/hyperlink" Target="https://tinyurl.com/M562xM578JPC" TargetMode="External"/><Relationship Id="rId1464" Type="http://schemas.openxmlformats.org/officeDocument/2006/relationships/hyperlink" Target="https://patadovietnam.edu.vn/gtusa1_nhn" TargetMode="External"/><Relationship Id="rId2795" Type="http://schemas.openxmlformats.org/officeDocument/2006/relationships/hyperlink" Target="https://patadovietnam.edu.vn/tienganhgiaotiep_hn/" TargetMode="External"/><Relationship Id="rId1465" Type="http://schemas.openxmlformats.org/officeDocument/2006/relationships/hyperlink" Target="https://patadovietnam.edu.vn/gtusa1_nhn/?utm_source=Facebook&amp;utm_medium=MES&amp;utm_term=NEW_UnitedStates_1840_none_060524&amp;utm_content=saletructiep_UnitedStates.LTO.1840.giaotiep_PTATT_LD161&amp;utm_campaign=UnitedStates.giaotiep.LTO_16917_MES_NamNH_060524" TargetMode="External"/><Relationship Id="rId2796" Type="http://schemas.openxmlformats.org/officeDocument/2006/relationships/hyperlink" Target="https://patadovietnam.edu.vn/tienganhgiaotiep_hn/?utm_source=Facebook&amp;utm_medium=CVS&amp;utm_term=NEW_Europe_1840_none_231225&amp;utm_content=saletructiep_Europe.M562.1840.giaotiep_PTATT_LD153&amp;utm_campaign=Europe.giaotiep.M562xM578_16917_CVS_NamNH_231225" TargetMode="External"/><Relationship Id="rId1411" Type="http://schemas.openxmlformats.org/officeDocument/2006/relationships/hyperlink" Target="https://patadovietnam.edu.vn/tienganhgiaotiep_hn/?utm_source=Facebook&amp;utm_medium=MES&amp;utm_term=NEW_KoreaSouth_1840_none_010524&amp;utm_content=saletructiep_KoreaSouth.PPJH.1840.giaotiep_PTATT_LD153&amp;utm_campaign=KoreaSouth.giaotiep.PPJH_16917_MES_NamNH_010524" TargetMode="External"/><Relationship Id="rId2742" Type="http://schemas.openxmlformats.org/officeDocument/2006/relationships/hyperlink" Target="https://patadovietnam.edu.vn/gtusa1_nhn" TargetMode="External"/><Relationship Id="rId1412" Type="http://schemas.openxmlformats.org/officeDocument/2006/relationships/hyperlink" Target="http://ldp.ink/PPJH_korea" TargetMode="External"/><Relationship Id="rId2743" Type="http://schemas.openxmlformats.org/officeDocument/2006/relationships/hyperlink" Target="https://patadovietnam.edu.vn/gtusa1_nhn/?utm_source=Facebook&amp;utm_medium=MES&amp;utm_term=NEW_UnitedStates_2050_none_021225&amp;utm_content=saletructiep_UnitedStates.P8.1840.giaotiep_PTATT_LD161&amp;utm_campaign=UnitedStates.giaotiep.P8_16917_MES_NamNH_021225" TargetMode="External"/><Relationship Id="rId1413" Type="http://schemas.openxmlformats.org/officeDocument/2006/relationships/hyperlink" Target="https://patadovietnam.edu.vn/tienganhgiaotiep_hn/" TargetMode="External"/><Relationship Id="rId2744" Type="http://schemas.openxmlformats.org/officeDocument/2006/relationships/hyperlink" Target="https://tinyurl.com/P8xUSME" TargetMode="External"/><Relationship Id="rId1414" Type="http://schemas.openxmlformats.org/officeDocument/2006/relationships/hyperlink" Target="https://patadovietnam.edu.vn/tienganhgiaotiep_hn/?utm_source=Facebook&amp;utm_medium=MES&amp;utm_term=NEW_Australia_1840_none_010524&amp;utm_content=saletructiep_Australia.PTKO2.1840.giaotiep_PTATT_LD153&amp;utm_campaign=Australia.giaotiep.PTKO2_16917_MES_NamNH_010524" TargetMode="External"/><Relationship Id="rId2745" Type="http://schemas.openxmlformats.org/officeDocument/2006/relationships/hyperlink" Target="https://patadovietnam.edu.vn/gtusa1_nhn" TargetMode="External"/><Relationship Id="rId1415" Type="http://schemas.openxmlformats.org/officeDocument/2006/relationships/hyperlink" Target="http://ldp.ink/PTKO2_australia" TargetMode="External"/><Relationship Id="rId2746" Type="http://schemas.openxmlformats.org/officeDocument/2006/relationships/hyperlink" Target="https://patadovietnam.edu.vn/gtusa1_nhn/?utm_source=Facebook&amp;utm_medium=MES&amp;utm_term=NEW_UnitedStates_2050_none_021225&amp;utm_content=saletructiep_UnitedStates.P10.1840.giaotiep_PTATT_LD161&amp;utm_campaign=UnitedStates.giaotiep.P10_16917_MES_NamNH_021225" TargetMode="External"/><Relationship Id="rId1416" Type="http://schemas.openxmlformats.org/officeDocument/2006/relationships/hyperlink" Target="https://patadovietnam.edu.vn/tienganhgiaotiep_hn/" TargetMode="External"/><Relationship Id="rId2747" Type="http://schemas.openxmlformats.org/officeDocument/2006/relationships/hyperlink" Target="https://patadovietnam.edu.vn/gtusa1_nhn" TargetMode="External"/><Relationship Id="rId1417" Type="http://schemas.openxmlformats.org/officeDocument/2006/relationships/hyperlink" Target="https://patadovietnam.edu.vn/tienganhgiaotiep_hn/?utm_source=Facebook&amp;utm_medium=MES&amp;utm_term=NEW_Australia_1840_none_010524&amp;utm_content=saletructiep_Australia.JHKO.1840.giaotiep_PTATT_LD153&amp;utm_campaign=Australia.giaotiep.JHKO_16917_MES_NamNH_010524" TargetMode="External"/><Relationship Id="rId2748" Type="http://schemas.openxmlformats.org/officeDocument/2006/relationships/hyperlink" Target="https://patadovietnam.edu.vn/gtusa1_nhn/?utm_source=Facebook&amp;utm_medium=MES&amp;utm_term=NEW_UnitedStates_2050_none_021225&amp;utm_content=saletructiep_UnitedStates.P11.1840.giaotiep_PTATT_LD161&amp;utm_campaign=UnitedStates.giaotiep.P11_16917_MES_NamNH_021225" TargetMode="External"/><Relationship Id="rId1418" Type="http://schemas.openxmlformats.org/officeDocument/2006/relationships/hyperlink" Target="http://ldp.ink/JHKO_australia" TargetMode="External"/><Relationship Id="rId2749" Type="http://schemas.openxmlformats.org/officeDocument/2006/relationships/hyperlink" Target="https://tinyurl.com/P11xUSMES" TargetMode="External"/><Relationship Id="rId1419" Type="http://schemas.openxmlformats.org/officeDocument/2006/relationships/hyperlink" Target="https://patadovietnam.edu.vn/tienganhgiaotiep_hn/" TargetMode="External"/><Relationship Id="rId2740" Type="http://schemas.openxmlformats.org/officeDocument/2006/relationships/hyperlink" Target="https://patadovietnam.edu.vn/tienganhgiaotiep_hn/" TargetMode="External"/><Relationship Id="rId1410" Type="http://schemas.openxmlformats.org/officeDocument/2006/relationships/hyperlink" Target="https://patadovietnam.edu.vn/tienganhgiaotiep_hn/" TargetMode="External"/><Relationship Id="rId2741" Type="http://schemas.openxmlformats.org/officeDocument/2006/relationships/hyperlink" Target="https://patadovietnam.edu.vn/tienganhgiaotiep_hn/?utm_source=Facebook&amp;utm_medium=CVS&amp;utm_term=NEW_Europe_1840_none_021225&amp;utm_content=saletructiep_Europe.P9.1840.giaotiep_PTATT_LD153&amp;utm_campaign=Europe.giaotiep.P9_16917_CVS_NamNH_021225" TargetMode="External"/><Relationship Id="rId1400" Type="http://schemas.openxmlformats.org/officeDocument/2006/relationships/hyperlink" Target="http://ldp.ink/PPJH_taiwan" TargetMode="External"/><Relationship Id="rId2731" Type="http://schemas.openxmlformats.org/officeDocument/2006/relationships/hyperlink" Target="https://patadovietnam.edu.vn/gtjapan_nhn3/?utm_source=Facebook&amp;utm_medium=CVS&amp;utm_term=NEW_Japan_1840_none_011225&amp;utm_content=saletructiep_Japan.P4.1840.giaotiep_PTATT_LD164&amp;utm_campaign=Japan.giaotiep.P4_16917_CVS_NamNH_011225" TargetMode="External"/><Relationship Id="rId1401" Type="http://schemas.openxmlformats.org/officeDocument/2006/relationships/hyperlink" Target="https://patadovietnam.edu.vn/tienganhgiaotiep_hn/" TargetMode="External"/><Relationship Id="rId2732" Type="http://schemas.openxmlformats.org/officeDocument/2006/relationships/hyperlink" Target="https://patadovietnam.edu.vn/tienganhgiaotiep_hn/" TargetMode="External"/><Relationship Id="rId1402" Type="http://schemas.openxmlformats.org/officeDocument/2006/relationships/hyperlink" Target="https://patadovietnam.edu.vn/tienganhgiaotiep_hn/?utm_source=Facebook&amp;utm_medium=MES&amp;utm_term=NEW_KoreaSouth_1840_none_010524&amp;utm_content=saletructiep_KoreaSouth.PTKO2.1840.giaotiep_PTATT_LD153&amp;utm_campaign=KoreaSouth.giaotiep.PTKO2_16917_MES_NamNH_010524" TargetMode="External"/><Relationship Id="rId2733" Type="http://schemas.openxmlformats.org/officeDocument/2006/relationships/hyperlink" Target="https://patadovietnam.edu.vn/tienganhgiaotiep_hn/?utm_source=Facebook&amp;utm_medium=MES&amp;utm_term=NEW_Europe_1840_none_021225&amp;utm_content=saletructiep_Europe.P5.1840.giaotiep_PTATT_LD153&amp;utm_campaign=Europe.giaotiep.P5_16917_MES_NamNH_021225" TargetMode="External"/><Relationship Id="rId1403" Type="http://schemas.openxmlformats.org/officeDocument/2006/relationships/hyperlink" Target="http://ldp.ink/PTKO2_korea" TargetMode="External"/><Relationship Id="rId2734" Type="http://schemas.openxmlformats.org/officeDocument/2006/relationships/hyperlink" Target="https://tinyurl.com/P5xEUME" TargetMode="External"/><Relationship Id="rId1404" Type="http://schemas.openxmlformats.org/officeDocument/2006/relationships/hyperlink" Target="https://patadovietnam.edu.vn/tienganhgiaotiep_hn/" TargetMode="External"/><Relationship Id="rId2735" Type="http://schemas.openxmlformats.org/officeDocument/2006/relationships/hyperlink" Target="https://patadovietnam.edu.vn/tienganhgiaotiep_hn/" TargetMode="External"/><Relationship Id="rId1405" Type="http://schemas.openxmlformats.org/officeDocument/2006/relationships/hyperlink" Target="https://patadovietnam.edu.vn/tienganhgiaotiep_hn/?utm_source=Facebook&amp;utm_medium=MES&amp;utm_term=NEW_KoreaSouth_1840_none_010524&amp;utm_content=saletructiep_KoreaSouth.PTHTKO.1840.giaotiep_PTATT_LD153&amp;utm_campaign=KoreaSouth.giaotiep.PTHTKO_16917_MES_NamNH_010524" TargetMode="External"/><Relationship Id="rId2736" Type="http://schemas.openxmlformats.org/officeDocument/2006/relationships/hyperlink" Target="https://patadovietnam.edu.vn/tienganhgiaotiep_hn/?utm_source=Facebook&amp;utm_medium=MES&amp;utm_term=NEW_Europe_1840_none_021225&amp;utm_content=saletructiep_Europe.P6.1840.giaotiep_PTATT_LD153&amp;utm_campaign=Europe.giaotiep.P6_16917_MES_NamNH_021225" TargetMode="External"/><Relationship Id="rId1406" Type="http://schemas.openxmlformats.org/officeDocument/2006/relationships/hyperlink" Target="http://ldp.ink/PTHTKO_korea" TargetMode="External"/><Relationship Id="rId2737" Type="http://schemas.openxmlformats.org/officeDocument/2006/relationships/hyperlink" Target="https://patadovietnam.edu.vn/tienganhgiaotiep_hn/" TargetMode="External"/><Relationship Id="rId1407" Type="http://schemas.openxmlformats.org/officeDocument/2006/relationships/hyperlink" Target="https://patadovietnam.edu.vn/tienganhgiaotiep_hn/" TargetMode="External"/><Relationship Id="rId2738" Type="http://schemas.openxmlformats.org/officeDocument/2006/relationships/hyperlink" Target="https://patadovietnam.edu.vn/tienganhgiaotiep_hn/?utm_source=Facebook&amp;utm_medium=CVS&amp;utm_term=NEW_Europe_1840_none_021225&amp;utm_content=saletructiep_Europe.P7.1840.giaotiep_PTATT_LD153&amp;utm_campaign=Europe.giaotiep.P7_16917_CVS_NamNH_021225" TargetMode="External"/><Relationship Id="rId1408" Type="http://schemas.openxmlformats.org/officeDocument/2006/relationships/hyperlink" Target="https://patadovietnam.edu.vn/tienganhgiaotiep_hn/?utm_source=Facebook&amp;utm_medium=MES&amp;utm_term=NEW_KoreaSouth_1840_none_010524&amp;utm_content=saletructiep_KoreaSouth.JHKO.1840.giaotiep_PTATT_LD153&amp;utm_campaign=KoreaSouth.giaotiep.JHKO_16917_MES_NamNH_010524" TargetMode="External"/><Relationship Id="rId2739" Type="http://schemas.openxmlformats.org/officeDocument/2006/relationships/hyperlink" Target="https://tinyurl.com/P7xEUCV" TargetMode="External"/><Relationship Id="rId1409" Type="http://schemas.openxmlformats.org/officeDocument/2006/relationships/hyperlink" Target="http://ldp.ink/JHKO_korea" TargetMode="External"/><Relationship Id="rId2730" Type="http://schemas.openxmlformats.org/officeDocument/2006/relationships/hyperlink" Target="https://patadovietnam.edu.vn/gtjapan_nhn3" TargetMode="External"/><Relationship Id="rId1433" Type="http://schemas.openxmlformats.org/officeDocument/2006/relationships/hyperlink" Target="https://s.net.vn/M226-europe" TargetMode="External"/><Relationship Id="rId2764" Type="http://schemas.openxmlformats.org/officeDocument/2006/relationships/hyperlink" Target="https://patadovietnam.edu.vn/tienganhgiaotiep_hn/?utm_source=Facebook&amp;utm_medium=MES&amp;utm_term=NEW_ALL_1840_none_101225&amp;utm_content=saletructiep_ALL.M580.1840.giaotiep_PTATT_LD153&amp;utm_campaign=ALL.giaotiep.M580xM600_16917_MES_NamNH_101225" TargetMode="External"/><Relationship Id="rId1434" Type="http://schemas.openxmlformats.org/officeDocument/2006/relationships/hyperlink" Target="https://patadovietnam.edu.vn/gtjapan_nhn3" TargetMode="External"/><Relationship Id="rId2765" Type="http://schemas.openxmlformats.org/officeDocument/2006/relationships/hyperlink" Target="https://patadovietnam.edu.vn/tienganhgiaotiep_hn/" TargetMode="External"/><Relationship Id="rId1435" Type="http://schemas.openxmlformats.org/officeDocument/2006/relationships/hyperlink" Target="https://patadovietnam.edu.vn/gtjapan_nhn3/?utm_source=Facebook&amp;utm_medium=CVS&amp;utm_term=NEW_Japan_1840_none_050524&amp;utm_content=saletructiep_Japan.M226.1840.giaotiep_PTATT_LD164&amp;utm_campaign=Japan.giaotiep.M226_16917_CVS_NamNH_050524" TargetMode="External"/><Relationship Id="rId2766" Type="http://schemas.openxmlformats.org/officeDocument/2006/relationships/hyperlink" Target="https://patadovietnam.edu.vn/tienganhgiaotiep_hn/?utm_source=Facebook&amp;utm_medium=CVS&amp;utm_term=NEW_Europe_1840_none_101225&amp;utm_content=saletructiep_Europe.M580.1840.giaotiep_PTATT_LD153&amp;utm_campaign=Europe.giaotiep.M580xM600_16917_CVS_NamNH_101225" TargetMode="External"/><Relationship Id="rId1436" Type="http://schemas.openxmlformats.org/officeDocument/2006/relationships/hyperlink" Target="https://s.net.vn/M226-japan" TargetMode="External"/><Relationship Id="rId2767" Type="http://schemas.openxmlformats.org/officeDocument/2006/relationships/hyperlink" Target="https://tinyurl.com/M580xM600EUC" TargetMode="External"/><Relationship Id="rId1437" Type="http://schemas.openxmlformats.org/officeDocument/2006/relationships/hyperlink" Target="https://patadovietnam.edu.vn/gtusa1_nhn" TargetMode="External"/><Relationship Id="rId2768" Type="http://schemas.openxmlformats.org/officeDocument/2006/relationships/hyperlink" Target="https://patadovietnam.edu.vn/gtusa1_nhn" TargetMode="External"/><Relationship Id="rId1438" Type="http://schemas.openxmlformats.org/officeDocument/2006/relationships/hyperlink" Target="https://patadovietnam.edu.vn/gtusa1_nhn/?utm_source=Facebook&amp;utm_medium=MES&amp;utm_term=NEW_UnitedStates_1840_none_050524&amp;utm_content=saletructiep_UnitedStates.M226.1840.giaotiep_PTATT_LD161&amp;utm_campaign=UnitedStates.giaotiep.M226_16917_MES_NamNH_050524" TargetMode="External"/><Relationship Id="rId2769" Type="http://schemas.openxmlformats.org/officeDocument/2006/relationships/hyperlink" Target="https://patadovietnam.edu.vn/gtusa1_nhn/?utm_source=Facebook&amp;utm_medium=CVS&amp;utm_term=NEW_UnitedStates_2050_none_101225&amp;utm_content=saletructiep_UnitedStates.M580.1840.giaotiep_PTATT_LD161&amp;utm_campaign=UnitedStates.giaotiep.M580xM600_16917_CVS_NamNH_101225" TargetMode="External"/><Relationship Id="rId1439" Type="http://schemas.openxmlformats.org/officeDocument/2006/relationships/hyperlink" Target="https://s.net.vn/M226-hoaky" TargetMode="External"/><Relationship Id="rId609" Type="http://schemas.openxmlformats.org/officeDocument/2006/relationships/hyperlink" Target="http://ldp.ink/TLVGTN_taiwan" TargetMode="External"/><Relationship Id="rId608" Type="http://schemas.openxmlformats.org/officeDocument/2006/relationships/hyperlink" Target="https://patadovietnam.edu.vn/tatoandien_namnh/?utm_source=Facebook&amp;utm_medium=MES&amp;utm_term=NEW_Taiwan_1840_none_010923&amp;utm_content=saletructiep_Taiwan.TLVGTN.1840.giaotiep_PTATT_LD187&amp;utm_campaign=Taiwan.giaotiep.TLVGTN_95360_MES_NamNH_010923" TargetMode="External"/><Relationship Id="rId607" Type="http://schemas.openxmlformats.org/officeDocument/2006/relationships/hyperlink" Target="https://patadovietnam.edu.vn/tatoandien_namnh" TargetMode="External"/><Relationship Id="rId602" Type="http://schemas.openxmlformats.org/officeDocument/2006/relationships/hyperlink" Target="https://patadovietnam.edu.vn/gtusa1_nhn/?utm_source=Facebook&amp;utm_medium=CVS&amp;utm_term=NEW_UnitedStates_2045_none_160923&amp;utm_content=saletructiep_UnitedStates.MGDTD.2045.giaotiep_PTATT_LD161&amp;utm_campaign=UnitedStates.giaotiep.MGDTD_16917_CVS_NamNH_160923" TargetMode="External"/><Relationship Id="rId601" Type="http://schemas.openxmlformats.org/officeDocument/2006/relationships/hyperlink" Target="https://patadovietnam.edu.vn/gtusa1_nhn" TargetMode="External"/><Relationship Id="rId600" Type="http://schemas.openxmlformats.org/officeDocument/2006/relationships/hyperlink" Target="http://ldp.ink/MGDTD_hanquoc" TargetMode="External"/><Relationship Id="rId606" Type="http://schemas.openxmlformats.org/officeDocument/2006/relationships/hyperlink" Target="http://ldp.ink/TLVGTN_hanquoc" TargetMode="External"/><Relationship Id="rId605" Type="http://schemas.openxmlformats.org/officeDocument/2006/relationships/hyperlink" Target="https://patadovietnam.edu.vn/tatoandien_namnh/?utm_source=Facebook&amp;utm_medium=CVS&amp;utm_term=NEW_KoreaSouth_1840_none_010923&amp;utm_content=saletructiep_KoreaSouth.TLVGTN.1840.giaotiep_PTATT_LD187&amp;utm_campaign=KoreaSouth.giaotiep.TLVGTN_95360_CVS_NamNH_010923" TargetMode="External"/><Relationship Id="rId604" Type="http://schemas.openxmlformats.org/officeDocument/2006/relationships/hyperlink" Target="https://patadovietnam.edu.vn/tatoandien_namnh" TargetMode="External"/><Relationship Id="rId603" Type="http://schemas.openxmlformats.org/officeDocument/2006/relationships/hyperlink" Target="http://ldp.ink/MGDTD_hoaky" TargetMode="External"/><Relationship Id="rId2760" Type="http://schemas.openxmlformats.org/officeDocument/2006/relationships/hyperlink" Target="https://patadovietnam.edu.vn/gtjapan_nhn3" TargetMode="External"/><Relationship Id="rId1430" Type="http://schemas.openxmlformats.org/officeDocument/2006/relationships/hyperlink" Target="https://s.net.vn/M223-philippines" TargetMode="External"/><Relationship Id="rId2761" Type="http://schemas.openxmlformats.org/officeDocument/2006/relationships/hyperlink" Target="https://patadovietnam.edu.vn/gtjapan_nhn3/?utm_source=Facebook&amp;utm_medium=CVS&amp;utm_term=NEW_Japan_1840_none_101225&amp;utm_content=saletructiep_Japan.M580.1840.giaotiep_PTATT_LD164&amp;utm_campaign=Japan.giaotiep.M580xM600_16917_CVS_NamNH_101225" TargetMode="External"/><Relationship Id="rId1431" Type="http://schemas.openxmlformats.org/officeDocument/2006/relationships/hyperlink" Target="https://patadovietnam.edu.vn/tienganhgiaotiep_hn/" TargetMode="External"/><Relationship Id="rId2762" Type="http://schemas.openxmlformats.org/officeDocument/2006/relationships/hyperlink" Target="https://tinyurl.com/M580xM600JPC" TargetMode="External"/><Relationship Id="rId1432" Type="http://schemas.openxmlformats.org/officeDocument/2006/relationships/hyperlink" Target="https://patadovietnam.edu.vn/tienganhgiaotiep_hn/?utm_source=Facebook&amp;utm_medium=CVS&amp;utm_term=NEW_Europe_1840_none_050524&amp;utm_content=saletructiep_Europe.M226.1840.giaotiep_PTATT_LD153&amp;utm_campaign=Europe.giaotiep.M226_16917_CVS_NamNH_050524" TargetMode="External"/><Relationship Id="rId2763" Type="http://schemas.openxmlformats.org/officeDocument/2006/relationships/hyperlink" Target="https://patadovietnam.edu.vn/tienganhgiaotiep_hn/" TargetMode="External"/><Relationship Id="rId1422" Type="http://schemas.openxmlformats.org/officeDocument/2006/relationships/hyperlink" Target="https://patadovietnam.edu.vn/gtjapan_nhn3" TargetMode="External"/><Relationship Id="rId2753" Type="http://schemas.openxmlformats.org/officeDocument/2006/relationships/hyperlink" Target="https://patadovietnam.edu.vn/tienganhgiaotiep_hn/?utm_source=Facebook&amp;utm_medium=MES&amp;utm_term=NEW_ALL_1840_none_021225&amp;utm_content=saletructiep_ALL.P13.1840.giaotiep_PTATT_LD153&amp;utm_campaign=ALL.giaotiep.P13_16917_MES_NamNH_021225" TargetMode="External"/><Relationship Id="rId1423" Type="http://schemas.openxmlformats.org/officeDocument/2006/relationships/hyperlink" Target="https://patadovietnam.edu.vn/gtjapan_nhn3/?utm_source=Facebook&amp;utm_medium=CVS&amp;utm_term=NEW_Japan_1840_none_050524&amp;utm_content=saletructiep_Japan.M223.1840.giaotiep_PTATT_LD164&amp;utm_campaign=Japan.giaotiep.M223_16917_CVS_NamNH_050524" TargetMode="External"/><Relationship Id="rId2754" Type="http://schemas.openxmlformats.org/officeDocument/2006/relationships/hyperlink" Target="https://tinyurl.com/P13xALLME" TargetMode="External"/><Relationship Id="rId1424" Type="http://schemas.openxmlformats.org/officeDocument/2006/relationships/hyperlink" Target="https://by.tn/M223-japan" TargetMode="External"/><Relationship Id="rId2755" Type="http://schemas.openxmlformats.org/officeDocument/2006/relationships/hyperlink" Target="https://patadovietnam.edu.vn/tienganhgiaotiep_hn/" TargetMode="External"/><Relationship Id="rId1425" Type="http://schemas.openxmlformats.org/officeDocument/2006/relationships/hyperlink" Target="https://patadovietnam.edu.vn/gtusa1_nhn" TargetMode="External"/><Relationship Id="rId2756" Type="http://schemas.openxmlformats.org/officeDocument/2006/relationships/hyperlink" Target="https://patadovietnam.edu.vn/tienganhgiaotiep_hn/?utm_source=Facebook&amp;utm_medium=MES&amp;utm_term=NEW_ALL_1840_none_021225&amp;utm_content=saletructiep_ALL.P14.1840.giaotiep_PTATT_LD153&amp;utm_campaign=ALL.giaotiep.P14_16917_MES_NamNH_021225" TargetMode="External"/><Relationship Id="rId1426" Type="http://schemas.openxmlformats.org/officeDocument/2006/relationships/hyperlink" Target="https://patadovietnam.edu.vn/gtusa1_nhn/?utm_source=Facebook&amp;utm_medium=MES&amp;utm_term=NEW_UnitedStates_1840_none_050524&amp;utm_content=saletructiep_UnitedStates.M223.1840.giaotiep_PTATT_LD161&amp;utm_campaign=UnitedStates.giaotiep.M223_16917_MES_NamNH_050524" TargetMode="External"/><Relationship Id="rId2757" Type="http://schemas.openxmlformats.org/officeDocument/2006/relationships/hyperlink" Target="https://patadovietnam.edu.vn/tienganhgiaotiep_hn/" TargetMode="External"/><Relationship Id="rId1427" Type="http://schemas.openxmlformats.org/officeDocument/2006/relationships/hyperlink" Target="https://s.net.vn/M223-hoaky" TargetMode="External"/><Relationship Id="rId2758" Type="http://schemas.openxmlformats.org/officeDocument/2006/relationships/hyperlink" Target="https://patadovietnam.edu.vn/tienganhgiaotiep_hn/?utm_source=Facebook&amp;utm_medium=MES&amp;utm_term=NEW_ALL_1840_none_021225&amp;utm_content=saletructiep_ALL.P15.1840.giaotiep_PTATT_LD153&amp;utm_campaign=ALL.giaotiep.P15_16917_MES_NamNH_021225" TargetMode="External"/><Relationship Id="rId1428" Type="http://schemas.openxmlformats.org/officeDocument/2006/relationships/hyperlink" Target="https://patadovietnam.edu.vn/tienganhgiaotiep_hn/" TargetMode="External"/><Relationship Id="rId2759" Type="http://schemas.openxmlformats.org/officeDocument/2006/relationships/hyperlink" Target="https://tinyurl.com/P15xALLMES" TargetMode="External"/><Relationship Id="rId1429" Type="http://schemas.openxmlformats.org/officeDocument/2006/relationships/hyperlink" Target="https://patadovietnam.edu.vn/tienganhgiaotiep_hn/?utm_source=Facebook&amp;utm_medium=MES&amp;utm_term=NEW_Philippines_1840_none_050524&amp;utm_content=saletructiep_Philippines.M223.1840.giaotiep_PTATT_LD153&amp;utm_campaign=Philippines.giaotiep.M223_16917_MES_NamNH_050524" TargetMode="External"/><Relationship Id="rId2750" Type="http://schemas.openxmlformats.org/officeDocument/2006/relationships/hyperlink" Target="https://patadovietnam.edu.vn/gtusa1_nhn" TargetMode="External"/><Relationship Id="rId1420" Type="http://schemas.openxmlformats.org/officeDocument/2006/relationships/hyperlink" Target="https://patadovietnam.edu.vn/tienganhgiaotiep_hn/?utm_source=Facebook&amp;utm_medium=CVS&amp;utm_term=NEW_Europe_1840_none_050524&amp;utm_content=saletructiep_Europe.M223C82.1840.giaotiep_PTATT_LD153&amp;utm_campaign=Europe.giaotiep.M223C82_16917_CVS_NamNH_050524" TargetMode="External"/><Relationship Id="rId2751" Type="http://schemas.openxmlformats.org/officeDocument/2006/relationships/hyperlink" Target="https://patadovietnam.edu.vn/gtusa1_nhn/?utm_source=Facebook&amp;utm_medium=MES&amp;utm_term=NEW_UnitedStates_2050_none_021225&amp;utm_content=saletructiep_UnitedStates.P12.1840.giaotiep_PTATT_LD161&amp;utm_campaign=UnitedStates.giaotiep.P12_16917_MES_NamNH_021225" TargetMode="External"/><Relationship Id="rId1421" Type="http://schemas.openxmlformats.org/officeDocument/2006/relationships/hyperlink" Target="https://s.net.vn/M223C82-europe" TargetMode="External"/><Relationship Id="rId2752" Type="http://schemas.openxmlformats.org/officeDocument/2006/relationships/hyperlink" Target="https://patadovietnam.edu.vn/tienganhgiaotiep_hn/" TargetMode="External"/><Relationship Id="rId3238" Type="http://schemas.openxmlformats.org/officeDocument/2006/relationships/hyperlink" Target="https://tinyurl.com/M748xM749JPC" TargetMode="External"/><Relationship Id="rId3237" Type="http://schemas.openxmlformats.org/officeDocument/2006/relationships/hyperlink" Target="https://patado.edu.vn/nhn_jp0106/?utm_source=Facebook&amp;utm_medium=CVS&amp;utm_term=NEW_Japan_1840_none_021026&amp;utm_content=saletructiep_Japan.M748.1840.giaotiep_PTATT_LD282&amp;utm_campaign=Japan.giaotiep.M748xM749_16917_CVS_NamNH_021026" TargetMode="External"/><Relationship Id="rId3239" Type="http://schemas.openxmlformats.org/officeDocument/2006/relationships/hyperlink" Target="https://patado.edu.vn/tienganhgiaotiep1_hn/" TargetMode="External"/><Relationship Id="rId3230" Type="http://schemas.openxmlformats.org/officeDocument/2006/relationships/hyperlink" Target="https://patado.edu.vn/ptd_hongtt/" TargetMode="External"/><Relationship Id="rId3232" Type="http://schemas.openxmlformats.org/officeDocument/2006/relationships/hyperlink" Target="https://tinyurl.com/M745xM746ALLM" TargetMode="External"/><Relationship Id="rId3231" Type="http://schemas.openxmlformats.org/officeDocument/2006/relationships/hyperlink" Target="https://patado.edu.vn/ptd_hongtt/?utm_source=Facebook&amp;utm_medium=MES&amp;utm_term=NEW_ALL_1840_none_021026&amp;utm_content=saletructiep_ALL.M745.1840.giaotiep_PTATT_LD284&amp;utm_campaign=ALL.giaotiep.M745xM746_16917_MES_NamNH_021026" TargetMode="External"/><Relationship Id="rId3234" Type="http://schemas.openxmlformats.org/officeDocument/2006/relationships/hyperlink" Target="https://patado.edu.vn/tienganhgiaotiep1_hn/?utm_source=Facebook&amp;utm_medium=CVS&amp;utm_term=NEW_Europe_1840_none_021026&amp;utm_content=saletructiep_Europe.M748.1840.giaotiep_PTATT_LD267&amp;utm_campaign=Europe.giaotiep.M748xM749_16917_CVS_NamNH_021026" TargetMode="External"/><Relationship Id="rId3233" Type="http://schemas.openxmlformats.org/officeDocument/2006/relationships/hyperlink" Target="https://patado.edu.vn/tienganhgiaotiep1_hn/" TargetMode="External"/><Relationship Id="rId3236" Type="http://schemas.openxmlformats.org/officeDocument/2006/relationships/hyperlink" Target="https://patado.edu.vn/nhn_jp0106" TargetMode="External"/><Relationship Id="rId3235" Type="http://schemas.openxmlformats.org/officeDocument/2006/relationships/hyperlink" Target="https://tinyurl.com/M748xM749EUC" TargetMode="External"/><Relationship Id="rId3227" Type="http://schemas.openxmlformats.org/officeDocument/2006/relationships/hyperlink" Target="https://patado.edu.vn/nhn_jp0106" TargetMode="External"/><Relationship Id="rId3226" Type="http://schemas.openxmlformats.org/officeDocument/2006/relationships/hyperlink" Target="https://tinyurl.com/M745xM746EUC" TargetMode="External"/><Relationship Id="rId3229" Type="http://schemas.openxmlformats.org/officeDocument/2006/relationships/hyperlink" Target="https://tinyurl.com/M745xM746JP" TargetMode="External"/><Relationship Id="rId3228" Type="http://schemas.openxmlformats.org/officeDocument/2006/relationships/hyperlink" Target="https://patado.edu.vn/nhn_jp0106/?utm_source=Facebook&amp;utm_medium=CVS&amp;utm_term=NEW_Japan_1840_none_021026&amp;utm_content=saletructiep_Japan.M745.1840.giaotiep_PTATT_LD282&amp;utm_campaign=Japan.giaotiep.M745xM746_16917_CVS_NamNH_021026" TargetMode="External"/><Relationship Id="rId699" Type="http://schemas.openxmlformats.org/officeDocument/2006/relationships/hyperlink" Target="https://patadovietnam.edu.vn/tienganhgiaotiep_hn/" TargetMode="External"/><Relationship Id="rId698" Type="http://schemas.openxmlformats.org/officeDocument/2006/relationships/hyperlink" Target="http://ldp.ink/tbml_japan" TargetMode="External"/><Relationship Id="rId693" Type="http://schemas.openxmlformats.org/officeDocument/2006/relationships/hyperlink" Target="https://patadovietnam.edu.vn/gtjapan_nhn3" TargetMode="External"/><Relationship Id="rId692" Type="http://schemas.openxmlformats.org/officeDocument/2006/relationships/hyperlink" Target="http://ldp.ink/CT3B_hoaky" TargetMode="External"/><Relationship Id="rId691" Type="http://schemas.openxmlformats.org/officeDocument/2006/relationships/hyperlink" Target="https://patadovietnam.edu.vn/gtusa1_nhn/?utm_source=Facebook&amp;utm_medium=MES&amp;utm_term=NEW_UnitedStates_1840_none_170923&amp;utm_content=saletructiep_UnitedStates.ID29.1840.giaotiep_PTATT_LD161&amp;utm_campaign=UnitedStates.giaotiep.ID29_16917_MES_NamNH_170923" TargetMode="External"/><Relationship Id="rId3221" Type="http://schemas.openxmlformats.org/officeDocument/2006/relationships/hyperlink" Target="https://patado.edu.vn/nhn_jp0106" TargetMode="External"/><Relationship Id="rId690" Type="http://schemas.openxmlformats.org/officeDocument/2006/relationships/hyperlink" Target="https://patadovietnam.edu.vn/gtusa1_nhn" TargetMode="External"/><Relationship Id="rId3220" Type="http://schemas.openxmlformats.org/officeDocument/2006/relationships/hyperlink" Target="https://tinyurl.com/M765xM766EUC" TargetMode="External"/><Relationship Id="rId697" Type="http://schemas.openxmlformats.org/officeDocument/2006/relationships/hyperlink" Target="https://patadovietnam.edu.vn/gtjapan_nhn3/?utm_source=Facebook&amp;utm_medium=CVS&amp;utm_term=NEW_Japan_1840_none_081123&amp;utm_content=saletructiep_Japan.M48C20.1840.giaotiep_PTATT_LD164&amp;utm_campaign=Japan.giaotiep.M48C20_16917_CVS_NamNH_081123" TargetMode="External"/><Relationship Id="rId3223" Type="http://schemas.openxmlformats.org/officeDocument/2006/relationships/hyperlink" Target="https://tinyurl.com/M761xM762JP" TargetMode="External"/><Relationship Id="rId696" Type="http://schemas.openxmlformats.org/officeDocument/2006/relationships/hyperlink" Target="https://patadovietnam.edu.vn/gtjapan_nhn3" TargetMode="External"/><Relationship Id="rId3222" Type="http://schemas.openxmlformats.org/officeDocument/2006/relationships/hyperlink" Target="https://patado.edu.vn/nhn_jp0106/?utm_source=Facebook&amp;utm_medium=CVS&amp;utm_term=NEW_Japan_1840_none_190926&amp;utm_content=saletructiep_Japan.M761.1840.giaotiep_PTATT_LD282&amp;utm_campaign=Japan.giaotiep.M761xM762_16917_CVS_NamNH_190926" TargetMode="External"/><Relationship Id="rId695" Type="http://schemas.openxmlformats.org/officeDocument/2006/relationships/hyperlink" Target="http://ldp.ink/CT3B_japan" TargetMode="External"/><Relationship Id="rId3225" Type="http://schemas.openxmlformats.org/officeDocument/2006/relationships/hyperlink" Target="https://patado.edu.vn/ptd_hongtt/?utm_source=Facebook&amp;utm_medium=CVS&amp;utm_term=NEW_Europe_1840_none_021026&amp;utm_content=saletructiep_Europe.M745.1840.giaotiep_PTATT_LD284&amp;utm_campaign=Europe.giaotiep.M745xM746_16917_CVS_NamNH_021026" TargetMode="External"/><Relationship Id="rId694" Type="http://schemas.openxmlformats.org/officeDocument/2006/relationships/hyperlink" Target="https://patadovietnam.edu.vn/gtjapan_nhn3/?utm_source=Facebook&amp;utm_medium=CVS&amp;utm_term=NEW_Japan_1840_none_170923&amp;utm_content=saletructiep_Japan.ID29.1840.giaotiep_PTATTTD_LD164&amp;utm_campaign=Japan.giaotiep.ID29_16917_CVS_NamNH_170923" TargetMode="External"/><Relationship Id="rId3224" Type="http://schemas.openxmlformats.org/officeDocument/2006/relationships/hyperlink" Target="https://patado.edu.vn/ptd_hongtt/" TargetMode="External"/><Relationship Id="rId3259" Type="http://schemas.openxmlformats.org/officeDocument/2006/relationships/hyperlink" Target="https://tinyurl.com/M767xM768ALLM" TargetMode="External"/><Relationship Id="rId3250" Type="http://schemas.openxmlformats.org/officeDocument/2006/relationships/hyperlink" Target="https://tinyurl.com/M764xM765AM" TargetMode="External"/><Relationship Id="rId3252" Type="http://schemas.openxmlformats.org/officeDocument/2006/relationships/hyperlink" Target="https://patado.edu.vn/nhn_jp0106/?utm_source=Facebook&amp;utm_medium=CVS&amp;utm_term=NEW_Japan_1840_none_021026&amp;utm_content=saletructiep_Japan.M767.1840.giaotiep_PTATT_LD282&amp;utm_campaign=Japan.giaotiep.M767xM768_16917_CVS_NamNH_021026" TargetMode="External"/><Relationship Id="rId3251" Type="http://schemas.openxmlformats.org/officeDocument/2006/relationships/hyperlink" Target="https://patado.edu.vn/nhn_jp0106" TargetMode="External"/><Relationship Id="rId3254" Type="http://schemas.openxmlformats.org/officeDocument/2006/relationships/hyperlink" Target="https://patado.edu.vn/ptd_hongtt/" TargetMode="External"/><Relationship Id="rId3253" Type="http://schemas.openxmlformats.org/officeDocument/2006/relationships/hyperlink" Target="https://tinyurl.com/M767xM768JP" TargetMode="External"/><Relationship Id="rId3256" Type="http://schemas.openxmlformats.org/officeDocument/2006/relationships/hyperlink" Target="https://tinyurl.com/M767xM768EUC" TargetMode="External"/><Relationship Id="rId3255" Type="http://schemas.openxmlformats.org/officeDocument/2006/relationships/hyperlink" Target="https://patado.edu.vn/ptd_hongtt/?utm_source=Facebook&amp;utm_medium=CVS&amp;utm_term=NEW_Europe_1840_none_071026&amp;utm_content=saletructiep_Europe.M767.1840.giaotiep_PTATT_LD284&amp;utm_campaign=Europe.giaotiep.M767xM768_16917_CVS_NamNH_071026" TargetMode="External"/><Relationship Id="rId3258" Type="http://schemas.openxmlformats.org/officeDocument/2006/relationships/hyperlink" Target="https://patado.edu.vn/ptd_hongtt/?utm_source=Facebook&amp;utm_medium=MES&amp;utm_term=NEW_ALL_1840_none_071026&amp;utm_content=saletructiep_ALL.M767.1840.giaotiep_PTATT_LD284&amp;utm_campaign=ALL.giaotiep.M767xM768_16917_MES_NamNH_071026" TargetMode="External"/><Relationship Id="rId3257" Type="http://schemas.openxmlformats.org/officeDocument/2006/relationships/hyperlink" Target="https://patado.edu.vn/ptd_hongtt/" TargetMode="External"/><Relationship Id="rId3249" Type="http://schemas.openxmlformats.org/officeDocument/2006/relationships/hyperlink" Target="https://patado.edu.vn/tienganhgiaotiep1_hn/?utm_source=Facebook&amp;utm_medium=MES&amp;utm_term=NEW_ALL_1840_none_021026&amp;utm_content=saletructiep_ALL.M764.1840.giaotiep_PTATT_LD267&amp;utm_campaign=ALL.giaotiep.M764xM765_16917_MES_NamNH_021026" TargetMode="External"/><Relationship Id="rId3248" Type="http://schemas.openxmlformats.org/officeDocument/2006/relationships/hyperlink" Target="https://patado.edu.vn/tienganhgiaotiep1_hn/" TargetMode="External"/><Relationship Id="rId3241" Type="http://schemas.openxmlformats.org/officeDocument/2006/relationships/hyperlink" Target="https://tinyurl.com/M748xM749ALLM" TargetMode="External"/><Relationship Id="rId3240" Type="http://schemas.openxmlformats.org/officeDocument/2006/relationships/hyperlink" Target="https://patado.edu.vn/tienganhgiaotiep1_hn/?utm_source=Facebook&amp;utm_medium=MES&amp;utm_term=NEW_ALL_1840_none_021026&amp;utm_content=saletructiep_ALL.M748.1840.giaotiep_PTATT_LD267&amp;utm_campaign=ALL.giaotiep.M748xM749_16917_MES_NamNH_021026" TargetMode="External"/><Relationship Id="rId3243" Type="http://schemas.openxmlformats.org/officeDocument/2006/relationships/hyperlink" Target="https://patado.edu.vn/tienganhgiaotiep1_hn/?utm_source=Facebook&amp;utm_medium=CVS&amp;utm_term=NEW_Europe_1840_none_021026&amp;utm_content=saletructiep_Europe.M764.1840.giaotiep_PTATT_LD267&amp;utm_campaign=Europe.giaotiep.M764xM765_16917_CVS_NamNH_021026" TargetMode="External"/><Relationship Id="rId3242" Type="http://schemas.openxmlformats.org/officeDocument/2006/relationships/hyperlink" Target="https://patado.edu.vn/tienganhgiaotiep1_hn/" TargetMode="External"/><Relationship Id="rId3245" Type="http://schemas.openxmlformats.org/officeDocument/2006/relationships/hyperlink" Target="https://patado.edu.vn/nhn_jp0106" TargetMode="External"/><Relationship Id="rId3244" Type="http://schemas.openxmlformats.org/officeDocument/2006/relationships/hyperlink" Target="https://tinyurl.com/M764xM765EUC" TargetMode="External"/><Relationship Id="rId3247" Type="http://schemas.openxmlformats.org/officeDocument/2006/relationships/hyperlink" Target="https://tinyurl.com/M764xM765JPC" TargetMode="External"/><Relationship Id="rId3246" Type="http://schemas.openxmlformats.org/officeDocument/2006/relationships/hyperlink" Target="https://patado.edu.vn/nhn_jp0106/?utm_source=Facebook&amp;utm_medium=CVS&amp;utm_term=NEW_Japan_1840_none_021026&amp;utm_content=saletructiep_Japan.M764.1840.giaotiep_PTATT_LD282&amp;utm_campaign=Japan.giaotiep.M764xM765_16917_CVS_NamNH_021026" TargetMode="External"/><Relationship Id="rId1499" Type="http://schemas.openxmlformats.org/officeDocument/2006/relationships/hyperlink" Target="https://s.net.vn/M230C90-europe" TargetMode="External"/><Relationship Id="rId668" Type="http://schemas.openxmlformats.org/officeDocument/2006/relationships/hyperlink" Target="http://ldp.ink/VBVB_taiwan" TargetMode="External"/><Relationship Id="rId667" Type="http://schemas.openxmlformats.org/officeDocument/2006/relationships/hyperlink" Target="https://patadovietnam.edu.vn/tienganhgiaotiep_hn/?utm_source=Facebook&amp;utm_medium=MES&amp;utm_term=NEW_Taiwan_1840_none_160923&amp;utm_content=saletructiep_Taiwan.ID28.1840.giaotiep_PTATT_LD153&amp;utm_campaign=Taiwan.giaotiep.ID28_95360_MES_NamNH_160923" TargetMode="External"/><Relationship Id="rId666" Type="http://schemas.openxmlformats.org/officeDocument/2006/relationships/hyperlink" Target="https://patadovietnam.edu.vn/tienganhgiaotiep_hn/" TargetMode="External"/><Relationship Id="rId665" Type="http://schemas.openxmlformats.org/officeDocument/2006/relationships/hyperlink" Target="http://ldp.ink/VBVB_nhatban" TargetMode="External"/><Relationship Id="rId669" Type="http://schemas.openxmlformats.org/officeDocument/2006/relationships/hyperlink" Target="https://patadovietnam.edu.vn/tienganhgiaotiep_hn/" TargetMode="External"/><Relationship Id="rId1490" Type="http://schemas.openxmlformats.org/officeDocument/2006/relationships/hyperlink" Target="https://s.net.vn/M230C90-hoaky" TargetMode="External"/><Relationship Id="rId660" Type="http://schemas.openxmlformats.org/officeDocument/2006/relationships/hyperlink" Target="https://patadovietnam.edu.vn/tienganhgiaotiep_hn/" TargetMode="External"/><Relationship Id="rId1491" Type="http://schemas.openxmlformats.org/officeDocument/2006/relationships/hyperlink" Target="https://patadovietnam.edu.vn/tienganhgiaotiep_hn/" TargetMode="External"/><Relationship Id="rId1492" Type="http://schemas.openxmlformats.org/officeDocument/2006/relationships/hyperlink" Target="https://patadovietnam.edu.vn/tienganhgiaotiep_hn/?utm_source=Facebook&amp;utm_medium=MES&amp;utm_term=NEW_Taiwan_1840_none_060524&amp;utm_content=saletructiep_Taiwan.M230C90.1840.giaotiep_PTATT_LD153&amp;utm_campaign=Taiwan.giaotiep.M230C90_95360_MES_NamNH_060524" TargetMode="External"/><Relationship Id="rId1493" Type="http://schemas.openxmlformats.org/officeDocument/2006/relationships/hyperlink" Target="https://s.net.vn/M230C90-taiwan" TargetMode="External"/><Relationship Id="rId1494" Type="http://schemas.openxmlformats.org/officeDocument/2006/relationships/hyperlink" Target="https://patadovietnam.edu.vn/gtjapan_nhn3" TargetMode="External"/><Relationship Id="rId664" Type="http://schemas.openxmlformats.org/officeDocument/2006/relationships/hyperlink" Target="https://patadovietnam.edu.vn/gtjapan_nhn3/?utm_source=Facebook&amp;utm_medium=CVS&amp;utm_term=NEW_Japan_1840_none_160923&amp;utm_content=saletructiep_Japan.ID28.1840.giaotiep_PTATT_LD164&amp;utm_campaign=Japan.giaotiep.ID28_16917_CVS_NamNH_160923" TargetMode="External"/><Relationship Id="rId1495" Type="http://schemas.openxmlformats.org/officeDocument/2006/relationships/hyperlink" Target="https://patadovietnam.edu.vn/gtjapan_nhn3/?utm_source=Facebook&amp;utm_medium=CVS&amp;utm_term=NEW_Japan_1840_none_060524&amp;utm_content=saletructiep_Japan.M230C91.1840.giaotiep_PTATT_LD164&amp;utm_campaign=Japan.giaotiep.M230C91_16917_CVS_NamNH_060524" TargetMode="External"/><Relationship Id="rId663" Type="http://schemas.openxmlformats.org/officeDocument/2006/relationships/hyperlink" Target="https://patadovietnam.edu.vn/gtjapan_nhn3" TargetMode="External"/><Relationship Id="rId1496" Type="http://schemas.openxmlformats.org/officeDocument/2006/relationships/hyperlink" Target="https://s.net.vn/M230C91-japan" TargetMode="External"/><Relationship Id="rId662" Type="http://schemas.openxmlformats.org/officeDocument/2006/relationships/hyperlink" Target="http://ldp.ink/tuhoc_philippines" TargetMode="External"/><Relationship Id="rId1497" Type="http://schemas.openxmlformats.org/officeDocument/2006/relationships/hyperlink" Target="https://patadovietnam.edu.vn/tienganhgiaotiep_hn/" TargetMode="External"/><Relationship Id="rId661" Type="http://schemas.openxmlformats.org/officeDocument/2006/relationships/hyperlink" Target="https://patadovietnam.edu.vn/tienganhgiaotiep_hn/?utm_source=Facebook&amp;utm_medium=MES&amp;utm_term=NEW_Philippines_1840_none_150923&amp;utm_content=saletructiep_Philippines.tuhoc.1840.giaotiep_PTATT_LD153&amp;utm_campaign=Philippines.giaotiep.tuhoc_95360_MES_NamNH_150923" TargetMode="External"/><Relationship Id="rId1498" Type="http://schemas.openxmlformats.org/officeDocument/2006/relationships/hyperlink" Target="https://patadovietnam.edu.vn/tienganhgiaotiep_hn/?utm_source=Facebook&amp;utm_medium=CVS&amp;utm_term=NEW_Europe_1840_none_060524&amp;utm_content=saletructiep_Europe.M230C90.1840.giaotiep_PTATT_LD153&amp;utm_campaign=Europe.giaotiep.M230C90_16917_CVS_NamNH_060524" TargetMode="External"/><Relationship Id="rId1488" Type="http://schemas.openxmlformats.org/officeDocument/2006/relationships/hyperlink" Target="https://patadovietnam.edu.vn/gtusa1_nhn" TargetMode="External"/><Relationship Id="rId1489" Type="http://schemas.openxmlformats.org/officeDocument/2006/relationships/hyperlink" Target="https://patadovietnam.edu.vn/gtusa1_nhn/?utm_source=Facebook&amp;utm_medium=MES&amp;utm_term=NEW_UnitedStates_1840_none_060524&amp;utm_content=saletructiep_UnitedStates.M230C90.1840.giaotiep_PTATT_LD161&amp;utm_campaign=UnitedStates.giaotiep.M230C90_16917_MES_NamNH_060524" TargetMode="External"/><Relationship Id="rId657" Type="http://schemas.openxmlformats.org/officeDocument/2006/relationships/hyperlink" Target="https://patadovietnam.edu.vn/tienganhgiaotiep_hn/" TargetMode="External"/><Relationship Id="rId656" Type="http://schemas.openxmlformats.org/officeDocument/2006/relationships/hyperlink" Target="http://ldp.ink/tuhoc_dailoan" TargetMode="External"/><Relationship Id="rId655" Type="http://schemas.openxmlformats.org/officeDocument/2006/relationships/hyperlink" Target="https://patadovietnam.edu.vn/tienganhgiaotiep_hn/?utm_source=Facebook&amp;utm_medium=MES&amp;utm_term=NEW_Taiwan_1840_none_150923&amp;utm_content=saletructiep_Taiwan.tuhoc.1840.giaotiep_PTATT_LD153&amp;utm_campaign=Taiwan.giaotiep.tuhoc_95360_MES_NamNH_150923" TargetMode="External"/><Relationship Id="rId654" Type="http://schemas.openxmlformats.org/officeDocument/2006/relationships/hyperlink" Target="https://patadovietnam.edu.vn/tienganhgiaotiep_hn/" TargetMode="External"/><Relationship Id="rId659" Type="http://schemas.openxmlformats.org/officeDocument/2006/relationships/hyperlink" Target="http://ldp.ink/tuhoc_hanquoc" TargetMode="External"/><Relationship Id="rId658" Type="http://schemas.openxmlformats.org/officeDocument/2006/relationships/hyperlink" Target="https://patadovietnam.edu.vn/tienganhgiaotiep_hn/?utm_source=Facebook&amp;utm_medium=MES&amp;utm_term=NEW_KoreaSouth_1840_none_150923&amp;utm_content=saletructiep_KoreaSouth.tuhoc.1840.giaotiep_PTATT_LD153&amp;utm_campaign=KoreaSouth.giaotiep.tuhoc_95360_MES_NamNH_150923" TargetMode="External"/><Relationship Id="rId1480" Type="http://schemas.openxmlformats.org/officeDocument/2006/relationships/hyperlink" Target="https://patadovietnam.edu.vn/tienganhgiaotiep_hn/?utm_source=Facebook&amp;utm_medium=MES&amp;utm_term=NEW_Australia_1840_none_060524&amp;utm_content=saletructiep_Australia.anhnote.1840.giaotiep_PTATT_LD153&amp;utm_campaign=Australia.giaotiep.anhnote_95360_MES_NamNH_060524" TargetMode="External"/><Relationship Id="rId1481" Type="http://schemas.openxmlformats.org/officeDocument/2006/relationships/hyperlink" Target="https://s.net.vn/note-australia" TargetMode="External"/><Relationship Id="rId1482" Type="http://schemas.openxmlformats.org/officeDocument/2006/relationships/hyperlink" Target="https://patadovietnam.edu.vn/tienganhgiaotiep_hn/" TargetMode="External"/><Relationship Id="rId1483" Type="http://schemas.openxmlformats.org/officeDocument/2006/relationships/hyperlink" Target="https://patadovietnam.edu.vn/tienganhgiaotiep_hn/?utm_source=Facebook&amp;utm_medium=MES&amp;utm_term=NEW_Philippines_1840_none_060524&amp;utm_content=saletructiep_Philippines.anhnote.1840.giaotiep_PTATT_LD153&amp;utm_campaign=Philippines.giaotiep.anhnote_95360_MES_NamNH_060524" TargetMode="External"/><Relationship Id="rId653" Type="http://schemas.openxmlformats.org/officeDocument/2006/relationships/hyperlink" Target="http://ldp.ink/tuhoc_nhatban" TargetMode="External"/><Relationship Id="rId1484" Type="http://schemas.openxmlformats.org/officeDocument/2006/relationships/hyperlink" Target="https://s.net.vn/note-philippines" TargetMode="External"/><Relationship Id="rId652" Type="http://schemas.openxmlformats.org/officeDocument/2006/relationships/hyperlink" Target="https://patadovietnam.edu.vn/gtjapan_nhn3/?utm_source=Facebook&amp;utm_medium=CVS&amp;utm_term=NEW_Japan_1840_none_150923&amp;utm_content=saletructiep_Japan.tuhoc.1840.giaotiep_PTATT_LD164&amp;utm_campaign=Japan.giaotiep.tuhoc_16917_CVS_NamNH_150923" TargetMode="External"/><Relationship Id="rId1485" Type="http://schemas.openxmlformats.org/officeDocument/2006/relationships/hyperlink" Target="https://patadovietnam.edu.vn/tienganhgiaotiep_hn/" TargetMode="External"/><Relationship Id="rId651" Type="http://schemas.openxmlformats.org/officeDocument/2006/relationships/hyperlink" Target="https://patadovietnam.edu.vn/gtjapan_nhn3" TargetMode="External"/><Relationship Id="rId1486" Type="http://schemas.openxmlformats.org/officeDocument/2006/relationships/hyperlink" Target="https://patadovietnam.edu.vn/tienganhgiaotiep_hn/?utm_source=Facebook&amp;utm_medium=MES&amp;utm_term=NEW_Philippines_1840_none_060524&amp;utm_content=saletructiep_Philippines.ndlchn.1840.giaotiep_PTATT_LD153&amp;utm_campaign=Philippines.giaotiep.ndlchn_95360_MES_NamNH_060524" TargetMode="External"/><Relationship Id="rId650" Type="http://schemas.openxmlformats.org/officeDocument/2006/relationships/hyperlink" Target="http://ldp.ink/NGHOA_japan" TargetMode="External"/><Relationship Id="rId1487" Type="http://schemas.openxmlformats.org/officeDocument/2006/relationships/hyperlink" Target="https://s.net.vn/ndlchn-philippines" TargetMode="External"/><Relationship Id="rId3216" Type="http://schemas.openxmlformats.org/officeDocument/2006/relationships/hyperlink" Target="https://patado.edu.vn/tienganhgiaotiep1_hn/?utm_source=Facebook&amp;utm_medium=MES&amp;utm_term=NEW_ALL_1840_none_190926&amp;utm_content=saletructiep_ALL.M765.1840.giaotiep_PTATT_LD267&amp;utm_campaign=ALL.giaotiep.M765xM766_16917_MES_NamNH_190926" TargetMode="External"/><Relationship Id="rId3215" Type="http://schemas.openxmlformats.org/officeDocument/2006/relationships/hyperlink" Target="https://patado.edu.vn/tienganhgiaotiep1_hn/" TargetMode="External"/><Relationship Id="rId3218" Type="http://schemas.openxmlformats.org/officeDocument/2006/relationships/hyperlink" Target="https://patado.edu.vn/ptd_hongtt/" TargetMode="External"/><Relationship Id="rId3217" Type="http://schemas.openxmlformats.org/officeDocument/2006/relationships/hyperlink" Target="https://tinyurl.com/M765ALLM" TargetMode="External"/><Relationship Id="rId3219" Type="http://schemas.openxmlformats.org/officeDocument/2006/relationships/hyperlink" Target="https://patado.edu.vn/ptd_hongtt/?utm_source=Facebook&amp;utm_medium=CVS&amp;utm_term=NEW_Europe_1840_none_190926&amp;utm_content=saletructiep_Europe.M765.1840.giaotiep_PTATT_LD284&amp;utm_campaign=Europe.giaotiep.M765xM766_16917_CVS_NamNH_190926" TargetMode="External"/><Relationship Id="rId689" Type="http://schemas.openxmlformats.org/officeDocument/2006/relationships/hyperlink" Target="http://ldp.ink/CT3B_hanquoc" TargetMode="External"/><Relationship Id="rId688" Type="http://schemas.openxmlformats.org/officeDocument/2006/relationships/hyperlink" Target="https://patadovietnam.edu.vn/tienganhgiaotiep_hn/?utm_source=Facebook&amp;utm_medium=MES&amp;utm_term=NEW_KoreaSouth_1840_none_170923&amp;utm_content=saletructiep_KoreaSouth.ID29.1840.giaotiep_PTATT_LD153&amp;utm_campaign=KoreaSouth.giaotiep.ID29_95360_MES_NamNH_170923" TargetMode="External"/><Relationship Id="rId687" Type="http://schemas.openxmlformats.org/officeDocument/2006/relationships/hyperlink" Target="https://patadovietnam.edu.vn/tienganhgiaotiep_hn/" TargetMode="External"/><Relationship Id="rId682" Type="http://schemas.openxmlformats.org/officeDocument/2006/relationships/hyperlink" Target="https://patadovietnam.edu.vn/tienganhgiaotiep_hn/?utm_source=Facebook&amp;utm_medium=CVS&amp;utm_term=NEW_Europe_1840_none_160923&amp;utm_content=saletructiep_Europe.ID28.1840.giaotiep_PTATT_LD153&amp;utm_campaign=Europe.giaotiep.ID28_16917_CVS_NamNH_160923" TargetMode="External"/><Relationship Id="rId681" Type="http://schemas.openxmlformats.org/officeDocument/2006/relationships/hyperlink" Target="https://patadovietnam.edu.vn/tienganhgiaotiep_hn/" TargetMode="External"/><Relationship Id="rId680" Type="http://schemas.openxmlformats.org/officeDocument/2006/relationships/hyperlink" Target="http://ldp.ink/VBVB_canada" TargetMode="External"/><Relationship Id="rId3210" Type="http://schemas.openxmlformats.org/officeDocument/2006/relationships/hyperlink" Target="https://patado.edu.vn/ptd_hongtt/?utm_source=Facebook&amp;utm_medium=CVS&amp;utm_term=NEW_Europe_1840_none_010926&amp;utm_content=saletructiep_Europe.M761.1840.giaotiep_PTATT_LD284&amp;utm_campaign=Europe.giaotiep.M761xM762_16917_CVS_NamNH_010926" TargetMode="External"/><Relationship Id="rId686" Type="http://schemas.openxmlformats.org/officeDocument/2006/relationships/hyperlink" Target="http://ldp.ink/CT3B_taiwan" TargetMode="External"/><Relationship Id="rId3212" Type="http://schemas.openxmlformats.org/officeDocument/2006/relationships/hyperlink" Target="https://patado.edu.vn/tienganhgiaotiep1_hn/" TargetMode="External"/><Relationship Id="rId685" Type="http://schemas.openxmlformats.org/officeDocument/2006/relationships/hyperlink" Target="https://patadovietnam.edu.vn/tienganhgiaotiep_hn/?utm_source=Facebook&amp;utm_medium=MES&amp;utm_term=NEW_Taiwan_1840_none_170923&amp;utm_content=saletructiep_Taiwan.ID29.1840.giaotiep_PTATT_LD153&amp;utm_campaign=Taiwan.giaotiep.ID29_95360_MES_NamNH_170923" TargetMode="External"/><Relationship Id="rId3211" Type="http://schemas.openxmlformats.org/officeDocument/2006/relationships/hyperlink" Target="https://tinyurl.com/M761xM762EUC" TargetMode="External"/><Relationship Id="rId684" Type="http://schemas.openxmlformats.org/officeDocument/2006/relationships/hyperlink" Target="https://patadovietnam.edu.vn/tienganhgiaotiep_hn/" TargetMode="External"/><Relationship Id="rId3214" Type="http://schemas.openxmlformats.org/officeDocument/2006/relationships/hyperlink" Target="https://tinyurl.com/M761xM762ALLM" TargetMode="External"/><Relationship Id="rId683" Type="http://schemas.openxmlformats.org/officeDocument/2006/relationships/hyperlink" Target="http://ldp.ink/VBVB_chauau" TargetMode="External"/><Relationship Id="rId3213" Type="http://schemas.openxmlformats.org/officeDocument/2006/relationships/hyperlink" Target="https://patado.edu.vn/tienganhgiaotiep1_hn/?utm_source=Facebook&amp;utm_medium=MES&amp;utm_term=NEW_ALL_1840_none_010926&amp;utm_content=saletructiep_ALL.M761.1840.giaotiep_PTATT_LD267&amp;utm_campaign=ALL.giaotiep.M761xM762_16917_MES_NamNH_010926" TargetMode="External"/><Relationship Id="rId3205" Type="http://schemas.openxmlformats.org/officeDocument/2006/relationships/hyperlink" Target="https://tinyurl.com/M761xM762JPC" TargetMode="External"/><Relationship Id="rId3204" Type="http://schemas.openxmlformats.org/officeDocument/2006/relationships/hyperlink" Target="https://patado.edu.vn/nhn_jp0106/?utm_source=Facebook&amp;utm_medium=CVS&amp;utm_term=NEW_Japan_1840_none_010926&amp;utm_content=saletructiep_Japan.M761.1840.giaotiep_PTATT_LD282&amp;utm_campaign=Japan.giaotiep.M761xM762_16917_CVS_NamNH_010926" TargetMode="External"/><Relationship Id="rId3207" Type="http://schemas.openxmlformats.org/officeDocument/2006/relationships/hyperlink" Target="https://patado.edu.vn/ptd_hongtt/?utm_source=Facebook&amp;utm_medium=CVS&amp;utm_term=NEW_Europe_1840_none_010926&amp;utm_content=saletructiep_Europe.M757.1840.giaotiep_PTATT_LD284&amp;utm_campaign=Europe.giaotiep.M757xM760_16917_CVS_NamNH_010926" TargetMode="External"/><Relationship Id="rId3206" Type="http://schemas.openxmlformats.org/officeDocument/2006/relationships/hyperlink" Target="https://patado.edu.vn/ptd_hongtt/" TargetMode="External"/><Relationship Id="rId3209" Type="http://schemas.openxmlformats.org/officeDocument/2006/relationships/hyperlink" Target="https://patado.edu.vn/ptd_hongtt/" TargetMode="External"/><Relationship Id="rId3208" Type="http://schemas.openxmlformats.org/officeDocument/2006/relationships/hyperlink" Target="https://tinyurl.com/M757xM760EUC" TargetMode="External"/><Relationship Id="rId679" Type="http://schemas.openxmlformats.org/officeDocument/2006/relationships/hyperlink" Target="https://patadovietnam.edu.vn/tienganhgiaotiep_hn/?utm_source=Facebook&amp;utm_medium=MES&amp;utm_term=NEW_Canada_1840_none_160923&amp;utm_content=saletructiep_Canada.ID28.1840.giaotiep_PTATT_LD153&amp;utm_campaign=Canada.giaotiep.ID28_95360_MES_NamNH_160923" TargetMode="External"/><Relationship Id="rId678" Type="http://schemas.openxmlformats.org/officeDocument/2006/relationships/hyperlink" Target="https://patadovietnam.edu.vn/tienganhgiaotiep_hn/" TargetMode="External"/><Relationship Id="rId677" Type="http://schemas.openxmlformats.org/officeDocument/2006/relationships/hyperlink" Target="http://ldp.ink/VBVB_australia" TargetMode="External"/><Relationship Id="rId676" Type="http://schemas.openxmlformats.org/officeDocument/2006/relationships/hyperlink" Target="https://patadovietnam.edu.vn/tienganhgiaotiep_hn/?utm_source=Facebook&amp;utm_medium=MES&amp;utm_term=NEW_Australia_1840_none_160923&amp;utm_content=saletructiep_Australia.ID28.1840.giaotiep_PTATT_LD153&amp;utm_campaign=Australia.giaotiep.ID28_95360_MES_NamNH_160923" TargetMode="External"/><Relationship Id="rId671" Type="http://schemas.openxmlformats.org/officeDocument/2006/relationships/hyperlink" Target="http://ldp.ink/VBVB_hanquoc" TargetMode="External"/><Relationship Id="rId670" Type="http://schemas.openxmlformats.org/officeDocument/2006/relationships/hyperlink" Target="https://patadovietnam.edu.vn/tienganhgiaotiep_hn/?utm_source=Facebook&amp;utm_medium=MES&amp;utm_term=NEW_KoreaSouth_1840_none_160923&amp;utm_content=saletructiep_KoreaSouth.ID28.1840.giaotiep_PTATT_LD153&amp;utm_campaign=KoreaSouth.giaotiep.ID28_95360_MES_NamNH_160923" TargetMode="External"/><Relationship Id="rId675" Type="http://schemas.openxmlformats.org/officeDocument/2006/relationships/hyperlink" Target="https://patadovietnam.edu.vn/tienganhgiaotiep_hn/" TargetMode="External"/><Relationship Id="rId3201" Type="http://schemas.openxmlformats.org/officeDocument/2006/relationships/hyperlink" Target="https://patado.edu.vn/gtjapan_nhn3/?utm_source=Facebook&amp;utm_medium=CVS&amp;utm_term=NEW_Japan_1840_none_010926&amp;utm_content=saletructiep_Japan.M757.1840.giaotiep_PTATT_LD265&amp;utm_campaign=Japan.giaotiep.M757xM760_16917_CVS_NamNH_010926" TargetMode="External"/><Relationship Id="rId674" Type="http://schemas.openxmlformats.org/officeDocument/2006/relationships/hyperlink" Target="http://ldp.ink/VBVB_hoaky" TargetMode="External"/><Relationship Id="rId3200" Type="http://schemas.openxmlformats.org/officeDocument/2006/relationships/hyperlink" Target="https://patado.edu.vn/gtjapan_nhn3/" TargetMode="External"/><Relationship Id="rId673" Type="http://schemas.openxmlformats.org/officeDocument/2006/relationships/hyperlink" Target="https://patadovietnam.edu.vn/gtusa1_nhn/?utm_source=Facebook&amp;utm_medium=MES&amp;utm_term=NEW_UnitedStates_1840_none_160923&amp;utm_content=saletructiep_UnitedStates.ID28.1840.giaotiep_PTATT_LD161&amp;utm_campaign=UnitedStates.giaotiep.ID28_16917_MES_NamNH_160923" TargetMode="External"/><Relationship Id="rId3203" Type="http://schemas.openxmlformats.org/officeDocument/2006/relationships/hyperlink" Target="https://patado.edu.vn/nhn_jp0106" TargetMode="External"/><Relationship Id="rId672" Type="http://schemas.openxmlformats.org/officeDocument/2006/relationships/hyperlink" Target="https://patadovietnam.edu.vn/gtusa1_nhn" TargetMode="External"/><Relationship Id="rId3202" Type="http://schemas.openxmlformats.org/officeDocument/2006/relationships/hyperlink" Target="https://tinyurl.com/M757xM760JPC" TargetMode="External"/><Relationship Id="rId190" Type="http://schemas.openxmlformats.org/officeDocument/2006/relationships/hyperlink" Target="https://patadovietnam.edu.vn/tienganhgiaotiep_hn/?utm_source=Facebook&amp;utm_medium=MES&amp;utm_term=NEW_Malaysia_2040_none_100623&amp;utm_content=saletructiep_malaysia.jh.2040.giaotiep_PTATT_LD153&amp;utm_campaign=Malaysia.giaotiep.jh_95360_MES_NamNH_100623" TargetMode="External"/><Relationship Id="rId194" Type="http://schemas.openxmlformats.org/officeDocument/2006/relationships/hyperlink" Target="http://ldp.to/japan_nhn" TargetMode="External"/><Relationship Id="rId193" Type="http://schemas.openxmlformats.org/officeDocument/2006/relationships/hyperlink" Target="https://patadovietnam.edu.vn/gtjapan_nhn3/?utm_source=Facebook&amp;utm_medium=CVS&amp;utm_term=NEW_Japan_1838_none_100623&amp;utm_content=saletructiep_Japan.jh2.1838.giaotiep_PTATT_LD164&amp;utm_campaign=Japan.giaotiep.jh2_16917_CVS_NamNH_100623" TargetMode="External"/><Relationship Id="rId192" Type="http://schemas.openxmlformats.org/officeDocument/2006/relationships/hyperlink" Target="https://patadovietnam.edu.vn/gtjapan_nhn3" TargetMode="External"/><Relationship Id="rId191" Type="http://schemas.openxmlformats.org/officeDocument/2006/relationships/hyperlink" Target="http://ldp.to/Malaysia_HN" TargetMode="External"/><Relationship Id="rId187" Type="http://schemas.openxmlformats.org/officeDocument/2006/relationships/hyperlink" Target="https://patadovietnam.edu.vn/tienganhgiaotiep_hn/?utm_source=Facebook&amp;utm_medium=MES&amp;utm_term=NEW_Australia_2045_none_090623&amp;utm_content=saletructiep_Australia.anhtbuc.2045.giaotiep_PTATT_LD153&amp;utm_campaign=Australia.giaotiep.anhtbuc_95360_MES_NamNH_090623" TargetMode="External"/><Relationship Id="rId186" Type="http://schemas.openxmlformats.org/officeDocument/2006/relationships/hyperlink" Target="https://patadovietnam.edu.vn/tienganhgiaotiep_hn/" TargetMode="External"/><Relationship Id="rId185" Type="http://schemas.openxmlformats.org/officeDocument/2006/relationships/hyperlink" Target="http://ldp.to/GTjapan12_hn" TargetMode="External"/><Relationship Id="rId184" Type="http://schemas.openxmlformats.org/officeDocument/2006/relationships/hyperlink" Target="https://patadovietnam.edu.vn/gtjapan_nhn2/?utm_source=Facebook&amp;utm_medium=MES&amp;utm_term=NEW_Japan_1838_none_070623&amp;utm_content=saletructiep_Japan.jhuynh.1838.giaotiep_PTATT_LD163&amp;utm_campaign=Japan.giaotiep.jhuynh_16917_MES_NamNH_070623" TargetMode="External"/><Relationship Id="rId189" Type="http://schemas.openxmlformats.org/officeDocument/2006/relationships/hyperlink" Target="https://patadovietnam.edu.vn/tienganhgiaotiep_hn/" TargetMode="External"/><Relationship Id="rId188" Type="http://schemas.openxmlformats.org/officeDocument/2006/relationships/hyperlink" Target="http://ldp.to/TBuc_hn" TargetMode="External"/><Relationship Id="rId183" Type="http://schemas.openxmlformats.org/officeDocument/2006/relationships/hyperlink" Target="https://patadovietnam.edu.vn/gtjapan_nhn2" TargetMode="External"/><Relationship Id="rId182" Type="http://schemas.openxmlformats.org/officeDocument/2006/relationships/hyperlink" Target="http://ldp.to/GTusa8_HN" TargetMode="External"/><Relationship Id="rId181" Type="http://schemas.openxmlformats.org/officeDocument/2006/relationships/hyperlink" Target="https://patadovietnam.edu.vn/gtusa1_nhn/?utm_source=Facebook&amp;utm_medium=MES&amp;utm_term=NEW_UnitedStates_2040_none_070623&amp;utm_content=saletructiep_Unitedstates.dich.2040.giaotiep_PTATT_LD161&amp;utm_campaign=UnitedStates.giaotiep.dich_95360_MES_NamNH_070623" TargetMode="External"/><Relationship Id="rId180" Type="http://schemas.openxmlformats.org/officeDocument/2006/relationships/hyperlink" Target="https://patadovietnam.edu.vn/gtusa1_nhn" TargetMode="External"/><Relationship Id="rId176" Type="http://schemas.openxmlformats.org/officeDocument/2006/relationships/hyperlink" Target="http://ldp.to/GTkorea6_Hn" TargetMode="External"/><Relationship Id="rId175" Type="http://schemas.openxmlformats.org/officeDocument/2006/relationships/hyperlink" Target="https://patadovietnam.edu.vn/gtkorea_nhn/?utm_source=Facebook&amp;utm_medium=MES&amp;utm_term=NEW_KoreaSouth_1836_none_060623&amp;utm_content=saletructiep_Southkorea.anhtbkorea.1836.giaotiep_PTATT_LD166&amp;utm_campaign=Southkorea.giaotiep.anhtbkorea_95360_MES_NamNH_060623" TargetMode="External"/><Relationship Id="rId174" Type="http://schemas.openxmlformats.org/officeDocument/2006/relationships/hyperlink" Target="https://patadovietnam.edu.vn/gtkorea_nhn" TargetMode="External"/><Relationship Id="rId173" Type="http://schemas.openxmlformats.org/officeDocument/2006/relationships/hyperlink" Target="http://ldp.to/vietnam2_HN" TargetMode="External"/><Relationship Id="rId179" Type="http://schemas.openxmlformats.org/officeDocument/2006/relationships/hyperlink" Target="http://ldp.to/GTjapan11_HN" TargetMode="External"/><Relationship Id="rId178" Type="http://schemas.openxmlformats.org/officeDocument/2006/relationships/hyperlink" Target="https://patadovietnam.edu.vn/gtjapan_nhn2/?utm_source=Facebook&amp;utm_medium=CVS&amp;utm_term=NEW_Japan_1840_none_060623&amp;utm_content=saletructiep_Japan.dich.1840.giaotiep_PTATT_LD163&amp;utm_campaign=Japan.giaotiep.dich_95360_CVS_NamNH_060623" TargetMode="External"/><Relationship Id="rId177" Type="http://schemas.openxmlformats.org/officeDocument/2006/relationships/hyperlink" Target="https://patadovietnam.edu.vn/gtjapan_nhn2" TargetMode="External"/><Relationship Id="rId198" Type="http://schemas.openxmlformats.org/officeDocument/2006/relationships/hyperlink" Target="https://patadovietnam.edu.vn/gtall_namnh" TargetMode="External"/><Relationship Id="rId197" Type="http://schemas.openxmlformats.org/officeDocument/2006/relationships/hyperlink" Target="http://ldp.to/europegt_hn" TargetMode="External"/><Relationship Id="rId196" Type="http://schemas.openxmlformats.org/officeDocument/2006/relationships/hyperlink" Target="https://patadovietnam.edu.vn/gtall_namnh/?utm_source=Facebook&amp;utm_medium=CVS&amp;utm_term=NEW_Europe_2045_none_100623&amp;utm_content=saletructiep_Europe.jh2.2045.giaotiep_PTATT_LD169&amp;utm_campaign=Europe.giaotiep.jh2_16917_CVS_NamNH_100623" TargetMode="External"/><Relationship Id="rId195" Type="http://schemas.openxmlformats.org/officeDocument/2006/relationships/hyperlink" Target="https://patadovietnam.edu.vn/gtall_namnh" TargetMode="External"/><Relationship Id="rId199" Type="http://schemas.openxmlformats.org/officeDocument/2006/relationships/hyperlink" Target="https://patadovietnam.edu.vn/gtall_namnh/?utm_source=Facebook&amp;utm_medium=CVS&amp;utm_term=NEW_Korea_1838_none_100623&amp;utm_content=saletructiep_Korea.jh2.1838.giaotiep_PTATT_LD169&amp;utm_campaign=Korea.giaotiep.jh2_16917_CVS_NamNH_100623" TargetMode="External"/><Relationship Id="rId150" Type="http://schemas.openxmlformats.org/officeDocument/2006/relationships/hyperlink" Target="https://patadovietnam.edu.vn/gtusa1_nhn" TargetMode="External"/><Relationship Id="rId149" Type="http://schemas.openxmlformats.org/officeDocument/2006/relationships/hyperlink" Target="http://ldp.to/GTAustralia6_hn" TargetMode="External"/><Relationship Id="rId148" Type="http://schemas.openxmlformats.org/officeDocument/2006/relationships/hyperlink" Target="https://patadovietnam.edu.vn/tienganhgiaotiep_hn/?utm_source=Facebook&amp;utm_medium=MES&amp;utm_term=NEW_Australia_2540_none_180523&amp;utm_content=saletructiep_Australia.GTaustra2.2540.giaotiep_PTATT_LD153&amp;utm_campaign=Australia.giaotiep.Gtaustra2_95360_MES_NamNH_180523" TargetMode="External"/><Relationship Id="rId3270" Type="http://schemas.openxmlformats.org/officeDocument/2006/relationships/hyperlink" Target="https://patado.edu.vn/gtjapan_nhn3/?utm_source=Facebook&amp;utm_medium=CVS&amp;utm_term=NEW_Japan_1840_none_071026&amp;utm_content=saletructiep_Japan.M771.1840.giaotiep_PTATT_LD265&amp;utm_campaign=Japan.giaotiep.M771xM772_16917_CVS_NamNH_071026" TargetMode="External"/><Relationship Id="rId3272" Type="http://schemas.openxmlformats.org/officeDocument/2006/relationships/hyperlink" Target="https://patado.edu.vn/tienganhgiaotiep1_hn/" TargetMode="External"/><Relationship Id="rId3271" Type="http://schemas.openxmlformats.org/officeDocument/2006/relationships/hyperlink" Target="https://tinyurl.com/M771JPC" TargetMode="External"/><Relationship Id="rId143" Type="http://schemas.openxmlformats.org/officeDocument/2006/relationships/hyperlink" Target="http://ldp.to/GTjapan7_hn" TargetMode="External"/><Relationship Id="rId3274" Type="http://schemas.openxmlformats.org/officeDocument/2006/relationships/hyperlink" Target="https://tinyurl.com/M771xM772EUC" TargetMode="External"/><Relationship Id="rId142" Type="http://schemas.openxmlformats.org/officeDocument/2006/relationships/hyperlink" Target="https://patadovietnam.edu.vn/gtjapan_nhn2/?utm_source=Facebook&amp;utm_medium=CVS&amp;utm_term=NEW_Japan_1840_none_170523&amp;utm_content=saletructiep_Japan.jhuynh.1840.giaotiep_PTATT_LD163&amp;utm_campaign=Japan.giaotiep.jhuynh_16917_CVS_NamNH_170523" TargetMode="External"/><Relationship Id="rId3273" Type="http://schemas.openxmlformats.org/officeDocument/2006/relationships/hyperlink" Target="https://patado.edu.vn/tienganhgiaotiep1_hn/?utm_source=Facebook&amp;utm_medium=CVS&amp;utm_term=NEW_Europe_1840_none_071026&amp;utm_content=saletructiep_Europe.M771.1840.giaotiep_PTATT_LD267&amp;utm_campaign=Europe.giaotiep.M771xM772_16917_CVS_NamNH_071026" TargetMode="External"/><Relationship Id="rId141" Type="http://schemas.openxmlformats.org/officeDocument/2006/relationships/hyperlink" Target="https://patadovietnam.edu.vn/gtjapan_nhn2" TargetMode="External"/><Relationship Id="rId3276" Type="http://schemas.openxmlformats.org/officeDocument/2006/relationships/hyperlink" Target="https://patado.edu.vn/ptd_hongtt/?utm_source=Facebook&amp;utm_medium=MES&amp;utm_term=NEW_ALL_1840_none_071026&amp;utm_content=saletructiep_ALL.M771.1840.giaotiep_PTATT_LD284&amp;utm_campaign=ALL.giaotiep.M771xM772_16917_MES_NamNH_071026" TargetMode="External"/><Relationship Id="rId140" Type="http://schemas.openxmlformats.org/officeDocument/2006/relationships/hyperlink" Target="http://ldp.to/GTjapan6_hn" TargetMode="External"/><Relationship Id="rId3275" Type="http://schemas.openxmlformats.org/officeDocument/2006/relationships/hyperlink" Target="https://patado.edu.vn/ptd_hongtt/" TargetMode="External"/><Relationship Id="rId147" Type="http://schemas.openxmlformats.org/officeDocument/2006/relationships/hyperlink" Target="https://patadovietnam.edu.vn/tienganhgiaotiep_hn/" TargetMode="External"/><Relationship Id="rId3278" Type="http://schemas.openxmlformats.org/officeDocument/2006/relationships/hyperlink" Target="https://patado.edu.vn/tienganhgiaotiep1_hn/" TargetMode="External"/><Relationship Id="rId146" Type="http://schemas.openxmlformats.org/officeDocument/2006/relationships/hyperlink" Target="http://ldp.to/GTjapan8_hn" TargetMode="External"/><Relationship Id="rId3277" Type="http://schemas.openxmlformats.org/officeDocument/2006/relationships/hyperlink" Target="https://tinyurl.com/M771xM772ALLM" TargetMode="External"/><Relationship Id="rId145" Type="http://schemas.openxmlformats.org/officeDocument/2006/relationships/hyperlink" Target="https://patadovietnam.edu.vn/gtjapan_nhn3/?utm_source=Facebook&amp;utm_medium=CVS&amp;utm_term=NEW_Japan_1838_none_180523&amp;utm_content=saletructiep_Japan.jhuynh.1838.giaotiep_PTATT_LD164&amp;utm_campaign=Japan.giaotiep.jhuynh_16917_CVS_NamNH_180523" TargetMode="External"/><Relationship Id="rId144" Type="http://schemas.openxmlformats.org/officeDocument/2006/relationships/hyperlink" Target="https://patadovietnam.edu.vn/gtjapan_nhn3" TargetMode="External"/><Relationship Id="rId3279" Type="http://schemas.openxmlformats.org/officeDocument/2006/relationships/hyperlink" Target="https://patado.edu.vn/tienganhgiaotiep1_hn/?utm_source=Facebook&amp;utm_medium=CVS&amp;utm_term=NEW_Europe_1840_none_071026&amp;utm_content=saletructiep_Europe.M769.1840.giaotiep_PTATT_LD267&amp;utm_campaign=Europe.giaotiep.M769xM770_16917_CVS_NamNH_071026" TargetMode="External"/><Relationship Id="rId139" Type="http://schemas.openxmlformats.org/officeDocument/2006/relationships/hyperlink" Target="https://patadovietnam.edu.vn/gtjapan_nhn2/?utm_source=Facebook&amp;utm_medium=MES&amp;utm_term=NEW_Japan_1838_none_170523&amp;utm_content=saletructiep_Japan.GTjapan3.1838.giaotiep_PTATT_LD163&amp;utm_campaign=Japan.giaotiep.GTjapan3_95360_MES_NamNH_170523" TargetMode="External"/><Relationship Id="rId138" Type="http://schemas.openxmlformats.org/officeDocument/2006/relationships/hyperlink" Target="https://patadovietnam.edu.vn/gtjapan_nhn2" TargetMode="External"/><Relationship Id="rId137" Type="http://schemas.openxmlformats.org/officeDocument/2006/relationships/hyperlink" Target="http://ldp.to/GTjapan5_hn" TargetMode="External"/><Relationship Id="rId3261" Type="http://schemas.openxmlformats.org/officeDocument/2006/relationships/hyperlink" Target="https://patado.edu.vn/nhn_jp0106/?utm_source=Facebook&amp;utm_medium=CVS&amp;utm_term=NEW_Japan_1840_none_071026&amp;utm_content=saletructiep_Japan.M769.1840.giaotiep_PTATT_LD282&amp;utm_campaign=Japan.giaotiep.M769xM770_16917_CVS_NamNH_071026" TargetMode="External"/><Relationship Id="rId3260" Type="http://schemas.openxmlformats.org/officeDocument/2006/relationships/hyperlink" Target="https://patado.edu.vn/nhn_jp0106" TargetMode="External"/><Relationship Id="rId132" Type="http://schemas.openxmlformats.org/officeDocument/2006/relationships/hyperlink" Target="https://patadovietnam.edu.vn/gtkorea_nhn" TargetMode="External"/><Relationship Id="rId3263" Type="http://schemas.openxmlformats.org/officeDocument/2006/relationships/hyperlink" Target="https://patado.edu.vn/ptd_hongtt/" TargetMode="External"/><Relationship Id="rId131" Type="http://schemas.openxmlformats.org/officeDocument/2006/relationships/hyperlink" Target="http://ldp.to/GTAustralia5_hn" TargetMode="External"/><Relationship Id="rId3262" Type="http://schemas.openxmlformats.org/officeDocument/2006/relationships/hyperlink" Target="https://tinyurl.com/M769xM770JPC" TargetMode="External"/><Relationship Id="rId130" Type="http://schemas.openxmlformats.org/officeDocument/2006/relationships/hyperlink" Target="https://patadovietnam.edu.vn/tienganhgiaotiep_hn/?utm_source=Facebook&amp;utm_medium=MES&amp;utm_term=NEW_Australia_2045_none_160523&amp;utm_content=saletructiep_Australia.GTaustra2.2045.giaotiep_PTATT_LD153&amp;utm_campaign=Australia.giaotiep.Gtaustra2_95360_MES_NamNH_160523" TargetMode="External"/><Relationship Id="rId3265" Type="http://schemas.openxmlformats.org/officeDocument/2006/relationships/hyperlink" Target="https://tinyurl.com/M769xM770EUC" TargetMode="External"/><Relationship Id="rId3264" Type="http://schemas.openxmlformats.org/officeDocument/2006/relationships/hyperlink" Target="https://patado.edu.vn/ptd_hongtt/?utm_source=Facebook&amp;utm_medium=CVS&amp;utm_term=NEW_Europe_1840_none_071026&amp;utm_content=saletructiep_Europe.M769.1840.giaotiep_PTATT_LD284&amp;utm_campaign=Europe.giaotiep.M769xM770_16917_CVS_NamNH_071026" TargetMode="External"/><Relationship Id="rId136" Type="http://schemas.openxmlformats.org/officeDocument/2006/relationships/hyperlink" Target="https://patadovietnam.edu.vn/gtjapan_nhn2/?utm_source=Facebook&amp;utm_medium=CVS&amp;utm_term=NEW_Japan_1840_none_170523&amp;utm_content=saletructiep_Japan.videoGT.1840.giaotiep_PTATT_LD163&amp;utm_campaign=Japan.giaotiep.videoGT_95360_CVS_NamNH_170523" TargetMode="External"/><Relationship Id="rId3267" Type="http://schemas.openxmlformats.org/officeDocument/2006/relationships/hyperlink" Target="https://patado.edu.vn/ptd_hongtt/?utm_source=Facebook&amp;utm_medium=MES&amp;utm_term=NEW_ALL_1840_none_071026&amp;utm_content=saletructiep_ALL.M769.1840.giaotiep_PTATT_LD284&amp;utm_campaign=ALL.giaotiep.M769xM770_16917_MES_NamNH_071026" TargetMode="External"/><Relationship Id="rId135" Type="http://schemas.openxmlformats.org/officeDocument/2006/relationships/hyperlink" Target="https://patadovietnam.edu.vn/gtjapan_nhn2" TargetMode="External"/><Relationship Id="rId3266" Type="http://schemas.openxmlformats.org/officeDocument/2006/relationships/hyperlink" Target="https://patado.edu.vn/ptd_hongtt/" TargetMode="External"/><Relationship Id="rId134" Type="http://schemas.openxmlformats.org/officeDocument/2006/relationships/hyperlink" Target="http://ldp.to/GTkorea4_HN" TargetMode="External"/><Relationship Id="rId3269" Type="http://schemas.openxmlformats.org/officeDocument/2006/relationships/hyperlink" Target="https://patado.edu.vn/gtjapan_nhn3/" TargetMode="External"/><Relationship Id="rId133" Type="http://schemas.openxmlformats.org/officeDocument/2006/relationships/hyperlink" Target="https://patadovietnam.edu.vn/gtkorea_nhn/?utm_source=Facebook&amp;utm_medium=CVS&amp;utm_term=NEW_KoreaSouth_1838_none_160523&amp;utm_content=saletructiep_Southkorea.videoGT.1838.giaotiep_PTATT_LD166&amp;utm_campaign=Southkorea.giaotiep.videoGT_95360_CVS_NamNH_160523" TargetMode="External"/><Relationship Id="rId3268" Type="http://schemas.openxmlformats.org/officeDocument/2006/relationships/hyperlink" Target="https://tinyurl.com/M769xALLM" TargetMode="External"/><Relationship Id="rId172" Type="http://schemas.openxmlformats.org/officeDocument/2006/relationships/hyperlink" Target="https://patadovietnam.edu.vn/tienganhgiaotiep_hn/?utm_source=Facebook&amp;utm_medium=MES&amp;utm_term=NEW_Vietnam_1836_none_060623&amp;utm_content=saletructiep_Vietnam.videoGT.1836.giaotiep_PTATT_LD153&amp;utm_campaign=Vietnam.giaotiep.videoGT_95360_MES_NamNH_060623" TargetMode="External"/><Relationship Id="rId171" Type="http://schemas.openxmlformats.org/officeDocument/2006/relationships/hyperlink" Target="https://patadovietnam.edu.vn/tienganhgiaotiep_hn/" TargetMode="External"/><Relationship Id="rId170" Type="http://schemas.openxmlformats.org/officeDocument/2006/relationships/hyperlink" Target="http://ldp.to/GTphilipines_Hn2" TargetMode="External"/><Relationship Id="rId3290" Type="http://schemas.openxmlformats.org/officeDocument/2006/relationships/hyperlink" Target="https://tinyurl.com/M817xM818JPC" TargetMode="External"/><Relationship Id="rId3292" Type="http://schemas.openxmlformats.org/officeDocument/2006/relationships/hyperlink" Target="https://patado.edu.vn/ptd_hongtt/?utm_source=Facebook&amp;utm_medium=MES&amp;utm_term=NEW_ALL_1840_none_131026&amp;utm_content=saletructiep_ALL.M817.1840.giaotiep_PTATT_LD284&amp;utm_campaign=ALL.giaotiep.M817xM818_16917_MES_NamNH_131026" TargetMode="External"/><Relationship Id="rId3291" Type="http://schemas.openxmlformats.org/officeDocument/2006/relationships/hyperlink" Target="https://patado.edu.vn/ptd_hongtt/" TargetMode="External"/><Relationship Id="rId3294" Type="http://schemas.openxmlformats.org/officeDocument/2006/relationships/hyperlink" Target="https://patado.edu.vn/ptd_hongtt/" TargetMode="External"/><Relationship Id="rId3293" Type="http://schemas.openxmlformats.org/officeDocument/2006/relationships/hyperlink" Target="https://tinyurl.com/M817ALLC" TargetMode="External"/><Relationship Id="rId165" Type="http://schemas.openxmlformats.org/officeDocument/2006/relationships/hyperlink" Target="https://patadovietnam.edu.vn/gtusa1_nhn" TargetMode="External"/><Relationship Id="rId3296" Type="http://schemas.openxmlformats.org/officeDocument/2006/relationships/hyperlink" Target="https://tinyurl.com/M779TWM" TargetMode="External"/><Relationship Id="rId164" Type="http://schemas.openxmlformats.org/officeDocument/2006/relationships/hyperlink" Target="http://ldp.to/gtusa5_HN" TargetMode="External"/><Relationship Id="rId3295" Type="http://schemas.openxmlformats.org/officeDocument/2006/relationships/hyperlink" Target="https://patado.edu.vn/ptd_hongtt/?utm_source=Facebook&amp;utm_medium=MES&amp;utm_term=NEW_Taiwan_1840_none_131026&amp;utm_content=saletructiep_Taiwan.M779.1840.giaotiep_PTATT_LD284&amp;utm_campaign=Taiwan.giaotiep.M779xM784_16917_MES_NamNH_131026" TargetMode="External"/><Relationship Id="rId163" Type="http://schemas.openxmlformats.org/officeDocument/2006/relationships/hyperlink" Target="https://patadovietnam.edu.vn/gtusa1_nhn/?utm_source=Facebook&amp;utm_medium=MES&amp;utm_term=NEW_UnitedStates_2045_none_030623&amp;utm_content=saletructiep_Unitedstates.anhlt.2045.giaotiep_PTATT_LD161&amp;utm_campaign=UnitedStates.giaotiep.anhlt_16917_MES_NamNH_030623" TargetMode="External"/><Relationship Id="rId3298" Type="http://schemas.openxmlformats.org/officeDocument/2006/relationships/hyperlink" Target="https://patado.edu.vn/ptd_hongtt/?utm_source=Facebook&amp;utm_medium=MES&amp;utm_term=NEW_KoreaSouth_1840_none_131026&amp;utm_content=saletructiep_KoreaSouth.M779.1840.giaotiep_PTATT_LD284&amp;utm_campaign=KoreaSouth.giaotiep.M779xM784_16917_MES_NamNH_131026" TargetMode="External"/><Relationship Id="rId162" Type="http://schemas.openxmlformats.org/officeDocument/2006/relationships/hyperlink" Target="https://patadovietnam.edu.vn/gtusa1_nhn" TargetMode="External"/><Relationship Id="rId3297" Type="http://schemas.openxmlformats.org/officeDocument/2006/relationships/hyperlink" Target="https://patado.edu.vn/ptd_hongtt/" TargetMode="External"/><Relationship Id="rId169" Type="http://schemas.openxmlformats.org/officeDocument/2006/relationships/hyperlink" Target="https://patadovietnam.edu.vn/tienganhgiaotiep_hn/?utm_source=Facebook&amp;utm_medium=MES&amp;utm_term=NEW_Philippines_2038_none_050623&amp;utm_content=saletructiep_Philipines.qcpatado.2038.giaotiep_PTATT_LD153&amp;utm_campaign=Philipines.giao.tiep.qcpatado_95360_MES_NamNH_050623" TargetMode="External"/><Relationship Id="rId168" Type="http://schemas.openxmlformats.org/officeDocument/2006/relationships/hyperlink" Target="https://patadovietnam.edu.vn/tienganhgiaotiep_hn/" TargetMode="External"/><Relationship Id="rId3299" Type="http://schemas.openxmlformats.org/officeDocument/2006/relationships/hyperlink" Target="https://tinyurl.com/M779xM784KRM" TargetMode="External"/><Relationship Id="rId167" Type="http://schemas.openxmlformats.org/officeDocument/2006/relationships/hyperlink" Target="http://ldp.to/GTusa6_hn" TargetMode="External"/><Relationship Id="rId166" Type="http://schemas.openxmlformats.org/officeDocument/2006/relationships/hyperlink" Target="https://patadovietnam.edu.vn/gtusa1_nhn/?utm_source=Facebook&amp;utm_medium=MES&amp;utm_term=NEW_UnitedStates_2045_none_050623&amp;utm_content=saletructiep_Unitedstates.qcpatado.2045.giaotiep_PTATT_LD161&amp;utm_campaign=UnitedStates.giaotiep.qcpatado_16917_MES_NamNH_050623" TargetMode="External"/><Relationship Id="rId161" Type="http://schemas.openxmlformats.org/officeDocument/2006/relationships/hyperlink" Target="http://ldp.ink/GTjapan10_HN" TargetMode="External"/><Relationship Id="rId160" Type="http://schemas.openxmlformats.org/officeDocument/2006/relationships/hyperlink" Target="https://patadovietnam.edu.vn/gtjapan_nhn3/?utm_source=Facebook&amp;utm_medium=CVS&amp;utm_term=NEW_Japan_1838_none_020623&amp;utm_content=saletructiep_Japan.anhlt.1838.giaotiep_PTATT_LD164&amp;utm_campaign=Japan.giaotiep.anhlt_95360_CVS_NamNH_020623" TargetMode="External"/><Relationship Id="rId159" Type="http://schemas.openxmlformats.org/officeDocument/2006/relationships/hyperlink" Target="https://patadovietnam.edu.vn/gtjapan_nhn3" TargetMode="External"/><Relationship Id="rId3281" Type="http://schemas.openxmlformats.org/officeDocument/2006/relationships/hyperlink" Target="https://patado.edu.vn/ptd_hongtt/?utm_source=Facebook&amp;utm_medium=CVS&amp;utm_term=NEW_Europe_1840_none_121026&amp;utm_content=saletructiep_Europe.M775.1840.giaotiep_PTATT_LD284&amp;utm_campaign=Europe.giaotiep.M775xM776_16917_CVS_NamNH_121026" TargetMode="External"/><Relationship Id="rId3280" Type="http://schemas.openxmlformats.org/officeDocument/2006/relationships/hyperlink" Target="https://patado.edu.vn/ptd_hongtt/" TargetMode="External"/><Relationship Id="rId3283" Type="http://schemas.openxmlformats.org/officeDocument/2006/relationships/hyperlink" Target="https://patado.edu.vn/ptd_hongtt/" TargetMode="External"/><Relationship Id="rId3282" Type="http://schemas.openxmlformats.org/officeDocument/2006/relationships/hyperlink" Target="https://tinyurl.com/M775xM776EUC" TargetMode="External"/><Relationship Id="rId154" Type="http://schemas.openxmlformats.org/officeDocument/2006/relationships/hyperlink" Target="https://patadovietnam.edu.vn/gtjapan_nhn3/?utm_source=Facebook&amp;utm_medium=CVS&amp;utm_term=NEW_Japan_1840_none_270523&amp;utm_content=saletructiep_Japan.dhsnhat.1840.giaotiep_PTATT_LD164&amp;utm_campaign=Japan.giaotiep.dhsnhat_16917_CVS_NamNH_270523" TargetMode="External"/><Relationship Id="rId3285" Type="http://schemas.openxmlformats.org/officeDocument/2006/relationships/hyperlink" Target="https://tinyurl.com/M777xM778EUC" TargetMode="External"/><Relationship Id="rId153" Type="http://schemas.openxmlformats.org/officeDocument/2006/relationships/hyperlink" Target="https://patadovietnam.edu.vn/gtjapan_nhn3" TargetMode="External"/><Relationship Id="rId3284" Type="http://schemas.openxmlformats.org/officeDocument/2006/relationships/hyperlink" Target="https://patado.edu.vn/ptd_hongtt/?utm_source=Facebook&amp;utm_medium=CVS&amp;utm_term=NEW_Europe_1840_none_121026&amp;utm_content=saletructiep_Europe.M777.1840.giaotiep_PTATT_LD284&amp;utm_campaign=Europe.giaotiep.M777xM778_16917_CVS_NamNH_121026" TargetMode="External"/><Relationship Id="rId152" Type="http://schemas.openxmlformats.org/officeDocument/2006/relationships/hyperlink" Target="http://ldp.to/GTusa3_HN" TargetMode="External"/><Relationship Id="rId3287" Type="http://schemas.openxmlformats.org/officeDocument/2006/relationships/hyperlink" Target="https://patado.edu.vn/nhn_jp0106/?utm_source=Facebook&amp;utm_medium=CVS&amp;utm_term=NEW_Japan_1840_none_121026&amp;utm_content=saletructiep_Japan.M775.1840.giaotiep_PTATT_LD282&amp;utm_campaign=Japan.giaotiep.M775xM776_16917_CVS_NamNH_121026" TargetMode="External"/><Relationship Id="rId151" Type="http://schemas.openxmlformats.org/officeDocument/2006/relationships/hyperlink" Target="https://patadovietnam.edu.vn/gtusa1_nhn/?utm_source=Facebook&amp;utm_medium=MES&amp;utm_term=NEW_UnitedStates_1855_none_260523&amp;utm_content=saletructiep_Unitedstates.giaotiep.anhttmy_PTATT_LD161&amp;utm_campaign=UnitedStates.giaotiep.anhttmy_16917_MES_NamNH_260523" TargetMode="External"/><Relationship Id="rId3286" Type="http://schemas.openxmlformats.org/officeDocument/2006/relationships/hyperlink" Target="https://patado.edu.vn/nhn_jp0106" TargetMode="External"/><Relationship Id="rId158" Type="http://schemas.openxmlformats.org/officeDocument/2006/relationships/hyperlink" Target="http://ldp.to/Czechrepublic_HN" TargetMode="External"/><Relationship Id="rId3289" Type="http://schemas.openxmlformats.org/officeDocument/2006/relationships/hyperlink" Target="https://patado.edu.vn/nhn_jp0106/?utm_source=Facebook&amp;utm_medium=CVS&amp;utm_term=NEW_Japan_1840_none_131026&amp;utm_content=saletructiep_Japan.M817.1840.giaotiep_PTATT_LD282&amp;utm_campaign=Japan.giaotiep.M817xM818_16917_CVS_NamNH_131026" TargetMode="External"/><Relationship Id="rId157" Type="http://schemas.openxmlformats.org/officeDocument/2006/relationships/hyperlink" Target="https://patadovietnam.edu.vn/tienganhgiaotiep_hn/?utm_source=Facebook&amp;utm_medium=MES&amp;utm_term=NEW_CzechRepublic_2545_none_020623&amp;utm_content=saletructiep_CzechRepublic.jh.2545.giaotiep_PTATT_LD153&amp;utm_campaign=CzechRepublic.giaotiep.jh_95360_MES_NamNH_020623" TargetMode="External"/><Relationship Id="rId3288" Type="http://schemas.openxmlformats.org/officeDocument/2006/relationships/hyperlink" Target="https://patado.edu.vn/nhn_jp0106" TargetMode="External"/><Relationship Id="rId156" Type="http://schemas.openxmlformats.org/officeDocument/2006/relationships/hyperlink" Target="https://patadovietnam.edu.vn/tienganhgiaotiep_hn/" TargetMode="External"/><Relationship Id="rId155" Type="http://schemas.openxmlformats.org/officeDocument/2006/relationships/hyperlink" Target="http://ldp.to/GTjapan9_HN" TargetMode="External"/><Relationship Id="rId2820" Type="http://schemas.openxmlformats.org/officeDocument/2006/relationships/hyperlink" Target="https://patadovietnam.edu.vn/tienganhgiaotiep_hn/" TargetMode="External"/><Relationship Id="rId2821" Type="http://schemas.openxmlformats.org/officeDocument/2006/relationships/hyperlink" Target="https://patadovietnam.edu.vn/tienganhgiaotiep_hn/?utm_source=Facebook&amp;utm_medium=MES&amp;utm_term=NEW_ALL_1840_none_060126&amp;utm_content=saletructiep_ALL.M264.1840.giaotiep_PTATT_LD153&amp;utm_campaign=ALL.giaotiep.M264xJH_16917_MES_NamNH_060126" TargetMode="External"/><Relationship Id="rId2822" Type="http://schemas.openxmlformats.org/officeDocument/2006/relationships/hyperlink" Target="https://tinyurl.com/M264xJHAM" TargetMode="External"/><Relationship Id="rId2823" Type="http://schemas.openxmlformats.org/officeDocument/2006/relationships/hyperlink" Target="https://patadovietnam.edu.vn/tienganhgiaotiep_hn/" TargetMode="External"/><Relationship Id="rId2824" Type="http://schemas.openxmlformats.org/officeDocument/2006/relationships/hyperlink" Target="https://patadovietnam.edu.vn/tienganhgiaotiep_hn/?utm_source=Facebook&amp;utm_medium=CVS&amp;utm_term=NEW_Europe_1840_none_090126&amp;utm_content=saletructiep_Europe.M612.1840.giaotiep_PTATT_LD153&amp;utm_campaign=Europe.giaotiep.M611xM612_16917_CVS_NamNH_090126" TargetMode="External"/><Relationship Id="rId2825" Type="http://schemas.openxmlformats.org/officeDocument/2006/relationships/hyperlink" Target="https://tinyurl.com/M611xM612EUC" TargetMode="External"/><Relationship Id="rId2826" Type="http://schemas.openxmlformats.org/officeDocument/2006/relationships/hyperlink" Target="https://patadovietnam.edu.vn/gtjapan_nhn3" TargetMode="External"/><Relationship Id="rId2827" Type="http://schemas.openxmlformats.org/officeDocument/2006/relationships/hyperlink" Target="https://patadovietnam.edu.vn/gtjapan_nhn3/?utm_source=Facebook&amp;utm_medium=CVS&amp;utm_term=NEW_Japan_1840_none_090126&amp;utm_content=saletructiep_Japan.M612.1840.giaotiep_PTATT_LD164&amp;utm_campaign=Japan.giaotiep.M611xM612_16917_CVS_NamNH_090126" TargetMode="External"/><Relationship Id="rId2828" Type="http://schemas.openxmlformats.org/officeDocument/2006/relationships/hyperlink" Target="https://tinyurl.com/M611xM612JPC" TargetMode="External"/><Relationship Id="rId2829" Type="http://schemas.openxmlformats.org/officeDocument/2006/relationships/hyperlink" Target="https://patadovietnam.edu.vn/tienganhgiaotiep_hn/" TargetMode="External"/><Relationship Id="rId2810" Type="http://schemas.openxmlformats.org/officeDocument/2006/relationships/hyperlink" Target="https://tinyurl.com/M602xM608EUC" TargetMode="External"/><Relationship Id="rId2811" Type="http://schemas.openxmlformats.org/officeDocument/2006/relationships/hyperlink" Target="https://patadovietnam.edu.vn/tienganhgiaotiep_hn/" TargetMode="External"/><Relationship Id="rId2812" Type="http://schemas.openxmlformats.org/officeDocument/2006/relationships/hyperlink" Target="https://patadovietnam.edu.vn/tienganhgiaotiep_hn/?utm_source=Facebook&amp;utm_medium=MES&amp;utm_term=NEW_ALL_1840_none_050126&amp;utm_content=saletructiep_ALL.M608.1840.giaotiep_PTATT_LD153&amp;utm_campaign=ALL.giaotiep.M602xM608_16917_MES_NamNH_050126" TargetMode="External"/><Relationship Id="rId2813" Type="http://schemas.openxmlformats.org/officeDocument/2006/relationships/hyperlink" Target="https://tinyurl.com/M602xM608USMM" TargetMode="External"/><Relationship Id="rId2814" Type="http://schemas.openxmlformats.org/officeDocument/2006/relationships/hyperlink" Target="https://patadovietnam.edu.vn/tienganhgiaotiep_hn/" TargetMode="External"/><Relationship Id="rId2815" Type="http://schemas.openxmlformats.org/officeDocument/2006/relationships/hyperlink" Target="https://patadovietnam.edu.vn/tienganhgiaotiep_hn/?utm_source=Facebook&amp;utm_medium=CVS&amp;utm_term=NEW_Europe_1840_none_060126&amp;utm_content=saletructiep_Europe.M105.1840.giaotiep_PTATT_LD153&amp;utm_campaign=Europe.giaotiep.M105xM264_16917_CVS_NamNH_060126" TargetMode="External"/><Relationship Id="rId2816" Type="http://schemas.openxmlformats.org/officeDocument/2006/relationships/hyperlink" Target="https://tinyurl.com/M105xM264EUC" TargetMode="External"/><Relationship Id="rId2817" Type="http://schemas.openxmlformats.org/officeDocument/2006/relationships/hyperlink" Target="https://patadovietnam.edu.vn/gtjapan_nhn3" TargetMode="External"/><Relationship Id="rId2818" Type="http://schemas.openxmlformats.org/officeDocument/2006/relationships/hyperlink" Target="https://patadovietnam.edu.vn/gtjapan_nhn3/?utm_source=Facebook&amp;utm_medium=CVS&amp;utm_term=NEW_Japan_1840_none_060126&amp;utm_content=saletructiep_Japan.M264.1840.giaotiep_PTATT_LD164&amp;utm_campaign=Japan.giaotiep.M264xJH_16917_CVS_NamNH_060126" TargetMode="External"/><Relationship Id="rId2819" Type="http://schemas.openxmlformats.org/officeDocument/2006/relationships/hyperlink" Target="https://tinyurl.com/M264xJHC" TargetMode="External"/><Relationship Id="rId1510" Type="http://schemas.openxmlformats.org/officeDocument/2006/relationships/hyperlink" Target="https://patadovietnam.edu.vn/tienganhgiaotiep_hn/?utm_source=Facebook&amp;utm_medium=CVS&amp;utm_term=NEW_Japan_1840_none_120524&amp;utm_content=saletructiep_Japan.M231C90.1840.giaotiep_PTATT_LD153&amp;utm_campaign=Japan.giaotiep.M231C90_16917_CVS_NamNH_120524" TargetMode="External"/><Relationship Id="rId2841" Type="http://schemas.openxmlformats.org/officeDocument/2006/relationships/hyperlink" Target="https://patadovietnam.edu.vn/tienganhgiaotiep_hn/" TargetMode="External"/><Relationship Id="rId1511" Type="http://schemas.openxmlformats.org/officeDocument/2006/relationships/hyperlink" Target="https://s.net.vn/M231C90-japan" TargetMode="External"/><Relationship Id="rId2842" Type="http://schemas.openxmlformats.org/officeDocument/2006/relationships/hyperlink" Target="https://patadovietnam.edu.vn/tienganhgiaotiep_hn/?utm_source=Facebook&amp;utm_medium=CVS&amp;utm_term=NEW_Europe_1840_none_200126&amp;utm_content=saletructiep_Europe.M618.1840.giaotiep_PTATT_LD153&amp;utm_campaign=Europe.giaotiep.M618xM619_16917_CVS_NamNH_200126" TargetMode="External"/><Relationship Id="rId1512" Type="http://schemas.openxmlformats.org/officeDocument/2006/relationships/hyperlink" Target="https://patadovietnam.edu.vn/tienganhgiaotiep_hn/" TargetMode="External"/><Relationship Id="rId2843" Type="http://schemas.openxmlformats.org/officeDocument/2006/relationships/hyperlink" Target="https://tinyurl.com/M618xM619EUC" TargetMode="External"/><Relationship Id="rId1513" Type="http://schemas.openxmlformats.org/officeDocument/2006/relationships/hyperlink" Target="https://patadovietnam.edu.vn/tienganhgiaotiep_hn/?utm_source=Facebook&amp;utm_medium=MES&amp;utm_term=NEW_Taiwan_1840_none_120524&amp;utm_content=saletructiep_Taiwan.M231C90.1840.giaotiep_PTATT_LD153&amp;utm_campaign=Taiwan.giaotiep.M231C90_95360_MES_NamNH_120524" TargetMode="External"/><Relationship Id="rId2844" Type="http://schemas.openxmlformats.org/officeDocument/2006/relationships/hyperlink" Target="https://patadovietnam.edu.vn/gtjapan_nhn3" TargetMode="External"/><Relationship Id="rId1514" Type="http://schemas.openxmlformats.org/officeDocument/2006/relationships/hyperlink" Target="https://s.net.vn/M231C90-taiwan" TargetMode="External"/><Relationship Id="rId2845" Type="http://schemas.openxmlformats.org/officeDocument/2006/relationships/hyperlink" Target="https://patadovietnam.edu.vn/gtjapan_nhn3/?utm_source=Facebook&amp;utm_medium=CVS&amp;utm_term=NEW_Japan_1840_none_200126&amp;utm_content=saletructiep_Japan.M618.1840.giaotiep_PTATT_LD164&amp;utm_campaign=Japan.giaotiep.M618xM619_16917_CVS_NamNH_200126" TargetMode="External"/><Relationship Id="rId1515" Type="http://schemas.openxmlformats.org/officeDocument/2006/relationships/hyperlink" Target="https://patadovietnam.edu.vn/tienganhgiaotiep_hn/" TargetMode="External"/><Relationship Id="rId2846" Type="http://schemas.openxmlformats.org/officeDocument/2006/relationships/hyperlink" Target="https://tinyurl.com/M618xM619JPC" TargetMode="External"/><Relationship Id="rId1516" Type="http://schemas.openxmlformats.org/officeDocument/2006/relationships/hyperlink" Target="https://patadovietnam.edu.vn/tienganhgiaotiep_hn/?utm_source=Facebook&amp;utm_medium=MES&amp;utm_term=NEW_KoreaSouth_1840_none_120524&amp;utm_content=saletructiep_KoreaSouth.M231C90.1840.giaotiep_PTATT_LD153&amp;utm_campaign=KoreaSouth.giaotiep.M231C90_95360_MES_NamNH_120524" TargetMode="External"/><Relationship Id="rId2847" Type="http://schemas.openxmlformats.org/officeDocument/2006/relationships/hyperlink" Target="https://patadovietnam.edu.vn/tienganhgiaotiep_hn/" TargetMode="External"/><Relationship Id="rId1517" Type="http://schemas.openxmlformats.org/officeDocument/2006/relationships/hyperlink" Target="https://s.net.vn/M231C90-korea" TargetMode="External"/><Relationship Id="rId2848" Type="http://schemas.openxmlformats.org/officeDocument/2006/relationships/hyperlink" Target="https://patadovietnam.edu.vn/tienganhgiaotiep_hn/?utm_source=Facebook&amp;utm_medium=MES&amp;utm_term=NEW_ALL_1840_none_200126&amp;utm_content=saletructiep_ALL.M618.1840.giaotiep_PTATT_LD153&amp;utm_campaign=ALL.giaotiep.M618xM619_16917_MES_NamNH_200126" TargetMode="External"/><Relationship Id="rId1518" Type="http://schemas.openxmlformats.org/officeDocument/2006/relationships/hyperlink" Target="https://patadovietnam.edu.vn/tienganhgiaotiep_hn/" TargetMode="External"/><Relationship Id="rId2849" Type="http://schemas.openxmlformats.org/officeDocument/2006/relationships/hyperlink" Target="https://tinyurl.com/M618xM619ALLM" TargetMode="External"/><Relationship Id="rId1519" Type="http://schemas.openxmlformats.org/officeDocument/2006/relationships/hyperlink" Target="https://patadovietnam.edu.vn/tienganhgiaotiep_hn/?utm_source=Facebook&amp;utm_medium=MES&amp;utm_term=NEW_Australia_1840_none_120524&amp;utm_content=saletructiep_Australia.M231C90.1840.giaotiep_PTATT_LD153&amp;utm_campaign=Australia.giaotiep.M231C90_95360_MES_NamNH_120524" TargetMode="External"/><Relationship Id="rId2840" Type="http://schemas.openxmlformats.org/officeDocument/2006/relationships/hyperlink" Target="https://tinyurl.com/M613xM614ALLM" TargetMode="External"/><Relationship Id="rId2830" Type="http://schemas.openxmlformats.org/officeDocument/2006/relationships/hyperlink" Target="https://patadovietnam.edu.vn/tienganhgiaotiep_hn/?utm_source=Facebook&amp;utm_medium=CVS&amp;utm_term=NEW_ALL_1840_none_090126&amp;utm_content=saletructiep_ALL.M612.1840.giaotiep_PTATT_LD153&amp;utm_campaign=ALL.giaotiep.M611xM612_16917_CVS_NamNH_090126" TargetMode="External"/><Relationship Id="rId1500" Type="http://schemas.openxmlformats.org/officeDocument/2006/relationships/hyperlink" Target="https://patadovietnam.edu.vn/tienganhgiaotiep_hn/" TargetMode="External"/><Relationship Id="rId2831" Type="http://schemas.openxmlformats.org/officeDocument/2006/relationships/hyperlink" Target="https://tinyurl.com/M611xM612ALLC" TargetMode="External"/><Relationship Id="rId1501" Type="http://schemas.openxmlformats.org/officeDocument/2006/relationships/hyperlink" Target="https://patadovietnam.edu.vn/tienganhgiaotiep_hn/?utm_source=Facebook&amp;utm_medium=CVS&amp;utm_term=NEW_Europe_1840_none_060524&amp;utm_content=saletructiep_Europe.M231C90.1840.giaotiep_PTATT_LD153&amp;utm_campaign=Europe.giaotiep.M231C90_16917_CVS_NamNH_060524" TargetMode="External"/><Relationship Id="rId2832" Type="http://schemas.openxmlformats.org/officeDocument/2006/relationships/hyperlink" Target="https://patadovietnam.edu.vn/tienganhgiaotiep_hn/" TargetMode="External"/><Relationship Id="rId1502" Type="http://schemas.openxmlformats.org/officeDocument/2006/relationships/hyperlink" Target="https://s.net.vn/M231C90-europe" TargetMode="External"/><Relationship Id="rId2833" Type="http://schemas.openxmlformats.org/officeDocument/2006/relationships/hyperlink" Target="https://patadovietnam.edu.vn/tienganhgiaotiep_hn/?utm_source=Facebook&amp;utm_medium=CVS&amp;utm_term=NEW_Europe_1840_none_150126&amp;utm_content=saletructiep_Europe.M613.1840.giaotiep_PTATT_LD153&amp;utm_campaign=Europe.giaotiep.M613xM614_16917_CVS_NamNH_150126" TargetMode="External"/><Relationship Id="rId1503" Type="http://schemas.openxmlformats.org/officeDocument/2006/relationships/hyperlink" Target="https://patadovietnam.edu.vn/gtusa1_nhn" TargetMode="External"/><Relationship Id="rId2834" Type="http://schemas.openxmlformats.org/officeDocument/2006/relationships/hyperlink" Target="https://tinyurl.com/M613xM614EUC" TargetMode="External"/><Relationship Id="rId1504" Type="http://schemas.openxmlformats.org/officeDocument/2006/relationships/hyperlink" Target="https://patadovietnam.edu.vn/gtusa1_nhn/?utm_source=Facebook&amp;utm_medium=MES&amp;utm_term=NEW_UnitedStates_1840_none_120524&amp;utm_content=saletructiep_UnitedStates.M231C90.1840.giaotiep_PTATT_LD161&amp;utm_campaign=UnitedStates.giaotiep.M231C90_16917_MES_NamNH_120524" TargetMode="External"/><Relationship Id="rId2835" Type="http://schemas.openxmlformats.org/officeDocument/2006/relationships/hyperlink" Target="https://patadovietnam.edu.vn/gtjapan_nhn3" TargetMode="External"/><Relationship Id="rId1505" Type="http://schemas.openxmlformats.org/officeDocument/2006/relationships/hyperlink" Target="https://s.net.vn/M231C90-USA" TargetMode="External"/><Relationship Id="rId2836" Type="http://schemas.openxmlformats.org/officeDocument/2006/relationships/hyperlink" Target="https://patadovietnam.edu.vn/gtjapan_nhn3/?utm_source=Facebook&amp;utm_medium=CVS&amp;utm_term=NEW_Japan_1840_none_150126&amp;utm_content=saletructiep_Japan.M613.1840.giaotiep_PTATT_LD164&amp;utm_campaign=Japan.giaotiep.M613xM614_16917_CVS_NamNH_150126" TargetMode="External"/><Relationship Id="rId1506" Type="http://schemas.openxmlformats.org/officeDocument/2006/relationships/hyperlink" Target="https://patadovietnam.edu.vn/tienganhgiaotiep_hn/" TargetMode="External"/><Relationship Id="rId2837" Type="http://schemas.openxmlformats.org/officeDocument/2006/relationships/hyperlink" Target="https://tinyurl.com/M613xM614JPC" TargetMode="External"/><Relationship Id="rId1507" Type="http://schemas.openxmlformats.org/officeDocument/2006/relationships/hyperlink" Target="https://patadovietnam.edu.vn/tienganhgiaotiep_hn/?utm_source=Facebook&amp;utm_medium=MES&amp;utm_term=NEW_Philippines_1840_none_120524&amp;utm_content=saletructiep_Philippines.M231C90.1840.giaotiep_PTATT_LD153&amp;utm_campaign=Philippines.giaotiep.M231C90_95360_MES_NamNH_120524" TargetMode="External"/><Relationship Id="rId2838" Type="http://schemas.openxmlformats.org/officeDocument/2006/relationships/hyperlink" Target="https://patadovietnam.edu.vn/tienganhgiaotiep_hn/" TargetMode="External"/><Relationship Id="rId1508" Type="http://schemas.openxmlformats.org/officeDocument/2006/relationships/hyperlink" Target="https://s.net.vn/M231C90-philippines" TargetMode="External"/><Relationship Id="rId2839" Type="http://schemas.openxmlformats.org/officeDocument/2006/relationships/hyperlink" Target="https://patadovietnam.edu.vn/tienganhgiaotiep_hn/?utm_source=Facebook&amp;utm_medium=MES&amp;utm_term=NEW_ALL_1840_none_150126&amp;utm_content=saletructiep_ALL.M613.1840.giaotiep_PTATT_LD153&amp;utm_campaign=ALL.giaotiep.M613xM614_16917_MES_NamNH_150126" TargetMode="External"/><Relationship Id="rId1509" Type="http://schemas.openxmlformats.org/officeDocument/2006/relationships/hyperlink" Target="https://patadovietnam.edu.vn/tienganhgiaotiep_hn/" TargetMode="External"/><Relationship Id="rId2800" Type="http://schemas.openxmlformats.org/officeDocument/2006/relationships/hyperlink" Target="https://tinyurl.com/M562xM578ALLC" TargetMode="External"/><Relationship Id="rId2801" Type="http://schemas.openxmlformats.org/officeDocument/2006/relationships/hyperlink" Target="https://patadovietnam.edu.vn/tienganhgiaotiep_hn/" TargetMode="External"/><Relationship Id="rId2802" Type="http://schemas.openxmlformats.org/officeDocument/2006/relationships/hyperlink" Target="https://patadovietnam.edu.vn/tienganhgiaotiep_hn/?utm_source=Facebook&amp;utm_medium=MES&amp;utm_term=NEW_ALL_1840_none_251225&amp;utm_content=saletructiep_ALL.M607.1840.giaotiep_PTATT_LD153&amp;utm_campaign=ALL.giaotiep.M607_16917_MES_NamNH_251225" TargetMode="External"/><Relationship Id="rId2803" Type="http://schemas.openxmlformats.org/officeDocument/2006/relationships/hyperlink" Target="https://patadovietnam.edu.vn/tienganhgiaotiep_hn/" TargetMode="External"/><Relationship Id="rId2804" Type="http://schemas.openxmlformats.org/officeDocument/2006/relationships/hyperlink" Target="https://patadovietnam.edu.vn/tienganhgiaotiep_hn/?utm_source=Facebook&amp;utm_medium=MES&amp;utm_term=NEW_ALL_1840_none_251225&amp;utm_content=saletructiep_ALL.P341.1840.giaotiep_PTATT_LD153&amp;utm_campaign=ALL.giaotiep.P341_16917_MES_NamNH_251225" TargetMode="External"/><Relationship Id="rId2805" Type="http://schemas.openxmlformats.org/officeDocument/2006/relationships/hyperlink" Target="https://patadovietnam.edu.vn/tienganhgiaotiep_hn/" TargetMode="External"/><Relationship Id="rId2806" Type="http://schemas.openxmlformats.org/officeDocument/2006/relationships/hyperlink" Target="https://patadovietnam.edu.vn/tienganhgiaotiep_hn/?utm_source=Facebook&amp;utm_medium=CVS&amp;utm_term=NEW_Japan_1840_none_050126&amp;utm_content=saletructiep_Japan.M608.1840.giaotiep_PTATT_LD153&amp;utm_campaign=Japan.giaotiep.M602xM608_16917_CVS_NamNH_050126" TargetMode="External"/><Relationship Id="rId2807" Type="http://schemas.openxmlformats.org/officeDocument/2006/relationships/hyperlink" Target="https://tinyurl.com/M602xM608JPC" TargetMode="External"/><Relationship Id="rId2808" Type="http://schemas.openxmlformats.org/officeDocument/2006/relationships/hyperlink" Target="https://patadovietnam.edu.vn/tienganhgiaotiep_hn/" TargetMode="External"/><Relationship Id="rId2809" Type="http://schemas.openxmlformats.org/officeDocument/2006/relationships/hyperlink" Target="https://patadovietnam.edu.vn/tienganhgiaotiep_hn/?utm_source=Facebook&amp;utm_medium=CVS&amp;utm_term=NEW_Europe_1840_none_050126&amp;utm_content=saletructiep_Europe.M608.1840.giaotiep_PTATT_LD153&amp;utm_campaign=Europe.giaotiep.M602xM608_16917_CVS_NamNH_050126" TargetMode="External"/><Relationship Id="rId1576" Type="http://schemas.openxmlformats.org/officeDocument/2006/relationships/hyperlink" Target="https://patadovietnam.edu.vn/gtusa1_nhn/?utm_source=Facebook&amp;utm_medium=CVS&amp;utm_term=NEW_UnitedStates_1840_none_010624&amp;utm_content=saletructiep_UnitedStates.M231C90.1840.giaotiep_PTATT_LD161&amp;utm_campaign=UnitedStates.giaotiep.M231C90_16917_CVS_NamNH_010624" TargetMode="External"/><Relationship Id="rId1577" Type="http://schemas.openxmlformats.org/officeDocument/2006/relationships/hyperlink" Target="https://s.net.vn/M231-usa" TargetMode="External"/><Relationship Id="rId1578" Type="http://schemas.openxmlformats.org/officeDocument/2006/relationships/hyperlink" Target="https://patadovietnam.edu.vn/gtusa1_nhn" TargetMode="External"/><Relationship Id="rId1579" Type="http://schemas.openxmlformats.org/officeDocument/2006/relationships/hyperlink" Target="https://patadovietnam.edu.vn/gtusa1_nhn/?utm_source=Facebook&amp;utm_medium=CVS&amp;utm_term=NEW_UnitedStates_1840_none_010624&amp;utm_content=saletructiep_UnitedStates.M235.1840.giaotiep_PTATT_LD161&amp;utm_campaign=UnitedStates.giaotiep.M235_16917_CVS_NamNH_010624" TargetMode="External"/><Relationship Id="rId987" Type="http://schemas.openxmlformats.org/officeDocument/2006/relationships/hyperlink" Target="https://patadovietnam.edu.vn/tienganhgiaotiep_hn/" TargetMode="External"/><Relationship Id="rId986" Type="http://schemas.openxmlformats.org/officeDocument/2006/relationships/hyperlink" Target="http://ldp.ink/udqg_all" TargetMode="External"/><Relationship Id="rId985" Type="http://schemas.openxmlformats.org/officeDocument/2006/relationships/hyperlink" Target="https://patadovietnam.edu.vn/tienganhgiaotiep_hn/?utm_source=Facebook&amp;utm_medium=MES&amp;utm_term=NEW_Asia_1840_none_080124&amp;utm_content=saletructiep_Asia.UDQG.1840.giaotiep_PTATT_LD153&amp;utm_campaign=Asia.giaotiep.UDQG_95360_MES_NamNH_080124" TargetMode="External"/><Relationship Id="rId984" Type="http://schemas.openxmlformats.org/officeDocument/2006/relationships/hyperlink" Target="https://patadovietnam.edu.vn/tienganhgiaotiep_hn/" TargetMode="External"/><Relationship Id="rId989" Type="http://schemas.openxmlformats.org/officeDocument/2006/relationships/hyperlink" Target="http://ldp.ink/uddn_all" TargetMode="External"/><Relationship Id="rId988" Type="http://schemas.openxmlformats.org/officeDocument/2006/relationships/hyperlink" Target="https://patadovietnam.edu.vn/tienganhgiaotiep_hn/?utm_source=Facebook&amp;utm_medium=CVS&amp;utm_term=NEW_Europe_1840_none_080124&amp;utm_content=saletructiep_Europe.UDDN.1840.giaotiep_PTATT_LD153&amp;utm_campaign=Europe.giaotiep.UDDN_16917_CVS_NamNH_080124" TargetMode="External"/><Relationship Id="rId1570" Type="http://schemas.openxmlformats.org/officeDocument/2006/relationships/hyperlink" Target="https://patadovietnam.edu.vn/gtusa1_nhn/?utm_source=Facebook&amp;utm_medium=MES&amp;utm_term=NEW_UnitedStates_1840_none_010624&amp;utm_content=saletructiep_UnitedStates.M239.1840.giaotiep_PTATT_LD161&amp;utm_campaign=UnitedStates.giaotiep.M239_16917_MES_NamNH_010624" TargetMode="External"/><Relationship Id="rId1571" Type="http://schemas.openxmlformats.org/officeDocument/2006/relationships/hyperlink" Target="https://s.net.vn/M239-usa" TargetMode="External"/><Relationship Id="rId983" Type="http://schemas.openxmlformats.org/officeDocument/2006/relationships/hyperlink" Target="http://ldp.ink/UDDN_taiwan" TargetMode="External"/><Relationship Id="rId1572" Type="http://schemas.openxmlformats.org/officeDocument/2006/relationships/hyperlink" Target="https://patadovietnam.edu.vn/gtusa1_nhn" TargetMode="External"/><Relationship Id="rId982" Type="http://schemas.openxmlformats.org/officeDocument/2006/relationships/hyperlink" Target="https://patadovietnam.edu.vn/tienganhgiaotiep_hn/?utm_source=Facebook&amp;utm_medium=MES&amp;utm_term=NEW_Taiwan_1840_none_080124&amp;utm_content=saletructiep_Taiwan.UDDN.1840.giaotiep_PTATT_LD153&amp;utm_campaign=Taiwan.giaotiep.UDDN_95360_MES_NamNH_080124" TargetMode="External"/><Relationship Id="rId1573" Type="http://schemas.openxmlformats.org/officeDocument/2006/relationships/hyperlink" Target="https://patadovietnam.edu.vn/gtusa1_nhn/?utm_source=Facebook&amp;utm_medium=MES&amp;utm_term=NEW_UnitedStates_1840_none_010624&amp;utm_content=saletructiep_UnitedStates.M220.1840.giaotiep_PTATT_LD161&amp;utm_campaign=UnitedStates.giaotiep.M220_16917_MES_NamNH_010624" TargetMode="External"/><Relationship Id="rId981" Type="http://schemas.openxmlformats.org/officeDocument/2006/relationships/hyperlink" Target="https://patadovietnam.edu.vn/tienganhgiaotiep_hn/" TargetMode="External"/><Relationship Id="rId1574" Type="http://schemas.openxmlformats.org/officeDocument/2006/relationships/hyperlink" Target="https://s.net.vn/M220-usa" TargetMode="External"/><Relationship Id="rId980" Type="http://schemas.openxmlformats.org/officeDocument/2006/relationships/hyperlink" Target="http://ldp.ink/uddn_japan" TargetMode="External"/><Relationship Id="rId1575" Type="http://schemas.openxmlformats.org/officeDocument/2006/relationships/hyperlink" Target="https://patadovietnam.edu.vn/gtusa1_nhn" TargetMode="External"/><Relationship Id="rId1565" Type="http://schemas.openxmlformats.org/officeDocument/2006/relationships/hyperlink" Target="https://s.net.vn/M236-taiwan" TargetMode="External"/><Relationship Id="rId2896" Type="http://schemas.openxmlformats.org/officeDocument/2006/relationships/hyperlink" Target="https://patadovietnam.edu.vn/tienganhgiaotiep_hn/?utm_source=Facebook&amp;utm_medium=CVS&amp;utm_term=NEW_Europe_1840_none_020326&amp;utm_content=saletructiep_Europe.M633.1840.giaotiep_PTATT_LD153&amp;utm_campaign=Europe.giaotiep.M633xM637_16917_CVS_NamNH_020326" TargetMode="External"/><Relationship Id="rId1566" Type="http://schemas.openxmlformats.org/officeDocument/2006/relationships/hyperlink" Target="https://patadovietnam.edu.vn/gtusa1_nhn" TargetMode="External"/><Relationship Id="rId2897" Type="http://schemas.openxmlformats.org/officeDocument/2006/relationships/hyperlink" Target="https://tinyurl.com/M633xM637EUC" TargetMode="External"/><Relationship Id="rId1567" Type="http://schemas.openxmlformats.org/officeDocument/2006/relationships/hyperlink" Target="https://patadovietnam.edu.vn/gtusa1_nhn/?utm_source=Facebook&amp;utm_medium=MES&amp;utm_term=NEW_UnitedStates_1840_none_010624&amp;utm_content=saletructiep_UnitedStates.M241.1840.giaotiep_PTATT_LD161&amp;utm_campaign=UnitedStates.giaotiep.M241_16917_MES_NamNH_010624" TargetMode="External"/><Relationship Id="rId2898" Type="http://schemas.openxmlformats.org/officeDocument/2006/relationships/hyperlink" Target="https://patadovietnam.edu.vn/gtjapan_nhn3" TargetMode="External"/><Relationship Id="rId1568" Type="http://schemas.openxmlformats.org/officeDocument/2006/relationships/hyperlink" Target="https://s.net.vn/M241-usa" TargetMode="External"/><Relationship Id="rId2899" Type="http://schemas.openxmlformats.org/officeDocument/2006/relationships/hyperlink" Target="https://patadovietnam.edu.vn/gtjapan_nhn3/?utm_source=Facebook&amp;utm_medium=CVS&amp;utm_term=NEW_Japan_1840_none_020326&amp;utm_content=saletructiep_Japan.M633.1840.giaotiep_PTATT_LD164&amp;utm_campaign=Japan.giaotiep.M633xM637_16917_CVS_NamNH_020326" TargetMode="External"/><Relationship Id="rId1569" Type="http://schemas.openxmlformats.org/officeDocument/2006/relationships/hyperlink" Target="https://patadovietnam.edu.vn/gtusa1_nhn" TargetMode="External"/><Relationship Id="rId976" Type="http://schemas.openxmlformats.org/officeDocument/2006/relationships/hyperlink" Target="https://patadovietnam.edu.vn/gtjapan_nhn3/?utm_source=Facebook&amp;utm_medium=CVS&amp;utm_term=NEW_Japan_1840_none_080124&amp;utm_content=saletructiep_Japan.UDQG.1840.giaotiep_PTATT_LD164&amp;utm_campaign=Japan.giaotiep.UDQG_16917_CVS_NamNH_080124" TargetMode="External"/><Relationship Id="rId975" Type="http://schemas.openxmlformats.org/officeDocument/2006/relationships/hyperlink" Target="https://patadovietnam.edu.vn/gtjapan_nhn3" TargetMode="External"/><Relationship Id="rId974" Type="http://schemas.openxmlformats.org/officeDocument/2006/relationships/hyperlink" Target="http://ldp.ink/NHCP_all" TargetMode="External"/><Relationship Id="rId973" Type="http://schemas.openxmlformats.org/officeDocument/2006/relationships/hyperlink" Target="https://patadovietnam.edu.vn/tienganhgiaotiep_hn/?utm_source=Facebook&amp;utm_medium=MES&amp;utm_term=NEW_Europe_1840_none_080124&amp;utm_content=saletructiep_Europe.nghoacopy.1840.giaotiep_PTATT_LD153&amp;utm_campaign=Europe.giaotiep.nghoacopy_95360_MES_NamNH_080124" TargetMode="External"/><Relationship Id="rId979" Type="http://schemas.openxmlformats.org/officeDocument/2006/relationships/hyperlink" Target="https://patadovietnam.edu.vn/gtjapan_nhn3/?utm_source=Facebook&amp;utm_medium=CVS&amp;utm_term=NEW_Japan_1840_none_080124&amp;utm_content=saletructiep_Japan.UDDN.1840.giaotiep_PTATT_LD164&amp;utm_campaign=Japan.giaotiep.UDDN_16917_CVS_NamNH_080124" TargetMode="External"/><Relationship Id="rId978" Type="http://schemas.openxmlformats.org/officeDocument/2006/relationships/hyperlink" Target="https://patadovietnam.edu.vn/gtjapan_nhn3" TargetMode="External"/><Relationship Id="rId977" Type="http://schemas.openxmlformats.org/officeDocument/2006/relationships/hyperlink" Target="http://ldp.ink/udqg_japan" TargetMode="External"/><Relationship Id="rId2890" Type="http://schemas.openxmlformats.org/officeDocument/2006/relationships/hyperlink" Target="https://patadovietnam.edu.vn/gtjapan_nhn3/?utm_source=Facebook&amp;utm_medium=CVS&amp;utm_term=NEW_Japan_1840_none_020326&amp;utm_content=saletructiep_Japan.M631.1840.giaotiep_PTATT_LD164&amp;utm_campaign=Japan.giaotiep.M631xM634_16917_CVS_NamNH_020326" TargetMode="External"/><Relationship Id="rId1560" Type="http://schemas.openxmlformats.org/officeDocument/2006/relationships/hyperlink" Target="https://patadovietnam.edu.vn/gtjapan_nhn3" TargetMode="External"/><Relationship Id="rId2891" Type="http://schemas.openxmlformats.org/officeDocument/2006/relationships/hyperlink" Target="https://tinyurl.com/M631xM634JPC" TargetMode="External"/><Relationship Id="rId972" Type="http://schemas.openxmlformats.org/officeDocument/2006/relationships/hyperlink" Target="https://patadovietnam.edu.vn/tienganhgiaotiep_hn/" TargetMode="External"/><Relationship Id="rId1561" Type="http://schemas.openxmlformats.org/officeDocument/2006/relationships/hyperlink" Target="https://patadovietnam.edu.vn/gtjapan_nhn3/?utm_source=Facebook&amp;utm_medium=CVS&amp;utm_term=NEW_Japan_1840_none_170524&amp;utm_content=saletructiep_Japan.M236.1840.giaotiep_PTATT_LD164&amp;utm_campaign=Japan.giaotiep.M236_16917_CVS_NamNH_170524" TargetMode="External"/><Relationship Id="rId2892" Type="http://schemas.openxmlformats.org/officeDocument/2006/relationships/hyperlink" Target="https://patadovietnam.edu.vn/tienganhgiaotiep_hn/" TargetMode="External"/><Relationship Id="rId971" Type="http://schemas.openxmlformats.org/officeDocument/2006/relationships/hyperlink" Target="http://ldp.ink/NHCP_japan" TargetMode="External"/><Relationship Id="rId1562" Type="http://schemas.openxmlformats.org/officeDocument/2006/relationships/hyperlink" Target="https://s.net.vn/M236-japan" TargetMode="External"/><Relationship Id="rId2893" Type="http://schemas.openxmlformats.org/officeDocument/2006/relationships/hyperlink" Target="https://patadovietnam.edu.vn/tienganhgiaotiep_hn/?utm_source=Facebook&amp;utm_medium=MES&amp;utm_term=NEW_ALL_1840_none_020326&amp;utm_content=saletructiep_ALL.M631.1840.giaotiep_PTATT_LD153&amp;utm_campaign=ALL.giaotiep.M631xM634_16917_MES_NamNH_020326" TargetMode="External"/><Relationship Id="rId970" Type="http://schemas.openxmlformats.org/officeDocument/2006/relationships/hyperlink" Target="https://patadovietnam.edu.vn/gtjapan_nhn3/?utm_source=Facebook&amp;utm_medium=CVS&amp;utm_term=NEW_Japan_1840_none_080124&amp;utm_content=saletructiep_Japan.nghoacopy.1840.giaotiep_PTATT_LD164&amp;utm_campaign=Japan.giaotiep.nghoacopy_16917_CVS_NamNH_080124" TargetMode="External"/><Relationship Id="rId1563" Type="http://schemas.openxmlformats.org/officeDocument/2006/relationships/hyperlink" Target="https://patadovietnam.edu.vn/tienganhgiaotiep_hn/" TargetMode="External"/><Relationship Id="rId2894" Type="http://schemas.openxmlformats.org/officeDocument/2006/relationships/hyperlink" Target="https://tinyurl.com/M631xM634ALLM" TargetMode="External"/><Relationship Id="rId1564" Type="http://schemas.openxmlformats.org/officeDocument/2006/relationships/hyperlink" Target="https://patadovietnam.edu.vn/tienganhgiaotiep_hn/?utm_source=Facebook&amp;utm_medium=MES&amp;utm_term=NEW_Taiwan_1840_none_170524&amp;utm_content=saletructiep_Taiwan.M236.1840.giaotiep_PTATT_LD153&amp;utm_campaign=Taiwan.giaotiep.M236_95360_MES_NamNH_170524" TargetMode="External"/><Relationship Id="rId2895" Type="http://schemas.openxmlformats.org/officeDocument/2006/relationships/hyperlink" Target="https://patadovietnam.edu.vn/tienganhgiaotiep_hn/" TargetMode="External"/><Relationship Id="rId1598" Type="http://schemas.openxmlformats.org/officeDocument/2006/relationships/hyperlink" Target="https://s.net.vn/M231-japan" TargetMode="External"/><Relationship Id="rId1599" Type="http://schemas.openxmlformats.org/officeDocument/2006/relationships/hyperlink" Target="https://patadovietnam.edu.vn/gtjapan_nhn3" TargetMode="External"/><Relationship Id="rId1590" Type="http://schemas.openxmlformats.org/officeDocument/2006/relationships/hyperlink" Target="https://patadovietnam.edu.vn/tienganhgiaotiep_hn/" TargetMode="External"/><Relationship Id="rId1591" Type="http://schemas.openxmlformats.org/officeDocument/2006/relationships/hyperlink" Target="https://patadovietnam.edu.vn/tienganhgiaotiep_hn/?utm_source=Facebook&amp;utm_medium=CVS&amp;utm_term=NEW_KoreaSouth_1840_none_010624&amp;utm_content=saletructiep_KoreaSouth.M231.1840.giaotiep_PTATT_LD153&amp;utm_campaign=KoreaSouth.giaotiep.M231_95360_CVS_NamNH_010624" TargetMode="External"/><Relationship Id="rId1592" Type="http://schemas.openxmlformats.org/officeDocument/2006/relationships/hyperlink" Target="https://s.net.vn/M231-korea" TargetMode="External"/><Relationship Id="rId1593" Type="http://schemas.openxmlformats.org/officeDocument/2006/relationships/hyperlink" Target="https://patadovietnam.edu.vn/tienganhgiaotiep_hn/" TargetMode="External"/><Relationship Id="rId1594" Type="http://schemas.openxmlformats.org/officeDocument/2006/relationships/hyperlink" Target="https://patadovietnam.edu.vn/tienganhgiaotiep_hn/?utm_source=Facebook&amp;utm_medium=MES&amp;utm_term=NEW_Philippines_1840_none_010624&amp;utm_content=saletructiep_Philippines.M241.1840.giaotiep_PTATT_LD153&amp;utm_campaign=Philippines.giaotiep.M241_95360_MES_NamNH_010624" TargetMode="External"/><Relationship Id="rId1595" Type="http://schemas.openxmlformats.org/officeDocument/2006/relationships/hyperlink" Target="https://s.net.vn/M241-philippines" TargetMode="External"/><Relationship Id="rId1596" Type="http://schemas.openxmlformats.org/officeDocument/2006/relationships/hyperlink" Target="https://patadovietnam.edu.vn/gtjapan_nhn3" TargetMode="External"/><Relationship Id="rId1597" Type="http://schemas.openxmlformats.org/officeDocument/2006/relationships/hyperlink" Target="https://patadovietnam.edu.vn/gtjapan_nhn3/?utm_source=Facebook&amp;utm_medium=CVS&amp;utm_term=NEW_Japan_1840_none_010624&amp;utm_content=saletructiep_Japan.M231.1840.giaotiep_PTATT_LD164&amp;utm_campaign=Japan.giaotiep.M231_16917_CVS_NamNH_010624" TargetMode="External"/><Relationship Id="rId1587" Type="http://schemas.openxmlformats.org/officeDocument/2006/relationships/hyperlink" Target="https://patadovietnam.edu.vn/tienganhgiaotiep_hn/" TargetMode="External"/><Relationship Id="rId1588" Type="http://schemas.openxmlformats.org/officeDocument/2006/relationships/hyperlink" Target="https://patadovietnam.edu.vn/tienganhgiaotiep_hn/?utm_source=Facebook&amp;utm_medium=CVS&amp;utm_term=NEW_Taiwan_1840_none_010624&amp;utm_content=saletructiep_Taiwan.M231.1840.giaotiep_PTATT_LD153&amp;utm_campaign=Taiwan.giaotiep.M231_95360_CVS_NamNH_010624" TargetMode="External"/><Relationship Id="rId1589" Type="http://schemas.openxmlformats.org/officeDocument/2006/relationships/hyperlink" Target="https://s.net.vn/M231-dailoan" TargetMode="External"/><Relationship Id="rId998" Type="http://schemas.openxmlformats.org/officeDocument/2006/relationships/hyperlink" Target="http://ldp.ink/hoinhap_usa" TargetMode="External"/><Relationship Id="rId997" Type="http://schemas.openxmlformats.org/officeDocument/2006/relationships/hyperlink" Target="https://patadovietnam.edu.vn/gtusa1_nhn/?utm_source=Facebook&amp;utm_medium=MES&amp;utm_term=NEW_UnitedStates_1840_none_110124&amp;utm_content=saletructiep_UnitedStates.hoinhap.1840.giaotiep_PTATT_LD161&amp;utm_campaign=UnitedStates.giaotiep.hoinhap_16917_MES_NamNH_110124" TargetMode="External"/><Relationship Id="rId996" Type="http://schemas.openxmlformats.org/officeDocument/2006/relationships/hyperlink" Target="https://patadovietnam.edu.vn/gtusa1_nhn" TargetMode="External"/><Relationship Id="rId995" Type="http://schemas.openxmlformats.org/officeDocument/2006/relationships/hyperlink" Target="http://ldp.ink/hoinhap_taiwan" TargetMode="External"/><Relationship Id="rId999" Type="http://schemas.openxmlformats.org/officeDocument/2006/relationships/hyperlink" Target="https://patadovietnam.edu.vn/gtjapan_nhn3" TargetMode="External"/><Relationship Id="rId990" Type="http://schemas.openxmlformats.org/officeDocument/2006/relationships/hyperlink" Target="https://patadovietnam.edu.vn/gtusa1_nhn" TargetMode="External"/><Relationship Id="rId1580" Type="http://schemas.openxmlformats.org/officeDocument/2006/relationships/hyperlink" Target="https://s.net.vn/M235-usa" TargetMode="External"/><Relationship Id="rId1581" Type="http://schemas.openxmlformats.org/officeDocument/2006/relationships/hyperlink" Target="https://patadovietnam.edu.vn/tienganhgiaotiep_hn/" TargetMode="External"/><Relationship Id="rId1582" Type="http://schemas.openxmlformats.org/officeDocument/2006/relationships/hyperlink" Target="https://patadovietnam.edu.vn/tienganhgiaotiep_hn/?utm_source=Facebook&amp;utm_medium=MES&amp;utm_term=NEW_Taiwan_1840_none_010624&amp;utm_content=saletructiep_Taiwan.M241.1840.giaotiep_PTATT_LD153&amp;utm_campaign=Taiwan.giaotiep.M241_95360_MES_NamNH_010624" TargetMode="External"/><Relationship Id="rId994" Type="http://schemas.openxmlformats.org/officeDocument/2006/relationships/hyperlink" Target="https://patadovietnam.edu.vn/tienganhgiaotiep_hn/?utm_source=Facebook&amp;utm_medium=MES&amp;utm_term=NEW_Taiwan_1840_none_110124&amp;utm_content=saletructiep_Taiwan.hoinhap.1840.giaotiep_PTATT_LD153&amp;utm_campaign=Taiwan.giaotiep.hoinhap_95360_MES_NamNH_110124" TargetMode="External"/><Relationship Id="rId1583" Type="http://schemas.openxmlformats.org/officeDocument/2006/relationships/hyperlink" Target="https://s.net.vn/M241-taiwan" TargetMode="External"/><Relationship Id="rId993" Type="http://schemas.openxmlformats.org/officeDocument/2006/relationships/hyperlink" Target="https://patadovietnam.edu.vn/tienganhgiaotiep_hn/" TargetMode="External"/><Relationship Id="rId1584" Type="http://schemas.openxmlformats.org/officeDocument/2006/relationships/hyperlink" Target="https://patadovietnam.edu.vn/tienganhgiaotiep_hn/" TargetMode="External"/><Relationship Id="rId992" Type="http://schemas.openxmlformats.org/officeDocument/2006/relationships/hyperlink" Target="http://ldp.ink/uddn_my" TargetMode="External"/><Relationship Id="rId1585" Type="http://schemas.openxmlformats.org/officeDocument/2006/relationships/hyperlink" Target="https://patadovietnam.edu.vn/tienganhgiaotiep_hn/?utm_source=Facebook&amp;utm_medium=MES&amp;utm_term=NEW_Taiwan_1840_none_010624&amp;utm_content=saletructiep_Taiwan.M220.1840.giaotiep_PTATT_LD153&amp;utm_campaign=Taiwan.giaotiep.M220_95360_MES_NamNH_010624" TargetMode="External"/><Relationship Id="rId991" Type="http://schemas.openxmlformats.org/officeDocument/2006/relationships/hyperlink" Target="https://patadovietnam.edu.vn/gtusa1_nhn/?utm_source=Facebook&amp;utm_medium=MES&amp;utm_term=NEW_UnitedStates_1840_none_090124&amp;utm_content=saletructiep_UnitedStates.UDDN.1840.giaotiep_PTATT_LD161&amp;utm_campaign=UnitedStates.giaotiep.UDDN_16917_MES_NamNH_090124" TargetMode="External"/><Relationship Id="rId1586" Type="http://schemas.openxmlformats.org/officeDocument/2006/relationships/hyperlink" Target="https://s.net.vn/M220-taiwan" TargetMode="External"/><Relationship Id="rId1532" Type="http://schemas.openxmlformats.org/officeDocument/2006/relationships/hyperlink" Target="https://s.net.vn/TAGTP-europe" TargetMode="External"/><Relationship Id="rId2863" Type="http://schemas.openxmlformats.org/officeDocument/2006/relationships/hyperlink" Target="https://patadovietnam.edu.vn/gtjapan_nhn3/?utm_source=Facebook&amp;utm_medium=CVS&amp;utm_term=NEW_Japan_1840_none_020226&amp;utm_content=saletructiep_Japan.M626.1840.giaotiep_PTATT_LD164&amp;utm_campaign=Japan.giaotiep.M626xM629_16917_CVS_NamNH_020226" TargetMode="External"/><Relationship Id="rId1533" Type="http://schemas.openxmlformats.org/officeDocument/2006/relationships/hyperlink" Target="https://patadovietnam.edu.vn/tienganhgiaotiep_hn/" TargetMode="External"/><Relationship Id="rId2864" Type="http://schemas.openxmlformats.org/officeDocument/2006/relationships/hyperlink" Target="https://tinyurl.com/M626xM629EUC" TargetMode="External"/><Relationship Id="rId1534" Type="http://schemas.openxmlformats.org/officeDocument/2006/relationships/hyperlink" Target="https://patadovietnam.edu.vn/tienganhgiaotiep_hn/?utm_source=Facebook&amp;utm_medium=MES&amp;utm_term=NEW_Philippines_1840_none_120524&amp;utm_content=saletructiep_Philippines.TAGTP.1840.giaotiep_PTATT_LD153&amp;utm_campaign=Philippines.giaotiep.TAGTP_16917_MES_NamNH_120524" TargetMode="External"/><Relationship Id="rId2865" Type="http://schemas.openxmlformats.org/officeDocument/2006/relationships/hyperlink" Target="https://patadovietnam.edu.vn/tienganhgiaotiep_hn/" TargetMode="External"/><Relationship Id="rId1535" Type="http://schemas.openxmlformats.org/officeDocument/2006/relationships/hyperlink" Target="https://s.net.vn/TAGTP-philippines" TargetMode="External"/><Relationship Id="rId2866" Type="http://schemas.openxmlformats.org/officeDocument/2006/relationships/hyperlink" Target="https://patadovietnam.edu.vn/tienganhgiaotiep_hn/?utm_source=Facebook&amp;utm_medium=MES&amp;utm_term=NEW_ALL_1840_none_020226&amp;utm_content=saletructiep_ALL.M626.1840.giaotiep_PTATT_LD153&amp;utm_campaign=ALL.giaotiep.M626xM629_16917_MES_NamNH_020226" TargetMode="External"/><Relationship Id="rId1536" Type="http://schemas.openxmlformats.org/officeDocument/2006/relationships/hyperlink" Target="https://patadovietnam.edu.vn/tienganhgiaotiep_hn/" TargetMode="External"/><Relationship Id="rId2867" Type="http://schemas.openxmlformats.org/officeDocument/2006/relationships/hyperlink" Target="https://tinyurl.com/M626xM629ALLM" TargetMode="External"/><Relationship Id="rId1537" Type="http://schemas.openxmlformats.org/officeDocument/2006/relationships/hyperlink" Target="https://patadovietnam.edu.vn/tienganhgiaotiep_hn/?utm_source=Facebook&amp;utm_medium=MES&amp;utm_term=NEW_KoreaSouth_1840_none_120524&amp;utm_content=saletructiep_KoreaSouth.TAGTP.1840.giaotiep_PTATT_LD153&amp;utm_campaign=KoreaSouth.giaotiep.TAGTP_16917_MES_NamNH_120524" TargetMode="External"/><Relationship Id="rId2868" Type="http://schemas.openxmlformats.org/officeDocument/2006/relationships/hyperlink" Target="https://patadovietnam.edu.vn/tienganhgiaotiep_hn/" TargetMode="External"/><Relationship Id="rId1538" Type="http://schemas.openxmlformats.org/officeDocument/2006/relationships/hyperlink" Target="https://s.net.vn/TAGTP-korea" TargetMode="External"/><Relationship Id="rId2869" Type="http://schemas.openxmlformats.org/officeDocument/2006/relationships/hyperlink" Target="https://patadovietnam.edu.vn/tienganhgiaotiep_hn/?utm_source=Facebook&amp;utm_medium=CVS&amp;utm_term=NEW_Europe_1840_none_020226&amp;utm_content=saletructiep_Europe.M627.1840.giaotiep_PTATT_LD153&amp;utm_campaign=Europe.giaotiep.M627xM628_16917_CVS_NamNH_020226" TargetMode="External"/><Relationship Id="rId1539" Type="http://schemas.openxmlformats.org/officeDocument/2006/relationships/hyperlink" Target="https://patadovietnam.edu.vn/tienganhdoanhnghiep_hn" TargetMode="External"/><Relationship Id="rId949" Type="http://schemas.openxmlformats.org/officeDocument/2006/relationships/hyperlink" Target="https://patadovietnam.edu.vn/tienganhgiaotiep_hn/?utm_source=Facebook&amp;utm_medium=MES&amp;utm_term=NEW_Taiwan_1840_none_050124&amp;utm_content=saletructiep_Taiwan.lotrinh.1840.giaotiep_PTATT_LD153&amp;utm_campaign=Taiwan.giaotiep.lotrinh_95360_MES_NamNH_050124" TargetMode="External"/><Relationship Id="rId948" Type="http://schemas.openxmlformats.org/officeDocument/2006/relationships/hyperlink" Target="https://patadovietnam.edu.vn/tienganhgiaotiep_hn/" TargetMode="External"/><Relationship Id="rId943" Type="http://schemas.openxmlformats.org/officeDocument/2006/relationships/hyperlink" Target="https://patadovietnam.edu.vn/gtusa1_nhn/?utm_source=Facebook&amp;utm_medium=MES&amp;utm_term=NEW_UnitedStates_1840_none_020124&amp;utm_content=saletructiep_UnitedStates.videoBA.1840.giaotiep_PTATT_LD161&amp;utm_campaign=UnitedStates.giaotiep.videoBA_16917_MES_NamNH_020124" TargetMode="External"/><Relationship Id="rId942" Type="http://schemas.openxmlformats.org/officeDocument/2006/relationships/hyperlink" Target="https://patadovietnam.edu.vn/gtusa1_nhn" TargetMode="External"/><Relationship Id="rId941" Type="http://schemas.openxmlformats.org/officeDocument/2006/relationships/hyperlink" Target="http://ldp.ink/VDBA_japan" TargetMode="External"/><Relationship Id="rId940" Type="http://schemas.openxmlformats.org/officeDocument/2006/relationships/hyperlink" Target="https://patadovietnam.edu.vn/gtjapan_nhn3/?utm_source=Facebook&amp;utm_medium=CVS&amp;utm_term=NEW_Japan_1840_none_020124&amp;utm_content=saletructiep_Japan.videoBA.1840.giaotiep_PTATT_LD164&amp;utm_campaign=Japan.giaotiep.videoBA_16917_CVS_NamNH_020124" TargetMode="External"/><Relationship Id="rId947" Type="http://schemas.openxmlformats.org/officeDocument/2006/relationships/hyperlink" Target="http://ldp.ink/lotrinh_japan" TargetMode="External"/><Relationship Id="rId946" Type="http://schemas.openxmlformats.org/officeDocument/2006/relationships/hyperlink" Target="https://patadovietnam.edu.vn/gtjapan_nhn3/?utm_source=Facebook&amp;utm_medium=CVS&amp;utm_term=NEW_Japan_1840_none_050124&amp;utm_content=saletructiep_Japan.lotrinh.1840.giaotiep_PTATT_LD164&amp;utm_campaign=Japan.giaotiep.lotrinh_16917_CVS_NamNH_050124" TargetMode="External"/><Relationship Id="rId945" Type="http://schemas.openxmlformats.org/officeDocument/2006/relationships/hyperlink" Target="https://patadovietnam.edu.vn/gtjapan_nhn3" TargetMode="External"/><Relationship Id="rId944" Type="http://schemas.openxmlformats.org/officeDocument/2006/relationships/hyperlink" Target="http://ldp.ink/VDBA_hoaky" TargetMode="External"/><Relationship Id="rId2860" Type="http://schemas.openxmlformats.org/officeDocument/2006/relationships/hyperlink" Target="https://patadovietnam.edu.vn/tienganhgiaotiep_hn/?utm_source=Facebook&amp;utm_medium=CVS&amp;utm_term=NEW_Europe_1840_none_020226&amp;utm_content=saletructiep_Europe.M626.1840.giaotiep_PTATT_LD153&amp;utm_campaign=Europe.giaotiep.M626xM629_16917_CVS_NamNH_020226" TargetMode="External"/><Relationship Id="rId1530" Type="http://schemas.openxmlformats.org/officeDocument/2006/relationships/hyperlink" Target="https://patadovietnam.edu.vn/tienganhgiaotiep_hn/" TargetMode="External"/><Relationship Id="rId2861" Type="http://schemas.openxmlformats.org/officeDocument/2006/relationships/hyperlink" Target="https://tinyurl.com/M626xM629EEUC" TargetMode="External"/><Relationship Id="rId1531" Type="http://schemas.openxmlformats.org/officeDocument/2006/relationships/hyperlink" Target="https://patadovietnam.edu.vn/tienganhgiaotiep_hn/?utm_source=Facebook&amp;utm_medium=CVS&amp;utm_term=NEW_Europe_1840_none_120524&amp;utm_content=saletructiep_Europe.TAGTP.1840.giaotiep_PTATT_LD153&amp;utm_campaign=Europe.giaotiep.TAGTP_16917_CVS_NamNH_120524" TargetMode="External"/><Relationship Id="rId2862" Type="http://schemas.openxmlformats.org/officeDocument/2006/relationships/hyperlink" Target="https://patadovietnam.edu.vn/gtjapan_nhn3" TargetMode="External"/><Relationship Id="rId1521" Type="http://schemas.openxmlformats.org/officeDocument/2006/relationships/hyperlink" Target="https://patadovietnam.edu.vn/tienganhgiaotiep_hn/" TargetMode="External"/><Relationship Id="rId2852" Type="http://schemas.openxmlformats.org/officeDocument/2006/relationships/hyperlink" Target="https://tinyurl.com/M624xM625EUC" TargetMode="External"/><Relationship Id="rId1522" Type="http://schemas.openxmlformats.org/officeDocument/2006/relationships/hyperlink" Target="https://patadovietnam.edu.vn/tienganhgiaotiep_hn/?utm_source=Facebook&amp;utm_medium=CVS&amp;utm_term=NEW_ALL_1840_none_120524&amp;utm_content=saletructiep_ALL.M186.1840.giaotiep_PTATT_LD153&amp;utm_campaign=ALL.giaotiep.M186_16917_CVS_NamNH_120524" TargetMode="External"/><Relationship Id="rId2853" Type="http://schemas.openxmlformats.org/officeDocument/2006/relationships/hyperlink" Target="https://patadovietnam.edu.vn/gtjapan_nhn3" TargetMode="External"/><Relationship Id="rId1523" Type="http://schemas.openxmlformats.org/officeDocument/2006/relationships/hyperlink" Target="https://s.net.vn/M186-all" TargetMode="External"/><Relationship Id="rId2854" Type="http://schemas.openxmlformats.org/officeDocument/2006/relationships/hyperlink" Target="https://patadovietnam.edu.vn/gtjapan_nhn3/?utm_source=Facebook&amp;utm_medium=CVS&amp;utm_term=NEW_Japan_1840_none_020226&amp;utm_content=saletructiep_Japan.M624.1840.giaotiep_PTATT_LD164&amp;utm_campaign=Japan.giaotiep.M624xM625_16917_CVS_NamNH_020226" TargetMode="External"/><Relationship Id="rId1524" Type="http://schemas.openxmlformats.org/officeDocument/2006/relationships/hyperlink" Target="https://patadovietnam.edu.vn/tienganhgiaotiep_hn/" TargetMode="External"/><Relationship Id="rId2855" Type="http://schemas.openxmlformats.org/officeDocument/2006/relationships/hyperlink" Target="https://tinyurl.com/M624xM625JP" TargetMode="External"/><Relationship Id="rId1525" Type="http://schemas.openxmlformats.org/officeDocument/2006/relationships/hyperlink" Target="https://patadovietnam.edu.vn/tienganhgiaotiep_hn/?utm_source=Facebook&amp;utm_medium=CVS&amp;utm_term=NEW_ALL_1840_none_120524&amp;utm_content=saletructiep_ALL.PV120.1840.giaotiep_PTATT_LD153&amp;utm_campaign=ALL.giaotiep.PV120_95360_CVS_NamNH_120524" TargetMode="External"/><Relationship Id="rId2856" Type="http://schemas.openxmlformats.org/officeDocument/2006/relationships/hyperlink" Target="https://patadovietnam.edu.vn/tienganhgiaotiep_hn/" TargetMode="External"/><Relationship Id="rId1526" Type="http://schemas.openxmlformats.org/officeDocument/2006/relationships/hyperlink" Target="https://s.net.vn/PV-all" TargetMode="External"/><Relationship Id="rId2857" Type="http://schemas.openxmlformats.org/officeDocument/2006/relationships/hyperlink" Target="https://patadovietnam.edu.vn/tienganhgiaotiep_hn/?utm_source=Facebook&amp;utm_medium=MES&amp;utm_term=NEW_ALL_1840_none_020226&amp;utm_content=saletructiep_ALL.M624.1840.giaotiep_PTATT_LD153&amp;utm_campaign=ALL.giaotiep.M624xM625_16917_MES_NamNH_020226" TargetMode="External"/><Relationship Id="rId1527" Type="http://schemas.openxmlformats.org/officeDocument/2006/relationships/hyperlink" Target="https://patadovietnam.edu.vn/gtjapan_nhn3" TargetMode="External"/><Relationship Id="rId2858" Type="http://schemas.openxmlformats.org/officeDocument/2006/relationships/hyperlink" Target="https://tinyurl.com/M624xM625ALLM" TargetMode="External"/><Relationship Id="rId1528" Type="http://schemas.openxmlformats.org/officeDocument/2006/relationships/hyperlink" Target="https://patadovietnam.edu.vn/gtjapan_nhn3/?utm_source=Facebook&amp;utm_medium=CVS&amp;utm_term=NEW_Japan_1840_none_120524&amp;utm_content=saletructiep_Japan.TAGTP.1840.giaotiep_PTATT_LD164&amp;utm_campaign=Japan.giaotiep.TAGTP_16917_CVS_NamNH_120524" TargetMode="External"/><Relationship Id="rId2859" Type="http://schemas.openxmlformats.org/officeDocument/2006/relationships/hyperlink" Target="https://patadovietnam.edu.vn/tienganhgiaotiep_hn/" TargetMode="External"/><Relationship Id="rId1529" Type="http://schemas.openxmlformats.org/officeDocument/2006/relationships/hyperlink" Target="https://s.net.vn/TAGTP-japan" TargetMode="External"/><Relationship Id="rId939" Type="http://schemas.openxmlformats.org/officeDocument/2006/relationships/hyperlink" Target="https://patadovietnam.edu.vn/gtjapan_nhn3" TargetMode="External"/><Relationship Id="rId938" Type="http://schemas.openxmlformats.org/officeDocument/2006/relationships/hyperlink" Target="http://ldp.ink/ndlchn_europe" TargetMode="External"/><Relationship Id="rId937" Type="http://schemas.openxmlformats.org/officeDocument/2006/relationships/hyperlink" Target="https://patadovietnam.edu.vn/tienganhgiaotiep_hn/?utm_source=Facebook&amp;utm_medium=CVS&amp;utm_term=NEW_Europe_1840_none_020124&amp;utm_content=saletructiep_Europe.ndlchn.1840.giaotiep_PTATT_LD153&amp;utm_campaign=Europe.giaotiep.ndlchn_16917_CVS_NamNH_020124" TargetMode="External"/><Relationship Id="rId932" Type="http://schemas.openxmlformats.org/officeDocument/2006/relationships/hyperlink" Target="http://ldp.ink/ndlchn_korea" TargetMode="External"/><Relationship Id="rId931" Type="http://schemas.openxmlformats.org/officeDocument/2006/relationships/hyperlink" Target="https://patadovietnam.edu.vn/tienganhgiaotiep_hn/?utm_source=Facebook&amp;utm_medium=MES&amp;utm_term=NEW_KoreaSouth_1840_none_020124&amp;utm_content=saletructiep_KoreaSouth.ndlchn.1840.giaotiep_PTATT_LD153&amp;utm_campaign=KoreaSouth.giaotiep.ndlchn_95360_MES_NamNH_020124" TargetMode="External"/><Relationship Id="rId930" Type="http://schemas.openxmlformats.org/officeDocument/2006/relationships/hyperlink" Target="https://patadovietnam.edu.vn/tienganhgiaotiep_hn/" TargetMode="External"/><Relationship Id="rId936" Type="http://schemas.openxmlformats.org/officeDocument/2006/relationships/hyperlink" Target="https://patadovietnam.edu.vn/tienganhgiaotiep_hn/" TargetMode="External"/><Relationship Id="rId935" Type="http://schemas.openxmlformats.org/officeDocument/2006/relationships/hyperlink" Target="http://ldp.ink/ndlchn_japan" TargetMode="External"/><Relationship Id="rId934" Type="http://schemas.openxmlformats.org/officeDocument/2006/relationships/hyperlink" Target="https://patadovietnam.edu.vn/gtjapan_nhn3/?utm_source=Facebook&amp;utm_medium=CVS&amp;utm_term=NEW_Japan_1840_none_020124&amp;utm_content=saletructiep_Japan.ndlchn.1840.giaotiep_PTATT_LD164&amp;utm_campaign=Japan.giaotiep.ndlchn_16917_CVS_NamNH_020124" TargetMode="External"/><Relationship Id="rId933" Type="http://schemas.openxmlformats.org/officeDocument/2006/relationships/hyperlink" Target="https://patadovietnam.edu.vn/gtjapan_nhn3" TargetMode="External"/><Relationship Id="rId2850" Type="http://schemas.openxmlformats.org/officeDocument/2006/relationships/hyperlink" Target="https://patadovietnam.edu.vn/tienganhgiaotiep_hn/" TargetMode="External"/><Relationship Id="rId1520" Type="http://schemas.openxmlformats.org/officeDocument/2006/relationships/hyperlink" Target="https://s.net.vn/M231C90-australia" TargetMode="External"/><Relationship Id="rId2851" Type="http://schemas.openxmlformats.org/officeDocument/2006/relationships/hyperlink" Target="https://patadovietnam.edu.vn/tienganhgiaotiep_hn/?utm_source=Facebook&amp;utm_medium=CVS&amp;utm_term=NEW_Europe_1840_none_020226&amp;utm_content=saletructiep_Europe.M624.1840.giaotiep_PTATT_LD153&amp;utm_campaign=Europe.giaotiep.M624xM625_16917_CVS_NamNH_020226" TargetMode="External"/><Relationship Id="rId1554" Type="http://schemas.openxmlformats.org/officeDocument/2006/relationships/hyperlink" Target="https://patadovietnam.edu.vn/tienganhgiaotiep_hn/" TargetMode="External"/><Relationship Id="rId2885" Type="http://schemas.openxmlformats.org/officeDocument/2006/relationships/hyperlink" Target="https://tinyurl.com/M622xM630ALLM" TargetMode="External"/><Relationship Id="rId1555" Type="http://schemas.openxmlformats.org/officeDocument/2006/relationships/hyperlink" Target="https://patadovietnam.edu.vn/tienganhgiaotiep_hn/?utm_source=Facebook&amp;utm_medium=CVS&amp;utm_term=NEW_Europe_1840_none_170524&amp;utm_content=saletructiep_Europe.M236.1840.giaotiep_PTATT_LD153&amp;utm_campaign=Europe.giaotiep.M236_16917_CVS_NamNH_170524" TargetMode="External"/><Relationship Id="rId2886" Type="http://schemas.openxmlformats.org/officeDocument/2006/relationships/hyperlink" Target="https://patadovietnam.edu.vn/tienganhgiaotiep_hn/" TargetMode="External"/><Relationship Id="rId1556" Type="http://schemas.openxmlformats.org/officeDocument/2006/relationships/hyperlink" Target="https://s.net.vn/M236-europe" TargetMode="External"/><Relationship Id="rId2887" Type="http://schemas.openxmlformats.org/officeDocument/2006/relationships/hyperlink" Target="https://patadovietnam.edu.vn/tienganhgiaotiep_hn/?utm_source=Facebook&amp;utm_medium=CVS&amp;utm_term=NEW_Europe_1840_none_020326&amp;utm_content=saletructiep_Europe.M631.1840.giaotiep_PTATT_LD153&amp;utm_campaign=Europe.giaotiep.M631xM634_16917_CVS_NamNH_020326" TargetMode="External"/><Relationship Id="rId1557" Type="http://schemas.openxmlformats.org/officeDocument/2006/relationships/hyperlink" Target="https://patadovietnam.edu.vn/tienganhgiaotiep_hn/" TargetMode="External"/><Relationship Id="rId2888" Type="http://schemas.openxmlformats.org/officeDocument/2006/relationships/hyperlink" Target="https://tinyurl.com/M631xM634EUC" TargetMode="External"/><Relationship Id="rId1558" Type="http://schemas.openxmlformats.org/officeDocument/2006/relationships/hyperlink" Target="https://patadovietnam.edu.vn/tienganhgiaotiep_hn/?utm_source=Facebook&amp;utm_medium=MES&amp;utm_term=NEW_Philippines_1840_none_170524&amp;utm_content=saletructiep_Philippines.M236.1840.giaotiep_PTATT_LD153&amp;utm_campaign=Philippines.giaotiep.M236_95360_MES_NamNH_170524" TargetMode="External"/><Relationship Id="rId2889" Type="http://schemas.openxmlformats.org/officeDocument/2006/relationships/hyperlink" Target="https://patadovietnam.edu.vn/gtjapan_nhn3" TargetMode="External"/><Relationship Id="rId1559" Type="http://schemas.openxmlformats.org/officeDocument/2006/relationships/hyperlink" Target="https://s.net.vn/M236-philippines" TargetMode="External"/><Relationship Id="rId965" Type="http://schemas.openxmlformats.org/officeDocument/2006/relationships/hyperlink" Target="http://ldp.ink/LTCP_japan" TargetMode="External"/><Relationship Id="rId964" Type="http://schemas.openxmlformats.org/officeDocument/2006/relationships/hyperlink" Target="https://patadovietnam.edu.vn/gtjapan_nhn3/?utm_source=Facebook&amp;utm_medium=CVS&amp;utm_term=NEW_Japan_1840_none_080124&amp;utm_content=saletructiep_Japan.anhltcopy.1840.giaotiep_PTATT_LD164&amp;utm_campaign=Japan.giaotiep.anhltcopy_16917_CVS_NamNH_080124" TargetMode="External"/><Relationship Id="rId963" Type="http://schemas.openxmlformats.org/officeDocument/2006/relationships/hyperlink" Target="https://patadovietnam.edu.vn/gtjapan_nhn3" TargetMode="External"/><Relationship Id="rId962" Type="http://schemas.openxmlformats.org/officeDocument/2006/relationships/hyperlink" Target="http://ldp.ink/giaiphap_australia" TargetMode="External"/><Relationship Id="rId969" Type="http://schemas.openxmlformats.org/officeDocument/2006/relationships/hyperlink" Target="https://patadovietnam.edu.vn/gtjapan_nhn3" TargetMode="External"/><Relationship Id="rId968" Type="http://schemas.openxmlformats.org/officeDocument/2006/relationships/hyperlink" Target="http://ldp.ink/ndlchn_australia" TargetMode="External"/><Relationship Id="rId967" Type="http://schemas.openxmlformats.org/officeDocument/2006/relationships/hyperlink" Target="https://patadovietnam.edu.vn/tienganhgiaotiep_hn/?utm_source=Facebook&amp;utm_medium=MES&amp;utm_term=NEW_Australia_1840_none_080124&amp;utm_content=saletructiep_Australia.ndlchn.1840.giaotiep_PTATT_LD153&amp;utm_campaign=Australia.giaotiep.ndlchn_95360_MES_NamNH_080124" TargetMode="External"/><Relationship Id="rId966" Type="http://schemas.openxmlformats.org/officeDocument/2006/relationships/hyperlink" Target="https://patadovietnam.edu.vn/tienganhgiaotiep_hn/" TargetMode="External"/><Relationship Id="rId2880" Type="http://schemas.openxmlformats.org/officeDocument/2006/relationships/hyperlink" Target="https://patadovietnam.edu.vn/gtjapan_nhn3" TargetMode="External"/><Relationship Id="rId961" Type="http://schemas.openxmlformats.org/officeDocument/2006/relationships/hyperlink" Target="https://patadovietnam.edu.vn/tienganhgiaotiep_hn/?utm_source=Facebook&amp;utm_medium=MES&amp;utm_term=NEW_Australia_1840_none_050124&amp;utm_content=saletructiep_Australia.giaiphap.1840.giaotiep_PTATT_LD153&amp;utm_campaign=Australia.giaotiep.giaiphap_16917_MES_NamNH_050124" TargetMode="External"/><Relationship Id="rId1550" Type="http://schemas.openxmlformats.org/officeDocument/2006/relationships/hyperlink" Target="https://s.net.vn/M172C138-all" TargetMode="External"/><Relationship Id="rId2881" Type="http://schemas.openxmlformats.org/officeDocument/2006/relationships/hyperlink" Target="https://patadovietnam.edu.vn/gtjapan_nhn3/?utm_source=Facebook&amp;utm_medium=CVS&amp;utm_term=NEW_Japan_1840_none_110226&amp;utm_content=saletructiep_Japan.M630.1840.giaotiep_PTATT_LD164&amp;utm_campaign=Japan.giaotiep.M622xM630_16917_CVS_NamNH_110226" TargetMode="External"/><Relationship Id="rId960" Type="http://schemas.openxmlformats.org/officeDocument/2006/relationships/hyperlink" Target="https://patadovietnam.edu.vn/tienganhgiaotiep_hn/" TargetMode="External"/><Relationship Id="rId1551" Type="http://schemas.openxmlformats.org/officeDocument/2006/relationships/hyperlink" Target="https://patadovietnam.edu.vn/gtusa1_nhn" TargetMode="External"/><Relationship Id="rId2882" Type="http://schemas.openxmlformats.org/officeDocument/2006/relationships/hyperlink" Target="https://tinyurl.com/M622xM630JPC" TargetMode="External"/><Relationship Id="rId1552" Type="http://schemas.openxmlformats.org/officeDocument/2006/relationships/hyperlink" Target="https://patadovietnam.edu.vn/gtusa1_nhn/?utm_source=Facebook&amp;utm_medium=MES&amp;utm_term=NEW_UnitedStates_1840_none_170524&amp;utm_content=saletructiep_UnitedStates.M236.1840.giaotiep_PTATT_LD161&amp;utm_campaign=UnitedStates.giaotiep.M236_16917_MES_NamNH_170524" TargetMode="External"/><Relationship Id="rId2883" Type="http://schemas.openxmlformats.org/officeDocument/2006/relationships/hyperlink" Target="https://patadovietnam.edu.vn/tienganhgiaotiep_hn/" TargetMode="External"/><Relationship Id="rId1553" Type="http://schemas.openxmlformats.org/officeDocument/2006/relationships/hyperlink" Target="https://s.net.vn/M236-hoaky" TargetMode="External"/><Relationship Id="rId2884" Type="http://schemas.openxmlformats.org/officeDocument/2006/relationships/hyperlink" Target="https://patadovietnam.edu.vn/tienganhgiaotiep_hn/?utm_source=Facebook&amp;utm_medium=MES&amp;utm_term=NEW_ALL_1840_none_110226&amp;utm_content=saletructiep_ALL.M630.1840.giaotiep_PTATT_LD153&amp;utm_campaign=ALL.giaotiep.M622xM630_16917_MES_NamNH_110226" TargetMode="External"/><Relationship Id="rId1543" Type="http://schemas.openxmlformats.org/officeDocument/2006/relationships/hyperlink" Target="https://patadovietnam.edu.vn/tienganhgiaotiep_hn/?utm_source=Facebook&amp;utm_medium=MES&amp;utm_term=NEW_KoreaSouth_1840_none_150524&amp;utm_content=saletructiep_KoreaSouth.M191C133.1840.giaotiep_PTATT_LD153&amp;utm_campaign=KoreaSouth.giaotiep.M191C133_95360_MES_NamNH_150524" TargetMode="External"/><Relationship Id="rId2874" Type="http://schemas.openxmlformats.org/officeDocument/2006/relationships/hyperlink" Target="https://patadovietnam.edu.vn/tienganhgiaotiep_hn/" TargetMode="External"/><Relationship Id="rId1544" Type="http://schemas.openxmlformats.org/officeDocument/2006/relationships/hyperlink" Target="https://s.net.vn/M191C133-korea" TargetMode="External"/><Relationship Id="rId2875" Type="http://schemas.openxmlformats.org/officeDocument/2006/relationships/hyperlink" Target="https://patadovietnam.edu.vn/tienganhgiaotiep_hn/?utm_source=Facebook&amp;utm_medium=MES&amp;utm_term=NEW_ALL_1840_none_020226&amp;utm_content=saletructiep_ALL.M627.1840.giaotiep_PTATT_LD153&amp;utm_campaign=ALL.giaotiep.M627xM628_16917_MES_NamNH_020226" TargetMode="External"/><Relationship Id="rId1545" Type="http://schemas.openxmlformats.org/officeDocument/2006/relationships/hyperlink" Target="https://patadovietnam.edu.vn/tienganhgiaotiep_hn/" TargetMode="External"/><Relationship Id="rId2876" Type="http://schemas.openxmlformats.org/officeDocument/2006/relationships/hyperlink" Target="https://tinyurl.com/M627xM628ALLM" TargetMode="External"/><Relationship Id="rId1546" Type="http://schemas.openxmlformats.org/officeDocument/2006/relationships/hyperlink" Target="https://patadovietnam.edu.vn/tienganhgiaotiep_hn/?utm_source=Facebook&amp;utm_medium=MES&amp;utm_term=NEW_Australia_1840_none_150524&amp;utm_content=saletructiep_Australia.M207C161.1840.giaotiep_PTATT_LD153&amp;utm_campaign=Australia.giaotiep.M207C161_95360_MES_NamNH_150524" TargetMode="External"/><Relationship Id="rId2877" Type="http://schemas.openxmlformats.org/officeDocument/2006/relationships/hyperlink" Target="https://patadovietnam.edu.vn/tienganhgiaotiep_hn/" TargetMode="External"/><Relationship Id="rId1547" Type="http://schemas.openxmlformats.org/officeDocument/2006/relationships/hyperlink" Target="https://s.net.vn/M207C161-australia" TargetMode="External"/><Relationship Id="rId2878" Type="http://schemas.openxmlformats.org/officeDocument/2006/relationships/hyperlink" Target="https://patadovietnam.edu.vn/tienganhgiaotiep_hn/?utm_source=Facebook&amp;utm_medium=CVS&amp;utm_term=NEW_Europe_1840_none_110226&amp;utm_content=saletructiep_Europe.M630.1840.giaotiep_PTATT_LD153&amp;utm_campaign=Europe.giaotiep.M622xM630_16917_CVS_NamNH_110226" TargetMode="External"/><Relationship Id="rId1548" Type="http://schemas.openxmlformats.org/officeDocument/2006/relationships/hyperlink" Target="https://patadovietnam.edu.vn/tienganhgiaotiep_hn/" TargetMode="External"/><Relationship Id="rId2879" Type="http://schemas.openxmlformats.org/officeDocument/2006/relationships/hyperlink" Target="https://tinyurl.com/M622xM630EUC" TargetMode="External"/><Relationship Id="rId1549" Type="http://schemas.openxmlformats.org/officeDocument/2006/relationships/hyperlink" Target="https://patadovietnam.edu.vn/tienganhgiaotiep_hn/?utm_source=Facebook&amp;utm_medium=MES&amp;utm_term=NEW_ALL_1840_none_150524&amp;utm_content=saletructiep_ALL.M172C138.1840.giaotiep_PTATT_LD153&amp;utm_campaign=ALL.giaotiep.M172C138_95360_MES_NamNH_150524" TargetMode="External"/><Relationship Id="rId959" Type="http://schemas.openxmlformats.org/officeDocument/2006/relationships/hyperlink" Target="http://ldp.ink/giaiphap_taiwan" TargetMode="External"/><Relationship Id="rId954" Type="http://schemas.openxmlformats.org/officeDocument/2006/relationships/hyperlink" Target="https://patadovietnam.edu.vn/tienganhgiaotiep_hn/" TargetMode="External"/><Relationship Id="rId953" Type="http://schemas.openxmlformats.org/officeDocument/2006/relationships/hyperlink" Target="http://ldp.ink/lotrinh_philippines" TargetMode="External"/><Relationship Id="rId952" Type="http://schemas.openxmlformats.org/officeDocument/2006/relationships/hyperlink" Target="https://patadovietnam.edu.vn/tienganhgiaotiep_hn/?utm_source=Facebook&amp;utm_medium=MES&amp;utm_term=NEW_Philippines_1840_none_050124&amp;utm_content=saletructiep_Philippines.lotrinh.1840.giaotiep_PTATT_LD153&amp;utm_campaign=Philippines.giaotiep.lotrinh_95360_MES_NamNH_050124" TargetMode="External"/><Relationship Id="rId951" Type="http://schemas.openxmlformats.org/officeDocument/2006/relationships/hyperlink" Target="https://patadovietnam.edu.vn/tienganhgiaotiep_hn/" TargetMode="External"/><Relationship Id="rId958" Type="http://schemas.openxmlformats.org/officeDocument/2006/relationships/hyperlink" Target="https://patadovietnam.edu.vn/tienganhgiaotiep_hn/?utm_source=Facebook&amp;utm_medium=MES&amp;utm_term=NEW_Taiwan_1840_none_050124&amp;utm_content=saletructiep_Taiwan.giaiphap.1840.giaotiep_PTATT_LD153&amp;utm_campaign=Taiwan.giaotiep.giaiphap_95360_MES_NamNH_050124" TargetMode="External"/><Relationship Id="rId957" Type="http://schemas.openxmlformats.org/officeDocument/2006/relationships/hyperlink" Target="https://patadovietnam.edu.vn/tienganhgiaotiep_hn/" TargetMode="External"/><Relationship Id="rId956" Type="http://schemas.openxmlformats.org/officeDocument/2006/relationships/hyperlink" Target="http://ldp.ink/giaiphap_japan" TargetMode="External"/><Relationship Id="rId955" Type="http://schemas.openxmlformats.org/officeDocument/2006/relationships/hyperlink" Target="https://patadovietnam.edu.vn/tienganhgiaotiep_hn/?utm_source=Facebook&amp;utm_medium=CVS&amp;utm_term=NEW_Japan_1840_none_050124&amp;utm_content=saletructiep_Japan.giaiphap.1840.giaotiep_PTATT_LD153&amp;utm_campaign=Japan.giaotiep.giaiphap_16917_CVS_NamNH_050124" TargetMode="External"/><Relationship Id="rId950" Type="http://schemas.openxmlformats.org/officeDocument/2006/relationships/hyperlink" Target="http://ldp.ink/lotrinh_taiwan" TargetMode="External"/><Relationship Id="rId2870" Type="http://schemas.openxmlformats.org/officeDocument/2006/relationships/hyperlink" Target="https://tinyurl.com/M627xM628EUC" TargetMode="External"/><Relationship Id="rId1540" Type="http://schemas.openxmlformats.org/officeDocument/2006/relationships/hyperlink" Target="https://patadovietnam.edu.vn/tienganhdoanhnghiep_hn/?utm_source=Facebook&amp;utm_medium=MES&amp;utm_term=NEW_Vietnam_2035_none_130524&amp;utm_content=saletructiep_Vietnam.MB14.1836.DoanhNghiep_PTATT_LD224&amp;utm_campaign=Vietnam.Doanhnghiep.MB14_95360_MES_NamNH_130524" TargetMode="External"/><Relationship Id="rId2871" Type="http://schemas.openxmlformats.org/officeDocument/2006/relationships/hyperlink" Target="https://patadovietnam.edu.vn/tienganhgiaotiep_hn/" TargetMode="External"/><Relationship Id="rId1541" Type="http://schemas.openxmlformats.org/officeDocument/2006/relationships/hyperlink" Target="https://s.net.vn/MB14-vietnam" TargetMode="External"/><Relationship Id="rId2872" Type="http://schemas.openxmlformats.org/officeDocument/2006/relationships/hyperlink" Target="https://patadovietnam.edu.vn/tienganhgiaotiep_hn/?utm_source=Facebook&amp;utm_medium=CVS&amp;utm_term=NEW_Japan_1840_none_020226&amp;utm_content=saletructiep_Japan.M627.1840.giaotiep_PTATT_LD153&amp;utm_campaign=Japan.giaotiep.M627xM628_16917_CVS_NamNH_020226" TargetMode="External"/><Relationship Id="rId1542" Type="http://schemas.openxmlformats.org/officeDocument/2006/relationships/hyperlink" Target="https://patadovietnam.edu.vn/tienganhgiaotiep_hn/" TargetMode="External"/><Relationship Id="rId2873" Type="http://schemas.openxmlformats.org/officeDocument/2006/relationships/hyperlink" Target="https://tinyurl.com/M627xM628JPC" TargetMode="External"/><Relationship Id="rId2027" Type="http://schemas.openxmlformats.org/officeDocument/2006/relationships/hyperlink" Target="https://patadovietnam.edu.vn/tienganhgiaotiep_hn/" TargetMode="External"/><Relationship Id="rId2028" Type="http://schemas.openxmlformats.org/officeDocument/2006/relationships/hyperlink" Target="https://patadovietnam.edu.vn/tienganhgiaotiep_hn/?utm_source=Facebook&amp;utm_medium=MES&amp;utm_term=NEW_KoreaSouth_1840_none_021024&amp;utm_content=saletructiep_KoreaSouth.M280.1840.giaotiep_PTATT_LD153&amp;utm_campaign=KoreaSouth.giaotiep.M280_16917_MES_NamNH_021024" TargetMode="External"/><Relationship Id="rId2029" Type="http://schemas.openxmlformats.org/officeDocument/2006/relationships/hyperlink" Target="https://patadovietnam.edu.vn/tienganhgiaotiep_hn/" TargetMode="External"/><Relationship Id="rId107" Type="http://schemas.openxmlformats.org/officeDocument/2006/relationships/hyperlink" Target="http://ldp.to/gteurope3_nhn" TargetMode="External"/><Relationship Id="rId106" Type="http://schemas.openxmlformats.org/officeDocument/2006/relationships/hyperlink" Target="https://patadovietnam.edu.vn/gtchauau_nhn/?utm_source=Facebook&amp;utm_medium=CVS&amp;utm_term=NEW_Europe_2040_none_100523&amp;utm_content=saletructiep_Europe.anhgteurope3.2040.giaotiep_PTATT_LD165&amp;utm_campaign=Europe.giaotiep.anhgteurope3_16917_CVS_NamNH_100523" TargetMode="External"/><Relationship Id="rId105" Type="http://schemas.openxmlformats.org/officeDocument/2006/relationships/hyperlink" Target="https://patadovietnam.edu.vn/gtchauau_nhn" TargetMode="External"/><Relationship Id="rId104" Type="http://schemas.openxmlformats.org/officeDocument/2006/relationships/hyperlink" Target="http://ldp.to/GTusa2_nhn" TargetMode="External"/><Relationship Id="rId109" Type="http://schemas.openxmlformats.org/officeDocument/2006/relationships/hyperlink" Target="https://patadovietnam.edu.vn/tienganhgiaotiep_hn/?utm_source=Facebook&amp;utm_medium=MES&amp;utm_term=NEW_Canada_2045_none_100523&amp;utm_content=saletructiep_Canada.anhgiaotiepcanada2.2045.giaotiep_PTATT_LD153&amp;utm_campaign=Canada.giaotiep.anhgiaotiepcanada2_16917_MES_NamNH_100523" TargetMode="External"/><Relationship Id="rId108" Type="http://schemas.openxmlformats.org/officeDocument/2006/relationships/hyperlink" Target="https://patadovietnam.edu.vn/tienganhgiaotiep_hn/" TargetMode="External"/><Relationship Id="rId2020" Type="http://schemas.openxmlformats.org/officeDocument/2006/relationships/hyperlink" Target="https://patadovietnam.edu.vn/gtjapan_nhn3/?utm_source=Facebook&amp;utm_medium=CVS&amp;utm_term=NEW_Japan_1840_none_021024&amp;utm_content=saletructiep_Japan.M280.1840.giaotiep_PTATT_LD164&amp;utm_campaign=Japan.giaotiep.M280_16917_CVS_NamNH_021024" TargetMode="External"/><Relationship Id="rId2021" Type="http://schemas.openxmlformats.org/officeDocument/2006/relationships/hyperlink" Target="https://patadovietnam.edu.vn/gtusa1_nhn" TargetMode="External"/><Relationship Id="rId2022" Type="http://schemas.openxmlformats.org/officeDocument/2006/relationships/hyperlink" Target="https://patadovietnam.edu.vn/gtusa1_nhn/?utm_source=Facebook&amp;utm_medium=MES&amp;utm_term=NEW_UnitedStates_1840_none_021024&amp;utm_content=saletructiep_UnitedStates.M279.1840.giaotiep_PTATT_LD161&amp;utm_campaign=UnitedStates.giaotiep.M279_16917_MES_NamNH_021024" TargetMode="External"/><Relationship Id="rId103" Type="http://schemas.openxmlformats.org/officeDocument/2006/relationships/hyperlink" Target="https://patadovietnam.edu.vn/gtusa1_nhn/?utm_source=Facebook&amp;utm_medium=MES&amp;utm_term=NEW_UnitedStates_2047_none_100523&amp;utm_content=saletructiep_Unitedstates.giaotiep.anhGTmy3_PTATT_LD161&amp;utm_campaign=Unitedstates.giaotiep.anhGTmy3_16917_MES_NamNH_100523" TargetMode="External"/><Relationship Id="rId2023" Type="http://schemas.openxmlformats.org/officeDocument/2006/relationships/hyperlink" Target="https://patadovietnam.edu.vn/gtusa1_nhn" TargetMode="External"/><Relationship Id="rId102" Type="http://schemas.openxmlformats.org/officeDocument/2006/relationships/hyperlink" Target="https://patadovietnam.edu.vn/gtusa1_nhn" TargetMode="External"/><Relationship Id="rId2024" Type="http://schemas.openxmlformats.org/officeDocument/2006/relationships/hyperlink" Target="https://patadovietnam.edu.vn/gtusa1_nhn/?utm_source=Facebook&amp;utm_medium=MES&amp;utm_term=NEW_UnitedStates_1840_none_021024&amp;utm_content=saletructiep_UnitedStates.M280.1840.giaotiep_PTATT_LD161&amp;utm_campaign=UnitedStates.giaotiep.M280_16917_MES_NamNH_021024" TargetMode="External"/><Relationship Id="rId101" Type="http://schemas.openxmlformats.org/officeDocument/2006/relationships/hyperlink" Target="http://ldp.to/GTAustralia3_hn" TargetMode="External"/><Relationship Id="rId2025" Type="http://schemas.openxmlformats.org/officeDocument/2006/relationships/hyperlink" Target="https://patadovietnam.edu.vn/tienganhgiaotiep_hn/" TargetMode="External"/><Relationship Id="rId100" Type="http://schemas.openxmlformats.org/officeDocument/2006/relationships/hyperlink" Target="https://patadovietnam.edu.vn/tienganhgiaotiep_hn/?utm_source=Facebook&amp;utm_medium=MES&amp;utm_term=NEW_Australia_2050_none_100523&amp;utm_content=saletructiep_Australia.anhgiaotiep2.2045.giaotiep_PTATT_LD153&amp;utm_campaign=Australia.giaotiep.anhgiaotiep2_16917_MES_NamNH_100523" TargetMode="External"/><Relationship Id="rId2026" Type="http://schemas.openxmlformats.org/officeDocument/2006/relationships/hyperlink" Target="https://patadovietnam.edu.vn/tienganhgiaotiep_hn/?utm_source=Facebook&amp;utm_medium=MES&amp;utm_term=NEW_KoreaSouth_1840_none_021024&amp;utm_content=saletructiep_KoreaSouth.M279.1840.giaotiep_PTATT_LD153&amp;utm_campaign=KoreaSouth.giaotiep.M279_16917_MES_NamNH_021024" TargetMode="External"/><Relationship Id="rId2016" Type="http://schemas.openxmlformats.org/officeDocument/2006/relationships/hyperlink" Target="https://patadovietnam.edu.vn/tienganhgiaotiep_hn/?utm_source=Facebook&amp;utm_medium=CVS&amp;utm_term=NEW_Europe_1840_none_021024&amp;utm_content=saletructiep_Europe.M280.1840.giaotiep_PTATT_LD153&amp;utm_campaign=Europe.giaotiep.M280_16917_CVS_NamNH_021024" TargetMode="External"/><Relationship Id="rId2017" Type="http://schemas.openxmlformats.org/officeDocument/2006/relationships/hyperlink" Target="https://patadovietnam.edu.vn/gtjapan_nhn3" TargetMode="External"/><Relationship Id="rId2018" Type="http://schemas.openxmlformats.org/officeDocument/2006/relationships/hyperlink" Target="https://patadovietnam.edu.vn/gtjapan_nhn3/?utm_source=Facebook&amp;utm_medium=CVS&amp;utm_term=NEW_Japan_1840_none_021024&amp;utm_content=saletructiep_Japan.M279.1840.giaotiep_PTATT_LD164&amp;utm_campaign=Japan.giaotiep.M279_16917_CVS_NamNH_021024" TargetMode="External"/><Relationship Id="rId2019" Type="http://schemas.openxmlformats.org/officeDocument/2006/relationships/hyperlink" Target="https://patadovietnam.edu.vn/gtjapan_nhn3" TargetMode="External"/><Relationship Id="rId2010" Type="http://schemas.openxmlformats.org/officeDocument/2006/relationships/hyperlink" Target="https://patadovietnam.edu.vn/gtjapan_nhn3/?utm_source=Facebook&amp;utm_medium=CVS&amp;utm_term=NEW_Japan_1840_none_250924&amp;utm_content=saletructiep_Japan.M236.1840.giaotiep_PTATT_LD164&amp;utm_campaign=Japan.giaotiep.M236_16917_CVS_NamNH_250924" TargetMode="External"/><Relationship Id="rId2011" Type="http://schemas.openxmlformats.org/officeDocument/2006/relationships/hyperlink" Target="https://patadovietnam.edu.vn/gtjapan_nhn3" TargetMode="External"/><Relationship Id="rId2012" Type="http://schemas.openxmlformats.org/officeDocument/2006/relationships/hyperlink" Target="https://patadovietnam.edu.vn/gtjapan_nhn3/?utm_source=Facebook&amp;utm_medium=CVS&amp;utm_term=NEW_Japan_1840_none_250924&amp;utm_content=saletructiep_Japan.M254.1840.giaotiep_PTATT_LD164&amp;utm_campaign=Japan.giaotiep.M254_16917_CVS_NamNH_250924" TargetMode="External"/><Relationship Id="rId2013" Type="http://schemas.openxmlformats.org/officeDocument/2006/relationships/hyperlink" Target="https://patadovietnam.edu.vn/tienganhgiaotiep_hn/" TargetMode="External"/><Relationship Id="rId2014" Type="http://schemas.openxmlformats.org/officeDocument/2006/relationships/hyperlink" Target="https://patadovietnam.edu.vn/tienganhgiaotiep_hn/?utm_source=Facebook&amp;utm_medium=CVS&amp;utm_term=NEW_Europe_1840_none_021024&amp;utm_content=saletructiep_Europe.M279.1840.giaotiep_PTATT_LD153&amp;utm_campaign=Europe.giaotiep.M279_16917_CVS_NamNH_021024" TargetMode="External"/><Relationship Id="rId2015" Type="http://schemas.openxmlformats.org/officeDocument/2006/relationships/hyperlink" Target="https://patadovietnam.edu.vn/tienganhgiaotiep_hn/" TargetMode="External"/><Relationship Id="rId2049" Type="http://schemas.openxmlformats.org/officeDocument/2006/relationships/hyperlink" Target="https://patadovietnam.edu.vn/tienganhgiaotiep_hn/" TargetMode="External"/><Relationship Id="rId129" Type="http://schemas.openxmlformats.org/officeDocument/2006/relationships/hyperlink" Target="https://patadovietnam.edu.vn/tienganhgiaotiep_hn/" TargetMode="External"/><Relationship Id="rId128" Type="http://schemas.openxmlformats.org/officeDocument/2006/relationships/hyperlink" Target="http://ldp.to/gteurope4_nhn" TargetMode="External"/><Relationship Id="rId127" Type="http://schemas.openxmlformats.org/officeDocument/2006/relationships/hyperlink" Target="https://patadovietnam.edu.vn/gteurope_nhn/?utm_source=Facebook&amp;utm_medium=CVS&amp;utm_term=NEW_Europe_2045_none_150523&amp;utm_content=saletructiep_Europe.anhgteurope3.2045.giaotiep_PTATT_LD162&amp;utm_campaign=Europe.giaotiep.anhgteurope3_95360_CVS_NamNH_150523" TargetMode="External"/><Relationship Id="rId126" Type="http://schemas.openxmlformats.org/officeDocument/2006/relationships/hyperlink" Target="https://patadovietnam.edu.vn/gteurope_nhn" TargetMode="External"/><Relationship Id="rId2040" Type="http://schemas.openxmlformats.org/officeDocument/2006/relationships/hyperlink" Target="https://patadovietnam.edu.vn/gtusa1_nhn/?utm_source=Facebook&amp;utm_medium=MES&amp;utm_term=NEW_UnitedStates_1840_none_071024&amp;utm_content=saletructiep_UnitedStates.M281.1840.giaotiep_PTATT_LD161&amp;utm_campaign=UnitedStates.giaotiep.M281_16917_MES_NamNH_071024" TargetMode="External"/><Relationship Id="rId121" Type="http://schemas.openxmlformats.org/officeDocument/2006/relationships/hyperlink" Target="https://patadovietnam.edu.vn/gtjapan_nhn2/?utm_source=Facebook&amp;utm_medium=MES&amp;utm_term=NEW_Japan_1840_none_150523&amp;utm_content=saletructiep_Japan.GTjapan3.1840.giaotiep_PTATT_LD163&amp;utm_campaign=Japan.giaotiep.GTjapan3_95360_MES_NamNH_150523" TargetMode="External"/><Relationship Id="rId2041" Type="http://schemas.openxmlformats.org/officeDocument/2006/relationships/hyperlink" Target="https://patadovietnam.edu.vn/gtjapan_nhn3" TargetMode="External"/><Relationship Id="rId120" Type="http://schemas.openxmlformats.org/officeDocument/2006/relationships/hyperlink" Target="https://patadovietnam.edu.vn/gtjapan_nhn2" TargetMode="External"/><Relationship Id="rId2042" Type="http://schemas.openxmlformats.org/officeDocument/2006/relationships/hyperlink" Target="https://patadovietnam.edu.vn/gtjapan_nhn3/?utm_source=Facebook&amp;utm_medium=CVS&amp;utm_term=NEW_Japan_1840_none_071024&amp;utm_content=saletructiep_Japan.M281.1840.giaotiep_PTATT_LD164&amp;utm_campaign=Japan.giaotiep.M281_16917_CVS_NamNH_071024" TargetMode="External"/><Relationship Id="rId2043" Type="http://schemas.openxmlformats.org/officeDocument/2006/relationships/hyperlink" Target="https://patadovietnam.edu.vn/tienganhgiaotiep_hn/" TargetMode="External"/><Relationship Id="rId2044" Type="http://schemas.openxmlformats.org/officeDocument/2006/relationships/hyperlink" Target="https://patadovietnam.edu.vn/tienganhgiaotiep_hn/?utm_source=Facebook&amp;utm_medium=CVS&amp;utm_term=NEW_Europe_1840_none_141024&amp;utm_content=saletructiep_Europe.M283.1840.giaotiep_PTATT_LD153&amp;utm_campaign=Europe.giaotiep.M283_16917_CVS_NamNH_141024" TargetMode="External"/><Relationship Id="rId125" Type="http://schemas.openxmlformats.org/officeDocument/2006/relationships/hyperlink" Target="http://ldp.to/GTAustralia4_hn" TargetMode="External"/><Relationship Id="rId2045" Type="http://schemas.openxmlformats.org/officeDocument/2006/relationships/hyperlink" Target="https://patadovietnam.edu.vn/tienganhgiaotiep_hn/" TargetMode="External"/><Relationship Id="rId124" Type="http://schemas.openxmlformats.org/officeDocument/2006/relationships/hyperlink" Target="https://patadovietnam.edu.vn/tienganhgiaotiep_hn/?utm_source=Facebook&amp;utm_medium=MES&amp;utm_term=NEW_Australia_2040_none_150523&amp;utm_content=saletructiep_Australia.anhgiaotiep2.2045.giaotiep_PTATT_LD153&amp;utm_campaign=Australia.giaotiep.anhgiaotiep2_95360_MES_NamNH_150523" TargetMode="External"/><Relationship Id="rId2046" Type="http://schemas.openxmlformats.org/officeDocument/2006/relationships/hyperlink" Target="https://patadovietnam.edu.vn/tienganhgiaotiep_hn/?utm_source=Facebook&amp;utm_medium=CVS&amp;utm_term=NEW_Japan_1840_none_141024&amp;utm_content=saletructiep_Japan.M283.1840.giaotiep_PTATT_LD153&amp;utm_campaign=Japan.giaotiep.M283_16917_CVS_NamNH_141024" TargetMode="External"/><Relationship Id="rId123" Type="http://schemas.openxmlformats.org/officeDocument/2006/relationships/hyperlink" Target="https://patadovietnam.edu.vn/tienganhgiaotiep_hn/" TargetMode="External"/><Relationship Id="rId2047" Type="http://schemas.openxmlformats.org/officeDocument/2006/relationships/hyperlink" Target="https://patadovietnam.edu.vn/gtusa1_nhn" TargetMode="External"/><Relationship Id="rId122" Type="http://schemas.openxmlformats.org/officeDocument/2006/relationships/hyperlink" Target="http://ldp.to/GTjapan4_hn" TargetMode="External"/><Relationship Id="rId2048" Type="http://schemas.openxmlformats.org/officeDocument/2006/relationships/hyperlink" Target="https://patadovietnam.edu.vn/gtusa1_nhn/?utm_source=Facebook&amp;utm_medium=MES&amp;utm_term=NEW_UnitedStates_1840_none_141024&amp;utm_content=saletructiep_UnitedStates.M283.1840.giaotiep_PTATT_LD161&amp;utm_campaign=UnitedStates.giaotiep.M283_16917_MES_NamNH_141024" TargetMode="External"/><Relationship Id="rId2038" Type="http://schemas.openxmlformats.org/officeDocument/2006/relationships/hyperlink" Target="https://patadovietnam.edu.vn/tienganhgiaotiep_hn/?utm_source=Facebook&amp;utm_medium=CVS&amp;utm_term=NEW_Europe_1840_none_071024&amp;utm_content=saletructiep_Europe.M281.1840.giaotiep_PTATT_LD153&amp;utm_campaign=Europe.giaotiep.M281_16917_CVS_NamNH_071024" TargetMode="External"/><Relationship Id="rId2039" Type="http://schemas.openxmlformats.org/officeDocument/2006/relationships/hyperlink" Target="https://patadovietnam.edu.vn/gtusa1_nhn" TargetMode="External"/><Relationship Id="rId118" Type="http://schemas.openxmlformats.org/officeDocument/2006/relationships/hyperlink" Target="https://patadovietnam.edu.vn/gtusa1_nhn/?utm_source=Facebook&amp;utm_medium=MES&amp;utm_term=NEW_UnitedStates_2545_none_140523&amp;utm_content=saletructiep_Unitedstates.giaotiep.anhGTmy3_PTATT_LD161&amp;utm_campaign=Unitedstates.giaotiep.anhGTmy3_16917_MES_NamNH_140523" TargetMode="External"/><Relationship Id="rId117" Type="http://schemas.openxmlformats.org/officeDocument/2006/relationships/hyperlink" Target="https://patadovietnam.edu.vn/gtusa1_nhn" TargetMode="External"/><Relationship Id="rId116" Type="http://schemas.openxmlformats.org/officeDocument/2006/relationships/hyperlink" Target="http://ldp.to/GTAustralia3_hn" TargetMode="External"/><Relationship Id="rId115" Type="http://schemas.openxmlformats.org/officeDocument/2006/relationships/hyperlink" Target="https://patadovietnam.edu.vn/tienganhgiaotiep_hn/?utm_source=Facebook&amp;utm_medium=MES&amp;utm_term=NEW_Australia_2045_none_130523&amp;utm_content=saletructiep_Australia.anhgiaotiep2.2045.giaotiep_PTATT_LD153&amp;utm_campaign=Australia.giaotiep.anhgiaotiep2_16917_MES_NamNH_130523" TargetMode="External"/><Relationship Id="rId119" Type="http://schemas.openxmlformats.org/officeDocument/2006/relationships/hyperlink" Target="http://ldp.to/GTusa3_nhn" TargetMode="External"/><Relationship Id="rId110" Type="http://schemas.openxmlformats.org/officeDocument/2006/relationships/hyperlink" Target="http://ldp.to/GTCanada_nhn" TargetMode="External"/><Relationship Id="rId2030" Type="http://schemas.openxmlformats.org/officeDocument/2006/relationships/hyperlink" Target="https://patadovietnam.edu.vn/tienganhgiaotiep_hn/?utm_source=Facebook&amp;utm_medium=MES&amp;utm_term=NEW_Taiwan_1840_none_021024&amp;utm_content=saletructiep_Taiwan.M279.1840.giaotiep_PTATT_LD153&amp;utm_campaign=Taiwan.giaotiep.M279_16917_MES_NamNH_021024" TargetMode="External"/><Relationship Id="rId2031" Type="http://schemas.openxmlformats.org/officeDocument/2006/relationships/hyperlink" Target="https://patadovietnam.edu.vn/tienganhgiaotiep_hn/" TargetMode="External"/><Relationship Id="rId2032" Type="http://schemas.openxmlformats.org/officeDocument/2006/relationships/hyperlink" Target="https://patadovietnam.edu.vn/tienganhgiaotiep_hn/?utm_source=Facebook&amp;utm_medium=MES&amp;utm_term=NEW_Taiwan_1840_none_021024&amp;utm_content=saletructiep_Taiwan.M280.1840.giaotiep_PTATT_LD153&amp;utm_campaign=Taiwan.giaotiep.M280_16917_MES_NamNH_021024" TargetMode="External"/><Relationship Id="rId2033" Type="http://schemas.openxmlformats.org/officeDocument/2006/relationships/hyperlink" Target="https://patadovietnam.edu.vn/tienganhgiaotiep_hn/" TargetMode="External"/><Relationship Id="rId114" Type="http://schemas.openxmlformats.org/officeDocument/2006/relationships/hyperlink" Target="https://patadovietnam.edu.vn/tienganhgiaotiep_hn/" TargetMode="External"/><Relationship Id="rId2034" Type="http://schemas.openxmlformats.org/officeDocument/2006/relationships/hyperlink" Target="https://patadovietnam.edu.vn/tienganhgiaotiep_hn/?utm_source=Facebook&amp;utm_medium=MES&amp;utm_term=NEW_Australia_1840_none_021024&amp;utm_content=saletructiep_Australia.M279.1840.giaotiep_PTATT_LD153&amp;utm_campaign=Australia.giaotiep.M279_16917_MES_NamNH_021024" TargetMode="External"/><Relationship Id="rId113" Type="http://schemas.openxmlformats.org/officeDocument/2006/relationships/hyperlink" Target="http://ldp.to/Gtkorea3_nhn" TargetMode="External"/><Relationship Id="rId2035" Type="http://schemas.openxmlformats.org/officeDocument/2006/relationships/hyperlink" Target="https://patadovietnam.edu.vn/tienganhgiaotiep_hn/" TargetMode="External"/><Relationship Id="rId112" Type="http://schemas.openxmlformats.org/officeDocument/2006/relationships/hyperlink" Target="https://patadovietnam.edu.vn/gtkorea_nhn/?utm_source=Facebook&amp;utm_medium=MES&amp;utm_term=NEW_Korea_1840_none_130523&amp;utm_content=saletructiep_Korea.GTkorea3.1840.giaotiep_PTATT_LD166&amp;utm_campaign=Korea.giaotiep.GTkorea3_16917_MES_NamNH_130523" TargetMode="External"/><Relationship Id="rId2036" Type="http://schemas.openxmlformats.org/officeDocument/2006/relationships/hyperlink" Target="https://patadovietnam.edu.vn/tienganhgiaotiep_hn/?utm_source=Facebook&amp;utm_medium=MES&amp;utm_term=NEW_Australia_1840_none_021024&amp;utm_content=saletructiep_Australia.M280.1840.giaotiep_PTATT_LD153&amp;utm_campaign=Australia.giaotiep.M280_16917_MES_NamNH_021024" TargetMode="External"/><Relationship Id="rId111" Type="http://schemas.openxmlformats.org/officeDocument/2006/relationships/hyperlink" Target="https://patadovietnam.edu.vn/gtkorea_nhn" TargetMode="External"/><Relationship Id="rId2037" Type="http://schemas.openxmlformats.org/officeDocument/2006/relationships/hyperlink" Target="https://patadovietnam.edu.vn/tienganhgiaotiep_hn/" TargetMode="External"/><Relationship Id="rId3304" Type="http://schemas.openxmlformats.org/officeDocument/2006/relationships/hyperlink" Target="https://patado.edu.vn/ptd_hongtt/" TargetMode="External"/><Relationship Id="rId3303" Type="http://schemas.openxmlformats.org/officeDocument/2006/relationships/hyperlink" Target="https://patado.edu.vn/ptd_hongtt/?utm_source=Facebook&amp;utm_medium=MES&amp;utm_term=NEW_ALL_1840_none_231026&amp;utm_content=saletructiep_ALL.M780.1840.giaotiep_PTATT_LD284&amp;utm_campaign=ALL.giaotiep.M780xM781_16917_MES_NamNH_231026" TargetMode="External"/><Relationship Id="rId3306" Type="http://schemas.openxmlformats.org/officeDocument/2006/relationships/hyperlink" Target="https://patado.edu.vn/nhn_jp0106" TargetMode="External"/><Relationship Id="rId3305" Type="http://schemas.openxmlformats.org/officeDocument/2006/relationships/hyperlink" Target="https://patado.edu.vn/ptd_hongtt/?utm_source=Facebook&amp;utm_medium=CVS&amp;utm_term=NEW_Europe_1840_none_231026&amp;utm_content=saletructiep_Europe.M780.1840.giaotiep_PTATT_LD284&amp;utm_campaign=Europe.giaotiep.M780xM781_16917_CVS_NamNH_231026" TargetMode="External"/><Relationship Id="rId3308" Type="http://schemas.openxmlformats.org/officeDocument/2006/relationships/drawing" Target="../drawings/drawing6.xml"/><Relationship Id="rId3307" Type="http://schemas.openxmlformats.org/officeDocument/2006/relationships/hyperlink" Target="https://patado.edu.vn/nhn_jp0106/?utm_source=Facebook&amp;utm_medium=CVS&amp;utm_term=NEW_Japan_1840_none_231026&amp;utm_content=saletructiep_Japan.M780.1840.giaotiep_PTATT_LD282&amp;utm_campaign=Japan.giaotiep.M780xM781_16917_CVS_NamNH_231026" TargetMode="External"/><Relationship Id="rId3300" Type="http://schemas.openxmlformats.org/officeDocument/2006/relationships/hyperlink" Target="https://patado.edu.vn/ptd_hongtt/" TargetMode="External"/><Relationship Id="rId3302" Type="http://schemas.openxmlformats.org/officeDocument/2006/relationships/hyperlink" Target="https://patado.edu.vn/ptd_hongtt/" TargetMode="External"/><Relationship Id="rId3301" Type="http://schemas.openxmlformats.org/officeDocument/2006/relationships/hyperlink" Target="https://patado.edu.vn/ptd_hongtt/?utm_source=Facebook&amp;utm_medium=MES&amp;utm_term=NEW_UnitedStates_1840_none_131026&amp;utm_content=saletructiep_UnitedStates.M779.1840.giaotiep_PTATT_LD284&amp;utm_campaign=UnitedStates.giaotiep.M779xM784_16917_MES_NamNH_131026" TargetMode="External"/><Relationship Id="rId2005" Type="http://schemas.openxmlformats.org/officeDocument/2006/relationships/hyperlink" Target="https://patadovietnam.edu.vn/gtjapan_nhn3" TargetMode="External"/><Relationship Id="rId2006" Type="http://schemas.openxmlformats.org/officeDocument/2006/relationships/hyperlink" Target="https://patadovietnam.edu.vn/gtjapan_nhn3/?utm_source=Facebook&amp;utm_medium=CVS&amp;utm_term=NEW_Japan_1840_none_250924&amp;utm_content=saletructiep_Japan.M264.1840.giaotiep_PTATT_LD164&amp;utm_campaign=Japan.giaotiep.M264_16917_CVS_NamNH_250924" TargetMode="External"/><Relationship Id="rId2007" Type="http://schemas.openxmlformats.org/officeDocument/2006/relationships/hyperlink" Target="https://patadovietnam.edu.vn/gtjapan_nhn3" TargetMode="External"/><Relationship Id="rId2008" Type="http://schemas.openxmlformats.org/officeDocument/2006/relationships/hyperlink" Target="https://patadovietnam.edu.vn/gtjapan_nhn3/?utm_source=Facebook&amp;utm_medium=CVS&amp;utm_term=NEW_Japan_1840_none_250924&amp;utm_content=saletructiep_Japan.M269.1840.giaotiep_PTATT_LD164&amp;utm_campaign=Japan.giaotiep.M269_16917_CVS_NamNH_250924" TargetMode="External"/><Relationship Id="rId2009" Type="http://schemas.openxmlformats.org/officeDocument/2006/relationships/hyperlink" Target="https://patadovietnam.edu.vn/gtjapan_nhn3" TargetMode="External"/><Relationship Id="rId2000" Type="http://schemas.openxmlformats.org/officeDocument/2006/relationships/hyperlink" Target="https://patadovietnam.edu.vn/tienganhgiaotiep_hn/?utm_source=Facebook&amp;utm_medium=MES&amp;utm_term=NEW_ALL_1840_none_210924&amp;utm_content=saletructiep_ALL.CTT1.1840.giaotiep_PTATT_LD153&amp;utm_campaign=ALL.giaotiep.CTT1_16917_MES_NamNH_210924" TargetMode="External"/><Relationship Id="rId2001" Type="http://schemas.openxmlformats.org/officeDocument/2006/relationships/hyperlink" Target="https://patadovietnam.edu.vn/tienganhgiaotiep_hn/" TargetMode="External"/><Relationship Id="rId2002" Type="http://schemas.openxmlformats.org/officeDocument/2006/relationships/hyperlink" Target="https://patadovietnam.edu.vn/tienganhgiaotiep_hn/?utm_source=Facebook&amp;utm_medium=MES&amp;utm_term=NEW_ALL_1840_none_210924&amp;utm_content=saletructiep_ALL.CTT2.1840.giaotiep_PTATT_LD153&amp;utm_campaign=ALL.giaotiep.CTT2_16917_MES_NamNH_210924" TargetMode="External"/><Relationship Id="rId2003" Type="http://schemas.openxmlformats.org/officeDocument/2006/relationships/hyperlink" Target="https://patadovietnam.edu.vn/tienganhgiaotiep_hn/" TargetMode="External"/><Relationship Id="rId2004" Type="http://schemas.openxmlformats.org/officeDocument/2006/relationships/hyperlink" Target="https://patadovietnam.edu.vn/tienganhgiaotiep_hn/?utm_source=Facebook&amp;utm_medium=MES&amp;utm_term=NEW_ALL_1840_none_210924&amp;utm_content=saletructiep_ALL.CTT3.1840.giaotiep_PTATT_LD153&amp;utm_campaign=ALL.giaotiep.CTT3_16917_MES_NamNH_210924" TargetMode="External"/><Relationship Id="rId2090" Type="http://schemas.openxmlformats.org/officeDocument/2006/relationships/hyperlink" Target="https://patadovietnam.edu.vn/tienganhgiaotiep_hn/?utm_source=Facebook&amp;utm_medium=CVS&amp;utm_term=NEW_Europe_1840_none_061124&amp;utm_content=saletructiep_Europe.M300.1840.giaotiep_PTATT_LD153&amp;utm_campaign=Europe.giaotiep.M300_16917_CVS_NamNH_061124" TargetMode="External"/><Relationship Id="rId2091" Type="http://schemas.openxmlformats.org/officeDocument/2006/relationships/hyperlink" Target="https://tinyurl.com/M300chauau" TargetMode="External"/><Relationship Id="rId2092" Type="http://schemas.openxmlformats.org/officeDocument/2006/relationships/hyperlink" Target="https://patadovietnam.edu.vn/tienganhgiaotiep_hn/" TargetMode="External"/><Relationship Id="rId2093" Type="http://schemas.openxmlformats.org/officeDocument/2006/relationships/hyperlink" Target="https://patadovietnam.edu.vn/tienganhgiaotiep_hn/?utm_source=Facebook&amp;utm_medium=MES&amp;utm_term=NEW_Australia_1840_none_061124&amp;utm_content=saletructiep_Australia.M300.1840.giaotiep_PTATT_LD153&amp;utm_campaign=Australia.giaotiep.M300_16917_MES_NamNH_061124" TargetMode="External"/><Relationship Id="rId2094" Type="http://schemas.openxmlformats.org/officeDocument/2006/relationships/hyperlink" Target="https://patadovietnam.edu.vn/gtusa1_nhn" TargetMode="External"/><Relationship Id="rId2095" Type="http://schemas.openxmlformats.org/officeDocument/2006/relationships/hyperlink" Target="https://patadovietnam.edu.vn/gtusa1_nhn/?utm_source=Facebook&amp;utm_medium=MES&amp;utm_term=NEW_UnitedStates_1840_none_061124&amp;utm_content=saletructiep_UnitedStates.M300.1840.giaotiep_PTATT_LD161&amp;utm_campaign=UnitedStates.giaotiep.M300_16917_MES_NamNH_061124" TargetMode="External"/><Relationship Id="rId2096" Type="http://schemas.openxmlformats.org/officeDocument/2006/relationships/hyperlink" Target="https://patadovietnam.edu.vn/tienganhgiaotiep_hn/" TargetMode="External"/><Relationship Id="rId2097" Type="http://schemas.openxmlformats.org/officeDocument/2006/relationships/hyperlink" Target="https://patadovietnam.edu.vn/tienganhgiaotiep_hn/?utm_source=Facebook&amp;utm_medium=MES&amp;utm_term=NEW_Taiwan_1840_none_061124&amp;utm_content=saletructiep_Taiwan.M300.1840.giaotiep_PTATT_LD153&amp;utm_campaign=Taiwan.giaotiep.M300_16917_MES_NamNH_061124" TargetMode="External"/><Relationship Id="rId2098" Type="http://schemas.openxmlformats.org/officeDocument/2006/relationships/hyperlink" Target="https://patadovietnam.edu.vn/gtusa1_nhn" TargetMode="External"/><Relationship Id="rId2099" Type="http://schemas.openxmlformats.org/officeDocument/2006/relationships/hyperlink" Target="https://patadovietnam.edu.vn/gtusa1_nhn/?utm_source=Facebook&amp;utm_medium=MES&amp;utm_term=NEW_UnitedStates_1840_none_061124&amp;utm_content=saletructiep_UnitedStates.M295.1840.giaotiep_PTATT_LD161&amp;utm_campaign=UnitedStates.giaotiep.M295_16917_MES_NamNH_061124" TargetMode="External"/><Relationship Id="rId2060" Type="http://schemas.openxmlformats.org/officeDocument/2006/relationships/hyperlink" Target="https://patadovietnam.edu.vn/gtusa1_nhn/?utm_source=Facebook&amp;utm_medium=MES&amp;utm_term=NEW_UnitedStates_1840_none_141024&amp;utm_content=saletructiep_UnitedStates.M284.1840.giaotiep_PTATT_LD161&amp;utm_campaign=UnitedStates.giaotiep.M284_16917_MES_NamNH_141024" TargetMode="External"/><Relationship Id="rId2061" Type="http://schemas.openxmlformats.org/officeDocument/2006/relationships/hyperlink" Target="https://patadovietnam.edu.vn/tienganhgiaotiep_hn/" TargetMode="External"/><Relationship Id="rId2062" Type="http://schemas.openxmlformats.org/officeDocument/2006/relationships/hyperlink" Target="https://patadovietnam.edu.vn/tienganhgiaotiep_hn/?utm_source=Facebook&amp;utm_medium=MES&amp;utm_term=NEW_ALL_1840_none_141024&amp;utm_content=saletructiep_ALL.M283.1840.giaotiep_PTATT_LD153&amp;utm_campaign=ALL.giaotiep.M283_16917_MES_NamNH_141024" TargetMode="External"/><Relationship Id="rId2063" Type="http://schemas.openxmlformats.org/officeDocument/2006/relationships/hyperlink" Target="https://patadovietnam.edu.vn/tienganhgiaotiep_hn/" TargetMode="External"/><Relationship Id="rId2064" Type="http://schemas.openxmlformats.org/officeDocument/2006/relationships/hyperlink" Target="https://patadovietnam.edu.vn/tienganhgiaotiep_hn/?utm_source=Facebook&amp;utm_medium=MES&amp;utm_term=NEW_ALL_1840_none_141024&amp;utm_content=saletructiep_ALL.M284.1840.giaotiep_PTATT_LD153&amp;utm_campaign=ALL.giaotiep.M284_16917_MES_NamNH_141024" TargetMode="External"/><Relationship Id="rId2065" Type="http://schemas.openxmlformats.org/officeDocument/2006/relationships/hyperlink" Target="https://patadovietnam.edu.vn/tienganhgiaotiep_hn/" TargetMode="External"/><Relationship Id="rId2066" Type="http://schemas.openxmlformats.org/officeDocument/2006/relationships/hyperlink" Target="https://patadovietnam.edu.vn/tienganhgiaotiep_hn/?utm_source=Facebook&amp;utm_medium=CVS&amp;utm_term=NEW_ALL_1840_none_141024&amp;utm_content=saletructiep_ALL.M285.1840.giaotiep_PTATT_LD153&amp;utm_campaign=ALL.giaotiep.M285_16917_CVS_NamNH_141024" TargetMode="External"/><Relationship Id="rId2067" Type="http://schemas.openxmlformats.org/officeDocument/2006/relationships/hyperlink" Target="https://patadovietnam.edu.vn/gtjapan_nhn3" TargetMode="External"/><Relationship Id="rId2068" Type="http://schemas.openxmlformats.org/officeDocument/2006/relationships/hyperlink" Target="https://patadovietnam.edu.vn/gtjapan_nhn3/?utm_source=Facebook&amp;utm_medium=CVS&amp;utm_term=NEW_Japan_1840_none_181024&amp;utm_content=saletructiep_Japan.M289.1840.giaotiep_PTATT_LD164&amp;utm_campaign=Japan.giaotiep.M289_16917_CVS_NamNH_181024" TargetMode="External"/><Relationship Id="rId2069" Type="http://schemas.openxmlformats.org/officeDocument/2006/relationships/hyperlink" Target="https://duhocpatado.edu.vn/tienganhgiaotiep_hn/" TargetMode="External"/><Relationship Id="rId2050" Type="http://schemas.openxmlformats.org/officeDocument/2006/relationships/hyperlink" Target="https://patadovietnam.edu.vn/tienganhgiaotiep_hn/?utm_source=Facebook&amp;utm_medium=CVS&amp;utm_term=NEW_Europe_1840_none_141024&amp;utm_content=saletructiep_Europe.M285.1840.giaotiep_PTATT_LD153&amp;utm_campaign=Europe.giaotiep.M285_16917_CVS_NamNH_141024" TargetMode="External"/><Relationship Id="rId2051" Type="http://schemas.openxmlformats.org/officeDocument/2006/relationships/hyperlink" Target="https://patadovietnam.edu.vn/gtjapan_nhn3" TargetMode="External"/><Relationship Id="rId2052" Type="http://schemas.openxmlformats.org/officeDocument/2006/relationships/hyperlink" Target="https://patadovietnam.edu.vn/gtjapan_nhn3/?utm_source=Facebook&amp;utm_medium=CVS&amp;utm_term=NEW_Japan_1840_none_141024&amp;utm_content=saletructiep_Japan.M285.1840.giaotiep_PTATT_LD164&amp;utm_campaign=Japan.giaotiep.M285_16917_CVS_NamNH_141024" TargetMode="External"/><Relationship Id="rId2053" Type="http://schemas.openxmlformats.org/officeDocument/2006/relationships/hyperlink" Target="https://patadovietnam.edu.vn/gtusa1_nhn" TargetMode="External"/><Relationship Id="rId2054" Type="http://schemas.openxmlformats.org/officeDocument/2006/relationships/hyperlink" Target="https://patadovietnam.edu.vn/gtusa1_nhn/?utm_source=Facebook&amp;utm_medium=MES&amp;utm_term=NEW_UnitedStates_1840_none_141024&amp;utm_content=saletructiep_UnitedStates.M285.1840.giaotiep_PTATT_LD161&amp;utm_campaign=UnitedStates.giaotiep.M285_16917_MES_NamNH_141024" TargetMode="External"/><Relationship Id="rId2055" Type="http://schemas.openxmlformats.org/officeDocument/2006/relationships/hyperlink" Target="https://patadovietnam.edu.vn/tienganhgiaotiep_hn/" TargetMode="External"/><Relationship Id="rId2056" Type="http://schemas.openxmlformats.org/officeDocument/2006/relationships/hyperlink" Target="https://patadovietnam.edu.vn/tienganhgiaotiep_hn/?utm_source=Facebook&amp;utm_medium=CVS&amp;utm_term=NEW_Europe_1840_none_141024&amp;utm_content=saletructiep_Europe.M284.1840.giaotiep_PTATT_LD153&amp;utm_campaign=Europe.giaotiep.M284_16917_CVS_NamNH_141024" TargetMode="External"/><Relationship Id="rId2057" Type="http://schemas.openxmlformats.org/officeDocument/2006/relationships/hyperlink" Target="https://patadovietnam.edu.vn/gtjapan_nhn3" TargetMode="External"/><Relationship Id="rId2058" Type="http://schemas.openxmlformats.org/officeDocument/2006/relationships/hyperlink" Target="https://patadovietnam.edu.vn/gtjapan_nhn3/?utm_source=Facebook&amp;utm_medium=CVS&amp;utm_term=NEW_Japan_1840_none_141024&amp;utm_content=saletructiep_Japan.M284.1840.giaotiep_PTATT_LD164&amp;utm_campaign=Japan.giaotiep.M284_16917_CVS_NamNH_141024" TargetMode="External"/><Relationship Id="rId2059" Type="http://schemas.openxmlformats.org/officeDocument/2006/relationships/hyperlink" Target="https://patadovietnam.edu.vn/gtusa1_nhn" TargetMode="External"/><Relationship Id="rId2080" Type="http://schemas.openxmlformats.org/officeDocument/2006/relationships/hyperlink" Target="https://duhocpatado.edu.vn/tienganhgiaotiep_hn/?utm_source=Facebook&amp;utm_medium=CVS&amp;utm_term=NEW_Japan_1840_none_041124&amp;utm_content=saletructiep_Japan.M289.1840.giaotiep_PTATT_LD236&amp;utm_campaign=Japan.giaotiep.M295_16917_CVS_NamNH_041124" TargetMode="External"/><Relationship Id="rId2081" Type="http://schemas.openxmlformats.org/officeDocument/2006/relationships/hyperlink" Target="https://duhocpatado.edu.vn/gtjapan_nhn3/" TargetMode="External"/><Relationship Id="rId2082" Type="http://schemas.openxmlformats.org/officeDocument/2006/relationships/hyperlink" Target="https://duhocpatado.edu.vn/gtjapan_nhn3/?utm_source=Facebook&amp;utm_medium=CVS&amp;utm_term=NEW_Japan_1840_none_041124&amp;utm_content=saletructiep_Japan.M289.1840.giaotiep_PTATT_LD234&amp;utm_campaign=Japan.giaotiep.M296_16917_CVS_NamNH_041124" TargetMode="External"/><Relationship Id="rId2083" Type="http://schemas.openxmlformats.org/officeDocument/2006/relationships/hyperlink" Target="https://duhocpatado.edu.vn/gtjapan_nhn3/" TargetMode="External"/><Relationship Id="rId2084" Type="http://schemas.openxmlformats.org/officeDocument/2006/relationships/hyperlink" Target="https://duhocpatado.edu.vn/gtjapan_nhn3/?utm_source=Facebook&amp;utm_medium=CVS&amp;utm_term=NEW_Japan_1840_none_041124&amp;utm_content=saletructiep_Japan.M289.1840.giaotiep_PTATT_LD234&amp;utm_campaign=Japan.giaotiep.M297_16917_CVS_NamNH_041124" TargetMode="External"/><Relationship Id="rId2085" Type="http://schemas.openxmlformats.org/officeDocument/2006/relationships/hyperlink" Target="https://duhocpatado.edu.vn/gtjapan_nhn3/" TargetMode="External"/><Relationship Id="rId2086" Type="http://schemas.openxmlformats.org/officeDocument/2006/relationships/hyperlink" Target="https://duhocpatado.edu.vn/gtjapan_nhn3/?utm_source=Facebook&amp;utm_medium=CVS&amp;utm_term=NEW_Japan_1840_none_041124&amp;utm_content=saletructiep_Japan.M289.1840.giaotiep_PTATT_LD234&amp;utm_campaign=Japan.giaotiep.M298_16917_CVS_NamNH_041124" TargetMode="External"/><Relationship Id="rId2087" Type="http://schemas.openxmlformats.org/officeDocument/2006/relationships/hyperlink" Target="https://patadovietnam.edu.vn/gtjapan_nhn3" TargetMode="External"/><Relationship Id="rId2088" Type="http://schemas.openxmlformats.org/officeDocument/2006/relationships/hyperlink" Target="https://patadovietnam.edu.vn/gtjapan_nhn3/?utm_source=Facebook&amp;utm_medium=CVS&amp;utm_term=NEW_Japan_1840_none_061124&amp;utm_content=saletructiep_Japan.M300.1840.giaotiep_PTATT_LD164&amp;utm_campaign=Japan.giaotiep.M300_16917_CVS_NamNH_061124" TargetMode="External"/><Relationship Id="rId2089" Type="http://schemas.openxmlformats.org/officeDocument/2006/relationships/hyperlink" Target="https://patadovietnam.edu.vn/tienganhgiaotiep_hn/" TargetMode="External"/><Relationship Id="rId2070" Type="http://schemas.openxmlformats.org/officeDocument/2006/relationships/hyperlink" Target="https://duhocpatado.edu.vn/tienganhgiaotiep_hn/?utm_source=Facebook&amp;utm_medium=CVS&amp;utm_term=NEW_Japan_1840_none_041124&amp;utm_content=saletructiep_Japan.M289.1840.giaotiep_PTATT_LD236&amp;utm_campaign=Japan.giaotiep.M290_16917_CVS_NamNH_041124" TargetMode="External"/><Relationship Id="rId2071" Type="http://schemas.openxmlformats.org/officeDocument/2006/relationships/hyperlink" Target="https://duhocpatado.edu.vn/tienganhgiaotiep_hn/" TargetMode="External"/><Relationship Id="rId2072" Type="http://schemas.openxmlformats.org/officeDocument/2006/relationships/hyperlink" Target="https://duhocpatado.edu.vn/tienganhgiaotiep_hn/?utm_source=Facebook&amp;utm_medium=CVS&amp;utm_term=NEW_Japan_1840_none_041124&amp;utm_content=saletructiep_Japan.M289.1840.giaotiep_PTATT_LD236&amp;utm_campaign=Japan.giaotiep.M291_16917_CVS_NamNH_041124" TargetMode="External"/><Relationship Id="rId2073" Type="http://schemas.openxmlformats.org/officeDocument/2006/relationships/hyperlink" Target="https://duhocpatado.edu.vn/tienganhgiaotiep_hn/" TargetMode="External"/><Relationship Id="rId2074" Type="http://schemas.openxmlformats.org/officeDocument/2006/relationships/hyperlink" Target="https://duhocpatado.edu.vn/tienganhgiaotiep_hn/?utm_source=Facebook&amp;utm_medium=CVS&amp;utm_term=NEW_Japan_1840_none_041124&amp;utm_content=saletructiep_Japan.M289.1840.giaotiep_PTATT_LD236&amp;utm_campaign=Japan.giaotiep.M292_16917_CVS_NamNH_041124" TargetMode="External"/><Relationship Id="rId2075" Type="http://schemas.openxmlformats.org/officeDocument/2006/relationships/hyperlink" Target="https://duhocpatado.edu.vn/tienganhgiaotiep_hn/" TargetMode="External"/><Relationship Id="rId2076" Type="http://schemas.openxmlformats.org/officeDocument/2006/relationships/hyperlink" Target="https://duhocpatado.edu.vn/tienganhgiaotiep_hn/?utm_source=Facebook&amp;utm_medium=CVS&amp;utm_term=NEW_Japan_1840_none_041124&amp;utm_content=saletructiep_Japan.M289.1840.giaotiep_PTATT_LD236&amp;utm_campaign=Japan.giaotiep.M293_16917_CVS_NamNH_041124" TargetMode="External"/><Relationship Id="rId2077" Type="http://schemas.openxmlformats.org/officeDocument/2006/relationships/hyperlink" Target="https://duhocpatado.edu.vn/tienganhgiaotiep_hn/" TargetMode="External"/><Relationship Id="rId2078" Type="http://schemas.openxmlformats.org/officeDocument/2006/relationships/hyperlink" Target="https://duhocpatado.edu.vn/tienganhgiaotiep_hn/?utm_source=Facebook&amp;utm_medium=CVS&amp;utm_term=NEW_Japan_1840_none_041124&amp;utm_content=saletructiep_Japan.M289.1840.giaotiep_PTATT_LD236&amp;utm_campaign=Japan.giaotiep.M294_16917_CVS_NamNH_041124" TargetMode="External"/><Relationship Id="rId2079" Type="http://schemas.openxmlformats.org/officeDocument/2006/relationships/hyperlink" Target="https://duhocpatado.edu.vn/tienganhgiaotiep_hn/" TargetMode="External"/><Relationship Id="rId2940" Type="http://schemas.openxmlformats.org/officeDocument/2006/relationships/hyperlink" Target="https://patadovietnam.edu.vn/tienganhgiaotiep_hn/" TargetMode="External"/><Relationship Id="rId1610" Type="http://schemas.openxmlformats.org/officeDocument/2006/relationships/hyperlink" Target="https://s.net.vn/AS13-japan" TargetMode="External"/><Relationship Id="rId2941" Type="http://schemas.openxmlformats.org/officeDocument/2006/relationships/hyperlink" Target="https://patadovietnam.edu.vn/tienganhgiaotiep_hn/?utm_source=Facebook&amp;utm_medium=CVS&amp;utm_term=NEW_Europe_1840_none_010426&amp;utm_content=saletructiep_Europe.M644.1840.giaotiep_PTATT_LD153&amp;utm_campaign=Europe.giaotiep.M644xM645_16917_CVS_NamNH_010426" TargetMode="External"/><Relationship Id="rId1611" Type="http://schemas.openxmlformats.org/officeDocument/2006/relationships/hyperlink" Target="https://patadovietnam.edu.vn/gtjapan_nhn3" TargetMode="External"/><Relationship Id="rId2942" Type="http://schemas.openxmlformats.org/officeDocument/2006/relationships/hyperlink" Target="https://tinyurl.com/M644xM645EUC" TargetMode="External"/><Relationship Id="rId1612" Type="http://schemas.openxmlformats.org/officeDocument/2006/relationships/hyperlink" Target="https://patadovietnam.edu.vn/gtjapan_nhn3/?utm_source=Facebook&amp;utm_medium=CVS&amp;utm_term=NEW_Japan_1840_none_010624&amp;utm_content=saletructiep_Japan.anhsale10.1840.giaotiep_PTATT_LD164&amp;utm_campaign=Japan.giaotiep.anhsale10_16917_CVS_NamNH_010624" TargetMode="External"/><Relationship Id="rId2943" Type="http://schemas.openxmlformats.org/officeDocument/2006/relationships/hyperlink" Target="https://patadovietnam.edu.vn/gtjapan_nhn3" TargetMode="External"/><Relationship Id="rId1613" Type="http://schemas.openxmlformats.org/officeDocument/2006/relationships/hyperlink" Target="https://s.net.vn/AS10-japan" TargetMode="External"/><Relationship Id="rId2944" Type="http://schemas.openxmlformats.org/officeDocument/2006/relationships/hyperlink" Target="https://patadovietnam.edu.vn/gtjapan_nhn3/?utm_source=Facebook&amp;utm_medium=CVS&amp;utm_term=NEW_Japan_1840_none_060426&amp;utm_content=saletructiep_Japan.M644.1840.giaotiep_PTATT_LD164&amp;utm_campaign=Japan.giaotiep.M644xM645_16917_CVS_NamNH_060426" TargetMode="External"/><Relationship Id="rId1614" Type="http://schemas.openxmlformats.org/officeDocument/2006/relationships/hyperlink" Target="https://patadovietnam.edu.vn/tienganhgiaotiep_hn/" TargetMode="External"/><Relationship Id="rId2945" Type="http://schemas.openxmlformats.org/officeDocument/2006/relationships/hyperlink" Target="https://tinyurl.com/M644xM645JPC" TargetMode="External"/><Relationship Id="rId1615" Type="http://schemas.openxmlformats.org/officeDocument/2006/relationships/hyperlink" Target="https://patadovietnam.edu.vn/tienganhgiaotiep_hn/?utm_source=Facebook&amp;utm_medium=CVS&amp;utm_term=NEW_Europe_1840_none_010624&amp;utm_content=saletructiep_Europe.M241.1840.giaotiep_PTATT_LD153&amp;utm_campaign=Europe.giaotiep.M241_16917_CVS_NamNH_010624" TargetMode="External"/><Relationship Id="rId2946" Type="http://schemas.openxmlformats.org/officeDocument/2006/relationships/hyperlink" Target="https://patadovietnam.edu.vn/tienganhgiaotiep_hn/" TargetMode="External"/><Relationship Id="rId1616" Type="http://schemas.openxmlformats.org/officeDocument/2006/relationships/hyperlink" Target="https://s.net.vn/M241-europe" TargetMode="External"/><Relationship Id="rId2947" Type="http://schemas.openxmlformats.org/officeDocument/2006/relationships/hyperlink" Target="https://patadovietnam.edu.vn/tienganhgiaotiep_hn/?utm_source=Facebook&amp;utm_medium=MES&amp;utm_term=NEW_ALL_1840_none_060426&amp;utm_content=saletructiep_ALL.M644.1840.giaotiep_PTATT_LD153&amp;utm_campaign=ALL.giaotiep.M644xM645_16917_MES_NamNH_060426" TargetMode="External"/><Relationship Id="rId907" Type="http://schemas.openxmlformats.org/officeDocument/2006/relationships/hyperlink" Target="https://patadovietnam.edu.vn/gtusa1_nhn/?utm_source=Facebook&amp;utm_medium=MES&amp;utm_term=NEW_UnitedStates_1840_none_010124&amp;utm_content=saletructiep_UnitedStates.HT80H.1840.giaotiep_PTATT_LD161&amp;utm_campaign=UnitedStates.giaotiep.HT80H_16917_MES_NamNH_010124" TargetMode="External"/><Relationship Id="rId1617" Type="http://schemas.openxmlformats.org/officeDocument/2006/relationships/hyperlink" Target="https://patadovietnam.edu.vn/tienganhgiaotiep_hn/" TargetMode="External"/><Relationship Id="rId2948" Type="http://schemas.openxmlformats.org/officeDocument/2006/relationships/hyperlink" Target="https://tinyurl.com/M644xM645ALLM" TargetMode="External"/><Relationship Id="rId906" Type="http://schemas.openxmlformats.org/officeDocument/2006/relationships/hyperlink" Target="https://patadovietnam.edu.vn/gtusa1_nhn" TargetMode="External"/><Relationship Id="rId1618" Type="http://schemas.openxmlformats.org/officeDocument/2006/relationships/hyperlink" Target="https://patadovietnam.edu.vn/tienganhgiaotiep_hn/?utm_source=Facebook&amp;utm_medium=CVS&amp;utm_term=NEW_Europe_1840_none_010624&amp;utm_content=saletructiep_Europe.M220.1840.giaotiep_PTATT_LD153&amp;utm_campaign=Europe.giaotiep.M220_16917_CVS_NamNH_010624" TargetMode="External"/><Relationship Id="rId2949" Type="http://schemas.openxmlformats.org/officeDocument/2006/relationships/hyperlink" Target="https://patadovietnam.edu.vn/tienganhgiaotiep_hn/" TargetMode="External"/><Relationship Id="rId905" Type="http://schemas.openxmlformats.org/officeDocument/2006/relationships/hyperlink" Target="http://ldp.ink/LMT_europe" TargetMode="External"/><Relationship Id="rId1619" Type="http://schemas.openxmlformats.org/officeDocument/2006/relationships/hyperlink" Target="https://s.net.vn/M220-europe" TargetMode="External"/><Relationship Id="rId904" Type="http://schemas.openxmlformats.org/officeDocument/2006/relationships/hyperlink" Target="https://patadovietnam.edu.vn/khoagiaotiep_all/?utm_source=Facebook&amp;utm_medium=CVS&amp;utm_term=NEW_Europe_1840_none_231223&amp;utm_content=saletructiep_Europe.M103C84.1840.giaotiep_PTATTTD_LD212&amp;utm_campaign=Europe.giaotiep.M103C88_16917_CVS_NamNH_231223" TargetMode="External"/><Relationship Id="rId909" Type="http://schemas.openxmlformats.org/officeDocument/2006/relationships/hyperlink" Target="https://patadovietnam.edu.vn/tienganhgiaotiep_hn/" TargetMode="External"/><Relationship Id="rId908" Type="http://schemas.openxmlformats.org/officeDocument/2006/relationships/hyperlink" Target="http://ldp.ink/HT80H_hoaky" TargetMode="External"/><Relationship Id="rId903" Type="http://schemas.openxmlformats.org/officeDocument/2006/relationships/hyperlink" Target="https://patadovietnam.edu.vn/khoagiaotiep_all/" TargetMode="External"/><Relationship Id="rId902" Type="http://schemas.openxmlformats.org/officeDocument/2006/relationships/hyperlink" Target="http://ldp.ink/LMT_philippines" TargetMode="External"/><Relationship Id="rId901" Type="http://schemas.openxmlformats.org/officeDocument/2006/relationships/hyperlink" Target="https://patadovietnam.edu.vn/khoagiaotiep_all/?utm_source=Facebook&amp;utm_medium=MES&amp;utm_term=NEW_Philippines_1840_none_231223&amp;utm_content=saletructiep_Philippines.M103C84.1840.giaotiep_PTATT_LD212&amp;utm_campaign=Philippines.giaotiep.M103C87_95360_MES_NamNH_231223" TargetMode="External"/><Relationship Id="rId900" Type="http://schemas.openxmlformats.org/officeDocument/2006/relationships/hyperlink" Target="https://patadovietnam.edu.vn/khoagiaotiep_all/" TargetMode="External"/><Relationship Id="rId2930" Type="http://schemas.openxmlformats.org/officeDocument/2006/relationships/hyperlink" Target="https://tinyurl.com/M646xM647ALLM" TargetMode="External"/><Relationship Id="rId1600" Type="http://schemas.openxmlformats.org/officeDocument/2006/relationships/hyperlink" Target="https://patadovietnam.edu.vn/gtjapan_nhn3/?utm_source=Facebook&amp;utm_medium=CVS&amp;utm_term=NEW_Japan_1840_none_010624&amp;utm_content=saletructiep_Japan.M241.1840.giaotiep_PTATT_LD164&amp;utm_campaign=Japan.giaotiep.M241_16917_CVS_NamNH_010624" TargetMode="External"/><Relationship Id="rId2931" Type="http://schemas.openxmlformats.org/officeDocument/2006/relationships/hyperlink" Target="https://patadovietnam.edu.vn/tienganhgiaotiep_hn/" TargetMode="External"/><Relationship Id="rId1601" Type="http://schemas.openxmlformats.org/officeDocument/2006/relationships/hyperlink" Target="https://s.net.vn/M241-japan" TargetMode="External"/><Relationship Id="rId2932" Type="http://schemas.openxmlformats.org/officeDocument/2006/relationships/hyperlink" Target="https://patadovietnam.edu.vn/tienganhgiaotiep_hn/?utm_source=Facebook&amp;utm_medium=CVS&amp;utm_term=NEW_Europe_1840_none_010426&amp;utm_content=saletructiep_Europe.M635.1840.giaotiep_PTATT_LD153&amp;utm_campaign=Europe.giaotiep.M635xM643_16917_CVS_NamNH_010426" TargetMode="External"/><Relationship Id="rId1602" Type="http://schemas.openxmlformats.org/officeDocument/2006/relationships/hyperlink" Target="https://patadovietnam.edu.vn/gtjapan_nhn3" TargetMode="External"/><Relationship Id="rId2933" Type="http://schemas.openxmlformats.org/officeDocument/2006/relationships/hyperlink" Target="https://tinyurl.com/M635xM643EUC" TargetMode="External"/><Relationship Id="rId1603" Type="http://schemas.openxmlformats.org/officeDocument/2006/relationships/hyperlink" Target="https://patadovietnam.edu.vn/gtjapan_nhn3/?utm_source=Facebook&amp;utm_medium=CVS&amp;utm_term=NEW_Japan_1840_none_010624&amp;utm_content=saletructiep_Japan.M220.1840.giaotiep_PTATT_LD164&amp;utm_campaign=Japan.giaotiep.M220_16917_CVS_NamNH_010624" TargetMode="External"/><Relationship Id="rId2934" Type="http://schemas.openxmlformats.org/officeDocument/2006/relationships/hyperlink" Target="https://patadovietnam.edu.vn/gtjapan_nhn3" TargetMode="External"/><Relationship Id="rId1604" Type="http://schemas.openxmlformats.org/officeDocument/2006/relationships/hyperlink" Target="https://s.net.vn/M220-japan" TargetMode="External"/><Relationship Id="rId2935" Type="http://schemas.openxmlformats.org/officeDocument/2006/relationships/hyperlink" Target="https://patadovietnam.edu.vn/gtjapan_nhn3/?utm_source=Facebook&amp;utm_medium=CVS&amp;utm_term=NEW_Japan_1840_none_010426&amp;utm_content=saletructiep_Japan.M635.1840.giaotiep_PTATT_LD164&amp;utm_campaign=Japan.giaotiep.M635xM643_16917_CVS_NamNH_010426" TargetMode="External"/><Relationship Id="rId1605" Type="http://schemas.openxmlformats.org/officeDocument/2006/relationships/hyperlink" Target="https://patadovietnam.edu.vn/gtjapan_nhn3" TargetMode="External"/><Relationship Id="rId2936" Type="http://schemas.openxmlformats.org/officeDocument/2006/relationships/hyperlink" Target="https://tinyurl.com/M635xM643JPC" TargetMode="External"/><Relationship Id="rId1606" Type="http://schemas.openxmlformats.org/officeDocument/2006/relationships/hyperlink" Target="https://patadovietnam.edu.vn/gtjapan_nhn3/?utm_source=Facebook&amp;utm_medium=CVS&amp;utm_term=NEW_Japan_1840_none_010624&amp;utm_content=saletructiep_Japan.M239.1840.giaotiep_PTATT_LD164&amp;utm_campaign=Japan.giaotiep.M239_16917_CVS_NamNH_010624" TargetMode="External"/><Relationship Id="rId2937" Type="http://schemas.openxmlformats.org/officeDocument/2006/relationships/hyperlink" Target="https://patadovietnam.edu.vn/tienganhgiaotiep_hn/" TargetMode="External"/><Relationship Id="rId1607" Type="http://schemas.openxmlformats.org/officeDocument/2006/relationships/hyperlink" Target="https://s.net.vn/M239-japan" TargetMode="External"/><Relationship Id="rId2938" Type="http://schemas.openxmlformats.org/officeDocument/2006/relationships/hyperlink" Target="https://patadovietnam.edu.vn/tienganhgiaotiep_hn/?utm_source=Facebook&amp;utm_medium=MES&amp;utm_term=NEW_ALL_1840_none_010426&amp;utm_content=saletructiep_ALL.M635.1840.giaotiep_PTATT_LD153&amp;utm_campaign=ALL.giaotiep.M635xM643_16917_MES_NamNH_010426" TargetMode="External"/><Relationship Id="rId1608" Type="http://schemas.openxmlformats.org/officeDocument/2006/relationships/hyperlink" Target="https://patadovietnam.edu.vn/gtjapan_nhn3" TargetMode="External"/><Relationship Id="rId2939" Type="http://schemas.openxmlformats.org/officeDocument/2006/relationships/hyperlink" Target="https://tinyurl.com/M635xM643ALLM" TargetMode="External"/><Relationship Id="rId1609" Type="http://schemas.openxmlformats.org/officeDocument/2006/relationships/hyperlink" Target="https://patadovietnam.edu.vn/gtjapan_nhn3/?utm_source=Facebook&amp;utm_medium=CVS&amp;utm_term=NEW_Japan_1840_none_010624&amp;utm_content=saletructiep_Japan.anhsale13.1840.giaotiep_PTATT_LD164&amp;utm_campaign=Japan.giaotiep.anhsale13_16917_CVS_NamNH_010624" TargetMode="External"/><Relationship Id="rId1631" Type="http://schemas.openxmlformats.org/officeDocument/2006/relationships/hyperlink" Target="https://s.net.vn/ndl-europe" TargetMode="External"/><Relationship Id="rId2962" Type="http://schemas.openxmlformats.org/officeDocument/2006/relationships/hyperlink" Target="https://patado.edu.vn/gtjapan_nhn3/?utm_source=Facebook&amp;utm_medium=CVS&amp;utm_term=NEW_Japan_1840_none_090426&amp;utm_content=saletructiep_Japan.M644.1840.giaotiep_PTATT_LD265&amp;utm_campaign=Japan.giaotiep.M644xM645_16917_CVS_NamNH_090426" TargetMode="External"/><Relationship Id="rId1632" Type="http://schemas.openxmlformats.org/officeDocument/2006/relationships/hyperlink" Target="https://patadovietnam.edu.vn/tienganhgiaotiep_hn/" TargetMode="External"/><Relationship Id="rId2963" Type="http://schemas.openxmlformats.org/officeDocument/2006/relationships/hyperlink" Target="https://tinyurl.com/M644JPC" TargetMode="External"/><Relationship Id="rId1633" Type="http://schemas.openxmlformats.org/officeDocument/2006/relationships/hyperlink" Target="https://patadovietnam.edu.vn/tienganhgiaotiep_hn/?utm_source=Facebook&amp;utm_medium=CVS&amp;utm_term=NEW_Europe_1840_none_010624&amp;utm_content=saletructiep_Europe.akg.1840.giaotiep_PTATT_LD153&amp;utm_campaign=Europe.giaotiep.akg_16917_CVS_NamNH_010624" TargetMode="External"/><Relationship Id="rId2964" Type="http://schemas.openxmlformats.org/officeDocument/2006/relationships/hyperlink" Target="https://patado.edu.vn/gtjapan_nhn3/" TargetMode="External"/><Relationship Id="rId1634" Type="http://schemas.openxmlformats.org/officeDocument/2006/relationships/hyperlink" Target="https://s.net.vn/akg-europe" TargetMode="External"/><Relationship Id="rId2965" Type="http://schemas.openxmlformats.org/officeDocument/2006/relationships/hyperlink" Target="https://patado.edu.vn/gtjapan_nhn3/?utm_source=Facebook&amp;utm_medium=CVS&amp;utm_term=NEW_Japan_1840_none_090426&amp;utm_content=saletructiep_Japan.M635.1840.giaotiep_PTATT_LD265&amp;utm_campaign=Japan.giaotiep.M635xM643_16917_CVS_NamNH_090426" TargetMode="External"/><Relationship Id="rId1635" Type="http://schemas.openxmlformats.org/officeDocument/2006/relationships/hyperlink" Target="https://patadovietnam.edu.vn/gtusa1_nhn" TargetMode="External"/><Relationship Id="rId2966" Type="http://schemas.openxmlformats.org/officeDocument/2006/relationships/hyperlink" Target="https://tinyurl.com/M635JPC" TargetMode="External"/><Relationship Id="rId1636" Type="http://schemas.openxmlformats.org/officeDocument/2006/relationships/hyperlink" Target="https://patadovietnam.edu.vn/gtusa1_nhn/?utm_source=Facebook&amp;utm_medium=MES&amp;utm_term=NEW_UnitedStates_1840_none_010624&amp;utm_content=saletructiep_UnitedStates.ndl.1840.giaotiep_PTATT_LD161&amp;utm_campaign=UnitedStates.giaotiep.ndl_16917_MES_NamNH_010624" TargetMode="External"/><Relationship Id="rId2967" Type="http://schemas.openxmlformats.org/officeDocument/2006/relationships/hyperlink" Target="https://patado.edu.vn/tienganhgiaotiep1_hn/" TargetMode="External"/><Relationship Id="rId1637" Type="http://schemas.openxmlformats.org/officeDocument/2006/relationships/hyperlink" Target="https://s.net.vn/ndl-usa" TargetMode="External"/><Relationship Id="rId2968" Type="http://schemas.openxmlformats.org/officeDocument/2006/relationships/hyperlink" Target="https://patado.edu.vn/tienganhgiaotiep1_hn/?utm_source=Facebook&amp;utm_medium=CVS&amp;utm_term=NEW_Europe_1840_none_090426&amp;utm_content=saletructiep_Europe.M646.1840.giaotiep_PTATT_LD267&amp;utm_campaign=Europe.giaotiep.M646xM647_16917_CVS_NamNH_090426" TargetMode="External"/><Relationship Id="rId1638" Type="http://schemas.openxmlformats.org/officeDocument/2006/relationships/hyperlink" Target="https://patadovietnam.edu.vn/gtusa1_nhn" TargetMode="External"/><Relationship Id="rId2969" Type="http://schemas.openxmlformats.org/officeDocument/2006/relationships/hyperlink" Target="https://tinyurl.com/M646EUC" TargetMode="External"/><Relationship Id="rId929" Type="http://schemas.openxmlformats.org/officeDocument/2006/relationships/hyperlink" Target="http://ldp.ink/ndlchn_philippines" TargetMode="External"/><Relationship Id="rId1639" Type="http://schemas.openxmlformats.org/officeDocument/2006/relationships/hyperlink" Target="https://patadovietnam.edu.vn/gtusa1_nhn/?utm_source=Facebook&amp;utm_medium=MES&amp;utm_term=NEW_UnitedStates_1840_none_010624&amp;utm_content=saletructiep_UnitedStates.akg.1840.giaotiep_PTATT_LD161&amp;utm_campaign=UnitedStates.giaotiep.akg_16917_MES_NamNH_010624" TargetMode="External"/><Relationship Id="rId928" Type="http://schemas.openxmlformats.org/officeDocument/2006/relationships/hyperlink" Target="https://patadovietnam.edu.vn/tienganhgiaotiep_hn/?utm_source=Facebook&amp;utm_medium=MES&amp;utm_term=NEW_Philippines_1840_none_020124&amp;utm_content=saletructiep_Philippines.ndlchn.1840.giaotiep_PTATT_LD153&amp;utm_campaign=Philippines.giaotiep.ndlchn_95360_MES_NamNH_020124" TargetMode="External"/><Relationship Id="rId927" Type="http://schemas.openxmlformats.org/officeDocument/2006/relationships/hyperlink" Target="https://patadovietnam.edu.vn/tienganhgiaotiep_hn/" TargetMode="External"/><Relationship Id="rId926" Type="http://schemas.openxmlformats.org/officeDocument/2006/relationships/hyperlink" Target="http://ldp.ink/ndlchn_taiwan" TargetMode="External"/><Relationship Id="rId921" Type="http://schemas.openxmlformats.org/officeDocument/2006/relationships/hyperlink" Target="https://patadovietnam.edu.vn/gtusa1_nhn" TargetMode="External"/><Relationship Id="rId920" Type="http://schemas.openxmlformats.org/officeDocument/2006/relationships/hyperlink" Target="http://ldp.ink/HT80H_japan" TargetMode="External"/><Relationship Id="rId925" Type="http://schemas.openxmlformats.org/officeDocument/2006/relationships/hyperlink" Target="https://patadovietnam.edu.vn/tienganhgiaotiep_hn/?utm_source=Facebook&amp;utm_medium=MES&amp;utm_term=NEW_Taiwan_1840_none_020124&amp;utm_content=saletructiep_Taiwan.ndlchn.1840.giaotiep_PTATT_LD153&amp;utm_campaign=Taiwan.giaotiep.ndlchn_95360_MES_NamNH_020124" TargetMode="External"/><Relationship Id="rId924" Type="http://schemas.openxmlformats.org/officeDocument/2006/relationships/hyperlink" Target="https://patadovietnam.edu.vn/tienganhgiaotiep_hn/" TargetMode="External"/><Relationship Id="rId923" Type="http://schemas.openxmlformats.org/officeDocument/2006/relationships/hyperlink" Target="http://ldp.ink/ndlchn_hoaky" TargetMode="External"/><Relationship Id="rId922" Type="http://schemas.openxmlformats.org/officeDocument/2006/relationships/hyperlink" Target="https://patadovietnam.edu.vn/gtusa1_nhn/?utm_source=Facebook&amp;utm_medium=MES&amp;utm_term=NEW_UnitedStates_1840_none_020124&amp;utm_content=saletructiep_UnitedStates.ndlchn.1840.giaotiep_PTATT_LD161&amp;utm_campaign=UnitedStates.giaotiep.ndlchn_16917_MES_NamNH_020124" TargetMode="External"/><Relationship Id="rId2960" Type="http://schemas.openxmlformats.org/officeDocument/2006/relationships/hyperlink" Target="https://tinyurl.com/M648xM651JPC" TargetMode="External"/><Relationship Id="rId1630" Type="http://schemas.openxmlformats.org/officeDocument/2006/relationships/hyperlink" Target="https://patadovietnam.edu.vn/tienganhgiaotiep_hn/?utm_source=Facebook&amp;utm_medium=CVS&amp;utm_term=NEW_Europe_1840_none_010624&amp;utm_content=saletructiep_Europe.ndl.1840.giaotiep_PTATT_LD153&amp;utm_campaign=Europe.giaotiep.ndl_16917_CVS_NamNH_010624" TargetMode="External"/><Relationship Id="rId2961" Type="http://schemas.openxmlformats.org/officeDocument/2006/relationships/hyperlink" Target="https://patado.edu.vn/gtjapan_nhn3/" TargetMode="External"/><Relationship Id="rId1620" Type="http://schemas.openxmlformats.org/officeDocument/2006/relationships/hyperlink" Target="https://patadovietnam.edu.vn/tienganhgiaotiep_hn/" TargetMode="External"/><Relationship Id="rId2951" Type="http://schemas.openxmlformats.org/officeDocument/2006/relationships/hyperlink" Target="https://tinyurl.com/M648xM650EUC" TargetMode="External"/><Relationship Id="rId1621" Type="http://schemas.openxmlformats.org/officeDocument/2006/relationships/hyperlink" Target="https://patadovietnam.edu.vn/tienganhgiaotiep_hn/?utm_source=Facebook&amp;utm_medium=CVS&amp;utm_term=NEW_Europe_1840_none_010624&amp;utm_content=saletructiep_Europe.M231.1840.giaotiep_PTATT_LD153&amp;utm_campaign=Europe.giaotiep.M231_16917_CVS_NamNH_010624" TargetMode="External"/><Relationship Id="rId2952" Type="http://schemas.openxmlformats.org/officeDocument/2006/relationships/hyperlink" Target="https://patadovietnam.edu.vn/tienganhgiaotiep_hn/" TargetMode="External"/><Relationship Id="rId1622" Type="http://schemas.openxmlformats.org/officeDocument/2006/relationships/hyperlink" Target="https://s.net.vn/M231-europe" TargetMode="External"/><Relationship Id="rId2953" Type="http://schemas.openxmlformats.org/officeDocument/2006/relationships/hyperlink" Target="https://patadovietnam.edu.vn/tienganhgiaotiep_hn/?utm_source=Facebook&amp;utm_medium=MES&amp;utm_term=NEW_ALL_1840_none_060426&amp;utm_content=saletructiep_ALL.M648.1840.giaotiep_PTATT_LD153&amp;utm_campaign=ALL.giaotiep.M648xM650_16917_MES_NamNH_060426" TargetMode="External"/><Relationship Id="rId1623" Type="http://schemas.openxmlformats.org/officeDocument/2006/relationships/hyperlink" Target="https://patadovietnam.edu.vn/tienganhgiaotiep_hn/" TargetMode="External"/><Relationship Id="rId2954" Type="http://schemas.openxmlformats.org/officeDocument/2006/relationships/hyperlink" Target="https://tinyurl.com/M648xM650ALLM" TargetMode="External"/><Relationship Id="rId1624" Type="http://schemas.openxmlformats.org/officeDocument/2006/relationships/hyperlink" Target="https://patadovietnam.edu.vn/tienganhgiaotiep_hn/?utm_source=Facebook&amp;utm_medium=CVS&amp;utm_term=NEW_Europe_1840_none_010624&amp;utm_content=saletructiep_Europe.HTKOC2.1840.giaotiep_PTATT_LD153&amp;utm_campaign=Europe.giaotiep.HTKOC2_16917_CVS_NamNH_010624" TargetMode="External"/><Relationship Id="rId2955" Type="http://schemas.openxmlformats.org/officeDocument/2006/relationships/hyperlink" Target="https://patadovietnam.edu.vn/gtusa1_nhn" TargetMode="External"/><Relationship Id="rId1625" Type="http://schemas.openxmlformats.org/officeDocument/2006/relationships/hyperlink" Target="https://s.net.vn/HTKOC2-europe" TargetMode="External"/><Relationship Id="rId2956" Type="http://schemas.openxmlformats.org/officeDocument/2006/relationships/hyperlink" Target="https://patadovietnam.edu.vn/gtusa1_nhn/?utm_source=Facebook&amp;utm_medium=MES&amp;utm_term=NEW_UnitedStates_2050_none_060426&amp;utm_content=saletructiep_UnitedStates.M648xM650.1840.giaotiep_PTATT_LD161&amp;utm_campaign=UnitedStates.giaotiep.M648xM650_16917_MES_NamNH_060426" TargetMode="External"/><Relationship Id="rId1626" Type="http://schemas.openxmlformats.org/officeDocument/2006/relationships/hyperlink" Target="https://patadovietnam.edu.vn/tienganhgiaotiep_hn/" TargetMode="External"/><Relationship Id="rId2957" Type="http://schemas.openxmlformats.org/officeDocument/2006/relationships/hyperlink" Target="https://tinyurl.com/M648xM650USM" TargetMode="External"/><Relationship Id="rId1627" Type="http://schemas.openxmlformats.org/officeDocument/2006/relationships/hyperlink" Target="https://patadovietnam.edu.vn/tienganhgiaotiep_hn/?utm_source=Facebook&amp;utm_medium=CVS&amp;utm_term=NEW_Europe_1840_none_010624&amp;utm_content=saletructiep_Europe.PTKOC.1840.giaotiep_PTATT_LD153&amp;utm_campaign=Europe.giaotiep.PTKOC_16917_CVS_NamNH_010624" TargetMode="External"/><Relationship Id="rId2958" Type="http://schemas.openxmlformats.org/officeDocument/2006/relationships/hyperlink" Target="https://patadovietnam.edu.vn/gtjapan_nhn3" TargetMode="External"/><Relationship Id="rId918" Type="http://schemas.openxmlformats.org/officeDocument/2006/relationships/hyperlink" Target="https://patadovietnam.edu.vn/gtjapan_nhn3" TargetMode="External"/><Relationship Id="rId1628" Type="http://schemas.openxmlformats.org/officeDocument/2006/relationships/hyperlink" Target="https://s.net.vn/PTKOC-europe" TargetMode="External"/><Relationship Id="rId2959" Type="http://schemas.openxmlformats.org/officeDocument/2006/relationships/hyperlink" Target="https://patadovietnam.edu.vn/gtjapan_nhn3/?utm_source=Facebook&amp;utm_medium=CVS&amp;utm_term=NEW_Japan_1840_none_060426&amp;utm_content=saletructiep_Japan.M648.1840.giaotiep_PTATT_LD164&amp;utm_campaign=Japan.giaotiep.M648xM651_16917_CVS_NamNH_060426" TargetMode="External"/><Relationship Id="rId917" Type="http://schemas.openxmlformats.org/officeDocument/2006/relationships/hyperlink" Target="http://ldp.ink/HT80H_hanquoc" TargetMode="External"/><Relationship Id="rId1629" Type="http://schemas.openxmlformats.org/officeDocument/2006/relationships/hyperlink" Target="https://patadovietnam.edu.vn/tienganhgiaotiep_hn/" TargetMode="External"/><Relationship Id="rId916" Type="http://schemas.openxmlformats.org/officeDocument/2006/relationships/hyperlink" Target="https://patadovietnam.edu.vn/tienganhgiaotiep_hn/?utm_source=Facebook&amp;utm_medium=MES&amp;utm_term=NEW_KoreaSouth_1840_none_010124&amp;utm_content=saletructiep_KoreaSouth.HT80H.1840.giaotiep_PTATT_LD153&amp;utm_campaign=KoreaSouth.giaotiep.HT80H_16917_MES_NamNH_010124" TargetMode="External"/><Relationship Id="rId915" Type="http://schemas.openxmlformats.org/officeDocument/2006/relationships/hyperlink" Target="https://patadovietnam.edu.vn/tienganhgiaotiep_hn/" TargetMode="External"/><Relationship Id="rId919" Type="http://schemas.openxmlformats.org/officeDocument/2006/relationships/hyperlink" Target="https://patadovietnam.edu.vn/gtjapan_nhn3/?utm_source=Facebook&amp;utm_medium=CVS&amp;utm_term=NEW_Japan_1840_none_010124&amp;utm_content=saletructiep_Japan.HT80H.1840.giaotiep_PTATT_LD164&amp;utm_campaign=Japan.giaotiep.HT80H_16917_CVS_NamNH_010124" TargetMode="External"/><Relationship Id="rId910" Type="http://schemas.openxmlformats.org/officeDocument/2006/relationships/hyperlink" Target="https://patadovietnam.edu.vn/tienganhgiaotiep_hn/?utm_source=Facebook&amp;utm_medium=MES&amp;utm_term=NEW_Taiwan_1840_none_010124&amp;utm_content=saletructiep_Taiwan.HT80H.1840.giaotiep_PTATT_LD153&amp;utm_campaign=Taiwan.giaotiep.HT80H_95360_MES_NamNH_010124" TargetMode="External"/><Relationship Id="rId914" Type="http://schemas.openxmlformats.org/officeDocument/2006/relationships/hyperlink" Target="http://ldp.ink/HT80H_philippines" TargetMode="External"/><Relationship Id="rId913" Type="http://schemas.openxmlformats.org/officeDocument/2006/relationships/hyperlink" Target="https://patadovietnam.edu.vn/tienganhgiaotiep_hn/?utm_source=Facebook&amp;utm_medium=MES&amp;utm_term=NEW_Philippines_1840_none_010124&amp;utm_content=saletructiep_Philippines.HT80H.1840.giaotiep_PTATT_LD153&amp;utm_campaign=Philippines.giaotiep.HT80H_16917_MES_NamNH_010124" TargetMode="External"/><Relationship Id="rId912" Type="http://schemas.openxmlformats.org/officeDocument/2006/relationships/hyperlink" Target="https://patadovietnam.edu.vn/tienganhgiaotiep_hn/" TargetMode="External"/><Relationship Id="rId911" Type="http://schemas.openxmlformats.org/officeDocument/2006/relationships/hyperlink" Target="http://ldp.ink/HT80H_taiwan" TargetMode="External"/><Relationship Id="rId2950" Type="http://schemas.openxmlformats.org/officeDocument/2006/relationships/hyperlink" Target="https://patadovietnam.edu.vn/tienganhgiaotiep_hn/?utm_source=Facebook&amp;utm_medium=CVS&amp;utm_term=NEW_Europe_1840_none_060426&amp;utm_content=saletructiep_Europe.M648.1840.giaotiep_PTATT_LD153&amp;utm_campaign=Europe.giaotiep.M648xM650_16917_CVS_NamNH_060426" TargetMode="External"/><Relationship Id="rId2900" Type="http://schemas.openxmlformats.org/officeDocument/2006/relationships/hyperlink" Target="https://tinyurl.com/M633xM637JPC" TargetMode="External"/><Relationship Id="rId2901" Type="http://schemas.openxmlformats.org/officeDocument/2006/relationships/hyperlink" Target="https://patadovietnam.edu.vn/tienganhgiaotiep_hn/" TargetMode="External"/><Relationship Id="rId2902" Type="http://schemas.openxmlformats.org/officeDocument/2006/relationships/hyperlink" Target="https://patadovietnam.edu.vn/tienganhgiaotiep_hn/?utm_source=Facebook&amp;utm_medium=MES&amp;utm_term=NEW_ALL_1840_none_020326&amp;utm_content=saletructiep_ALL.M633.1840.giaotiep_PTATT_LD153&amp;utm_campaign=ALL.giaotiep.M633xM637_16917_MES_NamNH_020326" TargetMode="External"/><Relationship Id="rId2903" Type="http://schemas.openxmlformats.org/officeDocument/2006/relationships/hyperlink" Target="https://tinyurl.com/M633xM637ALLM" TargetMode="External"/><Relationship Id="rId2904" Type="http://schemas.openxmlformats.org/officeDocument/2006/relationships/hyperlink" Target="https://patadovietnam.edu.vn/tienganhgiaotiep_hn/" TargetMode="External"/><Relationship Id="rId2905" Type="http://schemas.openxmlformats.org/officeDocument/2006/relationships/hyperlink" Target="https://patadovietnam.edu.vn/tienganhgiaotiep_hn/?utm_source=Facebook&amp;utm_medium=CVS&amp;utm_term=NEW_Europe_1840_none_020326&amp;utm_content=saletructiep_Europe.M636.1840.giaotiep_PTATT_LD153&amp;utm_campaign=Europe.giaotiep.M636xM638_16917_CVS_NamNH_020326" TargetMode="External"/><Relationship Id="rId2906" Type="http://schemas.openxmlformats.org/officeDocument/2006/relationships/hyperlink" Target="https://tinyurl.com/M636xM639EUC" TargetMode="External"/><Relationship Id="rId2907" Type="http://schemas.openxmlformats.org/officeDocument/2006/relationships/hyperlink" Target="https://patadovietnam.edu.vn/gtjapan_nhn3" TargetMode="External"/><Relationship Id="rId2908" Type="http://schemas.openxmlformats.org/officeDocument/2006/relationships/hyperlink" Target="https://patadovietnam.edu.vn/gtjapan_nhn3/?utm_source=Facebook&amp;utm_medium=CVS&amp;utm_term=NEW_Japan_1840_none_020326&amp;utm_content=saletructiep_Japan.M636.1840.giaotiep_PTATT_LD164&amp;utm_campaign=Japan.giaotiep.M636xM638_16917_CVS_NamNH_020326" TargetMode="External"/><Relationship Id="rId2909" Type="http://schemas.openxmlformats.org/officeDocument/2006/relationships/hyperlink" Target="https://tinyurl.com/M636xM638JPC" TargetMode="External"/><Relationship Id="rId2920" Type="http://schemas.openxmlformats.org/officeDocument/2006/relationships/hyperlink" Target="https://patadovietnam.edu.vn/tienganhgiaotiep_hn/?utm_source=Facebook&amp;utm_medium=MES&amp;utm_term=NEW_ALL_1840_none_050326&amp;utm_content=saletructiep_ALL.M632.1840.giaotiep_PTATT_LD153&amp;utm_campaign=ALL.giaotiep.M632xM640_16917_MES_NamNH_050326" TargetMode="External"/><Relationship Id="rId2921" Type="http://schemas.openxmlformats.org/officeDocument/2006/relationships/hyperlink" Target="https://tinyurl.com/M632xM640ALLM" TargetMode="External"/><Relationship Id="rId2922" Type="http://schemas.openxmlformats.org/officeDocument/2006/relationships/hyperlink" Target="https://patadovietnam.edu.vn/tienganhgiaotiep_hn/" TargetMode="External"/><Relationship Id="rId2923" Type="http://schemas.openxmlformats.org/officeDocument/2006/relationships/hyperlink" Target="https://patadovietnam.edu.vn/tienganhgiaotiep_hn/?utm_source=Facebook&amp;utm_medium=CVS&amp;utm_term=NEW_Europe_1840_none_190326&amp;utm_content=saletructiep_Europe.M646.1840.giaotiep_PTATT_LD153&amp;utm_campaign=Europe.giaotiep.M646xM647_16917_CVS_NamNH_190326" TargetMode="External"/><Relationship Id="rId2924" Type="http://schemas.openxmlformats.org/officeDocument/2006/relationships/hyperlink" Target="https://tinyurl.com/M646xM647EUC" TargetMode="External"/><Relationship Id="rId2925" Type="http://schemas.openxmlformats.org/officeDocument/2006/relationships/hyperlink" Target="https://patadovietnam.edu.vn/gtjapan_nhn3" TargetMode="External"/><Relationship Id="rId2926" Type="http://schemas.openxmlformats.org/officeDocument/2006/relationships/hyperlink" Target="https://patadovietnam.edu.vn/gtjapan_nhn3/?utm_source=Facebook&amp;utm_medium=CVS&amp;utm_term=NEW_Japan_1840_none_190326&amp;utm_content=saletructiep_Japan.M646.1840.giaotiep_PTATT_LD164&amp;utm_campaign=Japan.giaotiep.M646xM647_16917_CVS_NamNH_190326" TargetMode="External"/><Relationship Id="rId2927" Type="http://schemas.openxmlformats.org/officeDocument/2006/relationships/hyperlink" Target="https://tinyurl.com/M646xM647JPC" TargetMode="External"/><Relationship Id="rId2928" Type="http://schemas.openxmlformats.org/officeDocument/2006/relationships/hyperlink" Target="https://patadovietnam.edu.vn/tienganhgiaotiep_hn/" TargetMode="External"/><Relationship Id="rId2929" Type="http://schemas.openxmlformats.org/officeDocument/2006/relationships/hyperlink" Target="https://patadovietnam.edu.vn/tienganhgiaotiep_hn/?utm_source=Facebook&amp;utm_medium=MES&amp;utm_term=NEW_ALL_1840_none_190326&amp;utm_content=saletructiep_ALL.M646.1840.giaotiep_PTATT_LD153&amp;utm_campaign=ALL.giaotiep.M646xM647_16917_MES_NamNH_190326" TargetMode="External"/><Relationship Id="rId2910" Type="http://schemas.openxmlformats.org/officeDocument/2006/relationships/hyperlink" Target="https://patadovietnam.edu.vn/tienganhgiaotiep_hn/" TargetMode="External"/><Relationship Id="rId2911" Type="http://schemas.openxmlformats.org/officeDocument/2006/relationships/hyperlink" Target="https://patadovietnam.edu.vn/tienganhgiaotiep_hn/?utm_source=Facebook&amp;utm_medium=MES&amp;utm_term=NEW_ALL_1840_none_020326&amp;utm_content=saletructiep_ALL.M636.1840.giaotiep_PTATT_LD153&amp;utm_campaign=ALL.giaotiep.M636xM638_16917_MES_NamNH_020326" TargetMode="External"/><Relationship Id="rId2912" Type="http://schemas.openxmlformats.org/officeDocument/2006/relationships/hyperlink" Target="https://tinyurl.com/M636xM638ALLM" TargetMode="External"/><Relationship Id="rId2913" Type="http://schemas.openxmlformats.org/officeDocument/2006/relationships/hyperlink" Target="https://patadovietnam.edu.vn/tienganhgiaotiep_hn/" TargetMode="External"/><Relationship Id="rId2914" Type="http://schemas.openxmlformats.org/officeDocument/2006/relationships/hyperlink" Target="https://patadovietnam.edu.vn/tienganhgiaotiep_hn/?utm_source=Facebook&amp;utm_medium=CVS&amp;utm_term=NEW_Europe_1840_none_050326&amp;utm_content=saletructiep_Europe.M632.1840.giaotiep_PTATT_LD153&amp;utm_campaign=Europe.giaotiep.M632xM640_16917_CVS_NamNH_050326" TargetMode="External"/><Relationship Id="rId2915" Type="http://schemas.openxmlformats.org/officeDocument/2006/relationships/hyperlink" Target="https://tinyurl.com/M632xM640EUC" TargetMode="External"/><Relationship Id="rId2916" Type="http://schemas.openxmlformats.org/officeDocument/2006/relationships/hyperlink" Target="https://patadovietnam.edu.vn/gtjapan_nhn3" TargetMode="External"/><Relationship Id="rId2917" Type="http://schemas.openxmlformats.org/officeDocument/2006/relationships/hyperlink" Target="https://patadovietnam.edu.vn/gtjapan_nhn3/?utm_source=Facebook&amp;utm_medium=CVS&amp;utm_term=NEW_Japan_1840_none_050326&amp;utm_content=saletructiep_Japan.M632.1840.giaotiep_PTATT_LD164&amp;utm_campaign=Japan.giaotiep.M632xM640_16917_CVS_NamNH_050326" TargetMode="External"/><Relationship Id="rId2918" Type="http://schemas.openxmlformats.org/officeDocument/2006/relationships/hyperlink" Target="https://tinyurl.com/M632xM640JPC" TargetMode="External"/><Relationship Id="rId2919" Type="http://schemas.openxmlformats.org/officeDocument/2006/relationships/hyperlink" Target="https://patadovietnam.edu.vn/tienganhgiaotiep_hn/" TargetMode="External"/><Relationship Id="rId1697" Type="http://schemas.openxmlformats.org/officeDocument/2006/relationships/hyperlink" Target="https://patadovietnam.edu.vn/tienganhgiaotiep_hn/" TargetMode="External"/><Relationship Id="rId1698" Type="http://schemas.openxmlformats.org/officeDocument/2006/relationships/hyperlink" Target="https://patadovietnam.edu.vn/tienganhgiaotiep_hn/?utm_source=Facebook&amp;utm_medium=MES&amp;utm_term=NEW_Taiwan_1840_none_090624&amp;utm_content=saletructiep_Taiwan.M246.1840.giaotiep_PTATT_LD153&amp;utm_campaign=Taiwan.giaotiep.M246_16917_MES_NamNH_090624" TargetMode="External"/><Relationship Id="rId1699" Type="http://schemas.openxmlformats.org/officeDocument/2006/relationships/hyperlink" Target="https://s.net.vn/M246-taiwan" TargetMode="External"/><Relationship Id="rId866" Type="http://schemas.openxmlformats.org/officeDocument/2006/relationships/hyperlink" Target="http://ldp.ink/5KK_nhatban" TargetMode="External"/><Relationship Id="rId865" Type="http://schemas.openxmlformats.org/officeDocument/2006/relationships/hyperlink" Target="https://patadovietnam.edu.vn/gtjapan_nhn3/?utm_source=Facebook&amp;utm_medium=CVS&amp;utm_term=NEW_Japan_1840_none_181223&amp;utm_content=saletructiep_Japan.M94C77.1840.giaotiep_PTATT_LD164&amp;utm_campaign=Japan.giaotiep.M94C77_16917_CVS_NamNH_181223" TargetMode="External"/><Relationship Id="rId864" Type="http://schemas.openxmlformats.org/officeDocument/2006/relationships/hyperlink" Target="https://patadovietnam.edu.vn/gtjapan_nhn3" TargetMode="External"/><Relationship Id="rId863" Type="http://schemas.openxmlformats.org/officeDocument/2006/relationships/hyperlink" Target="http://ldp.ink/hoang_taiwan" TargetMode="External"/><Relationship Id="rId869" Type="http://schemas.openxmlformats.org/officeDocument/2006/relationships/hyperlink" Target="http://ldp.ink/5KK_philippines" TargetMode="External"/><Relationship Id="rId868" Type="http://schemas.openxmlformats.org/officeDocument/2006/relationships/hyperlink" Target="https://patadovietnam.edu.vn/tienganhgiaotiep_hn/?utm_source=Facebook&amp;utm_medium=MES&amp;utm_term=NEW_Philippines_1840_none_181223&amp;utm_content=saletructiep_Philippines.M94C77.1840.giaotiep_PTATT_LD153&amp;utm_campaign=Philippines.giaotiep.M94C77_95360_MES_NamNH_181223" TargetMode="External"/><Relationship Id="rId867" Type="http://schemas.openxmlformats.org/officeDocument/2006/relationships/hyperlink" Target="https://patadovietnam.edu.vn/tienganhgiaotiep_hn/" TargetMode="External"/><Relationship Id="rId1690" Type="http://schemas.openxmlformats.org/officeDocument/2006/relationships/hyperlink" Target="https://s.net.vn/M246-usa" TargetMode="External"/><Relationship Id="rId1691" Type="http://schemas.openxmlformats.org/officeDocument/2006/relationships/hyperlink" Target="https://patadovietnam.edu.vn/gtjapan_nhn3" TargetMode="External"/><Relationship Id="rId1692" Type="http://schemas.openxmlformats.org/officeDocument/2006/relationships/hyperlink" Target="https://patadovietnam.edu.vn/gtjapan_nhn3/?utm_source=Facebook&amp;utm_medium=CVS&amp;utm_term=NEW_Japan_1840_none_090624&amp;utm_content=saletructiep_Japan.M246.1840.giaotiep_PTATT_LD164&amp;utm_campaign=Japan.giaotiep.M246_16917_CVS_NamNH_090624" TargetMode="External"/><Relationship Id="rId862" Type="http://schemas.openxmlformats.org/officeDocument/2006/relationships/hyperlink" Target="https://patadovietnam.edu.vn/tienganhgiaotiep_hn/?utm_source=Facebook&amp;utm_medium=MES&amp;utm_term=NEW_Taiwan_1840_none_181223&amp;utm_content=saletructiep_Taiwan.M96C56.1840.giaotiep_PTATT_LD153&amp;utm_campaign=Taiwan.giaotiep.M96C56_95360_MES_NamNH_181223" TargetMode="External"/><Relationship Id="rId1693" Type="http://schemas.openxmlformats.org/officeDocument/2006/relationships/hyperlink" Target="https://s.net.vn/M246-japan" TargetMode="External"/><Relationship Id="rId861" Type="http://schemas.openxmlformats.org/officeDocument/2006/relationships/hyperlink" Target="https://patadovietnam.edu.vn/tienganhgiaotiep_hn/" TargetMode="External"/><Relationship Id="rId1694" Type="http://schemas.openxmlformats.org/officeDocument/2006/relationships/hyperlink" Target="https://patadovietnam.edu.vn/tienganhgiaotiep_hn/" TargetMode="External"/><Relationship Id="rId860" Type="http://schemas.openxmlformats.org/officeDocument/2006/relationships/hyperlink" Target="http://ldp.ink/uudai_philippines" TargetMode="External"/><Relationship Id="rId1695" Type="http://schemas.openxmlformats.org/officeDocument/2006/relationships/hyperlink" Target="https://patadovietnam.edu.vn/tienganhgiaotiep_hn/?utm_source=Facebook&amp;utm_medium=CVS&amp;utm_term=NEW_Europe_1840_none_090624&amp;utm_content=saletructiep_Europe.M246.1840.giaotiep_PTATT_LD153&amp;utm_campaign=Europe.giaotiep.M246_16917_CVS_NamNH_090624" TargetMode="External"/><Relationship Id="rId1696" Type="http://schemas.openxmlformats.org/officeDocument/2006/relationships/hyperlink" Target="https://s.net.vn/M246-europe" TargetMode="External"/><Relationship Id="rId1686" Type="http://schemas.openxmlformats.org/officeDocument/2006/relationships/hyperlink" Target="https://patadovietnam.edu.vn/tienganhgiaotiep_hn/?utm_source=Facebook&amp;utm_medium=MES&amp;utm_term=NEW_Taiwan_1840_none_050624&amp;utm_content=saletructiep_Taiwan.M231.1840.giaotiep_PTATT_LD153&amp;utm_campaign=Taiwan.giaotiep.M231_16917_MES_NamNH_050624" TargetMode="External"/><Relationship Id="rId1687" Type="http://schemas.openxmlformats.org/officeDocument/2006/relationships/hyperlink" Target="https://s.net.vn/M231/taiwan" TargetMode="External"/><Relationship Id="rId1688" Type="http://schemas.openxmlformats.org/officeDocument/2006/relationships/hyperlink" Target="https://patadovietnam.edu.vn/gtusa1_nhn" TargetMode="External"/><Relationship Id="rId1689" Type="http://schemas.openxmlformats.org/officeDocument/2006/relationships/hyperlink" Target="https://patadovietnam.edu.vn/gtusa1_nhn/?utm_source=Facebook&amp;utm_medium=MES&amp;utm_term=NEW_UnitedStates_1840_none_090624&amp;utm_content=saletructiep_UnitedStates.M246.1840.giaotiep_PTATT_LD161&amp;utm_campaign=UnitedStates.giaotiep.M246_16917_MES_NamNH_090624" TargetMode="External"/><Relationship Id="rId855" Type="http://schemas.openxmlformats.org/officeDocument/2006/relationships/hyperlink" Target="https://patadovietnam.edu.vn/khoagiaotiep_all/" TargetMode="External"/><Relationship Id="rId854" Type="http://schemas.openxmlformats.org/officeDocument/2006/relationships/hyperlink" Target="http://ldp.ink/uudai_hoaky" TargetMode="External"/><Relationship Id="rId853" Type="http://schemas.openxmlformats.org/officeDocument/2006/relationships/hyperlink" Target="https://patadovietnam.edu.vn/gtusa1_nhn/?utm_source=Facebook&amp;utm_medium=MES&amp;utm_term=NEW_UnitedStates_1840_none_151223&amp;utm_content=saletructiep_UnitedStates.M98C77.1840.giaotiep_PTATT_LD161&amp;utm_campaign=UnitedStates.giaotiep.M98C77_16917_MES_NamNH_151223" TargetMode="External"/><Relationship Id="rId852" Type="http://schemas.openxmlformats.org/officeDocument/2006/relationships/hyperlink" Target="https://patadovietnam.edu.vn/gtusa1_nhn" TargetMode="External"/><Relationship Id="rId859" Type="http://schemas.openxmlformats.org/officeDocument/2006/relationships/hyperlink" Target="https://patadovietnam.edu.vn/khoagiaotiep_all/?utm_source=Facebook&amp;utm_medium=MES&amp;utm_term=NEW_Philippines_1840_none_151223&amp;utm_content=saletructiep_Philippines.M98C77.1840.giaotiep_PTATT_LD212&amp;utm_campaign=Philippines.giaotiep.M98C78_95360_MES_NamNH_151223" TargetMode="External"/><Relationship Id="rId858" Type="http://schemas.openxmlformats.org/officeDocument/2006/relationships/hyperlink" Target="https://patadovietnam.edu.vn/khoagiaotiep_all/" TargetMode="External"/><Relationship Id="rId857" Type="http://schemas.openxmlformats.org/officeDocument/2006/relationships/hyperlink" Target="http://ldp.ink/uudai_taiwan" TargetMode="External"/><Relationship Id="rId856" Type="http://schemas.openxmlformats.org/officeDocument/2006/relationships/hyperlink" Target="https://patadovietnam.edu.vn/khoagiaotiep_all/?utm_source=Facebook&amp;utm_medium=MES&amp;utm_term=NEW_Taiwan_1840_none_151223&amp;utm_content=saletructiep_Taiwan.M98C77.1840.giaotiep_PTATT_LD212&amp;utm_campaign=Taiwan.giaotiep.M98C78_95360_MES_NamNH_151223" TargetMode="External"/><Relationship Id="rId1680" Type="http://schemas.openxmlformats.org/officeDocument/2006/relationships/hyperlink" Target="https://patadovietnam.edu.vn/giaotiepchung_hn/?utm_source=Facebook&amp;utm_medium=CVS&amp;utm_term=NEW_Europe_1840_none_050624&amp;utm_content=saletructiep_Europe.M231.1840.giaotiep_PTATT_LD222&amp;utm_campaign=Europe.giaotiep.M231_16917_CVS_NamNH_050624" TargetMode="External"/><Relationship Id="rId1681" Type="http://schemas.openxmlformats.org/officeDocument/2006/relationships/hyperlink" Target="https://s.net.vn/M231/europe" TargetMode="External"/><Relationship Id="rId851" Type="http://schemas.openxmlformats.org/officeDocument/2006/relationships/hyperlink" Target="http://ldp.ink/uudai_japan" TargetMode="External"/><Relationship Id="rId1682" Type="http://schemas.openxmlformats.org/officeDocument/2006/relationships/hyperlink" Target="https://patadovietnam.edu.vn/giaotiepchung_hn/" TargetMode="External"/><Relationship Id="rId850" Type="http://schemas.openxmlformats.org/officeDocument/2006/relationships/hyperlink" Target="https://patadovietnam.edu.vn/khoagiaotiep_all/?utm_source=Facebook&amp;utm_medium=CVS&amp;utm_term=NEW_Japan_1840_none_151223&amp;utm_content=saletructiep_Japan.M98C77.1840.giaotiep_PTATT_LD212&amp;utm_campaign=Japan.giaotiep.M98C77_16917_CVS_NamNH_151223" TargetMode="External"/><Relationship Id="rId1683" Type="http://schemas.openxmlformats.org/officeDocument/2006/relationships/hyperlink" Target="https://patadovietnam.edu.vn/giaotiepchung_hn/?utm_source=Facebook&amp;utm_medium=CVS&amp;utm_term=NEW_Europe_1840_none_050624&amp;utm_content=saletructiep_Europe.akg.1840.giaotiep_PTATT_LD222&amp;utm_campaign=Europe.giaotiep.akg_16917_CVS_NamNH_050624" TargetMode="External"/><Relationship Id="rId1684" Type="http://schemas.openxmlformats.org/officeDocument/2006/relationships/hyperlink" Target="https://s.net.vn/akg/europe" TargetMode="External"/><Relationship Id="rId1685" Type="http://schemas.openxmlformats.org/officeDocument/2006/relationships/hyperlink" Target="https://patadovietnam.edu.vn/tienganhgiaotiep_hn/" TargetMode="External"/><Relationship Id="rId888" Type="http://schemas.openxmlformats.org/officeDocument/2006/relationships/hyperlink" Target="https://patadovietnam.edu.vn/khoagiaotiep_all/" TargetMode="External"/><Relationship Id="rId887" Type="http://schemas.openxmlformats.org/officeDocument/2006/relationships/hyperlink" Target="http://ldp.ink/KK_philippines" TargetMode="External"/><Relationship Id="rId886" Type="http://schemas.openxmlformats.org/officeDocument/2006/relationships/hyperlink" Target="https://patadovietnam.edu.vn/tienganhgiaotiep_hn/?utm_source=Facebook&amp;utm_medium=MES&amp;utm_term=NEW_Philippines_1840_none_211223&amp;utm_content=saletructiep_Philippines.5KK.1840.giaotiep_PTATT_LD153&amp;utm_campaign=Philippines.giaotiep.5KK_95360_MES_NamNH_211223" TargetMode="External"/><Relationship Id="rId885" Type="http://schemas.openxmlformats.org/officeDocument/2006/relationships/hyperlink" Target="https://patadovietnam.edu.vn/tienganhgiaotiep_hn/" TargetMode="External"/><Relationship Id="rId889" Type="http://schemas.openxmlformats.org/officeDocument/2006/relationships/hyperlink" Target="https://patadovietnam.edu.vn/khoagiaotiep_all/?utm_source=Facebook&amp;utm_medium=CVS&amp;utm_term=NEW_Europe_1840_none_221223&amp;utm_content=saletructiep_Europe.M105C84.1840.giaotiep_PTATT_LD212&amp;utm_campaign=Europe.giaotiep.M105C84_16917_CVS_NamNH_221223" TargetMode="External"/><Relationship Id="rId880" Type="http://schemas.openxmlformats.org/officeDocument/2006/relationships/hyperlink" Target="https://patadovietnam.edu.vn/gtusa1_nhn/?utm_source=Facebook&amp;utm_medium=MES&amp;utm_term=NEW_UnitedStates_1840_none_201223&amp;utm_content=saletructiep_UnitedStates.M94C76.1840.giaotiep_PTATT_LD161&amp;utm_campaign=UnitedStates.giaotiep.M94C76_16917_MES_NamNH_201223" TargetMode="External"/><Relationship Id="rId884" Type="http://schemas.openxmlformats.org/officeDocument/2006/relationships/hyperlink" Target="http://ldp.ink/lsst_japan" TargetMode="External"/><Relationship Id="rId883" Type="http://schemas.openxmlformats.org/officeDocument/2006/relationships/hyperlink" Target="https://patadovietnam.edu.vn/gtjapan_nhn3/?utm_source=Facebook&amp;utm_medium=CVS&amp;utm_term=NEW_Japan_1840_none_201223&amp;utm_content=saletructiep_Japan.M102C82.1840.giaotiep_PTATT_LD164&amp;utm_campaign=Japan.giaotiep.M102C82_16917_CVS_NamNH_201223" TargetMode="External"/><Relationship Id="rId882" Type="http://schemas.openxmlformats.org/officeDocument/2006/relationships/hyperlink" Target="https://patadovietnam.edu.vn/gtjapan_nhn3" TargetMode="External"/><Relationship Id="rId881" Type="http://schemas.openxmlformats.org/officeDocument/2006/relationships/hyperlink" Target="http://ldp.ink/ndl_hoaky" TargetMode="External"/><Relationship Id="rId877" Type="http://schemas.openxmlformats.org/officeDocument/2006/relationships/hyperlink" Target="https://patadovietnam.edu.vn/khoagiaotiep_all/?utm_source=Facebook&amp;utm_medium=CVS&amp;utm_term=NEW_Europe_1840_none_191223&amp;utm_content=saletructiep_Europe.M94C76.1840.giaotiep_PTATT_LD212&amp;utm_campaign=Europe.giaotiep.M94C76_16917_CVS_NamNH_191223" TargetMode="External"/><Relationship Id="rId876" Type="http://schemas.openxmlformats.org/officeDocument/2006/relationships/hyperlink" Target="https://patadovietnam.edu.vn/khoagiaotiep_all/" TargetMode="External"/><Relationship Id="rId875" Type="http://schemas.openxmlformats.org/officeDocument/2006/relationships/hyperlink" Target="http://ldp.ink/uudai_hanquoc" TargetMode="External"/><Relationship Id="rId874" Type="http://schemas.openxmlformats.org/officeDocument/2006/relationships/hyperlink" Target="https://patadovietnam.edu.vn/khoagiaotiep_all/?utm_source=Facebook&amp;utm_medium=MES&amp;utm_term=NEW_KoreaSouth_1840_none_191223&amp;utm_content=saletructiep_KoreaSouth.M97C65.1840.giaotiep_PTATT_LD212&amp;utm_campaign=KoreaSouth.giaotiep.M97C65_95360_MES_NamNH_191223" TargetMode="External"/><Relationship Id="rId879" Type="http://schemas.openxmlformats.org/officeDocument/2006/relationships/hyperlink" Target="https://patadovietnam.edu.vn/gtusa1_nhn" TargetMode="External"/><Relationship Id="rId878" Type="http://schemas.openxmlformats.org/officeDocument/2006/relationships/hyperlink" Target="http://ldp.ink/5KK_chauau" TargetMode="External"/><Relationship Id="rId873" Type="http://schemas.openxmlformats.org/officeDocument/2006/relationships/hyperlink" Target="https://patadovietnam.edu.vn/khoagiaotiep_all/" TargetMode="External"/><Relationship Id="rId872" Type="http://schemas.openxmlformats.org/officeDocument/2006/relationships/hyperlink" Target="http://ldp.ink/NDL_japan" TargetMode="External"/><Relationship Id="rId871" Type="http://schemas.openxmlformats.org/officeDocument/2006/relationships/hyperlink" Target="https://patadovietnam.edu.vn/gtjapan_nhn3/?utm_source=Facebook&amp;utm_medium=CVS&amp;utm_term=NEW_Japan_1840_none_181223&amp;utm_content=saletructiep_Japan.M94C78.1840.giaotiep_PTATT_LD164&amp;utm_campaign=Japan.giaotiep.M94C78_16917_CVS_NamNH_181223" TargetMode="External"/><Relationship Id="rId870" Type="http://schemas.openxmlformats.org/officeDocument/2006/relationships/hyperlink" Target="https://patadovietnam.edu.vn/gtjapan_nhn3" TargetMode="External"/><Relationship Id="rId1653" Type="http://schemas.openxmlformats.org/officeDocument/2006/relationships/hyperlink" Target="https://patadovietnam.edu.vn/tienganhdoanhnghiep_hn" TargetMode="External"/><Relationship Id="rId2984" Type="http://schemas.openxmlformats.org/officeDocument/2006/relationships/hyperlink" Target="https://tinyurl.com/M660xM663JPC" TargetMode="External"/><Relationship Id="rId1654" Type="http://schemas.openxmlformats.org/officeDocument/2006/relationships/hyperlink" Target="https://patadovietnam.edu.vn/tienganhdoanhnghiep_hn/?utm_source=Facebook&amp;utm_medium=MES&amp;utm_term=NEW_Vietnam_1840_none_010624&amp;utm_content=saletructiep_Vietnam.M220.1840.giaotiep_PTATT_LD224&amp;utm_campaign=Vietnam.giaotiep.M220_16917_MES_NamNH_010624" TargetMode="External"/><Relationship Id="rId2985" Type="http://schemas.openxmlformats.org/officeDocument/2006/relationships/hyperlink" Target="https://patado.edu.vn/tienganhgiaotiep1_hn/" TargetMode="External"/><Relationship Id="rId1655" Type="http://schemas.openxmlformats.org/officeDocument/2006/relationships/hyperlink" Target="https://s.net.vn/M220-vietnam" TargetMode="External"/><Relationship Id="rId2986" Type="http://schemas.openxmlformats.org/officeDocument/2006/relationships/hyperlink" Target="https://patado.edu.vn/tienganhgiaotiep1_hn/?utm_source=Facebook&amp;utm_medium=CVS&amp;utm_term=NEW_Europe_1840_none_150426&amp;utm_content=saletructiep_Europe.M663.1840.giaotiep_PTATT_LD267&amp;utm_campaign=Europe.giaotiep.M661xM663_16917_CVS_NamNH_150426" TargetMode="External"/><Relationship Id="rId1656" Type="http://schemas.openxmlformats.org/officeDocument/2006/relationships/hyperlink" Target="https://patadovietnam.edu.vn/tienganhdoanhnghiep_hn" TargetMode="External"/><Relationship Id="rId2987" Type="http://schemas.openxmlformats.org/officeDocument/2006/relationships/hyperlink" Target="https://tinyurl.com/M661xM663EUC" TargetMode="External"/><Relationship Id="rId1657" Type="http://schemas.openxmlformats.org/officeDocument/2006/relationships/hyperlink" Target="https://patadovietnam.edu.vn/tienganhdoanhnghiep_hn/?utm_source=Facebook&amp;utm_medium=MES&amp;utm_term=NEW_Vietnam_1840_none_010624&amp;utm_content=saletructiep_Vietnam.M229.1840.giaotiep_PTATT_LD224&amp;utm_campaign=Vietnam.giaotiep.M229_16917_MES_NamNH_010624" TargetMode="External"/><Relationship Id="rId2988" Type="http://schemas.openxmlformats.org/officeDocument/2006/relationships/hyperlink" Target="https://patado.edu.vn/gtusa1_nhn/" TargetMode="External"/><Relationship Id="rId1658" Type="http://schemas.openxmlformats.org/officeDocument/2006/relationships/hyperlink" Target="https://s.net.vn/M229-vietnam" TargetMode="External"/><Relationship Id="rId2989" Type="http://schemas.openxmlformats.org/officeDocument/2006/relationships/hyperlink" Target="https://patado.edu.vn/gtusa1_nhn/?utm_source=Facebook&amp;utm_medium=MES&amp;utm_term=NEW_UnitedStates_2050_none_150426&amp;utm_content=saletructiep_UnitedStates.M662.1840.giaotiep_PTATT_LD266&amp;utm_campaign=UnitedStates.giaotiep.M662xM663_16917_MES_NamNH_150426" TargetMode="External"/><Relationship Id="rId1659" Type="http://schemas.openxmlformats.org/officeDocument/2006/relationships/hyperlink" Target="https://patadovietnam.edu.vn/gtusa1_nhn" TargetMode="External"/><Relationship Id="rId829" Type="http://schemas.openxmlformats.org/officeDocument/2006/relationships/hyperlink" Target="https://patadovietnam.edu.vn/khoagiaotiep_all/?utm_source=Facebook&amp;utm_medium=CVS&amp;utm_term=NEW_Japan_1840_none_091223&amp;utm_content=saletructiep_Japan.M89C52.1840.giaotiep_PTATT_LD212&amp;utm_campaign=Japan.giaotiep.M89C52_16917_CVS_NamNH_091223" TargetMode="External"/><Relationship Id="rId828" Type="http://schemas.openxmlformats.org/officeDocument/2006/relationships/hyperlink" Target="https://patadovietnam.edu.vn/khoagiaotiep_all/" TargetMode="External"/><Relationship Id="rId827" Type="http://schemas.openxmlformats.org/officeDocument/2006/relationships/hyperlink" Target="http://ldp.ink/KG_japan" TargetMode="External"/><Relationship Id="rId822" Type="http://schemas.openxmlformats.org/officeDocument/2006/relationships/hyperlink" Target="https://patadovietnam.edu.vn/tienganhgiaotiep_hn/" TargetMode="External"/><Relationship Id="rId821" Type="http://schemas.openxmlformats.org/officeDocument/2006/relationships/hyperlink" Target="http://ldp.ink/mlh_europe" TargetMode="External"/><Relationship Id="rId820" Type="http://schemas.openxmlformats.org/officeDocument/2006/relationships/hyperlink" Target="https://patadovietnam.edu.vn/tienganhgiaotiep_hn/?utm_source=Facebook&amp;utm_medium=CVS&amp;utm_term=NEW_Europe_1840_none_061223&amp;utm_content=saletructiep_Europe.M85C57.1840.giaotiep_PTATT_LD153&amp;utm_campaign=Europe.giaotiep.M85C57_16917_CVS_NamNH_061223" TargetMode="External"/><Relationship Id="rId826" Type="http://schemas.openxmlformats.org/officeDocument/2006/relationships/hyperlink" Target="https://patadovietnam.edu.vn/khoagiaotiep_all/?utm_source=Facebook&amp;utm_medium=MES&amp;utm_term=NEW_Japan_1840_none_091223&amp;utm_content=saletructiep_Japan.M82C54.1840.giaotiep_PTATT_LD212&amp;utm_campaign=Japan.giaotiep.M82C54_16917_MES_NamNH_091223" TargetMode="External"/><Relationship Id="rId825" Type="http://schemas.openxmlformats.org/officeDocument/2006/relationships/hyperlink" Target="https://patadovietnam.edu.vn/khoagiaotiep_all/" TargetMode="External"/><Relationship Id="rId824" Type="http://schemas.openxmlformats.org/officeDocument/2006/relationships/hyperlink" Target="http://ldp.ink/mlh_all" TargetMode="External"/><Relationship Id="rId823" Type="http://schemas.openxmlformats.org/officeDocument/2006/relationships/hyperlink" Target="https://patadovietnam.edu.vn/tienganhgiaotiep_hn/?utm_source=Facebook&amp;utm_medium=MES&amp;utm_term=NEW_ALL_1840_none_071223&amp;utm_content=saletructiep_ALL.M85C57.1840.giaotiep_PTATT_LD153&amp;utm_campaign=ALL.giaotiep.M85C57_16917_MES_NamNH_071223" TargetMode="External"/><Relationship Id="rId2980" Type="http://schemas.openxmlformats.org/officeDocument/2006/relationships/hyperlink" Target="https://patado.edu.vn/tienganhgiaotiep1_hn/?utm_source=Facebook&amp;utm_medium=MES&amp;utm_term=NEW_ALL_1840_none_090426&amp;utm_content=saletructiep_ALL.M663.1840.giaotiep_PTATT_LD267&amp;utm_campaign=ALL.giaotiep.M661xM663_16917_MES_NamNH_090426" TargetMode="External"/><Relationship Id="rId1650" Type="http://schemas.openxmlformats.org/officeDocument/2006/relationships/hyperlink" Target="https://patadovietnam.edu.vn/tienganhdoanhnghiep_hn" TargetMode="External"/><Relationship Id="rId2981" Type="http://schemas.openxmlformats.org/officeDocument/2006/relationships/hyperlink" Target="https://tinyurl.com/M661xM663ALLM" TargetMode="External"/><Relationship Id="rId1651" Type="http://schemas.openxmlformats.org/officeDocument/2006/relationships/hyperlink" Target="https://patadovietnam.edu.vn/tienganhdoanhnghiep_hn/?utm_source=Facebook&amp;utm_medium=MES&amp;utm_term=NEW_Vietnam_1840_none_010624&amp;utm_content=saletructiep_Vietnam.M241.1840.giaotiep_PTATT_LD224&amp;utm_campaign=Vietnam.giaotiep.M241_16917_MES_NamNH_010624" TargetMode="External"/><Relationship Id="rId2982" Type="http://schemas.openxmlformats.org/officeDocument/2006/relationships/hyperlink" Target="https://patado.edu.vn/gtjapan_nhn3/" TargetMode="External"/><Relationship Id="rId1652" Type="http://schemas.openxmlformats.org/officeDocument/2006/relationships/hyperlink" Target="https://s.net.vn/M241-vietnam" TargetMode="External"/><Relationship Id="rId2983" Type="http://schemas.openxmlformats.org/officeDocument/2006/relationships/hyperlink" Target="https://patado.edu.vn/gtjapan_nhn3/?utm_source=Facebook&amp;utm_medium=CVS&amp;utm_term=NEW_Japan_1840_none_150426&amp;utm_content=saletructiep_Japan.M663.1840.giaotiep_PTATT_LD265&amp;utm_campaign=Japan.giaotiep.M660xM663_16917_CVS_NamNH_150426" TargetMode="External"/><Relationship Id="rId1642" Type="http://schemas.openxmlformats.org/officeDocument/2006/relationships/hyperlink" Target="https://patadovietnam.edu.vn/tienganhgiaotiep_hn/?utm_source=Facebook&amp;utm_medium=MES&amp;utm_term=NEW_ALL_1840_none_010624&amp;utm_content=saletructiep_ALL.akg.1840.giaotiep_PTATT_LD153&amp;utm_campaign=ALL.giaotiep.akg_16917_MES_NamNH_010624" TargetMode="External"/><Relationship Id="rId2973" Type="http://schemas.openxmlformats.org/officeDocument/2006/relationships/hyperlink" Target="https://patado.edu.vn/tienganhgiaotiep1_hn/" TargetMode="External"/><Relationship Id="rId1643" Type="http://schemas.openxmlformats.org/officeDocument/2006/relationships/hyperlink" Target="https://s.net.vn/akg-all" TargetMode="External"/><Relationship Id="rId2974" Type="http://schemas.openxmlformats.org/officeDocument/2006/relationships/hyperlink" Target="https://patado.edu.vn/tienganhgiaotiep1_hn/?utm_source=Facebook&amp;utm_medium=CVS&amp;utm_term=NEW_Europe_1840_none_090426&amp;utm_content=saletructiep_Europe.M626.1840.giaotiep_PTATT_LD267&amp;utm_campaign=Europe.giaotiep.M626xM629_16917_CVS_NamNH_090426" TargetMode="External"/><Relationship Id="rId1644" Type="http://schemas.openxmlformats.org/officeDocument/2006/relationships/hyperlink" Target="https://patadovietnam.edu.vn/tienganhgiaotiep_hn/" TargetMode="External"/><Relationship Id="rId2975" Type="http://schemas.openxmlformats.org/officeDocument/2006/relationships/hyperlink" Target="https://tinyurl.com/M626EUCV" TargetMode="External"/><Relationship Id="rId1645" Type="http://schemas.openxmlformats.org/officeDocument/2006/relationships/hyperlink" Target="https://patadovietnam.edu.vn/tienganhgiaotiep_hn/?utm_source=Facebook&amp;utm_medium=MES&amp;utm_term=NEW_ALL_1840_none_010624&amp;utm_content=saletructiep_ALL.ndl.1840.giaotiep_PTATT_LD153&amp;utm_campaign=ALL.giaotiep.ndl_16917_MES_NamNH_010624" TargetMode="External"/><Relationship Id="rId2976" Type="http://schemas.openxmlformats.org/officeDocument/2006/relationships/hyperlink" Target="https://patado.edu.vn/tienganhgiaotiep1_hn/" TargetMode="External"/><Relationship Id="rId1646" Type="http://schemas.openxmlformats.org/officeDocument/2006/relationships/hyperlink" Target="https://s.net.vn/ndl-all" TargetMode="External"/><Relationship Id="rId2977" Type="http://schemas.openxmlformats.org/officeDocument/2006/relationships/hyperlink" Target="https://patado.edu.vn/tienganhgiaotiep1_hn/?utm_source=Facebook&amp;utm_medium=CVS&amp;utm_term=NEW_Europe_1840_none_090426&amp;utm_content=saletructiep_Europe.M632.1840.giaotiep_PTATT_LD267&amp;utm_campaign=Europe.giaotiep.M632xM640_16917_CVS_NamNH_090426" TargetMode="External"/><Relationship Id="rId1647" Type="http://schemas.openxmlformats.org/officeDocument/2006/relationships/hyperlink" Target="https://patadovietnam.edu.vn/tienganhgiaotiep_hn/" TargetMode="External"/><Relationship Id="rId2978" Type="http://schemas.openxmlformats.org/officeDocument/2006/relationships/hyperlink" Target="https://tinyurl.com/M632EUC" TargetMode="External"/><Relationship Id="rId1648" Type="http://schemas.openxmlformats.org/officeDocument/2006/relationships/hyperlink" Target="https://patadovietnam.edu.vn/tienganhgiaotiep_hn/?utm_source=Facebook&amp;utm_medium=CVS&amp;utm_term=NEW_ALL_1840_none_010624&amp;utm_content=saletructiep_ALL.M241.1840.giaotiep_PTATT_LD153&amp;utm_campaign=ALL.giaotiep.M241_16917_CVS_NamNH_010624" TargetMode="External"/><Relationship Id="rId2979" Type="http://schemas.openxmlformats.org/officeDocument/2006/relationships/hyperlink" Target="https://patado.edu.vn/tienganhgiaotiep1_hn/" TargetMode="External"/><Relationship Id="rId1649" Type="http://schemas.openxmlformats.org/officeDocument/2006/relationships/hyperlink" Target="https://s.net.vn/M241-all" TargetMode="External"/><Relationship Id="rId819" Type="http://schemas.openxmlformats.org/officeDocument/2006/relationships/hyperlink" Target="https://patadovietnam.edu.vn/tienganhgiaotiep_hn/" TargetMode="External"/><Relationship Id="rId818" Type="http://schemas.openxmlformats.org/officeDocument/2006/relationships/hyperlink" Target="http://ldp.ink/mlh_philippines" TargetMode="External"/><Relationship Id="rId817" Type="http://schemas.openxmlformats.org/officeDocument/2006/relationships/hyperlink" Target="https://patadovietnam.edu.vn/tienganhgiaotiep_hn/?utm_source=Facebook&amp;utm_medium=MES&amp;utm_term=NEW_Philippines_1840_none_061223&amp;utm_content=saletructiep_Philippines.M85C57.1840.giaotiep_PTATT_LD153&amp;utm_campaign=Philippines.giaotiep.M85C57_95360_MES_NamNH_061223" TargetMode="External"/><Relationship Id="rId816" Type="http://schemas.openxmlformats.org/officeDocument/2006/relationships/hyperlink" Target="https://patadovietnam.edu.vn/tienganhgiaotiep_hn/" TargetMode="External"/><Relationship Id="rId811" Type="http://schemas.openxmlformats.org/officeDocument/2006/relationships/hyperlink" Target="https://patadovietnam.edu.vn/gtusa1_nhn/?utm_source=Facebook&amp;utm_medium=MES&amp;utm_term=NEW_UnitedStates_1840_none_011223&amp;utm_content=saletructiep_UnitedStates.M73C51.1840.giaotiep_PTATT_LD161&amp;utm_campaign=UnitedStates.giaotiep.M73C51_16917_MES_NamNH_011223" TargetMode="External"/><Relationship Id="rId810" Type="http://schemas.openxmlformats.org/officeDocument/2006/relationships/hyperlink" Target="https://patadovietnam.edu.vn/gtusa1_nhn" TargetMode="External"/><Relationship Id="rId815" Type="http://schemas.openxmlformats.org/officeDocument/2006/relationships/hyperlink" Target="http://ldp.ink/mlh_taiwan" TargetMode="External"/><Relationship Id="rId814" Type="http://schemas.openxmlformats.org/officeDocument/2006/relationships/hyperlink" Target="https://patadovietnam.edu.vn/tienganhgiaotiep_hn/?utm_source=Facebook&amp;utm_medium=MES&amp;utm_term=NEW_Taiwan_1840_none_061223&amp;utm_content=saletructiep_Taiwan.M85C57.1840.giaotiep_PTATT_LD153&amp;utm_campaign=Taiwan.giaotiep.M85C57_95360_MES_NamNH_061223" TargetMode="External"/><Relationship Id="rId813" Type="http://schemas.openxmlformats.org/officeDocument/2006/relationships/hyperlink" Target="https://patadovietnam.edu.vn/tienganhgiaotiep_hn/" TargetMode="External"/><Relationship Id="rId812" Type="http://schemas.openxmlformats.org/officeDocument/2006/relationships/hyperlink" Target="http://ldp.ink/M73C51_hoaky" TargetMode="External"/><Relationship Id="rId2970" Type="http://schemas.openxmlformats.org/officeDocument/2006/relationships/hyperlink" Target="https://patado.edu.vn/gtjapan_nhn3/" TargetMode="External"/><Relationship Id="rId1640" Type="http://schemas.openxmlformats.org/officeDocument/2006/relationships/hyperlink" Target="https://s.net.vn/akg-usa" TargetMode="External"/><Relationship Id="rId2971" Type="http://schemas.openxmlformats.org/officeDocument/2006/relationships/hyperlink" Target="https://patado.edu.vn/gtjapan_nhn3/?utm_source=Facebook&amp;utm_medium=CVS&amp;utm_term=NEW_Japan_1840_none_090426&amp;utm_content=saletructiep_Japan.M636.1840.giaotiep_PTATT_LD265&amp;utm_campaign=Japan.giaotiep.M636xM638_16917_CVS_NamNH_090426" TargetMode="External"/><Relationship Id="rId1641" Type="http://schemas.openxmlformats.org/officeDocument/2006/relationships/hyperlink" Target="https://patadovietnam.edu.vn/tienganhgiaotiep_hn/" TargetMode="External"/><Relationship Id="rId2972" Type="http://schemas.openxmlformats.org/officeDocument/2006/relationships/hyperlink" Target="https://tinyurl.com/M636JPC" TargetMode="External"/><Relationship Id="rId1675" Type="http://schemas.openxmlformats.org/officeDocument/2006/relationships/hyperlink" Target="https://s.net.vn/PTKOC/europe" TargetMode="External"/><Relationship Id="rId1676" Type="http://schemas.openxmlformats.org/officeDocument/2006/relationships/hyperlink" Target="https://patadovietnam.edu.vn/giaotiepchung_hn/" TargetMode="External"/><Relationship Id="rId1677" Type="http://schemas.openxmlformats.org/officeDocument/2006/relationships/hyperlink" Target="https://patadovietnam.edu.vn/giaotiepchung_hn/?utm_source=Facebook&amp;utm_medium=CVS&amp;utm_term=NEW_Europe_1840_none_050624&amp;utm_content=saletructiep_Europe.HTKOC2.1840.giaotiep_PTATT_LD222&amp;utm_campaign=Europe.giaotiep.HTKOC2_16917_CVS_NamNH_050624" TargetMode="External"/><Relationship Id="rId1678" Type="http://schemas.openxmlformats.org/officeDocument/2006/relationships/hyperlink" Target="https://s.net.vn/HTKOC2/europe" TargetMode="External"/><Relationship Id="rId1679" Type="http://schemas.openxmlformats.org/officeDocument/2006/relationships/hyperlink" Target="https://patadovietnam.edu.vn/giaotiepchung_hn/" TargetMode="External"/><Relationship Id="rId849" Type="http://schemas.openxmlformats.org/officeDocument/2006/relationships/hyperlink" Target="https://patadovietnam.edu.vn/khoagiaotiep_all/" TargetMode="External"/><Relationship Id="rId844" Type="http://schemas.openxmlformats.org/officeDocument/2006/relationships/hyperlink" Target="https://patadovietnam.edu.vn/khoagiaotiep_all/?utm_source=Facebook&amp;utm_medium=MES&amp;utm_term=NEW_Australia_1840_none_111223&amp;utm_content=saletructiep_Australia.M35.1840.giaotiep_PTATT_LD212&amp;utm_campaign=Australia.giaotiep.M35_95360_MES_NamNH_111223" TargetMode="External"/><Relationship Id="rId843" Type="http://schemas.openxmlformats.org/officeDocument/2006/relationships/hyperlink" Target="https://patadovietnam.edu.vn/khoagiaotiep_all/" TargetMode="External"/><Relationship Id="rId842" Type="http://schemas.openxmlformats.org/officeDocument/2006/relationships/hyperlink" Target="http://ldp.ink/BA_japan" TargetMode="External"/><Relationship Id="rId841" Type="http://schemas.openxmlformats.org/officeDocument/2006/relationships/hyperlink" Target="https://patadovietnam.edu.vn/khoagiaotiep_all/?utm_source=Facebook&amp;utm_medium=MES&amp;utm_term=NEW_Japan_1840_none_111223&amp;utm_content=saletructiep_Japan.M35.1840.giaotiep_PTATT_LD212&amp;utm_campaign=Japan.giaotiep.M35_16917_CVS_NamNH_111223" TargetMode="External"/><Relationship Id="rId848" Type="http://schemas.openxmlformats.org/officeDocument/2006/relationships/hyperlink" Target="http://ldp.ink/M36note_taiwan" TargetMode="External"/><Relationship Id="rId847" Type="http://schemas.openxmlformats.org/officeDocument/2006/relationships/hyperlink" Target="https://patadovietnam.edu.vn/khoagiaotiep_all/?utm_source=Facebook&amp;utm_medium=MES&amp;utm_term=NEW_Taiwan_1840_none_151223&amp;utm_content=saletructiep_Taiwan.M36anhnote.1840.giaotiep_PTATT_LD212&amp;utm_campaign=Taiwan.giaotiep.M36anhnote_95360_MES_NamNH_151223" TargetMode="External"/><Relationship Id="rId846" Type="http://schemas.openxmlformats.org/officeDocument/2006/relationships/hyperlink" Target="https://patadovietnam.edu.vn/khoagiaotiep_all/" TargetMode="External"/><Relationship Id="rId845" Type="http://schemas.openxmlformats.org/officeDocument/2006/relationships/hyperlink" Target="http://ldp.ink/BA_australia" TargetMode="External"/><Relationship Id="rId1670" Type="http://schemas.openxmlformats.org/officeDocument/2006/relationships/hyperlink" Target="https://patadovietnam.edu.vn/giaotiepchung_hn/" TargetMode="External"/><Relationship Id="rId840" Type="http://schemas.openxmlformats.org/officeDocument/2006/relationships/hyperlink" Target="https://patadovietnam.edu.vn/khoagiaotiep_all/" TargetMode="External"/><Relationship Id="rId1671" Type="http://schemas.openxmlformats.org/officeDocument/2006/relationships/hyperlink" Target="https://patadovietnam.edu.vn/giaotiepchung_hn/?utm_source=Facebook&amp;utm_medium=CVS&amp;utm_term=NEW_Europe_1840_none_050624&amp;utm_content=saletructiep_Europe.ndl.1840.giaotiep_PTATT_LD222&amp;utm_campaign=Europe.giaotiep.ndl_16917_CVS_NamNH_050624" TargetMode="External"/><Relationship Id="rId1672" Type="http://schemas.openxmlformats.org/officeDocument/2006/relationships/hyperlink" Target="https://s.net.vn/ndl/europe" TargetMode="External"/><Relationship Id="rId1673" Type="http://schemas.openxmlformats.org/officeDocument/2006/relationships/hyperlink" Target="https://patadovietnam.edu.vn/giaotiepchung_hn/" TargetMode="External"/><Relationship Id="rId1674" Type="http://schemas.openxmlformats.org/officeDocument/2006/relationships/hyperlink" Target="https://patadovietnam.edu.vn/giaotiepchung_hn/?utm_source=Facebook&amp;utm_medium=CVS&amp;utm_term=NEW_Europe_1840_none_050624&amp;utm_content=saletructiep_Europe.PTKOC.1840.giaotiep_PTATT_LD222&amp;utm_campaign=Europe.giaotiep.PTKOC_16917_CVS_NamNH_050624" TargetMode="External"/><Relationship Id="rId1664" Type="http://schemas.openxmlformats.org/officeDocument/2006/relationships/hyperlink" Target="https://patadovietnam.edu.vn/giaotiep_japan/" TargetMode="External"/><Relationship Id="rId2995" Type="http://schemas.openxmlformats.org/officeDocument/2006/relationships/hyperlink" Target="https://patado.edu.vn/tienganhgiaotiep1_hn/?utm_source=Facebook&amp;utm_medium=CVS&amp;utm_term=NEW_Europe_1840_none_200426&amp;utm_content=saletructiep_Europe.M666.1840.giaotiep_PTATT_LD267&amp;utm_campaign=Europe.giaotiep.M666xM668_16917_CVS_NamNH_200426" TargetMode="External"/><Relationship Id="rId1665" Type="http://schemas.openxmlformats.org/officeDocument/2006/relationships/hyperlink" Target="https://patadovietnam.edu.vn/giaotiep_japan/?utm_source=Facebook&amp;utm_medium=CVS&amp;utm_term=NEW_Japan_1840_none_050624&amp;utm_content=saletructiep_Japan.anhsale13.1840.giaotiep_PTATT_LD227&amp;utm_campaign=Japan.giaotiep.anhsale13_16917_CVS_NamNH_050624" TargetMode="External"/><Relationship Id="rId2996" Type="http://schemas.openxmlformats.org/officeDocument/2006/relationships/hyperlink" Target="https://tinyurl.com/M666xM668EUC" TargetMode="External"/><Relationship Id="rId1666" Type="http://schemas.openxmlformats.org/officeDocument/2006/relationships/hyperlink" Target="https://s.net.vn/as13/japan" TargetMode="External"/><Relationship Id="rId2997" Type="http://schemas.openxmlformats.org/officeDocument/2006/relationships/hyperlink" Target="https://patado.edu.vn/gtjapan_nhn3/" TargetMode="External"/><Relationship Id="rId1667" Type="http://schemas.openxmlformats.org/officeDocument/2006/relationships/hyperlink" Target="https://patadovietnam.edu.vn/giaotiepchung_hn/" TargetMode="External"/><Relationship Id="rId2998" Type="http://schemas.openxmlformats.org/officeDocument/2006/relationships/hyperlink" Target="https://patado.edu.vn/gtjapan_nhn3/?utm_source=Facebook&amp;utm_medium=CVS&amp;utm_term=NEW_Japan_1840_none_200426&amp;utm_content=saletructiep_Japan.M666.1840.giaotiep_PTATT_LD265&amp;utm_campaign=Japan.giaotiep.M666xM668_16917_CVS_NamNH_200426" TargetMode="External"/><Relationship Id="rId1668" Type="http://schemas.openxmlformats.org/officeDocument/2006/relationships/hyperlink" Target="https://patadovietnam.edu.vn/giaotiepchung_hn/?utm_source=Facebook&amp;utm_medium=MES&amp;utm_term=NEW_KoreaSouth_1840_none_050624&amp;utm_content=saletructiep_KoreaSouth.M231.1840.giaotiep_PTATT_LD222&amp;utm_campaign=KoreaSouth.giaotiep.M231_16917_MES_NamNH_050624" TargetMode="External"/><Relationship Id="rId2999" Type="http://schemas.openxmlformats.org/officeDocument/2006/relationships/hyperlink" Target="https://tinyurl.com/M666xM668JPC" TargetMode="External"/><Relationship Id="rId1669" Type="http://schemas.openxmlformats.org/officeDocument/2006/relationships/hyperlink" Target="https://s.net.vn/M231/korea" TargetMode="External"/><Relationship Id="rId839" Type="http://schemas.openxmlformats.org/officeDocument/2006/relationships/hyperlink" Target="http://ldp.ink/BA_taiwan" TargetMode="External"/><Relationship Id="rId838" Type="http://schemas.openxmlformats.org/officeDocument/2006/relationships/hyperlink" Target="https://patadovietnam.edu.vn/khoagiaotiep_all/?utm_source=Facebook&amp;utm_medium=MES&amp;utm_term=NEW_Taiwan_1840_none_111223&amp;utm_content=saletructiep_Taiwan.M35.1840.giaotiep_PTATT_LD212&amp;utm_campaign=Taiwan.giaotiep.M35_95360_MES_NamNH_111223" TargetMode="External"/><Relationship Id="rId833" Type="http://schemas.openxmlformats.org/officeDocument/2006/relationships/hyperlink" Target="http://ldp.ink/ML_taiwan" TargetMode="External"/><Relationship Id="rId832" Type="http://schemas.openxmlformats.org/officeDocument/2006/relationships/hyperlink" Target="https://patadovietnam.edu.vn/khoagiaotiep_all/?utm_source=Facebook&amp;utm_medium=MES&amp;utm_term=NEW_Taiwan_1840_none_091223&amp;utm_content=saletructiep_Taiwan.M82C54.1840.giaotiep_PTATT_LD212&amp;utm_campaign=Taiwan.giaotiep.M82C54_95360_MES_NamNH_091223" TargetMode="External"/><Relationship Id="rId831" Type="http://schemas.openxmlformats.org/officeDocument/2006/relationships/hyperlink" Target="https://patadovietnam.edu.vn/khoagiaotiep_all/" TargetMode="External"/><Relationship Id="rId830" Type="http://schemas.openxmlformats.org/officeDocument/2006/relationships/hyperlink" Target="http://ldp.ink/LT_japan" TargetMode="External"/><Relationship Id="rId837" Type="http://schemas.openxmlformats.org/officeDocument/2006/relationships/hyperlink" Target="https://patadovietnam.edu.vn/khoagiaotiep_all/" TargetMode="External"/><Relationship Id="rId836" Type="http://schemas.openxmlformats.org/officeDocument/2006/relationships/hyperlink" Target="http://ldp.ink/BA_europe" TargetMode="External"/><Relationship Id="rId835" Type="http://schemas.openxmlformats.org/officeDocument/2006/relationships/hyperlink" Target="https://patadovietnam.edu.vn/khoagiaotiep_all/?utm_source=Facebook&amp;utm_medium=CVS&amp;utm_term=NEW_Europe_1840_none_111223&amp;utm_content=saletructiep_Europe.M35.1840.giaotiep_PTATT_LD212&amp;utm_campaign=Europe.giaotiep.M35_16917_CVS_NamNH_111223" TargetMode="External"/><Relationship Id="rId834" Type="http://schemas.openxmlformats.org/officeDocument/2006/relationships/hyperlink" Target="https://patadovietnam.edu.vn/khoagiaotiep_all/" TargetMode="External"/><Relationship Id="rId2990" Type="http://schemas.openxmlformats.org/officeDocument/2006/relationships/hyperlink" Target="https://tinyurl.com/M662xM663USM" TargetMode="External"/><Relationship Id="rId1660" Type="http://schemas.openxmlformats.org/officeDocument/2006/relationships/hyperlink" Target="https://patadovietnam.edu.vn/gtusa1_nhn/?utm_source=Facebook&amp;utm_medium=MES&amp;utm_term=NEW_UnitedStates_1840_none_040624&amp;utm_content=saletructiep_UnitedStates.M235.1840.giaotiep_PTATT_LD161&amp;utm_campaign=UnitedStates.giaotiep.M235_16917_MES_NamNH_040624" TargetMode="External"/><Relationship Id="rId2991" Type="http://schemas.openxmlformats.org/officeDocument/2006/relationships/hyperlink" Target="https://patado.edu.vn/gtjapan_nhn3/" TargetMode="External"/><Relationship Id="rId1661" Type="http://schemas.openxmlformats.org/officeDocument/2006/relationships/hyperlink" Target="https://s.net.vn/M235-hoaky" TargetMode="External"/><Relationship Id="rId2992" Type="http://schemas.openxmlformats.org/officeDocument/2006/relationships/hyperlink" Target="https://patado.edu.vn/gtjapan_nhn3/?utm_source=Facebook&amp;utm_medium=CVS&amp;utm_term=NEW_Japan_1840_none_150426&amp;utm_content=saletructiep_Japan.M661.1840.giaotiep_PTATT_LD265&amp;utm_campaign=Japan.giaotiep.M661xM664_16917_CVS_NamNH_150426" TargetMode="External"/><Relationship Id="rId1662" Type="http://schemas.openxmlformats.org/officeDocument/2006/relationships/hyperlink" Target="https://patadovietnam.edu.vn/giaotiep_japan/" TargetMode="External"/><Relationship Id="rId2993" Type="http://schemas.openxmlformats.org/officeDocument/2006/relationships/hyperlink" Target="https://tinyurl.com/M661xM664JPC" TargetMode="External"/><Relationship Id="rId1663" Type="http://schemas.openxmlformats.org/officeDocument/2006/relationships/hyperlink" Target="https://patadovietnam.edu.vn/giaotiep_japan/?utm_source=Facebook&amp;utm_medium=CVS&amp;utm_term=NEW_Japan_1840_none_050624&amp;utm_content=saletructiep_Japan.M220.1840.giaotiep_PTATT_LD227&amp;utm_campaign=Japan.giaotiep.M220_16917_CVS_NamNH_050624" TargetMode="External"/><Relationship Id="rId2994" Type="http://schemas.openxmlformats.org/officeDocument/2006/relationships/hyperlink" Target="https://patado.edu.vn/tienganhgiaotiep1_hn/" TargetMode="External"/><Relationship Id="rId2148" Type="http://schemas.openxmlformats.org/officeDocument/2006/relationships/hyperlink" Target="https://patadovietnam.edu.vn/tienganhgiaotiep_hn/" TargetMode="External"/><Relationship Id="rId2149" Type="http://schemas.openxmlformats.org/officeDocument/2006/relationships/hyperlink" Target="https://patadovietnam.edu.vn/tienganhgiaotiep_hn/?utm_source=Facebook&amp;utm_medium=MES&amp;utm_term=NEW_ALL_1840_none_201124&amp;utm_content=saletructiep_ALL.M310.1840.giaotiep_PTATT_LD153&amp;utm_campaign=ALL.giaotiep.M310_16917_MES_NamNH_201124" TargetMode="External"/><Relationship Id="rId2140" Type="http://schemas.openxmlformats.org/officeDocument/2006/relationships/hyperlink" Target="https://patadovietnam.edu.vn/gtjapan_nhn3" TargetMode="External"/><Relationship Id="rId2141" Type="http://schemas.openxmlformats.org/officeDocument/2006/relationships/hyperlink" Target="https://patadovietnam.edu.vn/gtjapan_nhn3/?utm_source=Facebook&amp;utm_medium=CVS&amp;utm_term=NEW_Japan_1840_none_201124&amp;utm_content=saletructiep_Japan.M310.1840.giaotiep_PTATT_LD164&amp;utm_campaign=Japan.giaotiep.M310_16917_CVS_NamNH_201124" TargetMode="External"/><Relationship Id="rId2142" Type="http://schemas.openxmlformats.org/officeDocument/2006/relationships/hyperlink" Target="https://patadovietnam.edu.vn/tienganhgiaotiep_hn/" TargetMode="External"/><Relationship Id="rId2143" Type="http://schemas.openxmlformats.org/officeDocument/2006/relationships/hyperlink" Target="https://patadovietnam.edu.vn/tienganhgiaotiep_hn/?utm_source=Facebook&amp;utm_medium=CVS&amp;utm_term=NEW_Europe_1840_none_201124&amp;utm_content=saletructiep_Europe.M310.1840.giaotiep_PTATT_LD153&amp;utm_campaign=Europe.giaotiep.M310_16917_CVS_NamNH_201124" TargetMode="External"/><Relationship Id="rId2144" Type="http://schemas.openxmlformats.org/officeDocument/2006/relationships/hyperlink" Target="https://patadovietnam.edu.vn/tienganhgiaotiep_hn/" TargetMode="External"/><Relationship Id="rId2145" Type="http://schemas.openxmlformats.org/officeDocument/2006/relationships/hyperlink" Target="https://patadovietnam.edu.vn/tienganhgiaotiep_hn/?utm_source=Facebook&amp;utm_medium=MES&amp;utm_term=NEW_ALL_1840_none_201124&amp;utm_content=saletructiep_ALL.M314.1840.giaotiep_PTATT_LD153&amp;utm_campaign=ALL.giaotiep.M314_16917_MES_NamNH_201124" TargetMode="External"/><Relationship Id="rId2146" Type="http://schemas.openxmlformats.org/officeDocument/2006/relationships/hyperlink" Target="https://patadovietnam.edu.vn/tienganhgiaotiep_hn/" TargetMode="External"/><Relationship Id="rId2147" Type="http://schemas.openxmlformats.org/officeDocument/2006/relationships/hyperlink" Target="https://patadovietnam.edu.vn/tienganhgiaotiep_hn/?utm_source=Facebook&amp;utm_medium=MES&amp;utm_term=NEW_ALL_1840_none_201124&amp;utm_content=saletructiep_ALL.M309.1840.giaotiep_PTATT_LD153&amp;utm_campaign=ALL.giaotiep.M309_16917_MES_NamNH_201124" TargetMode="External"/><Relationship Id="rId2137" Type="http://schemas.openxmlformats.org/officeDocument/2006/relationships/hyperlink" Target="https://patadovietnam.edu.vn/gtjapan_nhn3/?utm_source=Facebook&amp;utm_medium=CVS&amp;utm_term=NEW_Japan_1840_none_201124&amp;utm_content=saletructiep_Japan.M309.1840.giaotiep_PTATT_LD164&amp;utm_campaign=Japan.giaotiep.M309_16917_CVS_NamNH_201124" TargetMode="External"/><Relationship Id="rId2138" Type="http://schemas.openxmlformats.org/officeDocument/2006/relationships/hyperlink" Target="https://patadovietnam.edu.vn/tienganhgiaotiep_hn/" TargetMode="External"/><Relationship Id="rId2139" Type="http://schemas.openxmlformats.org/officeDocument/2006/relationships/hyperlink" Target="https://patadovietnam.edu.vn/tienganhgiaotiep_hn/?utm_source=Facebook&amp;utm_medium=CVS&amp;utm_term=NEW_Europe_1840_none_201124&amp;utm_content=saletructiep_Europe.M309.1840.giaotiep_PTATT_LD153&amp;utm_campaign=Europe.giaotiep.M309_16917_CVS_NamNH_201124" TargetMode="External"/><Relationship Id="rId2130" Type="http://schemas.openxmlformats.org/officeDocument/2006/relationships/hyperlink" Target="https://patadovietnam.edu.vn/gtjapan_nhn3" TargetMode="External"/><Relationship Id="rId2131" Type="http://schemas.openxmlformats.org/officeDocument/2006/relationships/hyperlink" Target="https://patadovietnam.edu.vn/gtjapan_nhn3/?utm_source=Facebook&amp;utm_medium=CVS&amp;utm_term=NEW_Japan_1840_none_201124&amp;utm_content=saletructiep_Japan.M314.1840.giaotiep_PTATT_LD164&amp;utm_campaign=Japan.giaotiep.M314_16917_CVS_NamNH_201124" TargetMode="External"/><Relationship Id="rId2132" Type="http://schemas.openxmlformats.org/officeDocument/2006/relationships/hyperlink" Target="https://patadovietnam.edu.vn/tienganhgiaotiep_hn/" TargetMode="External"/><Relationship Id="rId2133" Type="http://schemas.openxmlformats.org/officeDocument/2006/relationships/hyperlink" Target="https://patadovietnam.edu.vn/tienganhgiaotiep_hn/?utm_source=Facebook&amp;utm_medium=CVS&amp;utm_term=NEW_Europe_1840_none_201124&amp;utm_content=saletructiep_Europe.M314.1840.giaotiep_PTATT_LD153&amp;utm_campaign=Europe.giaotiep.M314_16917_CVS_NamNH_201124" TargetMode="External"/><Relationship Id="rId2134" Type="http://schemas.openxmlformats.org/officeDocument/2006/relationships/hyperlink" Target="https://patadovietnam.edu.vn/gtusa1_nhn" TargetMode="External"/><Relationship Id="rId2135" Type="http://schemas.openxmlformats.org/officeDocument/2006/relationships/hyperlink" Target="https://patadovietnam.edu.vn/gtusa1_nhn/?utm_source=Facebook&amp;utm_medium=MES&amp;utm_term=NEW_UnitedStates_1840_none_201124&amp;utm_content=saletructiep_UnitedStates.M309.1840.giaotiep_PTATT_LD161&amp;utm_campaign=UnitedStates.giaotiep.M309_16917_MES_NamNH_201124" TargetMode="External"/><Relationship Id="rId2136" Type="http://schemas.openxmlformats.org/officeDocument/2006/relationships/hyperlink" Target="https://patadovietnam.edu.vn/gtjapan_nhn3" TargetMode="External"/><Relationship Id="rId2160" Type="http://schemas.openxmlformats.org/officeDocument/2006/relationships/hyperlink" Target="https://patadovietnam.edu.vn/gtusa1_nhn" TargetMode="External"/><Relationship Id="rId2161" Type="http://schemas.openxmlformats.org/officeDocument/2006/relationships/hyperlink" Target="https://patadovietnam.edu.vn/gtusa1_nhn/?utm_source=Facebook&amp;utm_medium=MES&amp;utm_term=NEW_UnitedStates_1840_none_021224&amp;utm_content=saletructiep_UnitedStates.M331.1840.giaotiep_PTATT_LD161&amp;utm_campaign=UnitedStates.giaotiep.M331_16917_MES_NamNH_021224" TargetMode="External"/><Relationship Id="rId2162" Type="http://schemas.openxmlformats.org/officeDocument/2006/relationships/hyperlink" Target="https://patadovietnam.edu.vn/tienganhgiaotiep_hn/" TargetMode="External"/><Relationship Id="rId2163" Type="http://schemas.openxmlformats.org/officeDocument/2006/relationships/hyperlink" Target="https://patadovietnam.edu.vn/tienganhgiaotiep_hn/?utm_source=Facebook&amp;utm_medium=CVS&amp;utm_term=NEW_Europe_1840_none_021224&amp;utm_content=saletructiep_Europe.M332.1840.giaotiep_PTATT_LD153&amp;utm_campaign=Europe.giaotiep.M332_16917_CVS_NamNH_021224" TargetMode="External"/><Relationship Id="rId2164" Type="http://schemas.openxmlformats.org/officeDocument/2006/relationships/hyperlink" Target="https://patadovietnam.edu.vn/gtjapan_nhn3" TargetMode="External"/><Relationship Id="rId2165" Type="http://schemas.openxmlformats.org/officeDocument/2006/relationships/hyperlink" Target="https://patadovietnam.edu.vn/gtjapan_nhn3/?utm_source=Facebook&amp;utm_medium=CVS&amp;utm_term=NEW_Japan_1840_none_021224&amp;utm_content=saletructiep_Japan.M332.1840.giaotiep_PTATT_LD164&amp;utm_campaign=Japan.giaotiep.M332_16917_CVS_NamNH_021224" TargetMode="External"/><Relationship Id="rId2166" Type="http://schemas.openxmlformats.org/officeDocument/2006/relationships/hyperlink" Target="https://patadovietnam.edu.vn/gtusa1_nhn" TargetMode="External"/><Relationship Id="rId2167" Type="http://schemas.openxmlformats.org/officeDocument/2006/relationships/hyperlink" Target="https://patadovietnam.edu.vn/gtusa1_nhn/?utm_source=Facebook&amp;utm_medium=MES&amp;utm_term=NEW_UnitedStates_1840_none_021224&amp;utm_content=saletructiep_UnitedStates.M332.1840.giaotiep_PTATT_LD161&amp;utm_campaign=UnitedStates.giaotiep.M332_16917_MES_NamNH_021224" TargetMode="External"/><Relationship Id="rId2168" Type="http://schemas.openxmlformats.org/officeDocument/2006/relationships/hyperlink" Target="https://patadovietnam.edu.vn/tienganhgiaotiep_hn/" TargetMode="External"/><Relationship Id="rId2169" Type="http://schemas.openxmlformats.org/officeDocument/2006/relationships/hyperlink" Target="https://patadovietnam.edu.vn/tienganhgiaotiep_hn/?utm_source=Facebook&amp;utm_medium=CVS&amp;utm_term=NEW_Europe_1840_none_021224&amp;utm_content=saletructiep_Europe.M333.1840.giaotiep_PTATT_LD153&amp;utm_campaign=Europe.giaotiep.M333_16917_CVS_NamNH_021224" TargetMode="External"/><Relationship Id="rId2159" Type="http://schemas.openxmlformats.org/officeDocument/2006/relationships/hyperlink" Target="https://patadovietnam.edu.vn/gtjapan_nhn3/?utm_source=Facebook&amp;utm_medium=CVS&amp;utm_term=NEW_Japan_1840_none_021224&amp;utm_content=saletructiep_Japan.M331.1840.giaotiep_PTATT_LD164&amp;utm_campaign=Japan.giaotiep.M331_16917_CVS_NamNH_021224" TargetMode="External"/><Relationship Id="rId2150" Type="http://schemas.openxmlformats.org/officeDocument/2006/relationships/hyperlink" Target="https://patadovietnam.edu.vn/tienganhgiaotiep_hn/" TargetMode="External"/><Relationship Id="rId2151" Type="http://schemas.openxmlformats.org/officeDocument/2006/relationships/hyperlink" Target="https://patadovietnam.edu.vn/tienganhgiaotiep_hn/?utm_source=Facebook&amp;utm_medium=CVS&amp;utm_term=NEW_Europe_1840_none_201124&amp;utm_content=saletructiep_Europe.M320.1840.giaotiep_PTATT_LD153&amp;utm_campaign=Europe.giaotiep.M320_16917_CVS_NamNH_201124" TargetMode="External"/><Relationship Id="rId2152" Type="http://schemas.openxmlformats.org/officeDocument/2006/relationships/hyperlink" Target="https://patadovietnam.edu.vn/gtjapan_nhn3" TargetMode="External"/><Relationship Id="rId2153" Type="http://schemas.openxmlformats.org/officeDocument/2006/relationships/hyperlink" Target="https://patadovietnam.edu.vn/gtjapan_nhn3/?utm_source=Facebook&amp;utm_medium=CVS&amp;utm_term=NEW_Japan_1840_none_201124&amp;utm_content=saletructiep_Japan.M320.1840.giaotiep_PTATT_LD164&amp;utm_campaign=Japan.giaotiep.M320_16917_CVS_NamNH_201124" TargetMode="External"/><Relationship Id="rId2154" Type="http://schemas.openxmlformats.org/officeDocument/2006/relationships/hyperlink" Target="https://patadovietnam.edu.vn/gtusa1_nhn" TargetMode="External"/><Relationship Id="rId2155" Type="http://schemas.openxmlformats.org/officeDocument/2006/relationships/hyperlink" Target="https://patadovietnam.edu.vn/gtusa1_nhn/?utm_source=Facebook&amp;utm_medium=MES&amp;utm_term=NEW_UnitedStates_1840_none_201124&amp;utm_content=saletructiep_UnitedStates.M320.1840.giaotiep_PTATT_LD161&amp;utm_campaign=UnitedStates.giaotiep.M320_16917_MES_NamNH_201124" TargetMode="External"/><Relationship Id="rId2156" Type="http://schemas.openxmlformats.org/officeDocument/2006/relationships/hyperlink" Target="https://patadovietnam.edu.vn/tienganhgiaotiep_hn/" TargetMode="External"/><Relationship Id="rId2157" Type="http://schemas.openxmlformats.org/officeDocument/2006/relationships/hyperlink" Target="https://patadovietnam.edu.vn/tienganhgiaotiep_hn/?utm_source=Facebook&amp;utm_medium=CVS&amp;utm_term=NEW_Europe_1840_none_021224&amp;utm_content=saletructiep_Europe.M331.1840.giaotiep_PTATT_LD153&amp;utm_campaign=Europe.giaotiep.M331_16917_CVS_NamNH_021224" TargetMode="External"/><Relationship Id="rId2158" Type="http://schemas.openxmlformats.org/officeDocument/2006/relationships/hyperlink" Target="https://patadovietnam.edu.vn/gtjapan_nhn3" TargetMode="External"/><Relationship Id="rId2104" Type="http://schemas.openxmlformats.org/officeDocument/2006/relationships/hyperlink" Target="https://patadovietnam.edu.vn/gtusa1_nhn" TargetMode="External"/><Relationship Id="rId2105" Type="http://schemas.openxmlformats.org/officeDocument/2006/relationships/hyperlink" Target="https://patadovietnam.edu.vn/gtusa1_nhn/?utm_source=Facebook&amp;utm_medium=MES&amp;utm_term=NEW_UnitedStates_1840_none_061124&amp;utm_content=saletructiep_UnitedStates.M296.1840.giaotiep_PTATT_LD161&amp;utm_campaign=UnitedStates.giaotiep.M296_16917_MES_NamNH_061124" TargetMode="External"/><Relationship Id="rId2106" Type="http://schemas.openxmlformats.org/officeDocument/2006/relationships/hyperlink" Target="https://patadovietnam.edu.vn/tienganhgiaotiep_hn/" TargetMode="External"/><Relationship Id="rId2107" Type="http://schemas.openxmlformats.org/officeDocument/2006/relationships/hyperlink" Target="https://patadovietnam.edu.vn/tienganhgiaotiep_hn/?utm_source=Facebook&amp;utm_medium=CVS&amp;utm_term=NEW_Europe_1840_none_061124&amp;utm_content=saletructiep_Europe.M296.1840.giaotiep_PTATT_LD153&amp;utm_campaign=Europe.giaotiep.M296_16917_CVS_NamNH_061124" TargetMode="External"/><Relationship Id="rId2108" Type="http://schemas.openxmlformats.org/officeDocument/2006/relationships/hyperlink" Target="https://patadovietnam.edu.vn/gtjapan_nhn3" TargetMode="External"/><Relationship Id="rId2109" Type="http://schemas.openxmlformats.org/officeDocument/2006/relationships/hyperlink" Target="https://patadovietnam.edu.vn/gtjapan_nhn3/?utm_source=Facebook&amp;utm_medium=CVS&amp;utm_term=NEW_Japan_1840_none_061124&amp;utm_content=saletructiep_Japan.M296.1840.giaotiep_PTATT_LD164&amp;utm_campaign=Japan.giaotiep.M296_16917_CVS_NamNH_061124" TargetMode="External"/><Relationship Id="rId2100" Type="http://schemas.openxmlformats.org/officeDocument/2006/relationships/hyperlink" Target="https://patadovietnam.edu.vn/tienganhgiaotiep_hn/" TargetMode="External"/><Relationship Id="rId2101" Type="http://schemas.openxmlformats.org/officeDocument/2006/relationships/hyperlink" Target="https://patadovietnam.edu.vn/tienganhgiaotiep_hn/?utm_source=Facebook&amp;utm_medium=CVS&amp;utm_term=NEW_Japan_1840_none_061124&amp;utm_content=saletructiep_Japan.M295.1840.giaotiep_PTATT_LD153&amp;utm_campaign=Japan.giaotiep.M295_16917_CVS_NamNH_061124" TargetMode="External"/><Relationship Id="rId2102" Type="http://schemas.openxmlformats.org/officeDocument/2006/relationships/hyperlink" Target="https://patadovietnam.edu.vn/tienganhgiaotiep_hn/" TargetMode="External"/><Relationship Id="rId2103" Type="http://schemas.openxmlformats.org/officeDocument/2006/relationships/hyperlink" Target="https://patadovietnam.edu.vn/tienganhgiaotiep_hn/?utm_source=Facebook&amp;utm_medium=CVS&amp;utm_term=NEW_Europe_1840_none_061124&amp;utm_content=saletructiep_Europe.M295.1840.giaotiep_PTATT_LD153&amp;utm_campaign=Europe.giaotiep.M295_16917_CVS_NamNH_061124" TargetMode="External"/><Relationship Id="rId899" Type="http://schemas.openxmlformats.org/officeDocument/2006/relationships/hyperlink" Target="http://ldp.ink/LMT_hanquoc" TargetMode="External"/><Relationship Id="rId898" Type="http://schemas.openxmlformats.org/officeDocument/2006/relationships/hyperlink" Target="https://patadovietnam.edu.vn/khoagiaotiep_all/?utm_source=Facebook&amp;utm_medium=MES&amp;utm_term=NEW_KoreaSouth_1840_none_231223&amp;utm_content=saletructiep_KoreaSouth.M103C84.1840.giaotiep_PTATT_LD212&amp;utm_campaign=KoreaSouth.giaotiep.M103C86_95360_MES_NamNH_231223" TargetMode="External"/><Relationship Id="rId897" Type="http://schemas.openxmlformats.org/officeDocument/2006/relationships/hyperlink" Target="https://patadovietnam.edu.vn/khoagiaotiep_all/" TargetMode="External"/><Relationship Id="rId896" Type="http://schemas.openxmlformats.org/officeDocument/2006/relationships/hyperlink" Target="http://ldp.ink/LMT_taiwan" TargetMode="External"/><Relationship Id="rId891" Type="http://schemas.openxmlformats.org/officeDocument/2006/relationships/hyperlink" Target="https://patadovietnam.edu.vn/gtjapan_nhn3" TargetMode="External"/><Relationship Id="rId890" Type="http://schemas.openxmlformats.org/officeDocument/2006/relationships/hyperlink" Target="http://ldp.ink/CH42_europe" TargetMode="External"/><Relationship Id="rId895" Type="http://schemas.openxmlformats.org/officeDocument/2006/relationships/hyperlink" Target="https://patadovietnam.edu.vn/khoagiaotiep_all/?utm_source=Facebook&amp;utm_medium=MES&amp;utm_term=NEW_Taiwan_1840_none_231223&amp;utm_content=saletructiep_Taiwan.M103C84.1840.giaotiep_PTATT_LD212&amp;utm_campaign=Taiwan.giaotiep.M103C85_95360_MES_NamNH_231223" TargetMode="External"/><Relationship Id="rId894" Type="http://schemas.openxmlformats.org/officeDocument/2006/relationships/hyperlink" Target="https://patadovietnam.edu.vn/khoagiaotiep_all/" TargetMode="External"/><Relationship Id="rId893" Type="http://schemas.openxmlformats.org/officeDocument/2006/relationships/hyperlink" Target="http://ldp.ink/LMT_japan" TargetMode="External"/><Relationship Id="rId892" Type="http://schemas.openxmlformats.org/officeDocument/2006/relationships/hyperlink" Target="https://patadovietnam.edu.vn/gtjapan_nhn3/?utm_source=Facebook&amp;utm_medium=CVS&amp;utm_term=NEW_Japan_1840_none_231223&amp;utm_content=saletructiep_Japan.M103C84.1840.giaotiep_PTATT_LD164&amp;utm_campaign=Japan.giaotiep.M103C84_16917_CVS_NamNH_231223" TargetMode="External"/><Relationship Id="rId2126" Type="http://schemas.openxmlformats.org/officeDocument/2006/relationships/hyperlink" Target="https://patadovietnam.edu.vn/gtjapan_nhn3" TargetMode="External"/><Relationship Id="rId2127" Type="http://schemas.openxmlformats.org/officeDocument/2006/relationships/hyperlink" Target="https://patadovietnam.edu.vn/gtjapan_nhn3/?utm_source=Facebook&amp;utm_medium=CVS&amp;utm_term=NEW_Japan_1840_none_141124&amp;utm_content=saletructiep_Japan.M311.1840.giaotiep_PTATT_LD164&amp;utm_campaign=Japan.giaotiep.M311_16917_CVS_NamNH_141124" TargetMode="External"/><Relationship Id="rId2128" Type="http://schemas.openxmlformats.org/officeDocument/2006/relationships/hyperlink" Target="https://patadovietnam.edu.vn/gtusa1_nhn" TargetMode="External"/><Relationship Id="rId2129" Type="http://schemas.openxmlformats.org/officeDocument/2006/relationships/hyperlink" Target="https://patadovietnam.edu.vn/gtusa1_nhn/?utm_source=Facebook&amp;utm_medium=MES&amp;utm_term=NEW_UnitedStates_1840_none_201124&amp;utm_content=saletructiep_UnitedStates.M314.1840.giaotiep_PTATT_LD161&amp;utm_campaign=UnitedStates.giaotiep.M314_16917_MES_NamNH_201124" TargetMode="External"/><Relationship Id="rId2120" Type="http://schemas.openxmlformats.org/officeDocument/2006/relationships/hyperlink" Target="https://patadovietnam.edu.vn/gtjapan_nhn3" TargetMode="External"/><Relationship Id="rId2121" Type="http://schemas.openxmlformats.org/officeDocument/2006/relationships/hyperlink" Target="https://patadovietnam.edu.vn/gtjapan_nhn3/?utm_source=Facebook&amp;utm_medium=CVS&amp;utm_term=NEW_Japan_1840_none_141124&amp;utm_content=saletructiep_Japan.M312.1840.giaotiep_PTATT_LD164&amp;utm_campaign=Japan.giaotiep.M312_16917_CVS_NamNH_141124" TargetMode="External"/><Relationship Id="rId2122" Type="http://schemas.openxmlformats.org/officeDocument/2006/relationships/hyperlink" Target="https://patadovietnam.edu.vn/gtusa1_nhn" TargetMode="External"/><Relationship Id="rId2123" Type="http://schemas.openxmlformats.org/officeDocument/2006/relationships/hyperlink" Target="https://patadovietnam.edu.vn/gtusa1_nhn/?utm_source=Facebook&amp;utm_medium=MES&amp;utm_term=NEW_UnitedStates_1840_none_141124&amp;utm_content=saletructiep_UnitedStates.M311.1840.giaotiep_PTATT_LD161&amp;utm_campaign=UnitedStates.giaotiep.M311_16917_MES_NamNH_141124" TargetMode="External"/><Relationship Id="rId2124" Type="http://schemas.openxmlformats.org/officeDocument/2006/relationships/hyperlink" Target="https://patadovietnam.edu.vn/tienganhgiaotiep_hn/" TargetMode="External"/><Relationship Id="rId2125" Type="http://schemas.openxmlformats.org/officeDocument/2006/relationships/hyperlink" Target="https://patadovietnam.edu.vn/tienganhgiaotiep_hn/?utm_source=Facebook&amp;utm_medium=CVS&amp;utm_term=NEW_Europe_1840_none_141124&amp;utm_content=saletructiep_Europe.M311.1840.giaotiep_PTATT_LD153&amp;utm_campaign=Europe.giaotiep.M311_16917_CVS_NamNH_141124" TargetMode="External"/><Relationship Id="rId2115" Type="http://schemas.openxmlformats.org/officeDocument/2006/relationships/hyperlink" Target="https://patadovietnam.edu.vn/gtusa1_nhn/?utm_source=Facebook&amp;utm_medium=MES&amp;utm_term=NEW_UnitedStates_1840_none_061124&amp;utm_content=saletructiep_UnitedStates.M306.1840.giaotiep_PTATT_LD161&amp;utm_campaign=UnitedStates.giaotiep.M306_16917_MES_NamNH_061124" TargetMode="External"/><Relationship Id="rId2116" Type="http://schemas.openxmlformats.org/officeDocument/2006/relationships/hyperlink" Target="https://patadovietnam.edu.vn/gtusa1_nhn" TargetMode="External"/><Relationship Id="rId2117" Type="http://schemas.openxmlformats.org/officeDocument/2006/relationships/hyperlink" Target="https://patadovietnam.edu.vn/gtusa1_nhn/?utm_source=Facebook&amp;utm_medium=MES&amp;utm_term=NEW_UnitedStates_1840_none_141124&amp;utm_content=saletructiep_UnitedStates.M312.1840.giaotiep_PTATT_LD161&amp;utm_campaign=UnitedStates.giaotiep.M312_16917_MES_NamNH_141124" TargetMode="External"/><Relationship Id="rId2118" Type="http://schemas.openxmlformats.org/officeDocument/2006/relationships/hyperlink" Target="https://patadovietnam.edu.vn/tienganhgiaotiep_hn/" TargetMode="External"/><Relationship Id="rId2119" Type="http://schemas.openxmlformats.org/officeDocument/2006/relationships/hyperlink" Target="https://patadovietnam.edu.vn/tienganhgiaotiep_hn/?utm_source=Facebook&amp;utm_medium=CVS&amp;utm_term=NEW_Europe_1840_none_141124&amp;utm_content=saletructiep_Europe.M312.1840.giaotiep_PTATT_LD153&amp;utm_campaign=Europe.giaotiep.M312_16917_CVS_NamNH_141124" TargetMode="External"/><Relationship Id="rId2110" Type="http://schemas.openxmlformats.org/officeDocument/2006/relationships/hyperlink" Target="https://patadovietnam.edu.vn/tienganhgiaotiep_hn/" TargetMode="External"/><Relationship Id="rId2111" Type="http://schemas.openxmlformats.org/officeDocument/2006/relationships/hyperlink" Target="https://patadovietnam.edu.vn/tienganhgiaotiep_hn/?utm_source=Facebook&amp;utm_medium=CVS&amp;utm_term=NEW_Europe_1840_none_061124&amp;utm_content=saletructiep_Europe.M306.1840.giaotiep_PTATT_LD153&amp;utm_campaign=Europe.giaotiep.M306_16917_CVS_NamNH_061124" TargetMode="External"/><Relationship Id="rId2112" Type="http://schemas.openxmlformats.org/officeDocument/2006/relationships/hyperlink" Target="https://patadovietnam.edu.vn/gtjapan_nhn3" TargetMode="External"/><Relationship Id="rId2113" Type="http://schemas.openxmlformats.org/officeDocument/2006/relationships/hyperlink" Target="https://patadovietnam.edu.vn/gtjapan_nhn3/?utm_source=Facebook&amp;utm_medium=CVS&amp;utm_term=NEW_Japan_1840_none_061124&amp;utm_content=saletructiep_Japan.M306.1840.giaotiep_PTATT_LD164&amp;utm_campaign=Japan.giaotiep.M306_16917_CVS_NamNH_061124" TargetMode="External"/><Relationship Id="rId2114" Type="http://schemas.openxmlformats.org/officeDocument/2006/relationships/hyperlink" Target="https://patadovietnam.edu.vn/gtusa1_nhn" TargetMode="External"/></Relationships>
</file>

<file path=xl/worksheets/_rels/sheet7.xml.rels><?xml version="1.0" encoding="UTF-8" standalone="yes"?><Relationships xmlns="http://schemas.openxmlformats.org/package/2006/relationships"><Relationship Id="rId392" Type="http://schemas.openxmlformats.org/officeDocument/2006/relationships/hyperlink" Target="https://patadovietnam.edu.vn/gtjapan_nhn3/?utm_source=Tiktok&amp;utm_medium=MES&amp;utm_term=NEW_Japan_1841_none_050526&amp;utm_content=saletructiep_Japan.P776.1840.giaotiep_THCNGDP_LD164&amp;utm_campaign=Japan.giaotiep.P776_PTD_Tiktok_NamNH_050526" TargetMode="External"/><Relationship Id="rId391" Type="http://schemas.openxmlformats.org/officeDocument/2006/relationships/hyperlink" Target="https://patadovietnam.edu.vn/gtjapan_nhn3" TargetMode="External"/><Relationship Id="rId390" Type="http://schemas.openxmlformats.org/officeDocument/2006/relationships/hyperlink" Target="https://patadovietnam.edu.vn/gtjapan_nhn3/?utm_source=Tiktok&amp;utm_medium=MES&amp;utm_term=NEW_Japan_1841_none_050526&amp;utm_content=saletructiep_Japan.P284.1840.giaotiep_THCNGDP_LD164&amp;utm_campaign=Japan.giaotiep.P284_PTD_Tiktok_NamNH_050526" TargetMode="External"/><Relationship Id="rId385" Type="http://schemas.openxmlformats.org/officeDocument/2006/relationships/hyperlink" Target="https://patado.edu.vn/tienganhgiaotiep1_hn/" TargetMode="External"/><Relationship Id="rId384" Type="http://schemas.openxmlformats.org/officeDocument/2006/relationships/hyperlink" Target="https://patado.edu.vn/tienganhgiaotiep1_hn/?utm_source=Tiktok&amp;utm_medium=MES&amp;utm_term=NEW_ALL_1841_none_150426&amp;utm_content=saletructiep_ALL.P716.1840.giaotiep_THCNGDP_LD267&amp;utm_campaign=ALL.giaotiep.P716_PTD_Tiktok_NamNH_150426" TargetMode="External"/><Relationship Id="rId383" Type="http://schemas.openxmlformats.org/officeDocument/2006/relationships/hyperlink" Target="https://patado.edu.vn/tienganhgiaotiep1_hn/" TargetMode="External"/><Relationship Id="rId382" Type="http://schemas.openxmlformats.org/officeDocument/2006/relationships/hyperlink" Target="https://patadovietnam.edu.vn/gtjapan_nhn3/?utm_source=Tiktok&amp;utm_medium=CVS&amp;utm_term=NEW_Japan_1841_none_130426&amp;utm_content=saletructiep_Japan.P703.1840.giaotiep_THCNGDP_LD164&amp;utm_campaign=Japan.giaotiep.P703_PTD_Tiktok_NamNH_130426" TargetMode="External"/><Relationship Id="rId389" Type="http://schemas.openxmlformats.org/officeDocument/2006/relationships/hyperlink" Target="https://patadovietnam.edu.vn/gtjapan_nhn3" TargetMode="External"/><Relationship Id="rId388" Type="http://schemas.openxmlformats.org/officeDocument/2006/relationships/hyperlink" Target="https://patadovietnam.edu.vn/gtjapan_nhn3/?utm_source=Tiktok&amp;utm_medium=MES&amp;utm_term=NEW_Japan_1841_none_150426&amp;utm_content=saletructiep_Japan.P718.1840.giaotiep_THCNGDP_LD164&amp;utm_campaign=Japan.giaotiep.P718_PTD_Tiktok_NamNH_150426" TargetMode="External"/><Relationship Id="rId387" Type="http://schemas.openxmlformats.org/officeDocument/2006/relationships/hyperlink" Target="https://patadovietnam.edu.vn/gtjapan_nhn3" TargetMode="External"/><Relationship Id="rId386" Type="http://schemas.openxmlformats.org/officeDocument/2006/relationships/hyperlink" Target="https://patado.edu.vn/tienganhgiaotiep1_hn/?utm_source=Tiktok&amp;utm_medium=MES&amp;utm_term=NEW_ALL_1841_none_150426&amp;utm_content=saletructiep_ALL.P717.1840.giaotiep_THCNGDP_LD267&amp;utm_campaign=ALL.giaotiep.P717_PTD_Tiktok_NamNH_150426" TargetMode="External"/><Relationship Id="rId381" Type="http://schemas.openxmlformats.org/officeDocument/2006/relationships/hyperlink" Target="https://patadovietnam.edu.vn/gtjapan_nhn3" TargetMode="External"/><Relationship Id="rId380" Type="http://schemas.openxmlformats.org/officeDocument/2006/relationships/hyperlink" Target="https://patado.edu.vn/tienganhgiaotiep1_hn/?utm_source=Tiktok&amp;utm_medium=CVS&amp;utm_term=NEW_ALL_1841_none_130426&amp;utm_content=saletructiep_ALL.P702.1840.giaotiep_THCNGDP_LD267&amp;utm_campaign=ALL.giaotiep.P702_PTD_Tiktok_NamNH_130426" TargetMode="External"/><Relationship Id="rId379" Type="http://schemas.openxmlformats.org/officeDocument/2006/relationships/hyperlink" Target="https://patado.edu.vn/tienganhgiaotiep1_hn/" TargetMode="External"/><Relationship Id="rId374" Type="http://schemas.openxmlformats.org/officeDocument/2006/relationships/hyperlink" Target="https://patadovietnam.edu.vn/tienganhgiaotiep_hn/?utm_source=Tiktok&amp;utm_medium=MES&amp;utm_term=NEW_ALL_1841_none_060426&amp;utm_content=saletructiep_ALL.P686.1840.giaotiep_THCNGDP_LD153&amp;utm_campaign=ALL.giaotiep.P686_PTD_Tiktok_NamNH_060426" TargetMode="External"/><Relationship Id="rId373" Type="http://schemas.openxmlformats.org/officeDocument/2006/relationships/hyperlink" Target="https://patadovietnam.edu.vn/tienganhgiaotiep_hn/" TargetMode="External"/><Relationship Id="rId372" Type="http://schemas.openxmlformats.org/officeDocument/2006/relationships/hyperlink" Target="https://patadovietnam.edu.vn/tienganhgiaotiep_hn/?utm_source=Tiktok&amp;utm_medium=MES&amp;utm_term=NEW_Japan_1841_none_060426&amp;utm_content=saletructiep_Japan.P685.1840.giaotiep_THCNGDP_LD153&amp;utm_campaign=Japan.giaotiep.P685_PTD_Tiktok_NamNH_060426" TargetMode="External"/><Relationship Id="rId371" Type="http://schemas.openxmlformats.org/officeDocument/2006/relationships/hyperlink" Target="https://patadovietnam.edu.vn/tienganhgiaotiep_hn/" TargetMode="External"/><Relationship Id="rId378" Type="http://schemas.openxmlformats.org/officeDocument/2006/relationships/hyperlink" Target="https://patado.edu.vn/tienganhgiaotiep1_hn/?utm_source=Tiktok&amp;utm_medium=CVS&amp;utm_term=NEW_ALL_1841_none_060426&amp;utm_content=saletructiep_ALL.P701.1840.giaotiep_THCNGDP_LD267&amp;utm_campaign=ALL.giaotiep.P701_PTD_Tiktok_NamNH_060426" TargetMode="External"/><Relationship Id="rId377" Type="http://schemas.openxmlformats.org/officeDocument/2006/relationships/hyperlink" Target="https://patado.edu.vn/tienganhgiaotiep1_hn/" TargetMode="External"/><Relationship Id="rId376" Type="http://schemas.openxmlformats.org/officeDocument/2006/relationships/hyperlink" Target="https://patado.edu.vn/tienganhgiaotiep1_hn/?utm_source=Tiktok&amp;utm_medium=CVS&amp;utm_term=NEW_Europe_1841_none_060426&amp;utm_content=saletructiep_Europe.P700.1840.giaotiep_THCNGDP_LD267&amp;utm_campaign=Europe.giaotiep.P700_PTD_Tiktok_NamNH_060426" TargetMode="External"/><Relationship Id="rId375" Type="http://schemas.openxmlformats.org/officeDocument/2006/relationships/hyperlink" Target="https://patado.edu.vn/tienganhgiaotiep1_hn/" TargetMode="External"/><Relationship Id="rId396" Type="http://schemas.openxmlformats.org/officeDocument/2006/relationships/hyperlink" Target="https://patadovietnam.edu.vn/tienganhgiaotiep_hn/?utm_source=Tiktok&amp;utm_medium=MES&amp;utm_term=NEW_ALL_1841_none_050526&amp;utm_content=saletructiep_ALL.P778.1840.giaotiep_THCNGDP_LD153&amp;utm_campaign=ALL.giaotiep.P778_PTD_Tiktok_NamNH_050526" TargetMode="External"/><Relationship Id="rId395" Type="http://schemas.openxmlformats.org/officeDocument/2006/relationships/hyperlink" Target="https://patadovietnam.edu.vn/tienganhgiaotiep_hn/" TargetMode="External"/><Relationship Id="rId394" Type="http://schemas.openxmlformats.org/officeDocument/2006/relationships/hyperlink" Target="https://patado.edu.vn/tienganhgiaotiep1_hn/?utm_source=Tiktok&amp;utm_medium=MES&amp;utm_term=NEW_Europe_1841_none_050526&amp;utm_content=saletructiep_Europe.P777.1840.giaotiep_THCNGDP_LD267&amp;utm_campaign=Europe.giaotiep.P777_PTD_Tiktok_NamNH_050526" TargetMode="External"/><Relationship Id="rId393" Type="http://schemas.openxmlformats.org/officeDocument/2006/relationships/hyperlink" Target="https://patado.edu.vn/tienganhgiaotiep1_hn/" TargetMode="External"/><Relationship Id="rId399" Type="http://schemas.openxmlformats.org/officeDocument/2006/relationships/hyperlink" Target="https://patado.edu.vn/tienganhgiaotiep1_hn/" TargetMode="External"/><Relationship Id="rId398" Type="http://schemas.openxmlformats.org/officeDocument/2006/relationships/hyperlink" Target="https://patado.edu.vn/tienganhgiaotiep1_hn/?utm_source=Tiktok&amp;utm_medium=CVS&amp;utm_term=NEW_ALL_1841_none_080526&amp;utm_content=saletructiep_ALL.P795.1840.giaotiep_THCNGDP_LD267&amp;utm_campaign=ALL.giaotiep.P795_PTD_Tiktok_NamNH_080526" TargetMode="External"/><Relationship Id="rId397" Type="http://schemas.openxmlformats.org/officeDocument/2006/relationships/hyperlink" Target="https://patado.edu.vn/tienganhgiaotiep1_hn/" TargetMode="External"/><Relationship Id="rId40" Type="http://schemas.openxmlformats.org/officeDocument/2006/relationships/hyperlink" Target="https://patadovietnam.edu.vn/gtjapan_nhn3/?utm_source=Tiktok&amp;utm_medium=CVS&amp;utm_term=NEW_Japan_1840_none_070225&amp;utm_content=saletructiep_Japan.TNM123CVS.1840.M123_THCNGDP_LD164&amp;utm_campaign=Japan.giaotiep.TNM123CVS_PTD_Tiktok_NamNH_070225" TargetMode="External"/><Relationship Id="rId42" Type="http://schemas.openxmlformats.org/officeDocument/2006/relationships/hyperlink" Target="https://patadovietnam.edu.vn/gtjapan_nhn3/?utm_source=Tiktok&amp;utm_medium=MES&amp;utm_term=NEW_Japan_1840_none_070225&amp;utm_content=saletructiep_Japan.M300MES.1840.M123_THCNGDP_LD164&amp;utm_campaign=Japan.giaotiep.M300MES_PTD_Tiktok_NamNH_070225" TargetMode="External"/><Relationship Id="rId41" Type="http://schemas.openxmlformats.org/officeDocument/2006/relationships/hyperlink" Target="https://patadovietnam.edu.vn/gtjapan_nhn3" TargetMode="External"/><Relationship Id="rId44" Type="http://schemas.openxmlformats.org/officeDocument/2006/relationships/hyperlink" Target="https://patadovietnam.edu.vn/gtjapan_nhn3/?utm_source=Tiktok&amp;utm_medium=CVS&amp;utm_term=NEW_Japan_1840_none_070225&amp;utm_content=saletructiep_Japan.M106CVS.1840.M123_THCNGDP_LD164&amp;utm_campaign=Japan.giaotiep.M106CVS_PTD_Tiktok_NamNH_070225" TargetMode="External"/><Relationship Id="rId43" Type="http://schemas.openxmlformats.org/officeDocument/2006/relationships/hyperlink" Target="https://patadovietnam.edu.vn/gtjapan_nhn3" TargetMode="External"/><Relationship Id="rId46" Type="http://schemas.openxmlformats.org/officeDocument/2006/relationships/hyperlink" Target="https://patadovietnam.edu.vn/tienganhgiaotiep_hn/?utm_source=Tiktok&amp;utm_medium=CVS&amp;utm_term=NEW_Japan_1840_none_070225&amp;utm_content=saletructiep_Japan.M48CVS.1840.M356_THCNGDP_LD153&amp;utm_campaign=Japan.giaotiep.M48CVS_PTD_Tiktok_NamNH_070225" TargetMode="External"/><Relationship Id="rId45" Type="http://schemas.openxmlformats.org/officeDocument/2006/relationships/hyperlink" Target="https://patadovietnam.edu.vn/tienganhgiaotiep_hn/" TargetMode="External"/><Relationship Id="rId48" Type="http://schemas.openxmlformats.org/officeDocument/2006/relationships/hyperlink" Target="https://patadovietnam.edu.vn/gtjapan_nhn3/?utm_source=Tiktok&amp;utm_medium=CVS&amp;utm_term=NEW_Japan_1840_none_070225&amp;utm_content=saletructiep_Japan.M12CVS.1840.M356_THCNGDP_LD164&amp;utm_campaign=Japan.giaotiep.M12CVS_PTD_Tiktok_NamNH_070225" TargetMode="External"/><Relationship Id="rId47" Type="http://schemas.openxmlformats.org/officeDocument/2006/relationships/hyperlink" Target="https://patadovietnam.edu.vn/gtjapan_nhn3" TargetMode="External"/><Relationship Id="rId49" Type="http://schemas.openxmlformats.org/officeDocument/2006/relationships/hyperlink" Target="https://patadovietnam.edu.vn/tienganhgiaotiep_hn/" TargetMode="External"/><Relationship Id="rId31" Type="http://schemas.openxmlformats.org/officeDocument/2006/relationships/hyperlink" Target="https://patadovietnam.edu.vn/gtusa1_nhn" TargetMode="External"/><Relationship Id="rId30" Type="http://schemas.openxmlformats.org/officeDocument/2006/relationships/hyperlink" Target="https://patadovietnam.edu.vn/tienganhgiaotiep_hn/?utm_source=Tiktok&amp;utm_medium=CVS&amp;utm_term=NEW_Europe_1840_none_100125&amp;utm_content=saletructiep_Europe.C1.1840.JHCVS_THCNGDP_LD153&amp;utm_campaign=Europe.giaotiep.JHCVS_PTD_Tiktok_NamNH_100125" TargetMode="External"/><Relationship Id="rId33" Type="http://schemas.openxmlformats.org/officeDocument/2006/relationships/hyperlink" Target="https://patadovietnam.edu.vn/gtjapan_nhn3" TargetMode="External"/><Relationship Id="rId32" Type="http://schemas.openxmlformats.org/officeDocument/2006/relationships/hyperlink" Target="https://patadovietnam.edu.vn/gtusa1_nhn/?utm_source=Tiktok&amp;utm_medium=CVS&amp;utm_term=NEW_UnitedStates_1840_none_100125&amp;utm_content=saletructiep_UnitedStates.C1.1840.JHCVS_THCNGDP_LD161&amp;utm_campaign=UnitedStates.giaotiep.JHCVS_PTD_Tiktok_NamNH_100125" TargetMode="External"/><Relationship Id="rId35" Type="http://schemas.openxmlformats.org/officeDocument/2006/relationships/hyperlink" Target="https://patadovietnam.edu.vn/tienganhgiaotiep_hn/" TargetMode="External"/><Relationship Id="rId34" Type="http://schemas.openxmlformats.org/officeDocument/2006/relationships/hyperlink" Target="https://patadovietnam.edu.vn/gtjapan_nhn3/?utm_source=Tiktok&amp;utm_medium=CVS&amp;utm_term=NEW_Japan_1840_none_100125&amp;utm_content=saletructiep_Japan.M331.1840.M356_THCNGDP_LD164&amp;utm_campaign=Japan.giaotiep.M331_PTD_Tiktok_NamNH_100125" TargetMode="External"/><Relationship Id="rId37" Type="http://schemas.openxmlformats.org/officeDocument/2006/relationships/hyperlink" Target="https://patadovietnam.edu.vn/gtjapan_nhn3" TargetMode="External"/><Relationship Id="rId36" Type="http://schemas.openxmlformats.org/officeDocument/2006/relationships/hyperlink" Target="https://patadovietnam.edu.vn/tienganhgiaotiep_hn/?utm_source=Tiktok&amp;utm_medium=CVS&amp;utm_term=NEW_Europe_1840_none_110125&amp;utm_content=saletructiep_Europe.C2.1840.M369_THCNGDP_LD153&amp;utm_campaign=Europe.giaotiep.M369CVS_PTD_Tiktok_NamNH_110125" TargetMode="External"/><Relationship Id="rId39" Type="http://schemas.openxmlformats.org/officeDocument/2006/relationships/hyperlink" Target="https://patadovietnam.edu.vn/gtjapan_nhn3" TargetMode="External"/><Relationship Id="rId38" Type="http://schemas.openxmlformats.org/officeDocument/2006/relationships/hyperlink" Target="https://patadovietnam.edu.vn/gtjapan_nhn3/?utm_source=Tiktok&amp;utm_medium=CVS&amp;utm_term=NEW_Japan_1840_none_110125&amp;utm_content=saletructiep_Japan.M369CVS.1840.M356_THCNGDP_LD164&amp;utm_campaign=Japan.giaotiep.M369CVS_PTD_Tiktok_NamNH_110125" TargetMode="External"/><Relationship Id="rId20" Type="http://schemas.openxmlformats.org/officeDocument/2006/relationships/hyperlink" Target="https://patadovietnam.edu.vn/gtusa1_nhn/?utm_source=&amp;utm_medium=&amp;utm_term=!!!&amp;utm_content=!!!&amp;utm_campaign=!!!" TargetMode="External"/><Relationship Id="rId22" Type="http://schemas.openxmlformats.org/officeDocument/2006/relationships/hyperlink" Target="https://patadovietnam.edu.vn/tienganhgiaotiep_hn/?utm_source=Tiktok&amp;utm_medium=CVS&amp;utm_term=NEW_KoreaSouth_1840_none_100125&amp;utm_content=saletructiep_KoreaSouth.C1.1840.M364TTCVS_THCNGDP_LD153&amp;utm_campaign=KoreaSouth.giaotiep.M364TTCVS_PTD_Tiktok_NamNH_100125" TargetMode="External"/><Relationship Id="rId21" Type="http://schemas.openxmlformats.org/officeDocument/2006/relationships/hyperlink" Target="https://patadovietnam.edu.vn/tienganhgiaotiep_hn/" TargetMode="External"/><Relationship Id="rId24" Type="http://schemas.openxmlformats.org/officeDocument/2006/relationships/hyperlink" Target="https://patadovietnam.edu.vn/gtusa1_nhn/?utm_source=Tiktok&amp;utm_medium=MES&amp;utm_term=NEW_UnitedStates_1840_none_100125&amp;utm_content=saletructiep_UnitedStates.C1.1840.M364TTMES_THCNGDP_LD161&amp;utm_campaign=UnitedStates.giaotiep.M364TTMES_PTD_Tiktok_NamNH_100125" TargetMode="External"/><Relationship Id="rId23" Type="http://schemas.openxmlformats.org/officeDocument/2006/relationships/hyperlink" Target="https://patadovietnam.edu.vn/gtusa1_nhn" TargetMode="External"/><Relationship Id="rId26" Type="http://schemas.openxmlformats.org/officeDocument/2006/relationships/hyperlink" Target="https://patadovietnam.edu.vn/tienganhgiaotiep_hn/?utm_source=Tiktok&amp;utm_medium=MES&amp;utm_term=NEW_Australia_1840_none_100125&amp;utm_content=saletructiep_Australia.C1.1840.M364TTMES_THCNGDP_LD153&amp;utm_campaign=Australia.giaotiep.M364TTMES_PTD_Tiktok_NamNH_100125" TargetMode="External"/><Relationship Id="rId25" Type="http://schemas.openxmlformats.org/officeDocument/2006/relationships/hyperlink" Target="https://patadovietnam.edu.vn/tienganhgiaotiep_hn/" TargetMode="External"/><Relationship Id="rId28" Type="http://schemas.openxmlformats.org/officeDocument/2006/relationships/hyperlink" Target="https://patadovietnam.edu.vn/gtjapan_nhn3/?utm_source=Tiktok&amp;utm_medium=CVS&amp;utm_term=NEW_Japan_1840_none_100125&amp;utm_content=saletructiep_Japan.JHCVS.1840.M356_THCNGDP_LD164&amp;utm_campaign=Japan.giaotiep.JHCVS_PTD_Tiktok_NamNH_100125" TargetMode="External"/><Relationship Id="rId27" Type="http://schemas.openxmlformats.org/officeDocument/2006/relationships/hyperlink" Target="https://patadovietnam.edu.vn/gtjapan_nhn3" TargetMode="External"/><Relationship Id="rId29" Type="http://schemas.openxmlformats.org/officeDocument/2006/relationships/hyperlink" Target="https://patadovietnam.edu.vn/tienganhgiaotiep_hn/" TargetMode="External"/><Relationship Id="rId11" Type="http://schemas.openxmlformats.org/officeDocument/2006/relationships/hyperlink" Target="http://ldp.to/Australia_NamNH" TargetMode="External"/><Relationship Id="rId10" Type="http://schemas.openxmlformats.org/officeDocument/2006/relationships/hyperlink" Target="https://patadovietnam.edu.vn/tienganhgiaotiep_hn/?utm_source=Facebook&amp;utm_medium=MES&amp;utm_term=NEW_Australia_2045_none_110423&amp;utm_content=saletructiep_Australia.anhgiaotiep2.2045.giaotiep_PTATT_LD153&amp;utm_campaign=Australia.giaotiep.anhgiaotiep2_95360_MES_NamNH_110423" TargetMode="External"/><Relationship Id="rId13" Type="http://schemas.openxmlformats.org/officeDocument/2006/relationships/hyperlink" Target="http://japan.gt/" TargetMode="External"/><Relationship Id="rId12" Type="http://schemas.openxmlformats.org/officeDocument/2006/relationships/hyperlink" Target="https://patadovietnam.edu.vn/tienganhgiaotiep_hn/" TargetMode="External"/><Relationship Id="rId15" Type="http://schemas.openxmlformats.org/officeDocument/2006/relationships/hyperlink" Target="https://patadovietnam.edu.vn/gtjapan_nhn3" TargetMode="External"/><Relationship Id="rId14" Type="http://schemas.openxmlformats.org/officeDocument/2006/relationships/hyperlink" Target="https://patadovietnam.edu.vn/tienganhgiaotiep_hn/?utm_source=Tiktok&amp;utm_medium=CVS&amp;utm_term=NEW_Japan_1840_none_010125&amp;utm_content=saletructiep_Japan.C1.1840.M355_THCNGDP_LD153&amp;utm_campaign=Japan.giaotiep.M355CVS_PTD_Tiktok_NamNH_010125" TargetMode="External"/><Relationship Id="rId17" Type="http://schemas.openxmlformats.org/officeDocument/2006/relationships/hyperlink" Target="https://patadovietnam.edu.vn/tienganhgiaotiep_hn/" TargetMode="External"/><Relationship Id="rId16" Type="http://schemas.openxmlformats.org/officeDocument/2006/relationships/hyperlink" Target="https://patadovietnam.edu.vn/gtjapan_nhn3/?utm_source=Tiktok&amp;utm_medium=CVS&amp;utm_term=NEW_Japan_1840_none_100125&amp;utm_content=saletructiep_Japan.C1.1840.M356_THCNGDP_LD164&amp;utm_campaign=Japan.giaotiep.M364TTCVS_PTD_Tiktok_NamNH_100125" TargetMode="External"/><Relationship Id="rId19" Type="http://schemas.openxmlformats.org/officeDocument/2006/relationships/hyperlink" Target="https://patadovietnam.edu.vn/gtusa1_nhn" TargetMode="External"/><Relationship Id="rId18" Type="http://schemas.openxmlformats.org/officeDocument/2006/relationships/hyperlink" Target="https://patadovietnam.edu.vn/tienganhgiaotiep_hn/?utm_source=Tiktok&amp;utm_medium=CVS&amp;utm_term=NEW_Europe_1840_none_100125&amp;utm_content=saletructiep_Japan.C1.1840.M364TTCVS_THCNGDP_LD153&amp;utm_campaign=Europe.giaotiep.M364TTCVS_PTD_Tiktok_NamNH_100125" TargetMode="External"/><Relationship Id="rId84" Type="http://schemas.openxmlformats.org/officeDocument/2006/relationships/hyperlink" Target="https://patadovietnam.edu.vn/tienganhgiaotiep_hn/?utm_source=Tiktok&amp;utm_medium=CVS&amp;utm_term=NEW_KoreaSouth_1840_none_280225&amp;utm_content=saletructiep_KoreaSouth.M300CVS.1840.M300CVS_THCNGDP_LD153&amp;utm_campaign=KoreaSouth.giaotiep.M300CVS_PTD_Tiktok_NamNH_280225" TargetMode="External"/><Relationship Id="rId83" Type="http://schemas.openxmlformats.org/officeDocument/2006/relationships/hyperlink" Target="https://patadovietnam.edu.vn/tienganhgiaotiep_hn/" TargetMode="External"/><Relationship Id="rId86" Type="http://schemas.openxmlformats.org/officeDocument/2006/relationships/hyperlink" Target="https://patadovietnam.edu.vn/tienganhgiaotiep_hn/?utm_source=Tiktok&amp;utm_medium=CVS&amp;utm_term=NEW_KoreaSouth_1840_none_280225&amp;utm_content=saletructiep_KoreaSouth.JHCVS.1840.JHCVS_THCNGDP_LD153&amp;utm_campaign=KoreaSouth.giaotiep.JHCVS_PTD_Tiktok_NamNH_280225" TargetMode="External"/><Relationship Id="rId85" Type="http://schemas.openxmlformats.org/officeDocument/2006/relationships/hyperlink" Target="https://patadovietnam.edu.vn/tienganhgiaotiep_hn/" TargetMode="External"/><Relationship Id="rId88" Type="http://schemas.openxmlformats.org/officeDocument/2006/relationships/hyperlink" Target="https://patadovietnam.edu.vn/tienganhgiaotiep_hn/?utm_source=Tiktok&amp;utm_medium=CVS&amp;utm_term=NEW_Europe_1840_none_280225&amp;utm_content=saletructiep_Europe.M18CVS.1840.M18CVS_THCNGDP_LD153&amp;utm_campaign=Europe.giaotiep.M18CVS_PTD_Tiktok_NamNH_280225" TargetMode="External"/><Relationship Id="rId87" Type="http://schemas.openxmlformats.org/officeDocument/2006/relationships/hyperlink" Target="https://patadovietnam.edu.vn/tienganhgiaotiep_hn/" TargetMode="External"/><Relationship Id="rId89" Type="http://schemas.openxmlformats.org/officeDocument/2006/relationships/hyperlink" Target="https://patadovietnam.edu.vn/gtjapan_nhn3" TargetMode="External"/><Relationship Id="rId80" Type="http://schemas.openxmlformats.org/officeDocument/2006/relationships/hyperlink" Target="https://patadovietnam.edu.vn/tienganhgiaotiep_hn/?utm_source=Tiktok&amp;utm_medium=CVS&amp;utm_term=NEW_ALL_1840_none_280225&amp;utm_content=saletructiep_ALL.M300CVS.1840.M300CVS_THCNGDP_LD153&amp;utm_campaign=ALL.giaotiep.M300CVS_PTD_Tiktok_NamNH_280225" TargetMode="External"/><Relationship Id="rId82" Type="http://schemas.openxmlformats.org/officeDocument/2006/relationships/hyperlink" Target="https://patadovietnam.edu.vn/tienganhgiaotiep_hn/?utm_source=Tiktok&amp;utm_medium=CVS&amp;utm_term=NEW_ALL_1840_none_280225&amp;utm_content=saletructiep_ALL.M123CVS.1840.M123CVS_THCNGDP_LD153&amp;utm_campaign=ALL.giaotiep.M123CVS_PTD_Tiktok_NamNH_280225" TargetMode="External"/><Relationship Id="rId81" Type="http://schemas.openxmlformats.org/officeDocument/2006/relationships/hyperlink" Target="https://patadovietnam.edu.vn/tienganhgiaotiep_hn/" TargetMode="External"/><Relationship Id="rId73" Type="http://schemas.openxmlformats.org/officeDocument/2006/relationships/hyperlink" Target="https://patadovietnam.edu.vn/gtjapan_nhn3" TargetMode="External"/><Relationship Id="rId72" Type="http://schemas.openxmlformats.org/officeDocument/2006/relationships/hyperlink" Target="https://patadovietnam.edu.vn/tienganhgiaotiep_hn/?utm_source=Tiktok&amp;utm_medium=CVS&amp;utm_term=NEW_Europe_1840_none_200225&amp;utm_content=saletructiep_Europe.M384CVS.1840.M384CVS_THCNGDP_LD153&amp;utm_campaign=Europe.giaotiep.M384CVS_PTD_Tiktok_NamNH_200225" TargetMode="External"/><Relationship Id="rId75" Type="http://schemas.openxmlformats.org/officeDocument/2006/relationships/hyperlink" Target="https://patadovietnam.edu.vn/gtjapan_nhn3" TargetMode="External"/><Relationship Id="rId74" Type="http://schemas.openxmlformats.org/officeDocument/2006/relationships/hyperlink" Target="https://patadovietnam.edu.vn/gtjapan_nhn3/?utm_source=Tiktok&amp;utm_medium=LEAD&amp;utm_term=NEW_Japan_1840_none_200225&amp;utm_content=saletructiep_Japan.M385LEAD.1840.M385LEAD_THCNGDP_LD164&amp;utm_campaign=Japan.giaotiep.M385LEAD_PTD_Tiktok_NamNH_200225" TargetMode="External"/><Relationship Id="rId77" Type="http://schemas.openxmlformats.org/officeDocument/2006/relationships/hyperlink" Target="https://patadovietnam.edu.vn/gtjapan_nhn3" TargetMode="External"/><Relationship Id="rId76" Type="http://schemas.openxmlformats.org/officeDocument/2006/relationships/hyperlink" Target="https://patadovietnam.edu.vn/gtjapan_nhn3/?utm_source=Tiktok&amp;utm_medium=LEAD&amp;utm_term=NEW_Japan_1840_none_200225&amp;utm_content=saletructiep_Japan.M300LEAD.1840.M300LEAD_THCNGDP_LD164&amp;utm_campaign=Japan.giaotiep.M300LEAD_PTD_Tiktok_NamNH_200225" TargetMode="External"/><Relationship Id="rId79" Type="http://schemas.openxmlformats.org/officeDocument/2006/relationships/hyperlink" Target="https://patadovietnam.edu.vn/tienganhgiaotiep_hn/" TargetMode="External"/><Relationship Id="rId78" Type="http://schemas.openxmlformats.org/officeDocument/2006/relationships/hyperlink" Target="https://patadovietnam.edu.vn/gtjapan_nhn3/?utm_source=Tiktok&amp;utm_medium=CVS&amp;utm_term=NEW_Japan_1840_none_200225&amp;utm_content=saletructiep_Japan.M392MES.1840.M392MES_THCNGDP_LD164&amp;utm_campaign=Japan.giaotiep.M392MES_PTD_Tiktok_NamNH_200225" TargetMode="External"/><Relationship Id="rId71" Type="http://schemas.openxmlformats.org/officeDocument/2006/relationships/hyperlink" Target="https://patadovietnam.edu.vn/tienganhgiaotiep_hn/" TargetMode="External"/><Relationship Id="rId70" Type="http://schemas.openxmlformats.org/officeDocument/2006/relationships/hyperlink" Target="https://patadovietnam.edu.vn/tienganhgiaotiep_hn/?utm_source=Tiktok&amp;utm_medium=CVS&amp;utm_term=NEW_Europe_1840_none_200225&amp;utm_content=saletructiep_Europe.M382CVS.1840.M382CVS_THCNGDP_LD153&amp;utm_campaign=Europe.giaotiep.M382CVS_PTD_Tiktok_NamNH_200225" TargetMode="External"/><Relationship Id="rId62" Type="http://schemas.openxmlformats.org/officeDocument/2006/relationships/hyperlink" Target="https://patadovietnam.edu.vn/tienganhgiaotiep_hn/?utm_source=Tiktok&amp;utm_medium=MES&amp;utm_term=NEW_Australia_1840_none_150225&amp;utm_content=saletructiep_Australia.M123MES.1840.M123_THCNGDP_LD153&amp;utm_campaign=Australia.giaotiep.M123MES_PTD_Tiktok_NamNH_150225" TargetMode="External"/><Relationship Id="rId61" Type="http://schemas.openxmlformats.org/officeDocument/2006/relationships/hyperlink" Target="https://patadovietnam.edu.vn/tienganhgiaotiep_hn/" TargetMode="External"/><Relationship Id="rId64" Type="http://schemas.openxmlformats.org/officeDocument/2006/relationships/hyperlink" Target="https://patadovietnam.edu.vn/tienganhgiaotiep_hn/?utm_source=Tiktok&amp;utm_medium=CVS&amp;utm_term=NEW_Europe_1840_none_150225&amp;utm_content=saletructiep_Europe.M123CVS.1840.M123CVS_THCNGDP_LD153&amp;utm_campaign=Europe.giaotiep.M123CVS_PTD_Tiktok_NamNH_150225" TargetMode="External"/><Relationship Id="rId63" Type="http://schemas.openxmlformats.org/officeDocument/2006/relationships/hyperlink" Target="https://patadovietnam.edu.vn/tienganhgiaotiep_hn/" TargetMode="External"/><Relationship Id="rId66" Type="http://schemas.openxmlformats.org/officeDocument/2006/relationships/hyperlink" Target="https://patadovietnam.edu.vn/gtjapan_nhn3/?utm_source=Tiktok&amp;utm_medium=CVS&amp;utm_term=NEW_Japan_1840_none_150225&amp;utm_content=saletructiep_Japan.M382CVS.1840.M382CVS_THCNGDP_LD164&amp;utm_campaign=Japan.giaotiep.M382CVS_PTD_Tiktok_NamNH_150225" TargetMode="External"/><Relationship Id="rId65" Type="http://schemas.openxmlformats.org/officeDocument/2006/relationships/hyperlink" Target="https://patadovietnam.edu.vn/gtjapan_nhn3" TargetMode="External"/><Relationship Id="rId68" Type="http://schemas.openxmlformats.org/officeDocument/2006/relationships/hyperlink" Target="https://patadovietnam.edu.vn/gtjapan_nhn3/?utm_source=Tiktok&amp;utm_medium=CVS&amp;utm_term=NEW_Japan_1840_none_150225&amp;utm_content=saletructiep_Japan.M384CVS.1840.M384CVS_THCNGDP_LD164&amp;utm_campaign=Japan.giaotiep.M384CVS_PTD_Tiktok_NamNH_150225" TargetMode="External"/><Relationship Id="rId67" Type="http://schemas.openxmlformats.org/officeDocument/2006/relationships/hyperlink" Target="https://patadovietnam.edu.vn/gtjapan_nhn3" TargetMode="External"/><Relationship Id="rId60" Type="http://schemas.openxmlformats.org/officeDocument/2006/relationships/hyperlink" Target="https://patadovietnam.edu.vn/gtusa1_nhn/?utm_source=Tiktok&amp;utm_medium=CVS&amp;utm_term=NEW_UnitedStates_1840_none_150225&amp;utm_content=saletructiep_UnitedStates.M123CVS.1840.M123CVS_THCNGDP_LD161&amp;utm_campaign=UnitedStates.giaotiep.M123CVS_PTD_Tiktok_NamNH_150225" TargetMode="External"/><Relationship Id="rId69" Type="http://schemas.openxmlformats.org/officeDocument/2006/relationships/hyperlink" Target="https://patadovietnam.edu.vn/tienganhgiaotiep_hn/" TargetMode="External"/><Relationship Id="rId51" Type="http://schemas.openxmlformats.org/officeDocument/2006/relationships/hyperlink" Target="https://patadovietnam.edu.vn/tienganhgiaotiep_hn/" TargetMode="External"/><Relationship Id="rId50" Type="http://schemas.openxmlformats.org/officeDocument/2006/relationships/hyperlink" Target="https://patadovietnam.edu.vn/tienganhgiaotiep_hn/?utm_source=Tiktok&amp;utm_medium=CVS&amp;utm_term=NEW_Europe_1840_none_110225&amp;utm_content=saletructiep_Europe.C2.1840.M369CVS_THCNGDP_LD153&amp;utm_campaign=Europe.giaotiep.M391CVS_PTD_Tiktok_NamNH_110225" TargetMode="External"/><Relationship Id="rId53" Type="http://schemas.openxmlformats.org/officeDocument/2006/relationships/hyperlink" Target="https://patadovietnam.edu.vn/gtjapan_nhn3" TargetMode="External"/><Relationship Id="rId52" Type="http://schemas.openxmlformats.org/officeDocument/2006/relationships/hyperlink" Target="https://patadovietnam.edu.vn/tienganhgiaotiep_hn/?utm_source=Tiktok&amp;utm_medium=MES&amp;utm_term=NEW_Europe_1840_none_110225&amp;utm_content=saletructiep_Europe.M300MES.1840.M300MES_THCNGDP_LD153&amp;utm_campaign=Europe.giaotiep.M300MES_PTD_Tiktok_NamNH_110225" TargetMode="External"/><Relationship Id="rId55" Type="http://schemas.openxmlformats.org/officeDocument/2006/relationships/hyperlink" Target="https://patadovietnam.edu.vn/gtjapan_nhn3" TargetMode="External"/><Relationship Id="rId54" Type="http://schemas.openxmlformats.org/officeDocument/2006/relationships/hyperlink" Target="https://patadovietnam.edu.vn/gtjapan_nhn3/?utm_source=Tiktok&amp;utm_medium=CVS&amp;utm_term=NEW_Japan_1840_none_110225&amp;utm_content=saletructiep_Japan.M391CVS.1840.M391_THCNGDP_LD164&amp;utm_campaign=Japan.giaotiep.M391CVS_PTD_Tiktok_NamNH_110225" TargetMode="External"/><Relationship Id="rId57" Type="http://schemas.openxmlformats.org/officeDocument/2006/relationships/hyperlink" Target="https://patadovietnam.edu.vn/tienganhgiaotiep_hn/" TargetMode="External"/><Relationship Id="rId56" Type="http://schemas.openxmlformats.org/officeDocument/2006/relationships/hyperlink" Target="https://patadovietnam.edu.vn/gtjapan_nhn3/?utm_source=Tiktok&amp;utm_medium=MES&amp;utm_term=NEW_Japan_1840_none_110225&amp;utm_content=saletructiep_Japan.M393MES.1840.M123_THCNGDP_LD164&amp;utm_campaign=Japan.giaotiep.M393MES_PTD_Tiktok_NamNH_110225" TargetMode="External"/><Relationship Id="rId59" Type="http://schemas.openxmlformats.org/officeDocument/2006/relationships/hyperlink" Target="https://patadovietnam.edu.vn/gtusa1_nhn" TargetMode="External"/><Relationship Id="rId58" Type="http://schemas.openxmlformats.org/officeDocument/2006/relationships/hyperlink" Target="https://patadovietnam.edu.vn/tienganhgiaotiep_hn/?utm_source=Tiktok&amp;utm_medium=CVS&amp;utm_term=NEW_KoreaSouth_1840_none_150225&amp;utm_content=saletructiep_KoreaSouth.M123CVS.1840.M123CVS_THCNGDP_LD153&amp;utm_campaign=KoreaSouth.giaotiep.M123CVS_PTD_Tiktok_NamNH_150225" TargetMode="External"/><Relationship Id="rId349" Type="http://schemas.openxmlformats.org/officeDocument/2006/relationships/hyperlink" Target="https://patadovietnam.edu.vn/tienganhgiaotiep_hn/" TargetMode="External"/><Relationship Id="rId348" Type="http://schemas.openxmlformats.org/officeDocument/2006/relationships/hyperlink" Target="https://patadovietnam.edu.vn/tienganhgiaotiep_hn/?utm_source=Tiktok&amp;utm_medium=MES&amp;utm_term=NEW_ALL_1841_none_200126&amp;utm_content=saletructiep_ALL.P434.1840.giaotiep_THCNGDP_LD153&amp;utm_campaign=ALL.giaotiep.P434_PTD_Tiktok_NamNH_200126" TargetMode="External"/><Relationship Id="rId347" Type="http://schemas.openxmlformats.org/officeDocument/2006/relationships/hyperlink" Target="https://patadovietnam.edu.vn/tienganhgiaotiep_hn/" TargetMode="External"/><Relationship Id="rId346" Type="http://schemas.openxmlformats.org/officeDocument/2006/relationships/hyperlink" Target="https://patadovietnam.edu.vn/tienganhgiaotiep_hn/?utm_source=Tiktok&amp;utm_medium=MES&amp;utm_term=NEW_Japan_1841_none_200126&amp;utm_content=saletructiep_Japan.P433.1840.giaotiep_THCNGDP_LD153&amp;utm_campaign=Japan.giaotiep.P433_PTD_Tiktok_NamNH_200126" TargetMode="External"/><Relationship Id="rId341" Type="http://schemas.openxmlformats.org/officeDocument/2006/relationships/hyperlink" Target="https://patadovietnam.edu.vn/tienganhgiaotiep_hn/" TargetMode="External"/><Relationship Id="rId340" Type="http://schemas.openxmlformats.org/officeDocument/2006/relationships/hyperlink" Target="https://patadovietnam.edu.vn/tienganhgiaotiep_hn/?utm_source=Tiktok&amp;utm_medium=MES&amp;utm_term=NEW_Europe_1841_none_150126&amp;utm_content=saletructiep_Europe.P411.1840.giaotiep_THCNGDP_LD153&amp;utm_campaign=Europe.giaotiep.P411_PTD_Tiktok_NamNH_150126" TargetMode="External"/><Relationship Id="rId345" Type="http://schemas.openxmlformats.org/officeDocument/2006/relationships/hyperlink" Target="https://patadovietnam.edu.vn/tienganhgiaotiep_hn/" TargetMode="External"/><Relationship Id="rId344" Type="http://schemas.openxmlformats.org/officeDocument/2006/relationships/hyperlink" Target="https://patadovietnam.edu.vn/tienganhgiaotiep_hn/?utm_source=Tiktok&amp;utm_medium=MES&amp;utm_term=NEW_Europe_1841_none_200126&amp;utm_content=saletructiep_Europe.P432.1840.giaotiep_THCNGDP_LD153&amp;utm_campaign=Europe.giaotiep.P432_PTD_Tiktok_NamNH_200126" TargetMode="External"/><Relationship Id="rId343" Type="http://schemas.openxmlformats.org/officeDocument/2006/relationships/hyperlink" Target="https://patadovietnam.edu.vn/tienganhgiaotiep_hn/" TargetMode="External"/><Relationship Id="rId342" Type="http://schemas.openxmlformats.org/officeDocument/2006/relationships/hyperlink" Target="https://patadovietnam.edu.vn/tienganhgiaotiep_hn/?utm_source=Tiktok&amp;utm_medium=MES&amp;utm_term=NEW_ALL_1841_none_150126&amp;utm_content=saletructiep_ALL.P412.1840.giaotiep_THCNGDP_LD153&amp;utm_campaign=ALL.giaotiep.P412_PTD_Tiktok_NamNH_150126" TargetMode="External"/><Relationship Id="rId338" Type="http://schemas.openxmlformats.org/officeDocument/2006/relationships/hyperlink" Target="https://patadovietnam.edu.vn/tienganhgiaotiep_hn/?utm_source=Tiktok&amp;utm_medium=MES&amp;utm_term=NEW_ALL_1841_none_090126&amp;utm_content=saletructiep_ALL.P396.1840.giaotiep_THCNGDP_LD153&amp;utm_campaign=ALL.giaotiep.P396_PTD_Tiktok_NamNH_090126" TargetMode="External"/><Relationship Id="rId337" Type="http://schemas.openxmlformats.org/officeDocument/2006/relationships/hyperlink" Target="https://patadovietnam.edu.vn/tienganhgiaotiep_hn/" TargetMode="External"/><Relationship Id="rId336" Type="http://schemas.openxmlformats.org/officeDocument/2006/relationships/hyperlink" Target="https://patadovietnam.edu.vn/tienganhgiaotiep_hn/?utm_source=Tiktok&amp;utm_medium=MES&amp;utm_term=NEW_Japan_1841_none_090126&amp;utm_content=saletructiep_Japan.P395.1840.giaotiep_THCNGDP_LD153&amp;utm_campaign=Japan.giaotiep.P395_PTD_Tiktok_NamNH_090126" TargetMode="External"/><Relationship Id="rId335" Type="http://schemas.openxmlformats.org/officeDocument/2006/relationships/hyperlink" Target="https://patadovietnam.edu.vn/tienganhgiaotiep_hn/" TargetMode="External"/><Relationship Id="rId339" Type="http://schemas.openxmlformats.org/officeDocument/2006/relationships/hyperlink" Target="https://patadovietnam.edu.vn/tienganhgiaotiep_hn/" TargetMode="External"/><Relationship Id="rId330" Type="http://schemas.openxmlformats.org/officeDocument/2006/relationships/hyperlink" Target="https://patadovietnam.edu.vn/tienganhgiaotiep_hn/?utm_source=Tiktok&amp;utm_medium=MES&amp;utm_term=NEW_Japan_1841_none_070126&amp;utm_content=saletructiep_Japan.P387.1840.giaotiep_THCNGDP_LD153&amp;utm_campaign=Japan.giaotiep.P387_PTD_Tiktok_NamNH_070126" TargetMode="External"/><Relationship Id="rId334" Type="http://schemas.openxmlformats.org/officeDocument/2006/relationships/hyperlink" Target="https://patadovietnam.edu.vn/tienganhgiaotiep_hn/?utm_source=Tiktok&amp;utm_medium=MES&amp;utm_term=NEW_Europe_1841_none_090126&amp;utm_content=saletructiep_Europe.P394.1840.giaotiep_THCNGDP_LD153&amp;utm_campaign=Europe.giaotiep.P394_PTD_Tiktok_NamNH_090126" TargetMode="External"/><Relationship Id="rId333" Type="http://schemas.openxmlformats.org/officeDocument/2006/relationships/hyperlink" Target="https://patadovietnam.edu.vn/tienganhgiaotiep_hn/" TargetMode="External"/><Relationship Id="rId332" Type="http://schemas.openxmlformats.org/officeDocument/2006/relationships/hyperlink" Target="https://patadovietnam.edu.vn/tienganhgiaotiep_hn/?utm_source=Tiktok&amp;utm_medium=MES&amp;utm_term=NEW_ALL_1841_none_070126&amp;utm_content=saletructiep_ALL.P388.1840.giaotiep_THCNGDP_LD153&amp;utm_campaign=ALL.giaotiep.P388_PTD_Tiktok_NamNH_070126" TargetMode="External"/><Relationship Id="rId331" Type="http://schemas.openxmlformats.org/officeDocument/2006/relationships/hyperlink" Target="https://patadovietnam.edu.vn/tienganhgiaotiep_hn/" TargetMode="External"/><Relationship Id="rId370" Type="http://schemas.openxmlformats.org/officeDocument/2006/relationships/hyperlink" Target="https://patadovietnam.edu.vn/tienganhgiaotiep_hn/?utm_source=Tiktok&amp;utm_medium=MES&amp;utm_term=NEW_Europe_1841_none_060426&amp;utm_content=saletructiep_Europe.P684.1840.giaotiep_THCNGDP_LD153&amp;utm_campaign=Europe.giaotiep.P684_PTD_Tiktok_NamNH_060426" TargetMode="External"/><Relationship Id="rId369" Type="http://schemas.openxmlformats.org/officeDocument/2006/relationships/hyperlink" Target="https://patadovietnam.edu.vn/tienganhgiaotiep_hn/" TargetMode="External"/><Relationship Id="rId368" Type="http://schemas.openxmlformats.org/officeDocument/2006/relationships/hyperlink" Target="https://patadovietnam.edu.vn/tienganhgiaotiep_hn/?utm_source=Tiktok&amp;utm_medium=MES&amp;utm_term=NEW_ALL_1841_none_020326&amp;utm_content=saletructiep_ALL.P563.1840.giaotiep_THCNGDP_LD153&amp;utm_campaign=ALL.giaotiep.P563_PTD_Tiktok_NamNH_020326" TargetMode="External"/><Relationship Id="rId363" Type="http://schemas.openxmlformats.org/officeDocument/2006/relationships/hyperlink" Target="https://patadovietnam.edu.vn/tienganhgiaotiep_hn/" TargetMode="External"/><Relationship Id="rId362" Type="http://schemas.openxmlformats.org/officeDocument/2006/relationships/hyperlink" Target="https://patadovietnam.edu.vn/tienganhgiaotiep_hn/?utm_source=Tiktok&amp;utm_medium=MES&amp;utm_term=NEW_Japan_1841_none_110226&amp;utm_content=saletructiep_Japan.P522.1840.giaotiep_THCNGDP_LD153&amp;utm_campaign=Japan.giaotiep.P522_PTD_Tiktok_NamNH_110226" TargetMode="External"/><Relationship Id="rId361" Type="http://schemas.openxmlformats.org/officeDocument/2006/relationships/hyperlink" Target="https://patadovietnam.edu.vn/tienganhgiaotiep_hn/" TargetMode="External"/><Relationship Id="rId360" Type="http://schemas.openxmlformats.org/officeDocument/2006/relationships/hyperlink" Target="https://patadovietnam.edu.vn/tienganhgiaotiep_hn/?utm_source=Tiktok&amp;utm_medium=MES&amp;utm_term=NEW_ALL_1841_none_030226&amp;utm_content=saletructiep_ALL.P485.1840.giaotiep_THCNGDP_LD153&amp;utm_campaign=ALL.giaotiep.P485_PTD_Tiktok_NamNH_030226" TargetMode="External"/><Relationship Id="rId367" Type="http://schemas.openxmlformats.org/officeDocument/2006/relationships/hyperlink" Target="https://patadovietnam.edu.vn/tienganhgiaotiep_hn/" TargetMode="External"/><Relationship Id="rId366" Type="http://schemas.openxmlformats.org/officeDocument/2006/relationships/hyperlink" Target="https://patadovietnam.edu.vn/tienganhgiaotiep_hn/?utm_source=Tiktok&amp;utm_medium=MES&amp;utm_term=NEW_Europe_1841_none_020326&amp;utm_content=saletructiep_Europe.P562.1840.giaotiep_THCNGDP_LD153&amp;utm_campaign=Europe.giaotiep.P562_PTD_Tiktok_NamNH_020326" TargetMode="External"/><Relationship Id="rId365" Type="http://schemas.openxmlformats.org/officeDocument/2006/relationships/hyperlink" Target="https://patadovietnam.edu.vn/tienganhgiaotiep_hn/" TargetMode="External"/><Relationship Id="rId364" Type="http://schemas.openxmlformats.org/officeDocument/2006/relationships/hyperlink" Target="https://patadovietnam.edu.vn/tienganhgiaotiep_hn/?utm_source=Tiktok&amp;utm_medium=MES&amp;utm_term=NEW_Japan_1841_none_020326&amp;utm_content=saletructiep_Japan.P561.1840.giaotiep_THCNGDP_LD153&amp;utm_campaign=Japan.giaotiep.P561_PTD_Tiktok_NamNH_020326" TargetMode="External"/><Relationship Id="rId95" Type="http://schemas.openxmlformats.org/officeDocument/2006/relationships/hyperlink" Target="https://patadovietnam.edu.vn/tienganhgiaotiep_hn/" TargetMode="External"/><Relationship Id="rId94" Type="http://schemas.openxmlformats.org/officeDocument/2006/relationships/hyperlink" Target="https://patadovietnam.edu.vn/tienganhgiaotiep_hn/?utm_source=Tiktok&amp;utm_medium=MES&amp;utm_term=NEW_Europe_1840_none_280225&amp;utm_content=saletructiep_Europe.JHCVS.1840.MJHCVS_THCNGDP_LD153&amp;utm_campaign=Europe.giaotiep.JHCVS_PTD_Tiktok_NamNH_280225" TargetMode="External"/><Relationship Id="rId97" Type="http://schemas.openxmlformats.org/officeDocument/2006/relationships/hyperlink" Target="https://patadovietnam.edu.vn/tienganhgiaotiep_hn/" TargetMode="External"/><Relationship Id="rId96" Type="http://schemas.openxmlformats.org/officeDocument/2006/relationships/hyperlink" Target="https://patadovietnam.edu.vn/tienganhgiaotiep_hn/?utm_source=Tiktok&amp;utm_medium=CVS&amp;utm_term=NEW_Japan_1840_none_280225&amp;utm_content=saletructiep_Japan.NGHOA.1840.NGHOA_THCNGDP_LD153&amp;utm_campaign=Japan.giaotiep.NGHOA_PTD_Tiktok_NamNH_280225" TargetMode="External"/><Relationship Id="rId99" Type="http://schemas.openxmlformats.org/officeDocument/2006/relationships/hyperlink" Target="https://patadovietnam.edu.vn/tienganhgiaotiep_hn/" TargetMode="External"/><Relationship Id="rId98" Type="http://schemas.openxmlformats.org/officeDocument/2006/relationships/hyperlink" Target="https://patadovietnam.edu.vn/tienganhgiaotiep_hn/?utm_source=Tiktok&amp;utm_medium=MES&amp;utm_term=NEW_Japan_1840_none_280225&amp;utm_content=saletructiep_Japan.M404.1840.M404_THCNGDP_LD153&amp;utm_campaign=Japan.giaotiep.M404_PTD_Tiktok_NamNH_280225" TargetMode="External"/><Relationship Id="rId91" Type="http://schemas.openxmlformats.org/officeDocument/2006/relationships/hyperlink" Target="https://patadovietnam.edu.vn/gtjapan_nhn3" TargetMode="External"/><Relationship Id="rId90" Type="http://schemas.openxmlformats.org/officeDocument/2006/relationships/hyperlink" Target="https://patadovietnam.edu.vn/gtjapan_nhn3/?utm_source=Tiktok&amp;utm_medium=CVS&amp;utm_term=NEW_Japan_1840_none_280225&amp;utm_content=saletructiep_Japan.M18CVS.1840.M18CVS_THCNGDP_LD164&amp;utm_campaign=Japan.giaotiep.M18CVS_PTD_Tiktok_NamNH_280225" TargetMode="External"/><Relationship Id="rId93" Type="http://schemas.openxmlformats.org/officeDocument/2006/relationships/hyperlink" Target="https://patadovietnam.edu.vn/tienganhgiaotiep_hn/" TargetMode="External"/><Relationship Id="rId92" Type="http://schemas.openxmlformats.org/officeDocument/2006/relationships/hyperlink" Target="https://patadovietnam.edu.vn/gtjapan_nhn3/?utm_source=Tiktok&amp;utm_medium=CVS&amp;utm_term=NEW_Japan_1840_none_280225&amp;utm_content=saletructiep_Japan.JHCVS.1840.JHCVS_THCNGDP_LD164&amp;utm_campaign=Japan.giaotiep.JHCVS_PTD_Tiktok_NamNH_280225" TargetMode="External"/><Relationship Id="rId359" Type="http://schemas.openxmlformats.org/officeDocument/2006/relationships/hyperlink" Target="https://patadovietnam.edu.vn/tienganhgiaotiep_hn/" TargetMode="External"/><Relationship Id="rId358" Type="http://schemas.openxmlformats.org/officeDocument/2006/relationships/hyperlink" Target="https://patadovietnam.edu.vn/tienganhgiaotiep_hn/?utm_source=Tiktok&amp;utm_medium=MES&amp;utm_term=NEW_ALL_1841_none_030226&amp;utm_content=saletructiep_ALL.P484.1840.giaotiep_THCNGDP_LD153&amp;utm_campaign=ALL.giaotiep.P484_PTD_Tiktok_NamNH_030226" TargetMode="External"/><Relationship Id="rId357" Type="http://schemas.openxmlformats.org/officeDocument/2006/relationships/hyperlink" Target="https://patadovietnam.edu.vn/tienganhgiaotiep_hn/" TargetMode="External"/><Relationship Id="rId352" Type="http://schemas.openxmlformats.org/officeDocument/2006/relationships/hyperlink" Target="https://patadovietnam.edu.vn/tienganhgiaotiep_hn/?utm_source=Tiktok&amp;utm_medium=MES&amp;utm_term=NEW_ALL_1841_none_020226&amp;utm_content=saletructiep_ALL.P478.1840.giaotiep_THCNGDP_LD153&amp;utm_campaign=ALL.giaotiep.P478_PTD_Tiktok_NamNH_020226" TargetMode="External"/><Relationship Id="rId351" Type="http://schemas.openxmlformats.org/officeDocument/2006/relationships/hyperlink" Target="https://patadovietnam.edu.vn/tienganhgiaotiep_hn/" TargetMode="External"/><Relationship Id="rId350" Type="http://schemas.openxmlformats.org/officeDocument/2006/relationships/hyperlink" Target="https://patadovietnam.edu.vn/tienganhgiaotiep_hn/?utm_source=Tiktok&amp;utm_medium=MES&amp;utm_term=NEW_Japan_1841_none_020226&amp;utm_content=saletructiep_Japan.P477.1840.giaotiep_THCNGDP_LD153&amp;utm_campaign=Japan.giaotiep.P477_PTD_Tiktok_NamNH_020226" TargetMode="External"/><Relationship Id="rId356" Type="http://schemas.openxmlformats.org/officeDocument/2006/relationships/hyperlink" Target="https://patadovietnam.edu.vn/tienganhgiaotiep_hn/?utm_source=Tiktok&amp;utm_medium=MES&amp;utm_term=NEW_Japan_1841_none_030226&amp;utm_content=saletructiep_Japan.P483.1840.giaotiep_THCNGDP_LD153&amp;utm_campaign=Japan.giaotiep.P483_PTD_Tiktok_NamNH_030226" TargetMode="External"/><Relationship Id="rId355" Type="http://schemas.openxmlformats.org/officeDocument/2006/relationships/hyperlink" Target="https://patadovietnam.edu.vn/tienganhgiaotiep_hn/" TargetMode="External"/><Relationship Id="rId354" Type="http://schemas.openxmlformats.org/officeDocument/2006/relationships/hyperlink" Target="https://patadovietnam.edu.vn/tienganhgiaotiep_hn/?utm_source=Tiktok&amp;utm_medium=MES&amp;utm_term=NEW_Europe_1841_none_020226&amp;utm_content=saletructiep_Europe.P479.1840.giaotiep_THCNGDP_LD153&amp;utm_campaign=Europe.giaotiep.P479_PTD_Tiktok_NamNH_020226" TargetMode="External"/><Relationship Id="rId353" Type="http://schemas.openxmlformats.org/officeDocument/2006/relationships/hyperlink" Target="https://patadovietnam.edu.vn/tienganhgiaotiep_hn/" TargetMode="External"/><Relationship Id="rId305" Type="http://schemas.openxmlformats.org/officeDocument/2006/relationships/hyperlink" Target="https://patadovietnam.edu.vn/tienganhgiaotiep_hn/" TargetMode="External"/><Relationship Id="rId304" Type="http://schemas.openxmlformats.org/officeDocument/2006/relationships/hyperlink" Target="https://patadovietnam.edu.vn/tienganhgiaotiep_hn/?utm_source=Tiktok&amp;utm_medium=MES&amp;utm_term=NEW_Japan_1841_none_231225&amp;utm_content=saletructiep_Japan.P328.1840.giaotiep_THCNGDP_LD153&amp;utm_campaign=Japan.giaotiep.P328_PTD_Tiktok_NamNH_231225" TargetMode="External"/><Relationship Id="rId303" Type="http://schemas.openxmlformats.org/officeDocument/2006/relationships/hyperlink" Target="https://patadovietnam.edu.vn/tienganhgiaotiep_hn/" TargetMode="External"/><Relationship Id="rId302" Type="http://schemas.openxmlformats.org/officeDocument/2006/relationships/hyperlink" Target="https://patadovietnam.edu.vn/tienganhgiaotiep_hn/?utm_source=Tiktok&amp;utm_medium=MES&amp;utm_term=NEW_Japan_1841_none_171225&amp;utm_content=saletructiep_Japan.P301.1840.giaotiep_THCNGDP_LD153&amp;utm_campaign=Japan.giaotiep.P301_PTD_Tiktok_NamNH_171225" TargetMode="External"/><Relationship Id="rId309" Type="http://schemas.openxmlformats.org/officeDocument/2006/relationships/hyperlink" Target="https://patadovietnam.edu.vn/tienganhgiaotiep_hn/" TargetMode="External"/><Relationship Id="rId308" Type="http://schemas.openxmlformats.org/officeDocument/2006/relationships/hyperlink" Target="https://patadovietnam.edu.vn/tienganhgiaotiep_hn/?utm_source=Tiktok&amp;utm_medium=MES&amp;utm_term=NEW_ALL_1841_none_241225&amp;utm_content=saletructiep_ALL.P333.1840.giaotiep_THCNGDP_LD153&amp;utm_campaign=ALL.giaotiep.P333_PTD_Tiktok_NamNH_241225" TargetMode="External"/><Relationship Id="rId307" Type="http://schemas.openxmlformats.org/officeDocument/2006/relationships/hyperlink" Target="https://patadovietnam.edu.vn/tienganhgiaotiep_hn/" TargetMode="External"/><Relationship Id="rId306" Type="http://schemas.openxmlformats.org/officeDocument/2006/relationships/hyperlink" Target="https://patadovietnam.edu.vn/tienganhgiaotiep_hn/?utm_source=Tiktok&amp;utm_medium=MES&amp;utm_term=NEW_Europe_1841_none_241225&amp;utm_content=saletructiep_Europe.P332.1840.giaotiep_THCNGDP_LD153&amp;utm_campaign=Europe.giaotiep.P332_PTD_Tiktok_NamNH_241225" TargetMode="External"/><Relationship Id="rId301" Type="http://schemas.openxmlformats.org/officeDocument/2006/relationships/hyperlink" Target="https://patadovietnam.edu.vn/tienganhgiaotiep_hn/" TargetMode="External"/><Relationship Id="rId300" Type="http://schemas.openxmlformats.org/officeDocument/2006/relationships/hyperlink" Target="https://patadovietnam.edu.vn/tienganhgiaotiep_hn/?utm_source=Tiktok&amp;utm_medium=MES&amp;utm_term=NEW_Japan_1841_none_121225&amp;utm_content=saletructiep_Japan.P284.1840.giaotiep_THCNGDP_LD153&amp;utm_campaign=Japan.giaotiep.P284_PTD_Tiktok_NamNH_121225" TargetMode="External"/><Relationship Id="rId327" Type="http://schemas.openxmlformats.org/officeDocument/2006/relationships/hyperlink" Target="https://patadovietnam.edu.vn/tienganhgiaotiep_hn/" TargetMode="External"/><Relationship Id="rId326" Type="http://schemas.openxmlformats.org/officeDocument/2006/relationships/hyperlink" Target="https://patadovietnam.edu.vn/tienganhgiaotiep_hn/?utm_source=Tiktok&amp;utm_medium=MES&amp;utm_term=NEW_ALL_1841_none_060126&amp;utm_content=saletructiep_ALL.P381.1840.giaotiep_THCNGDP_LD153&amp;utm_campaign=ALL.giaotiep.P381_PTD_Tiktok_NamNH_060126" TargetMode="External"/><Relationship Id="rId325" Type="http://schemas.openxmlformats.org/officeDocument/2006/relationships/hyperlink" Target="https://patadovietnam.edu.vn/tienganhgiaotiep_hn/" TargetMode="External"/><Relationship Id="rId324" Type="http://schemas.openxmlformats.org/officeDocument/2006/relationships/hyperlink" Target="https://patadovietnam.edu.vn/tienganhgiaotiep_hn/?utm_source=Tiktok&amp;utm_medium=MES&amp;utm_term=NEW_ALL_1841_none_060126&amp;utm_content=saletructiep_ALL.P380.1840.giaotiep_THCNGDP_LD153&amp;utm_campaign=ALL.giaotiep.P380_PTD_Tiktok_NamNH_060126" TargetMode="External"/><Relationship Id="rId329" Type="http://schemas.openxmlformats.org/officeDocument/2006/relationships/hyperlink" Target="https://patadovietnam.edu.vn/tienganhgiaotiep_hn/" TargetMode="External"/><Relationship Id="rId328" Type="http://schemas.openxmlformats.org/officeDocument/2006/relationships/hyperlink" Target="https://patadovietnam.edu.vn/tienganhgiaotiep_hn/?utm_source=Tiktok&amp;utm_medium=MES&amp;utm_term=NEW_Europe_1841_none_070126&amp;utm_content=saletructiep_Europe.P386.1840.giaotiep_THCNGDP_LD153&amp;utm_campaign=Europe.giaotiep.P386_PTD_Tiktok_NamNH_070126" TargetMode="External"/><Relationship Id="rId323" Type="http://schemas.openxmlformats.org/officeDocument/2006/relationships/hyperlink" Target="https://patadovietnam.edu.vn/tienganhgiaotiep_hn/" TargetMode="External"/><Relationship Id="rId322" Type="http://schemas.openxmlformats.org/officeDocument/2006/relationships/hyperlink" Target="https://patadovietnam.edu.vn/tienganhgiaotiep_hn/?utm_source=Tiktok&amp;utm_medium=MES&amp;utm_term=NEW_Europe_1841_none_060126&amp;utm_content=saletructiep_Europe.P379.1840.giaotiep_THCNGDP_LD153&amp;utm_campaign=Europe.giaotiep.P379_PTD_Tiktok_NamNH_060126" TargetMode="External"/><Relationship Id="rId321" Type="http://schemas.openxmlformats.org/officeDocument/2006/relationships/hyperlink" Target="https://patadovietnam.edu.vn/tienganhgiaotiep_hn/" TargetMode="External"/><Relationship Id="rId320" Type="http://schemas.openxmlformats.org/officeDocument/2006/relationships/hyperlink" Target="https://patadovietnam.edu.vn/tienganhgiaotiep_hn/?utm_source=Tiktok&amp;utm_medium=MES&amp;utm_term=NEW_Japan_1841_none_060126&amp;utm_content=saletructiep_Japan.P375.1840.giaotiep_THCNGDP_LD153&amp;utm_campaign=Japan.giaotiep.P375_PTD_Tiktok_NamNH_060126" TargetMode="External"/><Relationship Id="rId316" Type="http://schemas.openxmlformats.org/officeDocument/2006/relationships/hyperlink" Target="https://patadovietnam.edu.vn/tienganhgiaotiep_hn/?utm_source=Tiktok&amp;utm_medium=MES&amp;utm_term=NEW_Europe_1841_none_050126&amp;utm_content=saletructiep_Europe.P372.1840.giaotiep_THCNGDP_LD153&amp;utm_campaign=Europe.giaotiep.P372_PTD_Tiktok_NamNH_050126" TargetMode="External"/><Relationship Id="rId315" Type="http://schemas.openxmlformats.org/officeDocument/2006/relationships/hyperlink" Target="https://patadovietnam.edu.vn/tienganhgiaotiep_hn/" TargetMode="External"/><Relationship Id="rId314" Type="http://schemas.openxmlformats.org/officeDocument/2006/relationships/hyperlink" Target="https://patadovietnam.edu.vn/tienganhgiaotiep_hn/?utm_source=Tiktok&amp;utm_medium=MES&amp;utm_term=NEW_Japan_1841_none_050126&amp;utm_content=saletructiep_Japan.P371.1840.giaotiep_THCNGDP_LD153&amp;utm_campaign=Japan.giaotiep.P371_PTD_Tiktok_NamNH_050126" TargetMode="External"/><Relationship Id="rId313" Type="http://schemas.openxmlformats.org/officeDocument/2006/relationships/hyperlink" Target="https://patadovietnam.edu.vn/tienganhgiaotiep_hn/" TargetMode="External"/><Relationship Id="rId319" Type="http://schemas.openxmlformats.org/officeDocument/2006/relationships/hyperlink" Target="https://patadovietnam.edu.vn/tienganhgiaotiep_hn/" TargetMode="External"/><Relationship Id="rId318" Type="http://schemas.openxmlformats.org/officeDocument/2006/relationships/hyperlink" Target="https://patadovietnam.edu.vn/tienganhgiaotiep_hn/?utm_source=Tiktok&amp;utm_medium=MES&amp;utm_term=NEW_ALL_1841_none_050126&amp;utm_content=saletructiep_ALL.P373.1840.giaotiep_THCNGDP_LD153&amp;utm_campaign=ALL.giaotiep.P373_PTD_Tiktok_NamNH_050126" TargetMode="External"/><Relationship Id="rId317" Type="http://schemas.openxmlformats.org/officeDocument/2006/relationships/hyperlink" Target="https://patadovietnam.edu.vn/tienganhgiaotiep_hn/" TargetMode="External"/><Relationship Id="rId312" Type="http://schemas.openxmlformats.org/officeDocument/2006/relationships/hyperlink" Target="https://patadovietnam.edu.vn/tienganhgiaotiep_hn/?utm_source=Tiktok&amp;utm_medium=MES&amp;utm_term=NEW_ALL_1841_none_241225&amp;utm_content=saletructiep_ALL.P342.1840.giaotiep_THCNGDP_LD153&amp;utm_campaign=ALL.giaotiep.P342_PTD_Tiktok_NamNH_241225" TargetMode="External"/><Relationship Id="rId311" Type="http://schemas.openxmlformats.org/officeDocument/2006/relationships/hyperlink" Target="https://patadovietnam.edu.vn/tienganhgiaotiep_hn/" TargetMode="External"/><Relationship Id="rId310" Type="http://schemas.openxmlformats.org/officeDocument/2006/relationships/hyperlink" Target="https://patadovietnam.edu.vn/tienganhgiaotiep_hn/?utm_source=Tiktok&amp;utm_medium=MES&amp;utm_term=NEW_ALL_1841_none_241225&amp;utm_content=saletructiep_ALL.P334.1840.giaotiep_THCNGDP_LD153&amp;utm_campaign=ALL.giaotiep.P334_PTD_Tiktok_NamNH_241225" TargetMode="External"/><Relationship Id="rId297" Type="http://schemas.openxmlformats.org/officeDocument/2006/relationships/hyperlink" Target="https://patadovietnam.edu.vn/tienganhgiaotiep_hn/" TargetMode="External"/><Relationship Id="rId296" Type="http://schemas.openxmlformats.org/officeDocument/2006/relationships/hyperlink" Target="https://patadovietnam.edu.vn/tienganhgiaotiep_hn/?utm_source=Tiktok&amp;utm_medium=MES&amp;utm_term=NEW_ALL_1841_none_121225&amp;utm_content=saletructiep_ALL.P282.1840.giaotiep_THCNGDP_LD153&amp;utm_campaign=ALL.giaotiep.P282_PTD_Tiktok_NamNH_121225" TargetMode="External"/><Relationship Id="rId295" Type="http://schemas.openxmlformats.org/officeDocument/2006/relationships/hyperlink" Target="https://patadovietnam.edu.vn/tienganhgiaotiep_hn/" TargetMode="External"/><Relationship Id="rId294" Type="http://schemas.openxmlformats.org/officeDocument/2006/relationships/hyperlink" Target="https://patadovietnam.edu.vn/tienganhgiaotiep_hn/?utm_source=Tiktok&amp;utm_medium=MES&amp;utm_term=NEW_Europe_1841_none_101225&amp;utm_content=saletructiep_Europe.P249.1840.giaotiep_THCNGDP_LD153&amp;utm_campaign=Europe.giaotiep.P249_PTD_Tiktok_NamNH_101225" TargetMode="External"/><Relationship Id="rId299" Type="http://schemas.openxmlformats.org/officeDocument/2006/relationships/hyperlink" Target="https://patadovietnam.edu.vn/tienganhgiaotiep_hn/" TargetMode="External"/><Relationship Id="rId298" Type="http://schemas.openxmlformats.org/officeDocument/2006/relationships/hyperlink" Target="https://patadovietnam.edu.vn/tienganhgiaotiep_hn/?utm_source=Tiktok&amp;utm_medium=MES&amp;utm_term=NEW_Europe_1841_none_121225&amp;utm_content=saletructiep_Europe.P283.1840.giaotiep_THCNGDP_LD153&amp;utm_campaign=Europe.giaotiep.P283_PTD_Tiktok_NamNH_121225" TargetMode="External"/><Relationship Id="rId271" Type="http://schemas.openxmlformats.org/officeDocument/2006/relationships/hyperlink" Target="https://patadovietnam.edu.vn/tienganhgiaotiep_hn/" TargetMode="External"/><Relationship Id="rId270" Type="http://schemas.openxmlformats.org/officeDocument/2006/relationships/hyperlink" Target="https://patadovietnam.edu.vn/tienganhgiaotiep_hn/?utm_source=Tiktok&amp;utm_medium=MES&amp;utm_term=NEW_KoreaSouth_1841_none_121125&amp;utm_content=saletructiep_KoreaSouth.M561MES.1840.giaotiep_THCNGDP_LD153&amp;utm_campaign=KoreaSouth.giaotiep.M561MES_PTD_Tiktok_NamNH_121125" TargetMode="External"/><Relationship Id="rId269" Type="http://schemas.openxmlformats.org/officeDocument/2006/relationships/hyperlink" Target="https://patadovietnam.edu.vn/tienganhgiaotiep_hn/" TargetMode="External"/><Relationship Id="rId264" Type="http://schemas.openxmlformats.org/officeDocument/2006/relationships/hyperlink" Target="https://patadovietnam.edu.vn/tienganhgiaotiep_hn/?utm_source=Tiktok&amp;utm_medium=MES&amp;utm_term=NEW_Europe_1841_none_121125&amp;utm_content=saletructiep_Europe.M561MES.1840.giaotiep_THCNGDP_LD153&amp;utm_campaign=Europe.giaotiep.M561MES_PTD_Tiktok_NamNH_121125" TargetMode="External"/><Relationship Id="rId263" Type="http://schemas.openxmlformats.org/officeDocument/2006/relationships/hyperlink" Target="https://patadovietnam.edu.vn/tienganhgiaotiep_hn/" TargetMode="External"/><Relationship Id="rId262" Type="http://schemas.openxmlformats.org/officeDocument/2006/relationships/hyperlink" Target="https://patadovietnam.edu.vn/tienganhgiaotiep_hn/?utm_source=Tiktok&amp;utm_medium=MES&amp;utm_term=NEW_Taiwan_1841_none_031125&amp;utm_content=saletructiep_Taiwan.M539MES.1840.giaotiep_THCNGDP_LD153&amp;utm_campaign=Taiwan.giaotiep.M539MES_PTD_Tiktok_NamNH_031125" TargetMode="External"/><Relationship Id="rId261" Type="http://schemas.openxmlformats.org/officeDocument/2006/relationships/hyperlink" Target="https://patadovietnam.edu.vn/tienganhgiaotiep_hn/" TargetMode="External"/><Relationship Id="rId268" Type="http://schemas.openxmlformats.org/officeDocument/2006/relationships/hyperlink" Target="https://patadovietnam.edu.vn/tienganhgiaotiep_hn/?utm_source=Tiktok&amp;utm_medium=MES&amp;utm_term=NEW_ALL_1841_none_121125&amp;utm_content=saletructiep_ALL.M561MES.1840.giaotiep_THCNGDP_LD153&amp;utm_campaign=ALL.giaotiep.M561MES_PTD_Tiktok_NamNH_121125" TargetMode="External"/><Relationship Id="rId267" Type="http://schemas.openxmlformats.org/officeDocument/2006/relationships/hyperlink" Target="https://patadovietnam.edu.vn/tienganhgiaotiep_hn/" TargetMode="External"/><Relationship Id="rId266" Type="http://schemas.openxmlformats.org/officeDocument/2006/relationships/hyperlink" Target="https://patadovietnam.edu.vn/tienganhgiaotiep_hn/?utm_source=Tiktok&amp;utm_medium=MES&amp;utm_term=NEW_Japan_1841_none_121125&amp;utm_content=saletructiep_Japan.M561MES.1840.giaotiep_THCNGDP_LD153&amp;utm_campaign=Japan.giaotiep.M561MES_PTD_Tiktok_NamNH_121125" TargetMode="External"/><Relationship Id="rId265" Type="http://schemas.openxmlformats.org/officeDocument/2006/relationships/hyperlink" Target="https://patadovietnam.edu.vn/tienganhgiaotiep_hn/" TargetMode="External"/><Relationship Id="rId260" Type="http://schemas.openxmlformats.org/officeDocument/2006/relationships/hyperlink" Target="https://patadovietnam.edu.vn/tienganhgiaotiep_hn/?utm_source=Tiktok&amp;utm_medium=MES&amp;utm_term=NEW_Europe_1841_none_031125&amp;utm_content=saletructiep_Europe.M539MES.1840.giaotiep_THCNGDP_LD153&amp;utm_campaign=Europe.giaotiep.M539MES_PTD_Tiktok_NamNH_031125" TargetMode="External"/><Relationship Id="rId259" Type="http://schemas.openxmlformats.org/officeDocument/2006/relationships/hyperlink" Target="https://patadovietnam.edu.vn/tienganhgiaotiep_hn/" TargetMode="External"/><Relationship Id="rId258" Type="http://schemas.openxmlformats.org/officeDocument/2006/relationships/hyperlink" Target="https://patadovietnam.edu.vn/tienganhgiaotiep_hn/?utm_source=Tiktok&amp;utm_medium=MES&amp;utm_term=NEW_Japan_1841_none_031125&amp;utm_content=saletructiep_Japan.M539MES.1840.giaotiep_THCNGDP_LD153&amp;utm_campaign=Japan.giaotiep.M539MES_PTD_Tiktok_NamNH_031125" TargetMode="External"/><Relationship Id="rId253" Type="http://schemas.openxmlformats.org/officeDocument/2006/relationships/hyperlink" Target="https://patadovietnam.edu.vn/tienganhgiaotiep_hn/" TargetMode="External"/><Relationship Id="rId252" Type="http://schemas.openxmlformats.org/officeDocument/2006/relationships/hyperlink" Target="https://patadovietnam.edu.vn/tienganhgiaotiep_hn/?utm_source=Tiktok&amp;utm_medium=MES&amp;utm_term=NEW_Japan_1841_none_211025&amp;utm_content=saletructiep_Japan.M553xM555MES.1840.giaotiep_THCNGDP_LD153&amp;utm_campaign=Japan.giaotiep.M553xM555MES_PTD_Tiktok_NamNH_211025" TargetMode="External"/><Relationship Id="rId251" Type="http://schemas.openxmlformats.org/officeDocument/2006/relationships/hyperlink" Target="https://patadovietnam.edu.vn/tienganhgiaotiep_hn/" TargetMode="External"/><Relationship Id="rId250" Type="http://schemas.openxmlformats.org/officeDocument/2006/relationships/hyperlink" Target="https://patadovietnam.edu.vn/tienganhgiaotiep_hn/?utm_source=Tiktok&amp;utm_medium=MES&amp;utm_term=NEW_Europe_1841_none_211025&amp;utm_content=saletructiep_Europe.M553xM555MES.1840.giaotiep_THCNGDP_LD153&amp;utm_campaign=Europe.giaotiep.M553xM555MES_PTD_Tiktok_NamNH_211025" TargetMode="External"/><Relationship Id="rId257" Type="http://schemas.openxmlformats.org/officeDocument/2006/relationships/hyperlink" Target="https://patadovietnam.edu.vn/tienganhgiaotiep_hn/" TargetMode="External"/><Relationship Id="rId256" Type="http://schemas.openxmlformats.org/officeDocument/2006/relationships/hyperlink" Target="https://patadovietnam.edu.vn/tienganhgiaotiep_hn/?utm_source=Tiktok&amp;utm_medium=MES&amp;utm_term=NEW_ALL_1841_none_031125&amp;utm_content=saletructiep_ALL.M539MES.1840.giaotiep_THCNGDP_LD153&amp;utm_campaign=ALL.giaotiep.M539MES_PTD_Tiktok_NamNH_031125" TargetMode="External"/><Relationship Id="rId255" Type="http://schemas.openxmlformats.org/officeDocument/2006/relationships/hyperlink" Target="https://patadovietnam.edu.vn/tienganhgiaotiep_hn/" TargetMode="External"/><Relationship Id="rId254" Type="http://schemas.openxmlformats.org/officeDocument/2006/relationships/hyperlink" Target="https://patadovietnam.edu.vn/tienganhgiaotiep_hn/?utm_source=Tiktok&amp;utm_medium=MES&amp;utm_term=NEW_ALL_1841_none_211025&amp;utm_content=saletructiep_ALL.M553xM555MES.1840.giaotiep_THCNGDP_LD153&amp;utm_campaign=ALL.giaotiep.M553xM555MES_PTD_Tiktok_NamNH_211025" TargetMode="External"/><Relationship Id="rId293" Type="http://schemas.openxmlformats.org/officeDocument/2006/relationships/hyperlink" Target="https://patadovietnam.edu.vn/tienganhgiaotiep_hn/" TargetMode="External"/><Relationship Id="rId292" Type="http://schemas.openxmlformats.org/officeDocument/2006/relationships/hyperlink" Target="https://patadovietnam.edu.vn/tienganhgiaotiep_hn/?utm_source=Tiktok&amp;utm_medium=MES&amp;utm_term=NEW_ALL_1841_none_101225&amp;utm_content=saletructiep_ALL.P250.1840.giaotiep_THCNGDP_LD153&amp;utm_campaign=ALL.giaotiep.P250_PTD_Tiktok_NamNH_101225" TargetMode="External"/><Relationship Id="rId291" Type="http://schemas.openxmlformats.org/officeDocument/2006/relationships/hyperlink" Target="https://patadovietnam.edu.vn/tienganhgiaotiep_hn/" TargetMode="External"/><Relationship Id="rId290" Type="http://schemas.openxmlformats.org/officeDocument/2006/relationships/hyperlink" Target="https://patadovietnam.edu.vn/tienganhgiaotiep_hn/?utm_source=Tiktok&amp;utm_medium=MES&amp;utm_term=NEW_Japan_1841_none_101225&amp;utm_content=saletructiep_Japan.P251.1840.giaotiep_THCNGDP_LD153&amp;utm_campaign=Japan.giaotiep.P251_PTD_Tiktok_NamNH_101225" TargetMode="External"/><Relationship Id="rId286" Type="http://schemas.openxmlformats.org/officeDocument/2006/relationships/hyperlink" Target="https://patadovietnam.edu.vn/tienganhgiaotiep_hn/?utm_source=Tiktok&amp;utm_medium=MES&amp;utm_term=NEW_Europe_1841_none_031225&amp;utm_content=saletructiep_Europe.M565.1840.giaotiep_THCNGDP_LD153&amp;utm_campaign=Europe.giaotiep.M565_PTD_Tiktok_NamNH_031225" TargetMode="External"/><Relationship Id="rId285" Type="http://schemas.openxmlformats.org/officeDocument/2006/relationships/hyperlink" Target="https://patadovietnam.edu.vn/tienganhgiaotiep_hn/" TargetMode="External"/><Relationship Id="rId284" Type="http://schemas.openxmlformats.org/officeDocument/2006/relationships/hyperlink" Target="https://patadovietnam.edu.vn/tienganhgiaotiep_hn/?utm_source=Tiktok&amp;utm_medium=MES&amp;utm_term=NEW_ALL_1841_none_031225&amp;utm_content=saletructiep_ALL.M596.1840.giaotiep_THCNGDP_LD153&amp;utm_campaign=ALL.giaotiep.M596_PTD_Tiktok_NamNH_031225" TargetMode="External"/><Relationship Id="rId283" Type="http://schemas.openxmlformats.org/officeDocument/2006/relationships/hyperlink" Target="https://patadovietnam.edu.vn/tienganhgiaotiep_hn/" TargetMode="External"/><Relationship Id="rId289" Type="http://schemas.openxmlformats.org/officeDocument/2006/relationships/hyperlink" Target="https://patadovietnam.edu.vn/tienganhgiaotiep_hn/" TargetMode="External"/><Relationship Id="rId288" Type="http://schemas.openxmlformats.org/officeDocument/2006/relationships/hyperlink" Target="https://patadovietnam.edu.vn/tienganhgiaotiep_hn/?utm_source=Tiktok&amp;utm_medium=MES&amp;utm_term=NEW_Europe_1841_none_031225&amp;utm_content=saletructiep_Europe.M596.1840.giaotiep_THCNGDP_LD153&amp;utm_campaign=Europe.giaotiep.M596_PTD_Tiktok_NamNH_031225" TargetMode="External"/><Relationship Id="rId287" Type="http://schemas.openxmlformats.org/officeDocument/2006/relationships/hyperlink" Target="https://patadovietnam.edu.vn/tienganhgiaotiep_hn/" TargetMode="External"/><Relationship Id="rId282" Type="http://schemas.openxmlformats.org/officeDocument/2006/relationships/hyperlink" Target="https://patadovietnam.edu.vn/tienganhgiaotiep_hn/?utm_source=Tiktok&amp;utm_medium=MES&amp;utm_term=NEW_ALL_1841_none_031225&amp;utm_content=saletructiep_ALL.M565.1840.giaotiep_THCNGDP_LD153&amp;utm_campaign=ALL.giaotiep.M565_PTD_Tiktok_NamNH_031225" TargetMode="External"/><Relationship Id="rId281" Type="http://schemas.openxmlformats.org/officeDocument/2006/relationships/hyperlink" Target="https://patadovietnam.edu.vn/tienganhgiaotiep_hn/" TargetMode="External"/><Relationship Id="rId280" Type="http://schemas.openxmlformats.org/officeDocument/2006/relationships/hyperlink" Target="https://patadovietnam.edu.vn/tienganhgiaotiep_hn/?utm_source=Tiktok&amp;utm_medium=MES&amp;utm_term=NEW_Japan_1841_none_031225&amp;utm_content=saletructiep_Japan.M596.1840.giaotiep_THCNGDP_LD153&amp;utm_campaign=Japan.giaotiep.M596_PTD_Tiktok_NamNH_031225" TargetMode="External"/><Relationship Id="rId275" Type="http://schemas.openxmlformats.org/officeDocument/2006/relationships/hyperlink" Target="https://patadovietnam.edu.vn/tienganhgiaotiep_hn/" TargetMode="External"/><Relationship Id="rId274" Type="http://schemas.openxmlformats.org/officeDocument/2006/relationships/hyperlink" Target="https://patadovietnam.edu.vn/tienganhgiaotiep_hn/?utm_source=Tiktok&amp;utm_medium=MES&amp;utm_term=NEW_ALL_1841_none_171125&amp;utm_content=saletructiep_ALL.M566MES.1840.giaotiep_THCNGDP_LD153&amp;utm_campaign=ALL.giaotiep.M566MES_PTD_Tiktok_NamNH_171125" TargetMode="External"/><Relationship Id="rId273" Type="http://schemas.openxmlformats.org/officeDocument/2006/relationships/hyperlink" Target="https://patadovietnam.edu.vn/tienganhgiaotiep_hn/" TargetMode="External"/><Relationship Id="rId272" Type="http://schemas.openxmlformats.org/officeDocument/2006/relationships/hyperlink" Target="https://patadovietnam.edu.vn/tienganhgiaotiep_hn/?utm_source=Tiktok&amp;utm_medium=MES&amp;utm_term=NEW_Europe_1841_none_171125&amp;utm_content=saletructiep_Europe.M566MES.1840.giaotiep_THCNGDP_LD153&amp;utm_campaign=Europe.giaotiep.M566MES_PTD_Tiktok_NamNH_171125" TargetMode="External"/><Relationship Id="rId279" Type="http://schemas.openxmlformats.org/officeDocument/2006/relationships/hyperlink" Target="https://patadovietnam.edu.vn/tienganhgiaotiep_hn/" TargetMode="External"/><Relationship Id="rId278" Type="http://schemas.openxmlformats.org/officeDocument/2006/relationships/hyperlink" Target="https://patadovietnam.edu.vn/tienganhgiaotiep_hn/?utm_source=Tiktok&amp;utm_medium=MES&amp;utm_term=NEW_Japan_1841_none_031225&amp;utm_content=saletructiep_Japan.M565.1840.giaotiep_THCNGDP_LD153&amp;utm_campaign=Japan.giaotiep.M565_PTD_Tiktok_NamNH_031225" TargetMode="External"/><Relationship Id="rId277" Type="http://schemas.openxmlformats.org/officeDocument/2006/relationships/hyperlink" Target="https://patadovietnam.edu.vn/tienganhgiaotiep_hn/" TargetMode="External"/><Relationship Id="rId276" Type="http://schemas.openxmlformats.org/officeDocument/2006/relationships/hyperlink" Target="https://patadovietnam.edu.vn/tienganhgiaotiep_hn/?utm_source=Tiktok&amp;utm_medium=MES&amp;utm_term=NEW_Japan_1841_none_171125&amp;utm_content=saletructiep_Japan.M566MES.1840.giaotiep_THCNGDP_LD153&amp;utm_campaign=Japan.giaotiep.M566MES_PTD_Tiktok_NamNH_171125" TargetMode="External"/><Relationship Id="rId228" Type="http://schemas.openxmlformats.org/officeDocument/2006/relationships/hyperlink" Target="https://patadovietnam.edu.vn/tienganhgiaotiep_hn/?utm_source=Tiktok&amp;utm_medium=MES&amp;utm_term=NEW_Japan_1841_none_170925&amp;utm_content=saletructiep_Japan.M534MES.1840.giaotiep_THCNGDP_LD153&amp;utm_campaign=Japan.giaotiep.M534MES_PTD_Tiktok_NamNH_170925" TargetMode="External"/><Relationship Id="rId227" Type="http://schemas.openxmlformats.org/officeDocument/2006/relationships/hyperlink" Target="https://patadovietnam.edu.vn/tienganhgiaotiep_hn/" TargetMode="External"/><Relationship Id="rId226" Type="http://schemas.openxmlformats.org/officeDocument/2006/relationships/hyperlink" Target="https://patadovietnam.edu.vn/tienganhgiaotiep_hn/?utm_source=Tiktok&amp;utm_medium=MES&amp;utm_term=NEW_KoreaSouth_1841_none_150925&amp;utm_content=saletructiep_KoreaSouth.M529MES.1840.giaotiep_THCNGDP_LD153&amp;utm_campaign=KoreaSouth.giaotiep.M529MES_PTD_Tiktok_NamNH_150925" TargetMode="External"/><Relationship Id="rId225" Type="http://schemas.openxmlformats.org/officeDocument/2006/relationships/hyperlink" Target="https://patadovietnam.edu.vn/tienganhgiaotiep_hn/" TargetMode="External"/><Relationship Id="rId229" Type="http://schemas.openxmlformats.org/officeDocument/2006/relationships/hyperlink" Target="https://patadovietnam.edu.vn/tienganhgiaotiep_hn/" TargetMode="External"/><Relationship Id="rId220" Type="http://schemas.openxmlformats.org/officeDocument/2006/relationships/hyperlink" Target="https://patadovietnam.edu.vn/tienganhgiaotiep_hn/?utm_source=Tiktok&amp;utm_medium=MES&amp;utm_term=NEW_Europe_1841_none_150925&amp;utm_content=saletructiep_Europe.M529MES.1840.giaotiep_THCNGDP_LD153&amp;utm_campaign=Europe.giaotiep.M529MES_PTD_Tiktok_NamNH_150925" TargetMode="External"/><Relationship Id="rId224" Type="http://schemas.openxmlformats.org/officeDocument/2006/relationships/hyperlink" Target="https://patadovietnam.edu.vn/tienganhgiaotiep_hn/?utm_source=Tiktok&amp;utm_medium=MES&amp;utm_term=NEW_Japan_1841_none_150925&amp;utm_content=saletructiep_Japan.M529MES2.1840.giaotiep_THCNGDP_LD153&amp;utm_campaign=Japan.giaotiep.M529MES2_PTD_Tiktok_NamNH_150925" TargetMode="External"/><Relationship Id="rId223" Type="http://schemas.openxmlformats.org/officeDocument/2006/relationships/hyperlink" Target="https://patadovietnam.edu.vn/tienganhgiaotiep_hn/" TargetMode="External"/><Relationship Id="rId222" Type="http://schemas.openxmlformats.org/officeDocument/2006/relationships/hyperlink" Target="https://patadovietnam.edu.vn/tienganhgiaotiep_hn/?utm_source=Tiktok&amp;utm_medium=MES&amp;utm_term=NEW_Japan_1841_none_150925&amp;utm_content=saletructiep_Japan.M529MES.1840.giaotiep_THCNGDP_LD153&amp;utm_campaign=Japan.giaotiep.M529MES_PTD_Tiktok_NamNH_150925" TargetMode="External"/><Relationship Id="rId221" Type="http://schemas.openxmlformats.org/officeDocument/2006/relationships/hyperlink" Target="https://patadovietnam.edu.vn/tienganhgiaotiep_hn/" TargetMode="External"/><Relationship Id="rId217" Type="http://schemas.openxmlformats.org/officeDocument/2006/relationships/hyperlink" Target="https://patadovietnam.edu.vn/tienganhgiaotiep_hn/" TargetMode="External"/><Relationship Id="rId216" Type="http://schemas.openxmlformats.org/officeDocument/2006/relationships/hyperlink" Target="https://patadovietnam.edu.vn/gtjapan_nhn3/?utm_source=Tiktok&amp;utm_medium=CVS&amp;utm_term=NEW_Japan_1840_none_100925&amp;utm_content=saletructiep_Japan.M393CVS.1840.giaotiep_THCNGDP_LD164&amp;utm_campaign=Japan.giaotiep.M393CVS_PTD_Tiktok_NamNH_100925" TargetMode="External"/><Relationship Id="rId215" Type="http://schemas.openxmlformats.org/officeDocument/2006/relationships/hyperlink" Target="https://patadovietnam.edu.vn/gtjapan_nhn3" TargetMode="External"/><Relationship Id="rId214" Type="http://schemas.openxmlformats.org/officeDocument/2006/relationships/hyperlink" Target="https://patadovietnam.edu.vn/tienganhgiaotiep_hn/?utm_source=Tiktok&amp;utm_medium=CVS&amp;utm_term=NEW_Europe_1840_none_100925&amp;utm_content=saletructiep_Europe.JHCVS.1840.giaotiep_THCNGDP_LD153&amp;utm_campaign=Europe.giaotiep.JHCVS_PTD_Tiktok_NamNH_100925" TargetMode="External"/><Relationship Id="rId219" Type="http://schemas.openxmlformats.org/officeDocument/2006/relationships/hyperlink" Target="https://patadovietnam.edu.vn/tienganhgiaotiep_hn/" TargetMode="External"/><Relationship Id="rId218" Type="http://schemas.openxmlformats.org/officeDocument/2006/relationships/hyperlink" Target="https://patadovietnam.edu.vn/tienganhgiaotiep_hn/?utm_source=Tiktok&amp;utm_medium=MES&amp;utm_term=NEW_ALL_1841_none_150925&amp;utm_content=saletructiep_ALL.M529MES.1840.giaotiep_THCNGDP_LD153&amp;utm_campaign=ALL.giaotiep.M529MES_PTD_Tiktok_NamNH_150925" TargetMode="External"/><Relationship Id="rId213" Type="http://schemas.openxmlformats.org/officeDocument/2006/relationships/hyperlink" Target="https://patadovietnam.edu.vn/tienganhgiaotiep_hn/" TargetMode="External"/><Relationship Id="rId212" Type="http://schemas.openxmlformats.org/officeDocument/2006/relationships/hyperlink" Target="https://patadovietnam.edu.vn/tienganhgiaotiep_hn/?utm_source=Tiktok&amp;utm_medium=MES&amp;utm_term=NEW_Japan_1840_none_040925&amp;utm_content=saletructiep_Japan.M504MES.1840.giaotiep_THCNGDP_LD153&amp;utm_campaign=Japan.giaotiep.M504MES_PTD_Tiktok_NamNH_040925" TargetMode="External"/><Relationship Id="rId211" Type="http://schemas.openxmlformats.org/officeDocument/2006/relationships/hyperlink" Target="https://patadovietnam.edu.vn/tienganhgiaotiep_hn/" TargetMode="External"/><Relationship Id="rId210" Type="http://schemas.openxmlformats.org/officeDocument/2006/relationships/hyperlink" Target="https://patadovietnam.edu.vn/tienganhgiaotiep_hn/?utm_source=Tiktok&amp;utm_medium=MES&amp;utm_term=NEW_Europe_1840_none_030925&amp;utm_content=saletructiep_Europe.M504MES.1840.giaotiep_THCNGDP_LD153&amp;utm_campaign=Europe.giaotiep.M504MES_PTD_Tiktok_NamNH_030925" TargetMode="External"/><Relationship Id="rId249" Type="http://schemas.openxmlformats.org/officeDocument/2006/relationships/hyperlink" Target="https://patadovietnam.edu.vn/tienganhgiaotiep_hn/" TargetMode="External"/><Relationship Id="rId248" Type="http://schemas.openxmlformats.org/officeDocument/2006/relationships/hyperlink" Target="https://patadovietnam.edu.vn/tienganhgiaotiep_hn/?utm_source=Tiktok&amp;utm_medium=MES&amp;utm_term=NEW_Europe_1841_none_081025&amp;utm_content=saletructiep_Europe.M536xM543MES.1840.giaotiep_THCNGDP_LD153&amp;utm_campaign=Europe.giaotiep.M536xM543MES_PTD_Tiktok_NamNH_081025" TargetMode="External"/><Relationship Id="rId247" Type="http://schemas.openxmlformats.org/officeDocument/2006/relationships/hyperlink" Target="https://patadovietnam.edu.vn/tienganhgiaotiep_hn/" TargetMode="External"/><Relationship Id="rId242" Type="http://schemas.openxmlformats.org/officeDocument/2006/relationships/hyperlink" Target="https://patadovietnam.edu.vn/tienganhgiaotiep_hn/?utm_source=Tiktok&amp;utm_medium=MES&amp;utm_term=NEW_ALL_1841_none_220925&amp;utm_content=saletructiep_ALL.M540MES.1840.giaotiep_THCNGDP_LD153&amp;utm_campaign=ALL.giaotiep.M540MES_PTD_Tiktok_NamNH_220925" TargetMode="External"/><Relationship Id="rId241" Type="http://schemas.openxmlformats.org/officeDocument/2006/relationships/hyperlink" Target="https://patadovietnam.edu.vn/tienganhgiaotiep_hn/" TargetMode="External"/><Relationship Id="rId240" Type="http://schemas.openxmlformats.org/officeDocument/2006/relationships/hyperlink" Target="https://patadovietnam.edu.vn/tienganhgiaotiep_hn/?utm_source=Tiktok&amp;utm_medium=MES&amp;utm_term=NEW_ALL_1841_none_190925&amp;utm_content=saletructiep_ALL.M526MES2.1840.giaotiep_THCNGDP_LD153&amp;utm_campaign=ALL.giaotiep.M526MES2_PTD_Tiktok_NamNH_190925" TargetMode="External"/><Relationship Id="rId246" Type="http://schemas.openxmlformats.org/officeDocument/2006/relationships/hyperlink" Target="https://patadovietnam.edu.vn/tienganhgiaotiep_hn/?utm_source=Tiktok&amp;utm_medium=MES&amp;utm_term=NEW_Japan_1841_none_081025&amp;utm_content=saletructiep_Japan.M536xM543MES.1840.giaotiep_THCNGDP_LD153&amp;utm_campaign=Japan.giaotiep.M536xM543MES_PTD_Tiktok_NamNH_081025" TargetMode="External"/><Relationship Id="rId245" Type="http://schemas.openxmlformats.org/officeDocument/2006/relationships/hyperlink" Target="https://patadovietnam.edu.vn/tienganhgiaotiep_hn/" TargetMode="External"/><Relationship Id="rId244" Type="http://schemas.openxmlformats.org/officeDocument/2006/relationships/hyperlink" Target="https://patadovietnam.edu.vn/tienganhgiaotiep_hn/?utm_source=Tiktok&amp;utm_medium=MES&amp;utm_term=NEW_ALL_1841_none_081025&amp;utm_content=saletructiep_ALL.M536xM543MES.1840.giaotiep_THCNGDP_LD153&amp;utm_campaign=ALL.giaotiep.M536xM543MES_PTD_Tiktok_NamNH_081025" TargetMode="External"/><Relationship Id="rId243" Type="http://schemas.openxmlformats.org/officeDocument/2006/relationships/hyperlink" Target="https://patadovietnam.edu.vn/tienganhgiaotiep_hn/" TargetMode="External"/><Relationship Id="rId239" Type="http://schemas.openxmlformats.org/officeDocument/2006/relationships/hyperlink" Target="https://patadovietnam.edu.vn/tienganhgiaotiep_hn/" TargetMode="External"/><Relationship Id="rId238" Type="http://schemas.openxmlformats.org/officeDocument/2006/relationships/hyperlink" Target="https://patadovietnam.edu.vn/tienganhgiaotiep_hn/?utm_source=Tiktok&amp;utm_medium=MES&amp;utm_term=NEW_Europe_1841_none_170925&amp;utm_content=saletructiep_Europe.M526MES.1840.giaotiep_THCNGDP_LD153&amp;utm_campaign=Europe.giaotiep.M526MES_PTD_Tiktok_NamNH_170925" TargetMode="External"/><Relationship Id="rId237" Type="http://schemas.openxmlformats.org/officeDocument/2006/relationships/hyperlink" Target="https://patadovietnam.edu.vn/tienganhgiaotiep_hn/" TargetMode="External"/><Relationship Id="rId236" Type="http://schemas.openxmlformats.org/officeDocument/2006/relationships/hyperlink" Target="https://patadovietnam.edu.vn/tienganhgiaotiep_hn/?utm_source=Tiktok&amp;utm_medium=MES&amp;utm_term=NEW_Japan_1841_none_170925&amp;utm_content=saletructiep_Japan.M526MES.1840.giaotiep_THCNGDP_LD153&amp;utm_campaign=Japan.giaotiep.M526MES_PTD_Tiktok_NamNH_170925" TargetMode="External"/><Relationship Id="rId231" Type="http://schemas.openxmlformats.org/officeDocument/2006/relationships/hyperlink" Target="https://patadovietnam.edu.vn/tienganhgiaotiep_hn/" TargetMode="External"/><Relationship Id="rId230" Type="http://schemas.openxmlformats.org/officeDocument/2006/relationships/hyperlink" Target="https://patadovietnam.edu.vn/tienganhgiaotiep_hn/?utm_source=Tiktok&amp;utm_medium=MES&amp;utm_term=NEW_Europe_1841_none_170925&amp;utm_content=saletructiep_Europe.M534MES.1840.giaotiep_THCNGDP_LD153&amp;utm_campaign=Europe.giaotiep.M534MES_PTD_Tiktok_NamNH_170925" TargetMode="External"/><Relationship Id="rId235" Type="http://schemas.openxmlformats.org/officeDocument/2006/relationships/hyperlink" Target="https://patadovietnam.edu.vn/tienganhgiaotiep_hn/" TargetMode="External"/><Relationship Id="rId234" Type="http://schemas.openxmlformats.org/officeDocument/2006/relationships/hyperlink" Target="https://patadovietnam.edu.vn/tienganhgiaotiep_hn/?utm_source=Tiktok&amp;utm_medium=MES&amp;utm_term=NEW_ALL_1841_none_180925&amp;utm_content=saletructiep_ALL.M526MES.1840.giaotiep_THCNGDP_LD153&amp;utm_campaign=ALL.giaotiep.M526MES_PTD_Tiktok_NamNH_180925" TargetMode="External"/><Relationship Id="rId233" Type="http://schemas.openxmlformats.org/officeDocument/2006/relationships/hyperlink" Target="https://patadovietnam.edu.vn/tienganhgiaotiep_hn/" TargetMode="External"/><Relationship Id="rId232" Type="http://schemas.openxmlformats.org/officeDocument/2006/relationships/hyperlink" Target="https://patadovietnam.edu.vn/tienganhgiaotiep_hn/?utm_source=Tiktok&amp;utm_medium=MES&amp;utm_term=NEW_ALL_1841_none_170925&amp;utm_content=saletructiep_ALL.M534MES.1840.giaotiep_THCNGDP_LD153&amp;utm_campaign=ALL.giaotiep.M534MES_PTD_Tiktok_NamNH_170925" TargetMode="External"/><Relationship Id="rId206" Type="http://schemas.openxmlformats.org/officeDocument/2006/relationships/hyperlink" Target="https://patadovietnam.edu.vn/careereng_nhn/?utm_source=Tiktok&amp;utm_medium=MES&amp;utm_term=NEW_Japan_1840_none_120625&amp;utm_content=saletructiep_Japan.M473MES.1840.Career_THCNGDP_LD239&amp;utm_campaign=Japan.Career.M473MES_PTD_Tiktok_NamNH_120625" TargetMode="External"/><Relationship Id="rId205" Type="http://schemas.openxmlformats.org/officeDocument/2006/relationships/hyperlink" Target="https://patadovietnam.edu.vn/careereng_nhn/" TargetMode="External"/><Relationship Id="rId204" Type="http://schemas.openxmlformats.org/officeDocument/2006/relationships/hyperlink" Target="https://patadovietnam.edu.vn/careereng_nhn/?utm_source=Tiktok&amp;utm_medium=MES&amp;utm_term=NEW_ALL_1841_none_120625&amp;utm_content=saletructiep_ALL.M473MES2.1840.Career_THCNGDP_LD239&amp;utm_campaign=ALL.giaotiep.M473MES2_PTD_Tiktok_NamNH_120625" TargetMode="External"/><Relationship Id="rId203" Type="http://schemas.openxmlformats.org/officeDocument/2006/relationships/hyperlink" Target="https://patadovietnam.edu.vn/careereng_nhn/" TargetMode="External"/><Relationship Id="rId209" Type="http://schemas.openxmlformats.org/officeDocument/2006/relationships/hyperlink" Target="https://patadovietnam.edu.vn/tienganhgiaotiep_hn/" TargetMode="External"/><Relationship Id="rId208" Type="http://schemas.openxmlformats.org/officeDocument/2006/relationships/hyperlink" Target="https://patadovietnam.edu.vn/tienganhgiaotiep_hn/?utm_source=Tiktok&amp;utm_medium=MES&amp;utm_term=NEW_ALL_1840_none_090725&amp;utm_content=saletructiep_ALL.JHMES.1840.giaotiep_THCNGDP_LD153&amp;utm_campaign=ALL.giaotiep.JHMES_PTD_Tiktok_NamNH_090725" TargetMode="External"/><Relationship Id="rId207" Type="http://schemas.openxmlformats.org/officeDocument/2006/relationships/hyperlink" Target="https://patadovietnam.edu.vn/tienganhgiaotiep_hn/" TargetMode="External"/><Relationship Id="rId202" Type="http://schemas.openxmlformats.org/officeDocument/2006/relationships/hyperlink" Target="https://patadovietnam.edu.vn/careereng_nhn/?utm_source=Tiktok&amp;utm_medium=MES&amp;utm_term=NEW_ALL_1840_none_120625&amp;utm_content=saletructiep_ALL.M473MES.1840.Career_THCNGDP_LD239&amp;utm_campaign=ALL.giaotiep.M473MES_PTD_Tiktok_NamNH_120625" TargetMode="External"/><Relationship Id="rId201" Type="http://schemas.openxmlformats.org/officeDocument/2006/relationships/hyperlink" Target="https://patadovietnam.edu.vn/careereng_nhn/" TargetMode="External"/><Relationship Id="rId200" Type="http://schemas.openxmlformats.org/officeDocument/2006/relationships/hyperlink" Target="https://patadovietnam.edu.vn/careereng_nhn/?utm_source=Tiktok&amp;utm_medium=CVS&amp;utm_term=NEW_Europe_1840_none_110625&amp;utm_content=saletructiep_Japan.M473CVS.1840.Career_THCNGDP_LD239&amp;utm_campaign=Europe.Career.M473CVS_PTD_Tiktok_NamNH_110625" TargetMode="External"/><Relationship Id="rId409" Type="http://schemas.openxmlformats.org/officeDocument/2006/relationships/hyperlink" Target="https://patado.edu.vn/tienganhgiaotiep1_hn/" TargetMode="External"/><Relationship Id="rId404" Type="http://schemas.openxmlformats.org/officeDocument/2006/relationships/hyperlink" Target="https://patado.edu.vn/tienganhgiaotiep1_hn/?utm_source=Tiktok&amp;utm_medium=CVS&amp;utm_term=NEW_Europe_1841_none_080526&amp;utm_content=saletructiep_Europe.P798.1840.giaotiep_THCNGDP_LD267&amp;utm_campaign=Europe.giaotiep.P798_PTD_Tiktok_NamNH_080526" TargetMode="External"/><Relationship Id="rId403" Type="http://schemas.openxmlformats.org/officeDocument/2006/relationships/hyperlink" Target="https://patado.edu.vn/tienganhgiaotiep1_hn/" TargetMode="External"/><Relationship Id="rId402" Type="http://schemas.openxmlformats.org/officeDocument/2006/relationships/hyperlink" Target="https://patado.edu.vn/tienganhgiaotiep1_hn/?utm_source=Tiktok&amp;utm_medium=MES&amp;utm_term=NEW_Japan_1841_none_080526&amp;utm_content=saletructiep_Japan.P797.1840.giaotiep_THCNGDP_LD267&amp;utm_campaign=Japan.giaotiep.P797_PTD_Tiktok_NamNH_080526" TargetMode="External"/><Relationship Id="rId401" Type="http://schemas.openxmlformats.org/officeDocument/2006/relationships/hyperlink" Target="https://patado.edu.vn/tienganhgiaotiep1_hn/" TargetMode="External"/><Relationship Id="rId408" Type="http://schemas.openxmlformats.org/officeDocument/2006/relationships/hyperlink" Target="https://patado.edu.vn/gtjapan_nhn3/?utm_source=Tiktok&amp;utm_medium=MES&amp;utm_term=NEW_Japan_1841_none_080626&amp;utm_content=saletructiep_Japan.P883.1840.giaotiep_THCNGDP_LD265&amp;utm_campaign=Japan.giaotiep.P883_PTD_Tiktok_NamNH_080626" TargetMode="External"/><Relationship Id="rId407" Type="http://schemas.openxmlformats.org/officeDocument/2006/relationships/hyperlink" Target="https://patado.edu.vn/gtjapan_nhn3/" TargetMode="External"/><Relationship Id="rId406" Type="http://schemas.openxmlformats.org/officeDocument/2006/relationships/hyperlink" Target="https://patado.edu.vn/tienganhgiaotiep1_hn/?utm_source=Tiktok&amp;utm_medium=MES&amp;utm_term=NEW_ALL_1841_none_080626&amp;utm_content=saletructiep_ALL.P882.1840.giaotiep_THCNGDP_LD267&amp;utm_campaign=ALL.giaotiep.P882_PTD_Tiktok_NamNH_080626" TargetMode="External"/><Relationship Id="rId405" Type="http://schemas.openxmlformats.org/officeDocument/2006/relationships/hyperlink" Target="https://patado.edu.vn/tienganhgiaotiep1_hn/" TargetMode="External"/><Relationship Id="rId400" Type="http://schemas.openxmlformats.org/officeDocument/2006/relationships/hyperlink" Target="https://patado.edu.vn/tienganhgiaotiep1_hn/?utm_source=Tiktok&amp;utm_medium=CVS&amp;utm_term=NEW_ALL_1841_none_080526&amp;utm_content=saletructiep_ALL.P796.1840.giaotiep_THCNGDP_LD267&amp;utm_campaign=ALL.giaotiep.P796_PTD_Tiktok_NamNH_080526" TargetMode="External"/><Relationship Id="rId426" Type="http://schemas.openxmlformats.org/officeDocument/2006/relationships/hyperlink" Target="https://patado.edu.vn/tienganhgiaotiep1_hn/?utm_source=Tiktok&amp;utm_medium=MES&amp;utm_term=NEW_ALL_1841_none_021026&amp;utm_content=saletructiep_ALL.P973.1840.giaotiep_THCNGDP_LD267&amp;utm_campaign=ALL.giaotiep.P973_PTD_Tiktok_NamNH_021026" TargetMode="External"/><Relationship Id="rId425" Type="http://schemas.openxmlformats.org/officeDocument/2006/relationships/hyperlink" Target="https://patado.edu.vn/tienganhgiaotiep1_hn/" TargetMode="External"/><Relationship Id="rId424" Type="http://schemas.openxmlformats.org/officeDocument/2006/relationships/hyperlink" Target="https://patado.edu.vn/tienganhgiaotiep1_hn/?utm_source=Tiktok&amp;utm_medium=MES&amp;utm_term=NEW_Japan_1841_none_021026&amp;utm_content=saletructiep_Japan.P972.1840.giaotiep_THCNGDP_LD267&amp;utm_campaign=Japan.giaotiep.P972_PTD_Tiktok_NamNH_021026" TargetMode="External"/><Relationship Id="rId423" Type="http://schemas.openxmlformats.org/officeDocument/2006/relationships/hyperlink" Target="https://patado.edu.vn/tienganhgiaotiep1_hn/" TargetMode="External"/><Relationship Id="rId429" Type="http://schemas.openxmlformats.org/officeDocument/2006/relationships/hyperlink" Target="https://patado.edu.vn/tienganhgiaotiep1_hn/" TargetMode="External"/><Relationship Id="rId428" Type="http://schemas.openxmlformats.org/officeDocument/2006/relationships/hyperlink" Target="https://patado.edu.vn/tienganhgiaotiep1_hn/?utm_source=Tiktok&amp;utm_medium=MES&amp;utm_term=NEW_Europe_1841_none_071026&amp;utm_content=saletructiep_Europe.P974.1840.giaotiep_THCNGDP_LD267&amp;utm_campaign=Europe.giaotiep.P974_PTD_Tiktok_NamNH_071026" TargetMode="External"/><Relationship Id="rId427" Type="http://schemas.openxmlformats.org/officeDocument/2006/relationships/hyperlink" Target="https://patado.edu.vn/tienganhgiaotiep1_hn/" TargetMode="External"/><Relationship Id="rId422" Type="http://schemas.openxmlformats.org/officeDocument/2006/relationships/hyperlink" Target="https://patado.edu.vn/tienganhgiaotiep1_hn/?utm_source=Tiktok&amp;utm_medium=MES&amp;utm_term=NEW_Europe_1841_none_021026&amp;utm_content=saletructiep_Europe.P971.1840.giaotiep_THCNGDP_LD267&amp;utm_campaign=Europe.giaotiep.P971_PTD_Tiktok_NamNH_021026" TargetMode="External"/><Relationship Id="rId421" Type="http://schemas.openxmlformats.org/officeDocument/2006/relationships/hyperlink" Target="https://patado.edu.vn/tienganhgiaotiep1_hn/" TargetMode="External"/><Relationship Id="rId420" Type="http://schemas.openxmlformats.org/officeDocument/2006/relationships/hyperlink" Target="https://patado.edu.vn/tienganhgiaotiep1_hn/?utm_source=Tiktok&amp;utm_medium=MES&amp;utm_term=NEW_ALL_1841_none_020726&amp;utm_content=saletructiep_ALL.P970.1840.giaotiep_THCNGDP_LD267&amp;utm_campaign=ALL.giaotiep.P970_PTD_Tiktok_NamNH_020726" TargetMode="External"/><Relationship Id="rId415" Type="http://schemas.openxmlformats.org/officeDocument/2006/relationships/hyperlink" Target="https://patado.edu.vn/tienganhgiaotiep1_hn/" TargetMode="External"/><Relationship Id="rId414" Type="http://schemas.openxmlformats.org/officeDocument/2006/relationships/hyperlink" Target="https://patado.edu.vn/gtjapan_nhn3/?utm_source=Tiktok&amp;utm_medium=MES&amp;utm_term=NEW_Japan_1841_none_110626&amp;utm_content=saletructiep_Japan.P897.1840.giaotiep_THCNGDP_LD265&amp;utm_campaign=Japan.giaotiep.P897_PTD_Tiktok_NamNH_110626" TargetMode="External"/><Relationship Id="rId413" Type="http://schemas.openxmlformats.org/officeDocument/2006/relationships/hyperlink" Target="https://patado.edu.vn/gtjapan_nhn3/" TargetMode="External"/><Relationship Id="rId412" Type="http://schemas.openxmlformats.org/officeDocument/2006/relationships/hyperlink" Target="https://patado.edu.vn/tienganhgiaotiep1_hn/?utm_source=Tiktok&amp;utm_medium=MES&amp;utm_term=NEW_ALL_1841_none_110626&amp;utm_content=saletructiep_ALL.P896.1840.giaotiep_THCNGDP_LD267&amp;utm_campaign=ALL.giaotiep.P896_PTD_Tiktok_NamNH_110626" TargetMode="External"/><Relationship Id="rId419" Type="http://schemas.openxmlformats.org/officeDocument/2006/relationships/hyperlink" Target="https://patado.edu.vn/tienganhgiaotiep1_hn/" TargetMode="External"/><Relationship Id="rId418" Type="http://schemas.openxmlformats.org/officeDocument/2006/relationships/hyperlink" Target="https://patado.edu.vn/tienganhgiaotiep1_hn/?utm_source=Tiktok&amp;utm_medium=MES&amp;utm_term=NEW_Europe_1841_none_020726&amp;utm_content=saletructiep_Europe.P969.1840.giaotiep_THCNGDP_LD267&amp;utm_campaign=Europe.giaotiep.P969_PTD_Tiktok_NamNH_020726" TargetMode="External"/><Relationship Id="rId417" Type="http://schemas.openxmlformats.org/officeDocument/2006/relationships/hyperlink" Target="https://patado.edu.vn/tienganhgiaotiep1_hn/" TargetMode="External"/><Relationship Id="rId416" Type="http://schemas.openxmlformats.org/officeDocument/2006/relationships/hyperlink" Target="https://patado.edu.vn/tienganhgiaotiep1_hn/?utm_source=Tiktok&amp;utm_medium=MES&amp;utm_term=NEW_Japan_1841_none_020726&amp;utm_content=saletructiep_Japan.P968.1840.giaotiep_THCNGDP_LD267&amp;utm_campaign=Japan.giaotiep.P968_PTD_Tiktok_NamNH_020726" TargetMode="External"/><Relationship Id="rId411" Type="http://schemas.openxmlformats.org/officeDocument/2006/relationships/hyperlink" Target="https://patado.edu.vn/tienganhgiaotiep1_hn/" TargetMode="External"/><Relationship Id="rId410" Type="http://schemas.openxmlformats.org/officeDocument/2006/relationships/hyperlink" Target="https://patado.edu.vn/tienganhgiaotiep1_hn/?utm_source=Tiktok&amp;utm_medium=MES&amp;utm_term=NEW_Europe_1841_none_080626&amp;utm_content=saletructiep_Europe.P884.1840.giaotiep_THCNGDP_LD267&amp;utm_campaign=Europe.giaotiep.P884_PTD_Tiktok_NamNH_080626" TargetMode="External"/><Relationship Id="rId433" Type="http://schemas.openxmlformats.org/officeDocument/2006/relationships/drawing" Target="../drawings/drawing7.xml"/><Relationship Id="rId432" Type="http://schemas.openxmlformats.org/officeDocument/2006/relationships/hyperlink" Target="https://patado.edu.vn/tienganhgiaotiep1_hn/?utm_source=Tiktok&amp;utm_medium=MES&amp;utm_term=NEW_ALL_1841_none_071026&amp;utm_content=saletructiep_ALL.P976.1840.giaotiep_THCNGDP_LD267&amp;utm_campaign=ALL.giaotiep.P976_PTD_Tiktok_NamNH_071026" TargetMode="External"/><Relationship Id="rId431" Type="http://schemas.openxmlformats.org/officeDocument/2006/relationships/hyperlink" Target="https://patado.edu.vn/tienganhgiaotiep1_hn/" TargetMode="External"/><Relationship Id="rId430" Type="http://schemas.openxmlformats.org/officeDocument/2006/relationships/hyperlink" Target="https://patado.edu.vn/tienganhgiaotiep1_hn/?utm_source=Tiktok&amp;utm_medium=MES&amp;utm_term=NEW_Japan_1841_none_071026&amp;utm_content=saletructiep_Japan.P975.1840.giaotiep_THCNGDP_LD267&amp;utm_campaign=Japan.giaotiep.P975_PTD_Tiktok_NamNH_071026" TargetMode="External"/><Relationship Id="rId1" Type="http://schemas.openxmlformats.org/officeDocument/2006/relationships/hyperlink" Target="https://toandien.tienganh24h.net/khoahocgiaotiep/" TargetMode="External"/><Relationship Id="rId2" Type="http://schemas.openxmlformats.org/officeDocument/2006/relationships/hyperlink" Target="https://patadovietnam.edu.vn/tai-tai-lieu/" TargetMode="External"/><Relationship Id="rId3" Type="http://schemas.openxmlformats.org/officeDocument/2006/relationships/hyperlink" Target="https://patadovietnam.edu.vn/tienganhgiaotiep_hn/" TargetMode="External"/><Relationship Id="rId4" Type="http://schemas.openxmlformats.org/officeDocument/2006/relationships/hyperlink" Target="https://patadovietnam.edu.vn/tienganhgiaotiep_hn/?utm_source=Facebook&amp;utm_medium=MES&amp;utm_term=NEW_Vietnam_2040_none_110423&amp;utm_content=saletructiep_Vietnam.anhgiaotiep1.2040.giaotiep_PTATT_LD153&amp;utm_campaign=Vietnam.giaotiep.anhgiaotiep1_95360_MES_NamNH_110423" TargetMode="External"/><Relationship Id="rId9" Type="http://schemas.openxmlformats.org/officeDocument/2006/relationships/hyperlink" Target="https://patadovietnam.edu.vn/tienganhgiaotiep_hn/" TargetMode="External"/><Relationship Id="rId5" Type="http://schemas.openxmlformats.org/officeDocument/2006/relationships/hyperlink" Target="http://ldp.to/vietnam_namnh" TargetMode="External"/><Relationship Id="rId6" Type="http://schemas.openxmlformats.org/officeDocument/2006/relationships/hyperlink" Target="https://patadovietnam.edu.vn/tienganhgiaotiep_hn/" TargetMode="External"/><Relationship Id="rId7" Type="http://schemas.openxmlformats.org/officeDocument/2006/relationships/hyperlink" Target="https://patadovietnam.edu.vn/tienganhgiaotiep_hn/?utm_source=Facebook&amp;utm_medium=MES&amp;utm_term=NEW_UnitedStates_2045_none_110423&amp;utm_content=saletructiep_UnitedStates.anhgiaotiep2.2045.giaotiep_PTATT_LD153&amp;utm_campaign=UnitedStates.giaotiep.anhgiaotiep2_95360_MES_NamNH_110423" TargetMode="External"/><Relationship Id="rId8" Type="http://schemas.openxmlformats.org/officeDocument/2006/relationships/hyperlink" Target="http://ldp.to/USA_Namnh" TargetMode="External"/><Relationship Id="rId190" Type="http://schemas.openxmlformats.org/officeDocument/2006/relationships/hyperlink" Target="https://patadovietnam.edu.vn/gtjapan_nhn3/?utm_source=Tiktok&amp;utm_medium=MES&amp;utm_term=NEW_Japan_1840_none_060625&amp;utm_content=saletructiep_Japan.M471MES.1840.M471MES_THCNGDP_LD164&amp;utm_campaign=Japan.giaotiep.M471MES_PTD_Tiktok_NamNH_060625" TargetMode="External"/><Relationship Id="rId194" Type="http://schemas.openxmlformats.org/officeDocument/2006/relationships/hyperlink" Target="https://patadovietnam.edu.vn/gtjapan_nhn3/?utm_source=Tiktok&amp;utm_medium=MES&amp;utm_term=NEW_Japan_1840_none_060625&amp;utm_content=saletructiep_Japan.M440MES.1840.M440MES_THCNGDP_LD164&amp;utm_campaign=Japan.giaotiep.M440MES_PTD_Tiktok_NamNH_060625" TargetMode="External"/><Relationship Id="rId193" Type="http://schemas.openxmlformats.org/officeDocument/2006/relationships/hyperlink" Target="https://patadovietnam.edu.vn/gtjapan_nhn3" TargetMode="External"/><Relationship Id="rId192" Type="http://schemas.openxmlformats.org/officeDocument/2006/relationships/hyperlink" Target="https://patadovietnam.edu.vn/tienganhgiaotiep_hn/?utm_source=Tiktok&amp;utm_medium=MES&amp;utm_term=NEW_KoreaSouth_1840_none_060625&amp;utm_content=saletructiep_KoreaSouth.M470MES.1840.M470MES_THCNGDP_LD153&amp;utm_campaign=KoreaSouth.giaotiep.M470MES_PTD_Tiktok_NamNH_060625" TargetMode="External"/><Relationship Id="rId191" Type="http://schemas.openxmlformats.org/officeDocument/2006/relationships/hyperlink" Target="https://patadovietnam.edu.vn/tienganhgiaotiep_hn/" TargetMode="External"/><Relationship Id="rId187" Type="http://schemas.openxmlformats.org/officeDocument/2006/relationships/hyperlink" Target="https://patadovietnam.edu.vn/gtjapan_nhn3" TargetMode="External"/><Relationship Id="rId186" Type="http://schemas.openxmlformats.org/officeDocument/2006/relationships/hyperlink" Target="https://patadovietnam.edu.vn/tienganhgiaotiep_hn/?utm_source=Tiktok&amp;utm_medium=CVS&amp;utm_term=NEW_Europe_1840_none_060625&amp;utm_content=saletructiep_Europe.M236CVS.1840.M236CVS_THCNGDP_LD153&amp;utm_campaign=Europe.giaotiep.M236CVS_PTD_Tiktok_NamNH_060625" TargetMode="External"/><Relationship Id="rId185" Type="http://schemas.openxmlformats.org/officeDocument/2006/relationships/hyperlink" Target="https://patadovietnam.edu.vn/tienganhgiaotiep_hn/" TargetMode="External"/><Relationship Id="rId184" Type="http://schemas.openxmlformats.org/officeDocument/2006/relationships/hyperlink" Target="https://patadovietnam.edu.vn/tienganhgiaotiep_hn/?utm_source=Tiktok&amp;utm_medium=CVS&amp;utm_term=NEW_Europe_1840_none_060625&amp;utm_content=saletructiep_Europe.M451CVS.1840.M451CVS_THCNGDP_LD153&amp;utm_campaign=Europe.giaotiep.M451CVS_PTD_Tiktok_NamNH_060625" TargetMode="External"/><Relationship Id="rId189" Type="http://schemas.openxmlformats.org/officeDocument/2006/relationships/hyperlink" Target="https://patadovietnam.edu.vn/gtjapan_nhn3" TargetMode="External"/><Relationship Id="rId188" Type="http://schemas.openxmlformats.org/officeDocument/2006/relationships/hyperlink" Target="https://patadovietnam.edu.vn/gtjapan_nhn3/?utm_source=Tiktok&amp;utm_medium=MES&amp;utm_term=NEW_Japan_1840_none_060625&amp;utm_content=saletructiep_Japan.M470MES.1840.M470MES_THCNGDP_LD164&amp;utm_campaign=Japan.giaotiep.M470MES_PTD_Tiktok_NamNH_060625" TargetMode="External"/><Relationship Id="rId183" Type="http://schemas.openxmlformats.org/officeDocument/2006/relationships/hyperlink" Target="https://patadovietnam.edu.vn/tienganhgiaotiep_hn/" TargetMode="External"/><Relationship Id="rId182" Type="http://schemas.openxmlformats.org/officeDocument/2006/relationships/hyperlink" Target="https://patadovietnam.edu.vn/tienganhgiaotiep_hn/?utm_source=Tiktok&amp;utm_medium=MES&amp;utm_term=NEW_ALL_1840_none_040625&amp;utm_content=saletructiep_ALL.M456MES2.1840.M456MES2_THCNGDP_LD153&amp;utm_campaign=ALL.giaotiep.M456MES2_PTD_Tiktok_NamNH_040625" TargetMode="External"/><Relationship Id="rId181" Type="http://schemas.openxmlformats.org/officeDocument/2006/relationships/hyperlink" Target="https://patadovietnam.edu.vn/tienganhgiaotiep_hn/" TargetMode="External"/><Relationship Id="rId180" Type="http://schemas.openxmlformats.org/officeDocument/2006/relationships/hyperlink" Target="https://patadovietnam.edu.vn/tienganhgiaotiep_hn/?utm_source=Tiktok&amp;utm_medium=MES&amp;utm_term=NEW_ALL_1840_none_040625&amp;utm_content=saletructiep_ALL.M456MES.1840.M456MES_THCNGDP_LD153&amp;utm_campaign=ALL.giaotiep.M456MES_PTD_Tiktok_NamNH_040625" TargetMode="External"/><Relationship Id="rId176" Type="http://schemas.openxmlformats.org/officeDocument/2006/relationships/hyperlink" Target="https://patadovietnam.edu.vn/gtjapan_nhn3/?utm_source=Tiktok&amp;utm_medium=MES&amp;utm_term=NEW_Japan_1840_none_040625&amp;utm_content=saletructiep_Japan.M456MES.1840.M456MES_THCNGDP_LD164&amp;utm_campaign=Japan.giaotiep.M456MES_PTD_Tiktok_NamNH_040625" TargetMode="External"/><Relationship Id="rId175" Type="http://schemas.openxmlformats.org/officeDocument/2006/relationships/hyperlink" Target="https://patadovietnam.edu.vn/gtjapan_nhn3" TargetMode="External"/><Relationship Id="rId174" Type="http://schemas.openxmlformats.org/officeDocument/2006/relationships/hyperlink" Target="https://patadovietnam.edu.vn/tienganhgiaotiep_hn/?utm_source=Tiktok&amp;utm_medium=MES&amp;utm_term=NEW_ALL_1840_none_120525&amp;utm_content=saletructiep_ALL.M447MES2.1840.M447MES2_THCNGDP_LD153&amp;utm_campaign=ALL.giaotiep.M447MES2_PTD_Tiktok_NamNH_120525" TargetMode="External"/><Relationship Id="rId173" Type="http://schemas.openxmlformats.org/officeDocument/2006/relationships/hyperlink" Target="https://patadovietnam.edu.vn/tienganhgiaotiep_hn/" TargetMode="External"/><Relationship Id="rId179" Type="http://schemas.openxmlformats.org/officeDocument/2006/relationships/hyperlink" Target="https://patadovietnam.edu.vn/tienganhgiaotiep_hn/" TargetMode="External"/><Relationship Id="rId178" Type="http://schemas.openxmlformats.org/officeDocument/2006/relationships/hyperlink" Target="https://patadovietnam.edu.vn/tienganhgiaotiep_hn/?utm_source=Tiktok&amp;utm_medium=MES&amp;utm_term=NEW_KoreaSouth_1840_none_040625&amp;utm_content=saletructiep_KoreaSouth.M456MES.1840.M456MES_THCNGDP_LD153&amp;utm_campaign=KoreaSouth.giaotiep.M456MES_PTD_Tiktok_NamNH_040625" TargetMode="External"/><Relationship Id="rId177" Type="http://schemas.openxmlformats.org/officeDocument/2006/relationships/hyperlink" Target="https://patadovietnam.edu.vn/tienganhgiaotiep_hn/" TargetMode="External"/><Relationship Id="rId198" Type="http://schemas.openxmlformats.org/officeDocument/2006/relationships/hyperlink" Target="https://patadovietnam.edu.vn/careereng_nhn/?utm_source=Tiktok&amp;utm_medium=MES&amp;utm_term=NEW_Japan_1840_none_110625&amp;utm_content=saletructiep_Japan.M476MES.1840.Career_THCNGDP_LD239&amp;utm_campaign=Japan.Career.M476MES_PTD_Tiktok_NamNH_110625" TargetMode="External"/><Relationship Id="rId197" Type="http://schemas.openxmlformats.org/officeDocument/2006/relationships/hyperlink" Target="https://patadovietnam.edu.vn/careereng_nhn/" TargetMode="External"/><Relationship Id="rId196" Type="http://schemas.openxmlformats.org/officeDocument/2006/relationships/hyperlink" Target="https://patadovietnam.edu.vn/tienganhgiaotiep_hn/?utm_source=Tiktok&amp;utm_medium=MES&amp;utm_term=NEW_ALL_1840_none_060625&amp;utm_content=saletructiep_ALL.M440MES.1840.M440MES_THCNGDP_LD153&amp;utm_campaign=ALL.giaotiep.M440MES_PTD_Tiktok_NamNH_060625" TargetMode="External"/><Relationship Id="rId195" Type="http://schemas.openxmlformats.org/officeDocument/2006/relationships/hyperlink" Target="https://patadovietnam.edu.vn/tienganhgiaotiep_hn/" TargetMode="External"/><Relationship Id="rId199" Type="http://schemas.openxmlformats.org/officeDocument/2006/relationships/hyperlink" Target="https://patadovietnam.edu.vn/careereng_nhn/" TargetMode="External"/><Relationship Id="rId150" Type="http://schemas.openxmlformats.org/officeDocument/2006/relationships/hyperlink" Target="https://patadovietnam.edu.vn/tienganhgiaotiep_hn/?utm_source=Tiktok&amp;utm_medium=CVS&amp;utm_term=NEW_Europe_1840_none_150425&amp;utm_content=saletructiep_Europe.M429CVS.1840.M429CVS_THCNGDP_LD153&amp;utm_campaign=Europe.giaotiep.M429CVS_PTD_Tiktok_NamNH_150425" TargetMode="External"/><Relationship Id="rId149" Type="http://schemas.openxmlformats.org/officeDocument/2006/relationships/hyperlink" Target="https://patadovietnam.edu.vn/tienganhgiaotiep_hn/" TargetMode="External"/><Relationship Id="rId148" Type="http://schemas.openxmlformats.org/officeDocument/2006/relationships/hyperlink" Target="https://patadovietnam.edu.vn/gtjapan_nhn3/?utm_source=Tiktok&amp;utm_medium=MES&amp;utm_term=NEW_Japan_1840_none_080425&amp;utm_content=saletructiep_Japan.M410MES.1840.M410MES_THCNGDP_LD164&amp;utm_campaign=Japan.giaotiep.M410MES_PTD_Tiktok_NamNH_080425" TargetMode="External"/><Relationship Id="rId143" Type="http://schemas.openxmlformats.org/officeDocument/2006/relationships/hyperlink" Target="https://patadovietnam.edu.vn/tienganhgiaotiep_hn/" TargetMode="External"/><Relationship Id="rId142" Type="http://schemas.openxmlformats.org/officeDocument/2006/relationships/hyperlink" Target="https://patadovietnam.edu.vn/tienganhgiaotiep_hn/?utm_source=Tiktok&amp;utm_medium=CVS&amp;utm_term=NEW_KoreaSouth_1840_none_080425&amp;utm_content=saletructiep_KoreaSouth.M416CVS.1840.M416CVS_THCNGDP_LD153&amp;utm_campaign=KoreaSouth.giaotiep.M416CVS_PTD_Tiktok_NamNH_080425" TargetMode="External"/><Relationship Id="rId141" Type="http://schemas.openxmlformats.org/officeDocument/2006/relationships/hyperlink" Target="https://patadovietnam.edu.vn/tienganhgiaotiep_hn/" TargetMode="External"/><Relationship Id="rId140" Type="http://schemas.openxmlformats.org/officeDocument/2006/relationships/hyperlink" Target="https://patadovietnam.edu.vn/tienganhgiaotiep_hn/?utm_source=Tiktok&amp;utm_medium=CVS&amp;utm_term=NEW_Europe_1840_none_080425&amp;utm_content=saletructiep_Europe.M410CVS.1840.M410CVS_THCNGDP_LD153&amp;utm_campaign=Europe.giaotiep.M410CVS_PTD_Tiktok_NamNH_080425" TargetMode="External"/><Relationship Id="rId147" Type="http://schemas.openxmlformats.org/officeDocument/2006/relationships/hyperlink" Target="https://patadovietnam.edu.vn/gtjapan_nhn3" TargetMode="External"/><Relationship Id="rId146" Type="http://schemas.openxmlformats.org/officeDocument/2006/relationships/hyperlink" Target="https://patadovietnam.edu.vn/gtjapan_nhn3/?utm_source=Tiktok&amp;utm_medium=CVS&amp;utm_term=NEW_Japan_1840_none_080425&amp;utm_content=saletructiep_Japan.M416CVS.1840.M416CVS_THCNGDP_LD164&amp;utm_campaign=Japan.giaotiep.M416CVS_PTD_Tiktok_NamNH_080425" TargetMode="External"/><Relationship Id="rId145" Type="http://schemas.openxmlformats.org/officeDocument/2006/relationships/hyperlink" Target="https://patadovietnam.edu.vn/gtjapan_nhn3" TargetMode="External"/><Relationship Id="rId144" Type="http://schemas.openxmlformats.org/officeDocument/2006/relationships/hyperlink" Target="https://patadovietnam.edu.vn/tienganhgiaotiep_hn/?utm_source=Tiktok&amp;utm_medium=MES&amp;utm_term=NEW_KoreaSouth_1840_none_080425&amp;utm_content=saletructiep_KoreaSouth.M410MES.1840.M410MES_THCNGDP_LD153&amp;utm_campaign=KoreaSouth.giaotiep.M410MES_PTD_Tiktok_NamNH_080425" TargetMode="External"/><Relationship Id="rId139" Type="http://schemas.openxmlformats.org/officeDocument/2006/relationships/hyperlink" Target="https://patadovietnam.edu.vn/tienganhgiaotiep_hn/" TargetMode="External"/><Relationship Id="rId138" Type="http://schemas.openxmlformats.org/officeDocument/2006/relationships/hyperlink" Target="https://patadovietnam.edu.vn/tienganhgiaotiep_hn/?utm_source=Tiktok&amp;utm_medium=CVS&amp;utm_term=NEW_Europe_1840_none_080425&amp;utm_content=saletructiep_Europe.M416CVS.1840.M416CVS_THCNGDP_LD153&amp;utm_campaign=Europe.giaotiep.M416CVS_PTD_Tiktok_NamNH_080425" TargetMode="External"/><Relationship Id="rId137" Type="http://schemas.openxmlformats.org/officeDocument/2006/relationships/hyperlink" Target="https://patadovietnam.edu.vn/tienganhgiaotiep_hn/" TargetMode="External"/><Relationship Id="rId132" Type="http://schemas.openxmlformats.org/officeDocument/2006/relationships/hyperlink" Target="https://patadovietnam.edu.vn/tienganhgiaotiep_hn/?utm_source=Tiktok&amp;utm_medium=MES&amp;utm_term=NEW_ALL_1840_none_010425&amp;utm_content=saletructiep_ALL.M417MES2.1840.M417MES2_THCNGDP_LD153&amp;utm_campaign=ALL.giaotiep.M417MES2_PTD_Tiktok_NamNH_010425" TargetMode="External"/><Relationship Id="rId131" Type="http://schemas.openxmlformats.org/officeDocument/2006/relationships/hyperlink" Target="https://patadovietnam.edu.vn/tienganhgiaotiep_hn/" TargetMode="External"/><Relationship Id="rId130" Type="http://schemas.openxmlformats.org/officeDocument/2006/relationships/hyperlink" Target="https://patadovietnam.edu.vn/tienganhgiaotiep_hn/?utm_source=Tiktok&amp;utm_medium=MES&amp;utm_term=NEW_ALL_1840_none_010425&amp;utm_content=saletructiep_ALL.M417MES.1840.M417MES_THCNGDP_LD153&amp;utm_campaign=ALL.giaotiep.M417MES_PTD_Tiktok_NamNH_010425" TargetMode="External"/><Relationship Id="rId136" Type="http://schemas.openxmlformats.org/officeDocument/2006/relationships/hyperlink" Target="https://patadovietnam.edu.vn/tienganhgiaotiep_hn/?utm_source=Tiktok&amp;utm_medium=MES&amp;utm_term=NEW_ALL_1840_none_080425&amp;utm_content=saletructiep_ALL.M300MES.1840.M300MES_THCNGDP_LD153&amp;utm_campaign=ALL.giaotiep.M300MES_PTD_Tiktok_NamNH_080425" TargetMode="External"/><Relationship Id="rId135" Type="http://schemas.openxmlformats.org/officeDocument/2006/relationships/hyperlink" Target="https://patadovietnam.edu.vn/tienganhgiaotiep_hn/" TargetMode="External"/><Relationship Id="rId134" Type="http://schemas.openxmlformats.org/officeDocument/2006/relationships/hyperlink" Target="https://patadovietnam.edu.vn/tienganhgiaotiep_hn/?utm_source=Tiktok&amp;utm_medium=REACH&amp;utm_term=NEW_ALL_1840_none_010425&amp;utm_content=saletructiep_ALL.M415xM417xM418.1840.M415xM417xM418_THCNGDP_LD153&amp;utm_campaign=ALL.giaotiep.M415xM417xM418_PTD_Tiktok_NamNH_010425" TargetMode="External"/><Relationship Id="rId133" Type="http://schemas.openxmlformats.org/officeDocument/2006/relationships/hyperlink" Target="https://patadovietnam.edu.vn/tienganhgiaotiep_hn/" TargetMode="External"/><Relationship Id="rId172" Type="http://schemas.openxmlformats.org/officeDocument/2006/relationships/hyperlink" Target="https://patadovietnam.edu.vn/tienganhgiaotiep_hn/?utm_source=Tiktok&amp;utm_medium=MES&amp;utm_term=NEW_ALL_1840_none_120525&amp;utm_content=saletructiep_ALL.M447CVS.1840.M447CVS_THCNGDP_LD153&amp;utm_campaign=ALL.giaotiep.M447MES_PTD_Tiktok_NamNH_120525" TargetMode="External"/><Relationship Id="rId171" Type="http://schemas.openxmlformats.org/officeDocument/2006/relationships/hyperlink" Target="https://patadovietnam.edu.vn/tienganhgiaotiep_hn/" TargetMode="External"/><Relationship Id="rId170" Type="http://schemas.openxmlformats.org/officeDocument/2006/relationships/hyperlink" Target="https://patadovietnam.edu.vn/tienganhgiaotiep_hn/?utm_source=Tiktok&amp;utm_medium=CVS&amp;utm_term=NEW_KoreaSouth_1840_none_090525&amp;utm_content=saletructiep_KoreaSouth.M447CVS.1840.M447CVS_THCNGDP_LD153&amp;utm_campaign=KoreaSouth.giaotiep.M447CVS_PTD_Tiktok_NamNH_090525" TargetMode="External"/><Relationship Id="rId165" Type="http://schemas.openxmlformats.org/officeDocument/2006/relationships/hyperlink" Target="https://patadovietnam.edu.vn/gtjapan_nhn3" TargetMode="External"/><Relationship Id="rId164" Type="http://schemas.openxmlformats.org/officeDocument/2006/relationships/hyperlink" Target="https://patadovietnam.edu.vn/tienganhgiaotiep_hn/?utm_source=Tiktok&amp;utm_medium=CVS&amp;utm_term=NEW_Europe_1840_none_090525&amp;utm_content=saletructiep_Europe.M442CVS.1840.M442CVS_THCNGDP_LD153&amp;utm_campaign=Europe.giaotiep.M442CVS_PTD_Tiktok_NamNH_090525" TargetMode="External"/><Relationship Id="rId163" Type="http://schemas.openxmlformats.org/officeDocument/2006/relationships/hyperlink" Target="https://patadovietnam.edu.vn/tienganhgiaotiep_hn/" TargetMode="External"/><Relationship Id="rId162" Type="http://schemas.openxmlformats.org/officeDocument/2006/relationships/hyperlink" Target="https://patadovietnam.edu.vn/gtjapan_nhn3/?utm_source=Tiktok&amp;utm_medium=CVS&amp;utm_term=NEW_Japan_1840_none_090525&amp;utm_content=saletructiep_Japan.M442CVS.1840.M442CVS_THCNGDP_LD164&amp;utm_campaign=Japan.giaotiep.M442CVS_PTD_Tiktok_NamNH_090525" TargetMode="External"/><Relationship Id="rId169" Type="http://schemas.openxmlformats.org/officeDocument/2006/relationships/hyperlink" Target="https://patadovietnam.edu.vn/tienganhgiaotiep_hn/" TargetMode="External"/><Relationship Id="rId168" Type="http://schemas.openxmlformats.org/officeDocument/2006/relationships/hyperlink" Target="https://patadovietnam.edu.vn/tienganhgiaotiep_hn/?utm_source=Tiktok&amp;utm_medium=CVS&amp;utm_term=NEW_Europe_1840_none_090525&amp;utm_content=saletructiep_Europe.M447CVS.1840.M447CVS_THCNGDP_LD153&amp;utm_campaign=Europe.giaotiep.M447CVS_PTD_Tiktok_NamNH_090525" TargetMode="External"/><Relationship Id="rId167" Type="http://schemas.openxmlformats.org/officeDocument/2006/relationships/hyperlink" Target="https://patadovietnam.edu.vn/tienganhgiaotiep_hn/" TargetMode="External"/><Relationship Id="rId166" Type="http://schemas.openxmlformats.org/officeDocument/2006/relationships/hyperlink" Target="https://patadovietnam.edu.vn/gtjapan_nhn3/?utm_source=Tiktok&amp;utm_medium=CVS&amp;utm_term=NEW_Japan_1840_none_120525&amp;utm_content=saletructiep_Japan.M447CVS.1840.M447CVS_THCNGDP_LD164&amp;utm_campaign=Japan.giaotiep.M447CVS_PTD_Tiktok_NamNH_120525" TargetMode="External"/><Relationship Id="rId161" Type="http://schemas.openxmlformats.org/officeDocument/2006/relationships/hyperlink" Target="https://patadovietnam.edu.vn/gtjapan_nhn3" TargetMode="External"/><Relationship Id="rId160" Type="http://schemas.openxmlformats.org/officeDocument/2006/relationships/hyperlink" Target="https://patadovietnam.edu.vn/tienganhgiaotiep_hn/?utm_source=Tiktok&amp;utm_medium=MES&amp;utm_term=NEW_ALL_1840_none_060525&amp;utm_content=saletructiep_ALL.M442MES.1840.M442MES_THCNGDP_LD153&amp;utm_campaign=ALL.giaotiep.M442MES_PTD_Tiktok_NamNH_060525" TargetMode="External"/><Relationship Id="rId159" Type="http://schemas.openxmlformats.org/officeDocument/2006/relationships/hyperlink" Target="https://patadovietnam.edu.vn/tienganhgiaotiep_hn/" TargetMode="External"/><Relationship Id="rId154" Type="http://schemas.openxmlformats.org/officeDocument/2006/relationships/hyperlink" Target="https://patadovietnam.edu.vn/tienganhgiaotiep_hn/?utm_source=Tiktok&amp;utm_medium=CVS&amp;utm_term=NEW_KoreaSouth_1840_none_150425&amp;utm_content=saletructiep_KoreaSouth.M418CVS.1840.M418CVS_THCNGDP_LD153&amp;utm_campaign=KoreaSouth.giaotiep.M418CVS_PTD_Tiktok_NamNH_150425" TargetMode="External"/><Relationship Id="rId153" Type="http://schemas.openxmlformats.org/officeDocument/2006/relationships/hyperlink" Target="https://patadovietnam.edu.vn/tienganhgiaotiep_hn/" TargetMode="External"/><Relationship Id="rId152" Type="http://schemas.openxmlformats.org/officeDocument/2006/relationships/hyperlink" Target="https://patadovietnam.edu.vn/tienganhgiaotiep_hn/?utm_source=Tiktok&amp;utm_medium=CVS&amp;utm_term=NEW_Europe_1840_none_150425&amp;utm_content=saletructiep_Europe.M105CVS.1840.M105CVS_THCNGDP_LD153&amp;utm_campaign=Europe.giaotiep.M105CVS_PTD_Tiktok_NamNH_150425" TargetMode="External"/><Relationship Id="rId151" Type="http://schemas.openxmlformats.org/officeDocument/2006/relationships/hyperlink" Target="https://patadovietnam.edu.vn/tienganhgiaotiep_hn/" TargetMode="External"/><Relationship Id="rId158" Type="http://schemas.openxmlformats.org/officeDocument/2006/relationships/hyperlink" Target="https://patadovietnam.edu.vn/tienganhgiaotiep_hn/?utm_source=Tiktok&amp;utm_medium=MES&amp;utm_term=NEW_KoreaSouth_1840_none_090525&amp;utm_content=saletructiep_KoreaSouth.M442MES.1840.M442MES_THCNGDP_LD153&amp;utm_campaign=KoreaSouth.giaotiep.M442MES_PTD_Tiktok_NamNH_090525" TargetMode="External"/><Relationship Id="rId157" Type="http://schemas.openxmlformats.org/officeDocument/2006/relationships/hyperlink" Target="https://patadovietnam.edu.vn/tienganhgiaotiep_hn/" TargetMode="External"/><Relationship Id="rId156" Type="http://schemas.openxmlformats.org/officeDocument/2006/relationships/hyperlink" Target="https://patadovietnam.edu.vn/tienganhgiaotiep_hn/?utm_source=Tiktok&amp;utm_medium=CVS&amp;utm_term=NEW_KoreaSouth_1840_none_150425&amp;utm_content=saletructiep_KoreaSouth.M425CVS.1840.M425CVS_THCNGDP_LD153&amp;utm_campaign=KoreaSouth.giaotiep.M425CVS_PTD_Tiktok_NamNH_150425" TargetMode="External"/><Relationship Id="rId155" Type="http://schemas.openxmlformats.org/officeDocument/2006/relationships/hyperlink" Target="https://patadovietnam.edu.vn/tienganhgiaotiep_hn/" TargetMode="External"/><Relationship Id="rId107" Type="http://schemas.openxmlformats.org/officeDocument/2006/relationships/hyperlink" Target="https://patadovietnam.edu.vn/tienganhgiaotiep_hn/" TargetMode="External"/><Relationship Id="rId106" Type="http://schemas.openxmlformats.org/officeDocument/2006/relationships/hyperlink" Target="https://patadovietnam.edu.vn/tienganhgiaotiep_hn/?utm_source=Tiktok&amp;utm_medium=CVS&amp;utm_term=NEW_Europe_1840_none_280225&amp;utm_content=saletructiep_Europe.M106CVS.1840.M106CVS_THCNGDP_LD153&amp;utm_campaign=Europe.giaotiep.M106CVS_PTD_Tiktok_NamNH_280225" TargetMode="External"/><Relationship Id="rId105" Type="http://schemas.openxmlformats.org/officeDocument/2006/relationships/hyperlink" Target="https://patadovietnam.edu.vn/tienganhgiaotiep_hn/" TargetMode="External"/><Relationship Id="rId104" Type="http://schemas.openxmlformats.org/officeDocument/2006/relationships/hyperlink" Target="https://patadovietnam.edu.vn/tienganhgiaotiep_hn/?utm_source=Tiktok&amp;utm_medium=CVS&amp;utm_term=NEW_Europe_1840_none_280225&amp;utm_content=saletructiep_Europe.M405.1840.M405_THCNGDP_LD153&amp;utm_campaign=Europe.giaotiep.M405_PTD_Tiktok_NamNH_280225" TargetMode="External"/><Relationship Id="rId109" Type="http://schemas.openxmlformats.org/officeDocument/2006/relationships/hyperlink" Target="https://patadovietnam.edu.vn/tienganhgiaotiep_hn/" TargetMode="External"/><Relationship Id="rId108" Type="http://schemas.openxmlformats.org/officeDocument/2006/relationships/hyperlink" Target="https://patadovietnam.edu.vn/tienganhgiaotiep_hn/?utm_source=Tiktok&amp;utm_medium=CVS&amp;utm_term=NEW_ALL_1840_none_060325&amp;utm_content=saletructiep_ALL.M106CVS.1840.M106CVS_THCNGDP_LD153&amp;utm_campaign=ALL.giaotiep.M106CVS_PTD_Tiktok_NamNH_060325" TargetMode="External"/><Relationship Id="rId103" Type="http://schemas.openxmlformats.org/officeDocument/2006/relationships/hyperlink" Target="https://patadovietnam.edu.vn/tienganhgiaotiep_hn/" TargetMode="External"/><Relationship Id="rId102" Type="http://schemas.openxmlformats.org/officeDocument/2006/relationships/hyperlink" Target="https://patadovietnam.edu.vn/tienganhgiaotiep_hn/?utm_source=Tiktok&amp;utm_medium=CVS&amp;utm_term=NEW_Europe_1840_none_280225&amp;utm_content=saletructiep_Europe.NGHOA.1840.NGHOA_THCNGDP_LD153&amp;utm_campaign=Europe.giaotiep.NGHOA_PTD_Tiktok_NamNH_280225" TargetMode="External"/><Relationship Id="rId101" Type="http://schemas.openxmlformats.org/officeDocument/2006/relationships/hyperlink" Target="https://patadovietnam.edu.vn/tienganhgiaotiep_hn/" TargetMode="External"/><Relationship Id="rId100" Type="http://schemas.openxmlformats.org/officeDocument/2006/relationships/hyperlink" Target="https://patadovietnam.edu.vn/tienganhgiaotiep_hn/?utm_source=Tiktok&amp;utm_medium=CVS&amp;utm_term=NEW_KoreaSouth_1840_none_280225&amp;utm_content=saletructiep_KoreaSouth.NGHOA.1840.NGHOA_THCNGDP_LD153&amp;utm_campaign=KoreaSouth.giaotiep.NGHOA_PTD_Tiktok_NamNH_280225" TargetMode="External"/><Relationship Id="rId129" Type="http://schemas.openxmlformats.org/officeDocument/2006/relationships/hyperlink" Target="https://patadovietnam.edu.vn/tienganhgiaotiep_hn/" TargetMode="External"/><Relationship Id="rId128" Type="http://schemas.openxmlformats.org/officeDocument/2006/relationships/hyperlink" Target="https://patadovietnam.edu.vn/tienganhgiaotiep_hn/?utm_source=Tiktok&amp;utm_medium=MES&amp;utm_term=NEW_KoreaSouth_1840_none_010425&amp;utm_content=saletructiep_KoreaSouth.M417MES.1840.M417MES_THCNGDP_LD153&amp;utm_campaign=KoreaSouth.giaotiep.M417MES_PTD_Tiktok_NamNH_010425" TargetMode="External"/><Relationship Id="rId127" Type="http://schemas.openxmlformats.org/officeDocument/2006/relationships/hyperlink" Target="https://patadovietnam.edu.vn/tienganhgiaotiep_hn/" TargetMode="External"/><Relationship Id="rId126" Type="http://schemas.openxmlformats.org/officeDocument/2006/relationships/hyperlink" Target="https://patadovietnam.edu.vn/tienganhgiaotiep_hn/?utm_source=Tiktok&amp;utm_medium=CVS&amp;utm_term=NEW_Europe_1840_none_010425&amp;utm_content=saletructiep_Europe.M417CVS.1840.M417CVS_THCNGDP_LD153&amp;utm_campaign=Europe.giaotiep.M417CVS_PTD_Tiktok_NamNH_010425" TargetMode="External"/><Relationship Id="rId121" Type="http://schemas.openxmlformats.org/officeDocument/2006/relationships/hyperlink" Target="https://patadovietnam.edu.vn/tienganhgiaotiep_hn/" TargetMode="External"/><Relationship Id="rId120" Type="http://schemas.openxmlformats.org/officeDocument/2006/relationships/hyperlink" Target="https://patadovietnam.edu.vn/tienganhgiaotiep_hn/?utm_source=Tiktok&amp;utm_medium=CVS&amp;utm_term=NEW_Europe_1840_none_190325&amp;utm_content=saletructiep_Europe.LTKTCVS.1840.LTKTCVS_THCNGDP_LD153&amp;utm_campaign=Europe.giaotiep.LTKTCVS_PTD_Tiktok_NamNH_190325" TargetMode="External"/><Relationship Id="rId125" Type="http://schemas.openxmlformats.org/officeDocument/2006/relationships/hyperlink" Target="https://patadovietnam.edu.vn/tienganhgiaotiep_hn/" TargetMode="External"/><Relationship Id="rId124" Type="http://schemas.openxmlformats.org/officeDocument/2006/relationships/hyperlink" Target="https://patadovietnam.edu.vn/gtjapan_nhn3/?utm_source=Tiktok&amp;utm_medium=MES&amp;utm_term=NEW_Japan_1840_none_010425&amp;utm_content=saletructiep_Japan.M417MES.1840.M417MES_THCNGDP_LD164&amp;utm_campaign=Japan.giaotiep.M417MES_PTD_Tiktok_NamNH_010425" TargetMode="External"/><Relationship Id="rId123" Type="http://schemas.openxmlformats.org/officeDocument/2006/relationships/hyperlink" Target="https://patadovietnam.edu.vn/gtjapan_nhn3" TargetMode="External"/><Relationship Id="rId122" Type="http://schemas.openxmlformats.org/officeDocument/2006/relationships/hyperlink" Target="https://patadovietnam.edu.vn/tienganhgiaotiep_hn/?utm_source=Tiktok&amp;utm_medium=MES&amp;utm_term=NEW_Europe_1840_none_190325&amp;utm_content=saletructiep_Europe.M404MES.1840.M404MES_THCNGDP_LD153&amp;utm_campaign=Europe.giaotiep.M404MES_PTD_Tiktok_NamNH_190325" TargetMode="External"/><Relationship Id="rId118" Type="http://schemas.openxmlformats.org/officeDocument/2006/relationships/hyperlink" Target="https://patadovietnam.edu.vn/tienganhgiaotiep_hn/?utm_source=Tiktok&amp;utm_medium=CVS&amp;utm_term=NEW_KoreaSouth_1840_none_190325&amp;utm_content=saletructiep_KoreaSouth.M106MES.1840.M106MES_THCNGDP_LD153&amp;utm_campaign=KoreaSouth.giaotiep.M106MES_PTD_Tiktok_NamNH_190325" TargetMode="External"/><Relationship Id="rId117" Type="http://schemas.openxmlformats.org/officeDocument/2006/relationships/hyperlink" Target="https://patadovietnam.edu.vn/tienganhgiaotiep_hn/" TargetMode="External"/><Relationship Id="rId116" Type="http://schemas.openxmlformats.org/officeDocument/2006/relationships/hyperlink" Target="https://patadovietnam.edu.vn/gtjapan_nhn3/?utm_source=Tiktok&amp;utm_medium=MES&amp;utm_term=NEW_Japan_1840_none_100325&amp;utm_content=saletructiep_Japan.LTKTMES.1840.LTKTMES_THCNGDP_LD164&amp;utm_campaign=Japan.giaotiep.LTKTMES_PTD_Tiktok_NamNH_100325" TargetMode="External"/><Relationship Id="rId115" Type="http://schemas.openxmlformats.org/officeDocument/2006/relationships/hyperlink" Target="https://patadovietnam.edu.vn/gtjapan_nhn3" TargetMode="External"/><Relationship Id="rId119" Type="http://schemas.openxmlformats.org/officeDocument/2006/relationships/hyperlink" Target="https://patadovietnam.edu.vn/tienganhgiaotiep_hn/" TargetMode="External"/><Relationship Id="rId110" Type="http://schemas.openxmlformats.org/officeDocument/2006/relationships/hyperlink" Target="https://patadovietnam.edu.vn/tienganhgiaotiep_hn/?utm_source=Tiktok&amp;utm_medium=CVS&amp;utm_term=NEW_ALL_1840_none_060325&amp;utm_content=saletructiep_ALL.M106CVS2.1840.M106CVS2_THCNGDP_LD153&amp;utm_campaign=ALL.giaotiep.M106CVS2_PTD_Tiktok_NamNH_060325" TargetMode="External"/><Relationship Id="rId114" Type="http://schemas.openxmlformats.org/officeDocument/2006/relationships/hyperlink" Target="https://patadovietnam.edu.vn/gtjapan_nhn3/?utm_source=Tiktok&amp;utm_medium=CVS&amp;utm_term=NEW_Japan_1840_none_090325&amp;utm_content=saletructiep_Japan.M408CVS.1840.M408CVS_THCNGDP_LD164&amp;utm_campaign=Japan.giaotiep.M408CVS_PTD_Tiktok_NamNH_090325" TargetMode="External"/><Relationship Id="rId113" Type="http://schemas.openxmlformats.org/officeDocument/2006/relationships/hyperlink" Target="https://patadovietnam.edu.vn/gtjapan_nhn3" TargetMode="External"/><Relationship Id="rId112" Type="http://schemas.openxmlformats.org/officeDocument/2006/relationships/hyperlink" Target="https://patadovietnam.edu.vn/tienganhgiaotiep_hn/?utm_source=Tiktok&amp;utm_medium=CVS&amp;utm_term=NEW_KoreaSouth_1840_none_080325&amp;utm_content=saletructiep_KoreaSouth.LTKTCVS.1840.LTKTCVS_THCNGDP_LD153&amp;utm_campaign=KoreaSouth.giaotiep.LTKTCVS_PTD_Tiktok_NamNH_080325" TargetMode="External"/><Relationship Id="rId111" Type="http://schemas.openxmlformats.org/officeDocument/2006/relationships/hyperlink" Target="https://patadovietnam.edu.vn/tienganhgiaotiep_hn/" TargetMode="External"/></Relationships>
</file>

<file path=xl/worksheets/_rels/sheet8.xml.rels><?xml version="1.0" encoding="UTF-8" standalone="yes"?><Relationships xmlns="http://schemas.openxmlformats.org/package/2006/relationships"><Relationship Id="rId392" Type="http://schemas.openxmlformats.org/officeDocument/2006/relationships/hyperlink" Target="https://patado.edu.vn/tieng-anh-giao-tiep-cho-nguoi-viet-tai-nhat-sbd-htt/?utm_source=Facebook&amp;utm_medium=CVS&amp;utm_term=NEW_Japan_1845_none_090726&amp;utm_content=saletructiep_Japan.M716.1845.giaotiep_THCNGDP_LD288&amp;utm_campaign=Japan.giaotiep.M716xM736_LHV.9822_CVS_SangBD_090726" TargetMode="External"/><Relationship Id="rId391" Type="http://schemas.openxmlformats.org/officeDocument/2006/relationships/hyperlink" Target="https://patado.edu.vn/khoa-giao-tiep-unitedstates/?utm_source=Facebook&amp;utm_medium=MES&amp;utm_term=NEW_UnitedStates_1845_none_060726&amp;utm_content=saletructiep_UnitedStates.M740.1845.giaotiep_THCNGDP_LD276&amp;utm_campaign=UnitedStates.giaotiep.M740_LHV.9822_MES_SangBD_060726" TargetMode="External"/><Relationship Id="rId390" Type="http://schemas.openxmlformats.org/officeDocument/2006/relationships/hyperlink" Target="https://patado.edu.vn/khoa-giao-tiep-tieng-anh-online-all/?utm_source=Facebook&amp;utm_medium=MES&amp;utm_term=NEW_ALL_1845_none_060726&amp;utm_content=saletructiep_ALL.giaotiep.M647.1845.giaotiep_THCNGDP_LD263&amp;utm_campaign=ALL.giaotiep.M647_LHV.9822_MES_SangBD_060726" TargetMode="External"/><Relationship Id="rId385" Type="http://schemas.openxmlformats.org/officeDocument/2006/relationships/hyperlink" Target="https://patado.edu.vn/khoa-giao-tiep-tieng-anh-online-all/?utm_source=Facebook&amp;utm_medium=MES&amp;utm_term=NEW_ALL_1845_none_030726&amp;utm_content=saletructiep_ALL.giaotiep.M713.1845.giaotiep_THCNGDP_LD263&amp;utm_campaign=ALL.giaotiep.M713_LHV.9822_MES_SangBD_030726" TargetMode="External"/><Relationship Id="rId384" Type="http://schemas.openxmlformats.org/officeDocument/2006/relationships/hyperlink" Target="https://patado.edu.vn/tieng-anh-giao-tiep-eu-sbd-htt/?utm_source=Facebook&amp;utm_medium=CVS&amp;utm_term=NEW_Europe_1840_none_020726&amp;utm_content=saletructiep_Europe.anhnote.1840.giaotiep_THCNGDP_LD287&amp;utm_campaign=Europe.giaotiep.anhnote_LHV.9822_CVS_SangBD_020726" TargetMode="External"/><Relationship Id="rId383" Type="http://schemas.openxmlformats.org/officeDocument/2006/relationships/hyperlink" Target="https://patado.edu.vn/tieng-anh-giao-tiep-eu-sbd-htt/" TargetMode="External"/><Relationship Id="rId382" Type="http://schemas.openxmlformats.org/officeDocument/2006/relationships/hyperlink" Target="https://tinyurl.com/eu-giao-tiep-m733" TargetMode="External"/><Relationship Id="rId389" Type="http://schemas.openxmlformats.org/officeDocument/2006/relationships/hyperlink" Target="https://tinyurl.com/tieng-anh-giao-tiep-M736" TargetMode="External"/><Relationship Id="rId388" Type="http://schemas.openxmlformats.org/officeDocument/2006/relationships/hyperlink" Target="https://patado.edu.vn/tieng-anh-giao-tiep-cho-nguoi-viet-tai-nhat-sbd-htt/?utm_source=Facebook&amp;utm_medium=CVS&amp;utm_term=NEW_Japan_1840_none_030726&amp;utm_content=saletructiep_Japan.M736.1840.giaotiep_THCNGDP_LD288&amp;utm_campaign=Japan.giaotiep.M736_LHV.9822_CVS_SangBD_030726" TargetMode="External"/><Relationship Id="rId387" Type="http://schemas.openxmlformats.org/officeDocument/2006/relationships/hyperlink" Target="https://patado.edu.vn/tieng-anh-giao-tiep-cho-nguoi-viet-tai-nhat-sbd-htt" TargetMode="External"/><Relationship Id="rId386" Type="http://schemas.openxmlformats.org/officeDocument/2006/relationships/hyperlink" Target="https://tinyurl.com/tieng-anh-giao-tiep-m713" TargetMode="External"/><Relationship Id="rId381" Type="http://schemas.openxmlformats.org/officeDocument/2006/relationships/hyperlink" Target="https://patado.edu.vn/tieng-anh-giao-tiep-eu-sbd-htt/?utm_source=Facebook&amp;utm_medium=CVS&amp;utm_term=NEW_Europe_1840_none_020726&amp;utm_content=saletructiep_Europe.M733.1840.giaotiep_THCNGDP_LD287&amp;utm_campaign=Europe.giaotiep.M733_LHV.9822_CVS_SangBD_020726" TargetMode="External"/><Relationship Id="rId380" Type="http://schemas.openxmlformats.org/officeDocument/2006/relationships/hyperlink" Target="https://patado.edu.vn/tieng-anh-giao-tiep-eu-sbd-htt/" TargetMode="External"/><Relationship Id="rId379" Type="http://schemas.openxmlformats.org/officeDocument/2006/relationships/hyperlink" Target="https://tinyurl.com/us-giao-tiep-m740" TargetMode="External"/><Relationship Id="rId374" Type="http://schemas.openxmlformats.org/officeDocument/2006/relationships/hyperlink" Target="https://tinyurl.com/tieng-anh-giao-tiep-m647all" TargetMode="External"/><Relationship Id="rId373" Type="http://schemas.openxmlformats.org/officeDocument/2006/relationships/hyperlink" Target="https://patado.edu.vn/khoa-giao-tiep-tieng-anh-online-all/?utm_source=Facebook&amp;utm_medium=MES&amp;utm_term=NEW_ALL_1840_none_190626&amp;utm_content=saletructiep_ALL.giaotiep.M647.1840.giaotiep_THCNGDP_LD263&amp;utm_campaign=ALL.giaotiep.M647_LHV.9822_CVS_SangBD_190626" TargetMode="External"/><Relationship Id="rId372" Type="http://schemas.openxmlformats.org/officeDocument/2006/relationships/hyperlink" Target="https://patado.edu.vn/khoa-giao-tiep-tieng-anh-online-all" TargetMode="External"/><Relationship Id="rId371" Type="http://schemas.openxmlformats.org/officeDocument/2006/relationships/hyperlink" Target="https://patado.edu.vn/khoa-tieng-anh-giao-tiep-chau-au/?utm_source=Facebook&amp;utm_medium=CVS&amp;utm_term=NEW_Europe_1840_none_180626&amp;utm_content=saletructiep_Europe.M631.1840.giaotiep_THCNGDP_LD275&amp;utm_campaign=Europe.giaotiep.M631xanhnote_LHV.9822_CVS_SangBD_180626" TargetMode="External"/><Relationship Id="rId378" Type="http://schemas.openxmlformats.org/officeDocument/2006/relationships/hyperlink" Target="https://patado.edu.vn/khoa-giao-tiep-unitedstates/?utm_source=Facebook&amp;utm_medium=MES&amp;utm_term=NEW_UnitedStates_2050_none_010726&amp;utm_content=saletructiep_UnitedStates.M740.2050.giaotiep_THCNGDP_LD276&amp;utm_campaign=UnitedStates.giaotiep.M740_LHV.9822_CVS_SangBD_010726" TargetMode="External"/><Relationship Id="rId377" Type="http://schemas.openxmlformats.org/officeDocument/2006/relationships/hyperlink" Target="https://patado.edu.vn/khoa-giao-tiep-tieng-anh-online-all/?utm_source=Facebook&amp;utm_medium=MES&amp;utm_term=NEW_ALL_1850_none_290626&amp;utm_content=saletructiep_ALL.giaotiep.M624.1850.giaotiep_THCNGDP_LD263&amp;utm_campaign=ALL.giaotiep.M264_LHV.9822_CVS_SangBD_290626" TargetMode="External"/><Relationship Id="rId376" Type="http://schemas.openxmlformats.org/officeDocument/2006/relationships/hyperlink" Target="https://patado.edu.vn/khoa-giao-tiep-tieng-anh-online-all" TargetMode="External"/><Relationship Id="rId375" Type="http://schemas.openxmlformats.org/officeDocument/2006/relationships/hyperlink" Target="https://patado.edu.vn/khoa-giao-tiep-unitedstates/?utm_source=Facebook&amp;utm_medium=MES&amp;utm_term=NEW_UnitedStates_1840_none_260626&amp;utm_content=saletructiep_UnitedStates.M697.1840.giaotiep_THCNGDP_LD276&amp;utm_campaign=UnitedStates.giaotiep.M697_LHV.9822_CVS_SangBD_260626" TargetMode="External"/><Relationship Id="rId396" Type="http://schemas.openxmlformats.org/officeDocument/2006/relationships/hyperlink" Target="https://patado.edu.vn/khoa-giao-tiep-tieng-anh-online-all/?utm_source=Facebook&amp;utm_medium=MES&amp;utm_term=NEW_All_1850_none_140726&amp;utm_content=saletructiep_ALL.giaotiep.M624.1850.giaotiep_THCNGDP_LD263&amp;utm_campaign=ALL.giaotiep.M624_LHV.9822_CVS_SangBD_140726" TargetMode="External"/><Relationship Id="rId395" Type="http://schemas.openxmlformats.org/officeDocument/2006/relationships/hyperlink" Target="https://patado.edu.vn/tieng-anh-giao-tiep-eu-sbd-htt/?utm_source=Facebook&amp;utm_medium=CVS&amp;utm_term=NEW_Europe_1845_none_130726&amp;utm_content=saletructiep_Europe.M600.1845.giaotiep_THCNGDP_LD287&amp;utm_campaign=Europe.giaotiep.M600xM657_LHV.9822_CVS_SangBD_130726" TargetMode="External"/><Relationship Id="rId394" Type="http://schemas.openxmlformats.org/officeDocument/2006/relationships/hyperlink" Target="https://patado.edu.vn/tieng-anh-giao-tiep-eu-sbd-htt/" TargetMode="External"/><Relationship Id="rId393" Type="http://schemas.openxmlformats.org/officeDocument/2006/relationships/hyperlink" Target="https://patado.edu.vn/tieng-anh-giao-tiep-eu-sbd-htt/?utm_source=Facebook&amp;utm_medium=CVS&amp;utm_term=NEW_Europe_1845_none_090726&amp;utm_content=saletructiep_Europe.M733.1845.giaotiep_THCNGDP_LD287&amp;utm_campaign=Europe.giaotiep.M733_LHV.9822_CVS_SangBD_090726" TargetMode="External"/><Relationship Id="rId399" Type="http://schemas.openxmlformats.org/officeDocument/2006/relationships/hyperlink" Target="https://patado.edu.vn/tieng-anh-giao-tiep-eu-sbd-htt/" TargetMode="External"/><Relationship Id="rId398" Type="http://schemas.openxmlformats.org/officeDocument/2006/relationships/hyperlink" Target="https://tinyurl.com/All-giao-tiep-TA-M718" TargetMode="External"/><Relationship Id="rId397" Type="http://schemas.openxmlformats.org/officeDocument/2006/relationships/hyperlink" Target="https://patado.edu.vn/khoa-giao-tiep-tieng-anh-online-all/?utm_source=Facebook&amp;utm_medium=MES&amp;utm_term=NEW_ALL_1845_none_230726&amp;utm_content=saletructiep_ALL.giaotiep.M718.1845.giaotiep_THCNGDP_LD263&amp;utm_campaign=ALL.giaotiep.M718_LHV.9822_CVS_SangBD_230726" TargetMode="External"/><Relationship Id="rId40" Type="http://schemas.openxmlformats.org/officeDocument/2006/relationships/hyperlink" Target="https://tinyurl.com/M520KORE" TargetMode="External"/><Relationship Id="rId42" Type="http://schemas.openxmlformats.org/officeDocument/2006/relationships/hyperlink" Target="https://patadovietnam.edu.vn/khoa-tieng-anh-giao-tiep-o-nhat-ban/?utm_source=Facebook&amp;utm_medium=MES&amp;utm_term=NEW_Japan_2045_none_070126&amp;utm_content=saletructiep_Japan.M520.2045.giaotiep_THCNGDP_LD257&amp;utm_campaign=Japan.giaotiep.M520_LHV.9822_MES_HoaNT_070126" TargetMode="External"/><Relationship Id="rId41" Type="http://schemas.openxmlformats.org/officeDocument/2006/relationships/hyperlink" Target="https://patadovietnam.edu.vn/khoa-tieng-anh-giao-tiep-o-nhat-ban/" TargetMode="External"/><Relationship Id="rId44" Type="http://schemas.openxmlformats.org/officeDocument/2006/relationships/hyperlink" Target="https://patadovietnam.edu.vn/khoa-tieng-anh-giao-tiep-o-nhat-ban/" TargetMode="External"/><Relationship Id="rId43" Type="http://schemas.openxmlformats.org/officeDocument/2006/relationships/hyperlink" Target="https://tinyurl.com/M520JAP" TargetMode="External"/><Relationship Id="rId46" Type="http://schemas.openxmlformats.org/officeDocument/2006/relationships/hyperlink" Target="https://tinyurl.com/M520CVSJP" TargetMode="External"/><Relationship Id="rId45" Type="http://schemas.openxmlformats.org/officeDocument/2006/relationships/hyperlink" Target="https://patadovietnam.edu.vn/khoa-tieng-anh-giao-tiep-o-nhat-ban/?utm_source=Facebook&amp;utm_medium=CVS&amp;utm_term=NEW_Japan_2045_none_070126&amp;utm_content=saletructiep_Japan.M520.2045.giaotiep_THCNGDP_LD257&amp;utm_campaign=Japan.giaotiep.M520_LHV.9822_CVS_HoaNT_070126" TargetMode="External"/><Relationship Id="rId48" Type="http://schemas.openxmlformats.org/officeDocument/2006/relationships/hyperlink" Target="https://patadovietnam.edu.vn/khoa-giao-tiep-tieng-anh-online-all/?utm_source=Facebook&amp;utm_medium=CVS&amp;utm_term=NEW_Europe_2045_none_070126&amp;utm_content=saletructiep_Europe.M520.2045.giaotiep_THCNGDP_LD256&amp;utm_campaign=Europe.giaotiep.M520_LHV.9822_CVS_HoaNT_070126" TargetMode="External"/><Relationship Id="rId47" Type="http://schemas.openxmlformats.org/officeDocument/2006/relationships/hyperlink" Target="https://patadovietnam.edu.vn/khoa-giao-tiep-tieng-anh-online-all/" TargetMode="External"/><Relationship Id="rId49" Type="http://schemas.openxmlformats.org/officeDocument/2006/relationships/hyperlink" Target="https://tinyurl.com/M520EURO" TargetMode="External"/><Relationship Id="rId31" Type="http://schemas.openxmlformats.org/officeDocument/2006/relationships/hyperlink" Target="https://tinyurl.com/M599EURO" TargetMode="External"/><Relationship Id="rId30" Type="http://schemas.openxmlformats.org/officeDocument/2006/relationships/hyperlink" Target="https://patadovietnam.edu.vn/khoa-giao-tiep-tieng-anh-online-all/?utm_source=Facebook&amp;utm_medium=MES&amp;utm_term=NEW_Europe_none_none_060126&amp;utm_content=saletructiep_Europe.M599.none.giaotiep_THCNGDP_LD256&amp;utm_campaign=Europe.giaotiep.M599_LHV.9822_MES_HoaNT_060126" TargetMode="External"/><Relationship Id="rId33" Type="http://schemas.openxmlformats.org/officeDocument/2006/relationships/hyperlink" Target="https://patadovietnam.edu.vn/khoa-giao-tiep-unitedstates/?utm_source=Facebook&amp;utm_medium=CVS&amp;utm_term=NEW_UnitedStates_none_none_060126&amp;utm_content=saletructiep_UnitedStates.M601.none.giaotiep_THCNGDP_LD255&amp;utm_campaign=UnitedStates.giaotiep.M601_LHV.9822_CVS_HoaNT_060126" TargetMode="External"/><Relationship Id="rId32" Type="http://schemas.openxmlformats.org/officeDocument/2006/relationships/hyperlink" Target="https://patadovietnam.edu.vn/khoa-giao-tiep-unitedstates/" TargetMode="External"/><Relationship Id="rId35" Type="http://schemas.openxmlformats.org/officeDocument/2006/relationships/hyperlink" Target="https://patadovietnam.edu.vn/khoa-giao-tiep-tieng-anh-online-all/" TargetMode="External"/><Relationship Id="rId34" Type="http://schemas.openxmlformats.org/officeDocument/2006/relationships/hyperlink" Target="https://tinyurl.com/M601USA" TargetMode="External"/><Relationship Id="rId37" Type="http://schemas.openxmlformats.org/officeDocument/2006/relationships/hyperlink" Target="https://tinyurl.com/M512AUSTRA" TargetMode="External"/><Relationship Id="rId36" Type="http://schemas.openxmlformats.org/officeDocument/2006/relationships/hyperlink" Target="https://patadovietnam.edu.vn/khoa-giao-tiep-tieng-anh-online-all/?utm_source=Facebook&amp;utm_medium=MES&amp;utm_term=NEW_Australia_none_none_070126&amp;utm_content=saletructiep_Australia.M512.none.giaotiep_THCNGDP_LD256&amp;utm_campaign=Australia.giaotiep.M512_LHV.9822_MES_HoaNT_070126" TargetMode="External"/><Relationship Id="rId39" Type="http://schemas.openxmlformats.org/officeDocument/2006/relationships/hyperlink" Target="https://patadovietnam.edu.vn/khoa-giao-tiep-tieng-anh-online-all/?utm_source=Facebook&amp;utm_medium=MES&amp;utm_term=NEW_KoreaSouth_none_none_070126&amp;utm_content=saletructiep_KoreaSouth.M520.none.giaotiep_THCNGDP_LD256&amp;utm_campaign=KoreaSouth.giaotiep.M520_LHV.9822_MES_HoaNT_070126" TargetMode="External"/><Relationship Id="rId38" Type="http://schemas.openxmlformats.org/officeDocument/2006/relationships/hyperlink" Target="https://patadovietnam.edu.vn/khoa-giao-tiep-tieng-anh-online-all/" TargetMode="External"/><Relationship Id="rId20" Type="http://schemas.openxmlformats.org/officeDocument/2006/relationships/hyperlink" Target="https://patadovietnam.edu.vn/khoa-giao-tiep-tieng-anh-online-all/" TargetMode="External"/><Relationship Id="rId22" Type="http://schemas.openxmlformats.org/officeDocument/2006/relationships/hyperlink" Target="https://tinyurl.com/M599KOREA" TargetMode="External"/><Relationship Id="rId21" Type="http://schemas.openxmlformats.org/officeDocument/2006/relationships/hyperlink" Target="https://patadovietnam.edu.vn/khoa-giao-tiep-tieng-anh-online-all/?utm_source=Facebook&amp;utm_medium=MES&amp;utm_term=NEW_KoreaSouth_2045_none_050126&amp;utm_content=saletructiep_KoreaSouth.M599.2045.giaotiep_THCNGDP_LD256&amp;utm_campaign=KoreaSouth.giaotiep.M599_LHV.9822_MES_HoaNT_050126" TargetMode="External"/><Relationship Id="rId24" Type="http://schemas.openxmlformats.org/officeDocument/2006/relationships/hyperlink" Target="https://patadovietnam.edu.vn/khoa-giao-tiep-tieng-anh-online-all/?utm_source=Facebook&amp;utm_medium=MES&amp;utm_term=NEW_Australia_2045_none_050126&amp;utm_content=saletructiep_Australia.M494.2045.giaotiep_THCNGDP_LD256&amp;utm_campaign=Australia.giaotiep.M494_LHV.9822_MES_HoaNT_050126" TargetMode="External"/><Relationship Id="rId23" Type="http://schemas.openxmlformats.org/officeDocument/2006/relationships/hyperlink" Target="https://patadovietnam.edu.vn/khoa-giao-tiep-tieng-anh-online-all/" TargetMode="External"/><Relationship Id="rId26" Type="http://schemas.openxmlformats.org/officeDocument/2006/relationships/hyperlink" Target="https://patadovietnam.edu.vn/khoa-giao-tiep-tieng-anh-online-all/" TargetMode="External"/><Relationship Id="rId25" Type="http://schemas.openxmlformats.org/officeDocument/2006/relationships/hyperlink" Target="https://tinyurl.com/M494AUS" TargetMode="External"/><Relationship Id="rId28" Type="http://schemas.openxmlformats.org/officeDocument/2006/relationships/hyperlink" Target="https://tinyurl.com/M498GTALL" TargetMode="External"/><Relationship Id="rId27" Type="http://schemas.openxmlformats.org/officeDocument/2006/relationships/hyperlink" Target="https://patadovietnam.edu.vn/khoa-giao-tiep-tieng-anh-online-all/?utm_source=Facebook&amp;utm_medium=MES&amp;utm_term=NEW_ALL_none_none_060126&amp;utm_content=saletructiep_ALL.M498.none.giaotiep_THCNGDP_LD256&amp;utm_campaign=ALL.giaotiep.M498_LHV.9822_MES_HoaNT_060126" TargetMode="External"/><Relationship Id="rId29" Type="http://schemas.openxmlformats.org/officeDocument/2006/relationships/hyperlink" Target="https://patadovietnam.edu.vn/khoa-giao-tiep-tieng-anh-online-all/" TargetMode="External"/><Relationship Id="rId11" Type="http://schemas.openxmlformats.org/officeDocument/2006/relationships/hyperlink" Target="https://tinyurl.com/M498USM" TargetMode="External"/><Relationship Id="rId10" Type="http://schemas.openxmlformats.org/officeDocument/2006/relationships/hyperlink" Target="https://patadovietnam.edu.vn/khoa-giao-tiep-unitedstates/?utm_source=Facebook&amp;utm_medium=MES&amp;utm_term=NEW_UnitedStates_2045_none_301225&amp;utm_content=saletructiep_UnitedStates.M498.2045.giaotiep_THCNGDP_LD255&amp;utm_campaign=UnitedStates.giaotiep.M498_LHV.9822_MES_HoaNT_301225" TargetMode="External"/><Relationship Id="rId13" Type="http://schemas.openxmlformats.org/officeDocument/2006/relationships/hyperlink" Target="https://patadovietnam.edu.vn/tieng-anh-giao-tiep-japan/?utm_source=Facebook&amp;utm_medium=MES&amp;utm_term=NEW_Japan_2045_none_301225&amp;utm_content=saletructiep_Japan.M498.2045.giaotiep_THCNGDP_LD252&amp;utm_campaign=Japan.giaotiep.M498_LHV.9822_MES_HoaNT_301225" TargetMode="External"/><Relationship Id="rId12" Type="http://schemas.openxmlformats.org/officeDocument/2006/relationships/hyperlink" Target="https://patadovietnam.edu.vn/tieng-anh-giao-tiep-japan/" TargetMode="External"/><Relationship Id="rId15" Type="http://schemas.openxmlformats.org/officeDocument/2006/relationships/hyperlink" Target="https://patadovietnam.edu.vn/khoa-tieng-anh-giao-tiep-o-nhat-ban/" TargetMode="External"/><Relationship Id="rId14" Type="http://schemas.openxmlformats.org/officeDocument/2006/relationships/hyperlink" Target="https://tinyurl.com/M498JAP" TargetMode="External"/><Relationship Id="rId17" Type="http://schemas.openxmlformats.org/officeDocument/2006/relationships/hyperlink" Target="https://tinyurl.com/M609JAP" TargetMode="External"/><Relationship Id="rId16" Type="http://schemas.openxmlformats.org/officeDocument/2006/relationships/hyperlink" Target="https://patadovietnam.edu.vn/khoa-tieng-anh-giao-tiep-o-nhat-ban/?utm_source=Facebook&amp;utm_medium=MES&amp;utm_term=NEW_Japan_2045_none_050126&amp;utm_content=saletructiep_Japan.M609.2045.giaotiep_THCNGDP_LD257&amp;utm_campaign=Japan.giaotiep.M609_LHV.9822_MES_HoaNT_050126" TargetMode="External"/><Relationship Id="rId19" Type="http://schemas.openxmlformats.org/officeDocument/2006/relationships/hyperlink" Target="https://patadovietnam.edu.vn/khoa-giao-tiep-tieng-anh-online-all/?utm_source=Facebook&amp;utm_medium=MES&amp;utm_term=NEW_Taiwan_2045_none_050126&amp;utm_content=saletructiep_Taiwan.M599.2045.giaotiep_THCNGDP_LD256&amp;utm_campaign=Taiwan.giaotiep.M599_LHV.9822_MES_HoaNT_050126" TargetMode="External"/><Relationship Id="rId18" Type="http://schemas.openxmlformats.org/officeDocument/2006/relationships/hyperlink" Target="https://patadovietnam.edu.vn/khoa-giao-tiep-tieng-anh-online-all/" TargetMode="External"/><Relationship Id="rId84" Type="http://schemas.openxmlformats.org/officeDocument/2006/relationships/hyperlink" Target="https://patadovietnam.edu.vn/khoa-giao-tiep-tieng-anh-online-all/?utm_source=Facebook&amp;utm_medium=MES&amp;utm_term=NEW_KoreaSouth_1840_none_130126&amp;utm_content=saletructiep_KoreaSouth.M617.1840.giaotiep_THCNGDP_LD256&amp;utm_campaign=KoreaSouth.giaotiep.M617_LHV.9822_MES_HoaNT_130126" TargetMode="External"/><Relationship Id="rId83" Type="http://schemas.openxmlformats.org/officeDocument/2006/relationships/hyperlink" Target="https://patadovietnam.edu.vn/khoa-giao-tiep-tieng-anh-online-all/" TargetMode="External"/><Relationship Id="rId86" Type="http://schemas.openxmlformats.org/officeDocument/2006/relationships/hyperlink" Target="https://patadovietnam.edu.vn/khoa-giao-tiep-tieng-anh-online-all/" TargetMode="External"/><Relationship Id="rId85" Type="http://schemas.openxmlformats.org/officeDocument/2006/relationships/hyperlink" Target="https://tinyurl.com/M617KORE" TargetMode="External"/><Relationship Id="rId88" Type="http://schemas.openxmlformats.org/officeDocument/2006/relationships/hyperlink" Target="https://tinyurl.com/M617AL" TargetMode="External"/><Relationship Id="rId87" Type="http://schemas.openxmlformats.org/officeDocument/2006/relationships/hyperlink" Target="https://patadovietnam.edu.vn/khoa-giao-tiep-tieng-anh-online-all/?utm_source=Facebook&amp;utm_medium=MES&amp;utm_term=NEW_ALL_2040_none_130126&amp;utm_content=saletructiep_ALL.M617.2040.giaotiep_THCNGDP_LD256&amp;utm_campaign=ALL.giaotiep.M617_LHV.9822_MES_HoaNT_130126" TargetMode="External"/><Relationship Id="rId89" Type="http://schemas.openxmlformats.org/officeDocument/2006/relationships/hyperlink" Target="https://patadovietnam.edu.vn/khoa-giao-tiep-tieng-anh-online-all/" TargetMode="External"/><Relationship Id="rId80" Type="http://schemas.openxmlformats.org/officeDocument/2006/relationships/hyperlink" Target="https://patadovietnam.edu.vn/khoa-giao-tiep-unitedstates/" TargetMode="External"/><Relationship Id="rId82" Type="http://schemas.openxmlformats.org/officeDocument/2006/relationships/hyperlink" Target="https://tinyurl.com/M617USA" TargetMode="External"/><Relationship Id="rId81" Type="http://schemas.openxmlformats.org/officeDocument/2006/relationships/hyperlink" Target="https://patadovietnam.edu.vn/khoa-giao-tiep-unitedstates/?utm_source=Facebook&amp;utm_medium=MES&amp;utm_term=NEW_UnitedStates_none_none_130126&amp;utm_content=saletructiep_UnitedStates.M617.none.giaotiep_THCNGDP_LD255&amp;utm_campaign=UnitedStates.giaotiep.M617_LHV.9822_MES_HoaNT_130126" TargetMode="External"/><Relationship Id="rId73" Type="http://schemas.openxmlformats.org/officeDocument/2006/relationships/hyperlink" Target="https://tinyurl.com/M200KORE" TargetMode="External"/><Relationship Id="rId72" Type="http://schemas.openxmlformats.org/officeDocument/2006/relationships/hyperlink" Target="https://patadovietnam.edu.vn/khoa-giao-tiep-tieng-anh-online-all/?utm_source=Facebook&amp;utm_medium=CVS&amp;utm_term=NEW_KoreaSouth_2040_none_110126&amp;utm_content=saletructiep_KoreaSouth.M200.2040.giaotiep_THCNGDP_LD256&amp;utm_campaign=KoreaSouth.giaotiep.M200_LHV.9822_CVS_HoaNT_110126" TargetMode="External"/><Relationship Id="rId75" Type="http://schemas.openxmlformats.org/officeDocument/2006/relationships/hyperlink" Target="https://patadovietnam.edu.vn/khoa-tieng-anh-giao-tiep-o-nhat-ban/?utm_source=Facebook&amp;utm_medium=CVS&amp;utm_term=NEW_Japan_2040_none_110126&amp;utm_content=saletructiep_Japan.M200.2040.giaotiep_THCNGDP_LD257&amp;utm_campaign=Japan.giaotiep.M200_LHV.9822_CVS_HoaNT_110126" TargetMode="External"/><Relationship Id="rId74" Type="http://schemas.openxmlformats.org/officeDocument/2006/relationships/hyperlink" Target="https://patadovietnam.edu.vn/khoa-tieng-anh-giao-tiep-o-nhat-ban/" TargetMode="External"/><Relationship Id="rId77" Type="http://schemas.openxmlformats.org/officeDocument/2006/relationships/hyperlink" Target="https://patadovietnam.edu.vn/khoa-tieng-anh-giao-tiep-o-nhat-ban/" TargetMode="External"/><Relationship Id="rId76" Type="http://schemas.openxmlformats.org/officeDocument/2006/relationships/hyperlink" Target="https://tinyurl.com/M200JAP" TargetMode="External"/><Relationship Id="rId79" Type="http://schemas.openxmlformats.org/officeDocument/2006/relationships/hyperlink" Target="https://tinyurl.com/M617JAPAN" TargetMode="External"/><Relationship Id="rId78" Type="http://schemas.openxmlformats.org/officeDocument/2006/relationships/hyperlink" Target="https://patadovietnam.edu.vn/khoa-tieng-anh-giao-tiep-o-nhat-ban/?utm_source=Facebook&amp;utm_medium=MES&amp;utm_term=NEW_Japan_none_none_130126&amp;utm_content=saletructiep_Japan.M617.none.giaotiep_THCNGDP_LD257&amp;utm_campaign=Japan.giaotiep.M617_LHV.9822_MES_HoaNT_130126" TargetMode="External"/><Relationship Id="rId71" Type="http://schemas.openxmlformats.org/officeDocument/2006/relationships/hyperlink" Target="https://patadovietnam.edu.vn/khoa-giao-tiep-tieng-anh-online-all/" TargetMode="External"/><Relationship Id="rId70" Type="http://schemas.openxmlformats.org/officeDocument/2006/relationships/hyperlink" Target="https://tinyurl.com/M200ALLCVS" TargetMode="External"/><Relationship Id="rId62" Type="http://schemas.openxmlformats.org/officeDocument/2006/relationships/hyperlink" Target="https://patadovietnam.edu.vn/khoa-giao-tiep-tieng-anh-online-all/" TargetMode="External"/><Relationship Id="rId61" Type="http://schemas.openxmlformats.org/officeDocument/2006/relationships/hyperlink" Target="https://tinyurl.com/M332USA" TargetMode="External"/><Relationship Id="rId64" Type="http://schemas.openxmlformats.org/officeDocument/2006/relationships/hyperlink" Target="https://tinyurl.com/M200EUR" TargetMode="External"/><Relationship Id="rId63" Type="http://schemas.openxmlformats.org/officeDocument/2006/relationships/hyperlink" Target="https://patadovietnam.edu.vn/khoa-giao-tiep-tieng-anh-online-all/?utm_source=Facebook&amp;utm_medium=MES&amp;utm_term=NEW_Europe_2040_none_110126&amp;utm_content=saletructiep_Europe.M200.2040.giaotiep_THCNGDP_LD256&amp;utm_campaign=Europe.giaotiep.M200_LHV.9822_MES_HoaNT_110126" TargetMode="External"/><Relationship Id="rId66" Type="http://schemas.openxmlformats.org/officeDocument/2006/relationships/hyperlink" Target="https://patadovietnam.edu.vn/khoa-giao-tiep-tieng-anh-online-all/?utm_source=Facebook&amp;utm_medium=CVS&amp;utm_term=NEW_Australia_2040_none_110126&amp;utm_content=saletructiep_Australia.M200.2040.giaotiep_THCNGDP_LD256&amp;utm_campaign=Australia.giaotiep.M200_LHV.9822_CVS_HoaNT_110126" TargetMode="External"/><Relationship Id="rId65" Type="http://schemas.openxmlformats.org/officeDocument/2006/relationships/hyperlink" Target="https://patadovietnam.edu.vn/khoa-giao-tiep-tieng-anh-online-all/" TargetMode="External"/><Relationship Id="rId68" Type="http://schemas.openxmlformats.org/officeDocument/2006/relationships/hyperlink" Target="https://patadovietnam.edu.vn/khoa-giao-tiep-tieng-anh-online-all/" TargetMode="External"/><Relationship Id="rId67" Type="http://schemas.openxmlformats.org/officeDocument/2006/relationships/hyperlink" Target="https://tinyurl.com/M200AUST" TargetMode="External"/><Relationship Id="rId60" Type="http://schemas.openxmlformats.org/officeDocument/2006/relationships/hyperlink" Target="https://patadovietnam.edu.vn/khoa-giao-tiep-unitedstates/?utm_source=Facebook&amp;utm_medium=MES&amp;utm_term=NEW_UnitedStates_3555_none_100126&amp;utm_content=saletructiep_UnitedStates.M332.3555.giaotiep_THCNGDP_LD255&amp;utm_campaign=UnitedStates.giaotiep.M332_LHV.9822_MES_HoaNT_100126" TargetMode="External"/><Relationship Id="rId69" Type="http://schemas.openxmlformats.org/officeDocument/2006/relationships/hyperlink" Target="https://patadovietnam.edu.vn/khoa-giao-tiep-tieng-anh-online-all/?utm_source=Facebook&amp;utm_medium=CVS&amp;utm_term=NEW_ALL_2040_none_110126&amp;utm_content=saletructiep_ALL.M200.2040.giaotiep_THCNGDP_LD256&amp;utm_campaign=ALL.giaotiep.M200_LHV.9822_CVS_HoaNT_110126" TargetMode="External"/><Relationship Id="rId51" Type="http://schemas.openxmlformats.org/officeDocument/2006/relationships/hyperlink" Target="https://patadovietnam.edu.vn/khoa-giao-tiep-tieng-anh-online-all/?utm_source=Facebook&amp;utm_medium=CVS&amp;utm_term=NEW_ALL_2045_none_080126&amp;utm_content=saletructiep_ALL.M520.none.giaotiep_THCNGDP_LD256&amp;utm_campaign=ALL.giaotiep.M520_LHV.9822_CVS_HoaNT_080126" TargetMode="External"/><Relationship Id="rId50" Type="http://schemas.openxmlformats.org/officeDocument/2006/relationships/hyperlink" Target="https://patadovietnam.edu.vn/khoa-giao-tiep-tieng-anh-online-all/" TargetMode="External"/><Relationship Id="rId53" Type="http://schemas.openxmlformats.org/officeDocument/2006/relationships/hyperlink" Target="https://patadovietnam.edu.vn/khoa-giao-tiep-tieng-anh-online-all/" TargetMode="External"/><Relationship Id="rId52" Type="http://schemas.openxmlformats.org/officeDocument/2006/relationships/hyperlink" Target="https://tinyurl.com/M520ALL" TargetMode="External"/><Relationship Id="rId55" Type="http://schemas.openxmlformats.org/officeDocument/2006/relationships/hyperlink" Target="https://tinyurl.com/M520AUSTRA" TargetMode="External"/><Relationship Id="rId54" Type="http://schemas.openxmlformats.org/officeDocument/2006/relationships/hyperlink" Target="https://patadovietnam.edu.vn/khoa-giao-tiep-tieng-anh-online-all/?utm_source=Facebook&amp;utm_medium=CVS&amp;utm_term=NEW_Australia_2045_none_080126&amp;utm_content=saletructiep_Australia.M520.2045.giaotiep_THCNGDP_LD256&amp;utm_campaign=Australia.giaotiep.M520_LHV.9822_CVS_HoaNT_080126" TargetMode="External"/><Relationship Id="rId57" Type="http://schemas.openxmlformats.org/officeDocument/2006/relationships/hyperlink" Target="https://patadovietnam.edu.vn/khoa-giao-tiep-tieng-anh-online-all/?utm_source=Facebook&amp;utm_medium=CVS&amp;utm_term=NEW_Europe_3055_none_100126&amp;utm_content=saletructiep_Europe.M105.3055.giaotiep_THCNGDP_LD256&amp;utm_campaign=Europe.giaotiep.M105_LHV.9822_CVS_HoaNT_100126" TargetMode="External"/><Relationship Id="rId56" Type="http://schemas.openxmlformats.org/officeDocument/2006/relationships/hyperlink" Target="https://patadovietnam.edu.vn/khoa-giao-tiep-tieng-anh-online-all/" TargetMode="External"/><Relationship Id="rId59" Type="http://schemas.openxmlformats.org/officeDocument/2006/relationships/hyperlink" Target="https://patadovietnam.edu.vn/khoa-giao-tiep-unitedstates/" TargetMode="External"/><Relationship Id="rId58" Type="http://schemas.openxmlformats.org/officeDocument/2006/relationships/hyperlink" Target="https://tinyurl.com/M105EUR0" TargetMode="External"/><Relationship Id="rId349" Type="http://schemas.openxmlformats.org/officeDocument/2006/relationships/hyperlink" Target="https://patado.edu.vn/trung-tam-tieng-anh-patado/" TargetMode="External"/><Relationship Id="rId348" Type="http://schemas.openxmlformats.org/officeDocument/2006/relationships/hyperlink" Target="https://tinyurl.com/US-tieng-anh-giao-tiep-M640" TargetMode="External"/><Relationship Id="rId347" Type="http://schemas.openxmlformats.org/officeDocument/2006/relationships/hyperlink" Target="https://patado.edu.vn/khoa-giao-tiep-unitedstates/?utm_source=Facebook&amp;utm_medium=MES&amp;utm_term=NEW_UnitedStates_2050_none_110626&amp;utm_content=saletructiep_UnitedStates.M640.2050.giaotiep_THCNGDP_LD276&amp;utm_campaign=UnitedStates.giaotiep.M640_LHV.9822_MES_SangBD_110626" TargetMode="External"/><Relationship Id="rId346" Type="http://schemas.openxmlformats.org/officeDocument/2006/relationships/hyperlink" Target="https://patado.edu.vn/khoa-giao-tiep-unitedstates/" TargetMode="External"/><Relationship Id="rId341" Type="http://schemas.openxmlformats.org/officeDocument/2006/relationships/hyperlink" Target="https://patado.edu.vn/khoa-giao-tiep-tieng-anh-online-all/?utm_source=Facebook&amp;utm_medium=MES&amp;utm_term=NEW_ALL_1845_none_100626&amp;utm_content=saletructiep_ALL.giaotiep.M637.1845.giaotiep_THCNGDP_LD263&amp;utm_campaign=ALL.giaotiep.M637_LHV.9822_MES_SangBD_100626" TargetMode="External"/><Relationship Id="rId340" Type="http://schemas.openxmlformats.org/officeDocument/2006/relationships/hyperlink" Target="https://tinyurl.com/tieng-anh-giao-tiep-m679" TargetMode="External"/><Relationship Id="rId345" Type="http://schemas.openxmlformats.org/officeDocument/2006/relationships/hyperlink" Target="https://tinyurl.com/tieng-anh-m637" TargetMode="External"/><Relationship Id="rId344" Type="http://schemas.openxmlformats.org/officeDocument/2006/relationships/hyperlink" Target="https://patado.edu.vn/khoa-tieng-anh-giao-tiep-o-nhat-ban/?utm_source=Facebook&amp;utm_medium=CVS&amp;utm_term=NEW_Japan_1840_none_100626&amp;utm_content=saletructiep_Japan.M637.1840.giaotiep_THCNGDP_LD264&amp;utm_campaign=Japan.giaotiep.M637_LHV.9822_CVS_SangBD_100626" TargetMode="External"/><Relationship Id="rId343" Type="http://schemas.openxmlformats.org/officeDocument/2006/relationships/hyperlink" Target="https://patado.edu.vn/khoa-tieng-anh-giao-tiep-o-nhat-ban" TargetMode="External"/><Relationship Id="rId342" Type="http://schemas.openxmlformats.org/officeDocument/2006/relationships/hyperlink" Target="https://tinyurl.com/tieng-anh-nguoi-di-lam-m637" TargetMode="External"/><Relationship Id="rId338" Type="http://schemas.openxmlformats.org/officeDocument/2006/relationships/hyperlink" Target="https://patado.edu.vn/trung-tam-tieng-anh-patado/" TargetMode="External"/><Relationship Id="rId337" Type="http://schemas.openxmlformats.org/officeDocument/2006/relationships/hyperlink" Target="https://tinyurl.com/giao-tiep-M702" TargetMode="External"/><Relationship Id="rId336" Type="http://schemas.openxmlformats.org/officeDocument/2006/relationships/hyperlink" Target="https://patado.edu.vn/khoa-tieng-anh-giao-tiep-chau-au/?utm_source=Facebook&amp;utm_medium=CVS&amp;utm_term=NEW_Europe_2045_none_080626&amp;utm_content=saletructiep_Europe.M702.2045.giaotiep_THCNGDP_LD275&amp;utm_campaign=Europe.giaotiep.M702xM704_LHV.9822_CVS_SangBD_080626" TargetMode="External"/><Relationship Id="rId335" Type="http://schemas.openxmlformats.org/officeDocument/2006/relationships/hyperlink" Target="https://patado.edu.vn/khoa-tieng-anh-giao-tiep-chau-au" TargetMode="External"/><Relationship Id="rId339" Type="http://schemas.openxmlformats.org/officeDocument/2006/relationships/hyperlink" Target="https://patado.edu.vn/trung-tam-tieng-anh-patado/?utm_source=Facebook&amp;utm_medium=MES&amp;utm_term=NEW_ALL_2045_none_090626&amp;utm_content=saletructiep_ALL.giaotiep.M679.2045.giaotiep_PTAGTCNDL_LD280&amp;utm_campaign=ALL.giaotiep.M679_LHV.9822_MES_SangBD_090626" TargetMode="External"/><Relationship Id="rId330" Type="http://schemas.openxmlformats.org/officeDocument/2006/relationships/hyperlink" Target="https://patado.edu.vn/khoa-tieng-anh-giao-tiep-chau-au" TargetMode="External"/><Relationship Id="rId334" Type="http://schemas.openxmlformats.org/officeDocument/2006/relationships/hyperlink" Target="https://patado.edu.vn/khoa-giao-tiep-tieng-anh-online-all/?utm_source=Facebook&amp;utm_medium=MES&amp;utm_term=NEW_ALL_1845_none_050626&amp;utm_content=saletructiep_ALL.giaotiep.M578.1845.giaotiep_THCNGDP_LD263&amp;utm_campaign=ALL.giaotiep.M578_LHV.9822_CVS_SangBD_050626" TargetMode="External"/><Relationship Id="rId333" Type="http://schemas.openxmlformats.org/officeDocument/2006/relationships/hyperlink" Target="https://patado.edu.vn/khoa-giao-tiep-tieng-anh-online-all" TargetMode="External"/><Relationship Id="rId332" Type="http://schemas.openxmlformats.org/officeDocument/2006/relationships/hyperlink" Target="https://tinyurl.com/giao-tiep-M688EU" TargetMode="External"/><Relationship Id="rId331" Type="http://schemas.openxmlformats.org/officeDocument/2006/relationships/hyperlink" Target="https://patado.edu.vn/khoa-tieng-anh-giao-tiep-chau-au/?utm_source=Facebook&amp;utm_medium=CVS&amp;utm_term=NEW_Europe_2045_none_030626&amp;utm_content=saletructiep_Europe.M688.2045.giaotiep_THCNGDP_LD275&amp;utm_campaign=Europe.giaotiep.M688_LHV.9822_CVS_SangBD_030626" TargetMode="External"/><Relationship Id="rId370" Type="http://schemas.openxmlformats.org/officeDocument/2006/relationships/hyperlink" Target="https://patado.edu.vn/khoa-tieng-anh-giao-tiep-chau-au" TargetMode="External"/><Relationship Id="rId369" Type="http://schemas.openxmlformats.org/officeDocument/2006/relationships/hyperlink" Target="https://tinyurl.com/tieng-anh-giao-tiep-eum600" TargetMode="External"/><Relationship Id="rId368" Type="http://schemas.openxmlformats.org/officeDocument/2006/relationships/hyperlink" Target="https://patado.edu.vn/tieng-anh-giao-tiep-eu-sbd-htt/?utm_source=Facebook&amp;utm_medium=CVS&amp;utm_term=NEW_Europe_1845_none_170626&amp;utm_content=saletructiep_Europe.M600.1845.giaotiep_THCNGDP_LD287&amp;utm_campaign=Europe.giaotiep.M600xM657_LHV.9822_CVS_SangBD_170626" TargetMode="External"/><Relationship Id="rId363" Type="http://schemas.openxmlformats.org/officeDocument/2006/relationships/hyperlink" Target="https://tinyurl.com/3hf9u88w" TargetMode="External"/><Relationship Id="rId362" Type="http://schemas.openxmlformats.org/officeDocument/2006/relationships/hyperlink" Target="https://patado.edu.vn/khoa-giao-tiep-tieng-anh-online-all/?utm_source=Facebook&amp;utm_medium=MES&amp;utm_term=NEW_ALL_1845_none_150626&amp;utm_content=saletructiep_ALL.giaotiep.M693.1845.giaotiep_THCNGDP_LD263&amp;utm_campaign=ALL.giaotiep.M693_LHV.9822_MES_SangBD_150626" TargetMode="External"/><Relationship Id="rId361" Type="http://schemas.openxmlformats.org/officeDocument/2006/relationships/hyperlink" Target="https://patado.edu.vn/khoa-giao-tiep-tieng-anh-online-all" TargetMode="External"/><Relationship Id="rId360" Type="http://schemas.openxmlformats.org/officeDocument/2006/relationships/hyperlink" Target="https://tinyurl.com/tieng-anh-giao-tiep-jpm716" TargetMode="External"/><Relationship Id="rId367" Type="http://schemas.openxmlformats.org/officeDocument/2006/relationships/hyperlink" Target="https://patado.edu.vn/tieng-anh-giao-tiep-eu-sbd-htt/" TargetMode="External"/><Relationship Id="rId366" Type="http://schemas.openxmlformats.org/officeDocument/2006/relationships/hyperlink" Target="https://tinyurl.com/tieng-anh-giao-tiep-eum526" TargetMode="External"/><Relationship Id="rId365" Type="http://schemas.openxmlformats.org/officeDocument/2006/relationships/hyperlink" Target="https://patado.edu.vn/tieng-anh-giao-tiep-eu-sbd-htt/?utm_source=Facebook&amp;utm_medium=CVS&amp;utm_term=NEW_Europe_1845_none_150626&amp;utm_content=saletructiep_Europe.M526.1845.giaotiep_THCNGDP_LD287&amp;utm_campaign=Europe.giaotiep.M526xM584_LHV.9822_CVS_SangBD_150626" TargetMode="External"/><Relationship Id="rId364" Type="http://schemas.openxmlformats.org/officeDocument/2006/relationships/hyperlink" Target="https://patado.edu.vn/tieng-anh-giao-tiep-eu-sbd-htt/" TargetMode="External"/><Relationship Id="rId95" Type="http://schemas.openxmlformats.org/officeDocument/2006/relationships/hyperlink" Target="https://patadovietnam.edu.vn/khoa-giao-tiep-tieng-anh-online-all/" TargetMode="External"/><Relationship Id="rId94" Type="http://schemas.openxmlformats.org/officeDocument/2006/relationships/hyperlink" Target="https://tinyurl.com/M264-616JP" TargetMode="External"/><Relationship Id="rId97" Type="http://schemas.openxmlformats.org/officeDocument/2006/relationships/hyperlink" Target="https://tinyurl.com/M264-616EU" TargetMode="External"/><Relationship Id="rId96" Type="http://schemas.openxmlformats.org/officeDocument/2006/relationships/hyperlink" Target="https://patadovietnam.edu.vn/khoa-giao-tiep-tieng-anh-online-all/?utm_source=Facebook&amp;utm_medium=CVS&amp;utm_term=NEW_Europe_1855_none_210126&amp;utm_content=saletructiep_Europe.M264xM616.1840.giaotiep_THCNGDP_LD256&amp;utm_campaign=Europe.giaotiep.M264xM616_LHV.9822_CVS_HoaNT_210126" TargetMode="External"/><Relationship Id="rId99" Type="http://schemas.openxmlformats.org/officeDocument/2006/relationships/hyperlink" Target="https://patadovietnam.edu.vn/khoa-giao-tiep-tieng-anh-online-all/?utm_source=Facebook&amp;utm_medium=MES&amp;utm_term=NEW_ALL_1855_none_210126&amp;utm_content=saletructiep_ALL.M264xM616.1840.giaotiep_THCNGDP_LD256&amp;utm_campaign=ALL.giaotiep.M264xM616_LHV.9822_MES_HoaNT_210126" TargetMode="External"/><Relationship Id="rId98" Type="http://schemas.openxmlformats.org/officeDocument/2006/relationships/hyperlink" Target="https://patadovietnam.edu.vn/khoa-giao-tiep-tieng-anh-online-all/" TargetMode="External"/><Relationship Id="rId91" Type="http://schemas.openxmlformats.org/officeDocument/2006/relationships/hyperlink" Target="https://tinyurl.com/M617AUST" TargetMode="External"/><Relationship Id="rId90" Type="http://schemas.openxmlformats.org/officeDocument/2006/relationships/hyperlink" Target="https://patadovietnam.edu.vn/khoa-giao-tiep-tieng-anh-online-all/?utm_source=Facebook&amp;utm_medium=MES&amp;utm_term=NEW_Australia_2040_none_130126&amp;utm_content=saletructiep_Australia.M617.2040.giaotiep_THCNGDP_LD256&amp;utm_campaign=Australia.giaotiep.M617_LHV.9822_MES_HoaNT_130126" TargetMode="External"/><Relationship Id="rId93" Type="http://schemas.openxmlformats.org/officeDocument/2006/relationships/hyperlink" Target="https://patadovietnam.edu.vn/khoa-tieng-anh-giao-tiep-o-nhat-ban/?utm_source=Facebook&amp;utm_medium=CVS&amp;utm_term=NEW_Japan_1840_none_210126&amp;utm_content=saletructiep_Japan.M264xM616.1840.giaotiep_THCNGDP_LD257&amp;utm_campaign=Japan.giaotiep.M264xM616_LHV.9822_CVS_HoaNT_210126" TargetMode="External"/><Relationship Id="rId92" Type="http://schemas.openxmlformats.org/officeDocument/2006/relationships/hyperlink" Target="https://patadovietnam.edu.vn/khoa-tieng-anh-giao-tiep-o-nhat-ban/" TargetMode="External"/><Relationship Id="rId359" Type="http://schemas.openxmlformats.org/officeDocument/2006/relationships/hyperlink" Target="https://patado.edu.vn/tieng-anh-giao-tiep-cho-nguoi-viet-tai-nhat-sbd-htt/?utm_source=Facebook&amp;utm_medium=CVS&amp;utm_term=NEW_Japan_1845_none_150626&amp;utm_content=saletructiep_Japan.M716.1840.giaotiep_THCNGDP_LD288&amp;utm_campaign=Japan.giaotiep.M716_LHV.9822_CVS_SangBD_150626" TargetMode="External"/><Relationship Id="rId358" Type="http://schemas.openxmlformats.org/officeDocument/2006/relationships/hyperlink" Target="https://patado.edu.vn/tieng-anh-giao-tiep-cho-nguoi-viet-tai-nhat-sbd-htt" TargetMode="External"/><Relationship Id="rId357" Type="http://schemas.openxmlformats.org/officeDocument/2006/relationships/hyperlink" Target="https://tinyurl.com/tieng-anh-giao-tiep-eum704" TargetMode="External"/><Relationship Id="rId352" Type="http://schemas.openxmlformats.org/officeDocument/2006/relationships/hyperlink" Target="https://patado.edu.vn/tieng-anh-giao-tiep-eu-sbd-htt/" TargetMode="External"/><Relationship Id="rId351" Type="http://schemas.openxmlformats.org/officeDocument/2006/relationships/hyperlink" Target="https://tinyurl.com/tieng-anh-giao-tiep-m640-np" TargetMode="External"/><Relationship Id="rId350" Type="http://schemas.openxmlformats.org/officeDocument/2006/relationships/hyperlink" Target="https://patado.edu.vn/trung-tam-tieng-anh-patado/?utm_source=Facebook&amp;utm_medium=MES&amp;utm_term=NEW_ALL_1845_none_110626&amp;utm_content=saletructiep_ALL.giaotiep.M640.1845.giaotiep_PTAGTCNDL_LD280&amp;utm_campaign=ALL.giaotiep.M640_LHV.9822_MES_SangBD_110626" TargetMode="External"/><Relationship Id="rId356" Type="http://schemas.openxmlformats.org/officeDocument/2006/relationships/hyperlink" Target="https://patado.edu.vn/tieng-anh-giao-tiep-eu-sbd-htt/?utm_source=Facebook&amp;utm_medium=CVS&amp;utm_term=NEW_Europe_1845_none_120626&amp;utm_content=saletructiep_Europe.M704.2045.giaotiep_THCNGDP_LD287&amp;utm_campaign=Europe.giaotiep.M704xM705_LHV.9822_CVS_SangBD_120626" TargetMode="External"/><Relationship Id="rId355" Type="http://schemas.openxmlformats.org/officeDocument/2006/relationships/hyperlink" Target="https://patado.edu.vn/tieng-anh-giao-tiep-eu-sbd-htt/" TargetMode="External"/><Relationship Id="rId354" Type="http://schemas.openxmlformats.org/officeDocument/2006/relationships/hyperlink" Target="https://tinyurl.com/tieng-anh-giao-tiep-eum703" TargetMode="External"/><Relationship Id="rId353" Type="http://schemas.openxmlformats.org/officeDocument/2006/relationships/hyperlink" Target="https://patado.edu.vn/tieng-anh-giao-tiep-eu-sbd-htt/?utm_source=Facebook&amp;utm_medium=CVS&amp;utm_term=NEW_Europe_1845_none_120626&amp;utm_content=saletructiep_Europe.M703.2045.giaotiep_THCNGDP_LD287&amp;utm_campaign=Europe.giaotiep.M702xM703_LHV.9822_CVS_SangBD_120626" TargetMode="External"/><Relationship Id="rId305" Type="http://schemas.openxmlformats.org/officeDocument/2006/relationships/hyperlink" Target="https://patado.edu.vn/khoa-giao-tiep-unitedstates/" TargetMode="External"/><Relationship Id="rId304" Type="http://schemas.openxmlformats.org/officeDocument/2006/relationships/hyperlink" Target="https://tinyurl.com/eu-giao-tiep-m636" TargetMode="External"/><Relationship Id="rId303" Type="http://schemas.openxmlformats.org/officeDocument/2006/relationships/hyperlink" Target="https://patado.edu.vn/khoa-tieng-anh-giao-tiep-chau-au/?utm_source=Facebook&amp;utm_medium=CVS&amp;utm_term=NEW_Europe_1850_none_250526&amp;utm_content=saletructiep_Europe.M636.1850.giaotiep_THCNGDP_LD275&amp;utm_campaign=Europe.giaotiep.M632xM636_LHV.9822_CVS_SangBD_250526" TargetMode="External"/><Relationship Id="rId302" Type="http://schemas.openxmlformats.org/officeDocument/2006/relationships/hyperlink" Target="https://patado.edu.vn/khoa-tieng-anh-giao-tiep-chau-au" TargetMode="External"/><Relationship Id="rId309" Type="http://schemas.openxmlformats.org/officeDocument/2006/relationships/hyperlink" Target="https://patado.edu.vn/trung-tam-tieng-anh-patado/?utm_source=Facebook&amp;utm_medium=REACH&amp;utm_term=NEW_ALL_1850_none_270526&amp;utm_content=saletructiep_ALL.giaotiep.M636.1850.giaotiep_PTAGTCNDL_LD280&amp;utm_campaign=ALL.giaotiep.M636_LHV.9822_REACH_SangBD_270526" TargetMode="External"/><Relationship Id="rId308" Type="http://schemas.openxmlformats.org/officeDocument/2006/relationships/hyperlink" Target="https://patado.edu.vn/trung-tam-tieng-anh-patado/" TargetMode="External"/><Relationship Id="rId307" Type="http://schemas.openxmlformats.org/officeDocument/2006/relationships/hyperlink" Target="https://tinyurl.com/US-giao-tiep-M666" TargetMode="External"/><Relationship Id="rId306" Type="http://schemas.openxmlformats.org/officeDocument/2006/relationships/hyperlink" Target="https://patado.edu.vn/khoa-giao-tiep-unitedstates/?utm_source=Facebook&amp;utm_medium=MES&amp;utm_term=NEW_UnitedStates_2250_none_270526&amp;utm_content=saletructiep_UnitedStates.M666.2250.giaotiep_THCNGDP_LD276&amp;utm_campaign=UnitedStates.giaotiep.M666_LHV.9822_CVS_SangBD_270526" TargetMode="External"/><Relationship Id="rId301" Type="http://schemas.openxmlformats.org/officeDocument/2006/relationships/hyperlink" Target="https://tinyurl.com/japan-giao-tiep-M626" TargetMode="External"/><Relationship Id="rId300" Type="http://schemas.openxmlformats.org/officeDocument/2006/relationships/hyperlink" Target="https://patado.edu.vn/khoa-tieng-anh-giao-tiep-o-nhat-ban/?utm_source=Facebook&amp;utm_medium=CVS&amp;utm_term=NEW_Japan_1845_none_250526&amp;utm_content=saletructiep_Japan.M626.1845.giaotiep_THCNGDP_LD264&amp;utm_campaign=Japan.giaotiep.M626_LHV.9822_CVS_SangBD_250526" TargetMode="External"/><Relationship Id="rId327" Type="http://schemas.openxmlformats.org/officeDocument/2006/relationships/hyperlink" Target="https://patado.edu.vn/khoa-tieng-anh-giao-tiep-o-nhat-ban" TargetMode="External"/><Relationship Id="rId326" Type="http://schemas.openxmlformats.org/officeDocument/2006/relationships/hyperlink" Target="https://tinyurl.com/tieng-anh-giao-tiep-m668" TargetMode="External"/><Relationship Id="rId325" Type="http://schemas.openxmlformats.org/officeDocument/2006/relationships/hyperlink" Target="https://patado.edu.vn/khoa-tieng-anh-giao-tiep-chau-au/?utm_source=Facebook&amp;utm_medium=CVS&amp;utm_term=NEW_Europe_2050_none_010626&amp;utm_content=saletructiep_Europe.M668.2050.giaotiep_THCNGDP_LD275&amp;utm_campaign=Europe.giaotiep.M668_LHV.9822_CVS_SangBD_010626" TargetMode="External"/><Relationship Id="rId324" Type="http://schemas.openxmlformats.org/officeDocument/2006/relationships/hyperlink" Target="https://patado.edu.vn/khoa-tieng-anh-giao-tiep-chau-au" TargetMode="External"/><Relationship Id="rId329" Type="http://schemas.openxmlformats.org/officeDocument/2006/relationships/hyperlink" Target="https://tinyurl.com/japan-tieng-anh-giao-tiep-M703" TargetMode="External"/><Relationship Id="rId328" Type="http://schemas.openxmlformats.org/officeDocument/2006/relationships/hyperlink" Target="https://patado.edu.vn/khoa-tieng-anh-giao-tiep-o-nhat-ban/?utm_source=Facebook&amp;utm_medium=CVS&amp;utm_term=NEW_Japan_1840_none_010626&amp;utm_content=saletructiep_Japan.M703.1840.giaotiep_THCNGDP_LD264&amp;utm_campaign=Japan.giaotiep.M703_LHV.9822_CVS_SangBD_010626" TargetMode="External"/><Relationship Id="rId323" Type="http://schemas.openxmlformats.org/officeDocument/2006/relationships/hyperlink" Target="https://patado.edu.vn/khoa-giao-tiep-tieng-anh-online-all/?utm_source=Facebook&amp;utm_medium=MES&amp;utm_term=NEW_ALL_1855_none_010626&amp;utm_content=saletructiep_ALL.giaotiep.M658.1855.giaotiep_THCNGDP_LD263&amp;utm_campaign=ALL.giaotiep.M658_LHV.9822_MES_SangBD_010626" TargetMode="External"/><Relationship Id="rId322" Type="http://schemas.openxmlformats.org/officeDocument/2006/relationships/hyperlink" Target="https://patado.edu.vn/khoa-giao-tiep-tieng-anh-online-all" TargetMode="External"/><Relationship Id="rId321" Type="http://schemas.openxmlformats.org/officeDocument/2006/relationships/hyperlink" Target="https://tinyurl.com/US-giao-tiep-M697" TargetMode="External"/><Relationship Id="rId320" Type="http://schemas.openxmlformats.org/officeDocument/2006/relationships/hyperlink" Target="https://patado.edu.vn/khoa-giao-tiep-unitedstates/?utm_source=Facebook&amp;utm_medium=MES&amp;utm_term=NEW_UnitedStates_2050_none_280526&amp;utm_content=saletructiep_UnitedStates.M697.2050.giaotiep_THCNGDP_LD276&amp;utm_campaign=UnitedStates.giaotiep.M697_LHV.9822_MES_SangBD_280526" TargetMode="External"/><Relationship Id="rId316" Type="http://schemas.openxmlformats.org/officeDocument/2006/relationships/hyperlink" Target="https://patado.edu.vn/khoa-tieng-anh-giao-tiep-chau-au" TargetMode="External"/><Relationship Id="rId315" Type="http://schemas.openxmlformats.org/officeDocument/2006/relationships/hyperlink" Target="https://tinyurl.com/Japan-M264" TargetMode="External"/><Relationship Id="rId314" Type="http://schemas.openxmlformats.org/officeDocument/2006/relationships/hyperlink" Target="https://patado.edu.vn/khoa-tieng-anh-giao-tiep-o-nhat-ban/?utm_source=Facebook&amp;utm_medium=CVS&amp;utm_term=NEW_Japan_2045_none_280526&amp;utm_content=saletructiep_Japan.M264.2045.giaotiep_THCNGDP_LD264&amp;utm_campaign=Japan.giaotiep.M264_LHV.9822_CVS_SangBD_280526" TargetMode="External"/><Relationship Id="rId313" Type="http://schemas.openxmlformats.org/officeDocument/2006/relationships/hyperlink" Target="https://patado.edu.vn/khoa-tieng-anh-giao-tiep-o-nhat-ban" TargetMode="External"/><Relationship Id="rId319" Type="http://schemas.openxmlformats.org/officeDocument/2006/relationships/hyperlink" Target="https://patado.edu.vn/khoa-giao-tiep-unitedstates/" TargetMode="External"/><Relationship Id="rId318" Type="http://schemas.openxmlformats.org/officeDocument/2006/relationships/hyperlink" Target="https://tinyurl.com/Eu-giao-tiep-626" TargetMode="External"/><Relationship Id="rId317" Type="http://schemas.openxmlformats.org/officeDocument/2006/relationships/hyperlink" Target="https://patado.edu.vn/khoa-tieng-anh-giao-tiep-chau-au/?utm_source=Facebook&amp;utm_medium=CVS&amp;utm_term=NEW_Europe_2045_none_280526&amp;utm_content=saletructiep_Europe.M626.2045.giaotiep_THCNGDP_LD275&amp;utm_campaign=Europe.giaotiep.M626_LHV.9822_CVS_SangBD_280526" TargetMode="External"/><Relationship Id="rId312" Type="http://schemas.openxmlformats.org/officeDocument/2006/relationships/hyperlink" Target="https://tinyurl.com/ALL-M659" TargetMode="External"/><Relationship Id="rId311" Type="http://schemas.openxmlformats.org/officeDocument/2006/relationships/hyperlink" Target="https://patado.edu.vn/khoa-giao-tiep-tieng-anh-online-all/?utm_source=Facebook&amp;utm_medium=MES&amp;utm_term=NEW_ALL_2045_none_280526&amp;utm_content=saletructiep_ALL.giaotiep.M659.2045.giaotiep_THCNGDP_LD263&amp;utm_campaign=ALL.giaotiep.M659_LHV.9822_MES_SangBD_280526" TargetMode="External"/><Relationship Id="rId310" Type="http://schemas.openxmlformats.org/officeDocument/2006/relationships/hyperlink" Target="https://patado.edu.vn/khoa-giao-tiep-tieng-anh-online-all" TargetMode="External"/><Relationship Id="rId297" Type="http://schemas.openxmlformats.org/officeDocument/2006/relationships/hyperlink" Target="https://patado.edu.vn/khoa-giao-tiep-tieng-anh-online-all" TargetMode="External"/><Relationship Id="rId296" Type="http://schemas.openxmlformats.org/officeDocument/2006/relationships/hyperlink" Target="https://tinyurl.com/EU-giao-tiep-M678" TargetMode="External"/><Relationship Id="rId295" Type="http://schemas.openxmlformats.org/officeDocument/2006/relationships/hyperlink" Target="https://patado.edu.vn/khoa-tieng-anh-giao-tiep-chau-au/?utm_source=Facebook&amp;utm_medium=CVS&amp;utm_term=NEW_Europe_2045_none_220526&amp;utm_content=saletructiep_Europe.M677.2045.giaotiep_THCNGDP_LD275&amp;utm_campaign=Europe.giaotiep.M678_LHV.9822_CVS_SangBD_220526" TargetMode="External"/><Relationship Id="rId294" Type="http://schemas.openxmlformats.org/officeDocument/2006/relationships/hyperlink" Target="https://patado.edu.vn/khoa-tieng-anh-giao-tiep-chau-au" TargetMode="External"/><Relationship Id="rId299" Type="http://schemas.openxmlformats.org/officeDocument/2006/relationships/hyperlink" Target="https://patado.edu.vn/khoa-tieng-anh-giao-tiep-o-nhat-ban" TargetMode="External"/><Relationship Id="rId298" Type="http://schemas.openxmlformats.org/officeDocument/2006/relationships/hyperlink" Target="https://patado.edu.vn/khoa-giao-tiep-tieng-anh-online-all/?utm_source=Facebook&amp;utm_medium=MES&amp;utm_term=NEW_ALL_1845_none_250526&amp;utm_content=saletructiep_ALL.giaotiep.M624.1845.giaotiep_THCNGDP_LD263&amp;utm_campaign=ALL.giaotiep.M264_LHV.9822_CVS_SangBD_250526" TargetMode="External"/><Relationship Id="rId271" Type="http://schemas.openxmlformats.org/officeDocument/2006/relationships/hyperlink" Target="https://patado.edu.vn/khoa-giao-tiep-unitedstates/?utm_source=Facebook&amp;utm_medium=MES&amp;utm_term=NEW_UnitedStates_2050_none_120526&amp;utm_content=saletructiep_UnitedStates.M578.2050.giaotiep_THCNGDP_LD276&amp;utm_campaign=UnitedStates.giaotiep.M578_LHV.9822_MES_SangBD_120526" TargetMode="External"/><Relationship Id="rId270" Type="http://schemas.openxmlformats.org/officeDocument/2006/relationships/hyperlink" Target="https://patado.edu.vn/khoa-giao-tiep-unitedstates/" TargetMode="External"/><Relationship Id="rId269" Type="http://schemas.openxmlformats.org/officeDocument/2006/relationships/hyperlink" Target="https://tinyurl.com/EU-giao-tiep-M655" TargetMode="External"/><Relationship Id="rId264" Type="http://schemas.openxmlformats.org/officeDocument/2006/relationships/hyperlink" Target="https://patado.edu.vn/khoa-tieng-anh-giao-tiep-o-nhat-ban" TargetMode="External"/><Relationship Id="rId263" Type="http://schemas.openxmlformats.org/officeDocument/2006/relationships/hyperlink" Target="https://tinyurl.com/UnitedStates658" TargetMode="External"/><Relationship Id="rId262" Type="http://schemas.openxmlformats.org/officeDocument/2006/relationships/hyperlink" Target="https://patado.edu.vn/khoa-giao-tiep-unitedstates/?utm_source=Facebook&amp;utm_medium=MES&amp;utm_term=NEW_UnitedStates_1850_none_110526&amp;utm_content=saletructiep_UnitedStates.M658.1850.giaotiep_THCNGDP_LD276&amp;utm_campaign=UnitedStates.giaotiep.M658_LHV.9822_MES_SangBD_110526" TargetMode="External"/><Relationship Id="rId261" Type="http://schemas.openxmlformats.org/officeDocument/2006/relationships/hyperlink" Target="https://patado.edu.vn/khoa-giao-tiep-unitedstates/" TargetMode="External"/><Relationship Id="rId268" Type="http://schemas.openxmlformats.org/officeDocument/2006/relationships/hyperlink" Target="https://patado.edu.vn/khoa-tieng-anh-giao-tiep-chau-au/?utm_source=Facebook&amp;utm_medium=CVS&amp;utm_term=NEW_Europe_1840_none_110526&amp;utm_content=saletructiep_Europe.M655.1840.giaotiep_THCNGDP_LD275&amp;utm_campaign=Europe.giaotiep.M655_LHV.9822_CVS_SangBD_110526" TargetMode="External"/><Relationship Id="rId267" Type="http://schemas.openxmlformats.org/officeDocument/2006/relationships/hyperlink" Target="https://patado.edu.vn/khoa-tieng-anh-giao-tiep-chau-au" TargetMode="External"/><Relationship Id="rId266" Type="http://schemas.openxmlformats.org/officeDocument/2006/relationships/hyperlink" Target="https://tinyurl.com/japan-giao-tiep-M660" TargetMode="External"/><Relationship Id="rId265" Type="http://schemas.openxmlformats.org/officeDocument/2006/relationships/hyperlink" Target="https://patado.edu.vn/khoa-tieng-anh-giao-tiep-o-nhat-ban/?utm_source=Facebook&amp;utm_medium=CVS&amp;utm_term=NEW_Japan_1840_none_110526&amp;utm_content=saletructiep_Japan.M658.1840.giaotiep_THCNGDP_LD264&amp;utm_campaign=Japan.giaotiep.M658X660_LHV.9822_CVS_SangBD_110526" TargetMode="External"/><Relationship Id="rId260" Type="http://schemas.openxmlformats.org/officeDocument/2006/relationships/hyperlink" Target="https://patado.edu.vn/khoa-tieng-anh-giao-tiep-o-nhat-ban/?utm_source=Facebook&amp;utm_medium=CVS&amp;utm_term=NEW_Japan_1840_none_080526&amp;utm_content=saletructiep_Japan.M600.1840.giaotiep_THCNGDP_LD264&amp;utm_campaign=Japan.giaotiep.M600_LHV.9822_CVS_SangBD_080526" TargetMode="External"/><Relationship Id="rId259" Type="http://schemas.openxmlformats.org/officeDocument/2006/relationships/hyperlink" Target="https://patado.edu.vn/khoa-tieng-anh-giao-tiep-o-nhat-ban" TargetMode="External"/><Relationship Id="rId258" Type="http://schemas.openxmlformats.org/officeDocument/2006/relationships/hyperlink" Target="https://tinyurl.com/Japan-M657" TargetMode="External"/><Relationship Id="rId253" Type="http://schemas.openxmlformats.org/officeDocument/2006/relationships/hyperlink" Target="https://patado.edu.vn/khoa-giao-tiep-unitedstates/" TargetMode="External"/><Relationship Id="rId252" Type="http://schemas.openxmlformats.org/officeDocument/2006/relationships/hyperlink" Target="https://tinyurl.com/ALL-M658" TargetMode="External"/><Relationship Id="rId251" Type="http://schemas.openxmlformats.org/officeDocument/2006/relationships/hyperlink" Target="https://patado.edu.vn/khoa-giao-tiep-tieng-anh-online-all/?utm_source=Facebook&amp;utm_medium=MES&amp;utm_term=NEW_ALL_1845_none_060526&amp;utm_content=saletructiep_ALL.giaotiep.M658.1845.giaotiep_THCNGDP_LD263&amp;utm_campaign=ALL.giaotiep.M658_LHV.9822_MES_SangBD_060526" TargetMode="External"/><Relationship Id="rId250" Type="http://schemas.openxmlformats.org/officeDocument/2006/relationships/hyperlink" Target="https://patado.edu.vn/khoa-giao-tiep-tieng-anh-online-all" TargetMode="External"/><Relationship Id="rId257" Type="http://schemas.openxmlformats.org/officeDocument/2006/relationships/hyperlink" Target="https://patado.edu.vn/khoa-tieng-anh-giao-tiep-o-nhat-ban/?utm_source=Facebook&amp;utm_medium=CVS&amp;utm_term=NEW_Japan_1840_none_080526&amp;utm_content=saletructiep_Japan.M657.1850.giaotiep_THCNGDP_LD264&amp;utm_campaign=Japan.giaotiep.M657xM658_LHV.9822_CVS_SangBD_080526" TargetMode="External"/><Relationship Id="rId256" Type="http://schemas.openxmlformats.org/officeDocument/2006/relationships/hyperlink" Target="https://patado.edu.vn/khoa-tieng-anh-giao-tiep-o-nhat-ban" TargetMode="External"/><Relationship Id="rId255" Type="http://schemas.openxmlformats.org/officeDocument/2006/relationships/hyperlink" Target="https://tinyurl.com/US-M634" TargetMode="External"/><Relationship Id="rId254" Type="http://schemas.openxmlformats.org/officeDocument/2006/relationships/hyperlink" Target="https://patado.edu.vn/khoa-giao-tiep-unitedstates/?utm_source=Facebook&amp;utm_medium=MES&amp;utm_term=NEW_UnitedStates_1850_none_070526&amp;utm_content=saletructiep_UnitedStates.M634.1850.giaotiep_THCNGDP_LD276&amp;utm_campaign=UnitedStates.giaotiep.M634_LHV.9822_MES_SangBD_070526" TargetMode="External"/><Relationship Id="rId293" Type="http://schemas.openxmlformats.org/officeDocument/2006/relationships/hyperlink" Target="https://tinyurl.com/EU-giao-tiep-M677" TargetMode="External"/><Relationship Id="rId292" Type="http://schemas.openxmlformats.org/officeDocument/2006/relationships/hyperlink" Target="https://patado.edu.vn/khoa-tieng-anh-giao-tiep-chau-au/?utm_source=Facebook&amp;utm_medium=CVS&amp;utm_term=NEW_Europe_1845_none_200526&amp;utm_content=saletructiep_Europe.M677.1845.giaotiep_THCNGDP_LD275&amp;utm_campaign=Europe.giaotiep.M677_LHV.9822_CVS_SangBD_200526" TargetMode="External"/><Relationship Id="rId291" Type="http://schemas.openxmlformats.org/officeDocument/2006/relationships/hyperlink" Target="https://patado.edu.vn/khoa-tieng-anh-giao-tiep-chau-au" TargetMode="External"/><Relationship Id="rId290" Type="http://schemas.openxmlformats.org/officeDocument/2006/relationships/hyperlink" Target="https://tinyurl.com/EU-giao-tiep-M676" TargetMode="External"/><Relationship Id="rId286" Type="http://schemas.openxmlformats.org/officeDocument/2006/relationships/hyperlink" Target="https://patado.edu.vn/khoa-tieng-anh-giao-tiep-o-nhat-ban/?utm_source=Facebook&amp;utm_medium=CVS&amp;utm_term=NEW_Japan_1840_none_150526&amp;utm_content=saletructiep_Japan.M679.1840.giaotiep_THCNGDP_LD264&amp;utm_campaign=Japan.giaotiep.M679_LHV.9822_CVS_SangBD_150526" TargetMode="External"/><Relationship Id="rId285" Type="http://schemas.openxmlformats.org/officeDocument/2006/relationships/hyperlink" Target="https://patado.edu.vn/khoa-tieng-anh-giao-tiep-o-nhat-ban" TargetMode="External"/><Relationship Id="rId284" Type="http://schemas.openxmlformats.org/officeDocument/2006/relationships/hyperlink" Target="https://tinyurl.com/UnitedStates-M662" TargetMode="External"/><Relationship Id="rId283" Type="http://schemas.openxmlformats.org/officeDocument/2006/relationships/hyperlink" Target="https://patado.edu.vn/khoa-giao-tiep-unitedstates/?utm_source=Facebook&amp;utm_medium=MES&amp;utm_term=NEW_UnitedStates_2550_none_150526&amp;utm_content=saletructiep_UnitedStates.M662.2550.giaotiep_THCNGDP_LD276&amp;utm_campaign=UnitedStates.giaotiep.M662_LHV.9822_MES_SangBD_150526" TargetMode="External"/><Relationship Id="rId289" Type="http://schemas.openxmlformats.org/officeDocument/2006/relationships/hyperlink" Target="https://patado.edu.vn/khoa-tieng-anh-giao-tiep-chau-au/?utm_source=Facebook&amp;utm_medium=CVS&amp;utm_term=NEW_Europe_1845_none_150526&amp;utm_content=saletructiep_Europe.M676.1845.giaotiep_THCNGDP_LD275&amp;utm_campaign=Europe.giaotiep.M676_LHV.9822_CVS_SangBD_150526" TargetMode="External"/><Relationship Id="rId288" Type="http://schemas.openxmlformats.org/officeDocument/2006/relationships/hyperlink" Target="https://patado.edu.vn/khoa-tieng-anh-giao-tiep-chau-au" TargetMode="External"/><Relationship Id="rId287" Type="http://schemas.openxmlformats.org/officeDocument/2006/relationships/hyperlink" Target="https://tinyurl.com/japan-giao-tiep-M679" TargetMode="External"/><Relationship Id="rId282" Type="http://schemas.openxmlformats.org/officeDocument/2006/relationships/hyperlink" Target="https://patado.edu.vn/khoa-giao-tiep-unitedstates/" TargetMode="External"/><Relationship Id="rId281" Type="http://schemas.openxmlformats.org/officeDocument/2006/relationships/hyperlink" Target="https://tinyurl.com/ALL-M578" TargetMode="External"/><Relationship Id="rId280" Type="http://schemas.openxmlformats.org/officeDocument/2006/relationships/hyperlink" Target="https://patado.edu.vn/khoa-giao-tiep-tieng-anh-online-all/?utm_source=Facebook&amp;utm_medium=MES&amp;utm_term=NEW_ALL_1845_none_130526&amp;utm_content=saletructiep_ALL.giaotiep.M578.1845.giaotiep_THCNGDP_LD263&amp;utm_campaign=ALL.giaotiep.M578_LHV.9822_MES_SangBD_130526" TargetMode="External"/><Relationship Id="rId275" Type="http://schemas.openxmlformats.org/officeDocument/2006/relationships/hyperlink" Target="https://tinyurl.com/japan-M643" TargetMode="External"/><Relationship Id="rId274" Type="http://schemas.openxmlformats.org/officeDocument/2006/relationships/hyperlink" Target="https://patado.edu.vn/khoa-tieng-anh-giao-tiep-o-nhat-ban/?utm_source=Facebook&amp;utm_medium=CVS&amp;utm_term=NEW_Japan_1840_none_130526&amp;utm_content=saletructiep_Japan.M643.1840.giaotiep_THCNGDP_LD264&amp;utm_campaign=Japan.giaotiep.M600X643_LHV.9822_CVS_SangBD_130526" TargetMode="External"/><Relationship Id="rId273" Type="http://schemas.openxmlformats.org/officeDocument/2006/relationships/hyperlink" Target="https://patado.edu.vn/khoa-tieng-anh-giao-tiep-o-nhat-ban" TargetMode="External"/><Relationship Id="rId272" Type="http://schemas.openxmlformats.org/officeDocument/2006/relationships/hyperlink" Target="https://tinyurl.com/US-giao-tiep-M578" TargetMode="External"/><Relationship Id="rId279" Type="http://schemas.openxmlformats.org/officeDocument/2006/relationships/hyperlink" Target="https://patado.edu.vn/khoa-giao-tiep-tieng-anh-online-all" TargetMode="External"/><Relationship Id="rId278" Type="http://schemas.openxmlformats.org/officeDocument/2006/relationships/hyperlink" Target="https://tinyurl.com/japna-giao-tiep-M652" TargetMode="External"/><Relationship Id="rId277" Type="http://schemas.openxmlformats.org/officeDocument/2006/relationships/hyperlink" Target="https://patado.edu.vn/khoa-tieng-anh-giao-tiep-o-nhat-ban/?utm_source=Facebook&amp;utm_medium=CVS&amp;utm_term=NEW_Japan_1840_none_130526&amp;utm_content=saletructiep_Japan.M652.1840.giaotiep_THCNGDP_LD264&amp;utm_campaign=Japan.giaotiep.M652_LHV.9822_CVS_SangBD_130526" TargetMode="External"/><Relationship Id="rId276" Type="http://schemas.openxmlformats.org/officeDocument/2006/relationships/hyperlink" Target="https://patado.edu.vn/khoa-tieng-anh-giao-tiep-o-nhat-ban" TargetMode="External"/><Relationship Id="rId228" Type="http://schemas.openxmlformats.org/officeDocument/2006/relationships/hyperlink" Target="https://patado.edu.vn/khoa-giao-tiep-unitedstates/" TargetMode="External"/><Relationship Id="rId227" Type="http://schemas.openxmlformats.org/officeDocument/2006/relationships/hyperlink" Target="https://tinyurl.com/ytfjpumc" TargetMode="External"/><Relationship Id="rId226" Type="http://schemas.openxmlformats.org/officeDocument/2006/relationships/hyperlink" Target="https://patado.edu.vn/khoa-tieng-anh-giao-tiep-chau-au/?utm_source=Facebook&amp;utm_medium=CVS&amp;utm_term=NEW_Europe_1850_none_230426&amp;utm_content=saletructiep_Europe.M578.1850.giaotiep_THCNGDP_LD275&amp;utm_campaign=Europe.giaotiep.M578_LHV.9822_CVS_SangBD_230426" TargetMode="External"/><Relationship Id="rId225" Type="http://schemas.openxmlformats.org/officeDocument/2006/relationships/hyperlink" Target="https://patado.edu.vn/khoa-tieng-anh-giao-tiep-chau-au" TargetMode="External"/><Relationship Id="rId229" Type="http://schemas.openxmlformats.org/officeDocument/2006/relationships/hyperlink" Target="https://patado.edu.vn/khoa-giao-tiep-unitedstates/?utm_source=Facebook&amp;utm_medium=MES&amp;utm_term=NEW_UnitedStates_1850_none_250426&amp;utm_content=saletructiep_UnitedStates.M645.1850.giaotiep_THCNGDP_LD276&amp;utm_campaign=UnitedStates.giaotiep.M645_LHV.9822_MES_SangBD_250426" TargetMode="External"/><Relationship Id="rId220" Type="http://schemas.openxmlformats.org/officeDocument/2006/relationships/hyperlink" Target="https://patado.edu.vn/khoa-tieng-anh-giao-tiep-o-nhat-ban/?utm_source=Facebook&amp;utm_medium=CVS&amp;utm_term=NEW_Japan_1850_none_220426&amp;utm_content=saletructiep_Japan.M527.1850.giaotiep_THCNGDP_LD264&amp;utm_campaign=Japan.giaotiep.M527_LHV.9822_MES_SangBD_220426" TargetMode="External"/><Relationship Id="rId224" Type="http://schemas.openxmlformats.org/officeDocument/2006/relationships/hyperlink" Target="https://tinyurl.com/giao-tiep-M608" TargetMode="External"/><Relationship Id="rId223" Type="http://schemas.openxmlformats.org/officeDocument/2006/relationships/hyperlink" Target="https://patado.edu.vn/khoa-giao-tiep-tieng-anh-online-all/?utm_source=Facebook&amp;utm_medium=MES&amp;utm_term=NEW_ALL_1850_none_220426&amp;utm_content=saletructiep_ALL.giaotiep.M608.1850.giaotiep_THCNGDP_LD263&amp;utm_campaign=ALL.giaotiep.M608_LHV.9822_MES_SangBD_220426" TargetMode="External"/><Relationship Id="rId222" Type="http://schemas.openxmlformats.org/officeDocument/2006/relationships/hyperlink" Target="https://patado.edu.vn/khoa-giao-tiep-tieng-anh-online-all" TargetMode="External"/><Relationship Id="rId221" Type="http://schemas.openxmlformats.org/officeDocument/2006/relationships/hyperlink" Target="https://tinyurl.com/Jenny-Huynh" TargetMode="External"/><Relationship Id="rId217" Type="http://schemas.openxmlformats.org/officeDocument/2006/relationships/hyperlink" Target="https://patado.edu.vn/khoa-giao-tiep-unitedstates/?utm_source=Facebook&amp;utm_medium=MES&amp;utm_term=NEW_UnitedStates_1850_none_200426&amp;utm_content=saletructiep_UnitedStates.M479.1850.giaotiep_THCNGDP_LD276&amp;utm_campaign=UnitedStates.giaotiep.M479_LHV.9822_MES_SangBD_200426" TargetMode="External"/><Relationship Id="rId216" Type="http://schemas.openxmlformats.org/officeDocument/2006/relationships/hyperlink" Target="https://patado.edu.vn/khoa-giao-tiep-unitedstates/" TargetMode="External"/><Relationship Id="rId215" Type="http://schemas.openxmlformats.org/officeDocument/2006/relationships/hyperlink" Target="https://tinyurl.com/EUM601" TargetMode="External"/><Relationship Id="rId214" Type="http://schemas.openxmlformats.org/officeDocument/2006/relationships/hyperlink" Target="https://patado.edu.vn/khoa-tieng-anh-giao-tiep-chau-au/?utm_source=Facebook&amp;utm_medium=CVS&amp;utm_term=NEW_Europe_1850_none_200426&amp;utm_content=saletructiep_Europe.M601.1850.giaotiep_THCNGDP_LD275&amp;utm_campaign=Europe.giaotiep.M601xanhnote_LHV.9822_CVS_SangBD_200426" TargetMode="External"/><Relationship Id="rId219" Type="http://schemas.openxmlformats.org/officeDocument/2006/relationships/hyperlink" Target="https://patado.edu.vn/khoa-tieng-anh-giao-tiep-o-nhat-ban" TargetMode="External"/><Relationship Id="rId218" Type="http://schemas.openxmlformats.org/officeDocument/2006/relationships/hyperlink" Target="https://tinyurl.com/UniM479" TargetMode="External"/><Relationship Id="rId213" Type="http://schemas.openxmlformats.org/officeDocument/2006/relationships/hyperlink" Target="https://patado.edu.vn/khoa-tieng-anh-giao-tiep-chau-au" TargetMode="External"/><Relationship Id="rId212" Type="http://schemas.openxmlformats.org/officeDocument/2006/relationships/hyperlink" Target="https://patado.edu.vn/khoa-giao-tiep-tieng-anh-online-all/?utm_source=Facebook&amp;utm_medium=MES&amp;utm_term=NEW_ALL_1850_none_200426&amp;utm_content=saletructiep_ALL.giaotiep.M624.1850.giaotiep_THCNGDP_LD263&amp;utm_campaign=ALL.giaotiep.M264_LHV.9822_MES_SangBD_200426" TargetMode="External"/><Relationship Id="rId211" Type="http://schemas.openxmlformats.org/officeDocument/2006/relationships/hyperlink" Target="https://patado.edu.vn/khoa-giao-tiep-tieng-anh-online-all" TargetMode="External"/><Relationship Id="rId210" Type="http://schemas.openxmlformats.org/officeDocument/2006/relationships/hyperlink" Target="https://tinyurl.com/UEM629" TargetMode="External"/><Relationship Id="rId249" Type="http://schemas.openxmlformats.org/officeDocument/2006/relationships/hyperlink" Target="https://tinyurl.com/EU-M658" TargetMode="External"/><Relationship Id="rId248" Type="http://schemas.openxmlformats.org/officeDocument/2006/relationships/hyperlink" Target="https://patado.edu.vn/khoa-tieng-anh-giao-tiep-chau-au/?utm_source=Facebook&amp;utm_medium=CVS&amp;utm_term=NEW_Europe_1840_none_060526&amp;utm_content=saletructiep_Europe.M658.1840.giaotiep_THCNGDP_LD275&amp;utm_campaign=Europe.giaotiep.M658_LHV.9822_CVS_SangBD_060526" TargetMode="External"/><Relationship Id="rId247" Type="http://schemas.openxmlformats.org/officeDocument/2006/relationships/hyperlink" Target="https://patado.edu.vn/khoa-tieng-anh-giao-tiep-chau-au" TargetMode="External"/><Relationship Id="rId242" Type="http://schemas.openxmlformats.org/officeDocument/2006/relationships/hyperlink" Target="https://patado.edu.vn/khoa-tieng-anh-giao-tiep-o-nhat-ban" TargetMode="External"/><Relationship Id="rId241" Type="http://schemas.openxmlformats.org/officeDocument/2006/relationships/hyperlink" Target="https://tinyurl.com/EU-M631" TargetMode="External"/><Relationship Id="rId240" Type="http://schemas.openxmlformats.org/officeDocument/2006/relationships/hyperlink" Target="https://patado.edu.vn/khoa-tieng-anh-giao-tiep-chau-au/?utm_source=Facebook&amp;utm_medium=CVS&amp;utm_term=NEW_Europe_1850_none_040526&amp;utm_content=saletructiep_Europe.M631.1850.giaotiep_THCNGDP_LD275&amp;utm_campaign=Europe.giaotiep.M631xanhnote_LHV.9822_CVS_SangBD_040526" TargetMode="External"/><Relationship Id="rId246" Type="http://schemas.openxmlformats.org/officeDocument/2006/relationships/hyperlink" Target="https://patado.edu.vn/khoa-giao-tiep-unitedstates/?utm_source=Facebook&amp;utm_medium=MES&amp;utm_term=NEW_UnitedStates_1850_none_040526&amp;utm_content=saletructiep_UnitedStates.M479.1850.giaotiep_THCNGDP_LD276&amp;utm_campaign=UnitedStates.giaotiep.M479_LHV.9822_MES_SangBD_040526" TargetMode="External"/><Relationship Id="rId245" Type="http://schemas.openxmlformats.org/officeDocument/2006/relationships/hyperlink" Target="https://patado.edu.vn/khoa-giao-tiep-unitedstates/" TargetMode="External"/><Relationship Id="rId244" Type="http://schemas.openxmlformats.org/officeDocument/2006/relationships/hyperlink" Target="https://tinyurl.com/japan-M631" TargetMode="External"/><Relationship Id="rId243" Type="http://schemas.openxmlformats.org/officeDocument/2006/relationships/hyperlink" Target="https://patado.edu.vn/khoa-tieng-anh-giao-tiep-o-nhat-ban/?utm_source=Facebook&amp;utm_medium=CVS&amp;utm_term=NEW_Japan_1845_none_040526&amp;utm_content=saletructiep_Japan.M643.1845.giaotiep_THCNGDP_LD264&amp;utm_campaign=Japan.giaotiep.M643_LHV.9822_CVS_SangBD_040526" TargetMode="External"/><Relationship Id="rId239" Type="http://schemas.openxmlformats.org/officeDocument/2006/relationships/hyperlink" Target="https://patado.edu.vn/khoa-tieng-anh-giao-tiep-chau-au" TargetMode="External"/><Relationship Id="rId238" Type="http://schemas.openxmlformats.org/officeDocument/2006/relationships/hyperlink" Target="https://tinyurl.com/2k2zx3h8" TargetMode="External"/><Relationship Id="rId237" Type="http://schemas.openxmlformats.org/officeDocument/2006/relationships/hyperlink" Target="https://patado.edu.vn/khoa-tieng-anh-giao-tiep-o-nhat-ban/?utm_source=Facebook&amp;utm_medium=CVS&amp;utm_term=NEW_Japan_1845_none_040526&amp;utm_content=saletructiep_Japan.M600.1845.giaotiep_THCNGDP_LD264&amp;utm_campaign=Japan.giaotiep.M645xM600_LHV.9822_CVS_SangBD_040526" TargetMode="External"/><Relationship Id="rId236" Type="http://schemas.openxmlformats.org/officeDocument/2006/relationships/hyperlink" Target="https://patado.edu.vn/khoa-tieng-anh-giao-tiep-o-nhat-ban" TargetMode="External"/><Relationship Id="rId231" Type="http://schemas.openxmlformats.org/officeDocument/2006/relationships/hyperlink" Target="https://patado.edu.vn/khoa-tieng-anh-giao-tiep-o-nhat-ban/?utm_source=Facebook&amp;utm_medium=CVS&amp;utm_term=NEW_Japan_1850_none_280426&amp;utm_content=saletructiep_Japan.M658.1850.giaotiep_THCNGDP_LD264&amp;utm_campaign=Japan.giaotiep.M658xM600_LHV.9822_MES_SangBD_280426" TargetMode="External"/><Relationship Id="rId230" Type="http://schemas.openxmlformats.org/officeDocument/2006/relationships/hyperlink" Target="https://patado.edu.vn/khoa-tieng-anh-giao-tiep-o-nhat-ban" TargetMode="External"/><Relationship Id="rId235" Type="http://schemas.openxmlformats.org/officeDocument/2006/relationships/hyperlink" Target="https://tinyurl.com/EU-M669" TargetMode="External"/><Relationship Id="rId234" Type="http://schemas.openxmlformats.org/officeDocument/2006/relationships/hyperlink" Target="https://patado.edu.vn/khoa-tieng-anh-giao-tiep-chau-au/?utm_source=Facebook&amp;utm_medium=CVS&amp;utm_term=NEW_Europe_1850_none_290426&amp;utm_content=saletructiep_Europe.M669.1850.giaotiep_THCNGDP_LD275&amp;utm_campaign=Europe.giaotiep.M669xanhnote_LHV.9822_CVS_SangBD_290426" TargetMode="External"/><Relationship Id="rId233" Type="http://schemas.openxmlformats.org/officeDocument/2006/relationships/hyperlink" Target="https://patado.edu.vn/khoa-tieng-anh-giao-tiep-chau-au" TargetMode="External"/><Relationship Id="rId232" Type="http://schemas.openxmlformats.org/officeDocument/2006/relationships/hyperlink" Target="https://tinyurl.com/2556ku2p" TargetMode="External"/><Relationship Id="rId206" Type="http://schemas.openxmlformats.org/officeDocument/2006/relationships/hyperlink" Target="https://patado.edu.vn/khoa-giao-tiep-tieng-anh-online-all" TargetMode="External"/><Relationship Id="rId205" Type="http://schemas.openxmlformats.org/officeDocument/2006/relationships/hyperlink" Target="https://tinyurl.com/ALLM602" TargetMode="External"/><Relationship Id="rId204" Type="http://schemas.openxmlformats.org/officeDocument/2006/relationships/hyperlink" Target="https://patado.edu.vn/khoa-giao-tiep-tieng-anh-online-all/?utm_source=Facebook&amp;utm_medium=MES&amp;utm_term=NEW_ALL_1855_none_160426&amp;utm_content=saletructiep_ALL.giaotiep.M602.1855.giaotiep_THCNGDP_LD263&amp;utm_campaign=ALL.giaotiep.M602_LHV.9822_MES_SangBD_160426" TargetMode="External"/><Relationship Id="rId203" Type="http://schemas.openxmlformats.org/officeDocument/2006/relationships/hyperlink" Target="https://patado.edu.vn/khoa-giao-tiep-tieng-anh-online-all" TargetMode="External"/><Relationship Id="rId209" Type="http://schemas.openxmlformats.org/officeDocument/2006/relationships/hyperlink" Target="https://patado.edu.vn/khoa-tieng-anh-giao-tiep-chau-au/?utm_source=Facebook&amp;utm_medium=CVS&amp;utm_term=NEW_Europe_1855_none_180426&amp;utm_content=saletructiep_Europe.M629.1855.giaotiep_THCNGDP_LD275&amp;utm_campaign=Europe.giaotiep.M629xM631_LHV.9822_CVS_SangBD_180426" TargetMode="External"/><Relationship Id="rId208" Type="http://schemas.openxmlformats.org/officeDocument/2006/relationships/hyperlink" Target="https://patado.edu.vn/khoa-tieng-anh-giao-tiep-chau-au" TargetMode="External"/><Relationship Id="rId207" Type="http://schemas.openxmlformats.org/officeDocument/2006/relationships/hyperlink" Target="https://patado.edu.vn/khoa-giao-tiep-tieng-anh-online-all/?utm_source=Facebook&amp;utm_medium=MES&amp;utm_term=NEW_ALL_1855_none_170426&amp;utm_content=saletructiep_ALL.giaotiep.M645.1855.giaotiep_THCNGDP_LD263&amp;utm_campaign=ALL.giaotiep.M645_LHV.9822_MES_SangBD_170426" TargetMode="External"/><Relationship Id="rId202" Type="http://schemas.openxmlformats.org/officeDocument/2006/relationships/hyperlink" Target="https://tinyurl.com/UAM236" TargetMode="External"/><Relationship Id="rId201" Type="http://schemas.openxmlformats.org/officeDocument/2006/relationships/hyperlink" Target="https://patado.edu.vn/khoa-giao-tiep-unitedstates/?utm_source=Facebook&amp;utm_medium=MES&amp;utm_term=NEW_UnitedStates_1855_none_160426&amp;utm_content=saletructiep_UnitedStates.M236.1855.giaotiep_THCNGDP_LD276&amp;utm_campaign=UnitedStates.giaotiep.M236xM332_LHV.9822_MES_SangBD_160426" TargetMode="External"/><Relationship Id="rId200" Type="http://schemas.openxmlformats.org/officeDocument/2006/relationships/hyperlink" Target="https://patado.edu.vn/khoa-giao-tiep-unitedstates/" TargetMode="External"/><Relationship Id="rId409" Type="http://schemas.openxmlformats.org/officeDocument/2006/relationships/hyperlink" Target="https://tinyurl.com/tieng-anh-giao-tiep-M769" TargetMode="External"/><Relationship Id="rId404" Type="http://schemas.openxmlformats.org/officeDocument/2006/relationships/hyperlink" Target="https://patado.edu.vn/khoa-giao-tiep-tieng-anh-online-all/?utm_source=Facebook&amp;utm_medium=MES&amp;utm_term=NEW_UnitedStates_1845_none_270726&amp;utm_content=saletructiep_UnitedStates.M647.1845.giaotiep_THCNGDP_LD263&amp;utm_campaign=UnitedStates.giaotiep.M647_LHV.9822_CVS_SangBD_270726" TargetMode="External"/><Relationship Id="rId403" Type="http://schemas.openxmlformats.org/officeDocument/2006/relationships/hyperlink" Target="https://tinyurl.com/tieng-anh-patado-M711" TargetMode="External"/><Relationship Id="rId402" Type="http://schemas.openxmlformats.org/officeDocument/2006/relationships/hyperlink" Target="https://patado.edu.vn/tieng-anh-giao-tiep-eu-sbd-htt/?utm_source=Facebook&amp;utm_medium=CVS&amp;utm_term=NEW_Europe_1845_none_240726&amp;utm_content=saletructiep_Europe.M711.1845.giaotiep_THCNGDP_LD287&amp;utm_campaign=Europe.giaotiep.M711_LHV.9822_CVS_SangBD_240726" TargetMode="External"/><Relationship Id="rId401" Type="http://schemas.openxmlformats.org/officeDocument/2006/relationships/hyperlink" Target="https://patado.edu.vn/tieng-anh-giao-tiep-eu-sbd-htt/" TargetMode="External"/><Relationship Id="rId408" Type="http://schemas.openxmlformats.org/officeDocument/2006/relationships/hyperlink" Target="https://patado.edu.vn/khoa-giao-tiep-tieng-anh-online-all/?utm_source=Facebook&amp;utm_medium=MES&amp;utm_term=NEW_ALL_1845_none_040826&amp;utm_content=saletructiep_ALL.giaotiep.M769.1845.giaotiep_THCNGDP_LD263&amp;utm_campaign=ALL.giaotiep.M769_LHV.9822_MES_SangBD_040826" TargetMode="External"/><Relationship Id="rId407" Type="http://schemas.openxmlformats.org/officeDocument/2006/relationships/hyperlink" Target="https://patado.edu.vn/khoa-tieng-anh-giao-tiep-chau-au/?utm_source=Facebook&amp;utm_medium=CVS&amp;utm_term=NEW_Europe_1845_none_030826&amp;utm_content=saletructiep_Europe.M601.1850.giaotiep_THCNGDP_LD275&amp;utm_campaign=Europe.giaotiep.M601xanhnote_LHV.9822_CVS_SangBD_030826" TargetMode="External"/><Relationship Id="rId406" Type="http://schemas.openxmlformats.org/officeDocument/2006/relationships/hyperlink" Target="https://patado.edu.vn/khoa-giao-tiep-tieng-anh-online-all/?utm_source=Facebook&amp;utm_medium=MES&amp;utm_term=NEW_ALL_1845_none_030826&amp;utm_content=saletructiep_ALL.giaotiep.M624.1845.giaotiep_THCNGDP_LD263&amp;utm_campaign=ALL.giaotiep.M624_LHV.9822_CVS_SangBD_030826" TargetMode="External"/><Relationship Id="rId405" Type="http://schemas.openxmlformats.org/officeDocument/2006/relationships/hyperlink" Target="https://tinyurl.com/tieng-anh-giao-tiep-m647us" TargetMode="External"/><Relationship Id="rId400" Type="http://schemas.openxmlformats.org/officeDocument/2006/relationships/hyperlink" Target="https://patado.edu.vn/tieng-anh-giao-tiep-eu-sbd-htt/?utm_source=Facebook&amp;utm_medium=CVS&amp;utm_term=NEW_Europe_1845_none_230726&amp;utm_content=saletructiep_Europe.anhnote.1845.giaotiep_THCNGDP_LD287&amp;utm_campaign=Europe.giaotiep.anhnote_LHV.9822_CVS_SangBD_230726" TargetMode="External"/><Relationship Id="rId469" Type="http://schemas.openxmlformats.org/officeDocument/2006/relationships/hyperlink" Target="https://patado.edu.vn/tieng-anh-giao-tiep-eu-sbd-htt/?utm_source=Facebook&amp;utm_medium=CVS&amp;utm_term=NEW_Europe_1845_none_191026&amp;utm_content=saletructiep_Europe.M774.1845.giaotiep_THCNGDP_LD287&amp;utm_campaign=Europe.giaotiep.M774_LHV.9822_CVS_SangBD_191026" TargetMode="External"/><Relationship Id="rId468" Type="http://schemas.openxmlformats.org/officeDocument/2006/relationships/hyperlink" Target="https://patado.edu.vn/tieng-anh-giao-tiep-eu-sbd-htt/" TargetMode="External"/><Relationship Id="rId467" Type="http://schemas.openxmlformats.org/officeDocument/2006/relationships/hyperlink" Target="https://patado.edu.vn/khoa-giao-tiep-tieng-anh-online-all/?utm_source=Facebook&amp;utm_medium=MES&amp;utm_term=NEW_ALL_1845_none_161026&amp;utm_content=saletructiep_ALL.giaotiep.M774.1845.giaotiep_THCNGDP_LD263&amp;utm_campaign=ALL.giaotiep.M774_LHV.9822_CVS_SangBD_161026" TargetMode="External"/><Relationship Id="rId462" Type="http://schemas.openxmlformats.org/officeDocument/2006/relationships/hyperlink" Target="https://patado.edu.vn/khoa-giao-tiep-tieng-anh-online-all/?utm_source=Facebook&amp;utm_medium=MES&amp;utm_term=NEW_ALL_2045_none_141026&amp;utm_content=saletructiep_ALL.giaotiep.M681.1845.giaotiep_THCNGDP_LD263&amp;utm_campaign=ALL.giaotiep.M681_LHV.9822_MES_SangBD_141026" TargetMode="External"/><Relationship Id="rId461" Type="http://schemas.openxmlformats.org/officeDocument/2006/relationships/hyperlink" Target="https://patado.edu.vn/khoa-giao-tiep-tieng-anh-online-all" TargetMode="External"/><Relationship Id="rId460" Type="http://schemas.openxmlformats.org/officeDocument/2006/relationships/hyperlink" Target="https://tinyurl.com/M774-tieng-anh-online" TargetMode="External"/><Relationship Id="rId466" Type="http://schemas.openxmlformats.org/officeDocument/2006/relationships/hyperlink" Target="https://patado.edu.vn/tieng-anh-giao-tiep-eu-sbd-htt/" TargetMode="External"/><Relationship Id="rId465" Type="http://schemas.openxmlformats.org/officeDocument/2006/relationships/hyperlink" Target="https://tinyurl.com/M774-tieng-anh-online-2" TargetMode="External"/><Relationship Id="rId464" Type="http://schemas.openxmlformats.org/officeDocument/2006/relationships/hyperlink" Target="https://patado.edu.vn/khoa-tieng-anh-giao-tiep-o-nhat-ban/?utm_source=Facebook&amp;utm_medium=CVS&amp;utm_term=NEW_Japan_1846_none_141026&amp;utm_content=saletructiep_Japan.M774.1845.giaotiep_THCNGDP_LD264&amp;utm_campaign=Japan.giaotiep.M774_LHV.9822_CVS_SangBD_141026" TargetMode="External"/><Relationship Id="rId463" Type="http://schemas.openxmlformats.org/officeDocument/2006/relationships/hyperlink" Target="https://patado.edu.vn/khoa-tieng-anh-giao-tiep-o-nhat-ban" TargetMode="External"/><Relationship Id="rId459" Type="http://schemas.openxmlformats.org/officeDocument/2006/relationships/hyperlink" Target="https://patado.edu.vn/khoa-tieng-anh-giao-tiep-o-nhat-ban/?utm_source=Facebook&amp;utm_medium=CVS&amp;utm_term=NEW_Japan_1845_none_131026&amp;utm_content=saletructiep_Japan.M774.1845.giaotiep_THCNGDP_LD264&amp;utm_campaign=Japan.giaotiep.M774_LHV.9822_CVS_SangBD_131026" TargetMode="External"/><Relationship Id="rId458" Type="http://schemas.openxmlformats.org/officeDocument/2006/relationships/hyperlink" Target="https://patado.edu.vn/khoa-tieng-anh-giao-tiep-o-nhat-ban" TargetMode="External"/><Relationship Id="rId457" Type="http://schemas.openxmlformats.org/officeDocument/2006/relationships/hyperlink" Target="https://tinyurl.com/M742-tieng-anh-online" TargetMode="External"/><Relationship Id="rId456" Type="http://schemas.openxmlformats.org/officeDocument/2006/relationships/hyperlink" Target="https://patado.edu.vn/tieng-anh-giao-tiep-eu-sbd-htt/?utm_source=Facebook&amp;utm_medium=CVS&amp;utm_term=NEW_Europe_2045_none_121026&amp;utm_content=saletructiep_Europe.M742.2045.giaotiep_THCNGDP_LD287&amp;utm_campaign=Europe.giaotiep.M742_LHV.9822_CVS_SangBD_121026" TargetMode="External"/><Relationship Id="rId451" Type="http://schemas.openxmlformats.org/officeDocument/2006/relationships/hyperlink" Target="https://tinyurl.com/M734-tieng-anh-online" TargetMode="External"/><Relationship Id="rId450" Type="http://schemas.openxmlformats.org/officeDocument/2006/relationships/hyperlink" Target="https://patado.edu.vn/khoa-tieng-anh-giao-tiep-chau-au/?utm_source=Facebook&amp;utm_medium=CVS&amp;utm_term=NEW_Europe_1845_none_071026&amp;utm_content=saletructiep_Europe.M734.1845.giaotiep_THCNGDP_LD275&amp;utm_campaign=Europe.giaotiep.M734_LHV.9822_CVS_SangBD_071026" TargetMode="External"/><Relationship Id="rId455" Type="http://schemas.openxmlformats.org/officeDocument/2006/relationships/hyperlink" Target="https://patado.edu.vn/tieng-anh-giao-tiep-eu-sbd-htt/" TargetMode="External"/><Relationship Id="rId454" Type="http://schemas.openxmlformats.org/officeDocument/2006/relationships/hyperlink" Target="https://tinyurl.com/M632-tieng-anh-online" TargetMode="External"/><Relationship Id="rId453" Type="http://schemas.openxmlformats.org/officeDocument/2006/relationships/hyperlink" Target="https://patado.edu.vn/khoa-tieng-anh-giao-tiep-chau-au/?utm_source=Facebook&amp;utm_medium=CVS&amp;utm_term=NEW_Europe_2045_none_081026&amp;utm_content=saletructiep_Europe.M632.2045.giaotiep_THCNGDP_LD275&amp;utm_campaign=Europe.giaotiep.M632_LHV.9822_CVS_SangBD_081026" TargetMode="External"/><Relationship Id="rId452" Type="http://schemas.openxmlformats.org/officeDocument/2006/relationships/hyperlink" Target="https://patado.edu.vn/khoa-tieng-anh-giao-tiep-chau-au" TargetMode="External"/><Relationship Id="rId473" Type="http://schemas.openxmlformats.org/officeDocument/2006/relationships/hyperlink" Target="https://tinyurl.com/M701-tieng-anh-online" TargetMode="External"/><Relationship Id="rId472" Type="http://schemas.openxmlformats.org/officeDocument/2006/relationships/hyperlink" Target="https://patado.edu.vn/khoa-giao-tiep-tieng-anh-online-all/?utm_source=Facebook&amp;utm_medium=MES&amp;utm_term=NEW_ALL_1840_none_211026&amp;utm_content=saletructiep_ALL.giaotiep.M701.1840.giaotiep_THCNGDP_LD263&amp;utm_campaign=ALL.giaotiep.M701_LHV.9822_MES_SangBD_211026" TargetMode="External"/><Relationship Id="rId471" Type="http://schemas.openxmlformats.org/officeDocument/2006/relationships/hyperlink" Target="https://patado.edu.vn/khoa-giao-tiep-tieng-anh-online-all" TargetMode="External"/><Relationship Id="rId470" Type="http://schemas.openxmlformats.org/officeDocument/2006/relationships/hyperlink" Target="https://tinyurl.com/774-tieng-anh-online" TargetMode="External"/><Relationship Id="rId474" Type="http://schemas.openxmlformats.org/officeDocument/2006/relationships/drawing" Target="../drawings/drawing8.xml"/><Relationship Id="rId426" Type="http://schemas.openxmlformats.org/officeDocument/2006/relationships/hyperlink" Target="https://patado.edu.vn/khoa-giao-tiep-tieng-anh-online-all" TargetMode="External"/><Relationship Id="rId425" Type="http://schemas.openxmlformats.org/officeDocument/2006/relationships/hyperlink" Target="https://patado.edu.vn/khoa-giao-tiep-tieng-anh-online-all/?utm_source=Facebook&amp;utm_medium=MES&amp;utm_term=NEW_ALL_1845_none_120826&amp;utm_content=saletructiep_ALL.giaotiep.M769.1845.giaotiep_THCNGDP_LD263&amp;utm_campaign=ALL.giaotiep.M769_LHV.9822_MES_SangBD_120826" TargetMode="External"/><Relationship Id="rId424" Type="http://schemas.openxmlformats.org/officeDocument/2006/relationships/hyperlink" Target="https://patado.edu.vn/khoa-giao-tiep-tieng-anh-online-all" TargetMode="External"/><Relationship Id="rId423" Type="http://schemas.openxmlformats.org/officeDocument/2006/relationships/hyperlink" Target="https://patado.edu.vn/khoa-giao-tiep-tieng-anh-online-all/?utm_source=Facebook&amp;utm_medium=MES&amp;utm_term=NEW_UnitedStates_1845_none_100826&amp;utm_content=saletructiep_UnitedStates.M647.1845.giaotiep_THCNGDP_LD263&amp;utm_campaign=UnitedStates.giaotiep.M647_LHV.9822_MES_SangBD_100826" TargetMode="External"/><Relationship Id="rId429" Type="http://schemas.openxmlformats.org/officeDocument/2006/relationships/hyperlink" Target="https://patado.edu.vn/khoa-giao-tiep-tieng-anh-online-all" TargetMode="External"/><Relationship Id="rId428" Type="http://schemas.openxmlformats.org/officeDocument/2006/relationships/hyperlink" Target="https://patado.edu.vn/khoa-giao-tiep-tieng-anh-online-all/?utm_source=Facebook&amp;utm_medium=MES&amp;utm_term=NEW_UnitedStates_1845_none_180826&amp;utm_content=saletructiep_UnitedStates.M647.1845.giaotiep_THCNGDP_LD263&amp;utm_campaign=UnitedStates.giaotiep.M647_LHV.9822_MES_SangBD_180826" TargetMode="External"/><Relationship Id="rId427" Type="http://schemas.openxmlformats.org/officeDocument/2006/relationships/hyperlink" Target="https://patado.edu.vn/khoa-giao-tiep-tieng-anh-online-all/?utm_source=Facebook&amp;utm_medium=MES&amp;utm_term=NEW_ALL_1845_none_140826&amp;utm_content=saletructiep_ALL.giaotiep.M686.1845.giaotiep_THCNGDP_LD263&amp;utm_campaign=ALL.giaotiep.M686_LHV.9822_MES_SangBD_140826" TargetMode="External"/><Relationship Id="rId422" Type="http://schemas.openxmlformats.org/officeDocument/2006/relationships/hyperlink" Target="https://patado.edu.vn/khoa-giao-tiep-tieng-anh-online-all/?utm_source=Facebook&amp;utm_medium=MES&amp;utm_term=NEW_UnitedStates_1845_none_070826&amp;utm_content=saletructiep_UnitedStates.M769.1845.giaotiep_THCNGDP_LD263&amp;utm_campaign=UnitedStates.giaotiep.M769_LHV.9822_MES_SangBD_070826" TargetMode="External"/><Relationship Id="rId421" Type="http://schemas.openxmlformats.org/officeDocument/2006/relationships/hyperlink" Target="https://patado.edu.vn/tieng-anh-giao-tiep-cho-nguoi-viet-tai-nhat-sbd-htt/?utm_source=Facebook&amp;utm_medium=CVS&amp;utm_term=NEW_Japan_1845_none_070826&amp;utm_content=saletructiep_Japan.M716.1845.giaotiep_THCNGDP_LD288&amp;utm_campaign=Japan.giaotiep.M716_LHV.9822_CVS_SangBD_070826" TargetMode="External"/><Relationship Id="rId420" Type="http://schemas.openxmlformats.org/officeDocument/2006/relationships/hyperlink" Target="https://patado.edu.vn/tieng-anh-giao-tiep-cho-nguoi-viet-tai-nhat-sbd-htt" TargetMode="External"/><Relationship Id="rId415" Type="http://schemas.openxmlformats.org/officeDocument/2006/relationships/hyperlink" Target="https://tinyurl.com/tieng-anh-patado-686" TargetMode="External"/><Relationship Id="rId414" Type="http://schemas.openxmlformats.org/officeDocument/2006/relationships/hyperlink" Target="https://patado.edu.vn/khoa-giao-tiep-tieng-anh-online-all/?utm_source=Facebook&amp;utm_medium=MES&amp;utm_term=NEW_ALL_1845_none_040826&amp;utm_content=saletructiep_ALL.giaotiep.M686.1845.giaotiep_THCNGDP_LD263&amp;utm_campaign=ALL.giaotiep.M686_LHV.9822_MES_SangBD_040826" TargetMode="External"/><Relationship Id="rId413" Type="http://schemas.openxmlformats.org/officeDocument/2006/relationships/hyperlink" Target="https://patado.edu.vn/khoa-giao-tiep-tieng-anh-online-all" TargetMode="External"/><Relationship Id="rId412" Type="http://schemas.openxmlformats.org/officeDocument/2006/relationships/hyperlink" Target="https://tinyurl.com/tieng-anh-giao-tiep-M681" TargetMode="External"/><Relationship Id="rId419" Type="http://schemas.openxmlformats.org/officeDocument/2006/relationships/hyperlink" Target="https://tinyurl.com/M681-tieng-anh-patado" TargetMode="External"/><Relationship Id="rId418" Type="http://schemas.openxmlformats.org/officeDocument/2006/relationships/hyperlink" Target="https://patado.edu.vn/khoa-tieng-anh-giao-tiep-chau-au/?utm_source=Facebook&amp;utm_medium=CVS&amp;utm_term=NEW_Europe_1845_none_060826&amp;utm_content=saletructiep_Europe.M681.1845.giaotiep_THCNGDP_LD275&amp;utm_campaign=Europe.giaotiep.M681_LHV.9822_CVS_SangBD_060826" TargetMode="External"/><Relationship Id="rId417" Type="http://schemas.openxmlformats.org/officeDocument/2006/relationships/hyperlink" Target="https://tinyurl.com/m769-tieng-anh-patado" TargetMode="External"/><Relationship Id="rId416" Type="http://schemas.openxmlformats.org/officeDocument/2006/relationships/hyperlink" Target="https://patado.edu.vn/khoa-tieng-anh-giao-tiep-chau-au/?utm_source=Facebook&amp;utm_medium=CVS&amp;utm_term=NEW_Europe_1845_none_060826&amp;utm_content=saletructiep_Europe.M769.1845.giaotiep_THCNGDP_LD275&amp;utm_campaign=Europe.giaotiep.M769_LHV.9822_CVS_SangBD_060826" TargetMode="External"/><Relationship Id="rId411" Type="http://schemas.openxmlformats.org/officeDocument/2006/relationships/hyperlink" Target="https://patado.edu.vn/khoa-giao-tiep-tieng-anh-online-all/?utm_source=Facebook&amp;utm_medium=MES&amp;utm_term=NEW_ALL_1845_none_040826&amp;utm_content=saletructiep_ALL.giaotiep.M681.1845.giaotiep_THCNGDP_LD263&amp;utm_campaign=ALL.giaotiep.M681_LHV.9822_MES_SangBD_040826" TargetMode="External"/><Relationship Id="rId410" Type="http://schemas.openxmlformats.org/officeDocument/2006/relationships/hyperlink" Target="https://patado.edu.vn/khoa-giao-tiep-tieng-anh-online-all" TargetMode="External"/><Relationship Id="rId448" Type="http://schemas.openxmlformats.org/officeDocument/2006/relationships/hyperlink" Target="https://patado.edu.vn/tieng-anh-giao-tiep-cho-nguoi-viet-tai-nhat-sbd-htt/?utm_source=Facebook&amp;utm_medium=CVS&amp;utm_term=NEW_Japan_1845_none_071026&amp;utm_content=saletructiep_Japan.M758.1845.giaotiep_THCNGDP_LD288&amp;utm_campaign=Japan.giaotiep.M758_LHV.9822_CVS_SangBD_071026" TargetMode="External"/><Relationship Id="rId447" Type="http://schemas.openxmlformats.org/officeDocument/2006/relationships/hyperlink" Target="https://patado.edu.vn/tieng-anh-giao-tiep-cho-nguoi-viet-tai-nhat-sbd-htt" TargetMode="External"/><Relationship Id="rId446" Type="http://schemas.openxmlformats.org/officeDocument/2006/relationships/hyperlink" Target="https://tinyurl.com/m758-tieng-anh-0nline" TargetMode="External"/><Relationship Id="rId445" Type="http://schemas.openxmlformats.org/officeDocument/2006/relationships/hyperlink" Target="https://patado.edu.vn/khoa-giao-tiep-tieng-anh-online-all/?utm_source=Facebook&amp;utm_medium=MES&amp;utm_term=NEW_ALL_1845_none_061026&amp;utm_content=saletructiep_ALL.giaotiep.M756.1845.giaotiep_THCNGDP_LD263&amp;utm_campaign=ALL.giaotiep.M756_LHV.9822_MES_SangBD_061026" TargetMode="External"/><Relationship Id="rId449" Type="http://schemas.openxmlformats.org/officeDocument/2006/relationships/hyperlink" Target="https://tinyurl.com/M758-tieng-anh-online" TargetMode="External"/><Relationship Id="rId440" Type="http://schemas.openxmlformats.org/officeDocument/2006/relationships/hyperlink" Target="https://patado.edu.vn/khoa-tieng-anh-giao-tiep-chau-au/?utm_source=Facebook&amp;utm_medium=CVS&amp;utm_term=NEW_Europe_2045_none_051026&amp;utm_content=saletructiep_Europe.M789.1845.giaotiep_THCNGDP_LD275&amp;utm_campaign=Europe.giaotiep.M789_LHV.9822_CVS_SangBD_051026" TargetMode="External"/><Relationship Id="rId444" Type="http://schemas.openxmlformats.org/officeDocument/2006/relationships/hyperlink" Target="https://patado.edu.vn/khoa-giao-tiep-tieng-anh-online-all" TargetMode="External"/><Relationship Id="rId443" Type="http://schemas.openxmlformats.org/officeDocument/2006/relationships/hyperlink" Target="https://tinyurl.com/tieng-anh-giao-tiep-m796" TargetMode="External"/><Relationship Id="rId442" Type="http://schemas.openxmlformats.org/officeDocument/2006/relationships/hyperlink" Target="https://patado.edu.vn/khoa-tieng-anh-giao-tiep-chau-au/?utm_source=Facebook&amp;utm_medium=CVS&amp;utm_term=NEW_Europe_2045_none_051026&amp;utm_content=saletructiep_Europe.M796.2045.giaotiep_THCNGDP_LD275&amp;utm_campaign=Europe.giaotiep.M796_LHV.9822_CVS_SangBD_051026" TargetMode="External"/><Relationship Id="rId441" Type="http://schemas.openxmlformats.org/officeDocument/2006/relationships/hyperlink" Target="https://tinyurl.com/tieng-anh-giao-tiep-M789" TargetMode="External"/><Relationship Id="rId437" Type="http://schemas.openxmlformats.org/officeDocument/2006/relationships/hyperlink" Target="https://patado.edu.vn/khoa-tieng-anh-giao-tiep-chau-au/?utm_source=Facebook&amp;utm_medium=CVS&amp;utm_term=NEW_Europe_1840_none_140926&amp;utm_content=saletructiep_Europe.M772.1845.giaotiep_THCNGDP_LD275&amp;utm_campaign=Europe.giaotiep.M772_LHV.9822_CVS_SangBD_140926" TargetMode="External"/><Relationship Id="rId436" Type="http://schemas.openxmlformats.org/officeDocument/2006/relationships/hyperlink" Target="https://patado.edu.vn/khoa-giao-tiep-tieng-anh-online-all/?utm_source=Facebook&amp;utm_medium=MES&amp;utm_term=NEW_ALL_1845_none_100926&amp;utm_content=saletructiep_ALL.giaotiep.M264.1845.giaotiep_THCNGDP_LD263&amp;utm_campaign=ALL.giaotiep.M264_LHV.9822_MES_SangBD_100926" TargetMode="External"/><Relationship Id="rId435" Type="http://schemas.openxmlformats.org/officeDocument/2006/relationships/hyperlink" Target="https://patado.edu.vn/khoa-giao-tiep-tieng-anh-online-all" TargetMode="External"/><Relationship Id="rId434" Type="http://schemas.openxmlformats.org/officeDocument/2006/relationships/hyperlink" Target="https://patado.edu.vn/tieng-anh-giao-tiep-cho-nguoi-viet-tai-nhat-sbd-htt/?utm_source=Facebook&amp;utm_medium=CVS&amp;utm_term=NEW_Japan_1845_none_070926&amp;utm_content=saletructiep_Japan.M736.1845.giaotiep_THCNGDP_LD288&amp;utm_campaign=Japan.giaotiep.M736_LHV.9822_CVS_SangBD_070926" TargetMode="External"/><Relationship Id="rId439" Type="http://schemas.openxmlformats.org/officeDocument/2006/relationships/hyperlink" Target="https://patado.edu.vn/khoa-tieng-anh-giao-tiep-chau-au/?utm_source=Facebook&amp;utm_medium=CVS&amp;utm_term=NEW_Europe_1845_none_180926&amp;utm_content=saletructiep_Europe.M600.1845.giaotiep_THCNGDP_LD275&amp;utm_campaign=Europe.giaotiep.M600_LHV.9822_CVS_SangBD_180926" TargetMode="External"/><Relationship Id="rId438" Type="http://schemas.openxmlformats.org/officeDocument/2006/relationships/hyperlink" Target="https://tinyurl.com/tieng-anh-giao-tiep-M772" TargetMode="External"/><Relationship Id="rId433" Type="http://schemas.openxmlformats.org/officeDocument/2006/relationships/hyperlink" Target="https://patado.edu.vn/tieng-anh-giao-tiep-cho-nguoi-viet-tai-nhat-sbd-htt" TargetMode="External"/><Relationship Id="rId432" Type="http://schemas.openxmlformats.org/officeDocument/2006/relationships/hyperlink" Target="https://patado.edu.vn/khoa-tieng-anh-giao-tiep-chau-au/?utm_source=Facebook&amp;utm_medium=CVS&amp;utm_term=NEW_Europe_1845_none_070926&amp;utm_content=saletructiep_Europe.M600.1845.giaotiep_THCNGDP_LD275&amp;utm_campaign=Europe.giaotiep.M600_LHV.9822_CVS_SangBD_070926" TargetMode="External"/><Relationship Id="rId431" Type="http://schemas.openxmlformats.org/officeDocument/2006/relationships/hyperlink" Target="https://patado.edu.vn/khoa-tieng-anh-giao-tiep-chau-au/?utm_source=Facebook&amp;utm_medium=CVS&amp;utm_term=NEW_Europe_1845_none_070926&amp;utm_content=saletructiep_Europe.anhnote.1845.giaotiep_THCNGDP_LD275&amp;utm_campaign=Europe.giaotiep.anhnote_LHV.9822_CVS_SangBD_070926" TargetMode="External"/><Relationship Id="rId430" Type="http://schemas.openxmlformats.org/officeDocument/2006/relationships/hyperlink" Target="https://patado.edu.vn/khoa-giao-tiep-tieng-anh-online-all/?utm_source=Facebook&amp;utm_medium=MES&amp;utm_term=NEW_ALL_1845_none_240826&amp;utm_content=saletructiep_ALL.giaotiep.M681.1845.giaotiep_THCNGDP_LD263&amp;utm_campaign=ALL.giaotiep.M681_LHV.9822_MES_SangBD_240826" TargetMode="External"/><Relationship Id="rId1" Type="http://schemas.openxmlformats.org/officeDocument/2006/relationships/hyperlink" Target="https://toandien.tienganh24h.net/khoahocgiaotiep/" TargetMode="External"/><Relationship Id="rId2" Type="http://schemas.openxmlformats.org/officeDocument/2006/relationships/hyperlink" Target="https://patadovietnam.edu.vn/tai-tai-lieu/" TargetMode="External"/><Relationship Id="rId3" Type="http://schemas.openxmlformats.org/officeDocument/2006/relationships/hyperlink" Target="https://patadovietnam.edu.vn/tienganhgiaotiep_hn/" TargetMode="External"/><Relationship Id="rId4" Type="http://schemas.openxmlformats.org/officeDocument/2006/relationships/hyperlink" Target="https://patadovietnam.edu.vn/tienganhgiaotiep_hn/?utm_source=Facebook&amp;utm_medium=MES&amp;utm_term=NEW_Vietnam_2040_none_110423&amp;utm_content=saletructiep_Vietnam.anhgiaotiep1.2040.giaotiep_PTATT_LD153&amp;utm_campaign=Vietnam.giaotiep.anhgiaotiep1_95360_MES_NamNH_110423" TargetMode="External"/><Relationship Id="rId9" Type="http://schemas.openxmlformats.org/officeDocument/2006/relationships/hyperlink" Target="https://patadovietnam.edu.vn/khoa-giao-tiep-unitedstates/" TargetMode="External"/><Relationship Id="rId5" Type="http://schemas.openxmlformats.org/officeDocument/2006/relationships/hyperlink" Target="http://ldp.to/vietnam_namnh" TargetMode="External"/><Relationship Id="rId6" Type="http://schemas.openxmlformats.org/officeDocument/2006/relationships/hyperlink" Target="https://patadovietnam.edu.vn/tienganhgiaotiep_hn/" TargetMode="External"/><Relationship Id="rId7" Type="http://schemas.openxmlformats.org/officeDocument/2006/relationships/hyperlink" Target="https://patadovietnam.edu.vn/tienganhgiaotiep_hn/?utm_source=Facebook&amp;utm_medium=MES&amp;utm_term=NEW_UnitedStates_2045_none_110423&amp;utm_content=saletructiep_UnitedStates.anhgiaotiep2.2045.giaotiep_PTATT_LD153&amp;utm_campaign=UnitedStates.giaotiep.anhgiaotiep2_95360_MES_NamNH_110423" TargetMode="External"/><Relationship Id="rId8" Type="http://schemas.openxmlformats.org/officeDocument/2006/relationships/hyperlink" Target="http://ldp.to/USA_Namnh" TargetMode="External"/><Relationship Id="rId190" Type="http://schemas.openxmlformats.org/officeDocument/2006/relationships/hyperlink" Target="https://tinyurl.com/JPM600-M614" TargetMode="External"/><Relationship Id="rId194" Type="http://schemas.openxmlformats.org/officeDocument/2006/relationships/hyperlink" Target="https://patado.edu.vn/khoa-tieng-anh-giao-tiep-chau-au" TargetMode="External"/><Relationship Id="rId193" Type="http://schemas.openxmlformats.org/officeDocument/2006/relationships/hyperlink" Target="https://tinyurl.com/JPM527" TargetMode="External"/><Relationship Id="rId192" Type="http://schemas.openxmlformats.org/officeDocument/2006/relationships/hyperlink" Target="https://patado.edu.vn/khoa-tieng-anh-giao-tiep-o-nhat-ban/?utm_source=Facebook&amp;utm_medium=CVS&amp;utm_term=NEW_Japan_1855_none_160426&amp;utm_content=saletructiep_Japan.M527.1855.giaotiep_THCNGDP_LD264&amp;utm_campaign=Japan.giaotiep.M527_LHV.9822_CVS_SangBD_160426" TargetMode="External"/><Relationship Id="rId191" Type="http://schemas.openxmlformats.org/officeDocument/2006/relationships/hyperlink" Target="https://patado.edu.vn/khoa-tieng-anh-giao-tiep-o-nhat-ban" TargetMode="External"/><Relationship Id="rId187" Type="http://schemas.openxmlformats.org/officeDocument/2006/relationships/hyperlink" Target="https://patado.edu.vn/khoa-tieng-anh-giao-tiep-chau-au/?utm_source=Facebook&amp;utm_medium=MES&amp;utm_term=NEW_Europe_1855_none_140426&amp;utm_content=saletructiep_Europe.M645.1855.giaotiep_THCNGDP_LD275&amp;utm_campaign=Europe.giaotiep.M645_LHV.9822_MES_SangBD_140426" TargetMode="External"/><Relationship Id="rId186" Type="http://schemas.openxmlformats.org/officeDocument/2006/relationships/hyperlink" Target="https://patado.edu.vn/khoa-tieng-anh-giao-tiep-chau-au" TargetMode="External"/><Relationship Id="rId185" Type="http://schemas.openxmlformats.org/officeDocument/2006/relationships/hyperlink" Target="https://tinyurl.com/UnM645" TargetMode="External"/><Relationship Id="rId184" Type="http://schemas.openxmlformats.org/officeDocument/2006/relationships/hyperlink" Target="https://patado.edu.vn/khoa-giao-tiep-unitedstates/?utm_source=Facebook&amp;utm_medium=CVS&amp;utm_term=NEW_UnitedStates_1855_none_140426&amp;utm_content=saletructiep_UnitedStates.M645.1855.giaotiep_THCNGDP_LD276&amp;utm_campaign=UnitedStates.giaotiep.M645_LHV.9822_CVS_SangBD_140426" TargetMode="External"/><Relationship Id="rId189" Type="http://schemas.openxmlformats.org/officeDocument/2006/relationships/hyperlink" Target="https://patado.edu.vn/khoa-tieng-anh-giao-tiep-o-nhat-ban/?utm_source=Facebook&amp;utm_medium=CVS&amp;utm_term=NEW_Japan_1855_none_160426&amp;utm_content=saletructiep_Japan.M600.1855.giaotiep_THCNGDP_LD264&amp;utm_campaign=Japan.giaotiep.M600xM614_LHV.9822_CVS_SangBD_160426" TargetMode="External"/><Relationship Id="rId188" Type="http://schemas.openxmlformats.org/officeDocument/2006/relationships/hyperlink" Target="https://patado.edu.vn/khoa-tieng-anh-giao-tiep-o-nhat-ban" TargetMode="External"/><Relationship Id="rId183" Type="http://schemas.openxmlformats.org/officeDocument/2006/relationships/hyperlink" Target="https://patado.edu.vn/khoa-giao-tiep-unitedstates/" TargetMode="External"/><Relationship Id="rId182" Type="http://schemas.openxmlformats.org/officeDocument/2006/relationships/hyperlink" Target="https://tinyurl.com/EUM645-CVS" TargetMode="External"/><Relationship Id="rId181" Type="http://schemas.openxmlformats.org/officeDocument/2006/relationships/hyperlink" Target="https://patado.edu.vn/khoa-tieng-anh-giao-tiep-chau-au/?utm_source=Facebook&amp;utm_medium=CVS&amp;utm_term=NEW_Europe_1855_none_140426&amp;utm_content=saletructiep_Europe.M645.1855.giaotiep_THCNGDP_LD275&amp;utm_campaign=Europe.giaotiep.M645_LHV.9822_CVS_SangBD_140426" TargetMode="External"/><Relationship Id="rId180" Type="http://schemas.openxmlformats.org/officeDocument/2006/relationships/hyperlink" Target="https://patado.edu.vn/khoa-tieng-anh-giao-tiep-chau-au" TargetMode="External"/><Relationship Id="rId176" Type="http://schemas.openxmlformats.org/officeDocument/2006/relationships/hyperlink" Target="https://patado.edu.vn/khoa-giao-tiep-tieng-anh-online-all" TargetMode="External"/><Relationship Id="rId175" Type="http://schemas.openxmlformats.org/officeDocument/2006/relationships/hyperlink" Target="https://patado.edu.vn/khoa-tieng-anh-giao-tiep-o-nhat-ban/?utm_source=Facebook&amp;utm_medium=MES&amp;utm_term=NEW_Japan_1855_none_130426&amp;utm_content=saletructiep_Japan.M645.1855.giaotiep_THCNGDP_LD264&amp;utm_campaign=Japan.giaotiep.M645_LHV.9822_MES_SangBD_130426" TargetMode="External"/><Relationship Id="rId174" Type="http://schemas.openxmlformats.org/officeDocument/2006/relationships/hyperlink" Target="https://patado.edu.vn/khoa-tieng-anh-giao-tiep-o-nhat-ban" TargetMode="External"/><Relationship Id="rId173" Type="http://schemas.openxmlformats.org/officeDocument/2006/relationships/hyperlink" Target="https://patado.edu.vn/khoa-giao-tiep-tieng-anh-online-all/?utm_source=Facebook&amp;utm_medium=MES&amp;utm_term=NEW_UnitedStates_1855_none_130426&amp;utm_content=saletructiep_UnitedStates.M264.1855.giaotiep_THCNGDP_LD263&amp;utm_campaign=UnitedStates.giaotiep.M264_LHV.9822_MES_SangBD_130426" TargetMode="External"/><Relationship Id="rId179" Type="http://schemas.openxmlformats.org/officeDocument/2006/relationships/hyperlink" Target="https://patado.edu.vn/khoa-giao-tiep-tieng-anh-online-all/?utm_source=Facebook&amp;utm_medium=MES&amp;utm_term=NEW_ALL_1855_none_130426&amp;utm_content=saletructiep_ALL.giaotiep.M645.1855.giaotiep_THCNGDP_LD263&amp;utm_campaign=ALL.giaotiep.M645_LHV.9822_MES_SangBD_130426" TargetMode="External"/><Relationship Id="rId178" Type="http://schemas.openxmlformats.org/officeDocument/2006/relationships/hyperlink" Target="https://patado.edu.vn/khoa-giao-tiep-tieng-anh-online-all" TargetMode="External"/><Relationship Id="rId177" Type="http://schemas.openxmlformats.org/officeDocument/2006/relationships/hyperlink" Target="https://patado.edu.vn/khoa-giao-tiep-tieng-anh-online-all/?utm_source=Facebook&amp;utm_medium=MES&amp;utm_term=NEW_UnitedStates_1855_none_130426&amp;utm_content=saletructiep_UnitedStates.M645.1855.giaotiep_THCNGDP_LD263&amp;utm_campaign=UnitedStates.giaotiep.M645_LHV.9822_MES_SangBD_130426" TargetMode="External"/><Relationship Id="rId198" Type="http://schemas.openxmlformats.org/officeDocument/2006/relationships/hyperlink" Target="https://patado.edu.vn/khoa-tieng-anh-giao-tiep-chau-au/?utm_source=Facebook&amp;utm_medium=CVS&amp;utm_term=NEW_Europe_1855_none_160426&amp;utm_content=saletructiep_Europe.HTKOC2.1855.giaotiep_THCNGDP_LD275&amp;utm_campaign=Europe.giaotiep.HTKOC2_LHV.9822_CVS_SangBD_160426" TargetMode="External"/><Relationship Id="rId197" Type="http://schemas.openxmlformats.org/officeDocument/2006/relationships/hyperlink" Target="https://patado.edu.vn/khoa-tieng-anh-giao-tiep-chau-au" TargetMode="External"/><Relationship Id="rId196" Type="http://schemas.openxmlformats.org/officeDocument/2006/relationships/hyperlink" Target="https://tinyurl.com/UEM105" TargetMode="External"/><Relationship Id="rId195" Type="http://schemas.openxmlformats.org/officeDocument/2006/relationships/hyperlink" Target="https://patado.edu.vn/khoa-tieng-anh-giao-tiep-chau-au/?utm_source=Facebook&amp;utm_medium=CVS&amp;utm_term=NEW_Europe_1855_none_160426&amp;utm_content=saletructiep_Europe.M105.1855.giaotiep_THCNGDP_LD275&amp;utm_campaign=Europe.giaotiep.M105xM269_LHV.9822_CVS_SangBD_160426" TargetMode="External"/><Relationship Id="rId199" Type="http://schemas.openxmlformats.org/officeDocument/2006/relationships/hyperlink" Target="https://tinyurl.com/EUHTKOC2" TargetMode="External"/><Relationship Id="rId150" Type="http://schemas.openxmlformats.org/officeDocument/2006/relationships/hyperlink" Target="https://patado.edu.vn/khoa-giao-tiep-tieng-anh-online-all/?utm_source=Facebook&amp;utm_medium=CVS&amp;utm_term=NEW_Europe_1855_none_090426&amp;utm_content=saletructiep_Europe.M479.1855.giaotiep_THCNGDP_LD263&amp;utm_campaign=Europe.giaotiep.M479_LHV.9822_CVS_SangBD_090426" TargetMode="External"/><Relationship Id="rId149" Type="http://schemas.openxmlformats.org/officeDocument/2006/relationships/hyperlink" Target="https://patado.edu.vn/khoa-giao-tiep-tieng-anh-online-all" TargetMode="External"/><Relationship Id="rId148" Type="http://schemas.openxmlformats.org/officeDocument/2006/relationships/hyperlink" Target="https://tinyurl.com/JPM645-CVS" TargetMode="External"/><Relationship Id="rId143" Type="http://schemas.openxmlformats.org/officeDocument/2006/relationships/hyperlink" Target="https://patadovietnam.edu.vn/khoa-giao-tiep-tieng-anh-online-all/" TargetMode="External"/><Relationship Id="rId142" Type="http://schemas.openxmlformats.org/officeDocument/2006/relationships/hyperlink" Target="https://tinyurl.com/CVS617-090426" TargetMode="External"/><Relationship Id="rId141" Type="http://schemas.openxmlformats.org/officeDocument/2006/relationships/hyperlink" Target="https://patado.edu.vn/khoa-giao-tiep-tieng-anh-online-all/?utm_source=Facebook&amp;utm_medium=CVS&amp;utm_term=NEW_UnitedStates_1855_none_090426&amp;utm_content=saletructiep_UnitedStates.M617.1855.giaotiep_THCNGDP_LD263&amp;utm_campaign=UnitedStates.giaotiep.M617_LHV.9822_CVS_SangBD_090426" TargetMode="External"/><Relationship Id="rId140" Type="http://schemas.openxmlformats.org/officeDocument/2006/relationships/hyperlink" Target="https://patado.edu.vn/khoa-giao-tiep-tieng-anh-online-all" TargetMode="External"/><Relationship Id="rId147" Type="http://schemas.openxmlformats.org/officeDocument/2006/relationships/hyperlink" Target="https://patado.edu.vn/khoa-tieng-anh-giao-tiep-o-nhat-ban/?utm_source=Facebook&amp;utm_medium=CVS&amp;utm_term=NEW_Japan_1855_none_090426&amp;utm_content=saletructiep_Japan.M645.1855.giaotiep_THCNGDP_LD264&amp;utm_campaign=Japan.giaotiep.M645_LHV.9822_CVS_SangBD_090426" TargetMode="External"/><Relationship Id="rId146" Type="http://schemas.openxmlformats.org/officeDocument/2006/relationships/hyperlink" Target="https://patadovietnam.edu.vn/khoa-giao-tiep-tieng-anh-online-all/" TargetMode="External"/><Relationship Id="rId145" Type="http://schemas.openxmlformats.org/officeDocument/2006/relationships/hyperlink" Target="https://tinyurl.com/JPM645-Mess" TargetMode="External"/><Relationship Id="rId144" Type="http://schemas.openxmlformats.org/officeDocument/2006/relationships/hyperlink" Target="https://patadovietnam.edu.vn/khoa-giao-tiep-tieng-anh-online-all/?utm_source=Facebook&amp;utm_medium=MES&amp;utm_term=NEW_Japan_1855_none_090426&amp;utm_content=saletructiep_Japan.M645.1850.giaotiep_THCNGDP_LD256&amp;utm_campaign=Japan.giaotiep.M645_LHV.9822_MES_SangBD_090426" TargetMode="External"/><Relationship Id="rId139" Type="http://schemas.openxmlformats.org/officeDocument/2006/relationships/hyperlink" Target="https://tinyurl.com/M264-090426" TargetMode="External"/><Relationship Id="rId138" Type="http://schemas.openxmlformats.org/officeDocument/2006/relationships/hyperlink" Target="https://patadovietnam.edu.vn/khoa-giao-tiep-tieng-anh-online-all/?utm_source=Facebook&amp;utm_medium=MES&amp;utm_term=NEW_ALL_1855_none_090426&amp;utm_content=saletructiep_ALL.giaotiep.M264.1855.giaotiep_THCNGDP_LD256&amp;utm_campaign=ALL.giaotiep.M264_LHV.9822_MES_SangBD_090426" TargetMode="External"/><Relationship Id="rId137" Type="http://schemas.openxmlformats.org/officeDocument/2006/relationships/hyperlink" Target="https://patadovietnam.edu.vn/khoa-giao-tiep-tieng-anh-online-all/" TargetMode="External"/><Relationship Id="rId132" Type="http://schemas.openxmlformats.org/officeDocument/2006/relationships/hyperlink" Target="https://patadovietnam.edu.vn/khoa-giao-tiep-tieng-anh-online-all/?utm_source=Facebook&amp;utm_medium=CVS&amp;utm_term=NEW_Europe_1855_none_070426&amp;utm_content=saletructiep_Europe.M479.1855.giaotiep_THCNGDP_LD256&amp;utm_campaign=Europe.giaotiep.M479_LHV.9822_CVS_SangBD_070426" TargetMode="External"/><Relationship Id="rId131" Type="http://schemas.openxmlformats.org/officeDocument/2006/relationships/hyperlink" Target="https://patadovietnam.edu.vn/khoa-giao-tiep-tieng-anh-online-all/" TargetMode="External"/><Relationship Id="rId130" Type="http://schemas.openxmlformats.org/officeDocument/2006/relationships/hyperlink" Target="https://tinyurl.com/M479-GTTA" TargetMode="External"/><Relationship Id="rId136" Type="http://schemas.openxmlformats.org/officeDocument/2006/relationships/hyperlink" Target="https://tinyurl.com/CVSM645JP-080426" TargetMode="External"/><Relationship Id="rId135" Type="http://schemas.openxmlformats.org/officeDocument/2006/relationships/hyperlink" Target="https://patadovietnam.edu.vn/khoa-giao-tiep-tieng-anh-online-all/?utm_source=Facebook&amp;utm_medium=CVS&amp;utm_term=NEW_Japan_1855_none_080426&amp;utm_content=saletructiep_Japan.M645.1850.giaotiep_THCNGDP_LD256&amp;utm_campaign=Japan.giaotiep.M645_LHV.9822_CVS_SangBD_080426" TargetMode="External"/><Relationship Id="rId134" Type="http://schemas.openxmlformats.org/officeDocument/2006/relationships/hyperlink" Target="https://patadovietnam.edu.vn/khoa-giao-tiep-tieng-anh-online-all/" TargetMode="External"/><Relationship Id="rId133" Type="http://schemas.openxmlformats.org/officeDocument/2006/relationships/hyperlink" Target="https://tinyurl.com/CVSM479-GTTA" TargetMode="External"/><Relationship Id="rId172" Type="http://schemas.openxmlformats.org/officeDocument/2006/relationships/hyperlink" Target="https://patado.edu.vn/khoa-giao-tiep-tieng-anh-online-all" TargetMode="External"/><Relationship Id="rId171" Type="http://schemas.openxmlformats.org/officeDocument/2006/relationships/hyperlink" Target="https://patado.edu.vn/khoa-tieng-anh-giao-tiep-o-nhat-ban/?utm_source=Facebook&amp;utm_medium=CVS&amp;utm_term=NEW_Japan_1855_none_130426&amp;utm_content=saletructiep_Japan.M645.1855.giaotiep_THCNGDP_LD264&amp;utm_campaign=Japan.giaotiep.M645_LHV.9822_CVS_SangBD_130426" TargetMode="External"/><Relationship Id="rId170" Type="http://schemas.openxmlformats.org/officeDocument/2006/relationships/hyperlink" Target="https://patado.edu.vn/khoa-tieng-anh-giao-tiep-o-nhat-ban" TargetMode="External"/><Relationship Id="rId165" Type="http://schemas.openxmlformats.org/officeDocument/2006/relationships/hyperlink" Target="https://patado.edu.vn/khoa-giao-tiep-tieng-anh-online-all/?utm_source=Facebook&amp;utm_medium=MES&amp;utm_term=NEW_Europe_1855_none_100426&amp;utm_content=saletructiep_Europe.M626.1855.giaotiep_THCNGDP_LD263&amp;utm_campaign=Europe.giaotiep.M626_LHV.9822_MES_SangBD_100426" TargetMode="External"/><Relationship Id="rId164" Type="http://schemas.openxmlformats.org/officeDocument/2006/relationships/hyperlink" Target="https://patado.edu.vn/khoa-giao-tiep-tieng-anh-online-all" TargetMode="External"/><Relationship Id="rId163" Type="http://schemas.openxmlformats.org/officeDocument/2006/relationships/hyperlink" Target="https://tinyurl.com/JPM500" TargetMode="External"/><Relationship Id="rId162" Type="http://schemas.openxmlformats.org/officeDocument/2006/relationships/hyperlink" Target="https://patado.edu.vn/khoa-tieng-anh-giao-tiep-o-nhat-ban/?utm_source=Facebook&amp;utm_medium=MES&amp;utm_term=NEW_Japan_1855_none_100426&amp;utm_content=saletructiep_Japan.M500.1855.giaotiep_THCNGDP_LD264&amp;utm_campaign=Japan.giaotiep.M500_LHV.9822_MES_SangBD_100426" TargetMode="External"/><Relationship Id="rId169" Type="http://schemas.openxmlformats.org/officeDocument/2006/relationships/hyperlink" Target="https://tinyurl.com/ALLM624" TargetMode="External"/><Relationship Id="rId168" Type="http://schemas.openxmlformats.org/officeDocument/2006/relationships/hyperlink" Target="https://patado.edu.vn/khoa-giao-tiep-tieng-anh-online-all/?utm_source=Facebook&amp;utm_medium=MES&amp;utm_term=NEW_ALL_1855_none_100426&amp;utm_content=saletructiep_ALL.giaotiep.M624.1855.giaotiep_THCNGDP_LD263&amp;utm_campaign=ALL.giaotiep.M624_LHV.9822_MES_SangBD_100426" TargetMode="External"/><Relationship Id="rId167" Type="http://schemas.openxmlformats.org/officeDocument/2006/relationships/hyperlink" Target="https://patado.edu.vn/khoa-giao-tiep-tieng-anh-online-all" TargetMode="External"/><Relationship Id="rId166" Type="http://schemas.openxmlformats.org/officeDocument/2006/relationships/hyperlink" Target="https://tinyurl.com/EUM626" TargetMode="External"/><Relationship Id="rId161" Type="http://schemas.openxmlformats.org/officeDocument/2006/relationships/hyperlink" Target="https://patado.edu.vn/khoa-tieng-anh-giao-tiep-o-nhat-ban" TargetMode="External"/><Relationship Id="rId160" Type="http://schemas.openxmlformats.org/officeDocument/2006/relationships/hyperlink" Target="https://tinyurl.com/AllM616-100426" TargetMode="External"/><Relationship Id="rId159" Type="http://schemas.openxmlformats.org/officeDocument/2006/relationships/hyperlink" Target="https://patado.edu.vn/khoa-giao-tiep-tieng-anh-online-all/?utm_source=Facebook&amp;utm_medium=MES&amp;utm_term=NEW_ALL_1855_none_100426&amp;utm_content=saletructiep_ALL.giaotiep.M616.1855.giaotiep_THCNGDP_LD263&amp;utm_campaign=ALL.giaotiep.M616_LHV.9822_MES_SangBD_100426" TargetMode="External"/><Relationship Id="rId154" Type="http://schemas.openxmlformats.org/officeDocument/2006/relationships/hyperlink" Target="https://patado.edu.vn/khoa-giao-tiep-tieng-anh-online-all" TargetMode="External"/><Relationship Id="rId153" Type="http://schemas.openxmlformats.org/officeDocument/2006/relationships/hyperlink" Target="https://patado.edu.vn/khoa-giao-tiep-tieng-anh-online-all/?utm_source=Facebook&amp;utm_medium=MES&amp;utm_term=NEW_UnitedStates_1855_none_100426&amp;utm_content=saletructiep_UnitedStates.M617.1855.giaotiep_THCNGDP_LD263&amp;utm_campaign=UnitedStates.giaotiep.M617_LHV.9822_MES_SangBD_100426" TargetMode="External"/><Relationship Id="rId152" Type="http://schemas.openxmlformats.org/officeDocument/2006/relationships/hyperlink" Target="https://patado.edu.vn/khoa-giao-tiep-tieng-anh-online-all" TargetMode="External"/><Relationship Id="rId151" Type="http://schemas.openxmlformats.org/officeDocument/2006/relationships/hyperlink" Target="https://tinyurl.com/EUM479-CVS" TargetMode="External"/><Relationship Id="rId158" Type="http://schemas.openxmlformats.org/officeDocument/2006/relationships/hyperlink" Target="https://patado.edu.vn/khoa-giao-tiep-tieng-anh-online-all" TargetMode="External"/><Relationship Id="rId157" Type="http://schemas.openxmlformats.org/officeDocument/2006/relationships/hyperlink" Target="https://patado.edu.vn/khoa-giao-tiep-tieng-anh-online-all/?utm_source=Facebook&amp;utm_medium=MES&amp;utm_term=NEW_KoreaSouth_1855_none_100426&amp;utm_content=saletructiep_KoreaSouth.M645.1855.giaotiep_THCNGDP_LD263&amp;utm_campaign=KoreaSouth.giaotiep.M645_LHV.9822_MES_SangBD_100426" TargetMode="External"/><Relationship Id="rId156" Type="http://schemas.openxmlformats.org/officeDocument/2006/relationships/hyperlink" Target="https://patado.edu.vn/khoa-giao-tiep-tieng-anh-online-all" TargetMode="External"/><Relationship Id="rId155" Type="http://schemas.openxmlformats.org/officeDocument/2006/relationships/hyperlink" Target="https://patado.edu.vn/khoa-giao-tiep-tieng-anh-online-all/?utm_source=Facebook&amp;utm_medium=MES&amp;utm_term=NEW_Australia_1855_none_100426&amp;utm_content=saletructiep_Australia.M645.1855.giaotiep_THCNGDP_LD263&amp;utm_campaign=Australia.giaotiep.M645_LHV.9822_MES_SangBD_100426" TargetMode="External"/><Relationship Id="rId107" Type="http://schemas.openxmlformats.org/officeDocument/2006/relationships/hyperlink" Target="https://patadovietnam.edu.vn/khoa-giao-tiep-tieng-anh-online-all/" TargetMode="External"/><Relationship Id="rId106" Type="http://schemas.openxmlformats.org/officeDocument/2006/relationships/hyperlink" Target="https://tinyurl.com/M616-624EU" TargetMode="External"/><Relationship Id="rId105" Type="http://schemas.openxmlformats.org/officeDocument/2006/relationships/hyperlink" Target="https://patadovietnam.edu.vn/khoa-giao-tiep-tieng-anh-online-all/?utm_source=Facebook&amp;utm_medium=CVS&amp;utm_term=NEW_Europe_1855_none_270126&amp;utm_content=saletructiep_Europe.M616xM624.1855.giaotiep_THCNGDP_LD256&amp;utm_campaign=Europe.giaotiep.M616xM624_LHV.9822_CVS_HoaNT_270126" TargetMode="External"/><Relationship Id="rId104" Type="http://schemas.openxmlformats.org/officeDocument/2006/relationships/hyperlink" Target="https://patadovietnam.edu.vn/khoa-giao-tiep-tieng-anh-online-all/" TargetMode="External"/><Relationship Id="rId109" Type="http://schemas.openxmlformats.org/officeDocument/2006/relationships/hyperlink" Target="https://tinyurl.com/AllM264-GTTA" TargetMode="External"/><Relationship Id="rId108" Type="http://schemas.openxmlformats.org/officeDocument/2006/relationships/hyperlink" Target="https://patadovietnam.edu.vn/khoa-giao-tiep-tieng-anh-online-all/?utm_source=Facebook&amp;utm_medium=MES&amp;utm_term=NEW_ALL_1855_none_060426&amp;utm_content=saletructiep_ALL.giaotiep.M264.1855.giaotiep_THCNGDP_LD256&amp;utm_campaign=ALL.giaotiep.M264_LHV.9822_MES_SangBD_060426" TargetMode="External"/><Relationship Id="rId103" Type="http://schemas.openxmlformats.org/officeDocument/2006/relationships/hyperlink" Target="https://tinyurl.com/M616-624JP" TargetMode="External"/><Relationship Id="rId102" Type="http://schemas.openxmlformats.org/officeDocument/2006/relationships/hyperlink" Target="https://patadovietnam.edu.vn/khoa-tieng-anh-giao-tiep-o-nhat-ban/?utm_source=Facebook&amp;utm_medium=CVS&amp;utm_term=NEW_Japan_1840_none_270126&amp;utm_content=saletructiep_Japan.M616xM624.1840.giaotiep_THCNGDP_LD257&amp;utm_campaign=Japan.giaotiep.M616xM624_LHV.9822_CVS_HoaNT_270126" TargetMode="External"/><Relationship Id="rId101" Type="http://schemas.openxmlformats.org/officeDocument/2006/relationships/hyperlink" Target="https://patadovietnam.edu.vn/khoa-tieng-anh-giao-tiep-o-nhat-ban/" TargetMode="External"/><Relationship Id="rId100" Type="http://schemas.openxmlformats.org/officeDocument/2006/relationships/hyperlink" Target="https://tinyurl.com/M264-616ALL" TargetMode="External"/><Relationship Id="rId129" Type="http://schemas.openxmlformats.org/officeDocument/2006/relationships/hyperlink" Target="https://patadovietnam.edu.vn/khoa-giao-tiep-tieng-anh-online-all/?utm_source=Facebook&amp;utm_medium=MES&amp;utm_term=NEW_Europe_1855_none_070426&amp;utm_content=saletructiep_Europe.M479.1855.giaotiep_THCNGDP_LD256&amp;utm_campaign=Europe.giaotiep.M479_LHV.9822_MES_SangBD_070426" TargetMode="External"/><Relationship Id="rId128" Type="http://schemas.openxmlformats.org/officeDocument/2006/relationships/hyperlink" Target="https://patadovietnam.edu.vn/khoa-giao-tiep-tieng-anh-online-all/" TargetMode="External"/><Relationship Id="rId127" Type="http://schemas.openxmlformats.org/officeDocument/2006/relationships/hyperlink" Target="https://tinyurl.com/AllM624-070426" TargetMode="External"/><Relationship Id="rId126" Type="http://schemas.openxmlformats.org/officeDocument/2006/relationships/hyperlink" Target="https://patadovietnam.edu.vn/khoa-giao-tiep-tieng-anh-online-all/?utm_source=Facebook&amp;utm_medium=MES&amp;utm_term=NEW_ALL_1855_none_070426&amp;utm_content=saletructiep_ALL.giaotiep.M264.1855.giaotiep_THCNGDP_LD256&amp;utm_campaign=ALL.giaotiep.M264_LHV.9822_MES_SangBD_070426" TargetMode="External"/><Relationship Id="rId121" Type="http://schemas.openxmlformats.org/officeDocument/2006/relationships/hyperlink" Target="https://tinyurl.com/CVS-M645GTTA" TargetMode="External"/><Relationship Id="rId120" Type="http://schemas.openxmlformats.org/officeDocument/2006/relationships/hyperlink" Target="https://patadovietnam.edu.vn/khoa-giao-tiep-tieng-anh-online-all/?utm_source=Facebook&amp;utm_medium=CVS&amp;utm_term=NEW_Japan_1850_none_060426&amp;utm_content=saletructiep_Japan.M645.1850.giaotiep_THCNGDP_LD256&amp;utm_campaign=Japan.giaotiep.M645_LHV.9822_CVS_SangBD_060426" TargetMode="External"/><Relationship Id="rId125" Type="http://schemas.openxmlformats.org/officeDocument/2006/relationships/hyperlink" Target="https://patadovietnam.edu.vn/khoa-giao-tiep-tieng-anh-online-all/" TargetMode="External"/><Relationship Id="rId124" Type="http://schemas.openxmlformats.org/officeDocument/2006/relationships/hyperlink" Target="https://tinyurl.com/MESEU645-GTTA" TargetMode="External"/><Relationship Id="rId123" Type="http://schemas.openxmlformats.org/officeDocument/2006/relationships/hyperlink" Target="https://patadovietnam.edu.vn/khoa-giao-tiep-tieng-anh-online-all/?utm_source=Facebook&amp;utm_medium=MES&amp;utm_term=NEW_Europe_1855_none_060426&amp;utm_content=saletructiep_Europe.M645.1855.giaotiep_THCNGDP_LD256&amp;utm_campaign=Europe.giaotiep.M645_LHV.9822_MES_SangBD_060426" TargetMode="External"/><Relationship Id="rId122" Type="http://schemas.openxmlformats.org/officeDocument/2006/relationships/hyperlink" Target="https://patadovietnam.edu.vn/khoa-giao-tiep-tieng-anh-online-all/" TargetMode="External"/><Relationship Id="rId118" Type="http://schemas.openxmlformats.org/officeDocument/2006/relationships/hyperlink" Target="https://tinyurl.com/UnitedStates617" TargetMode="External"/><Relationship Id="rId117" Type="http://schemas.openxmlformats.org/officeDocument/2006/relationships/hyperlink" Target="https://patadovietnam.edu.vn/khoa-giao-tiep-tieng-anh-online-all/?utm_source=Facebook&amp;utm_medium=MES&amp;utm_term=NEW_UnitedStates_1855_none_060426&amp;utm_content=saletructiep_UnitedStates.M617.1855.giaotiep_THCNGDP_LD256&amp;utm_campaign=UnitedStates.giaotiep.M617_LHV.9822_MES_SangBD_060426" TargetMode="External"/><Relationship Id="rId116" Type="http://schemas.openxmlformats.org/officeDocument/2006/relationships/hyperlink" Target="https://patadovietnam.edu.vn/khoa-giao-tiep-tieng-anh-online-all/" TargetMode="External"/><Relationship Id="rId115" Type="http://schemas.openxmlformats.org/officeDocument/2006/relationships/hyperlink" Target="https://tinyurl.com/All498" TargetMode="External"/><Relationship Id="rId119" Type="http://schemas.openxmlformats.org/officeDocument/2006/relationships/hyperlink" Target="https://patadovietnam.edu.vn/khoa-giao-tiep-tieng-anh-online-all/" TargetMode="External"/><Relationship Id="rId110" Type="http://schemas.openxmlformats.org/officeDocument/2006/relationships/hyperlink" Target="https://patadovietnam.edu.vn/khoa-giao-tiep-tieng-anh-online-all/" TargetMode="External"/><Relationship Id="rId114" Type="http://schemas.openxmlformats.org/officeDocument/2006/relationships/hyperlink" Target="https://patadovietnam.edu.vn/khoa-giao-tiep-tieng-anh-online-all/?utm_source=Facebook&amp;utm_medium=MES&amp;utm_term=NEW_ALL_1855_none_060426&amp;utm_content=saletructiep_ALL.giaotiep.M498.1855.giaotiep_THCNGDP_LD256&amp;utm_campaign=ALL.giaotiep.M498_LHV.9822_MES_SangBD_060426" TargetMode="External"/><Relationship Id="rId113" Type="http://schemas.openxmlformats.org/officeDocument/2006/relationships/hyperlink" Target="https://patadovietnam.edu.vn/khoa-giao-tiep-tieng-anh-online-all/" TargetMode="External"/><Relationship Id="rId112" Type="http://schemas.openxmlformats.org/officeDocument/2006/relationships/hyperlink" Target="https://tinyurl.com/AllM616-GTTA" TargetMode="External"/><Relationship Id="rId111" Type="http://schemas.openxmlformats.org/officeDocument/2006/relationships/hyperlink" Target="https://patadovietnam.edu.vn/khoa-giao-tiep-tieng-anh-online-all/?utm_source=Facebook&amp;utm_medium=MES&amp;utm_term=NEW_ALL_1855_none_060426&amp;utm_content=saletructiep_ALL.giaotiep.M616.1855.giaotiep_THCNGDP_LD256&amp;utm_campaign=ALL.giaotiep.M616_LHV.9822_MES_SangBD_060426" TargetMode="External"/></Relationships>
</file>

<file path=xl/worksheets/_rels/sheet9.xml.rels><?xml version="1.0" encoding="UTF-8" standalone="yes"?><Relationships xmlns="http://schemas.openxmlformats.org/package/2006/relationships"><Relationship Id="rId392" Type="http://schemas.openxmlformats.org/officeDocument/2006/relationships/hyperlink" Target="https://patadovietnam.edu.vn/khoa-giao-tiep-cho-nguoi-viet-tai-han-quoc/" TargetMode="External"/><Relationship Id="rId391" Type="http://schemas.openxmlformats.org/officeDocument/2006/relationships/hyperlink" Target="https://patadovietnam.edu.vn/khoa-giao-tiep-cho-nguoi-viet-tai-han-quoc/?utm_source=Google&amp;utm_medium=SEA&amp;utm_term=NEW_KoreaSouth_none_none_150126&amp;utm_content=saletructiep_Khoagiaotiep_PTAGTTD_LD259&amp;utm_campaign=KoreaSouth.giaotiep.tienganh_Patado_SEA_HoaNT_150126" TargetMode="External"/><Relationship Id="rId390" Type="http://schemas.openxmlformats.org/officeDocument/2006/relationships/hyperlink" Target="https://patadovietnam.edu.vn/khoa-giao-tiep-cho-nguoi-viet-tai-han-quoc/" TargetMode="External"/><Relationship Id="rId385" Type="http://schemas.openxmlformats.org/officeDocument/2006/relationships/hyperlink" Target="https://patadovietnam.edu.vn/khoa-giao-tiep-cho-nguoi-viet-tai-han-quoc/?utm_source=Google&amp;utm_medium=SEA&amp;utm_term=NEW_KoreaSouth_none_none_150126&amp;utm_content=saletructiep_Dangkyhocgiaotiep_PTAGTTD_LD259&amp;utm_campaign=KoreaSouth.giaotiep.tienganh_Patado_SEA_HoaNT_150126" TargetMode="External"/><Relationship Id="rId384" Type="http://schemas.openxmlformats.org/officeDocument/2006/relationships/hyperlink" Target="https://patadovietnam.edu.vn/khoa-giao-tiep-cho-nguoi-viet-tai-han-quoc/" TargetMode="External"/><Relationship Id="rId383" Type="http://schemas.openxmlformats.org/officeDocument/2006/relationships/hyperlink" Target="https://patadovietnam.edu.vn/khoa-giao-tiep-cho-nguoi-viet-tai-han-quoc/?utm_source=Google&amp;utm_medium=SEA&amp;utm_term=NEW_KoreaSouth_none_none_150126&amp;utm_content=saletructiep_Hocgiaotiepcaptoc_PTAGTTD_LD259&amp;utm_campaign=KoreaSouth.giaotiep.tienganh_Patado_SEA_HoaNT_150126" TargetMode="External"/><Relationship Id="rId382" Type="http://schemas.openxmlformats.org/officeDocument/2006/relationships/hyperlink" Target="https://patadovietnam.edu.vn/khoa-giao-tiep-cho-nguoi-viet-tai-han-quoc/" TargetMode="External"/><Relationship Id="rId389" Type="http://schemas.openxmlformats.org/officeDocument/2006/relationships/hyperlink" Target="https://patadovietnam.edu.vn/khoa-giao-tiep-cho-nguoi-viet-tai-han-quoc/?utm_source=Google&amp;utm_medium=SEA&amp;utm_term=NEW_KoreaSouth_none_none_150126&amp;utm_content=saletructiep_Lopgiaotiep_PTAGTTD_LD259&amp;utm_campaign=KoreaSouth.giaotiep.tienganh_Patado_SEA_HoaNT_150126" TargetMode="External"/><Relationship Id="rId388" Type="http://schemas.openxmlformats.org/officeDocument/2006/relationships/hyperlink" Target="https://patadovietnam.edu.vn/khoa-giao-tiep-cho-nguoi-viet-tai-han-quoc/" TargetMode="External"/><Relationship Id="rId387" Type="http://schemas.openxmlformats.org/officeDocument/2006/relationships/hyperlink" Target="https://patadovietnam.edu.vn/khoa-giao-tiep-cho-nguoi-viet-tai-han-quoc/?utm_source=Google&amp;utm_medium=SEA&amp;utm_term=NEW_KoreaSouth_none_none_150126&amp;utm_content=saletructiep_Lotrinhgiaotiep_PTAGTTD_LD259&amp;utm_campaign=KoreaSouth.giaotiep.tienganh_Patado_SEA_HoaNT_150126" TargetMode="External"/><Relationship Id="rId386" Type="http://schemas.openxmlformats.org/officeDocument/2006/relationships/hyperlink" Target="https://patadovietnam.edu.vn/khoa-giao-tiep-cho-nguoi-viet-tai-han-quoc/" TargetMode="External"/><Relationship Id="rId381" Type="http://schemas.openxmlformats.org/officeDocument/2006/relationships/hyperlink" Target="https://patadovietnam.edu.vn/khoa-giao-tiep-cho-nguoi-viet-tai-han-quoc/?utm_source=Google&amp;utm_medium=SEA&amp;utm_term=NEW_KoreaSouth_none_none_150126&amp;utm_content=saletructiep_Hocgiaotiepcoban_PTAGTTD_LD259&amp;utm_campaign=KoreaSouth.giaotiep.tienganh_Patado_SEA_HoaNT_150126" TargetMode="External"/><Relationship Id="rId380" Type="http://schemas.openxmlformats.org/officeDocument/2006/relationships/hyperlink" Target="https://patadovietnam.edu.vn/khoa-giao-tiep-cho-nguoi-viet-tai-han-quoc/" TargetMode="External"/><Relationship Id="rId379" Type="http://schemas.openxmlformats.org/officeDocument/2006/relationships/hyperlink" Target="https://patadovietnam.edu.vn/khoa-giao-tiep-cho-nguoi-viet-tai-han-quoc/?utm_source=Google&amp;utm_medium=SEA&amp;utm_term=NEW_KoreaSouth_none_none_150126&amp;utm_content=saletructiep_Hoctienganhgiaotiep_PTAGTTD_LD259&amp;utm_campaign=KoreaSouth.giaotiep.tienganh_Patado_SEA_HoaNT_150126" TargetMode="External"/><Relationship Id="rId374" Type="http://schemas.openxmlformats.org/officeDocument/2006/relationships/hyperlink" Target="https://patadovietnam.edu.vn/khoa-giao-tiep-cho-nguoi-viet-tai-han-quoc/" TargetMode="External"/><Relationship Id="rId373" Type="http://schemas.openxmlformats.org/officeDocument/2006/relationships/hyperlink" Target="https://patadovietnam.edu.vn/khoa-giao-tiep-cho-nguoi-viet-tai-han-quoc/?utm_source=Google&amp;utm_medium=SEA&amp;utm_term=NEW_KoreaSouth_none_none_150126&amp;utm_content=saletructiep_Hocphionline_PTAGTTD_LD259&amp;utm_campaign=KoreaSouth.giaotiep.tienganh_Patado_SEA_HoaNT_150126" TargetMode="External"/><Relationship Id="rId372" Type="http://schemas.openxmlformats.org/officeDocument/2006/relationships/hyperlink" Target="https://patadovietnam.edu.vn/khoa-giao-tiep-cho-nguoi-viet-tai-han-quoc/" TargetMode="External"/><Relationship Id="rId371" Type="http://schemas.openxmlformats.org/officeDocument/2006/relationships/hyperlink" Target="https://patadovietnam.edu.vn/khoa-giao-tiep-cho-nguoi-viet-tai-han-quoc/?utm_source=Google&amp;utm_medium=SEA&amp;utm_term=NEW_KoreaSouth_none_none_150126&amp;utm_content=saletructiep_Trungtamhoconline_PTAGTTD_LD259&amp;utm_campaign=KoreaSouth.giaotiep.tienganh_Patado_SEA_HoaNT_150126" TargetMode="External"/><Relationship Id="rId378" Type="http://schemas.openxmlformats.org/officeDocument/2006/relationships/hyperlink" Target="https://patadovietnam.edu.vn/khoa-giao-tiep-cho-nguoi-viet-tai-han-quoc/" TargetMode="External"/><Relationship Id="rId377" Type="http://schemas.openxmlformats.org/officeDocument/2006/relationships/hyperlink" Target="https://patadovietnam.edu.vn/khoa-giao-tiep-cho-nguoi-viet-tai-han-quoc/?utm_source=Google&amp;utm_medium=SEA&amp;utm_term=NEW_KoreaSouth_none_none_150126&amp;utm_content=saletructiep_Tienganhgiaotiep11_PTAGTTD_LD259&amp;utm_campaign=KoreaSouth.giaotiep.tienganh_Patado_SEA_HoaNT_150126" TargetMode="External"/><Relationship Id="rId376" Type="http://schemas.openxmlformats.org/officeDocument/2006/relationships/hyperlink" Target="https://patadovietnam.edu.vn/khoa-giao-tiep-cho-nguoi-viet-tai-han-quoc/" TargetMode="External"/><Relationship Id="rId375" Type="http://schemas.openxmlformats.org/officeDocument/2006/relationships/hyperlink" Target="https://patadovietnam.edu.vn/khoa-giao-tiep-cho-nguoi-viet-tai-han-quoc/?utm_source=Google&amp;utm_medium=SEA&amp;utm_term=NEW_KoreaSouth_none_none_150126&amp;utm_content=saletructiep_Tienganhgiaotiep_PTAGTTD_LD259&amp;utm_campaign=KoreaSouth.giaotiep.tienganh_Patado_SEA_HoaNT_150126" TargetMode="External"/><Relationship Id="rId396" Type="http://schemas.openxmlformats.org/officeDocument/2006/relationships/hyperlink" Target="https://patadovietnam.edu.vn/khoa-giao-tiep-cho-nguoi-viet-tai-han-quoc/" TargetMode="External"/><Relationship Id="rId395" Type="http://schemas.openxmlformats.org/officeDocument/2006/relationships/hyperlink" Target="https://patadovietnam.edu.vn/khoa-giao-tiep-cho-nguoi-viet-tai-han-quoc/?utm_source=Google&amp;utm_medium=SEA&amp;utm_term=NEW_KoreaSouth_none_none_150126&amp;utm_content=saletructiep_Hocphigiaotiep_PTAGTTD_LD259&amp;utm_campaign=KoreaSouth.giaotiep.tienganh_Patado_SEA_HoaNT_150126" TargetMode="External"/><Relationship Id="rId394" Type="http://schemas.openxmlformats.org/officeDocument/2006/relationships/hyperlink" Target="https://patadovietnam.edu.vn/khoa-giao-tiep-cho-nguoi-viet-tai-han-quoc/" TargetMode="External"/><Relationship Id="rId393" Type="http://schemas.openxmlformats.org/officeDocument/2006/relationships/hyperlink" Target="https://patadovietnam.edu.vn/khoa-giao-tiep-cho-nguoi-viet-tai-han-quoc/?utm_source=Google&amp;utm_medium=SEA&amp;utm_term=NEW_KoreaSouth_none_none_150126&amp;utm_content=saletructiep_Trungtamgiaotiep_PTAGTTD_LD259&amp;utm_campaign=KoreaSouth.giaotiep.tienganh_Patado_SEA_HoaNT_150126" TargetMode="External"/><Relationship Id="rId399" Type="http://schemas.openxmlformats.org/officeDocument/2006/relationships/hyperlink" Target="https://patadovietnam.edu.vn/khoa-giao-tiep-cho-nguoi-viet-tai-han-quoc/?utm_source=Google&amp;utm_medium=SEA&amp;utm_term=NEW_KoreaSouth_none_none_150126&amp;utm_content=saletructiep_Tienganhngdilam_PTAGTTD_LD259&amp;utm_campaign=KoreaSouth.giaotiep.tienganh_Patado_SEA_HoaNT_150126" TargetMode="External"/><Relationship Id="rId398" Type="http://schemas.openxmlformats.org/officeDocument/2006/relationships/hyperlink" Target="https://patadovietnam.edu.vn/khoa-giao-tiep-cho-nguoi-viet-tai-han-quoc/" TargetMode="External"/><Relationship Id="rId397" Type="http://schemas.openxmlformats.org/officeDocument/2006/relationships/hyperlink" Target="https://patadovietnam.edu.vn/khoa-giao-tiep-cho-nguoi-viet-tai-han-quoc/?utm_source=Google&amp;utm_medium=SEA&amp;utm_term=NEW_KoreaSouth_none_none_150126&amp;utm_content=saletructiep_Tienganhngbatdau_PTAGTTD_LD259&amp;utm_campaign=KoreaSouth.giaotiep.tienganh_Patado_SEA_HoaNT_150126" TargetMode="External"/><Relationship Id="rId40" Type="http://schemas.openxmlformats.org/officeDocument/2006/relationships/hyperlink" Target="https://patado.edu.vn/khoa-tieng-anh-giao-tiep-o-nhat-ban" TargetMode="External"/><Relationship Id="rId42" Type="http://schemas.openxmlformats.org/officeDocument/2006/relationships/hyperlink" Target="https://patado.edu.vn/khoa-tieng-anh-giao-tiep-o-nhat-ban" TargetMode="External"/><Relationship Id="rId41" Type="http://schemas.openxmlformats.org/officeDocument/2006/relationships/hyperlink" Target="https://patado.edu.vn/khoa-tieng-anh-giao-tiep-o-nhat-ban/?utm_source=Google&amp;utm_medium=SEA&amp;utm_term=NEW_Japan_none_none_161225&amp;utm_content=saletructiep_lotrinhgiaotiep_PTAGTTD_LD264&amp;utm_campaign=Japan.giaotiep.tienganhonline_Patado_SEA_HoaNT_161225" TargetMode="External"/><Relationship Id="rId44" Type="http://schemas.openxmlformats.org/officeDocument/2006/relationships/hyperlink" Target="https://patado.edu.vn/khoa-tieng-anh-giao-tiep-o-nhat-ban" TargetMode="External"/><Relationship Id="rId43" Type="http://schemas.openxmlformats.org/officeDocument/2006/relationships/hyperlink" Target="https://patado.edu.vn/khoa-tieng-anh-giao-tiep-o-nhat-ban/?utm_source=Google&amp;utm_medium=SEA&amp;utm_term=NEW_Japan_none_none_161225&amp;utm_content=saletructiep_tienganhgiaotiep_PTAGTTD_LD264&amp;utm_campaign=Japan.giaotiep.tienganhonline_Patado_SEA_HoaNT_161225" TargetMode="External"/><Relationship Id="rId46" Type="http://schemas.openxmlformats.org/officeDocument/2006/relationships/hyperlink" Target="https://patado.edu.vn/khoa-tieng-anh-giao-tiep-o-nhat-ban" TargetMode="External"/><Relationship Id="rId45" Type="http://schemas.openxmlformats.org/officeDocument/2006/relationships/hyperlink" Target="https://patado.edu.vn/khoa-tieng-anh-giao-tiep-o-nhat-ban/?utm_source=Google&amp;utm_medium=SEA&amp;utm_term=NEW_Japan_none_none_161225&amp;utm_content=saletructiep_lopgiaotiep_PTAGTTD_LD264&amp;utm_campaign=Japan.giaotiep.tienganhonline_Patado_SEA_HoaNT_161225" TargetMode="External"/><Relationship Id="rId48" Type="http://schemas.openxmlformats.org/officeDocument/2006/relationships/hyperlink" Target="https://patado.edu.vn/khoa-tieng-anh-giao-tiep-o-nhat-ban" TargetMode="External"/><Relationship Id="rId47" Type="http://schemas.openxmlformats.org/officeDocument/2006/relationships/hyperlink" Target="https://patado.edu.vn/khoa-tieng-anh-giao-tiep-o-nhat-ban/?utm_source=Google&amp;utm_medium=SEA&amp;utm_term=NEW_Japan_none_none_161225&amp;utm_content=saletructiep_khoahocgiaotiep_PTAGTTD_LD264&amp;utm_campaign=Japan.giaotiep.tienganhonline_Patado_SEA_HoaNT_161225" TargetMode="External"/><Relationship Id="rId49" Type="http://schemas.openxmlformats.org/officeDocument/2006/relationships/hyperlink" Target="https://patado.edu.vn/khoa-tieng-anh-giao-tiep-o-nhat-ban/?utm_source=Google&amp;utm_medium=SEA&amp;utm_term=NEW_Japan_none_none_161225&amp;utm_content=saletructiep_trungtamgiaotiep_PTAGTTD_LD264&amp;utm_campaign=Japan.giaotiep.tienganhonline_Patado_SEA_HoaNT_161225" TargetMode="External"/><Relationship Id="rId31" Type="http://schemas.openxmlformats.org/officeDocument/2006/relationships/hyperlink" Target="https://patado.edu.vn/khoa-tieng-anh-giao-tiep-o-nhat-ban/?utm_source=Google&amp;utm_medium=SEA&amp;utm_term=NEW_Japan_none_none_161225&amp;utm_content=saletructiep_tienganhgiaotiepchobe_PTAGTTD_LD264&amp;utm_campaign=Japan.giaotiep.tienganhonline_Patado_SEA_HoaNT_161225" TargetMode="External"/><Relationship Id="rId30" Type="http://schemas.openxmlformats.org/officeDocument/2006/relationships/hyperlink" Target="https://patado.edu.vn/khoa-tieng-anh-giao-tiep-o-nhat-ban" TargetMode="External"/><Relationship Id="rId33" Type="http://schemas.openxmlformats.org/officeDocument/2006/relationships/hyperlink" Target="https://patado.edu.vn/khoa-tieng-anh-giao-tiep-o-nhat-ban/?utm_source=Google&amp;utm_medium=SEA&amp;utm_term=NEW_Japan_none_none_161225&amp;utm_content=saletructiep_khoahocngdilam_PTAGTTD_LD264&amp;utm_campaign=Japan.giaotiep.tienganhonline_Patado_SEA_HoaNT_161225" TargetMode="External"/><Relationship Id="rId32" Type="http://schemas.openxmlformats.org/officeDocument/2006/relationships/hyperlink" Target="https://patado.edu.vn/khoa-tieng-anh-giao-tiep-o-nhat-ban" TargetMode="External"/><Relationship Id="rId35" Type="http://schemas.openxmlformats.org/officeDocument/2006/relationships/hyperlink" Target="https://patado.edu.vn/khoa-tieng-anh-giao-tiep-o-nhat-ban/?utm_source=Google&amp;utm_medium=SEA&amp;utm_term=NEW_Japan_none_none_161225&amp;utm_content=saletructiep_trungtamchongdilam_PTAGTTD_LD264&amp;utm_campaign=Japan.giaotiep.tienganhonline_Patado_SEA_HoaNT_161225" TargetMode="External"/><Relationship Id="rId34" Type="http://schemas.openxmlformats.org/officeDocument/2006/relationships/hyperlink" Target="https://patado.edu.vn/khoa-tieng-anh-giao-tiep-o-nhat-ban" TargetMode="External"/><Relationship Id="rId37" Type="http://schemas.openxmlformats.org/officeDocument/2006/relationships/hyperlink" Target="https://patado.edu.vn/khoa-tieng-anh-giao-tiep-o-nhat-ban/?utm_source=Google&amp;utm_medium=SEA&amp;utm_term=NEW_Japan_none_none_161225&amp;utm_content=saletructiep_tienganhgiaotiepngdilam_PTAGTTD_LD264&amp;utm_campaign=Japan.giaotiep.tienganhonline_Patado_SEA_HoaNT_161225" TargetMode="External"/><Relationship Id="rId36" Type="http://schemas.openxmlformats.org/officeDocument/2006/relationships/hyperlink" Target="https://patado.edu.vn/khoa-tieng-anh-giao-tiep-o-nhat-ban" TargetMode="External"/><Relationship Id="rId39" Type="http://schemas.openxmlformats.org/officeDocument/2006/relationships/hyperlink" Target="https://patado.edu.vn/khoa-tieng-anh-giao-tiep-o-nhat-ban/?utm_source=Google&amp;utm_medium=SEA&amp;utm_term=NEW_Japan_none_none_161225&amp;utm_content=saletructiep_tienganhonlinengdilam_PTAGTTD_LD264&amp;utm_campaign=Japan.giaotiep.tienganhonline_Patado_SEA_HoaNT_161225" TargetMode="External"/><Relationship Id="rId38" Type="http://schemas.openxmlformats.org/officeDocument/2006/relationships/hyperlink" Target="https://patado.edu.vn/khoa-tieng-anh-giao-tiep-o-nhat-ban" TargetMode="External"/><Relationship Id="rId20" Type="http://schemas.openxmlformats.org/officeDocument/2006/relationships/hyperlink" Target="https://patado.edu.vn/khoa-tieng-anh-giao-tiep-o-nhat-ban" TargetMode="External"/><Relationship Id="rId22" Type="http://schemas.openxmlformats.org/officeDocument/2006/relationships/hyperlink" Target="https://patado.edu.vn/khoa-tieng-anh-giao-tiep-o-nhat-ban" TargetMode="External"/><Relationship Id="rId21" Type="http://schemas.openxmlformats.org/officeDocument/2006/relationships/hyperlink" Target="https://patado.edu.vn/khoa-tieng-anh-giao-tiep-o-nhat-ban/?utm_source=Google&amp;utm_medium=SEA&amp;utm_term=NEW_Japan_none_none_161225&amp;utm_content=saletructiep_tienganhchongbatdau_PTAGTTD_LD264&amp;utm_campaign=Japan.giaotiep.tienganhonline_Patado_SEA_HoaNT_161225" TargetMode="External"/><Relationship Id="rId24" Type="http://schemas.openxmlformats.org/officeDocument/2006/relationships/hyperlink" Target="https://patado.edu.vn/khoa-tieng-anh-giao-tiep-o-nhat-ban" TargetMode="External"/><Relationship Id="rId23" Type="http://schemas.openxmlformats.org/officeDocument/2006/relationships/hyperlink" Target="https://patado.edu.vn/khoa-tieng-anh-giao-tiep-o-nhat-ban/?utm_source=Google&amp;utm_medium=SEA&amp;utm_term=NEW_Japan_none_none_161225&amp;utm_content=saletructiep_tienganhgiaotiepngbatdau_PTAGTTD_LD264&amp;utm_campaign=Japan.giaotiep.tienganhonline_Patado_SEA_HoaNT_161225" TargetMode="External"/><Relationship Id="rId26" Type="http://schemas.openxmlformats.org/officeDocument/2006/relationships/hyperlink" Target="https://patado.edu.vn/khoa-tieng-anh-giao-tiep-o-nhat-ban" TargetMode="External"/><Relationship Id="rId25" Type="http://schemas.openxmlformats.org/officeDocument/2006/relationships/hyperlink" Target="https://patado.edu.vn/khoa-tieng-anh-giao-tiep-o-nhat-ban/?utm_source=Google&amp;utm_medium=SEA&amp;utm_term=NEW_Japan_none_none_161225&amp;utm_content=saletructiep_tienganhngmatgoc_PTAGTTD_LD264&amp;utm_campaign=Japan.giaotiep.tienganhonline_Patado_SEA_HoaNT_161225" TargetMode="External"/><Relationship Id="rId28" Type="http://schemas.openxmlformats.org/officeDocument/2006/relationships/hyperlink" Target="https://patado.edu.vn/khoa-tieng-anh-giao-tiep-o-nhat-ban" TargetMode="External"/><Relationship Id="rId27" Type="http://schemas.openxmlformats.org/officeDocument/2006/relationships/hyperlink" Target="https://patado.edu.vn/khoa-tieng-anh-giao-tiep-o-nhat-ban/?utm_source=Google&amp;utm_medium=SEA&amp;utm_term=NEW_Japan_none_none_161225&amp;utm_content=saletructiep_tienganh11chobe_PTAGTTD_LD264&amp;utm_campaign=Japan.giaotiep.tienganhonline_Patado_SEA_HoaNT_161225" TargetMode="External"/><Relationship Id="rId29" Type="http://schemas.openxmlformats.org/officeDocument/2006/relationships/hyperlink" Target="https://patado.edu.vn/khoa-tieng-anh-giao-tiep-o-nhat-ban/?utm_source=Google&amp;utm_medium=SEA&amp;utm_term=NEW_Japan_none_none_161225&amp;utm_content=saletructiep_tienganhonlinechobe_PTAGTTD_LD264&amp;utm_campaign=Japan.giaotiep.tienganhonline_Patado_SEA_HoaNT_161225" TargetMode="External"/><Relationship Id="rId11" Type="http://schemas.openxmlformats.org/officeDocument/2006/relationships/hyperlink" Target="https://patadovietnam.edu.vn/tienganhgiaotiep_hn/?utm_source=Google&amp;utm_medium=SEA&amp;utm_term=NEW_ALL_1840_none_171225&amp;utm_content=saletructiep_ALL.tienganhtructuyen.1840.giaotiep_PTATT_LD153&amp;utm_campaign=ALL.giaotiep.hoctienganhonline_16917_SEA_HoaNT_171225" TargetMode="External"/><Relationship Id="rId10" Type="http://schemas.openxmlformats.org/officeDocument/2006/relationships/hyperlink" Target="https://patadovietnam.edu.vn/tienganhgiaotiep_hn/" TargetMode="External"/><Relationship Id="rId13" Type="http://schemas.openxmlformats.org/officeDocument/2006/relationships/hyperlink" Target="https://patado.edu.vn/khoa-tieng-anh-giao-tiep-o-nhat-ban/?utm_source=Google&amp;utm_medium=SEA&amp;utm_term=NEW_Japan_none_none_161225&amp;utm_content=saletructiep_hoctienganhonline_PTAGTTD_LD264&amp;utm_campaign=Japan.giaotiep.tienganhonline_Patado_SEA_HoaNT_161225" TargetMode="External"/><Relationship Id="rId12" Type="http://schemas.openxmlformats.org/officeDocument/2006/relationships/hyperlink" Target="https://patado.edu.vn/khoa-tieng-anh-giao-tiep-o-nhat-ban" TargetMode="External"/><Relationship Id="rId15" Type="http://schemas.openxmlformats.org/officeDocument/2006/relationships/hyperlink" Target="https://patado.edu.vn/khoa-tieng-anh-giao-tiep-o-nhat-ban/?utm_source=Google&amp;utm_medium=SEA&amp;utm_term=NEW_Japan_none_none_161225&amp;utm_content=saletructiep_khoahoctienganhonline_PTAGTTD_LD264&amp;utm_campaign=Japan.giaotiep.tienganhonline_Patado_SEA_HoaNT_161225" TargetMode="External"/><Relationship Id="rId14" Type="http://schemas.openxmlformats.org/officeDocument/2006/relationships/hyperlink" Target="https://patado.edu.vn/khoa-tieng-anh-giao-tiep-o-nhat-ban" TargetMode="External"/><Relationship Id="rId17" Type="http://schemas.openxmlformats.org/officeDocument/2006/relationships/hyperlink" Target="https://patado.edu.vn/khoa-tieng-anh-giao-tiep-o-nhat-ban/?utm_source=Google&amp;utm_medium=SEA&amp;utm_term=NEW_Japan_none_none_161225&amp;utm_content=saletructiep_tienganhonline11_PTAGTTD_LD264&amp;utm_campaign=Japan.giaotiep.tienganhonline_Patado_SEA_HoaNT_161225" TargetMode="External"/><Relationship Id="rId16" Type="http://schemas.openxmlformats.org/officeDocument/2006/relationships/hyperlink" Target="https://patado.edu.vn/khoa-tieng-anh-giao-tiep-o-nhat-ban" TargetMode="External"/><Relationship Id="rId19" Type="http://schemas.openxmlformats.org/officeDocument/2006/relationships/hyperlink" Target="https://patado.edu.vn/khoa-tieng-anh-giao-tiep-o-nhat-ban/?utm_source=Google&amp;utm_medium=SEA&amp;utm_term=NEW_Japan_none_none_161225&amp;utm_content=saletructiep_tienganhgiaotiep11_PTAGTTD_LD264&amp;utm_campaign=Japan.giaotiep.tienganhonline_Patado_SEA_HoaNT_161225" TargetMode="External"/><Relationship Id="rId18" Type="http://schemas.openxmlformats.org/officeDocument/2006/relationships/hyperlink" Target="https://patado.edu.vn/khoa-tieng-anh-giao-tiep-o-nhat-ban" TargetMode="External"/><Relationship Id="rId84" Type="http://schemas.openxmlformats.org/officeDocument/2006/relationships/hyperlink" Target="https://patadovietnam.edu.vn/tieng-anh-giao-tiep-united-states/" TargetMode="External"/><Relationship Id="rId83" Type="http://schemas.openxmlformats.org/officeDocument/2006/relationships/hyperlink" Target="https://patadovietnam.edu.vn/tieng-anh-giao-tiep-united-states/?utm_source=Google&amp;utm_medium=SEA&amp;utm_term=NEW_UnitedStates_none_none_161225&amp;utm_content=saletructiep_khoahocgiaotiep_PTAGTTD_LD253&amp;utm_campaign=UnitedStates.giaotiep.hocnline_Patado_SEA_HoaNT_161225" TargetMode="External"/><Relationship Id="rId86" Type="http://schemas.openxmlformats.org/officeDocument/2006/relationships/hyperlink" Target="https://patadovietnam.edu.vn/tieng-anh-giao-tiep-united-states/" TargetMode="External"/><Relationship Id="rId85" Type="http://schemas.openxmlformats.org/officeDocument/2006/relationships/hyperlink" Target="https://patadovietnam.edu.vn/tieng-anh-giao-tiep-united-states/?utm_source=Google&amp;utm_medium=SEA&amp;utm_term=NEW_UnitedStates_none_none_161225&amp;utm_content=saletructiep_khoahocmatgoc_PTAGTTD_LD253&amp;utm_campaign=UnitedStates.giaotiep.hocnline_Patado_SEA_HoaNT_161225" TargetMode="External"/><Relationship Id="rId88" Type="http://schemas.openxmlformats.org/officeDocument/2006/relationships/hyperlink" Target="https://patadovietnam.edu.vn/tieng-anh-giao-tiep-united-states/" TargetMode="External"/><Relationship Id="rId87" Type="http://schemas.openxmlformats.org/officeDocument/2006/relationships/hyperlink" Target="https://patadovietnam.edu.vn/tieng-anh-giao-tiep-united-states/?utm_source=Google&amp;utm_medium=SEA&amp;utm_term=NEW_UnitedStates_none_none_161225&amp;utm_content=saletructiep_giaotiepngdilam_PTAGTTD_LD253&amp;utm_campaign=UnitedStates.giaotiep.hocnline_Patado_SEA_HoaNT_161225" TargetMode="External"/><Relationship Id="rId89" Type="http://schemas.openxmlformats.org/officeDocument/2006/relationships/hyperlink" Target="https://patadovietnam.edu.vn/tieng-anh-giao-tiep-united-states/?utm_source=Google&amp;utm_medium=SEA&amp;utm_term=NEW_UnitedStates_none_none_161225&amp;utm_content=saletructiep_toiec_PTAGTTD_LD253&amp;utm_campaign=UnitedStates.giaotiep.hocnline_Patado_SEA_HoaNT_161225" TargetMode="External"/><Relationship Id="rId80" Type="http://schemas.openxmlformats.org/officeDocument/2006/relationships/hyperlink" Target="https://patadovietnam.edu.vn/tieng-anh-giao-tiep-united-states/" TargetMode="External"/><Relationship Id="rId82" Type="http://schemas.openxmlformats.org/officeDocument/2006/relationships/hyperlink" Target="https://patadovietnam.edu.vn/tieng-anh-giao-tiep-united-states/" TargetMode="External"/><Relationship Id="rId81" Type="http://schemas.openxmlformats.org/officeDocument/2006/relationships/hyperlink" Target="https://patadovietnam.edu.vn/tieng-anh-giao-tiep-united-states/?utm_source=Google&amp;utm_medium=SEA&amp;utm_term=NEW_UnitedStates_none_none_161225&amp;utm_content=saletructiep_hocphiielts_PTAGTTD_LD253&amp;utm_campaign=UnitedStates.giaotiep.hocnline_Patado_SEA_HoaNT_161225" TargetMode="External"/><Relationship Id="rId73" Type="http://schemas.openxmlformats.org/officeDocument/2006/relationships/hyperlink" Target="https://patadovietnam.edu.vn/tieng-anh-giao-tiep-united-states/?utm_source=Google&amp;utm_medium=SEA&amp;utm_term=NEW_UnitedStates_none_none_161225&amp;utm_content=saletructiep_ielts1kem1_PTAGTTD_LD253&amp;utm_campaign=UnitedStates.giaotiep.hocnline_Patado_SEA_HoaNT_161225" TargetMode="External"/><Relationship Id="rId72" Type="http://schemas.openxmlformats.org/officeDocument/2006/relationships/hyperlink" Target="https://patadovietnam.edu.vn/tieng-anh-giao-tiep-united-states/" TargetMode="External"/><Relationship Id="rId75" Type="http://schemas.openxmlformats.org/officeDocument/2006/relationships/hyperlink" Target="https://patadovietnam.edu.vn/tieng-anh-giao-tiep-united-states/?utm_source=Google&amp;utm_medium=SEA&amp;utm_term=NEW_UnitedStates_none_none_161225&amp;utm_content=saletructiep_khoahocielts_PTAGTTD_LD253&amp;utm_campaign=UnitedStates.giaotiep.hocnline_Patado_SEA_HoaNT_161225" TargetMode="External"/><Relationship Id="rId74" Type="http://schemas.openxmlformats.org/officeDocument/2006/relationships/hyperlink" Target="https://patadovietnam.edu.vn/tieng-anh-giao-tiep-united-states/" TargetMode="External"/><Relationship Id="rId77" Type="http://schemas.openxmlformats.org/officeDocument/2006/relationships/hyperlink" Target="https://patadovietnam.edu.vn/tieng-anh-giao-tiep-united-states/?utm_source=Google&amp;utm_medium=SEA&amp;utm_term=NEW_UnitedStates_none_none_161225&amp;utm_content=saletructiep_lophocielts_PTAGTTD_LD253&amp;utm_campaign=UnitedStates.giaotiep.hocnline_Patado_SEA_HoaNT_161225" TargetMode="External"/><Relationship Id="rId76" Type="http://schemas.openxmlformats.org/officeDocument/2006/relationships/hyperlink" Target="https://patadovietnam.edu.vn/tieng-anh-giao-tiep-united-states/" TargetMode="External"/><Relationship Id="rId79" Type="http://schemas.openxmlformats.org/officeDocument/2006/relationships/hyperlink" Target="https://patadovietnam.edu.vn/tieng-anh-giao-tiep-united-states/?utm_source=Google&amp;utm_medium=SEA&amp;utm_term=NEW_UnitedStates_none_none_161225&amp;utm_content=saletructiep_trungtamluyenielts_PTAGTTD_LD253&amp;utm_campaign=UnitedStates.giaotiep.hocnline_Patado_SEA_HoaNT_161225" TargetMode="External"/><Relationship Id="rId78" Type="http://schemas.openxmlformats.org/officeDocument/2006/relationships/hyperlink" Target="https://patadovietnam.edu.vn/tieng-anh-giao-tiep-united-states/" TargetMode="External"/><Relationship Id="rId71" Type="http://schemas.openxmlformats.org/officeDocument/2006/relationships/hyperlink" Target="https://patadovietnam.edu.vn/tieng-anh-giao-tiep-united-states/?utm_source=Google&amp;utm_medium=SEA&amp;utm_term=NEW_UnitedStates_none_none_161225&amp;utm_content=saletructiep_lotrinhielts_PTAGTTD_LD253&amp;utm_campaign=UnitedStates.giaotiep.hocnline_Patado_SEA_HoaNT_161225" TargetMode="External"/><Relationship Id="rId70" Type="http://schemas.openxmlformats.org/officeDocument/2006/relationships/hyperlink" Target="https://patadovietnam.edu.vn/tieng-anh-giao-tiep-united-states/" TargetMode="External"/><Relationship Id="rId62" Type="http://schemas.openxmlformats.org/officeDocument/2006/relationships/hyperlink" Target="https://patadovietnam.edu.vn/tieng-anh-giao-tiep-united-states/" TargetMode="External"/><Relationship Id="rId61" Type="http://schemas.openxmlformats.org/officeDocument/2006/relationships/hyperlink" Target="https://patado.edu.vn/khoa-tieng-anh-giao-tiep-o-nhat-ban/?utm_source=Google&amp;utm_medium=SEA&amp;utm_term=NEW_Japan_none_none_161225&amp;utm_content=saletructiep_hocphi_PTAGTTD_LD264&amp;utm_campaign=Japan.giaotiep.tienganhonline_Patado_SEA_HoaNT_161225" TargetMode="External"/><Relationship Id="rId64" Type="http://schemas.openxmlformats.org/officeDocument/2006/relationships/hyperlink" Target="https://patadovietnam.edu.vn/tieng-anh-giao-tiep-united-states/" TargetMode="External"/><Relationship Id="rId63" Type="http://schemas.openxmlformats.org/officeDocument/2006/relationships/hyperlink" Target="https://patadovietnam.edu.vn/tieng-anh-giao-tiep-united-states/?utm_source=Google&amp;utm_medium=SEA&amp;utm_term=NEW_UnitedStates_none_none_161225&amp;utm_content=saletructiep_hocielts_PTAGTTD_LD253&amp;utm_campaign=UnitedStates.giaotiep.hocnline_Patado_SEA_HoaNT_161225" TargetMode="External"/><Relationship Id="rId66" Type="http://schemas.openxmlformats.org/officeDocument/2006/relationships/hyperlink" Target="https://patadovietnam.edu.vn/tieng-anh-giao-tiep-united-states/" TargetMode="External"/><Relationship Id="rId65" Type="http://schemas.openxmlformats.org/officeDocument/2006/relationships/hyperlink" Target="https://patadovietnam.edu.vn/tieng-anh-giao-tiep-united-states/?utm_source=Google&amp;utm_medium=SEA&amp;utm_term=NEW_UnitedStates_none_none_161225&amp;utm_content=saletructiep_ieltsonline_PTAGTTD_LD253&amp;utm_campaign=UnitedStates.giaotiep.hocnline_Patado_SEA_HoaNT_161225" TargetMode="External"/><Relationship Id="rId68" Type="http://schemas.openxmlformats.org/officeDocument/2006/relationships/hyperlink" Target="https://patadovietnam.edu.vn/tieng-anh-giao-tiep-united-states/" TargetMode="External"/><Relationship Id="rId67" Type="http://schemas.openxmlformats.org/officeDocument/2006/relationships/hyperlink" Target="https://patadovietnam.edu.vn/tieng-anh-giao-tiep-united-states/?utm_source=Google&amp;utm_medium=SEA&amp;utm_term=NEW_UnitedStates_none_none_161225&amp;utm_content=saletructiep_ieltsmatgoc_PTAGTTD_LD253&amp;utm_campaign=UnitedStates.giaotiep.hocnline_Patado_SEA_HoaNT_161225" TargetMode="External"/><Relationship Id="rId60" Type="http://schemas.openxmlformats.org/officeDocument/2006/relationships/hyperlink" Target="https://patado.edu.vn/khoa-tieng-anh-giao-tiep-o-nhat-ban" TargetMode="External"/><Relationship Id="rId69" Type="http://schemas.openxmlformats.org/officeDocument/2006/relationships/hyperlink" Target="https://patadovietnam.edu.vn/tieng-anh-giao-tiep-united-states/?utm_source=Google&amp;utm_medium=SEA&amp;utm_term=NEW_UnitedStates_none_none_161225&amp;utm_content=saletructiep_luyenthiielts_PTAGTTD_LD253&amp;utm_campaign=UnitedStates.giaotiep.hocnline_Patado_SEA_HoaNT_161225" TargetMode="External"/><Relationship Id="rId51" Type="http://schemas.openxmlformats.org/officeDocument/2006/relationships/hyperlink" Target="https://patado.edu.vn/khoa-tieng-anh-giao-tiep-o-nhat-ban/?utm_source=Google&amp;utm_medium=SEA&amp;utm_term=NEW_Japan_none_none_161225&amp;utm_content=saletructiep_trungtamielts_PTAGTTD_LD264&amp;utm_campaign=Japan.giaotiep.tienganhonline_Patado_SEA_HoaNT_161225" TargetMode="External"/><Relationship Id="rId50" Type="http://schemas.openxmlformats.org/officeDocument/2006/relationships/hyperlink" Target="https://patado.edu.vn/khoa-tieng-anh-giao-tiep-o-nhat-ban" TargetMode="External"/><Relationship Id="rId53" Type="http://schemas.openxmlformats.org/officeDocument/2006/relationships/hyperlink" Target="https://patado.edu.vn/khoa-tieng-anh-giao-tiep-o-nhat-ban/?utm_source=Google&amp;utm_medium=SEA&amp;utm_term=NEW_Japan_none_none_161225&amp;utm_content=saletructiep_trungtamtoiec_PTAGTTD_LD264&amp;utm_campaign=Japan.giaotiep.tienganhonline_Patado_SEA_HoaNT_161225" TargetMode="External"/><Relationship Id="rId52" Type="http://schemas.openxmlformats.org/officeDocument/2006/relationships/hyperlink" Target="https://patado.edu.vn/khoa-tieng-anh-giao-tiep-o-nhat-ban" TargetMode="External"/><Relationship Id="rId55" Type="http://schemas.openxmlformats.org/officeDocument/2006/relationships/hyperlink" Target="https://patado.edu.vn/khoa-tieng-anh-giao-tiep-o-nhat-ban/?utm_source=Google&amp;utm_medium=SEA&amp;utm_term=NEW_Japan_none_none_161225&amp;utm_content=saletructiep_trungtamPatado_PTAGTTD_LD264&amp;utm_campaign=Japan.giaotiep.tienganhonline_Patado_SEA_HoaNT_161225" TargetMode="External"/><Relationship Id="rId54" Type="http://schemas.openxmlformats.org/officeDocument/2006/relationships/hyperlink" Target="https://patado.edu.vn/khoa-tieng-anh-giao-tiep-o-nhat-ban" TargetMode="External"/><Relationship Id="rId57" Type="http://schemas.openxmlformats.org/officeDocument/2006/relationships/hyperlink" Target="https://patado.edu.vn/khoa-tieng-anh-giao-tiep-o-nhat-ban/?utm_source=Google&amp;utm_medium=SEA&amp;utm_term=NEW_Japan_none_none_161225&amp;utm_content=saletructiep_trungtamonline_PTAGTTD_LD264&amp;utm_campaign=Japan.giaotiep.tienganhonline_Patado_SEA_HoaNT_161225" TargetMode="External"/><Relationship Id="rId56" Type="http://schemas.openxmlformats.org/officeDocument/2006/relationships/hyperlink" Target="https://patado.edu.vn/khoa-tieng-anh-giao-tiep-o-nhat-ban" TargetMode="External"/><Relationship Id="rId59" Type="http://schemas.openxmlformats.org/officeDocument/2006/relationships/hyperlink" Target="https://patado.edu.vn/khoa-tieng-anh-giao-tiep-o-nhat-ban/?utm_source=Google&amp;utm_medium=SEA&amp;utm_term=NEW_Japan_none_none_161225&amp;utm_content=saletructiep_tienganhthuongmai_PTAGTTD_LD264&amp;utm_campaign=Japan.giaotiep.tienganhonline_Patado_SEA_HoaNT_161225" TargetMode="External"/><Relationship Id="rId58" Type="http://schemas.openxmlformats.org/officeDocument/2006/relationships/hyperlink" Target="https://patado.edu.vn/khoa-tieng-anh-giao-tiep-o-nhat-ban" TargetMode="External"/><Relationship Id="rId349" Type="http://schemas.openxmlformats.org/officeDocument/2006/relationships/hyperlink" Target="https://patadovietnam.edu.vn/khoa-giao-tiep-cho-nguoi-viet-tai-han-quoc/?utm_source=Google&amp;utm_medium=SEA&amp;utm_term=NEW_KoreaSouth_none_none_150126&amp;utm_content=saletructiep_Hoctienganh11_PTAGTTD_LD259&amp;utm_campaign=KoreaSouth.giaotiep.tienganh_Patado_SEA_HoaNT_150126" TargetMode="External"/><Relationship Id="rId348" Type="http://schemas.openxmlformats.org/officeDocument/2006/relationships/hyperlink" Target="https://patadovietnam.edu.vn/khoa-giao-tiep-cho-nguoi-viet-tai-han-quoc/" TargetMode="External"/><Relationship Id="rId347" Type="http://schemas.openxmlformats.org/officeDocument/2006/relationships/hyperlink" Target="https://patadovietnam.edu.vn/khoa-giao-tiep-cho-nguoi-viet-tai-han-quoc/?utm_source=Google&amp;utm_medium=SEA&amp;utm_term=NEW_KoreaSouth_none_none_150126&amp;utm_content=saletructiep_Hoctienganh_PTAGTTD_LD259&amp;utm_campaign=KoreaSouth.giaotiep.tienganh_Patado_SEA_HoaNT_150126" TargetMode="External"/><Relationship Id="rId346" Type="http://schemas.openxmlformats.org/officeDocument/2006/relationships/hyperlink" Target="https://patadovietnam.edu.vn/khoa-giao-tiep-cho-nguoi-viet-tai-han-quoc/" TargetMode="External"/><Relationship Id="rId341" Type="http://schemas.openxmlformats.org/officeDocument/2006/relationships/hyperlink" Target="https://patadovietnam.edu.vn/khoa-hoc-ielts-patado/?utm_source=Google&amp;utm_medium=SEA&amp;utm_term=NEW_ALL_1855_none_140126&amp;utm_content=saletructiep_Trungtamtienganhielts_PTAGTTD_LD258&amp;utm_campaign=ALL.ielts.tienganh_Patado_SEA_HoaNT_140126" TargetMode="External"/><Relationship Id="rId340" Type="http://schemas.openxmlformats.org/officeDocument/2006/relationships/hyperlink" Target="https://patadovietnam.edu.vn/khoa-hoc-ielts-patado/" TargetMode="External"/><Relationship Id="rId345" Type="http://schemas.openxmlformats.org/officeDocument/2006/relationships/hyperlink" Target="https://patadovietnam.edu.vn/khoa-hoc-ielts-patado/?utm_source=Google&amp;utm_medium=SEA&amp;utm_term=NEW_ALL_1855_none_140126&amp;utm_content=saletructiep_Trungtamielts_PTAGTTD_LD258&amp;utm_campaign=ALL.ielts.tienganh_Patado_SEA_HoaNT_140126" TargetMode="External"/><Relationship Id="rId344" Type="http://schemas.openxmlformats.org/officeDocument/2006/relationships/hyperlink" Target="https://patadovietnam.edu.vn/khoa-hoc-ielts-patado/" TargetMode="External"/><Relationship Id="rId343" Type="http://schemas.openxmlformats.org/officeDocument/2006/relationships/hyperlink" Target="https://patadovietnam.edu.vn/khoa-hoc-ielts-patado/?utm_source=Google&amp;utm_medium=SEA&amp;utm_term=NEW_ALL_1855_none_140126&amp;utm_content=saletructiep_Trungtamhocielts_PTAGTTD_LD258&amp;utm_campaign=ALL.ielts.tienganh_Patado_SEA_HoaNT_140126" TargetMode="External"/><Relationship Id="rId342" Type="http://schemas.openxmlformats.org/officeDocument/2006/relationships/hyperlink" Target="https://patadovietnam.edu.vn/khoa-hoc-ielts-patado/" TargetMode="External"/><Relationship Id="rId338" Type="http://schemas.openxmlformats.org/officeDocument/2006/relationships/hyperlink" Target="https://patadovietnam.edu.vn/khoa-hoc-ielts-patado/" TargetMode="External"/><Relationship Id="rId337" Type="http://schemas.openxmlformats.org/officeDocument/2006/relationships/hyperlink" Target="https://patadovietnam.edu.vn/khoa-hoc-ielts-patado/?utm_source=Google&amp;utm_medium=SEA&amp;utm_term=NEW_ALL_1855_none_140126&amp;utm_content=saletructiep_Lopielts_PTAGTTD_LD258&amp;utm_campaign=ALL.ielts.tienganh_Patado_SEA_HoaNT_140126" TargetMode="External"/><Relationship Id="rId336" Type="http://schemas.openxmlformats.org/officeDocument/2006/relationships/hyperlink" Target="https://patadovietnam.edu.vn/khoa-hoc-ielts-patado/" TargetMode="External"/><Relationship Id="rId335" Type="http://schemas.openxmlformats.org/officeDocument/2006/relationships/hyperlink" Target="https://patadovietnam.edu.vn/khoa-hoc-ielts-patado/?utm_source=Google&amp;utm_medium=SEA&amp;utm_term=NEW_ALL_1855_none_140126&amp;utm_content=saletructiep_Luyenielts_PTAGTTD_LD258&amp;utm_campaign=ALL.ielts.tienganh_Patado_SEA_HoaNT_140126" TargetMode="External"/><Relationship Id="rId339" Type="http://schemas.openxmlformats.org/officeDocument/2006/relationships/hyperlink" Target="https://patadovietnam.edu.vn/khoa-hoc-ielts-patado/?utm_source=Google&amp;utm_medium=SEA&amp;utm_term=NEW_ALL_1855_none_140126&amp;utm_content=saletructiep_Ielts1kem1_PTAGTTD_LD258&amp;utm_campaign=ALL.ielts.tienganh_Patado_SEA_HoaNT_140126" TargetMode="External"/><Relationship Id="rId330" Type="http://schemas.openxmlformats.org/officeDocument/2006/relationships/hyperlink" Target="https://patadovietnam.edu.vn/khoa-hoc-ielts-patado/" TargetMode="External"/><Relationship Id="rId334" Type="http://schemas.openxmlformats.org/officeDocument/2006/relationships/hyperlink" Target="https://patadovietnam.edu.vn/khoa-hoc-ielts-patado/" TargetMode="External"/><Relationship Id="rId333" Type="http://schemas.openxmlformats.org/officeDocument/2006/relationships/hyperlink" Target="https://patadovietnam.edu.vn/khoa-hoc-ielts-patado/?utm_source=Google&amp;utm_medium=SEA&amp;utm_term=NEW_ALL_1855_none_140126&amp;utm_content=saletructiep_Khoahocielts_PTAGTTD_LD258&amp;utm_campaign=ALL.ielts.tienganh_Patado_SEA_HoaNT_140126" TargetMode="External"/><Relationship Id="rId332" Type="http://schemas.openxmlformats.org/officeDocument/2006/relationships/hyperlink" Target="https://patadovietnam.edu.vn/khoa-hoc-ielts-patado/" TargetMode="External"/><Relationship Id="rId331" Type="http://schemas.openxmlformats.org/officeDocument/2006/relationships/hyperlink" Target="https://patadovietnam.edu.vn/khoa-hoc-ielts-patado/?utm_source=Google&amp;utm_medium=SEA&amp;utm_term=NEW_ALL_1855_none_140126&amp;utm_content=saletructiep_Lotrinhhocielts_PTAGTTD_LD258&amp;utm_campaign=ALL.ielts.tienganh_Patado_SEA_HoaNT_140126" TargetMode="External"/><Relationship Id="rId370" Type="http://schemas.openxmlformats.org/officeDocument/2006/relationships/hyperlink" Target="https://patadovietnam.edu.vn/khoa-giao-tiep-cho-nguoi-viet-tai-han-quoc/" TargetMode="External"/><Relationship Id="rId369" Type="http://schemas.openxmlformats.org/officeDocument/2006/relationships/hyperlink" Target="https://patadovietnam.edu.vn/khoa-giao-tiep-cho-nguoi-viet-tai-han-quoc/?utm_source=Google&amp;utm_medium=SEA&amp;utm_term=NEW_KoreaSouth_none_none_150126&amp;utm_content=saletructiep_Trungtamonline_PTAGTTD_LD259&amp;utm_campaign=KoreaSouth.giaotiep.tienganh_Patado_SEA_HoaNT_150126" TargetMode="External"/><Relationship Id="rId368" Type="http://schemas.openxmlformats.org/officeDocument/2006/relationships/hyperlink" Target="https://patadovietnam.edu.vn/khoa-giao-tiep-cho-nguoi-viet-tai-han-quoc/" TargetMode="External"/><Relationship Id="rId363" Type="http://schemas.openxmlformats.org/officeDocument/2006/relationships/hyperlink" Target="https://patadovietnam.edu.vn/khoa-giao-tiep-cho-nguoi-viet-tai-han-quoc/?utm_source=Google&amp;utm_medium=SEA&amp;utm_term=NEW_KoreaSouth_none_none_150126&amp;utm_content=saletructiep_Hocgiaotieponline_PTAGTTD_LD259&amp;utm_campaign=KoreaSouth.giaotiep.tienganh_Patado_SEA_HoaNT_150126" TargetMode="External"/><Relationship Id="rId362" Type="http://schemas.openxmlformats.org/officeDocument/2006/relationships/hyperlink" Target="https://patadovietnam.edu.vn/khoa-giao-tiep-cho-nguoi-viet-tai-han-quoc/" TargetMode="External"/><Relationship Id="rId361" Type="http://schemas.openxmlformats.org/officeDocument/2006/relationships/hyperlink" Target="https://patadovietnam.edu.vn/khoa-giao-tiep-cho-nguoi-viet-tai-han-quoc/?utm_source=Google&amp;utm_medium=SEA&amp;utm_term=NEW_KoreaSouth_none_none_150126&amp;utm_content=saletructiep_Hoconline11_PTAGTTD_LD259&amp;utm_campaign=KoreaSouth.giaotiep.tienganh_Patado_SEA_HoaNT_150126" TargetMode="External"/><Relationship Id="rId360" Type="http://schemas.openxmlformats.org/officeDocument/2006/relationships/hyperlink" Target="https://patadovietnam.edu.vn/khoa-giao-tiep-cho-nguoi-viet-tai-han-quoc/" TargetMode="External"/><Relationship Id="rId367" Type="http://schemas.openxmlformats.org/officeDocument/2006/relationships/hyperlink" Target="https://patadovietnam.edu.vn/khoa-giao-tiep-cho-nguoi-viet-tai-han-quoc/?utm_source=Google&amp;utm_medium=SEA&amp;utm_term=NEW_KoreaSouth_none_none_150126&amp;utm_content=saletructiep_Khoagiaotieponline_PTAGTTD_LD259&amp;utm_campaign=KoreaSouth.giaotiep.tienganh_Patado_SEA_HoaNT_150126" TargetMode="External"/><Relationship Id="rId366" Type="http://schemas.openxmlformats.org/officeDocument/2006/relationships/hyperlink" Target="https://patadovietnam.edu.vn/khoa-giao-tiep-cho-nguoi-viet-tai-han-quoc/" TargetMode="External"/><Relationship Id="rId365" Type="http://schemas.openxmlformats.org/officeDocument/2006/relationships/hyperlink" Target="https://patadovietnam.edu.vn/khoa-giao-tiep-cho-nguoi-viet-tai-han-quoc/?utm_source=Google&amp;utm_medium=SEA&amp;utm_term=NEW_KoreaSouth_none_none_150126&amp;utm_content=saletructiep_Loponline_PTAGTTD_LD259&amp;utm_campaign=KoreaSouth.giaotiep.tienganh_Patado_SEA_HoaNT_150126" TargetMode="External"/><Relationship Id="rId364" Type="http://schemas.openxmlformats.org/officeDocument/2006/relationships/hyperlink" Target="https://patadovietnam.edu.vn/khoa-giao-tiep-cho-nguoi-viet-tai-han-quoc/" TargetMode="External"/><Relationship Id="rId95" Type="http://schemas.openxmlformats.org/officeDocument/2006/relationships/hyperlink" Target="https://patadovietnam.edu.vn/tieng-anh-giao-tiep-toan-dien-all/?utm_source=Google&amp;utm_medium=SEA&amp;utm_term=NEW_ALL_none_none_211225&amp;utm_content=saletructiep_ieltsmatgoc_PTAGTTD_LD254&amp;utm_campaign=ALL.giaotiep.englishonline_Patado_SEA_HoaNT_211225" TargetMode="External"/><Relationship Id="rId94" Type="http://schemas.openxmlformats.org/officeDocument/2006/relationships/hyperlink" Target="https://patadovietnam.edu.vn/tieng-anh-giao-tiep-toan-dien-all/" TargetMode="External"/><Relationship Id="rId97" Type="http://schemas.openxmlformats.org/officeDocument/2006/relationships/hyperlink" Target="https://patadovietnam.edu.vn/tieng-anh-giao-tiep-toan-dien-all/?utm_source=Google&amp;utm_medium=SEA&amp;utm_term=NEW_ALL_none_none_211225&amp;utm_content=saletructiep_luyenthiielts_PTAGTTD_LD254&amp;utm_campaign=ALL.giaotiep.englishonline_Patado_SEA_HoaNT_211225" TargetMode="External"/><Relationship Id="rId96" Type="http://schemas.openxmlformats.org/officeDocument/2006/relationships/hyperlink" Target="https://patadovietnam.edu.vn/tieng-anh-giao-tiep-toan-dien-all/" TargetMode="External"/><Relationship Id="rId99" Type="http://schemas.openxmlformats.org/officeDocument/2006/relationships/hyperlink" Target="https://patadovietnam.edu.vn/tieng-anh-giao-tiep-toan-dien-all/?utm_source=Google&amp;utm_medium=SEA&amp;utm_term=NEW_ALL_none_none_211225&amp;utm_content=saletructiep_lotrinhielts_PTAGTTD_LD254&amp;utm_campaign=ALL.giaotiep.englishonline_Patado_SEA_HoaNT_211225" TargetMode="External"/><Relationship Id="rId98" Type="http://schemas.openxmlformats.org/officeDocument/2006/relationships/hyperlink" Target="https://patadovietnam.edu.vn/tieng-anh-giao-tiep-toan-dien-all/" TargetMode="External"/><Relationship Id="rId91" Type="http://schemas.openxmlformats.org/officeDocument/2006/relationships/hyperlink" Target="https://patadovietnam.edu.vn/tieng-anh-giao-tiep-toan-dien-all/?utm_source=Google&amp;utm_medium=SEA&amp;utm_term=NEW_ALL_none_none_211225&amp;utm_content=saletructiep_hocielts_PTAGTTD_LD254&amp;utm_campaign=ALL.giaotiep.englishonline_Patado_SEA_HoaNT_211225" TargetMode="External"/><Relationship Id="rId90" Type="http://schemas.openxmlformats.org/officeDocument/2006/relationships/hyperlink" Target="https://patadovietnam.edu.vn/tieng-anh-giao-tiep-toan-dien-all/" TargetMode="External"/><Relationship Id="rId93" Type="http://schemas.openxmlformats.org/officeDocument/2006/relationships/hyperlink" Target="https://patadovietnam.edu.vn/tieng-anh-giao-tiep-toan-dien-all/?utm_source=Google&amp;utm_medium=SEA&amp;utm_term=NEW_ALL_none_none_211225&amp;utm_content=saletructiep_ieltsonline_PTAGTTD_LD254&amp;utm_campaign=ALL.giaotiep.englishonline_Patado_SEA_HoaNT_211225" TargetMode="External"/><Relationship Id="rId92" Type="http://schemas.openxmlformats.org/officeDocument/2006/relationships/hyperlink" Target="https://patadovietnam.edu.vn/tieng-anh-giao-tiep-toan-dien-all/" TargetMode="External"/><Relationship Id="rId359" Type="http://schemas.openxmlformats.org/officeDocument/2006/relationships/hyperlink" Target="https://patadovietnam.edu.vn/khoa-giao-tiep-cho-nguoi-viet-tai-han-quoc/?utm_source=Google&amp;utm_medium=SEA&amp;utm_term=NEW_KoreaSouth_none_none_150126&amp;utm_content=saletructiep_Hoconline_PTAGTTD_LD259&amp;utm_campaign=KoreaSouth.giaotiep.tienganh_Patado_SEA_HoaNT_150126" TargetMode="External"/><Relationship Id="rId358" Type="http://schemas.openxmlformats.org/officeDocument/2006/relationships/hyperlink" Target="https://patadovietnam.edu.vn/khoa-giao-tiep-cho-nguoi-viet-tai-han-quoc/" TargetMode="External"/><Relationship Id="rId357" Type="http://schemas.openxmlformats.org/officeDocument/2006/relationships/hyperlink" Target="https://patadovietnam.edu.vn/khoa-giao-tiep-cho-nguoi-viet-tai-han-quoc/?utm_source=Google&amp;utm_medium=SEA&amp;utm_term=NEW_KoreaSouth_none_none_150126&amp;utm_content=saletructiep_Tienganhonline11_PTAGTTD_LD259&amp;utm_campaign=KoreaSouth.giaotiep.tienganh_Patado_SEA_HoaNT_150126" TargetMode="External"/><Relationship Id="rId352" Type="http://schemas.openxmlformats.org/officeDocument/2006/relationships/hyperlink" Target="https://patadovietnam.edu.vn/khoa-giao-tiep-cho-nguoi-viet-tai-han-quoc/" TargetMode="External"/><Relationship Id="rId351" Type="http://schemas.openxmlformats.org/officeDocument/2006/relationships/hyperlink" Target="https://patadovietnam.edu.vn/khoa-giao-tiep-cho-nguoi-viet-tai-han-quoc/?utm_source=Google&amp;utm_medium=SEA&amp;utm_term=NEW_KoreaSouth_none_none_150126&amp;utm_content=saletructiep_Tienganhtructuyen_PTAGTTD_LD259&amp;utm_campaign=KoreaSouth.giaotiep.tienganh_Patado_SEA_HoaNT_150126" TargetMode="External"/><Relationship Id="rId350" Type="http://schemas.openxmlformats.org/officeDocument/2006/relationships/hyperlink" Target="https://patadovietnam.edu.vn/khoa-giao-tiep-cho-nguoi-viet-tai-han-quoc/" TargetMode="External"/><Relationship Id="rId356" Type="http://schemas.openxmlformats.org/officeDocument/2006/relationships/hyperlink" Target="https://patadovietnam.edu.vn/khoa-giao-tiep-cho-nguoi-viet-tai-han-quoc/" TargetMode="External"/><Relationship Id="rId355" Type="http://schemas.openxmlformats.org/officeDocument/2006/relationships/hyperlink" Target="https://patadovietnam.edu.vn/khoa-giao-tiep-cho-nguoi-viet-tai-han-quoc/?utm_source=Google&amp;utm_medium=SEA&amp;utm_term=NEW_KoreaSouth_none_none_150126&amp;utm_content=saletructiep_Tienganhonline_PTAGTTD_LD259&amp;utm_campaign=KoreaSouth.giaotiep.tienganh_Patado_SEA_HoaNT_150126" TargetMode="External"/><Relationship Id="rId354" Type="http://schemas.openxmlformats.org/officeDocument/2006/relationships/hyperlink" Target="https://patadovietnam.edu.vn/khoa-giao-tiep-cho-nguoi-viet-tai-han-quoc/" TargetMode="External"/><Relationship Id="rId353" Type="http://schemas.openxmlformats.org/officeDocument/2006/relationships/hyperlink" Target="https://patadovietnam.edu.vn/khoa-giao-tiep-cho-nguoi-viet-tai-han-quoc/?utm_source=Google&amp;utm_medium=SEA&amp;utm_term=NEW_KoreaSouth_none_none_150126&amp;utm_content=saletructiep_Tienganhquamang_PTAGTTD_LD259&amp;utm_campaign=KoreaSouth.giaotiep.tienganh_Patado_SEA_HoaNT_150126" TargetMode="External"/><Relationship Id="rId305" Type="http://schemas.openxmlformats.org/officeDocument/2006/relationships/hyperlink" Target="https://patadovietnam.edu.vn/khoa-giao-tiep-unitedstates/?utm_source=Google&amp;utm_medium=SEA&amp;utm_term=NEW_UnitedStates_none_none_120126&amp;utm_content=saletructiep_Khoagiaotiep_PTAGTTD_LD255&amp;utm_campaign=UnitedStates.giaotiep.tienganh_Patado_SEA_HoaNT_120126" TargetMode="External"/><Relationship Id="rId304" Type="http://schemas.openxmlformats.org/officeDocument/2006/relationships/hyperlink" Target="https://patadovietnam.edu.vn/khoa-giao-tiep-unitedstates/" TargetMode="External"/><Relationship Id="rId303" Type="http://schemas.openxmlformats.org/officeDocument/2006/relationships/hyperlink" Target="https://patadovietnam.edu.vn/khoa-giao-tiep-unitedstates/?utm_source=Google&amp;utm_medium=SEA&amp;utm_term=NEW_UnitedStates_none_none_120126&amp;utm_content=saletructiep_Lopgiaotiep_PTAGTTD_LD255&amp;utm_campaign=UnitedStates.giaotiep.tienganh_Patado_SEA_HoaNT_120126" TargetMode="External"/><Relationship Id="rId302" Type="http://schemas.openxmlformats.org/officeDocument/2006/relationships/hyperlink" Target="https://patadovietnam.edu.vn/khoa-giao-tiep-unitedstates/" TargetMode="External"/><Relationship Id="rId309" Type="http://schemas.openxmlformats.org/officeDocument/2006/relationships/hyperlink" Target="https://patadovietnam.edu.vn/khoa-giao-tiep-unitedstates/?utm_source=Google&amp;utm_medium=SEA&amp;utm_term=NEW_UnitedStates_none_none_120126&amp;utm_content=saletructiep_Hocphigiaotiep_PTAGTTD_LD255&amp;utm_campaign=UnitedStates.giaotiep.tienganh_Patado_SEA_HoaNT_120126" TargetMode="External"/><Relationship Id="rId308" Type="http://schemas.openxmlformats.org/officeDocument/2006/relationships/hyperlink" Target="https://patadovietnam.edu.vn/khoa-giao-tiep-unitedstates/" TargetMode="External"/><Relationship Id="rId307" Type="http://schemas.openxmlformats.org/officeDocument/2006/relationships/hyperlink" Target="https://patadovietnam.edu.vn/khoa-giao-tiep-unitedstates/?utm_source=Google&amp;utm_medium=SEA&amp;utm_term=NEW_UnitedStates_none_none_120126&amp;utm_content=saletructiep_Trungtamgiaotiep_PTAGTTD_LD255&amp;utm_campaign=UnitedStates.giaotiep.tienganh_Patado_SEA_HoaNT_120126" TargetMode="External"/><Relationship Id="rId306" Type="http://schemas.openxmlformats.org/officeDocument/2006/relationships/hyperlink" Target="https://patadovietnam.edu.vn/khoa-giao-tiep-unitedstates/" TargetMode="External"/><Relationship Id="rId301" Type="http://schemas.openxmlformats.org/officeDocument/2006/relationships/hyperlink" Target="https://patadovietnam.edu.vn/khoa-giao-tiep-unitedstates/?utm_source=Google&amp;utm_medium=SEA&amp;utm_term=NEW_UnitedStates_none_none_120126&amp;utm_content=saletructiep_Lotrinhgiaotiep_PTAGTTD_LD255&amp;utm_campaign=UnitedStates.giaotiep.tienganh_Patado_SEA_HoaNT_120126" TargetMode="External"/><Relationship Id="rId300" Type="http://schemas.openxmlformats.org/officeDocument/2006/relationships/hyperlink" Target="https://patadovietnam.edu.vn/khoa-giao-tiep-unitedstates/" TargetMode="External"/><Relationship Id="rId327" Type="http://schemas.openxmlformats.org/officeDocument/2006/relationships/hyperlink" Target="https://patadovietnam.edu.vn/khoa-hoc-ielts-patado/?utm_source=Google&amp;utm_medium=SEA&amp;utm_term=NEW_ALL_1855_none_140126&amp;utm_content=saletructiep_Ieltsonline_PTAGTTD_LD258&amp;utm_campaign=ALL.ielts.tienganh_Patado_SEA_HoaNT_140126" TargetMode="External"/><Relationship Id="rId326" Type="http://schemas.openxmlformats.org/officeDocument/2006/relationships/hyperlink" Target="https://patadovietnam.edu.vn/khoa-hoc-ielts-patado/" TargetMode="External"/><Relationship Id="rId325" Type="http://schemas.openxmlformats.org/officeDocument/2006/relationships/hyperlink" Target="https://patadovietnam.edu.vn/khoa-hoc-ielts-patado/?utm_source=Google&amp;utm_medium=SEA&amp;utm_term=NEW_ALL_1855_none_140126&amp;utm_content=saletructiep_Hocthiielts_PTAGTTD_LD258&amp;utm_campaign=ALL.ielts.tienganh_Patado_SEA_HoaNT_140126" TargetMode="External"/><Relationship Id="rId324" Type="http://schemas.openxmlformats.org/officeDocument/2006/relationships/hyperlink" Target="https://patadovietnam.edu.vn/khoa-hoc-ielts-patado/" TargetMode="External"/><Relationship Id="rId329" Type="http://schemas.openxmlformats.org/officeDocument/2006/relationships/hyperlink" Target="https://patadovietnam.edu.vn/khoa-hoc-ielts-patado/?utm_source=Google&amp;utm_medium=SEA&amp;utm_term=NEW_ALL_1855_none_140126&amp;utm_content=saletructiep_Ieltsmatgoc_PTAGTTD_LD258&amp;utm_campaign=ALL.ielts.tienganh_Patado_SEA_HoaNT_140126" TargetMode="External"/><Relationship Id="rId328" Type="http://schemas.openxmlformats.org/officeDocument/2006/relationships/hyperlink" Target="https://patadovietnam.edu.vn/khoa-hoc-ielts-patado/" TargetMode="External"/><Relationship Id="rId323" Type="http://schemas.openxmlformats.org/officeDocument/2006/relationships/hyperlink" Target="https://patadovietnam.edu.vn/khoa-hoc-ielts-patado/?utm_source=Google&amp;utm_medium=SEA&amp;utm_term=NEW_ALL_1855_none_140126&amp;utm_content=saletructiep_Hoctienganhielts_PTAGTTD_LD258&amp;utm_campaign=ALL.ielts.tienganh_Patado_SEA_HoaNT_140126" TargetMode="External"/><Relationship Id="rId322" Type="http://schemas.openxmlformats.org/officeDocument/2006/relationships/hyperlink" Target="https://patadovietnam.edu.vn/khoa-hoc-ielts-patado/" TargetMode="External"/><Relationship Id="rId321" Type="http://schemas.openxmlformats.org/officeDocument/2006/relationships/hyperlink" Target="https://patadovietnam.edu.vn/khoa-hoc-ielts-patado/?utm_source=Google&amp;utm_medium=SEA&amp;utm_term=NEW_ALL_1855_none_140126&amp;utm_content=saletructiep_Hocielts_PTAGTTD_LD258&amp;utm_campaign=ALL.ielts.tienganh_Patado_SEA_HoaNT_140126" TargetMode="External"/><Relationship Id="rId320" Type="http://schemas.openxmlformats.org/officeDocument/2006/relationships/hyperlink" Target="https://patadovietnam.edu.vn/khoa-hoc-ielts-patado/" TargetMode="External"/><Relationship Id="rId316" Type="http://schemas.openxmlformats.org/officeDocument/2006/relationships/hyperlink" Target="https://patadovietnam.edu.vn/khoa-giao-tiep-unitedstates/" TargetMode="External"/><Relationship Id="rId315" Type="http://schemas.openxmlformats.org/officeDocument/2006/relationships/hyperlink" Target="https://patadovietnam.edu.vn/khoa-giao-tiep-unitedstates/?utm_source=Google&amp;utm_medium=SEA&amp;utm_term=NEW_UnitedStates_none_none_120126&amp;utm_content=saletructiep_Tienganhngmatgoc_PTAGTTD_LD255&amp;utm_campaign=UnitedStates.giaotiep.tienganh_Patado_SEA_HoaNT_120126" TargetMode="External"/><Relationship Id="rId314" Type="http://schemas.openxmlformats.org/officeDocument/2006/relationships/hyperlink" Target="https://patadovietnam.edu.vn/khoa-giao-tiep-unitedstates/" TargetMode="External"/><Relationship Id="rId313" Type="http://schemas.openxmlformats.org/officeDocument/2006/relationships/hyperlink" Target="https://patadovietnam.edu.vn/khoa-giao-tiep-unitedstates/?utm_source=Google&amp;utm_medium=SEA&amp;utm_term=NEW_UnitedStates_none_none_120126&amp;utm_content=saletructiep_Tienganhngdilam_PTAGTTD_LD255&amp;utm_campaign=UnitedStates.giaotiep.tienganh_Patado_SEA_HoaNT_120126" TargetMode="External"/><Relationship Id="rId319" Type="http://schemas.openxmlformats.org/officeDocument/2006/relationships/hyperlink" Target="https://patadovietnam.edu.vn/khoa-giao-tiep-unitedstates/?utm_source=Google&amp;utm_medium=SEA&amp;utm_term=NEW_UnitedStates_none_none_120126&amp;utm_content=saletructiep_Thiquoctich_PTAGTTD_LD255&amp;utm_campaign=UnitedStates.giaotiep.tienganh_Patado_SEA_HoaNT_120126" TargetMode="External"/><Relationship Id="rId318" Type="http://schemas.openxmlformats.org/officeDocument/2006/relationships/hyperlink" Target="https://patadovietnam.edu.vn/khoa-giao-tiep-unitedstates/" TargetMode="External"/><Relationship Id="rId317" Type="http://schemas.openxmlformats.org/officeDocument/2006/relationships/hyperlink" Target="https://patadovietnam.edu.vn/khoa-giao-tiep-unitedstates/?utm_source=Google&amp;utm_medium=SEA&amp;utm_term=NEW_UnitedStates_none_none_120126&amp;utm_content=saletructiep_Nail_PTAGTTD_LD255&amp;utm_campaign=UnitedStates.giaotiep.tienganh_Patado_SEA_HoaNT_120126" TargetMode="External"/><Relationship Id="rId312" Type="http://schemas.openxmlformats.org/officeDocument/2006/relationships/hyperlink" Target="https://patadovietnam.edu.vn/khoa-giao-tiep-unitedstates/" TargetMode="External"/><Relationship Id="rId311" Type="http://schemas.openxmlformats.org/officeDocument/2006/relationships/hyperlink" Target="https://patadovietnam.edu.vn/khoa-giao-tiep-unitedstates/?utm_source=Google&amp;utm_medium=SEA&amp;utm_term=NEW_UnitedStates_none_none_120126&amp;utm_content=saletructiep_Tienganhngbatdau_PTAGTTD_LD255&amp;utm_campaign=UnitedStates.giaotiep.tienganh_Patado_SEA_HoaNT_120126" TargetMode="External"/><Relationship Id="rId310" Type="http://schemas.openxmlformats.org/officeDocument/2006/relationships/hyperlink" Target="https://patadovietnam.edu.vn/khoa-giao-tiep-unitedstates/" TargetMode="External"/><Relationship Id="rId297" Type="http://schemas.openxmlformats.org/officeDocument/2006/relationships/hyperlink" Target="https://patadovietnam.edu.vn/khoa-giao-tiep-unitedstates/?utm_source=Google&amp;utm_medium=SEA&amp;utm_term=NEW_UnitedStates_none_none_120126&amp;utm_content=saletructiep_Hocgiaotiepcaptoc_PTAGTTD_LD255&amp;utm_campaign=UnitedStates.giaotiep.tienganh_Patado_SEA_HoaNT_120126" TargetMode="External"/><Relationship Id="rId296" Type="http://schemas.openxmlformats.org/officeDocument/2006/relationships/hyperlink" Target="https://patadovietnam.edu.vn/khoa-giao-tiep-unitedstates/" TargetMode="External"/><Relationship Id="rId295" Type="http://schemas.openxmlformats.org/officeDocument/2006/relationships/hyperlink" Target="https://patadovietnam.edu.vn/khoa-giao-tiep-unitedstates/?utm_source=Google&amp;utm_medium=SEA&amp;utm_term=NEW_UnitedStates_none_none_120126&amp;utm_content=saletructiep_Hocgiaotiepcoban_PTAGTTD_LD255&amp;utm_campaign=UnitedStates.giaotiep.tienganh_Patado_SEA_HoaNT_120126" TargetMode="External"/><Relationship Id="rId294" Type="http://schemas.openxmlformats.org/officeDocument/2006/relationships/hyperlink" Target="https://patadovietnam.edu.vn/khoa-giao-tiep-unitedstates/" TargetMode="External"/><Relationship Id="rId299" Type="http://schemas.openxmlformats.org/officeDocument/2006/relationships/hyperlink" Target="https://patadovietnam.edu.vn/khoa-giao-tiep-unitedstates/?utm_source=Google&amp;utm_medium=SEA&amp;utm_term=NEW_UnitedStates_none_none_120126&amp;utm_content=saletructiep_Dangkyhocgiaotiep_PTAGTTD_LD255&amp;utm_campaign=UnitedStates.giaotiep.tienganh_Patado_SEA_HoaNT_120126" TargetMode="External"/><Relationship Id="rId298" Type="http://schemas.openxmlformats.org/officeDocument/2006/relationships/hyperlink" Target="https://patadovietnam.edu.vn/khoa-giao-tiep-unitedstates/" TargetMode="External"/><Relationship Id="rId271" Type="http://schemas.openxmlformats.org/officeDocument/2006/relationships/hyperlink" Target="https://patadovietnam.edu.vn/khoa-giao-tiep-unitedstates/?utm_source=Google&amp;utm_medium=SEA&amp;utm_term=NEW_UnitedStates_none_none_120126&amp;utm_content=saletructiep_Tienganhonline11_PTAGTTD_LD255&amp;utm_campaign=UnitedStates.giaotiep.tienganh_Patado_SEA_HoaNT_120126" TargetMode="External"/><Relationship Id="rId270" Type="http://schemas.openxmlformats.org/officeDocument/2006/relationships/hyperlink" Target="https://patadovietnam.edu.vn/khoa-giao-tiep-unitedstates/" TargetMode="External"/><Relationship Id="rId269" Type="http://schemas.openxmlformats.org/officeDocument/2006/relationships/hyperlink" Target="https://patadovietnam.edu.vn/khoa-giao-tiep-unitedstates/?utm_source=Google&amp;utm_medium=SEA&amp;utm_term=NEW_UnitedStates_none_none_120126&amp;utm_content=saletructiep_Tienganhonline_PTAGTTD_LD255&amp;utm_campaign=UnitedStates.giaotiep.tienganh_Patado_SEA_HoaNT_120126" TargetMode="External"/><Relationship Id="rId264" Type="http://schemas.openxmlformats.org/officeDocument/2006/relationships/hyperlink" Target="https://patadovietnam.edu.vn/khoa-giao-tiep-unitedstates/" TargetMode="External"/><Relationship Id="rId263" Type="http://schemas.openxmlformats.org/officeDocument/2006/relationships/hyperlink" Target="https://patadovietnam.edu.vn/khoa-giao-tiep-unitedstates/?utm_source=Google&amp;utm_medium=SEA&amp;utm_term=NEW_UnitedStates_none_none_120126&amp;utm_content=saletructiep_Hoctienganh11_PTAGTTD_LD255&amp;utm_campaign=UnitedStates.giaotiep.tienganh_Patado_SEA_HoaNT_120126" TargetMode="External"/><Relationship Id="rId262" Type="http://schemas.openxmlformats.org/officeDocument/2006/relationships/hyperlink" Target="https://patadovietnam.edu.vn/khoa-giao-tiep-unitedstates/" TargetMode="External"/><Relationship Id="rId261" Type="http://schemas.openxmlformats.org/officeDocument/2006/relationships/hyperlink" Target="https://patado.edu.vn/khoa-giao-tiep-unitedstates/?utm_source=Google&amp;utm_medium=SEA&amp;utm_term=NEW_UnitedStates_none_none_120126&amp;utm_content=saletructiep_Hoctienganh_PTAGTTD_LD270&amp;utm_campaign=UnitedStates.giaotiep.tienganh_Patado_SEA_HoaNT_120126" TargetMode="External"/><Relationship Id="rId268" Type="http://schemas.openxmlformats.org/officeDocument/2006/relationships/hyperlink" Target="https://patadovietnam.edu.vn/khoa-giao-tiep-unitedstates/" TargetMode="External"/><Relationship Id="rId267" Type="http://schemas.openxmlformats.org/officeDocument/2006/relationships/hyperlink" Target="https://patadovietnam.edu.vn/khoa-giao-tiep-unitedstates/?utm_source=Google&amp;utm_medium=SEA&amp;utm_term=NEW_UnitedStates_none_none_120126&amp;utm_content=saletructiep_Tienganhquamang_PTAGTTD_LD255&amp;utm_campaign=UnitedStates.giaotiep.tienganh_Patado_SEA_HoaNT_120126" TargetMode="External"/><Relationship Id="rId266" Type="http://schemas.openxmlformats.org/officeDocument/2006/relationships/hyperlink" Target="https://patadovietnam.edu.vn/khoa-giao-tiep-unitedstates/" TargetMode="External"/><Relationship Id="rId265" Type="http://schemas.openxmlformats.org/officeDocument/2006/relationships/hyperlink" Target="https://patadovietnam.edu.vn/khoa-giao-tiep-unitedstates/?utm_source=Google&amp;utm_medium=SEA&amp;utm_term=NEW_UnitedStates_none_none_120126&amp;utm_content=saletructiep_Tienganhtructuyen_PTAGTTD_LD255&amp;utm_campaign=UnitedStates.giaotiep.tienganh_Patado_SEA_HoaNT_120126" TargetMode="External"/><Relationship Id="rId260" Type="http://schemas.openxmlformats.org/officeDocument/2006/relationships/hyperlink" Target="https://patado.edu.vn/khoa-giao-tiep-unitedstates" TargetMode="External"/><Relationship Id="rId259" Type="http://schemas.openxmlformats.org/officeDocument/2006/relationships/hyperlink" Target="https://patado.edu.vn/khoa-tieng-anh-giao-tiep-o-nhat-ban/?utm_source=Google&amp;utm_medium=SEA&amp;utm_term=NEW_Japan_none_none_020126&amp;utm_content=saletructiep_Tienganhngmatgoc_PTAGTTD_LD264&amp;utm_campaign=Japan.giaotiep.tienganh_Patado_SEA_HoaNT_020126" TargetMode="External"/><Relationship Id="rId258" Type="http://schemas.openxmlformats.org/officeDocument/2006/relationships/hyperlink" Target="https://patado.edu.vn/khoa-tieng-anh-giao-tiep-o-nhat-ban" TargetMode="External"/><Relationship Id="rId253" Type="http://schemas.openxmlformats.org/officeDocument/2006/relationships/hyperlink" Target="https://patado.edu.vn/khoa-tieng-anh-giao-tiep-o-nhat-ban/?utm_source=Google&amp;utm_medium=SEA&amp;utm_term=NEW_Japan_none_none_020126&amp;utm_content=saletructiep_Hocphigiaotiep_PTAGTTD_LD264&amp;utm_campaign=Japan.giaotiep.tienganh_Patado_SEA_HoaNT_020126" TargetMode="External"/><Relationship Id="rId252" Type="http://schemas.openxmlformats.org/officeDocument/2006/relationships/hyperlink" Target="https://patado.edu.vn/khoa-tieng-anh-giao-tiep-o-nhat-ban" TargetMode="External"/><Relationship Id="rId251" Type="http://schemas.openxmlformats.org/officeDocument/2006/relationships/hyperlink" Target="https://patado.edu.vn/khoa-tieng-anh-giao-tiep-o-nhat-ban/?utm_source=Google&amp;utm_medium=SEA&amp;utm_term=NEW_Japan_none_none_020126&amp;utm_content=saletructiep_Trungtamgiaotiep_PTAGTTD_LD264&amp;utm_campaign=Japan.giaotiep.tienganh_Patado_SEA_HoaNT_020126" TargetMode="External"/><Relationship Id="rId250" Type="http://schemas.openxmlformats.org/officeDocument/2006/relationships/hyperlink" Target="https://patado.edu.vn/khoa-tieng-anh-giao-tiep-o-nhat-ban" TargetMode="External"/><Relationship Id="rId257" Type="http://schemas.openxmlformats.org/officeDocument/2006/relationships/hyperlink" Target="https://patado.edu.vn/khoa-tieng-anh-giao-tiep-o-nhat-ban/?utm_source=Google&amp;utm_medium=SEA&amp;utm_term=NEW_Japan_none_none_020126&amp;utm_content=saletructiep_Tienganhngdilam_PTAGTTD_LD264&amp;utm_campaign=Japan.giaotiep.tienganh_Patado_SEA_HoaNT_020126" TargetMode="External"/><Relationship Id="rId256" Type="http://schemas.openxmlformats.org/officeDocument/2006/relationships/hyperlink" Target="https://patado.edu.vn/khoa-tieng-anh-giao-tiep-o-nhat-ban" TargetMode="External"/><Relationship Id="rId255" Type="http://schemas.openxmlformats.org/officeDocument/2006/relationships/hyperlink" Target="https://patado.edu.vn/khoa-tieng-anh-giao-tiep-o-nhat-ban/?utm_source=Google&amp;utm_medium=SEA&amp;utm_term=NEW_Japan_none_none_020126&amp;utm_content=saletructiep_Tienganhngbatdau_PTAGTTD_LD264&amp;utm_campaign=Japan.giaotiep.tienganh_Patado_SEA_HoaNT_020126" TargetMode="External"/><Relationship Id="rId254" Type="http://schemas.openxmlformats.org/officeDocument/2006/relationships/hyperlink" Target="https://patado.edu.vn/khoa-tieng-anh-giao-tiep-o-nhat-ban" TargetMode="External"/><Relationship Id="rId293" Type="http://schemas.openxmlformats.org/officeDocument/2006/relationships/hyperlink" Target="https://patadovietnam.edu.vn/khoa-giao-tiep-unitedstates/?utm_source=Google&amp;utm_medium=SEA&amp;utm_term=NEW_UnitedStates_none_none_120126&amp;utm_content=saletructiep_Hoctienganhgiaotiep_PTAGTTD_LD255&amp;utm_campaign=UnitedStates.giaotiep.tienganh_Patado_SEA_HoaNT_120126" TargetMode="External"/><Relationship Id="rId292" Type="http://schemas.openxmlformats.org/officeDocument/2006/relationships/hyperlink" Target="https://patadovietnam.edu.vn/khoa-giao-tiep-unitedstates/" TargetMode="External"/><Relationship Id="rId291" Type="http://schemas.openxmlformats.org/officeDocument/2006/relationships/hyperlink" Target="https://patadovietnam.edu.vn/khoa-giao-tiep-unitedstates/?utm_source=Google&amp;utm_medium=SEA&amp;utm_term=NEW_UnitedStates_none_none_120126&amp;utm_content=saletructiep_Tienganhgiaotiep11_PTAGTTD_LD255&amp;utm_campaign=UnitedStates.giaotiep.tienganh_Patado_SEA_HoaNT_120126" TargetMode="External"/><Relationship Id="rId290" Type="http://schemas.openxmlformats.org/officeDocument/2006/relationships/hyperlink" Target="https://patadovietnam.edu.vn/khoa-giao-tiep-unitedstates/" TargetMode="External"/><Relationship Id="rId286" Type="http://schemas.openxmlformats.org/officeDocument/2006/relationships/hyperlink" Target="https://patadovietnam.edu.vn/khoa-giao-tiep-unitedstates/" TargetMode="External"/><Relationship Id="rId285" Type="http://schemas.openxmlformats.org/officeDocument/2006/relationships/hyperlink" Target="https://patadovietnam.edu.vn/khoa-giao-tiep-unitedstates/?utm_source=Google&amp;utm_medium=SEA&amp;utm_term=NEW_UnitedStates_none_none_120126&amp;utm_content=saletructiep_Trungtamhoconline_PTAGTTD_LD255&amp;utm_campaign=UnitedStates.giaotiep.tienganh_Patado_SEA_HoaNT_120126" TargetMode="External"/><Relationship Id="rId284" Type="http://schemas.openxmlformats.org/officeDocument/2006/relationships/hyperlink" Target="https://patadovietnam.edu.vn/khoa-giao-tiep-unitedstates/" TargetMode="External"/><Relationship Id="rId283" Type="http://schemas.openxmlformats.org/officeDocument/2006/relationships/hyperlink" Target="https://patadovietnam.edu.vn/khoa-giao-tiep-unitedstates/?utm_source=Google&amp;utm_medium=SEA&amp;utm_term=NEW_UnitedStates_none_none_120126&amp;utm_content=saletructiep_Trungtamonline_PTAGTTD_LD255&amp;utm_campaign=UnitedStates.giaotiep.tienganh_Patado_SEA_HoaNT_120126" TargetMode="External"/><Relationship Id="rId289" Type="http://schemas.openxmlformats.org/officeDocument/2006/relationships/hyperlink" Target="https://patadovietnam.edu.vn/khoa-giao-tiep-unitedstates/?utm_source=Google&amp;utm_medium=SEA&amp;utm_term=NEW_UnitedStates_none_none_120126&amp;utm_content=saletructiep_Tienganhgiaotiep_PTAGTTD_LD255&amp;utm_campaign=UnitedStates.giaotiep.tienganh_Patado_SEA_HoaNT_120126" TargetMode="External"/><Relationship Id="rId288" Type="http://schemas.openxmlformats.org/officeDocument/2006/relationships/hyperlink" Target="https://patadovietnam.edu.vn/khoa-giao-tiep-unitedstates/" TargetMode="External"/><Relationship Id="rId287" Type="http://schemas.openxmlformats.org/officeDocument/2006/relationships/hyperlink" Target="https://patadovietnam.edu.vn/khoa-giao-tiep-unitedstates/?utm_source=Google&amp;utm_medium=SEA&amp;utm_term=NEW_UnitedStates_none_none_120126&amp;utm_content=saletructiep_Hocphionline_PTAGTTD_LD255&amp;utm_campaign=UnitedStates.giaotiep.tienganh_Patado_SEA_HoaNT_120126" TargetMode="External"/><Relationship Id="rId282" Type="http://schemas.openxmlformats.org/officeDocument/2006/relationships/hyperlink" Target="https://patadovietnam.edu.vn/khoa-giao-tiep-unitedstates/" TargetMode="External"/><Relationship Id="rId281" Type="http://schemas.openxmlformats.org/officeDocument/2006/relationships/hyperlink" Target="https://patadovietnam.edu.vn/khoa-giao-tiep-unitedstates/?utm_source=Google&amp;utm_medium=SEA&amp;utm_term=NEW_UnitedStates_none_none_120126&amp;utm_content=saletructiep_Khoatienganhonline_PTAGTTD_LD255&amp;utm_campaign=UnitedStates.giaotiep.tienganh_Patado_SEA_HoaNT_120126" TargetMode="External"/><Relationship Id="rId280" Type="http://schemas.openxmlformats.org/officeDocument/2006/relationships/hyperlink" Target="https://patadovietnam.edu.vn/khoa-giao-tiep-unitedstates/" TargetMode="External"/><Relationship Id="rId275" Type="http://schemas.openxmlformats.org/officeDocument/2006/relationships/hyperlink" Target="https://patadovietnam.edu.vn/khoa-giao-tiep-unitedstates/?utm_source=Google&amp;utm_medium=SEA&amp;utm_term=NEW_UnitedStates_none_none_120126&amp;utm_content=saletructiep_Hoconline11_PTAGTTD_LD255&amp;utm_campaign=UnitedStates.giaotiep.tienganh_Patado_SEA_HoaNT_120126" TargetMode="External"/><Relationship Id="rId274" Type="http://schemas.openxmlformats.org/officeDocument/2006/relationships/hyperlink" Target="https://patadovietnam.edu.vn/khoa-giao-tiep-unitedstates/" TargetMode="External"/><Relationship Id="rId273" Type="http://schemas.openxmlformats.org/officeDocument/2006/relationships/hyperlink" Target="https://patadovietnam.edu.vn/khoa-giao-tiep-unitedstates/?utm_source=Google&amp;utm_medium=SEA&amp;utm_term=NEW_UnitedStates_none_none_120126&amp;utm_content=saletructiep_Hoconline_PTAGTTD_LD255&amp;utm_campaign=UnitedStates.giaotiep.tienganh_Patado_SEA_HoaNT_120126" TargetMode="External"/><Relationship Id="rId272" Type="http://schemas.openxmlformats.org/officeDocument/2006/relationships/hyperlink" Target="https://patadovietnam.edu.vn/khoa-giao-tiep-unitedstates/" TargetMode="External"/><Relationship Id="rId279" Type="http://schemas.openxmlformats.org/officeDocument/2006/relationships/hyperlink" Target="https://patadovietnam.edu.vn/khoa-giao-tiep-unitedstates/?utm_source=Google&amp;utm_medium=SEA&amp;utm_term=NEW_UnitedStates_none_none_120126&amp;utm_content=saletructiep_Loponline_PTAGTTD_LD255&amp;utm_campaign=UnitedStates.giaotiep.tienganh_Patado_SEA_HoaNT_120126" TargetMode="External"/><Relationship Id="rId278" Type="http://schemas.openxmlformats.org/officeDocument/2006/relationships/hyperlink" Target="https://patadovietnam.edu.vn/khoa-giao-tiep-unitedstates/" TargetMode="External"/><Relationship Id="rId277" Type="http://schemas.openxmlformats.org/officeDocument/2006/relationships/hyperlink" Target="https://patadovietnam.edu.vn/khoa-giao-tiep-unitedstates/?utm_source=Google&amp;utm_medium=SEA&amp;utm_term=NEW_UnitedStates_none_none_120126&amp;utm_content=saletructiep_Hocgiaotieponline_PTAGTTD_LD255&amp;utm_campaign=UnitedStates.giaotiep.tienganh_Patado_SEA_HoaNT_120126" TargetMode="External"/><Relationship Id="rId276" Type="http://schemas.openxmlformats.org/officeDocument/2006/relationships/hyperlink" Target="https://patadovietnam.edu.vn/khoa-giao-tiep-unitedstates/" TargetMode="External"/><Relationship Id="rId228" Type="http://schemas.openxmlformats.org/officeDocument/2006/relationships/hyperlink" Target="https://patado.edu.vn/khoa-tieng-anh-giao-tiep-o-nhat-ban" TargetMode="External"/><Relationship Id="rId227" Type="http://schemas.openxmlformats.org/officeDocument/2006/relationships/hyperlink" Target="https://patado.edu.vn/khoa-tieng-anh-giao-tiep-o-nhat-ban/?utm_source=Google&amp;utm_medium=SEA&amp;utm_term=NEW_Japan_none_none_020126&amp;utm_content=saletructiep_Trungtamonline_PTAGTTD_LD264&amp;utm_campaign=Japan.giaotiep.tienganh_Patado_SEA_HoaNT_020126" TargetMode="External"/><Relationship Id="rId226" Type="http://schemas.openxmlformats.org/officeDocument/2006/relationships/hyperlink" Target="https://patado.edu.vn/khoa-tieng-anh-giao-tiep-o-nhat-ban" TargetMode="External"/><Relationship Id="rId225" Type="http://schemas.openxmlformats.org/officeDocument/2006/relationships/hyperlink" Target="https://patado.edu.vn/khoa-tieng-anh-giao-tiep-o-nhat-ban/?utm_source=Google&amp;utm_medium=SEA&amp;utm_term=NEW_Japan_none_none_020126&amp;utm_content=saletructiep_Khoagiaotieponline_PTAGTTD_LD264&amp;utm_campaign=Japan.giaotiep.tienganh_Patado_SEA_HoaNT_020126" TargetMode="External"/><Relationship Id="rId229" Type="http://schemas.openxmlformats.org/officeDocument/2006/relationships/hyperlink" Target="https://patado.edu.vn/khoa-tieng-anh-giao-tiep-o-nhat-ban/?utm_source=Google&amp;utm_medium=SEA&amp;utm_term=NEW_Japan_none_none_020126&amp;utm_content=saletructiep_Trungtamhoconline_PTAGTTD_LD264&amp;utm_campaign=Japan.giaotiep.tienganh_Patado_SEA_HoaNT_020126" TargetMode="External"/><Relationship Id="rId220" Type="http://schemas.openxmlformats.org/officeDocument/2006/relationships/hyperlink" Target="https://patado.edu.vn/khoa-tieng-anh-giao-tiep-o-nhat-ban" TargetMode="External"/><Relationship Id="rId224" Type="http://schemas.openxmlformats.org/officeDocument/2006/relationships/hyperlink" Target="https://patado.edu.vn/khoa-tieng-anh-giao-tiep-o-nhat-ban" TargetMode="External"/><Relationship Id="rId223" Type="http://schemas.openxmlformats.org/officeDocument/2006/relationships/hyperlink" Target="https://patado.edu.vn/khoa-tieng-anh-giao-tiep-o-nhat-ban/?utm_source=Google&amp;utm_medium=SEA&amp;utm_term=NEW_Japan_none_none_020126&amp;utm_content=saletructiep_Loponline_PTAGTTD_LD264&amp;utm_campaign=Japan.giaotiep.tienganh_Patado_SEA_HoaNT_020126" TargetMode="External"/><Relationship Id="rId222" Type="http://schemas.openxmlformats.org/officeDocument/2006/relationships/hyperlink" Target="https://patado.edu.vn/khoa-tieng-anh-giao-tiep-o-nhat-ban" TargetMode="External"/><Relationship Id="rId221" Type="http://schemas.openxmlformats.org/officeDocument/2006/relationships/hyperlink" Target="https://patado.edu.vn/khoa-tieng-anh-giao-tiep-o-nhat-ban/?utm_source=Google&amp;utm_medium=SEA&amp;utm_term=NEW_Japan_none_none_020126&amp;utm_content=saletructiep_Hocgiaotieponline_PTAGTTD_LD264&amp;utm_campaign=Japan.giaotiep.tienganh_Patado_SEA_HoaNT_020126" TargetMode="External"/><Relationship Id="rId217" Type="http://schemas.openxmlformats.org/officeDocument/2006/relationships/hyperlink" Target="https://patado.edu.vn/khoa-tieng-anh-giao-tiep-o-nhat-ban/?utm_source=Google&amp;utm_medium=SEA&amp;utm_term=NEW_Japan_none_none_020126&amp;utm_content=saletructiep_Hoconline_PTAGTTD_LD264&amp;utm_campaign=Japan.giaotiep.tienganh_Patado_SEA_HoaNT_020126" TargetMode="External"/><Relationship Id="rId216" Type="http://schemas.openxmlformats.org/officeDocument/2006/relationships/hyperlink" Target="https://patado.edu.vn/khoa-tieng-anh-giao-tiep-o-nhat-ban" TargetMode="External"/><Relationship Id="rId215" Type="http://schemas.openxmlformats.org/officeDocument/2006/relationships/hyperlink" Target="https://patado.edu.vn/khoa-tieng-anh-giao-tiep-o-nhat-ban/?utm_source=Google&amp;utm_medium=SEA&amp;utm_term=NEW_Japan_none_none_020126&amp;utm_content=saletructiep_Tienganhonline11_PTAGTTD_LD264&amp;utm_campaign=Japan.giaotiep.tienganh_Patado_SEA_HoaNT_020126" TargetMode="External"/><Relationship Id="rId214" Type="http://schemas.openxmlformats.org/officeDocument/2006/relationships/hyperlink" Target="https://patado.edu.vn/khoa-tieng-anh-giao-tiep-o-nhat-ban" TargetMode="External"/><Relationship Id="rId219" Type="http://schemas.openxmlformats.org/officeDocument/2006/relationships/hyperlink" Target="https://patado.edu.vn/khoa-tieng-anh-giao-tiep-o-nhat-ban/?utm_source=Google&amp;utm_medium=SEA&amp;utm_term=NEW_Japan_none_none_020126&amp;utm_content=saletructiep_Hoconline11_PTAGTTD_LD264&amp;utm_campaign=Japan.giaotiep.tienganh_Patado_SEA_HoaNT_020126" TargetMode="External"/><Relationship Id="rId218" Type="http://schemas.openxmlformats.org/officeDocument/2006/relationships/hyperlink" Target="https://patado.edu.vn/khoa-tieng-anh-giao-tiep-o-nhat-ban" TargetMode="External"/><Relationship Id="rId213" Type="http://schemas.openxmlformats.org/officeDocument/2006/relationships/hyperlink" Target="https://patado.edu.vn/khoa-tieng-anh-giao-tiep-o-nhat-ban/?utm_source=Google&amp;utm_medium=SEA&amp;utm_term=NEW_Japan_none_none_020126&amp;utm_content=saletructiep_Tienganhonline_PTAGTTD_LD264&amp;utm_campaign=Japan.giaotiep.tienganh_Patado_SEA_HoaNT_020126" TargetMode="External"/><Relationship Id="rId212" Type="http://schemas.openxmlformats.org/officeDocument/2006/relationships/hyperlink" Target="https://patado.edu.vn/khoa-tieng-anh-giao-tiep-o-nhat-ban" TargetMode="External"/><Relationship Id="rId211" Type="http://schemas.openxmlformats.org/officeDocument/2006/relationships/hyperlink" Target="https://patado.edu.vn/khoa-tieng-anh-giao-tiep-o-nhat-ban/?utm_source=Google&amp;utm_medium=SEA&amp;utm_term=NEW_Japan_none_none_020126&amp;utm_content=saletructiep_Tienganhquamang_PTAGTTD_LD264&amp;utm_campaign=Japan.giaotiep.tienganh_Patado_SEA_HoaNT_020126" TargetMode="External"/><Relationship Id="rId210" Type="http://schemas.openxmlformats.org/officeDocument/2006/relationships/hyperlink" Target="https://patado.edu.vn/khoa-tieng-anh-giao-tiep-o-nhat-ban" TargetMode="External"/><Relationship Id="rId249" Type="http://schemas.openxmlformats.org/officeDocument/2006/relationships/hyperlink" Target="https://patado.edu.vn/khoa-tieng-anh-giao-tiep-o-nhat-ban/?utm_source=Google&amp;utm_medium=SEA&amp;utm_term=NEW_Japan_none_none_020126&amp;utm_content=saletructiep_Khoagiaotiep_PTAGTTD_LD264&amp;utm_campaign=Japan.giaotiep.tienganh_Patado_SEA_HoaNT_020126" TargetMode="External"/><Relationship Id="rId248" Type="http://schemas.openxmlformats.org/officeDocument/2006/relationships/hyperlink" Target="https://patado.edu.vn/khoa-tieng-anh-giao-tiep-o-nhat-ban" TargetMode="External"/><Relationship Id="rId247" Type="http://schemas.openxmlformats.org/officeDocument/2006/relationships/hyperlink" Target="https://patado.edu.vn/khoa-tieng-anh-giao-tiep-o-nhat-ban/?utm_source=Google&amp;utm_medium=SEA&amp;utm_term=NEW_Japan_none_none_020126&amp;utm_content=saletructiep_Lopgiaotiep_PTAGTTD_LD264&amp;utm_campaign=Japan.giaotiep.tienganh_Patado_SEA_HoaNT_020126" TargetMode="External"/><Relationship Id="rId242" Type="http://schemas.openxmlformats.org/officeDocument/2006/relationships/hyperlink" Target="https://patado.edu.vn/khoa-tieng-anh-giao-tiep-o-nhat-ban" TargetMode="External"/><Relationship Id="rId241" Type="http://schemas.openxmlformats.org/officeDocument/2006/relationships/hyperlink" Target="https://patado.edu.vn/khoa-tieng-anh-giao-tiep-o-nhat-ban/?utm_source=Google&amp;utm_medium=SEA&amp;utm_term=NEW_Japan_none_none_020126&amp;utm_content=saletructiep_Hocgiaotiepcaptoc_PTAGTTD_LD264&amp;utm_campaign=Japan.giaotiep.tienganh_Patado_SEA_HoaNT_020126" TargetMode="External"/><Relationship Id="rId240" Type="http://schemas.openxmlformats.org/officeDocument/2006/relationships/hyperlink" Target="https://patado.edu.vn/khoa-tieng-anh-giao-tiep-o-nhat-ban" TargetMode="External"/><Relationship Id="rId246" Type="http://schemas.openxmlformats.org/officeDocument/2006/relationships/hyperlink" Target="https://patado.edu.vn/khoa-tieng-anh-giao-tiep-o-nhat-ban" TargetMode="External"/><Relationship Id="rId245" Type="http://schemas.openxmlformats.org/officeDocument/2006/relationships/hyperlink" Target="https://patado.edu.vn/khoa-tieng-anh-giao-tiep-o-nhat-ban/?utm_source=Google&amp;utm_medium=SEA&amp;utm_term=NEW_Japan_none_none_020126&amp;utm_content=saletructiep_Lotrinhgiaotiep_PTAGTTD_LD264&amp;utm_campaign=Japan.giaotiep.tienganh_Patado_SEA_HoaNT_020126" TargetMode="External"/><Relationship Id="rId244" Type="http://schemas.openxmlformats.org/officeDocument/2006/relationships/hyperlink" Target="https://patado.edu.vn/khoa-tieng-anh-giao-tiep-o-nhat-ban" TargetMode="External"/><Relationship Id="rId243" Type="http://schemas.openxmlformats.org/officeDocument/2006/relationships/hyperlink" Target="https://patado.edu.vn/khoa-tieng-anh-giao-tiep-o-nhat-ban/?utm_source=Google&amp;utm_medium=SEA&amp;utm_term=NEW_Japan_none_none_020126&amp;utm_content=saletructiep_Dangkyhocgiaotiep_PTAGTTD_LD264&amp;utm_campaign=Japan.giaotiep.tienganh_Patado_SEA_HoaNT_020126" TargetMode="External"/><Relationship Id="rId239" Type="http://schemas.openxmlformats.org/officeDocument/2006/relationships/hyperlink" Target="https://patado.edu.vn/khoa-tieng-anh-giao-tiep-o-nhat-ban/?utm_source=Google&amp;utm_medium=SEA&amp;utm_term=NEW_Japan_none_none_020126&amp;utm_content=saletructiep_Hocgiaotiepcoban_PTAGTTD_LD264&amp;utm_campaign=Japan.giaotiep.tienganh_Patado_SEA_HoaNT_020126" TargetMode="External"/><Relationship Id="rId238" Type="http://schemas.openxmlformats.org/officeDocument/2006/relationships/hyperlink" Target="https://patado.edu.vn/khoa-tieng-anh-giao-tiep-o-nhat-ban" TargetMode="External"/><Relationship Id="rId237" Type="http://schemas.openxmlformats.org/officeDocument/2006/relationships/hyperlink" Target="https://patado.edu.vn/khoa-tieng-anh-giao-tiep-o-nhat-ban/?utm_source=Google&amp;utm_medium=SEA&amp;utm_term=NEW_Japan_none_none_020126&amp;utm_content=saletructiep_Hoctienganhgiaotiep_PTAGTTD_LD264&amp;utm_campaign=Japan.giaotiep.tienganh_Patado_SEA_HoaNT_020126" TargetMode="External"/><Relationship Id="rId236" Type="http://schemas.openxmlformats.org/officeDocument/2006/relationships/hyperlink" Target="https://patado.edu.vn/khoa-tieng-anh-giao-tiep-o-nhat-ban" TargetMode="External"/><Relationship Id="rId231" Type="http://schemas.openxmlformats.org/officeDocument/2006/relationships/hyperlink" Target="https://patado.edu.vn/khoa-tieng-anh-giao-tiep-o-nhat-ban/?utm_source=Google&amp;utm_medium=SEA&amp;utm_term=NEW_Japan_none_none_020126&amp;utm_content=saletructiep_Hocphionline_PTAGTTD_LD264&amp;utm_campaign=Japan.giaotiep.tienganh_Patado_SEA_HoaNT_020126" TargetMode="External"/><Relationship Id="rId230" Type="http://schemas.openxmlformats.org/officeDocument/2006/relationships/hyperlink" Target="https://patado.edu.vn/khoa-tieng-anh-giao-tiep-o-nhat-ban" TargetMode="External"/><Relationship Id="rId235" Type="http://schemas.openxmlformats.org/officeDocument/2006/relationships/hyperlink" Target="https://patado.edu.vn/khoa-tieng-anh-giao-tiep-o-nhat-ban/?utm_source=Google&amp;utm_medium=SEA&amp;utm_term=NEW_Japan_none_none_020126&amp;utm_content=saletructiep_Tienganhgiaotiep11_PTAGTTD_LD264&amp;utm_campaign=Japan.giaotiep.tienganh_Patado_SEA_HoaNT_020126" TargetMode="External"/><Relationship Id="rId234" Type="http://schemas.openxmlformats.org/officeDocument/2006/relationships/hyperlink" Target="https://patado.edu.vn/khoa-tieng-anh-giao-tiep-o-nhat-ban" TargetMode="External"/><Relationship Id="rId233" Type="http://schemas.openxmlformats.org/officeDocument/2006/relationships/hyperlink" Target="https://patado.edu.vn/khoa-tieng-anh-giao-tiep-o-nhat-ban/?utm_source=Google&amp;utm_medium=SEA&amp;utm_term=NEW_Japan_none_none_020126&amp;utm_content=saletructiep_Tienganhgiaotiep_PTAGTTD_LD264&amp;utm_campaign=Japan.giaotiep.tienganh_Patado_SEA_HoaNT_020126" TargetMode="External"/><Relationship Id="rId232" Type="http://schemas.openxmlformats.org/officeDocument/2006/relationships/hyperlink" Target="https://patado.edu.vn/khoa-tieng-anh-giao-tiep-o-nhat-ban" TargetMode="External"/><Relationship Id="rId206" Type="http://schemas.openxmlformats.org/officeDocument/2006/relationships/hyperlink" Target="https://patado.edu.vn/khoa-tieng-anh-giao-tiep-o-nhat-ban" TargetMode="External"/><Relationship Id="rId205" Type="http://schemas.openxmlformats.org/officeDocument/2006/relationships/hyperlink" Target="https://patado.edu.vn/khoa-tieng-anh-giao-tiep-o-nhat-ban/?utm_source=Google&amp;utm_medium=SEA&amp;utm_term=NEW_Japan_none_none_020126&amp;utm_content=saletructiep_Hoctienganh_PTAGTTD_LD264&amp;utm_campaign=Japan.giaotiep.tienganh_Patado_SEA_HoaNT_020126" TargetMode="External"/><Relationship Id="rId204" Type="http://schemas.openxmlformats.org/officeDocument/2006/relationships/hyperlink" Target="https://patado.edu.vn/khoa-tieng-anh-giao-tiep-o-nhat-ban" TargetMode="External"/><Relationship Id="rId203" Type="http://schemas.openxmlformats.org/officeDocument/2006/relationships/hyperlink" Target="https://patadovietnam.edu.vn/khoa-giao-tiep-tieng-anh-online-all/?utm_source=Google&amp;utm_medium=SEA&amp;utm_term=NEW_UnitedStates_none_none_241225&amp;utm_content=saletructiep_tienganhgiaotiep11_PTAGTTD_LD256&amp;utm_campaign=ALL.giaotiep.tienganh_Patado_SEA_HoaNT_241225" TargetMode="External"/><Relationship Id="rId209" Type="http://schemas.openxmlformats.org/officeDocument/2006/relationships/hyperlink" Target="https://patado.edu.vn/khoa-tieng-anh-giao-tiep-o-nhat-ban/?utm_source=Google&amp;utm_medium=SEA&amp;utm_term=NEW_Japan_none_none_020126&amp;utm_content=saletructiep_Tienganhtructuyen_PTAGTTD_LD264&amp;utm_campaign=Japan.giaotiep.tienganh_Patado_SEA_HoaNT_020126" TargetMode="External"/><Relationship Id="rId208" Type="http://schemas.openxmlformats.org/officeDocument/2006/relationships/hyperlink" Target="https://patado.edu.vn/khoa-tieng-anh-giao-tiep-o-nhat-ban" TargetMode="External"/><Relationship Id="rId207" Type="http://schemas.openxmlformats.org/officeDocument/2006/relationships/hyperlink" Target="https://patado.edu.vn/khoa-tieng-anh-giao-tiep-o-nhat-ban/?utm_source=Google&amp;utm_medium=SEA&amp;utm_term=NEW_Japan_none_none_020126&amp;utm_content=saletructiep_Hoctienganh11_PTAGTTD_LD264&amp;utm_campaign=Japan.giaotiep.tienganh_Patado_SEA_HoaNT_020126" TargetMode="External"/><Relationship Id="rId202" Type="http://schemas.openxmlformats.org/officeDocument/2006/relationships/hyperlink" Target="https://patadovietnam.edu.vn/khoa-giao-tiep-tieng-anh-online-all/" TargetMode="External"/><Relationship Id="rId201" Type="http://schemas.openxmlformats.org/officeDocument/2006/relationships/hyperlink" Target="https://patadovietnam.edu.vn/khoa-giao-tiep-tieng-anh-online-all/?utm_source=Google&amp;utm_medium=SEA&amp;utm_term=NEW_UnitedStates_none_none_241225&amp;utm_content=saletructiep_tienganhnail_PTAGTTD_LD256&amp;utm_campaign=ALL.giaotiep.tienganh_Patado_SEA_HoaNT_241225" TargetMode="External"/><Relationship Id="rId200" Type="http://schemas.openxmlformats.org/officeDocument/2006/relationships/hyperlink" Target="https://patadovietnam.edu.vn/khoa-giao-tiep-tieng-anh-online-all/" TargetMode="External"/><Relationship Id="rId509" Type="http://schemas.openxmlformats.org/officeDocument/2006/relationships/hyperlink" Target="https://patadovietnam.edu.vn/khoa-tieng-anh-giao-tiep-chau-au/?utm_source=Google&amp;utm_medium=SEA&amp;utm_term=NEW_Europe_none_none_160126&amp;utm_content=saletructiep_Tienganhngbatdau_PTAGTTD_LD261&amp;utm_campaign=Europe.giaotiep.tienganh_Patado_SEA_HoaNT_160126" TargetMode="External"/><Relationship Id="rId508" Type="http://schemas.openxmlformats.org/officeDocument/2006/relationships/hyperlink" Target="https://patadovietnam.edu.vn/khoa-tieng-anh-giao-tiep-chau-au/" TargetMode="External"/><Relationship Id="rId503" Type="http://schemas.openxmlformats.org/officeDocument/2006/relationships/hyperlink" Target="https://patadovietnam.edu.vn/khoa-tieng-anh-giao-tiep-chau-au/?utm_source=Google&amp;utm_medium=SEA&amp;utm_term=NEW_Europe_none_none_160126&amp;utm_content=saletructiep_Khoagiaotiep_PTAGTTD_LD261&amp;utm_campaign=Europe.giaotiep.tienganh_Patado_SEA_HoaNT_160126" TargetMode="External"/><Relationship Id="rId502" Type="http://schemas.openxmlformats.org/officeDocument/2006/relationships/hyperlink" Target="https://patadovietnam.edu.vn/khoa-tieng-anh-giao-tiep-chau-au/" TargetMode="External"/><Relationship Id="rId501" Type="http://schemas.openxmlformats.org/officeDocument/2006/relationships/hyperlink" Target="https://patadovietnam.edu.vn/khoa-tieng-anh-giao-tiep-chau-au/?utm_source=Google&amp;utm_medium=SEA&amp;utm_term=NEW_Europe_none_none_160126&amp;utm_content=saletructiep_Lopgiaotiep_PTAGTTD_LD261&amp;utm_campaign=Europe.giaotiep.tienganh_Patado_SEA_HoaNT_160126" TargetMode="External"/><Relationship Id="rId500" Type="http://schemas.openxmlformats.org/officeDocument/2006/relationships/hyperlink" Target="https://patadovietnam.edu.vn/khoa-tieng-anh-giao-tiep-chau-au/" TargetMode="External"/><Relationship Id="rId507" Type="http://schemas.openxmlformats.org/officeDocument/2006/relationships/hyperlink" Target="https://patadovietnam.edu.vn/khoa-tieng-anh-giao-tiep-chau-au/?utm_source=Google&amp;utm_medium=SEA&amp;utm_term=NEW_Europe_none_none_160126&amp;utm_content=saletructiep_Hocphigiaotiep_PTAGTTD_LD261&amp;utm_campaign=Europe.giaotiep.tienganh_Patado_SEA_HoaNT_160126" TargetMode="External"/><Relationship Id="rId506" Type="http://schemas.openxmlformats.org/officeDocument/2006/relationships/hyperlink" Target="https://patadovietnam.edu.vn/khoa-tieng-anh-giao-tiep-chau-au/" TargetMode="External"/><Relationship Id="rId505" Type="http://schemas.openxmlformats.org/officeDocument/2006/relationships/hyperlink" Target="https://patadovietnam.edu.vn/khoa-tieng-anh-giao-tiep-chau-au/?utm_source=Google&amp;utm_medium=SEA&amp;utm_term=NEW_Europe_none_none_160126&amp;utm_content=saletructiep_Trungtamgiaotiep_PTAGTTD_LD261&amp;utm_campaign=Europe.giaotiep.tienganh_Patado_SEA_HoaNT_160126" TargetMode="External"/><Relationship Id="rId504" Type="http://schemas.openxmlformats.org/officeDocument/2006/relationships/hyperlink" Target="https://patadovietnam.edu.vn/khoa-tieng-anh-giao-tiep-chau-au/" TargetMode="External"/><Relationship Id="rId525" Type="http://schemas.openxmlformats.org/officeDocument/2006/relationships/hyperlink" Target="https://patadovietnam.edu.vn/khoa-hoc-tieng-anh-giao-tiep-tai-uc/?utm_source=Google&amp;utm_medium=SEA&amp;utm_term=NEW_Australia_none_none_170126&amp;utm_content=saletructiep_Tienganhonline11_PTAGTTD_LD262&amp;utm_campaign=Australia.giaotiep.tienganh_Patado_SEA_HoaNT_170126" TargetMode="External"/><Relationship Id="rId524" Type="http://schemas.openxmlformats.org/officeDocument/2006/relationships/hyperlink" Target="https://patadovietnam.edu.vn/khoa-hoc-tieng-anh-giao-tiep-tai-uc/" TargetMode="External"/><Relationship Id="rId523" Type="http://schemas.openxmlformats.org/officeDocument/2006/relationships/hyperlink" Target="https://patadovietnam.edu.vn/khoa-hoc-tieng-anh-giao-tiep-tai-uc/?utm_source=Google&amp;utm_medium=SEA&amp;utm_term=NEW_Australia_none_none_170126&amp;utm_content=saletructiep_Tienganhonline_PTAGTTD_LD262&amp;utm_campaign=Australia.giaotiep.tienganh_Patado_SEA_HoaNT_170126" TargetMode="External"/><Relationship Id="rId522" Type="http://schemas.openxmlformats.org/officeDocument/2006/relationships/hyperlink" Target="https://patadovietnam.edu.vn/khoa-hoc-tieng-anh-giao-tiep-tai-uc/" TargetMode="External"/><Relationship Id="rId529" Type="http://schemas.openxmlformats.org/officeDocument/2006/relationships/hyperlink" Target="https://patadovietnam.edu.vn/khoa-hoc-tieng-anh-giao-tiep-tai-uc/?utm_source=Google&amp;utm_medium=SEA&amp;utm_term=NEW_Australia_none_none_170126&amp;utm_content=saletructiep_Hoconline11_PTAGTTD_LD262&amp;utm_campaign=Australia.giaotiep.tienganh_Patado_SEA_HoaNT_170126" TargetMode="External"/><Relationship Id="rId528" Type="http://schemas.openxmlformats.org/officeDocument/2006/relationships/hyperlink" Target="https://patadovietnam.edu.vn/khoa-hoc-tieng-anh-giao-tiep-tai-uc/" TargetMode="External"/><Relationship Id="rId527" Type="http://schemas.openxmlformats.org/officeDocument/2006/relationships/hyperlink" Target="https://patadovietnam.edu.vn/khoa-hoc-tieng-anh-giao-tiep-tai-uc/?utm_source=Google&amp;utm_medium=SEA&amp;utm_term=NEW_Australia_none_none_170126&amp;utm_content=saletructiep_Hoconline_PTAGTTD_LD262&amp;utm_campaign=Australia.giaotiep.tienganh_Patado_SEA_HoaNT_170126" TargetMode="External"/><Relationship Id="rId526" Type="http://schemas.openxmlformats.org/officeDocument/2006/relationships/hyperlink" Target="https://patadovietnam.edu.vn/khoa-hoc-tieng-anh-giao-tiep-tai-uc/" TargetMode="External"/><Relationship Id="rId521" Type="http://schemas.openxmlformats.org/officeDocument/2006/relationships/hyperlink" Target="https://patadovietnam.edu.vn/khoa-hoc-tieng-anh-giao-tiep-tai-uc/?utm_source=Google&amp;utm_medium=SEA&amp;utm_term=NEW_Australia_none_none_170126&amp;utm_content=saletructiep_Tienganhquamang_PTAGTTD_LD262&amp;utm_campaign=Australia.giaotiep.tienganh_Patado_SEA_HoaNT_170126" TargetMode="External"/><Relationship Id="rId520" Type="http://schemas.openxmlformats.org/officeDocument/2006/relationships/hyperlink" Target="https://patadovietnam.edu.vn/khoa-hoc-tieng-anh-giao-tiep-tai-uc/" TargetMode="External"/><Relationship Id="rId519" Type="http://schemas.openxmlformats.org/officeDocument/2006/relationships/hyperlink" Target="https://patadovietnam.edu.vn/khoa-hoc-tieng-anh-giao-tiep-tai-uc/?utm_source=Google&amp;utm_medium=SEA&amp;utm_term=NEW_Australia_none_none_170126&amp;utm_content=saletructiep_Tienganhtructuyen_PTAGTTD_LD262&amp;utm_campaign=Australia.giaotiep.tienganh_Patado_SEA_HoaNT_170126" TargetMode="External"/><Relationship Id="rId514" Type="http://schemas.openxmlformats.org/officeDocument/2006/relationships/hyperlink" Target="https://patado.edu.vn/khoa-hoc-tieng-anh-giao-tiep-tai-uc" TargetMode="External"/><Relationship Id="rId513" Type="http://schemas.openxmlformats.org/officeDocument/2006/relationships/hyperlink" Target="https://patadovietnam.edu.vn/khoa-tieng-anh-giao-tiep-chau-au/?utm_source=Google&amp;utm_medium=SEA&amp;utm_term=NEW_Europe_none_none_160126&amp;utm_content=saletructiep_Tienganhngmatgoc_PTAGTTD_LD261&amp;utm_campaign=Europe.giaotiep.tienganh_Patado_SEA_HoaNT_160126" TargetMode="External"/><Relationship Id="rId512" Type="http://schemas.openxmlformats.org/officeDocument/2006/relationships/hyperlink" Target="https://patadovietnam.edu.vn/khoa-tieng-anh-giao-tiep-chau-au/" TargetMode="External"/><Relationship Id="rId511" Type="http://schemas.openxmlformats.org/officeDocument/2006/relationships/hyperlink" Target="https://patadovietnam.edu.vn/khoa-tieng-anh-giao-tiep-chau-au/?utm_source=Google&amp;utm_medium=SEA&amp;utm_term=NEW_Europe_none_none_160126&amp;utm_content=saletructiep_Tienganhngdilam_PTAGTTD_LD261&amp;utm_campaign=Europe.giaotiep.tienganh_Patado_SEA_HoaNT_160126" TargetMode="External"/><Relationship Id="rId518" Type="http://schemas.openxmlformats.org/officeDocument/2006/relationships/hyperlink" Target="https://patadovietnam.edu.vn/khoa-hoc-tieng-anh-giao-tiep-tai-uc/" TargetMode="External"/><Relationship Id="rId517" Type="http://schemas.openxmlformats.org/officeDocument/2006/relationships/hyperlink" Target="https://patadovietnam.edu.vn/khoa-hoc-tieng-anh-giao-tiep-tai-uc/?utm_source=Google&amp;utm_medium=SEA&amp;utm_term=NEW_Australia_none_none_170126&amp;utm_content=saletructiep_Hoctienganh11_PTAGTTD_LD262&amp;utm_campaign=Australia.giaotiep.tienganh_Patado_SEA_HoaNT_170126" TargetMode="External"/><Relationship Id="rId516" Type="http://schemas.openxmlformats.org/officeDocument/2006/relationships/hyperlink" Target="https://patadovietnam.edu.vn/khoa-hoc-tieng-anh-giao-tiep-tai-uc/" TargetMode="External"/><Relationship Id="rId515" Type="http://schemas.openxmlformats.org/officeDocument/2006/relationships/hyperlink" Target="https://patado.edu.vn/khoa-hoc-tieng-anh-giao-tiep-tai-uc/?utm_source=Google&amp;utm_medium=SEA&amp;utm_term=NEW_Australia_none_none_170126&amp;utm_content=saletructiep_Hoctienganh_PTAGTTD_LD268&amp;utm_campaign=Australia.giaotiep.tienganh_Patado_SEA_HoaNT_170126" TargetMode="External"/><Relationship Id="rId510" Type="http://schemas.openxmlformats.org/officeDocument/2006/relationships/hyperlink" Target="https://patadovietnam.edu.vn/khoa-tieng-anh-giao-tiep-chau-au/" TargetMode="External"/><Relationship Id="rId590" Type="http://schemas.openxmlformats.org/officeDocument/2006/relationships/hyperlink" Target="https://patadovietnam.edu.vn/khoa-giao-tiep-tieng-anh-online-all/" TargetMode="External"/><Relationship Id="rId589" Type="http://schemas.openxmlformats.org/officeDocument/2006/relationships/hyperlink" Target="https://patadovietnam.edu.vn/khoa-giao-tiep-tieng-anh-online-all/?utm_source=Google&amp;utm_medium=SEA&amp;utm_term=NEW_ALL_none_none_190126&amp;utm_content=saletructiep_Loponline_PTAGTTD_LD256&amp;utm_campaign=ALL.giaotiep.tienganh_Patado_SEA_HoaNT_190126" TargetMode="External"/><Relationship Id="rId588" Type="http://schemas.openxmlformats.org/officeDocument/2006/relationships/hyperlink" Target="https://patadovietnam.edu.vn/khoa-giao-tiep-tieng-anh-online-all/" TargetMode="External"/><Relationship Id="rId583" Type="http://schemas.openxmlformats.org/officeDocument/2006/relationships/hyperlink" Target="https://patadovietnam.edu.vn/khoa-giao-tiep-tieng-anh-online-all/?utm_source=Google&amp;utm_medium=SEA&amp;utm_term=NEW_ALL_none_none_190126&amp;utm_content=saletructiep_Hoconline_PTAGTTD_LD256&amp;utm_campaign=ALL.giaotiep.tienganh_Patado_SEA_HoaNT_190126" TargetMode="External"/><Relationship Id="rId582" Type="http://schemas.openxmlformats.org/officeDocument/2006/relationships/hyperlink" Target="https://patadovietnam.edu.vn/khoa-giao-tiep-tieng-anh-online-all/" TargetMode="External"/><Relationship Id="rId581" Type="http://schemas.openxmlformats.org/officeDocument/2006/relationships/hyperlink" Target="https://patadovietnam.edu.vn/khoa-giao-tiep-tieng-anh-online-all/?utm_source=Google&amp;utm_medium=SEA&amp;utm_term=NEW_ALL_none_none_190126&amp;utm_content=saletructiep_Tienganhonline11_PTAGTTD_LD256&amp;utm_campaign=ALL.giaotiep.tienganh_Patado_SEA_HoaNT_190126" TargetMode="External"/><Relationship Id="rId580" Type="http://schemas.openxmlformats.org/officeDocument/2006/relationships/hyperlink" Target="https://patadovietnam.edu.vn/khoa-giao-tiep-tieng-anh-online-all/" TargetMode="External"/><Relationship Id="rId587" Type="http://schemas.openxmlformats.org/officeDocument/2006/relationships/hyperlink" Target="https://patadovietnam.edu.vn/khoa-giao-tiep-tieng-anh-online-all/?utm_source=Google&amp;utm_medium=SEA&amp;utm_term=NEW_ALL_none_none_190126&amp;utm_content=saletructiep_Hocgiaotieponline_PTAGTTD_LD256&amp;utm_campaign=ALL.giaotiep.tienganh_Patado_SEA_HoaNT_190126" TargetMode="External"/><Relationship Id="rId586" Type="http://schemas.openxmlformats.org/officeDocument/2006/relationships/hyperlink" Target="https://patadovietnam.edu.vn/khoa-giao-tiep-tieng-anh-online-all/" TargetMode="External"/><Relationship Id="rId585" Type="http://schemas.openxmlformats.org/officeDocument/2006/relationships/hyperlink" Target="https://patadovietnam.edu.vn/khoa-giao-tiep-tieng-anh-online-all/?utm_source=Google&amp;utm_medium=SEA&amp;utm_term=NEW_ALL_none_none_190126&amp;utm_content=saletructiep_Hoconline11_PTAGTTD_LD256&amp;utm_campaign=ALL.giaotiep.tienganh_Patado_SEA_HoaNT_190126" TargetMode="External"/><Relationship Id="rId584" Type="http://schemas.openxmlformats.org/officeDocument/2006/relationships/hyperlink" Target="https://patadovietnam.edu.vn/khoa-giao-tiep-tieng-anh-online-all/" TargetMode="External"/><Relationship Id="rId579" Type="http://schemas.openxmlformats.org/officeDocument/2006/relationships/hyperlink" Target="https://patadovietnam.edu.vn/khoa-giao-tiep-tieng-anh-online-all/?utm_source=Google&amp;utm_medium=SEA&amp;utm_term=NEW_ALL_none_none_190126&amp;utm_content=saletructiep_Tienganhonline_PTAGTTD_LD256&amp;utm_campaign=ALL.giaotiep.tienganh_Patado_SEA_HoaNT_190126" TargetMode="External"/><Relationship Id="rId578" Type="http://schemas.openxmlformats.org/officeDocument/2006/relationships/hyperlink" Target="https://patadovietnam.edu.vn/khoa-giao-tiep-tieng-anh-online-all/" TargetMode="External"/><Relationship Id="rId577" Type="http://schemas.openxmlformats.org/officeDocument/2006/relationships/hyperlink" Target="https://patadovietnam.edu.vn/khoa-giao-tiep-tieng-anh-online-all/?utm_source=Google&amp;utm_medium=SEA&amp;utm_term=NEW_ALL_none_none_190126&amp;utm_content=saletructiep_Tienganhquamang_PTAGTTD_LD256&amp;utm_campaign=ALL.giaotiep.tienganh_Patado_SEA_HoaNT_190126" TargetMode="External"/><Relationship Id="rId572" Type="http://schemas.openxmlformats.org/officeDocument/2006/relationships/hyperlink" Target="https://patadovietnam.edu.vn/khoa-giao-tiep-tieng-anh-online-all/" TargetMode="External"/><Relationship Id="rId571" Type="http://schemas.openxmlformats.org/officeDocument/2006/relationships/hyperlink" Target="https://patadovietnam.edu.vn/khoa-giao-tiep-tieng-anh-online-all/?utm_source=Google&amp;utm_medium=SEA&amp;utm_term=NEW_ALL_none_none_190126&amp;utm_content=saletructiep_Hoctienganh_PTAGTTD_LD256&amp;utm_campaign=ALL.giaotiep.tienganh_Patado_SEA_HoaNT_190126" TargetMode="External"/><Relationship Id="rId570" Type="http://schemas.openxmlformats.org/officeDocument/2006/relationships/hyperlink" Target="https://patadovietnam.edu.vn/khoa-giao-tiep-tieng-anh-online-all/" TargetMode="External"/><Relationship Id="rId576" Type="http://schemas.openxmlformats.org/officeDocument/2006/relationships/hyperlink" Target="https://patadovietnam.edu.vn/khoa-giao-tiep-tieng-anh-online-all/" TargetMode="External"/><Relationship Id="rId575" Type="http://schemas.openxmlformats.org/officeDocument/2006/relationships/hyperlink" Target="https://patadovietnam.edu.vn/khoa-giao-tiep-tieng-anh-online-all/?utm_source=Google&amp;utm_medium=SEA&amp;utm_term=NEW_ALL_none_none_190126&amp;utm_content=saletructiep_Tienganhtructuyen_PTAGTTD_LD256&amp;utm_campaign=ALL.giaotiep.tienganh_Patado_SEA_HoaNT_190126" TargetMode="External"/><Relationship Id="rId574" Type="http://schemas.openxmlformats.org/officeDocument/2006/relationships/hyperlink" Target="https://patadovietnam.edu.vn/khoa-giao-tiep-tieng-anh-online-all/" TargetMode="External"/><Relationship Id="rId573" Type="http://schemas.openxmlformats.org/officeDocument/2006/relationships/hyperlink" Target="https://patadovietnam.edu.vn/khoa-giao-tiep-tieng-anh-online-all/?utm_source=Google&amp;utm_medium=SEA&amp;utm_term=NEW_ALL_none_none_190126&amp;utm_content=saletructiep_Hoctienganh11_PTAGTTD_LD256&amp;utm_campaign=ALL.giaotiep.tienganh_Patado_SEA_HoaNT_190126" TargetMode="External"/><Relationship Id="rId599" Type="http://schemas.openxmlformats.org/officeDocument/2006/relationships/hyperlink" Target="https://patadovietnam.edu.vn/khoa-giao-tiep-tieng-anh-online-all/?utm_source=Google&amp;utm_medium=SEA&amp;utm_term=NEW_ALL_none_none_190126&amp;utm_content=saletructiep_Tienganhgiaotiep_PTAGTTD_LD256&amp;utm_campaign=ALL.giaotiep.tienganh_Patado_SEA_HoaNT_190126" TargetMode="External"/><Relationship Id="rId594" Type="http://schemas.openxmlformats.org/officeDocument/2006/relationships/hyperlink" Target="https://patadovietnam.edu.vn/khoa-giao-tiep-tieng-anh-online-all/" TargetMode="External"/><Relationship Id="rId593" Type="http://schemas.openxmlformats.org/officeDocument/2006/relationships/hyperlink" Target="https://patadovietnam.edu.vn/khoa-giao-tiep-tieng-anh-online-all/?utm_source=Google&amp;utm_medium=SEA&amp;utm_term=NEW_ALL_none_none_190126&amp;utm_content=saletructiep_Trungtamonline_PTAGTTD_LD256&amp;utm_campaign=ALL.giaotiep.tienganh_Patado_SEA_HoaNT_190126" TargetMode="External"/><Relationship Id="rId592" Type="http://schemas.openxmlformats.org/officeDocument/2006/relationships/hyperlink" Target="https://patadovietnam.edu.vn/khoa-giao-tiep-tieng-anh-online-all/" TargetMode="External"/><Relationship Id="rId591" Type="http://schemas.openxmlformats.org/officeDocument/2006/relationships/hyperlink" Target="https://patadovietnam.edu.vn/khoa-giao-tiep-tieng-anh-online-all/?utm_source=Google&amp;utm_medium=SEA&amp;utm_term=NEW_ALL_none_none_190126&amp;utm_content=saletructiep_Khoagiaotieponline_PTAGTTD_LD256&amp;utm_campaign=ALL.giaotiep.tienganh_Patado_SEA_HoaNT_190126" TargetMode="External"/><Relationship Id="rId598" Type="http://schemas.openxmlformats.org/officeDocument/2006/relationships/hyperlink" Target="https://patadovietnam.edu.vn/khoa-giao-tiep-tieng-anh-online-all/" TargetMode="External"/><Relationship Id="rId597" Type="http://schemas.openxmlformats.org/officeDocument/2006/relationships/hyperlink" Target="https://patadovietnam.edu.vn/khoa-giao-tiep-tieng-anh-online-all/?utm_source=Google&amp;utm_medium=SEA&amp;utm_term=NEW_ALL_none_none_190126&amp;utm_content=saletructiep_Hocphionline_PTAGTTD_LD256&amp;utm_campaign=ALL.giaotiep.tienganh_Patado_SEA_HoaNT_190126" TargetMode="External"/><Relationship Id="rId596" Type="http://schemas.openxmlformats.org/officeDocument/2006/relationships/hyperlink" Target="https://patadovietnam.edu.vn/khoa-giao-tiep-tieng-anh-online-all/" TargetMode="External"/><Relationship Id="rId595" Type="http://schemas.openxmlformats.org/officeDocument/2006/relationships/hyperlink" Target="https://patadovietnam.edu.vn/khoa-giao-tiep-tieng-anh-online-all/?utm_source=Google&amp;utm_medium=SEA&amp;utm_term=NEW_ALL_none_none_190126&amp;utm_content=saletructiep_Trungtamhoconline_PTAGTTD_LD256&amp;utm_campaign=ALL.giaotiep.tienganh_Patado_SEA_HoaNT_190126" TargetMode="External"/><Relationship Id="rId547" Type="http://schemas.openxmlformats.org/officeDocument/2006/relationships/hyperlink" Target="https://patadovietnam.edu.vn/khoa-hoc-tieng-anh-giao-tiep-tai-uc/?utm_source=Google&amp;utm_medium=SEA&amp;utm_term=NEW_Australia_none_none_170126&amp;utm_content=saletructiep_Hoctienganhgiaotiep_PTAGTTD_LD262&amp;utm_campaign=Australia.giaotiep.tienganh_Patado_SEA_HoaNT_170126" TargetMode="External"/><Relationship Id="rId546" Type="http://schemas.openxmlformats.org/officeDocument/2006/relationships/hyperlink" Target="https://patadovietnam.edu.vn/khoa-hoc-tieng-anh-giao-tiep-tai-uc/" TargetMode="External"/><Relationship Id="rId545" Type="http://schemas.openxmlformats.org/officeDocument/2006/relationships/hyperlink" Target="https://patadovietnam.edu.vn/khoa-hoc-tieng-anh-giao-tiep-tai-uc/?utm_source=Google&amp;utm_medium=SEA&amp;utm_term=NEW_Australia_none_none_170126&amp;utm_content=saletructiep_Tienganhgiaotiep11_PTAGTTD_LD262&amp;utm_campaign=Australia.giaotiep.tienganh_Patado_SEA_HoaNT_170126" TargetMode="External"/><Relationship Id="rId544" Type="http://schemas.openxmlformats.org/officeDocument/2006/relationships/hyperlink" Target="https://patadovietnam.edu.vn/khoa-hoc-tieng-anh-giao-tiep-tai-uc/" TargetMode="External"/><Relationship Id="rId549" Type="http://schemas.openxmlformats.org/officeDocument/2006/relationships/hyperlink" Target="https://patadovietnam.edu.vn/khoa-hoc-tieng-anh-giao-tiep-tai-uc/?utm_source=Google&amp;utm_medium=SEA&amp;utm_term=NEW_Australia_none_none_170126&amp;utm_content=saletructiep_Hocgiaotiepcoban_PTAGTTD_LD262&amp;utm_campaign=Australia.giaotiep.tienganh_Patado_SEA_HoaNT_170126" TargetMode="External"/><Relationship Id="rId548" Type="http://schemas.openxmlformats.org/officeDocument/2006/relationships/hyperlink" Target="https://patadovietnam.edu.vn/khoa-hoc-tieng-anh-giao-tiep-tai-uc/" TargetMode="External"/><Relationship Id="rId543" Type="http://schemas.openxmlformats.org/officeDocument/2006/relationships/hyperlink" Target="https://patadovietnam.edu.vn/khoa-hoc-tieng-anh-giao-tiep-tai-uc/?utm_source=Google&amp;utm_medium=SEA&amp;utm_term=NEW_Australia_none_none_170126&amp;utm_content=saletructiep_Tienganhgiaotiep_PTAGTTD_LD262&amp;utm_campaign=Australia.giaotiep.tienganh_Patado_SEA_HoaNT_170126" TargetMode="External"/><Relationship Id="rId542" Type="http://schemas.openxmlformats.org/officeDocument/2006/relationships/hyperlink" Target="https://patadovietnam.edu.vn/khoa-hoc-tieng-anh-giao-tiep-tai-uc/" TargetMode="External"/><Relationship Id="rId541" Type="http://schemas.openxmlformats.org/officeDocument/2006/relationships/hyperlink" Target="https://patadovietnam.edu.vn/khoa-hoc-tieng-anh-giao-tiep-tai-uc/?utm_source=Google&amp;utm_medium=SEA&amp;utm_term=NEW_Australia_none_none_170126&amp;utm_content=saletructiep_Hocphionline_PTAGTTD_LD262&amp;utm_campaign=Australia.giaotiep.tienganh_Patado_SEA_HoaNT_170126" TargetMode="External"/><Relationship Id="rId540" Type="http://schemas.openxmlformats.org/officeDocument/2006/relationships/hyperlink" Target="https://patadovietnam.edu.vn/khoa-hoc-tieng-anh-giao-tiep-tai-uc/" TargetMode="External"/><Relationship Id="rId536" Type="http://schemas.openxmlformats.org/officeDocument/2006/relationships/hyperlink" Target="https://patadovietnam.edu.vn/khoa-hoc-tieng-anh-giao-tiep-tai-uc/" TargetMode="External"/><Relationship Id="rId535" Type="http://schemas.openxmlformats.org/officeDocument/2006/relationships/hyperlink" Target="https://patadovietnam.edu.vn/khoa-hoc-tieng-anh-giao-tiep-tai-uc/?utm_source=Google&amp;utm_medium=SEA&amp;utm_term=NEW_Australia_none_none_170126&amp;utm_content=saletructiep_Khoagiaotieponline_PTAGTTD_LD262&amp;utm_campaign=Australia.giaotiep.tienganh_Patado_SEA_HoaNT_170126" TargetMode="External"/><Relationship Id="rId534" Type="http://schemas.openxmlformats.org/officeDocument/2006/relationships/hyperlink" Target="https://patadovietnam.edu.vn/khoa-hoc-tieng-anh-giao-tiep-tai-uc/" TargetMode="External"/><Relationship Id="rId533" Type="http://schemas.openxmlformats.org/officeDocument/2006/relationships/hyperlink" Target="https://patadovietnam.edu.vn/khoa-hoc-tieng-anh-giao-tiep-tai-uc/?utm_source=Google&amp;utm_medium=SEA&amp;utm_term=NEW_Australia_none_none_170126&amp;utm_content=saletructiep_Loponline_PTAGTTD_LD262&amp;utm_campaign=Australia.giaotiep.tienganh_Patado_SEA_HoaNT_170126" TargetMode="External"/><Relationship Id="rId539" Type="http://schemas.openxmlformats.org/officeDocument/2006/relationships/hyperlink" Target="https://patadovietnam.edu.vn/khoa-hoc-tieng-anh-giao-tiep-tai-uc/?utm_source=Google&amp;utm_medium=SEA&amp;utm_term=NEW_Australia_none_none_170126&amp;utm_content=saletructiep_Trungtamhoconline_PTAGTTD_LD262&amp;utm_campaign=Australia.giaotiep.tienganh_Patado_SEA_HoaNT_170126" TargetMode="External"/><Relationship Id="rId538" Type="http://schemas.openxmlformats.org/officeDocument/2006/relationships/hyperlink" Target="https://patadovietnam.edu.vn/khoa-hoc-tieng-anh-giao-tiep-tai-uc/" TargetMode="External"/><Relationship Id="rId537" Type="http://schemas.openxmlformats.org/officeDocument/2006/relationships/hyperlink" Target="https://patadovietnam.edu.vn/khoa-hoc-tieng-anh-giao-tiep-tai-uc/?utm_source=Google&amp;utm_medium=SEA&amp;utm_term=NEW_Australia_none_none_170126&amp;utm_content=saletructiep_Trungtamonline_PTAGTTD_LD262&amp;utm_campaign=Australia.giaotiep.tienganh_Patado_SEA_HoaNT_170126" TargetMode="External"/><Relationship Id="rId532" Type="http://schemas.openxmlformats.org/officeDocument/2006/relationships/hyperlink" Target="https://patadovietnam.edu.vn/khoa-hoc-tieng-anh-giao-tiep-tai-uc/" TargetMode="External"/><Relationship Id="rId531" Type="http://schemas.openxmlformats.org/officeDocument/2006/relationships/hyperlink" Target="https://patadovietnam.edu.vn/khoa-hoc-tieng-anh-giao-tiep-tai-uc/?utm_source=Google&amp;utm_medium=SEA&amp;utm_term=NEW_Australia_none_none_170126&amp;utm_content=saletructiep_Hocgiaotieponline_PTAGTTD_LD262&amp;utm_campaign=Australia.giaotiep.tienganh_Patado_SEA_HoaNT_170126" TargetMode="External"/><Relationship Id="rId530" Type="http://schemas.openxmlformats.org/officeDocument/2006/relationships/hyperlink" Target="https://patadovietnam.edu.vn/khoa-hoc-tieng-anh-giao-tiep-tai-uc/" TargetMode="External"/><Relationship Id="rId569" Type="http://schemas.openxmlformats.org/officeDocument/2006/relationships/hyperlink" Target="https://patadovietnam.edu.vn/khoa-hoc-tieng-anh-giao-tiep-tai-uc/?utm_source=Google&amp;utm_medium=SEA&amp;utm_term=NEW_Australia_none_none_170126&amp;utm_content=saletructiep_Tienganhngmatgoc_PTAGTTD_LD262&amp;utm_campaign=Australia.giaotiep.tienganh_Patado_SEA_HoaNT_170126" TargetMode="External"/><Relationship Id="rId568" Type="http://schemas.openxmlformats.org/officeDocument/2006/relationships/hyperlink" Target="https://patadovietnam.edu.vn/khoa-hoc-tieng-anh-giao-tiep-tai-uc/" TargetMode="External"/><Relationship Id="rId567" Type="http://schemas.openxmlformats.org/officeDocument/2006/relationships/hyperlink" Target="https://patadovietnam.edu.vn/khoa-hoc-tieng-anh-giao-tiep-tai-uc/?utm_source=Google&amp;utm_medium=SEA&amp;utm_term=NEW_Australia_none_none_170126&amp;utm_content=saletructiep_Tienganhngdilam_PTAGTTD_LD262&amp;utm_campaign=Australia.giaotiep.tienganh_Patado_SEA_HoaNT_170126" TargetMode="External"/><Relationship Id="rId566" Type="http://schemas.openxmlformats.org/officeDocument/2006/relationships/hyperlink" Target="https://patadovietnam.edu.vn/khoa-hoc-tieng-anh-giao-tiep-tai-uc/" TargetMode="External"/><Relationship Id="rId561" Type="http://schemas.openxmlformats.org/officeDocument/2006/relationships/hyperlink" Target="https://patadovietnam.edu.vn/khoa-hoc-tieng-anh-giao-tiep-tai-uc/?utm_source=Google&amp;utm_medium=SEA&amp;utm_term=NEW_Australia_none_none_170126&amp;utm_content=saletructiep_Trungtamgiaotiep_PTAGTTD_LD262&amp;utm_campaign=Australia.giaotiep.tienganh_Patado_SEA_HoaNT_170126" TargetMode="External"/><Relationship Id="rId560" Type="http://schemas.openxmlformats.org/officeDocument/2006/relationships/hyperlink" Target="https://patadovietnam.edu.vn/khoa-hoc-tieng-anh-giao-tiep-tai-uc/" TargetMode="External"/><Relationship Id="rId565" Type="http://schemas.openxmlformats.org/officeDocument/2006/relationships/hyperlink" Target="https://patadovietnam.edu.vn/khoa-hoc-tieng-anh-giao-tiep-tai-uc/?utm_source=Google&amp;utm_medium=SEA&amp;utm_term=NEW_Australia_none_none_170126&amp;utm_content=saletructiep_Tienganhngbatdau_PTAGTTD_LD262&amp;utm_campaign=Australia.giaotiep.tienganh_Patado_SEA_HoaNT_170126" TargetMode="External"/><Relationship Id="rId564" Type="http://schemas.openxmlformats.org/officeDocument/2006/relationships/hyperlink" Target="https://patadovietnam.edu.vn/khoa-hoc-tieng-anh-giao-tiep-tai-uc/" TargetMode="External"/><Relationship Id="rId563" Type="http://schemas.openxmlformats.org/officeDocument/2006/relationships/hyperlink" Target="https://patadovietnam.edu.vn/khoa-hoc-tieng-anh-giao-tiep-tai-uc/?utm_source=Google&amp;utm_medium=SEA&amp;utm_term=NEW_Australia_none_none_170126&amp;utm_content=saletructiep_Hocphigiaotiep_PTAGTTD_LD262&amp;utm_campaign=Australia.giaotiep.tienganh_Patado_SEA_HoaNT_170126" TargetMode="External"/><Relationship Id="rId562" Type="http://schemas.openxmlformats.org/officeDocument/2006/relationships/hyperlink" Target="https://patadovietnam.edu.vn/khoa-hoc-tieng-anh-giao-tiep-tai-uc/" TargetMode="External"/><Relationship Id="rId558" Type="http://schemas.openxmlformats.org/officeDocument/2006/relationships/hyperlink" Target="https://patadovietnam.edu.vn/khoa-hoc-tieng-anh-giao-tiep-tai-uc/" TargetMode="External"/><Relationship Id="rId557" Type="http://schemas.openxmlformats.org/officeDocument/2006/relationships/hyperlink" Target="https://patadovietnam.edu.vn/khoa-hoc-tieng-anh-giao-tiep-tai-uc/?utm_source=Google&amp;utm_medium=SEA&amp;utm_term=NEW_Australia_none_none_170126&amp;utm_content=saletructiep_Lopgiaotiep_PTAGTTD_LD262&amp;utm_campaign=Australia.giaotiep.tienganh_Patado_SEA_HoaNT_170126" TargetMode="External"/><Relationship Id="rId556" Type="http://schemas.openxmlformats.org/officeDocument/2006/relationships/hyperlink" Target="https://patadovietnam.edu.vn/khoa-hoc-tieng-anh-giao-tiep-tai-uc/" TargetMode="External"/><Relationship Id="rId555" Type="http://schemas.openxmlformats.org/officeDocument/2006/relationships/hyperlink" Target="https://patadovietnam.edu.vn/khoa-hoc-tieng-anh-giao-tiep-tai-uc/?utm_source=Google&amp;utm_medium=SEA&amp;utm_term=NEW_Australia_none_none_170126&amp;utm_content=saletructiep_Lotrinhgiaotiep_PTAGTTD_LD262&amp;utm_campaign=Australia.giaotiep.tienganh_Patado_SEA_HoaNT_170126" TargetMode="External"/><Relationship Id="rId559" Type="http://schemas.openxmlformats.org/officeDocument/2006/relationships/hyperlink" Target="https://patadovietnam.edu.vn/khoa-hoc-tieng-anh-giao-tiep-tai-uc/?utm_source=Google&amp;utm_medium=SEA&amp;utm_term=NEW_Australia_none_none_170126&amp;utm_content=saletructiep_Khoagiaotiep_PTAGTTD_LD262&amp;utm_campaign=Australia.giaotiep.tienganh_Patado_SEA_HoaNT_170126" TargetMode="External"/><Relationship Id="rId550" Type="http://schemas.openxmlformats.org/officeDocument/2006/relationships/hyperlink" Target="https://patadovietnam.edu.vn/khoa-hoc-tieng-anh-giao-tiep-tai-uc/" TargetMode="External"/><Relationship Id="rId554" Type="http://schemas.openxmlformats.org/officeDocument/2006/relationships/hyperlink" Target="https://patadovietnam.edu.vn/khoa-hoc-tieng-anh-giao-tiep-tai-uc/" TargetMode="External"/><Relationship Id="rId553" Type="http://schemas.openxmlformats.org/officeDocument/2006/relationships/hyperlink" Target="https://patadovietnam.edu.vn/khoa-hoc-tieng-anh-giao-tiep-tai-uc/?utm_source=Google&amp;utm_medium=SEA&amp;utm_term=NEW_Australia_none_none_170126&amp;utm_content=saletructiep_Dangkyhocgiaotiep_PTAGTTD_LD262&amp;utm_campaign=Australia.giaotiep.tienganh_Patado_SEA_HoaNT_170126" TargetMode="External"/><Relationship Id="rId552" Type="http://schemas.openxmlformats.org/officeDocument/2006/relationships/hyperlink" Target="https://patadovietnam.edu.vn/khoa-hoc-tieng-anh-giao-tiep-tai-uc/" TargetMode="External"/><Relationship Id="rId551" Type="http://schemas.openxmlformats.org/officeDocument/2006/relationships/hyperlink" Target="https://patadovietnam.edu.vn/khoa-hoc-tieng-anh-giao-tiep-tai-uc/?utm_source=Google&amp;utm_medium=SEA&amp;utm_term=NEW_Australia_none_none_170126&amp;utm_content=saletructiep_Hocgiaotiepcaptoc_PTAGTTD_LD262&amp;utm_campaign=Australia.giaotiep.tienganh_Patado_SEA_HoaNT_170126" TargetMode="External"/><Relationship Id="rId495" Type="http://schemas.openxmlformats.org/officeDocument/2006/relationships/hyperlink" Target="https://patadovietnam.edu.vn/khoa-tieng-anh-giao-tiep-chau-au/?utm_source=Google&amp;utm_medium=SEA&amp;utm_term=NEW_Europe_none_none_160126&amp;utm_content=saletructiep_Hocgiaotiepcaptoc_PTAGTTD_LD261&amp;utm_campaign=Europe.giaotiep.tienganh_Patado_SEA_HoaNT_160126" TargetMode="External"/><Relationship Id="rId494" Type="http://schemas.openxmlformats.org/officeDocument/2006/relationships/hyperlink" Target="https://patadovietnam.edu.vn/khoa-tieng-anh-giao-tiep-chau-au/" TargetMode="External"/><Relationship Id="rId493" Type="http://schemas.openxmlformats.org/officeDocument/2006/relationships/hyperlink" Target="https://patadovietnam.edu.vn/khoa-tieng-anh-giao-tiep-chau-au/?utm_source=Google&amp;utm_medium=SEA&amp;utm_term=NEW_Europe_none_none_160126&amp;utm_content=saletructiep_Hocgiaotiepcoban_PTAGTTD_LD261&amp;utm_campaign=Europe.giaotiep.tienganh_Patado_SEA_HoaNT_160126" TargetMode="External"/><Relationship Id="rId492" Type="http://schemas.openxmlformats.org/officeDocument/2006/relationships/hyperlink" Target="https://patadovietnam.edu.vn/khoa-tieng-anh-giao-tiep-chau-au/" TargetMode="External"/><Relationship Id="rId499" Type="http://schemas.openxmlformats.org/officeDocument/2006/relationships/hyperlink" Target="https://patadovietnam.edu.vn/khoa-tieng-anh-giao-tiep-chau-au/?utm_source=Google&amp;utm_medium=SEA&amp;utm_term=NEW_Europe_none_none_160126&amp;utm_content=saletructiep_Lotrinhgiaotiep_PTAGTTD_LD261&amp;utm_campaign=Europe.giaotiep.tienganh_Patado_SEA_HoaNT_160126" TargetMode="External"/><Relationship Id="rId498" Type="http://schemas.openxmlformats.org/officeDocument/2006/relationships/hyperlink" Target="https://patadovietnam.edu.vn/khoa-tieng-anh-giao-tiep-chau-au/" TargetMode="External"/><Relationship Id="rId497" Type="http://schemas.openxmlformats.org/officeDocument/2006/relationships/hyperlink" Target="https://patadovietnam.edu.vn/khoa-tieng-anh-giao-tiep-chau-au/?utm_source=Google&amp;utm_medium=SEA&amp;utm_term=NEW_Europe_none_none_160126&amp;utm_content=saletructiep_Dangkyhocgiaotiep_PTAGTTD_LD261&amp;utm_campaign=Europe.giaotiep.tienganh_Patado_SEA_HoaNT_160126" TargetMode="External"/><Relationship Id="rId496" Type="http://schemas.openxmlformats.org/officeDocument/2006/relationships/hyperlink" Target="https://patadovietnam.edu.vn/khoa-tieng-anh-giao-tiep-chau-au/" TargetMode="External"/><Relationship Id="rId409" Type="http://schemas.openxmlformats.org/officeDocument/2006/relationships/hyperlink" Target="https://patadovietnam.edu.vn/khoa-tieng-anh-giao-tiep-dai-loan/?utm_source=Google&amp;utm_medium=SEA&amp;utm_term=NEW_Taiwan_none_none_160126&amp;utm_content=saletructiep_Tienganhquamang_PTAGTTD_LD260&amp;utm_campaign=Taiwan.giaotiep.tienganh_Patado_SEA_HoaNT_160126" TargetMode="External"/><Relationship Id="rId404" Type="http://schemas.openxmlformats.org/officeDocument/2006/relationships/hyperlink" Target="https://patadovietnam.edu.vn/khoa-tieng-anh-giao-tiep-dai-loan/" TargetMode="External"/><Relationship Id="rId403" Type="http://schemas.openxmlformats.org/officeDocument/2006/relationships/hyperlink" Target="https://patado.edu.vn/khoa-tieng-anh-giao-tiep-dai-loan/?utm_source=Google&amp;utm_medium=SEA&amp;utm_term=NEW_Taiwan_none_none_160126&amp;utm_content=saletructiep_Hoctienganh_PTAGTTD_LD269&amp;utm_campaign=Taiwan.giaotiep.tienganh_Patado_SEA_HoaNT_160126" TargetMode="External"/><Relationship Id="rId402" Type="http://schemas.openxmlformats.org/officeDocument/2006/relationships/hyperlink" Target="https://patado.edu.vn/khoa-tieng-anh-giao-tiep-dai-loan" TargetMode="External"/><Relationship Id="rId401" Type="http://schemas.openxmlformats.org/officeDocument/2006/relationships/hyperlink" Target="https://patadovietnam.edu.vn/khoa-giao-tiep-cho-nguoi-viet-tai-han-quoc/?utm_source=Google&amp;utm_medium=SEA&amp;utm_term=NEW_KoreaSouth_none_none_150126&amp;utm_content=saletructiep_Tienganhngmatgoc_PTAGTTD_LD259&amp;utm_campaign=KoreaSouth.giaotiep.tienganh_Patado_SEA_HoaNT_150126" TargetMode="External"/><Relationship Id="rId408" Type="http://schemas.openxmlformats.org/officeDocument/2006/relationships/hyperlink" Target="https://patadovietnam.edu.vn/khoa-tieng-anh-giao-tiep-dai-loan/" TargetMode="External"/><Relationship Id="rId407" Type="http://schemas.openxmlformats.org/officeDocument/2006/relationships/hyperlink" Target="https://patadovietnam.edu.vn/khoa-tieng-anh-giao-tiep-dai-loan/?utm_source=Google&amp;utm_medium=SEA&amp;utm_term=NEW_Taiwan_none_none_160126&amp;utm_content=saletructiep_Tienganhtructuyen_PTAGTTD_LD260&amp;utm_campaign=Taiwan.giaotiep.tienganh_Patado_SEA_HoaNT_160126" TargetMode="External"/><Relationship Id="rId406" Type="http://schemas.openxmlformats.org/officeDocument/2006/relationships/hyperlink" Target="https://patadovietnam.edu.vn/khoa-tieng-anh-giao-tiep-dai-loan/" TargetMode="External"/><Relationship Id="rId405" Type="http://schemas.openxmlformats.org/officeDocument/2006/relationships/hyperlink" Target="https://patadovietnam.edu.vn/khoa-tieng-anh-giao-tiep-dai-loan/?utm_source=Google&amp;utm_medium=SEA&amp;utm_term=NEW_Taiwan_none_none_160126&amp;utm_content=saletructiep_Hoctienganh11_PTAGTTD_LD260&amp;utm_campaign=Taiwan.giaotiep.tienganh_Patado_SEA_HoaNT_160126" TargetMode="External"/><Relationship Id="rId400" Type="http://schemas.openxmlformats.org/officeDocument/2006/relationships/hyperlink" Target="https://patadovietnam.edu.vn/khoa-giao-tiep-cho-nguoi-viet-tai-han-quoc/" TargetMode="External"/><Relationship Id="rId469" Type="http://schemas.openxmlformats.org/officeDocument/2006/relationships/hyperlink" Target="https://patadovietnam.edu.vn/khoa-tieng-anh-giao-tiep-chau-au/?utm_source=Google&amp;utm_medium=SEA&amp;utm_term=NEW_Europe_none_none_160126&amp;utm_content=saletructiep_Tienganhonline11_PTAGTTD_LD261&amp;utm_campaign=Europe.giaotiep.tienganh_Patado_SEA_HoaNT_160126" TargetMode="External"/><Relationship Id="rId468" Type="http://schemas.openxmlformats.org/officeDocument/2006/relationships/hyperlink" Target="https://patadovietnam.edu.vn/khoa-tieng-anh-giao-tiep-chau-au/" TargetMode="External"/><Relationship Id="rId467" Type="http://schemas.openxmlformats.org/officeDocument/2006/relationships/hyperlink" Target="https://patadovietnam.edu.vn/khoa-tieng-anh-giao-tiep-chau-au/?utm_source=Google&amp;utm_medium=SEA&amp;utm_term=NEW_Europe_none_none_160126&amp;utm_content=saletructiep_Tienganhonline_PTAGTTD_LD261&amp;utm_campaign=Europe.giaotiep.tienganh_Patado_SEA_HoaNT_160126" TargetMode="External"/><Relationship Id="rId462" Type="http://schemas.openxmlformats.org/officeDocument/2006/relationships/hyperlink" Target="https://patadovietnam.edu.vn/khoa-tieng-anh-giao-tiep-chau-au/" TargetMode="External"/><Relationship Id="rId461" Type="http://schemas.openxmlformats.org/officeDocument/2006/relationships/hyperlink" Target="https://patadovietnam.edu.vn/khoa-tieng-anh-giao-tiep-chau-au/?utm_source=Google&amp;utm_medium=SEA&amp;utm_term=NEW_Europe_none_none_160126&amp;utm_content=saletructiep_Hoctienganh11_PTAGTTD_LD261&amp;utm_campaign=Europe.giaotiep.tienganh_Patado_SEA_HoaNT_160126" TargetMode="External"/><Relationship Id="rId460" Type="http://schemas.openxmlformats.org/officeDocument/2006/relationships/hyperlink" Target="https://patadovietnam.edu.vn/khoa-tieng-anh-giao-tiep-chau-au/" TargetMode="External"/><Relationship Id="rId466" Type="http://schemas.openxmlformats.org/officeDocument/2006/relationships/hyperlink" Target="https://patadovietnam.edu.vn/khoa-tieng-anh-giao-tiep-chau-au/" TargetMode="External"/><Relationship Id="rId465" Type="http://schemas.openxmlformats.org/officeDocument/2006/relationships/hyperlink" Target="https://patadovietnam.edu.vn/khoa-tieng-anh-giao-tiep-chau-au/?utm_source=Google&amp;utm_medium=SEA&amp;utm_term=NEW_Europe_none_none_160126&amp;utm_content=saletructiep_Tienganhquamang_PTAGTTD_LD261&amp;utm_campaign=Europe.giaotiep.tienganh_Patado_SEA_HoaNT_160126" TargetMode="External"/><Relationship Id="rId464" Type="http://schemas.openxmlformats.org/officeDocument/2006/relationships/hyperlink" Target="https://patadovietnam.edu.vn/khoa-tieng-anh-giao-tiep-chau-au/" TargetMode="External"/><Relationship Id="rId463" Type="http://schemas.openxmlformats.org/officeDocument/2006/relationships/hyperlink" Target="https://patadovietnam.edu.vn/khoa-tieng-anh-giao-tiep-chau-au/?utm_source=Google&amp;utm_medium=SEA&amp;utm_term=NEW_Europe_none_none_160126&amp;utm_content=saletructiep_Tienganhtructuyen_PTAGTTD_LD261&amp;utm_campaign=Europe.giaotiep.tienganh_Patado_SEA_HoaNT_160126" TargetMode="External"/><Relationship Id="rId459" Type="http://schemas.openxmlformats.org/officeDocument/2006/relationships/hyperlink" Target="https://patadovietnam.edu.vn/khoa-tieng-anh-giao-tiep-chau-au/?utm_source=Google&amp;utm_medium=SEA&amp;utm_term=NEW_Europe_none_none_160126&amp;utm_content=saletructiep_Hoctienganh_PTAGTTD_LD261&amp;utm_campaign=Europe.giaotiep.tienganh_Patado_SEA_HoaNT_160126" TargetMode="External"/><Relationship Id="rId458" Type="http://schemas.openxmlformats.org/officeDocument/2006/relationships/hyperlink" Target="https://patadovietnam.edu.vn/khoa-tieng-anh-giao-tiep-chau-au/" TargetMode="External"/><Relationship Id="rId457" Type="http://schemas.openxmlformats.org/officeDocument/2006/relationships/hyperlink" Target="https://patadovietnam.edu.vn/khoa-tieng-anh-giao-tiep-dai-loan/?utm_source=Google&amp;utm_medium=SEA&amp;utm_term=NEW_Taiwan_none_none_160126&amp;utm_content=saletructiep_Tienganhngmatgoc_PTAGTTD_LD260&amp;utm_campaign=Taiwan.giaotiep.tienganh_Patado_SEA_HoaNT_160126" TargetMode="External"/><Relationship Id="rId456" Type="http://schemas.openxmlformats.org/officeDocument/2006/relationships/hyperlink" Target="https://patadovietnam.edu.vn/khoa-tieng-anh-giao-tiep-dai-loan/" TargetMode="External"/><Relationship Id="rId451" Type="http://schemas.openxmlformats.org/officeDocument/2006/relationships/hyperlink" Target="https://patadovietnam.edu.vn/khoa-tieng-anh-giao-tiep-dai-loan/?utm_source=Google&amp;utm_medium=SEA&amp;utm_term=NEW_Taiwan_none_none_160126&amp;utm_content=saletructiep_Hocphigiaotiep_PTAGTTD_LD260&amp;utm_campaign=Taiwan.giaotiep.tienganh_Patado_SEA_HoaNT_160126" TargetMode="External"/><Relationship Id="rId450" Type="http://schemas.openxmlformats.org/officeDocument/2006/relationships/hyperlink" Target="https://patadovietnam.edu.vn/khoa-tieng-anh-giao-tiep-dai-loan/" TargetMode="External"/><Relationship Id="rId455" Type="http://schemas.openxmlformats.org/officeDocument/2006/relationships/hyperlink" Target="https://patadovietnam.edu.vn/khoa-tieng-anh-giao-tiep-dai-loan/?utm_source=Google&amp;utm_medium=SEA&amp;utm_term=NEW_Taiwan_none_none_160126&amp;utm_content=saletructiep_Tienganhngdilam_PTAGTTD_LD260&amp;utm_campaign=Taiwan.giaotiep.tienganh_Patado_SEA_HoaNT_160126" TargetMode="External"/><Relationship Id="rId454" Type="http://schemas.openxmlformats.org/officeDocument/2006/relationships/hyperlink" Target="https://patadovietnam.edu.vn/khoa-tieng-anh-giao-tiep-dai-loan/" TargetMode="External"/><Relationship Id="rId453" Type="http://schemas.openxmlformats.org/officeDocument/2006/relationships/hyperlink" Target="https://patadovietnam.edu.vn/khoa-tieng-anh-giao-tiep-dai-loan/?utm_source=Google&amp;utm_medium=SEA&amp;utm_term=NEW_Taiwan_none_none_160126&amp;utm_content=saletructiep_Tienganhngbatdau_PTAGTTD_LD260&amp;utm_campaign=Taiwan.giaotiep.tienganh_Patado_SEA_HoaNT_160126" TargetMode="External"/><Relationship Id="rId452" Type="http://schemas.openxmlformats.org/officeDocument/2006/relationships/hyperlink" Target="https://patadovietnam.edu.vn/khoa-tieng-anh-giao-tiep-dai-loan/" TargetMode="External"/><Relationship Id="rId491" Type="http://schemas.openxmlformats.org/officeDocument/2006/relationships/hyperlink" Target="https://patadovietnam.edu.vn/khoa-tieng-anh-giao-tiep-chau-au/?utm_source=Google&amp;utm_medium=SEA&amp;utm_term=NEW_Europe_none_none_160126&amp;utm_content=saletructiep_Hoctienganhgiaotiep_PTAGTTD_LD261&amp;utm_campaign=Europe.giaotiep.tienganh_Patado_SEA_HoaNT_160126" TargetMode="External"/><Relationship Id="rId490" Type="http://schemas.openxmlformats.org/officeDocument/2006/relationships/hyperlink" Target="https://patadovietnam.edu.vn/khoa-tieng-anh-giao-tiep-chau-au/" TargetMode="External"/><Relationship Id="rId489" Type="http://schemas.openxmlformats.org/officeDocument/2006/relationships/hyperlink" Target="https://patadovietnam.edu.vn/khoa-tieng-anh-giao-tiep-chau-au/?utm_source=Google&amp;utm_medium=SEA&amp;utm_term=NEW_Europe_none_none_160126&amp;utm_content=saletructiep_Tienganhgiaotiep11_PTAGTTD_LD261&amp;utm_campaign=Europe.giaotiep.tienganh_Patado_SEA_HoaNT_160126" TargetMode="External"/><Relationship Id="rId484" Type="http://schemas.openxmlformats.org/officeDocument/2006/relationships/hyperlink" Target="https://patadovietnam.edu.vn/khoa-tieng-anh-giao-tiep-chau-au/" TargetMode="External"/><Relationship Id="rId483" Type="http://schemas.openxmlformats.org/officeDocument/2006/relationships/hyperlink" Target="https://patadovietnam.edu.vn/khoa-tieng-anh-giao-tiep-chau-au/?utm_source=Google&amp;utm_medium=SEA&amp;utm_term=NEW_Europe_none_none_160126&amp;utm_content=saletructiep_Trungtamhoconline_PTAGTTD_LD261&amp;utm_campaign=Europe.giaotiep.tienganh_Patado_SEA_HoaNT_160126" TargetMode="External"/><Relationship Id="rId482" Type="http://schemas.openxmlformats.org/officeDocument/2006/relationships/hyperlink" Target="https://patadovietnam.edu.vn/khoa-tieng-anh-giao-tiep-chau-au/" TargetMode="External"/><Relationship Id="rId481" Type="http://schemas.openxmlformats.org/officeDocument/2006/relationships/hyperlink" Target="https://patadovietnam.edu.vn/khoa-tieng-anh-giao-tiep-chau-au/?utm_source=Google&amp;utm_medium=SEA&amp;utm_term=NEW_Europe_none_none_160126&amp;utm_content=saletructiep_Trungtamonline_PTAGTTD_LD261&amp;utm_campaign=Europe.giaotiep.tienganh_Patado_SEA_HoaNT_160126" TargetMode="External"/><Relationship Id="rId488" Type="http://schemas.openxmlformats.org/officeDocument/2006/relationships/hyperlink" Target="https://patadovietnam.edu.vn/khoa-tieng-anh-giao-tiep-chau-au/" TargetMode="External"/><Relationship Id="rId487" Type="http://schemas.openxmlformats.org/officeDocument/2006/relationships/hyperlink" Target="https://patadovietnam.edu.vn/khoa-tieng-anh-giao-tiep-chau-au/?utm_source=Google&amp;utm_medium=SEA&amp;utm_term=NEW_Europe_none_none_160126&amp;utm_content=saletructiep_Tienganhgiaotiep_PTAGTTD_LD261&amp;utm_campaign=Europe.giaotiep.tienganh_Patado_SEA_HoaNT_160126" TargetMode="External"/><Relationship Id="rId486" Type="http://schemas.openxmlformats.org/officeDocument/2006/relationships/hyperlink" Target="https://patadovietnam.edu.vn/khoa-tieng-anh-giao-tiep-chau-au/" TargetMode="External"/><Relationship Id="rId485" Type="http://schemas.openxmlformats.org/officeDocument/2006/relationships/hyperlink" Target="https://patadovietnam.edu.vn/khoa-tieng-anh-giao-tiep-chau-au/?utm_source=Google&amp;utm_medium=SEA&amp;utm_term=NEW_Europe_none_none_160126&amp;utm_content=saletructiep_Hocphionline_PTAGTTD_LD261&amp;utm_campaign=Europe.giaotiep.tienganh_Patado_SEA_HoaNT_160126" TargetMode="External"/><Relationship Id="rId480" Type="http://schemas.openxmlformats.org/officeDocument/2006/relationships/hyperlink" Target="https://patadovietnam.edu.vn/khoa-tieng-anh-giao-tiep-chau-au/" TargetMode="External"/><Relationship Id="rId479" Type="http://schemas.openxmlformats.org/officeDocument/2006/relationships/hyperlink" Target="https://patadovietnam.edu.vn/khoa-tieng-anh-giao-tiep-chau-au/?utm_source=Google&amp;utm_medium=SEA&amp;utm_term=NEW_Europe_none_none_160126&amp;utm_content=saletructiep_Khoagiaotieponline_PTAGTTD_LD261&amp;utm_campaign=Europe.giaotiep.tienganh_Patado_SEA_HoaNT_160126" TargetMode="External"/><Relationship Id="rId478" Type="http://schemas.openxmlformats.org/officeDocument/2006/relationships/hyperlink" Target="https://patadovietnam.edu.vn/khoa-tieng-anh-giao-tiep-chau-au/" TargetMode="External"/><Relationship Id="rId473" Type="http://schemas.openxmlformats.org/officeDocument/2006/relationships/hyperlink" Target="https://patadovietnam.edu.vn/khoa-tieng-anh-giao-tiep-chau-au/?utm_source=Google&amp;utm_medium=SEA&amp;utm_term=NEW_Europe_none_none_160126&amp;utm_content=saletructiep_Hoconline11_PTAGTTD_LD261&amp;utm_campaign=Europe.giaotiep.tienganh_Patado_SEA_HoaNT_160126" TargetMode="External"/><Relationship Id="rId472" Type="http://schemas.openxmlformats.org/officeDocument/2006/relationships/hyperlink" Target="https://patadovietnam.edu.vn/khoa-tieng-anh-giao-tiep-chau-au/" TargetMode="External"/><Relationship Id="rId471" Type="http://schemas.openxmlformats.org/officeDocument/2006/relationships/hyperlink" Target="https://patadovietnam.edu.vn/khoa-tieng-anh-giao-tiep-chau-au/?utm_source=Google&amp;utm_medium=SEA&amp;utm_term=NEW_Europe_none_none_160126&amp;utm_content=saletructiep_Hoconline_PTAGTTD_LD261&amp;utm_campaign=Europe.giaotiep.tienganh_Patado_SEA_HoaNT_160126" TargetMode="External"/><Relationship Id="rId470" Type="http://schemas.openxmlformats.org/officeDocument/2006/relationships/hyperlink" Target="https://patadovietnam.edu.vn/khoa-tieng-anh-giao-tiep-chau-au/" TargetMode="External"/><Relationship Id="rId477" Type="http://schemas.openxmlformats.org/officeDocument/2006/relationships/hyperlink" Target="https://patadovietnam.edu.vn/khoa-tieng-anh-giao-tiep-chau-au/?utm_source=Google&amp;utm_medium=SEA&amp;utm_term=NEW_Europe_none_none_160126&amp;utm_content=saletructiep_Loponline_PTAGTTD_LD261&amp;utm_campaign=Europe.giaotiep.tienganh_Patado_SEA_HoaNT_160126" TargetMode="External"/><Relationship Id="rId476" Type="http://schemas.openxmlformats.org/officeDocument/2006/relationships/hyperlink" Target="https://patadovietnam.edu.vn/khoa-tieng-anh-giao-tiep-chau-au/" TargetMode="External"/><Relationship Id="rId475" Type="http://schemas.openxmlformats.org/officeDocument/2006/relationships/hyperlink" Target="https://patadovietnam.edu.vn/khoa-tieng-anh-giao-tiep-chau-au/?utm_source=Google&amp;utm_medium=SEA&amp;utm_term=NEW_Europe_none_none_160126&amp;utm_content=saletructiep_Hocgiaotieponline_PTAGTTD_LD261&amp;utm_campaign=Europe.giaotiep.tienganh_Patado_SEA_HoaNT_160126" TargetMode="External"/><Relationship Id="rId474" Type="http://schemas.openxmlformats.org/officeDocument/2006/relationships/hyperlink" Target="https://patadovietnam.edu.vn/khoa-tieng-anh-giao-tiep-chau-au/" TargetMode="External"/><Relationship Id="rId426" Type="http://schemas.openxmlformats.org/officeDocument/2006/relationships/hyperlink" Target="https://patadovietnam.edu.vn/khoa-tieng-anh-giao-tiep-dai-loan/" TargetMode="External"/><Relationship Id="rId425" Type="http://schemas.openxmlformats.org/officeDocument/2006/relationships/hyperlink" Target="https://patadovietnam.edu.vn/khoa-tieng-anh-giao-tiep-dai-loan/?utm_source=Google&amp;utm_medium=SEA&amp;utm_term=NEW_Taiwan_none_none_160126&amp;utm_content=saletructiep_Trungtamonline_PTAGTTD_LD260&amp;utm_campaign=Taiwan.giaotiep.tienganh_Patado_SEA_HoaNT_160126" TargetMode="External"/><Relationship Id="rId424" Type="http://schemas.openxmlformats.org/officeDocument/2006/relationships/hyperlink" Target="https://patadovietnam.edu.vn/khoa-tieng-anh-giao-tiep-dai-loan/" TargetMode="External"/><Relationship Id="rId423" Type="http://schemas.openxmlformats.org/officeDocument/2006/relationships/hyperlink" Target="https://patadovietnam.edu.vn/khoa-tieng-anh-giao-tiep-dai-loan/?utm_source=Google&amp;utm_medium=SEA&amp;utm_term=NEW_Taiwan_none_none_160126&amp;utm_content=saletructiep_Khoagiaotieponline_PTAGTTD_LD260&amp;utm_campaign=Taiwan.giaotiep.tienganh_Patado_SEA_HoaNT_160126" TargetMode="External"/><Relationship Id="rId429" Type="http://schemas.openxmlformats.org/officeDocument/2006/relationships/hyperlink" Target="https://patadovietnam.edu.vn/khoa-tieng-anh-giao-tiep-dai-loan/?utm_source=Google&amp;utm_medium=SEA&amp;utm_term=NEW_Taiwan_none_none_160126&amp;utm_content=saletructiep_Hocphionline_PTAGTTD_LD260&amp;utm_campaign=Taiwan.giaotiep.tienganh_Patado_SEA_HoaNT_160126" TargetMode="External"/><Relationship Id="rId428" Type="http://schemas.openxmlformats.org/officeDocument/2006/relationships/hyperlink" Target="https://patadovietnam.edu.vn/khoa-tieng-anh-giao-tiep-dai-loan/" TargetMode="External"/><Relationship Id="rId427" Type="http://schemas.openxmlformats.org/officeDocument/2006/relationships/hyperlink" Target="https://patadovietnam.edu.vn/khoa-tieng-anh-giao-tiep-dai-loan/?utm_source=Google&amp;utm_medium=SEA&amp;utm_term=NEW_Taiwan_none_none_160126&amp;utm_content=saletructiep_Trungtamhoconline_PTAGTTD_LD260&amp;utm_campaign=Taiwan.giaotiep.tienganh_Patado_SEA_HoaNT_160126" TargetMode="External"/><Relationship Id="rId422" Type="http://schemas.openxmlformats.org/officeDocument/2006/relationships/hyperlink" Target="https://patadovietnam.edu.vn/khoa-tieng-anh-giao-tiep-dai-loan/" TargetMode="External"/><Relationship Id="rId421" Type="http://schemas.openxmlformats.org/officeDocument/2006/relationships/hyperlink" Target="https://patadovietnam.edu.vn/khoa-tieng-anh-giao-tiep-dai-loan/?utm_source=Google&amp;utm_medium=SEA&amp;utm_term=NEW_Taiwan_none_none_160126&amp;utm_content=saletructiep_Loponline_PTAGTTD_LD260&amp;utm_campaign=Taiwan.giaotiep.tienganh_Patado_SEA_HoaNT_160126" TargetMode="External"/><Relationship Id="rId420" Type="http://schemas.openxmlformats.org/officeDocument/2006/relationships/hyperlink" Target="https://patadovietnam.edu.vn/khoa-tieng-anh-giao-tiep-dai-loan/" TargetMode="External"/><Relationship Id="rId415" Type="http://schemas.openxmlformats.org/officeDocument/2006/relationships/hyperlink" Target="https://patadovietnam.edu.vn/khoa-tieng-anh-giao-tiep-dai-loan/?utm_source=Google&amp;utm_medium=SEA&amp;utm_term=NEW_Taiwan_none_none_160126&amp;utm_content=saletructiep_Hoconline_PTAGTTD_LD260&amp;utm_campaign=Taiwan.giaotiep.tienganh_Patado_SEA_HoaNT_160126" TargetMode="External"/><Relationship Id="rId414" Type="http://schemas.openxmlformats.org/officeDocument/2006/relationships/hyperlink" Target="https://patadovietnam.edu.vn/khoa-tieng-anh-giao-tiep-dai-loan/" TargetMode="External"/><Relationship Id="rId413" Type="http://schemas.openxmlformats.org/officeDocument/2006/relationships/hyperlink" Target="https://patadovietnam.edu.vn/khoa-tieng-anh-giao-tiep-dai-loan/?utm_source=Google&amp;utm_medium=SEA&amp;utm_term=NEW_Taiwan_none_none_160126&amp;utm_content=saletructiep_Tienganhonline11_PTAGTTD_LD260&amp;utm_campaign=Taiwan.giaotiep.tienganh_Patado_SEA_HoaNT_160126" TargetMode="External"/><Relationship Id="rId412" Type="http://schemas.openxmlformats.org/officeDocument/2006/relationships/hyperlink" Target="https://patadovietnam.edu.vn/khoa-tieng-anh-giao-tiep-dai-loan/" TargetMode="External"/><Relationship Id="rId419" Type="http://schemas.openxmlformats.org/officeDocument/2006/relationships/hyperlink" Target="https://patadovietnam.edu.vn/khoa-tieng-anh-giao-tiep-dai-loan/?utm_source=Google&amp;utm_medium=SEA&amp;utm_term=NEW_Taiwan_none_none_160126&amp;utm_content=saletructiep_Hocgiaotieponline_PTAGTTD_LD260&amp;utm_campaign=Taiwan.giaotiep.tienganh_Patado_SEA_HoaNT_160126" TargetMode="External"/><Relationship Id="rId418" Type="http://schemas.openxmlformats.org/officeDocument/2006/relationships/hyperlink" Target="https://patadovietnam.edu.vn/khoa-tieng-anh-giao-tiep-dai-loan/" TargetMode="External"/><Relationship Id="rId417" Type="http://schemas.openxmlformats.org/officeDocument/2006/relationships/hyperlink" Target="https://patadovietnam.edu.vn/khoa-tieng-anh-giao-tiep-dai-loan/?utm_source=Google&amp;utm_medium=SEA&amp;utm_term=NEW_Taiwan_none_none_160126&amp;utm_content=saletructiep_Hoconline11_PTAGTTD_LD260&amp;utm_campaign=Taiwan.giaotiep.tienganh_Patado_SEA_HoaNT_160126" TargetMode="External"/><Relationship Id="rId416" Type="http://schemas.openxmlformats.org/officeDocument/2006/relationships/hyperlink" Target="https://patadovietnam.edu.vn/khoa-tieng-anh-giao-tiep-dai-loan/" TargetMode="External"/><Relationship Id="rId411" Type="http://schemas.openxmlformats.org/officeDocument/2006/relationships/hyperlink" Target="https://patadovietnam.edu.vn/khoa-tieng-anh-giao-tiep-dai-loan/?utm_source=Google&amp;utm_medium=SEA&amp;utm_term=NEW_Taiwan_none_none_160126&amp;utm_content=saletructiep_Tienganhonline_PTAGTTD_LD260&amp;utm_campaign=Taiwan.giaotiep.tienganh_Patado_SEA_HoaNT_160126" TargetMode="External"/><Relationship Id="rId410" Type="http://schemas.openxmlformats.org/officeDocument/2006/relationships/hyperlink" Target="https://patadovietnam.edu.vn/khoa-tieng-anh-giao-tiep-dai-loan/" TargetMode="External"/><Relationship Id="rId448" Type="http://schemas.openxmlformats.org/officeDocument/2006/relationships/hyperlink" Target="https://patadovietnam.edu.vn/khoa-tieng-anh-giao-tiep-dai-loan/" TargetMode="External"/><Relationship Id="rId447" Type="http://schemas.openxmlformats.org/officeDocument/2006/relationships/hyperlink" Target="https://patadovietnam.edu.vn/khoa-tieng-anh-giao-tiep-dai-loan/?utm_source=Google&amp;utm_medium=SEA&amp;utm_term=NEW_Taiwan_none_none_160126&amp;utm_content=saletructiep_Khoagiaotiep_PTAGTTD_LD260&amp;utm_campaign=Taiwan.giaotiep.tienganh_Patado_SEA_HoaNT_160126" TargetMode="External"/><Relationship Id="rId446" Type="http://schemas.openxmlformats.org/officeDocument/2006/relationships/hyperlink" Target="https://patadovietnam.edu.vn/khoa-tieng-anh-giao-tiep-dai-loan/" TargetMode="External"/><Relationship Id="rId445" Type="http://schemas.openxmlformats.org/officeDocument/2006/relationships/hyperlink" Target="https://patadovietnam.edu.vn/khoa-tieng-anh-giao-tiep-dai-loan/?utm_source=Google&amp;utm_medium=SEA&amp;utm_term=NEW_Taiwan_none_none_160126&amp;utm_content=saletructiep_Lopgiaotiep_PTAGTTD_LD260&amp;utm_campaign=Taiwan.giaotiep.tienganh_Patado_SEA_HoaNT_160126" TargetMode="External"/><Relationship Id="rId449" Type="http://schemas.openxmlformats.org/officeDocument/2006/relationships/hyperlink" Target="https://patadovietnam.edu.vn/khoa-tieng-anh-giao-tiep-dai-loan/?utm_source=Google&amp;utm_medium=SEA&amp;utm_term=NEW_Taiwan_none_none_160126&amp;utm_content=saletructiep_Trungtamgiaotiep_PTAGTTD_LD260&amp;utm_campaign=Taiwan.giaotiep.tienganh_Patado_SEA_HoaNT_160126" TargetMode="External"/><Relationship Id="rId440" Type="http://schemas.openxmlformats.org/officeDocument/2006/relationships/hyperlink" Target="https://patadovietnam.edu.vn/khoa-tieng-anh-giao-tiep-dai-loan/" TargetMode="External"/><Relationship Id="rId444" Type="http://schemas.openxmlformats.org/officeDocument/2006/relationships/hyperlink" Target="https://patadovietnam.edu.vn/khoa-tieng-anh-giao-tiep-dai-loan/" TargetMode="External"/><Relationship Id="rId443" Type="http://schemas.openxmlformats.org/officeDocument/2006/relationships/hyperlink" Target="https://patadovietnam.edu.vn/khoa-tieng-anh-giao-tiep-dai-loan/?utm_source=Google&amp;utm_medium=SEA&amp;utm_term=NEW_Taiwan_none_none_160126&amp;utm_content=saletructiep_Lotrinhgiaotiep_PTAGTTD_LD260&amp;utm_campaign=Taiwan.giaotiep.tienganh_Patado_SEA_HoaNT_160126" TargetMode="External"/><Relationship Id="rId442" Type="http://schemas.openxmlformats.org/officeDocument/2006/relationships/hyperlink" Target="https://patadovietnam.edu.vn/khoa-tieng-anh-giao-tiep-dai-loan/" TargetMode="External"/><Relationship Id="rId441" Type="http://schemas.openxmlformats.org/officeDocument/2006/relationships/hyperlink" Target="https://patadovietnam.edu.vn/khoa-tieng-anh-giao-tiep-dai-loan/?utm_source=Google&amp;utm_medium=SEA&amp;utm_term=NEW_Taiwan_none_none_160126&amp;utm_content=saletructiep_Dangkyhocgiaotiep_PTAGTTD_LD260&amp;utm_campaign=Taiwan.giaotiep.tienganh_Patado_SEA_HoaNT_160126" TargetMode="External"/><Relationship Id="rId437" Type="http://schemas.openxmlformats.org/officeDocument/2006/relationships/hyperlink" Target="https://patadovietnam.edu.vn/khoa-tieng-anh-giao-tiep-dai-loan/?utm_source=Google&amp;utm_medium=SEA&amp;utm_term=NEW_Taiwan_none_none_160126&amp;utm_content=saletructiep_Hocgiaotiepcoban_PTAGTTD_LD260&amp;utm_campaign=Taiwan.giaotiep.tienganh_Patado_SEA_HoaNT_160126" TargetMode="External"/><Relationship Id="rId436" Type="http://schemas.openxmlformats.org/officeDocument/2006/relationships/hyperlink" Target="https://patadovietnam.edu.vn/khoa-tieng-anh-giao-tiep-dai-loan/" TargetMode="External"/><Relationship Id="rId435" Type="http://schemas.openxmlformats.org/officeDocument/2006/relationships/hyperlink" Target="https://patadovietnam.edu.vn/khoa-tieng-anh-giao-tiep-dai-loan/?utm_source=Google&amp;utm_medium=SEA&amp;utm_term=NEW_Taiwan_none_none_160126&amp;utm_content=saletructiep_Hoctienganhgiaotiep_PTAGTTD_LD260&amp;utm_campaign=Taiwan.giaotiep.tienganh_Patado_SEA_HoaNT_160126" TargetMode="External"/><Relationship Id="rId434" Type="http://schemas.openxmlformats.org/officeDocument/2006/relationships/hyperlink" Target="https://patadovietnam.edu.vn/khoa-tieng-anh-giao-tiep-dai-loan/" TargetMode="External"/><Relationship Id="rId439" Type="http://schemas.openxmlformats.org/officeDocument/2006/relationships/hyperlink" Target="https://patadovietnam.edu.vn/khoa-tieng-anh-giao-tiep-dai-loan/?utm_source=Google&amp;utm_medium=SEA&amp;utm_term=NEW_Taiwan_none_none_160126&amp;utm_content=saletructiep_Hocgiaotiepcaptoc_PTAGTTD_LD260&amp;utm_campaign=Taiwan.giaotiep.tienganh_Patado_SEA_HoaNT_160126" TargetMode="External"/><Relationship Id="rId438" Type="http://schemas.openxmlformats.org/officeDocument/2006/relationships/hyperlink" Target="https://patadovietnam.edu.vn/khoa-tieng-anh-giao-tiep-dai-loan/" TargetMode="External"/><Relationship Id="rId433" Type="http://schemas.openxmlformats.org/officeDocument/2006/relationships/hyperlink" Target="https://patadovietnam.edu.vn/khoa-tieng-anh-giao-tiep-dai-loan/?utm_source=Google&amp;utm_medium=SEA&amp;utm_term=NEW_Taiwan_none_none_160126&amp;utm_content=saletructiep_Tienganhgiaotiep11_PTAGTTD_LD260&amp;utm_campaign=Taiwan.giaotiep.tienganh_Patado_SEA_HoaNT_160126" TargetMode="External"/><Relationship Id="rId432" Type="http://schemas.openxmlformats.org/officeDocument/2006/relationships/hyperlink" Target="https://patadovietnam.edu.vn/khoa-tieng-anh-giao-tiep-dai-loan/" TargetMode="External"/><Relationship Id="rId431" Type="http://schemas.openxmlformats.org/officeDocument/2006/relationships/hyperlink" Target="https://patadovietnam.edu.vn/khoa-tieng-anh-giao-tiep-dai-loan/?utm_source=Google&amp;utm_medium=SEA&amp;utm_term=NEW_Taiwan_none_none_160126&amp;utm_content=saletructiep_Tienganhgiaotiep_PTAGTTD_LD260&amp;utm_campaign=Taiwan.giaotiep.tienganh_Patado_SEA_HoaNT_160126" TargetMode="External"/><Relationship Id="rId430" Type="http://schemas.openxmlformats.org/officeDocument/2006/relationships/hyperlink" Target="https://patadovietnam.edu.vn/khoa-tieng-anh-giao-tiep-dai-loan/" TargetMode="External"/><Relationship Id="rId1" Type="http://schemas.openxmlformats.org/officeDocument/2006/relationships/hyperlink" Target="https://toandien.tienganh24h.net/khoahocgiaotiep/" TargetMode="External"/><Relationship Id="rId2" Type="http://schemas.openxmlformats.org/officeDocument/2006/relationships/hyperlink" Target="https://patadovietnam.edu.vn/tai-tai-lieu/" TargetMode="External"/><Relationship Id="rId3" Type="http://schemas.openxmlformats.org/officeDocument/2006/relationships/hyperlink" Target="https://patadovietnam.edu.vn/tienganhgiaotiep_hn/" TargetMode="External"/><Relationship Id="rId4" Type="http://schemas.openxmlformats.org/officeDocument/2006/relationships/hyperlink" Target="https://patadovietnam.edu.vn/tienganhgiaotiep_hn/?utm_source=Facebook&amp;utm_medium=MES&amp;utm_term=NEW_ALL_1840_none_151225&amp;utm_content=saletructiep_ALL.M601.1840.giaotiep_PTATT_LD153&amp;utm_campaign=ALL.giaotiep.M601_16917_MES_NamNH_151225" TargetMode="External"/><Relationship Id="rId9" Type="http://schemas.openxmlformats.org/officeDocument/2006/relationships/hyperlink" Target="https://patadovietnam.edu.vn/tienganhgiaotiep_hn/?utm_source=Google&amp;utm_medium=SEA&amp;utm_term=NEW_ALL_1840_none_171225&amp;utm_content=saletructiep_ALL.tienganhtructuyen.1840.giaotiep_PTATT_LD153&amp;utm_campaign=ALL.giaotiep.hoctienganhonline_16917_SEA_HoaNT_171225" TargetMode="External"/><Relationship Id="rId5" Type="http://schemas.openxmlformats.org/officeDocument/2006/relationships/hyperlink" Target="https://tinyurl.com/M601xALLm" TargetMode="External"/><Relationship Id="rId6" Type="http://schemas.openxmlformats.org/officeDocument/2006/relationships/hyperlink" Target="https://patadovietnam.edu.vn/tienganhgiaotiep_hn/" TargetMode="External"/><Relationship Id="rId7" Type="http://schemas.openxmlformats.org/officeDocument/2006/relationships/hyperlink" Target="https://patadovietnam.edu.vn/tienganhgiaotiep_hn/?utm_source=Google&amp;utm_medium=SEA&amp;utm_term=NEW_ALL_1840_none_171225&amp;utm_content=saletructiep_ALL.tienganhtructuyen.1840.giaotiep_PTATT_LD153&amp;utm_campaign=ALL.giaotiep.hoctienganhonline_16917_SEA_HoaNT_171225" TargetMode="External"/><Relationship Id="rId8" Type="http://schemas.openxmlformats.org/officeDocument/2006/relationships/hyperlink" Target="https://patadovietnam.edu.vn/tienganhgiaotiep_hn/" TargetMode="External"/><Relationship Id="rId629" Type="http://schemas.openxmlformats.org/officeDocument/2006/relationships/hyperlink" Target="https://patado.edu.vn/khoa-giao-tiep-tieng-anh-online-all/?utm_source=Google&amp;utm_medium=SEA&amp;utm_term=NEW_ALL_none_none_080426&amp;utm_content=saletructiep_Khoahocgiaotiep_PTAGTTD_LD263&amp;utm_campaign=ALL.giaotiep.tienganh_Patado_SEA_SangBD_080426" TargetMode="External"/><Relationship Id="rId624" Type="http://schemas.openxmlformats.org/officeDocument/2006/relationships/hyperlink" Target="https://patadovietnam.edu.vn/khoa-giao-tiep-tieng-anh-online-all/" TargetMode="External"/><Relationship Id="rId623" Type="http://schemas.openxmlformats.org/officeDocument/2006/relationships/hyperlink" Target="https://patadovietnam.edu.vn/khoa-giao-tiep-tieng-anh-online-all/?utm_source=Google&amp;utm_medium=SEA&amp;utm_term=NEW_ALL_none_none_190126&amp;utm_content=saletructiep_Tienganhngdilam_PTAGTTD_LD256&amp;utm_campaign=ALL.giaotiep.tienganh_Patado_SEA_HoaNT_190126" TargetMode="External"/><Relationship Id="rId622" Type="http://schemas.openxmlformats.org/officeDocument/2006/relationships/hyperlink" Target="https://patadovietnam.edu.vn/khoa-giao-tiep-tieng-anh-online-all/" TargetMode="External"/><Relationship Id="rId621" Type="http://schemas.openxmlformats.org/officeDocument/2006/relationships/hyperlink" Target="https://patadovietnam.edu.vn/khoa-giao-tiep-tieng-anh-online-all/?utm_source=Google&amp;utm_medium=SEA&amp;utm_term=NEW_ALL_none_none_190126&amp;utm_content=saletructiep_Tienganhngbatdau_PTAGTTD_LD256&amp;utm_campaign=ALL.giaotiep.tienganh_Patado_SEA_HoaNT_190126" TargetMode="External"/><Relationship Id="rId628" Type="http://schemas.openxmlformats.org/officeDocument/2006/relationships/hyperlink" Target="https://patado.edu.vn/khoa-giao-tiep-tieng-anh-online-all" TargetMode="External"/><Relationship Id="rId627" Type="http://schemas.openxmlformats.org/officeDocument/2006/relationships/hyperlink" Target="https://patado.edu.vn/khoa-tieng-anh-giao-tiep-chau-au/?utm_source=Google&amp;utm_medium=SEA&amp;utm_term=NEW_Europe_none_none_080426&amp;utm_content=saletructiep_Khoahocgiaotiep_PTAGTTD_LD275&amp;utm_campaign=Europe.giaotiep.tienganh_Patado_SEA_SangBD_080426" TargetMode="External"/><Relationship Id="rId626" Type="http://schemas.openxmlformats.org/officeDocument/2006/relationships/hyperlink" Target="https://patado.edu.vn/khoa-tieng-anh-giao-tiep-chau-au" TargetMode="External"/><Relationship Id="rId625" Type="http://schemas.openxmlformats.org/officeDocument/2006/relationships/hyperlink" Target="https://patadovietnam.edu.vn/khoa-giao-tiep-tieng-anh-online-all/?utm_source=Google&amp;utm_medium=SEA&amp;utm_term=NEW_ALL_none_none_190126&amp;utm_content=saletructiep_Tienganhngmatgoc_PTAGTTD_LD256&amp;utm_campaign=ALL.giaotiep.tienganh_Patado_SEA_HoaNT_190126" TargetMode="External"/><Relationship Id="rId620" Type="http://schemas.openxmlformats.org/officeDocument/2006/relationships/hyperlink" Target="https://patadovietnam.edu.vn/khoa-giao-tiep-tieng-anh-online-all/" TargetMode="External"/><Relationship Id="rId619" Type="http://schemas.openxmlformats.org/officeDocument/2006/relationships/hyperlink" Target="https://patadovietnam.edu.vn/khoa-giao-tiep-tieng-anh-online-all/?utm_source=Google&amp;utm_medium=SEA&amp;utm_term=NEW_ALL_none_none_190126&amp;utm_content=saletructiep_Hocphigiaotiep_PTAGTTD_LD256&amp;utm_campaign=ALL.giaotiep.tienganh_Patado_SEA_HoaNT_190126" TargetMode="External"/><Relationship Id="rId618" Type="http://schemas.openxmlformats.org/officeDocument/2006/relationships/hyperlink" Target="https://patadovietnam.edu.vn/khoa-giao-tiep-tieng-anh-online-all/" TargetMode="External"/><Relationship Id="rId613" Type="http://schemas.openxmlformats.org/officeDocument/2006/relationships/hyperlink" Target="https://patadovietnam.edu.vn/khoa-giao-tiep-tieng-anh-online-all/?utm_source=Google&amp;utm_medium=SEA&amp;utm_term=NEW_ALL_none_none_190126&amp;utm_content=saletructiep_Lopgiaotiep_PTAGTTD_LD256&amp;utm_campaign=ALL.giaotiep.tienganh_Patado_SEA_HoaNT_190126" TargetMode="External"/><Relationship Id="rId612" Type="http://schemas.openxmlformats.org/officeDocument/2006/relationships/hyperlink" Target="https://patadovietnam.edu.vn/khoa-giao-tiep-tieng-anh-online-all/" TargetMode="External"/><Relationship Id="rId611" Type="http://schemas.openxmlformats.org/officeDocument/2006/relationships/hyperlink" Target="https://patadovietnam.edu.vn/khoa-giao-tiep-tieng-anh-online-all/?utm_source=Google&amp;utm_medium=SEA&amp;utm_term=NEW_ALL_none_none_190126&amp;utm_content=saletructiep_Lotrinhgiaotiep_PTAGTTD_LD256&amp;utm_campaign=ALL.giaotiep.tienganh_Patado_SEA_HoaNT_190126" TargetMode="External"/><Relationship Id="rId610" Type="http://schemas.openxmlformats.org/officeDocument/2006/relationships/hyperlink" Target="https://patadovietnam.edu.vn/khoa-giao-tiep-tieng-anh-online-all/" TargetMode="External"/><Relationship Id="rId617" Type="http://schemas.openxmlformats.org/officeDocument/2006/relationships/hyperlink" Target="https://patadovietnam.edu.vn/khoa-giao-tiep-tieng-anh-online-all/?utm_source=Google&amp;utm_medium=SEA&amp;utm_term=NEW_ALL_none_none_190126&amp;utm_content=saletructiep_Trungtamgiaotiep_PTAGTTD_LD256&amp;utm_campaign=ALL.giaotiep.tienganh_Patado_SEA_HoaNT_190126" TargetMode="External"/><Relationship Id="rId616" Type="http://schemas.openxmlformats.org/officeDocument/2006/relationships/hyperlink" Target="https://patadovietnam.edu.vn/khoa-giao-tiep-tieng-anh-online-all/" TargetMode="External"/><Relationship Id="rId615" Type="http://schemas.openxmlformats.org/officeDocument/2006/relationships/hyperlink" Target="https://patadovietnam.edu.vn/khoa-giao-tiep-tieng-anh-online-all/?utm_source=Google&amp;utm_medium=SEA&amp;utm_term=NEW_ALL_none_none_190126&amp;utm_content=saletructiep_Khoagiaotiep_PTAGTTD_LD256&amp;utm_campaign=ALL.giaotiep.tienganh_Patado_SEA_HoaNT_190126" TargetMode="External"/><Relationship Id="rId614" Type="http://schemas.openxmlformats.org/officeDocument/2006/relationships/hyperlink" Target="https://patadovietnam.edu.vn/khoa-giao-tiep-tieng-anh-online-all/" TargetMode="External"/><Relationship Id="rId646" Type="http://schemas.openxmlformats.org/officeDocument/2006/relationships/hyperlink" Target="https://patado.edu.vn/khoa-hoc-tieng-anh-giao-tiep-all-sbd-htt" TargetMode="External"/><Relationship Id="rId645" Type="http://schemas.openxmlformats.org/officeDocument/2006/relationships/hyperlink" Target="https://patado.edu.vn/tieng-anh-giao-tiep-eu-sbd-htt/?utm_source=Google&amp;utm_medium=SEA&amp;utm_term=NEW_Europe_none_none_100626&amp;utm_content=saletructiep_Giaotieptienganh_PTAGTTD_LD285&amp;utm_campaign=Europe.giaotiep.tienganh_Patado_SEA_SangBD_100626" TargetMode="External"/><Relationship Id="rId644" Type="http://schemas.openxmlformats.org/officeDocument/2006/relationships/hyperlink" Target="https://patado.edu.vn/tieng-anh-giao-tiep-eu-sbd-htt" TargetMode="External"/><Relationship Id="rId643" Type="http://schemas.openxmlformats.org/officeDocument/2006/relationships/hyperlink" Target="https://patado.edu.vn/tieng-anh-giao-tiep-us-sbd-htt/?utm_source=Google&amp;utm_medium=SEA&amp;utm_term=NEW_UnitedStates_none_none_040626&amp;utm_content=saletructiep_Patadogiaotiep_PTAGTTD_LD283&amp;utm_campaign=UnitedStates.giaotiep.tienganh_Patado_SEA_SangBD_040626" TargetMode="External"/><Relationship Id="rId649" Type="http://schemas.openxmlformats.org/officeDocument/2006/relationships/hyperlink" Target="https://patado.edu.vn/khoa-hoc-tieng-anh-giao-tiep-all-sbd-htt/?utm_source=Google&amp;utm_medium=SEA&amp;utm_term=NEW_ALL_none_none_150626&amp;utm_content=saletructiep_Pmaxgiaotiep_PTAGTTD_LD286&amp;utm_campaign=ALL.Pmax.giaotiep_Patado_SEA_SangBD_150626" TargetMode="External"/><Relationship Id="rId648" Type="http://schemas.openxmlformats.org/officeDocument/2006/relationships/hyperlink" Target="https://patado.edu.vn/khoa-hoc-tieng-anh-giao-tiep-all-sbd-htt" TargetMode="External"/><Relationship Id="rId647" Type="http://schemas.openxmlformats.org/officeDocument/2006/relationships/hyperlink" Target="https://patado.edu.vn/khoa-hoc-tieng-anh-giao-tiep-all-sbd-htt/?utm_source=Google&amp;utm_medium=SEA&amp;utm_term=NEW_Taiwan_none_none_110626&amp;utm_content=saletructiep_Giaotieptienganh_PTAGTTD_LD286&amp;utm_campaign=Taiwan.giaotiep.tienganh_Patado_SEA_SangBD_110626" TargetMode="External"/><Relationship Id="rId642" Type="http://schemas.openxmlformats.org/officeDocument/2006/relationships/hyperlink" Target="https://patado.edu.vn/tieng-anh-giao-tiep-us-sbd-htt/" TargetMode="External"/><Relationship Id="rId641" Type="http://schemas.openxmlformats.org/officeDocument/2006/relationships/hyperlink" Target="https://patado.edu.vn/trung-tam-tieng-anh-patado/?utm_source=Google&amp;utm_medium=SEA&amp;utm_term=NEW_ALL_none_none_080526&amp;utm_content=saletructiep_Patado_PTAGTTD_LD280&amp;utm_campaign=ALL.thuonghieu.tienganh_Patado_SEA_SangBD_080526" TargetMode="External"/><Relationship Id="rId640" Type="http://schemas.openxmlformats.org/officeDocument/2006/relationships/hyperlink" Target="https://patado.edu.vn/trung-tam-tieng-anh-patado/" TargetMode="External"/><Relationship Id="rId635" Type="http://schemas.openxmlformats.org/officeDocument/2006/relationships/hyperlink" Target="https://patado.edu.vn/khoa-ielts-patado/?utm_source=Google&amp;utm_medium=SEA&amp;utm_term=NEW_ALL_none_none_160426&amp;utm_content=saletructiep_Khoahocietls_PTAGTTD_LD277&amp;utm_campaign=ALL.Ielts.tienganh_Patado_SEA_SangBD_160426" TargetMode="External"/><Relationship Id="rId634" Type="http://schemas.openxmlformats.org/officeDocument/2006/relationships/hyperlink" Target="https://patado.edu.vn/khoa-ielts-patado/" TargetMode="External"/><Relationship Id="rId633" Type="http://schemas.openxmlformats.org/officeDocument/2006/relationships/hyperlink" Target="https://patado.edu.vn/khoa-ielts-patado/?utm_source=Google&amp;utm_medium=SEA&amp;utm_term=NEW_Europe_none_none_160426&amp;utm_content=saletructiep_Khoahocietls_PTAGTTD_LD277&amp;utm_campaign=Europe.Ielts.tienganh_Patado_SEA_SangBD_160426" TargetMode="External"/><Relationship Id="rId632" Type="http://schemas.openxmlformats.org/officeDocument/2006/relationships/hyperlink" Target="https://patado.edu.vn/khoa-ielts-patado/" TargetMode="External"/><Relationship Id="rId639" Type="http://schemas.openxmlformats.org/officeDocument/2006/relationships/hyperlink" Target="https://patado.edu.vn/khoa-hoc-cambridge-cho-tre/?utm_source=Google&amp;utm_medium=SEA&amp;utm_term=NEW_ALL_none_none_220426&amp;utm_content=saletructiep_TiengAnhchobe_PTAGTTD_LD278&amp;utm_campaign=ALL.Cambridge.tienganh_Patado_SEA_SangBD_220426" TargetMode="External"/><Relationship Id="rId638" Type="http://schemas.openxmlformats.org/officeDocument/2006/relationships/hyperlink" Target="https://patado.edu.vn/khoa-hoc-cambridge-cho-tre" TargetMode="External"/><Relationship Id="rId637" Type="http://schemas.openxmlformats.org/officeDocument/2006/relationships/hyperlink" Target="https://patado.edu.vn/khoa-ielts-patado/?utm_source=Google&amp;utm_medium=SEA&amp;utm_term=NEW_UnitedStates_none_none_160426&amp;utm_content=saletructiep_Khoahocietls_PTAGTTD_LD277&amp;utm_campaign=UnitedStates.ielts.tienganh_Patado_SEA_SangBD_160426" TargetMode="External"/><Relationship Id="rId636" Type="http://schemas.openxmlformats.org/officeDocument/2006/relationships/hyperlink" Target="https://patado.edu.vn/khoa-ielts-patado/" TargetMode="External"/><Relationship Id="rId631" Type="http://schemas.openxmlformats.org/officeDocument/2006/relationships/hyperlink" Target="https://patado.edu.vn/khoa-giao-tiep-tieng-anh-online-all/?utm_source=Google&amp;utm_medium=SEA&amp;utm_term=NEW_ALL_none_none_130426&amp;utm_content=saletructiep_Patado_PTAGTTD_LD263&amp;utm_campaign=ALL.thuonghieu.tienganh_Patado_SEA_SangBD_130426" TargetMode="External"/><Relationship Id="rId630" Type="http://schemas.openxmlformats.org/officeDocument/2006/relationships/hyperlink" Target="https://patado.edu.vn/khoa-giao-tiep-tieng-anh-online-all" TargetMode="External"/><Relationship Id="rId609" Type="http://schemas.openxmlformats.org/officeDocument/2006/relationships/hyperlink" Target="https://patadovietnam.edu.vn/khoa-giao-tiep-tieng-anh-online-all/?utm_source=Google&amp;utm_medium=SEA&amp;utm_term=NEW_ALL_none_none_190126&amp;utm_content=saletructiep_Dangkyhocgiaotiep_PTAGTTD_LD256&amp;utm_campaign=ALL.giaotiep.tienganh_Patado_SEA_HoaNT_190126" TargetMode="External"/><Relationship Id="rId608" Type="http://schemas.openxmlformats.org/officeDocument/2006/relationships/hyperlink" Target="https://patadovietnam.edu.vn/khoa-giao-tiep-tieng-anh-online-all/" TargetMode="External"/><Relationship Id="rId607" Type="http://schemas.openxmlformats.org/officeDocument/2006/relationships/hyperlink" Target="https://patadovietnam.edu.vn/khoa-giao-tiep-tieng-anh-online-all/?utm_source=Google&amp;utm_medium=SEA&amp;utm_term=NEW_ALL_none_none_190126&amp;utm_content=saletructiep_Hocgiaotiepcaptoc_PTAGTTD_LD256&amp;utm_campaign=ALL.giaotiep.tienganh_Patado_SEA_HoaNT_190126" TargetMode="External"/><Relationship Id="rId602" Type="http://schemas.openxmlformats.org/officeDocument/2006/relationships/hyperlink" Target="https://patadovietnam.edu.vn/khoa-giao-tiep-tieng-anh-online-all/" TargetMode="External"/><Relationship Id="rId601" Type="http://schemas.openxmlformats.org/officeDocument/2006/relationships/hyperlink" Target="https://patadovietnam.edu.vn/khoa-giao-tiep-tieng-anh-online-all/?utm_source=Google&amp;utm_medium=SEA&amp;utm_term=NEW_ALL_none_none_190126&amp;utm_content=saletructiep_Tienganhgiaotiep11_PTAGTTD_LD256&amp;utm_campaign=ALL.giaotiep.tienganh_Patado_SEA_HoaNT_190126" TargetMode="External"/><Relationship Id="rId600" Type="http://schemas.openxmlformats.org/officeDocument/2006/relationships/hyperlink" Target="https://patadovietnam.edu.vn/khoa-giao-tiep-tieng-anh-online-all/" TargetMode="External"/><Relationship Id="rId606" Type="http://schemas.openxmlformats.org/officeDocument/2006/relationships/hyperlink" Target="https://patadovietnam.edu.vn/khoa-giao-tiep-tieng-anh-online-all/" TargetMode="External"/><Relationship Id="rId605" Type="http://schemas.openxmlformats.org/officeDocument/2006/relationships/hyperlink" Target="https://patadovietnam.edu.vn/khoa-giao-tiep-tieng-anh-online-all/?utm_source=Google&amp;utm_medium=SEA&amp;utm_term=NEW_ALL_none_none_190126&amp;utm_content=saletructiep_Hocgiaotiepcoban_PTAGTTD_LD256&amp;utm_campaign=ALL.giaotiep.tienganh_Patado_SEA_HoaNT_190126" TargetMode="External"/><Relationship Id="rId604" Type="http://schemas.openxmlformats.org/officeDocument/2006/relationships/hyperlink" Target="https://patadovietnam.edu.vn/khoa-giao-tiep-tieng-anh-online-all/" TargetMode="External"/><Relationship Id="rId603" Type="http://schemas.openxmlformats.org/officeDocument/2006/relationships/hyperlink" Target="https://patadovietnam.edu.vn/khoa-giao-tiep-tieng-anh-online-all/?utm_source=Google&amp;utm_medium=SEA&amp;utm_term=NEW_ALL_none_none_190126&amp;utm_content=saletructiep_Hoctienganhgiaotiep_PTAGTTD_LD256&amp;utm_campaign=ALL.giaotiep.tienganh_Patado_SEA_HoaNT_190126" TargetMode="External"/><Relationship Id="rId652" Type="http://schemas.openxmlformats.org/officeDocument/2006/relationships/drawing" Target="../drawings/drawing9.xml"/><Relationship Id="rId651" Type="http://schemas.openxmlformats.org/officeDocument/2006/relationships/hyperlink" Target="https://patado.edu.vn/tieng-anh-giao-tiep-cho-nguoi-viet-tai-nhat-sbd-htt/?utm_source=Google&amp;utm_medium=SEA&amp;utm_term=NEW_Japan_none_none_180626&amp;utm_content=saletructiep_Giaotieptienganh_PTAGTTD_LD288&amp;utm_campaign=Japan.giaotiep.tienganh_Patado_SEA_SangBD_180626" TargetMode="External"/><Relationship Id="rId650" Type="http://schemas.openxmlformats.org/officeDocument/2006/relationships/hyperlink" Target="https://patado.edu.vn/tieng-anh-giao-tiep-cho-nguoi-viet-tai-nhat-sbd-htt" TargetMode="External"/><Relationship Id="rId190" Type="http://schemas.openxmlformats.org/officeDocument/2006/relationships/hyperlink" Target="https://patadovietnam.edu.vn/khoa-giao-tiep-tieng-anh-online-all/" TargetMode="External"/><Relationship Id="rId194" Type="http://schemas.openxmlformats.org/officeDocument/2006/relationships/hyperlink" Target="https://patadovietnam.edu.vn/khoa-giao-tiep-tieng-anh-online-all/" TargetMode="External"/><Relationship Id="rId193" Type="http://schemas.openxmlformats.org/officeDocument/2006/relationships/hyperlink" Target="https://patadovietnam.edu.vn/khoa-giao-tiep-tieng-anh-online-all/?utm_source=Google&amp;utm_medium=SEA&amp;utm_term=NEW_UnitedStates_none_none_241225&amp;utm_content=saletructiep_trungtamPatado_PTAGTTD_LD256&amp;utm_campaign=ALL.giaotiep.tienganh_Patado_SEA_HoaNT_241225" TargetMode="External"/><Relationship Id="rId192" Type="http://schemas.openxmlformats.org/officeDocument/2006/relationships/hyperlink" Target="https://patadovietnam.edu.vn/khoa-giao-tiep-tieng-anh-online-all/" TargetMode="External"/><Relationship Id="rId191" Type="http://schemas.openxmlformats.org/officeDocument/2006/relationships/hyperlink" Target="https://patadovietnam.edu.vn/khoa-giao-tiep-tieng-anh-online-all/?utm_source=Google&amp;utm_medium=SEA&amp;utm_term=NEW_UnitedStates_none_none_241225&amp;utm_content=saletructiep_trungtamgiaotiep_PTAGTTD_LD256&amp;utm_campaign=ALL.giaotiep.tienganh_Patado_SEA_HoaNT_241225" TargetMode="External"/><Relationship Id="rId187" Type="http://schemas.openxmlformats.org/officeDocument/2006/relationships/hyperlink" Target="https://patadovietnam.edu.vn/khoa-giao-tiep-tieng-anh-online-all/?utm_source=Google&amp;utm_medium=SEA&amp;utm_term=NEW_UnitedStates_none_none_241225&amp;utm_content=saletructiep_lopgiaotiep_PTAGTTD_LD256&amp;utm_campaign=ALL.giaotiep.tienganh_Patado_SEA_HoaNT_241225" TargetMode="External"/><Relationship Id="rId186" Type="http://schemas.openxmlformats.org/officeDocument/2006/relationships/hyperlink" Target="https://patadovietnam.edu.vn/khoa-giao-tiep-tieng-anh-online-all/" TargetMode="External"/><Relationship Id="rId185" Type="http://schemas.openxmlformats.org/officeDocument/2006/relationships/hyperlink" Target="https://patadovietnam.edu.vn/khoa-giao-tiep-tieng-anh-online-all/?utm_source=Google&amp;utm_medium=SEA&amp;utm_term=NEW_UnitedStates_none_none_241225&amp;utm_content=saletructiep_tienganhgiaotiep_PTAGTTD_LD256&amp;utm_campaign=ALL.giaotiep.tienganh_Patado_SEA_HoaNT_241225" TargetMode="External"/><Relationship Id="rId184" Type="http://schemas.openxmlformats.org/officeDocument/2006/relationships/hyperlink" Target="https://patadovietnam.edu.vn/khoa-giao-tiep-tieng-anh-online-all/" TargetMode="External"/><Relationship Id="rId189" Type="http://schemas.openxmlformats.org/officeDocument/2006/relationships/hyperlink" Target="https://patadovietnam.edu.vn/khoa-giao-tiep-tieng-anh-online-all/?utm_source=Google&amp;utm_medium=SEA&amp;utm_term=NEW_UnitedStates_none_none_241225&amp;utm_content=saletructiep_khoahocgiaotiep_PTAGTTD_LD256&amp;utm_campaign=ALL.giaotiep.tienganh_Patado_SEA_HoaNT_241225" TargetMode="External"/><Relationship Id="rId188" Type="http://schemas.openxmlformats.org/officeDocument/2006/relationships/hyperlink" Target="https://patadovietnam.edu.vn/khoa-giao-tiep-tieng-anh-online-all/" TargetMode="External"/><Relationship Id="rId183" Type="http://schemas.openxmlformats.org/officeDocument/2006/relationships/hyperlink" Target="https://patadovietnam.edu.vn/khoa-giao-tiep-tieng-anh-online-all/?utm_source=Google&amp;utm_medium=SEA&amp;utm_term=NEW_UnitedStates_none_none_241225&amp;utm_content=saletructiep_lotrinhgiaotiep_PTAGTTD_LD256&amp;utm_campaign=ALL.giaotiep.tienganh_Patado_SEA_HoaNT_241225" TargetMode="External"/><Relationship Id="rId182" Type="http://schemas.openxmlformats.org/officeDocument/2006/relationships/hyperlink" Target="https://patadovietnam.edu.vn/khoa-giao-tiep-tieng-anh-online-all/" TargetMode="External"/><Relationship Id="rId181" Type="http://schemas.openxmlformats.org/officeDocument/2006/relationships/hyperlink" Target="https://patadovietnam.edu.vn/khoa-giao-tiep-tieng-anh-online-all/?utm_source=Google&amp;utm_medium=SEA&amp;utm_term=NEW_UnitedStates_none_none_241225&amp;utm_content=saletructiep_tienganhonlinengdilam_PTAGTTD_LD256&amp;utm_campaign=ALL.giaotiep.tienganh_Patado_SEA_HoaNT_241225" TargetMode="External"/><Relationship Id="rId180" Type="http://schemas.openxmlformats.org/officeDocument/2006/relationships/hyperlink" Target="https://patadovietnam.edu.vn/khoa-giao-tiep-tieng-anh-online-all/" TargetMode="External"/><Relationship Id="rId176" Type="http://schemas.openxmlformats.org/officeDocument/2006/relationships/hyperlink" Target="https://patadovietnam.edu.vn/khoa-giao-tiep-tieng-anh-online-all/" TargetMode="External"/><Relationship Id="rId175" Type="http://schemas.openxmlformats.org/officeDocument/2006/relationships/hyperlink" Target="https://patadovietnam.edu.vn/khoa-giao-tiep-tieng-anh-online-all/?utm_source=Google&amp;utm_medium=SEA&amp;utm_term=NEW_UnitedStates_none_none_241225&amp;utm_content=saletructiep_khoahocngdilam_PTAGTTD_LD256&amp;utm_campaign=ALL.giaotiep.tienganh_Patado_SEA_HoaNT_241225" TargetMode="External"/><Relationship Id="rId174" Type="http://schemas.openxmlformats.org/officeDocument/2006/relationships/hyperlink" Target="https://patadovietnam.edu.vn/khoa-giao-tiep-tieng-anh-online-all/" TargetMode="External"/><Relationship Id="rId173" Type="http://schemas.openxmlformats.org/officeDocument/2006/relationships/hyperlink" Target="https://patadovietnam.edu.vn/khoa-giao-tiep-tieng-anh-online-all/?utm_source=Google&amp;utm_medium=SEA&amp;utm_term=NEW_UnitedStates_none_none_241225&amp;utm_content=saletructiep_tienganhngmatgoc_PTAGTTD_LD256&amp;utm_campaign=ALL.giaotiep.tienganh_Patado_SEA_HoaNT_241225" TargetMode="External"/><Relationship Id="rId179" Type="http://schemas.openxmlformats.org/officeDocument/2006/relationships/hyperlink" Target="https://patadovietnam.edu.vn/khoa-giao-tiep-tieng-anh-online-all/?utm_source=Google&amp;utm_medium=SEA&amp;utm_term=NEW_UnitedStates_none_none_241225&amp;utm_content=saletructiep_tienganhgiaotiepngdilam_PTAGTTD_LD256&amp;utm_campaign=ALL.giaotiep.tienganh_Patado_SEA_HoaNT_241225" TargetMode="External"/><Relationship Id="rId178" Type="http://schemas.openxmlformats.org/officeDocument/2006/relationships/hyperlink" Target="https://patadovietnam.edu.vn/khoa-giao-tiep-tieng-anh-online-all/" TargetMode="External"/><Relationship Id="rId177" Type="http://schemas.openxmlformats.org/officeDocument/2006/relationships/hyperlink" Target="https://patadovietnam.edu.vn/khoa-giao-tiep-tieng-anh-online-all/?utm_source=Google&amp;utm_medium=SEA&amp;utm_term=NEW_UnitedStates_none_none_241225&amp;utm_content=saletructiep_trungtamchongdilam_PTAGTTD_LD256&amp;utm_campaign=ALL.giaotiep.tienganh_Patado_SEA_HoaNT_241225" TargetMode="External"/><Relationship Id="rId198" Type="http://schemas.openxmlformats.org/officeDocument/2006/relationships/hyperlink" Target="https://patadovietnam.edu.vn/khoa-giao-tiep-tieng-anh-online-all/" TargetMode="External"/><Relationship Id="rId197" Type="http://schemas.openxmlformats.org/officeDocument/2006/relationships/hyperlink" Target="https://patadovietnam.edu.vn/khoa-giao-tiep-tieng-anh-online-all/?utm_source=Google&amp;utm_medium=SEA&amp;utm_term=NEW_UnitedStates_none_none_241225&amp;utm_content=saletructiep_tienganhthuongmai_PTAGTTD_LD256&amp;utm_campaign=ALL.giaotiep.tienganh_Patado_SEA_HoaNT_241225" TargetMode="External"/><Relationship Id="rId196" Type="http://schemas.openxmlformats.org/officeDocument/2006/relationships/hyperlink" Target="https://patadovietnam.edu.vn/khoa-giao-tiep-tieng-anh-online-all/" TargetMode="External"/><Relationship Id="rId195" Type="http://schemas.openxmlformats.org/officeDocument/2006/relationships/hyperlink" Target="https://patadovietnam.edu.vn/khoa-giao-tiep-tieng-anh-online-all/?utm_source=Google&amp;utm_medium=SEA&amp;utm_term=NEW_UnitedStates_none_none_241225&amp;utm_content=saletructiep_trungtamonline_PTAGTTD_LD256&amp;utm_campaign=ALL.giaotiep.tienganh_Patado_SEA_HoaNT_241225" TargetMode="External"/><Relationship Id="rId199" Type="http://schemas.openxmlformats.org/officeDocument/2006/relationships/hyperlink" Target="https://patadovietnam.edu.vn/khoa-giao-tiep-tieng-anh-online-all/?utm_source=Google&amp;utm_medium=SEA&amp;utm_term=NEW_UnitedStates_none_none_241225&amp;utm_content=saletructiep_hocphi_PTAGTTD_LD256&amp;utm_campaign=ALL.giaotiep.tienganh_Patado_SEA_HoaNT_241225" TargetMode="External"/><Relationship Id="rId150" Type="http://schemas.openxmlformats.org/officeDocument/2006/relationships/hyperlink" Target="https://patadovietnam.edu.vn/khoa-giao-tiep-unitedstates/" TargetMode="External"/><Relationship Id="rId149" Type="http://schemas.openxmlformats.org/officeDocument/2006/relationships/hyperlink" Target="https://patadovietnam.edu.vn/khoa-giao-tiep-unitedstates/?utm_source=Google&amp;utm_medium=SEA&amp;utm_term=NEW_UnitedStates_none_none_241225&amp;utm_content=saletructiep_trungtamgiaotiep_PTAGTTD_LD255&amp;utm_campaign=UnitedStates.giaotiep.tienganh_Patado_SEA_HoaNT_241225" TargetMode="External"/><Relationship Id="rId148" Type="http://schemas.openxmlformats.org/officeDocument/2006/relationships/hyperlink" Target="https://patadovietnam.edu.vn/khoa-giao-tiep-unitedstates/" TargetMode="External"/><Relationship Id="rId143" Type="http://schemas.openxmlformats.org/officeDocument/2006/relationships/hyperlink" Target="https://patadovietnam.edu.vn/khoa-giao-tiep-unitedstates/?utm_source=Google&amp;utm_medium=SEA&amp;utm_term=NEW_UnitedStates_none_none_241225&amp;utm_content=saletructiep_tienganhgiaotiep_PTAGTTD_LD255&amp;utm_campaign=UnitedStates.giaotiep.tienganh_Patado_SEA_HoaNT_241225" TargetMode="External"/><Relationship Id="rId142" Type="http://schemas.openxmlformats.org/officeDocument/2006/relationships/hyperlink" Target="https://patadovietnam.edu.vn/khoa-giao-tiep-unitedstates/" TargetMode="External"/><Relationship Id="rId141" Type="http://schemas.openxmlformats.org/officeDocument/2006/relationships/hyperlink" Target="https://patadovietnam.edu.vn/khoa-giao-tiep-unitedstates/?utm_source=Google&amp;utm_medium=SEA&amp;utm_term=NEW_UnitedStates_none_none_241225&amp;utm_content=saletructiep_lotrinhgiaotiep_PTAGTTD_LD255&amp;utm_campaign=UnitedStates.giaotiep.tienganh_Patado_SEA_HoaNT_241225" TargetMode="External"/><Relationship Id="rId140" Type="http://schemas.openxmlformats.org/officeDocument/2006/relationships/hyperlink" Target="https://patadovietnam.edu.vn/khoa-giao-tiep-unitedstates/" TargetMode="External"/><Relationship Id="rId147" Type="http://schemas.openxmlformats.org/officeDocument/2006/relationships/hyperlink" Target="https://patadovietnam.edu.vn/khoa-giao-tiep-unitedstates/?utm_source=Google&amp;utm_medium=SEA&amp;utm_term=NEW_UnitedStates_none_none_241225&amp;utm_content=saletructiep_khoahocgiaotiep_PTAGTTD_LD255&amp;utm_campaign=UnitedStates.giaotiep.tienganh_Patado_SEA_HoaNT_241225" TargetMode="External"/><Relationship Id="rId146" Type="http://schemas.openxmlformats.org/officeDocument/2006/relationships/hyperlink" Target="https://patadovietnam.edu.vn/khoa-giao-tiep-unitedstates/" TargetMode="External"/><Relationship Id="rId145" Type="http://schemas.openxmlformats.org/officeDocument/2006/relationships/hyperlink" Target="https://patadovietnam.edu.vn/khoa-giao-tiep-unitedstates/?utm_source=Google&amp;utm_medium=SEA&amp;utm_term=NEW_UnitedStates_none_none_241225&amp;utm_content=saletructiep_lopgiaotiep_PTAGTTD_LD255&amp;utm_campaign=UnitedStates.giaotiep.tienganh_Patado_SEA_HoaNT_241225" TargetMode="External"/><Relationship Id="rId144" Type="http://schemas.openxmlformats.org/officeDocument/2006/relationships/hyperlink" Target="https://patadovietnam.edu.vn/khoa-giao-tiep-unitedstates/" TargetMode="External"/><Relationship Id="rId139" Type="http://schemas.openxmlformats.org/officeDocument/2006/relationships/hyperlink" Target="https://patadovietnam.edu.vn/khoa-giao-tiep-unitedstates/?utm_source=Google&amp;utm_medium=SEA&amp;utm_term=NEW_UnitedStates_none_none_241225&amp;utm_content=saletructiep_tienganhonlinengdilam_PTAGTTD_LD255&amp;utm_campaign=UnitedStates.giaotiep.tienganh_Patado_SEA_HoaNT_241225" TargetMode="External"/><Relationship Id="rId138" Type="http://schemas.openxmlformats.org/officeDocument/2006/relationships/hyperlink" Target="https://patadovietnam.edu.vn/khoa-giao-tiep-unitedstates/" TargetMode="External"/><Relationship Id="rId137" Type="http://schemas.openxmlformats.org/officeDocument/2006/relationships/hyperlink" Target="https://patadovietnam.edu.vn/khoa-giao-tiep-unitedstates/?utm_source=Google&amp;utm_medium=SEA&amp;utm_term=NEW_UnitedStates_none_none_241225&amp;utm_content=saletructiep_tienganhgiaotiepngdilam_PTAGTTD_LD255&amp;utm_campaign=UnitedStates.giaotiep.tienganh_Patado_SEA_HoaNT_241225" TargetMode="External"/><Relationship Id="rId132" Type="http://schemas.openxmlformats.org/officeDocument/2006/relationships/hyperlink" Target="https://patadovietnam.edu.vn/khoa-giao-tiep-unitedstates/" TargetMode="External"/><Relationship Id="rId131" Type="http://schemas.openxmlformats.org/officeDocument/2006/relationships/hyperlink" Target="https://patadovietnam.edu.vn/khoa-giao-tiep-unitedstates/?utm_source=Google&amp;utm_medium=SEA&amp;utm_term=NEW_UnitedStates_none_none_241225&amp;utm_content=saletructiep_tienganhngmatgoc_PTAGTTD_LD255&amp;utm_campaign=UnitedStates.giaotiep.tienganh_Patado_SEA_HoaNT_241225" TargetMode="External"/><Relationship Id="rId130" Type="http://schemas.openxmlformats.org/officeDocument/2006/relationships/hyperlink" Target="https://patadovietnam.edu.vn/khoa-giao-tiep-unitedstates/" TargetMode="External"/><Relationship Id="rId136" Type="http://schemas.openxmlformats.org/officeDocument/2006/relationships/hyperlink" Target="https://patadovietnam.edu.vn/khoa-giao-tiep-unitedstates/" TargetMode="External"/><Relationship Id="rId135" Type="http://schemas.openxmlformats.org/officeDocument/2006/relationships/hyperlink" Target="https://patadovietnam.edu.vn/khoa-giao-tiep-unitedstates/?utm_source=Google&amp;utm_medium=SEA&amp;utm_term=NEW_UnitedStates_none_none_241225&amp;utm_content=saletructiep_trungtamchongdilam_PTAGTTD_LD255&amp;utm_campaign=UnitedStates.giaotiep.tienganh_Patado_SEA_HoaNT_241225" TargetMode="External"/><Relationship Id="rId134" Type="http://schemas.openxmlformats.org/officeDocument/2006/relationships/hyperlink" Target="https://patadovietnam.edu.vn/khoa-giao-tiep-unitedstates/" TargetMode="External"/><Relationship Id="rId133" Type="http://schemas.openxmlformats.org/officeDocument/2006/relationships/hyperlink" Target="https://patadovietnam.edu.vn/khoa-giao-tiep-unitedstates/?utm_source=Google&amp;utm_medium=SEA&amp;utm_term=NEW_UnitedStates_none_none_241225&amp;utm_content=saletructiep_khoahocngdilam_PTAGTTD_LD255&amp;utm_campaign=UnitedStates.giaotiep.tienganh_Patado_SEA_HoaNT_241225" TargetMode="External"/><Relationship Id="rId172" Type="http://schemas.openxmlformats.org/officeDocument/2006/relationships/hyperlink" Target="https://patadovietnam.edu.vn/khoa-giao-tiep-tieng-anh-online-all/" TargetMode="External"/><Relationship Id="rId171" Type="http://schemas.openxmlformats.org/officeDocument/2006/relationships/hyperlink" Target="https://patadovietnam.edu.vn/khoa-giao-tiep-tieng-anh-online-all/?utm_source=Google&amp;utm_medium=SEA&amp;utm_term=NEW_UnitedStates_none_none_241225&amp;utm_content=saletructiep_tienganhgiaotiepngbatdau_PTAGTTD_LD256&amp;utm_campaign=ALL.giaotiep.tienganh_Patado_SEA_HoaNT_241225" TargetMode="External"/><Relationship Id="rId170" Type="http://schemas.openxmlformats.org/officeDocument/2006/relationships/hyperlink" Target="https://patadovietnam.edu.vn/khoa-giao-tiep-tieng-anh-online-all/" TargetMode="External"/><Relationship Id="rId165" Type="http://schemas.openxmlformats.org/officeDocument/2006/relationships/hyperlink" Target="https://patadovietnam.edu.vn/khoa-giao-tiep-tieng-anh-online-all/?utm_source=Google&amp;utm_medium=SEA&amp;utm_term=NEW_UnitedStates_none_none_241225&amp;utm_content=saletructiep_khoahoctienganhonline_PTAGTTD_LD256&amp;utm_campaign=ALL.giaotiep.tienganh_Patado_SEA_HoaNT_241225" TargetMode="External"/><Relationship Id="rId164" Type="http://schemas.openxmlformats.org/officeDocument/2006/relationships/hyperlink" Target="https://patadovietnam.edu.vn/khoa-giao-tiep-tieng-anh-online-all/" TargetMode="External"/><Relationship Id="rId163" Type="http://schemas.openxmlformats.org/officeDocument/2006/relationships/hyperlink" Target="https://patadovietnam.edu.vn/khoa-giao-tiep-tieng-anh-online-all/?utm_source=Google&amp;utm_medium=SEA&amp;utm_term=NEW_UnitedStates_none_none_241225&amp;utm_content=saletructiep_hoctienganhonline_PTAGTTD_LD256&amp;utm_campaign=ALL.giaotiep.tienganh_Patado_SEA_HoaNT_241225" TargetMode="External"/><Relationship Id="rId162" Type="http://schemas.openxmlformats.org/officeDocument/2006/relationships/hyperlink" Target="https://patadovietnam.edu.vn/khoa-giao-tiep-tieng-anh-online-all/" TargetMode="External"/><Relationship Id="rId169" Type="http://schemas.openxmlformats.org/officeDocument/2006/relationships/hyperlink" Target="https://patadovietnam.edu.vn/khoa-giao-tiep-tieng-anh-online-all/?utm_source=Google&amp;utm_medium=SEA&amp;utm_term=NEW_UnitedStates_none_none_241225&amp;utm_content=saletructiep_tienganhchongbatdau_PTAGTTD_LD256&amp;utm_campaign=ALL.giaotiep.tienganh_Patado_SEA_HoaNT_241225" TargetMode="External"/><Relationship Id="rId168" Type="http://schemas.openxmlformats.org/officeDocument/2006/relationships/hyperlink" Target="https://patadovietnam.edu.vn/khoa-giao-tiep-tieng-anh-online-all/" TargetMode="External"/><Relationship Id="rId167" Type="http://schemas.openxmlformats.org/officeDocument/2006/relationships/hyperlink" Target="https://patadovietnam.edu.vn/khoa-giao-tiep-tieng-anh-online-all/?utm_source=Google&amp;utm_medium=SEA&amp;utm_term=NEW_UnitedStates_none_none_241225&amp;utm_content=saletructiep_tienganhonline11_PTAGTTD_LD256&amp;utm_campaign=ALL.giaotiep.tienganh_Patado_SEA_HoaNT_241225" TargetMode="External"/><Relationship Id="rId166" Type="http://schemas.openxmlformats.org/officeDocument/2006/relationships/hyperlink" Target="https://patadovietnam.edu.vn/khoa-giao-tiep-tieng-anh-online-all/" TargetMode="External"/><Relationship Id="rId161" Type="http://schemas.openxmlformats.org/officeDocument/2006/relationships/hyperlink" Target="https://patadovietnam.edu.vn/khoa-giao-tiep-unitedstates/?utm_source=Google&amp;utm_medium=SEA&amp;utm_term=NEW_UnitedStates_none_none_241225&amp;utm_content=saletructiep_tienganhgiaotiep11_PTAGTTD_LD255&amp;utm_campaign=UnitedStates.giaotiep.tienganh_Patado_SEA_HoaNT_241225" TargetMode="External"/><Relationship Id="rId160" Type="http://schemas.openxmlformats.org/officeDocument/2006/relationships/hyperlink" Target="https://patadovietnam.edu.vn/khoa-giao-tiep-unitedstates/" TargetMode="External"/><Relationship Id="rId159" Type="http://schemas.openxmlformats.org/officeDocument/2006/relationships/hyperlink" Target="https://patadovietnam.edu.vn/khoa-giao-tiep-unitedstates/?utm_source=Google&amp;utm_medium=SEA&amp;utm_term=NEW_UnitedStates_none_none_241225&amp;utm_content=saletructiep_tienganhnail_PTAGTTD_LD255&amp;utm_campaign=UnitedStates.giaotiep.tienganh_Patado_SEA_HoaNT_241225" TargetMode="External"/><Relationship Id="rId154" Type="http://schemas.openxmlformats.org/officeDocument/2006/relationships/hyperlink" Target="https://patadovietnam.edu.vn/khoa-giao-tiep-unitedstates/" TargetMode="External"/><Relationship Id="rId153" Type="http://schemas.openxmlformats.org/officeDocument/2006/relationships/hyperlink" Target="https://patadovietnam.edu.vn/khoa-giao-tiep-unitedstates/?utm_source=Google&amp;utm_medium=SEA&amp;utm_term=NEW_UnitedStates_none_none_241225&amp;utm_content=saletructiep_trungtamonline_PTAGTTD_LD255&amp;utm_campaign=UnitedStates.giaotiep.tienganh_Patado_SEA_HoaNT_241225" TargetMode="External"/><Relationship Id="rId152" Type="http://schemas.openxmlformats.org/officeDocument/2006/relationships/hyperlink" Target="https://patadovietnam.edu.vn/khoa-giao-tiep-unitedstates/" TargetMode="External"/><Relationship Id="rId151" Type="http://schemas.openxmlformats.org/officeDocument/2006/relationships/hyperlink" Target="https://patadovietnam.edu.vn/khoa-giao-tiep-unitedstates/?utm_source=Google&amp;utm_medium=SEA&amp;utm_term=NEW_UnitedStates_none_none_241225&amp;utm_content=saletructiep_trungtamPatado_PTAGTTD_LD255&amp;utm_campaign=UnitedStates.giaotiep.tienganh_Patado_SEA_HoaNT_241225" TargetMode="External"/><Relationship Id="rId158" Type="http://schemas.openxmlformats.org/officeDocument/2006/relationships/hyperlink" Target="https://patadovietnam.edu.vn/khoa-giao-tiep-unitedstates/" TargetMode="External"/><Relationship Id="rId157" Type="http://schemas.openxmlformats.org/officeDocument/2006/relationships/hyperlink" Target="https://patadovietnam.edu.vn/khoa-giao-tiep-unitedstates/?utm_source=Google&amp;utm_medium=SEA&amp;utm_term=NEW_UnitedStates_none_none_241225&amp;utm_content=saletructiep_hocphi_PTAGTTD_LD255&amp;utm_campaign=UnitedStates.giaotiep.tienganh_Patado_SEA_HoaNT_241225" TargetMode="External"/><Relationship Id="rId156" Type="http://schemas.openxmlformats.org/officeDocument/2006/relationships/hyperlink" Target="https://patadovietnam.edu.vn/khoa-giao-tiep-unitedstates/" TargetMode="External"/><Relationship Id="rId155" Type="http://schemas.openxmlformats.org/officeDocument/2006/relationships/hyperlink" Target="https://patadovietnam.edu.vn/khoa-giao-tiep-unitedstates/?utm_source=Google&amp;utm_medium=SEA&amp;utm_term=NEW_UnitedStates_none_none_241225&amp;utm_content=saletructiep_tienganhthuongmai_PTAGTTD_LD255&amp;utm_campaign=UnitedStates.giaotiep.tienganh_Patado_SEA_HoaNT_241225" TargetMode="External"/><Relationship Id="rId107" Type="http://schemas.openxmlformats.org/officeDocument/2006/relationships/hyperlink" Target="https://patadovietnam.edu.vn/tieng-anh-giao-tiep-toan-dien-all/?utm_source=Google&amp;utm_medium=SEA&amp;utm_term=NEW_ALL_none_none_211225&amp;utm_content=saletructiep_trungtamluyenielts_PTAGTTD_LD254&amp;utm_campaign=ALL.giaotiep.englishonline_Patado_SEA_HoaNT_211225" TargetMode="External"/><Relationship Id="rId106" Type="http://schemas.openxmlformats.org/officeDocument/2006/relationships/hyperlink" Target="https://patadovietnam.edu.vn/tieng-anh-giao-tiep-toan-dien-all/" TargetMode="External"/><Relationship Id="rId105" Type="http://schemas.openxmlformats.org/officeDocument/2006/relationships/hyperlink" Target="https://patadovietnam.edu.vn/tieng-anh-giao-tiep-toan-dien-all/?utm_source=Google&amp;utm_medium=SEA&amp;utm_term=NEW_ALL_none_none_211225&amp;utm_content=saletructiep_lophocielts_PTAGTTD_LD254&amp;utm_campaign=ALL.giaotiep.englishonline_Patado_SEA_HoaNT_211225" TargetMode="External"/><Relationship Id="rId104" Type="http://schemas.openxmlformats.org/officeDocument/2006/relationships/hyperlink" Target="https://patadovietnam.edu.vn/tieng-anh-giao-tiep-toan-dien-all/" TargetMode="External"/><Relationship Id="rId109" Type="http://schemas.openxmlformats.org/officeDocument/2006/relationships/hyperlink" Target="https://patadovietnam.edu.vn/tieng-anh-giao-tiep-toan-dien-all/?utm_source=Google&amp;utm_medium=SEA&amp;utm_term=NEW_ALL_none_none_211225&amp;utm_content=saletructiep_hocphiielts_PTAGTTD_LD254&amp;utm_campaign=ALL.giaotiep.englishonline_Patado_SEA_HoaNT_211225" TargetMode="External"/><Relationship Id="rId108" Type="http://schemas.openxmlformats.org/officeDocument/2006/relationships/hyperlink" Target="https://patadovietnam.edu.vn/tieng-anh-giao-tiep-toan-dien-all/" TargetMode="External"/><Relationship Id="rId103" Type="http://schemas.openxmlformats.org/officeDocument/2006/relationships/hyperlink" Target="https://patadovietnam.edu.vn/tieng-anh-giao-tiep-toan-dien-all/?utm_source=Google&amp;utm_medium=SEA&amp;utm_term=NEW_ALL_none_none_211225&amp;utm_content=saletructiep_khoahocielts_PTAGTTD_LD254&amp;utm_campaign=ALL.giaotiep.englishonline_Patado_SEA_HoaNT_211225" TargetMode="External"/><Relationship Id="rId102" Type="http://schemas.openxmlformats.org/officeDocument/2006/relationships/hyperlink" Target="https://patadovietnam.edu.vn/tieng-anh-giao-tiep-toan-dien-all/" TargetMode="External"/><Relationship Id="rId101" Type="http://schemas.openxmlformats.org/officeDocument/2006/relationships/hyperlink" Target="https://patadovietnam.edu.vn/tieng-anh-giao-tiep-toan-dien-all/?utm_source=Google&amp;utm_medium=SEA&amp;utm_term=NEW_ALL_none_none_211225&amp;utm_content=saletructiep_ielts1kem1_PTAGTTD_LD254&amp;utm_campaign=ALL.giaotiep.englishonline_Patado_SEA_HoaNT_211225" TargetMode="External"/><Relationship Id="rId100" Type="http://schemas.openxmlformats.org/officeDocument/2006/relationships/hyperlink" Target="https://patadovietnam.edu.vn/tieng-anh-giao-tiep-toan-dien-all/" TargetMode="External"/><Relationship Id="rId129" Type="http://schemas.openxmlformats.org/officeDocument/2006/relationships/hyperlink" Target="https://patadovietnam.edu.vn/khoa-giao-tiep-unitedstates/?utm_source=Google&amp;utm_medium=SEA&amp;utm_term=NEW_UnitedStates_none_none_241225&amp;utm_content=saletructiep_tienganhgiaotiepngbatdau_PTAGTTD_LD255&amp;utm_campaign=UnitedStates.giaotiep.tienganh_Patado_SEA_HoaNT_241225" TargetMode="External"/><Relationship Id="rId128" Type="http://schemas.openxmlformats.org/officeDocument/2006/relationships/hyperlink" Target="https://patadovietnam.edu.vn/khoa-giao-tiep-unitedstates/" TargetMode="External"/><Relationship Id="rId127" Type="http://schemas.openxmlformats.org/officeDocument/2006/relationships/hyperlink" Target="https://patadovietnam.edu.vn/khoa-giao-tiep-unitedstates/?utm_source=Google&amp;utm_medium=SEA&amp;utm_term=NEW_UnitedStates_none_none_241225&amp;utm_content=saletructiep_tienganhchongbatdau_PTAGTTD_LD255&amp;utm_campaign=UnitedStates.giaotiep.tienganh_Patado_SEA_HoaNT_241225" TargetMode="External"/><Relationship Id="rId126" Type="http://schemas.openxmlformats.org/officeDocument/2006/relationships/hyperlink" Target="https://patadovietnam.edu.vn/khoa-giao-tiep-unitedstates/" TargetMode="External"/><Relationship Id="rId121" Type="http://schemas.openxmlformats.org/officeDocument/2006/relationships/hyperlink" Target="https://patadovietnam.edu.vn/khoa-giao-tiep-unitedstates/?utm_source=Google&amp;utm_medium=SEA&amp;utm_term=NEW_UnitedStates_none_none_241225&amp;utm_content=saletructiep_hoctienganhonline_PTAGTTD_LD255&amp;utm_campaign=UnitedStates.giaotiep.tienganh_Patado_SEA_HoaNT_241225" TargetMode="External"/><Relationship Id="rId120" Type="http://schemas.openxmlformats.org/officeDocument/2006/relationships/hyperlink" Target="https://patadovietnam.edu.vn/khoa-giao-tiep-unitedstates/" TargetMode="External"/><Relationship Id="rId125" Type="http://schemas.openxmlformats.org/officeDocument/2006/relationships/hyperlink" Target="https://patadovietnam.edu.vn/khoa-giao-tiep-unitedstates/?utm_source=Google&amp;utm_medium=SEA&amp;utm_term=NEW_UnitedStates_none_none_241225&amp;utm_content=saletructiep_tienganhonline11_PTAGTTD_LD255&amp;utm_campaign=UnitedStates.giaotiep.tienganh_Patado_SEA_HoaNT_241225" TargetMode="External"/><Relationship Id="rId124" Type="http://schemas.openxmlformats.org/officeDocument/2006/relationships/hyperlink" Target="https://patadovietnam.edu.vn/khoa-giao-tiep-unitedstates/" TargetMode="External"/><Relationship Id="rId123" Type="http://schemas.openxmlformats.org/officeDocument/2006/relationships/hyperlink" Target="https://patadovietnam.edu.vn/khoa-giao-tiep-unitedstates/?utm_source=Google&amp;utm_medium=SEA&amp;utm_term=NEW_UnitedStates_none_none_241225&amp;utm_content=saletructiep_khoahoctienganhonline_PTAGTTD_LD255&amp;utm_campaign=UnitedStates.giaotiep.tienganh_Patado_SEA_HoaNT_241225" TargetMode="External"/><Relationship Id="rId122" Type="http://schemas.openxmlformats.org/officeDocument/2006/relationships/hyperlink" Target="https://patadovietnam.edu.vn/khoa-giao-tiep-unitedstates/" TargetMode="External"/><Relationship Id="rId118" Type="http://schemas.openxmlformats.org/officeDocument/2006/relationships/hyperlink" Target="https://patadovietnam.edu.vn/tieng-anh-giao-tiep-toan-dien-all/" TargetMode="External"/><Relationship Id="rId117" Type="http://schemas.openxmlformats.org/officeDocument/2006/relationships/hyperlink" Target="https://patadovietnam.edu.vn/tieng-anh-giao-tiep-toan-dien-all/?utm_source=Google&amp;utm_medium=SEA&amp;utm_term=NEW_ALL_none_none_211225&amp;utm_content=saletructiep_toiec_PTAGTTD_LD254&amp;utm_campaign=ALL.giaotiep.englishonline_Patado_SEA_HoaNT_211225" TargetMode="External"/><Relationship Id="rId116" Type="http://schemas.openxmlformats.org/officeDocument/2006/relationships/hyperlink" Target="https://patadovietnam.edu.vn/tieng-anh-giao-tiep-toan-dien-all/" TargetMode="External"/><Relationship Id="rId115" Type="http://schemas.openxmlformats.org/officeDocument/2006/relationships/hyperlink" Target="https://patadovietnam.edu.vn/tieng-anh-giao-tiep-toan-dien-all/?utm_source=Google&amp;utm_medium=SEA&amp;utm_term=NEW_ALL_none_none_211225&amp;utm_content=saletructiep_giaotiepngdilam_PTAGTTD_LD254&amp;utm_campaign=ALL.giaotiep.englishonline_Patado_SEA_HoaNT_211225" TargetMode="External"/><Relationship Id="rId119" Type="http://schemas.openxmlformats.org/officeDocument/2006/relationships/hyperlink" Target="https://patadovietnam.edu.vn/tieng-anh-giao-tiep-toan-dien-all/?utm_source=Google&amp;utm_medium=SEA&amp;utm_term=NEW_ALL_none_none_211225&amp;utm_content=saletructiep_tienganhnail_PTAGTTD_LD254&amp;utm_campaign=ALL.giaotiep.englishonline_Patado_SEA_HoaNT_211225" TargetMode="External"/><Relationship Id="rId110" Type="http://schemas.openxmlformats.org/officeDocument/2006/relationships/hyperlink" Target="https://patadovietnam.edu.vn/tieng-anh-giao-tiep-toan-dien-all/" TargetMode="External"/><Relationship Id="rId114" Type="http://schemas.openxmlformats.org/officeDocument/2006/relationships/hyperlink" Target="https://patadovietnam.edu.vn/tieng-anh-giao-tiep-toan-dien-all/" TargetMode="External"/><Relationship Id="rId113" Type="http://schemas.openxmlformats.org/officeDocument/2006/relationships/hyperlink" Target="https://patadovietnam.edu.vn/tieng-anh-giao-tiep-toan-dien-all/?utm_source=Google&amp;utm_medium=SEA&amp;utm_term=NEW_ALL_none_none_211225&amp;utm_content=saletructiep_khoahocmatgoc_PTAGTTD_LD254&amp;utm_campaign=ALL.giaotiep.englishonline_Patado_SEA_HoaNT_211225" TargetMode="External"/><Relationship Id="rId112" Type="http://schemas.openxmlformats.org/officeDocument/2006/relationships/hyperlink" Target="https://patadovietnam.edu.vn/tieng-anh-giao-tiep-toan-dien-all/" TargetMode="External"/><Relationship Id="rId111" Type="http://schemas.openxmlformats.org/officeDocument/2006/relationships/hyperlink" Target="https://patadovietnam.edu.vn/tieng-anh-giao-tiep-toan-dien-all/?utm_source=Google&amp;utm_medium=SEA&amp;utm_term=NEW_ALL_none_none_211225&amp;utm_content=saletructiep_khoahocgiaotiep_PTAGTTD_LD254&amp;utm_campaign=ALL.giaotiep.englishonline_Patado_SEA_HoaNT_211225" TargetMode="External"/></Relationships>
</file>

<file path=xl/worksheets/_rels/sheet10.xml.rels><?xml version="1.0" encoding="UTF-8" standalone="yes"?><Relationships xmlns="http://schemas.openxmlformats.org/package/2006/relationships"><Relationship Id="rId392" Type="http://schemas.openxmlformats.org/officeDocument/2006/relationships/hyperlink" Target="https://patadovietnam.edu.vn/khoa-hoc-giao-tiep/" TargetMode="External"/><Relationship Id="rId391" Type="http://schemas.openxmlformats.org/officeDocument/2006/relationships/hyperlink" Target="https://s.net.vn/hlgkr11" TargetMode="External"/><Relationship Id="rId390" Type="http://schemas.openxmlformats.org/officeDocument/2006/relationships/hyperlink" Target="https://patadovietnam.edu.vn/khoa-hoc-giao-tiep/?utm_source=Facebook&amp;utm_medium=MES&amp;utm_term=NEW_Korea_1840_none_280522&amp;utm_content=saletructiep_Korea.Anhthongbao.1840.Giaotiep_TATTP_LD068&amp;utm_campaign=Korea.Giaotiep.Anhthongbao12_XuBen.5018_MES_HuyLG_280522" TargetMode="External"/><Relationship Id="rId385" Type="http://schemas.openxmlformats.org/officeDocument/2006/relationships/hyperlink" Target="https://patadovietnam.edu.vn/khoa-hoc-giao-tiep/" TargetMode="External"/><Relationship Id="rId384" Type="http://schemas.openxmlformats.org/officeDocument/2006/relationships/hyperlink" Target="https://s.net.vn/hlgkr10" TargetMode="External"/><Relationship Id="rId383" Type="http://schemas.openxmlformats.org/officeDocument/2006/relationships/hyperlink" Target="https://patadovietnam.edu.vn/khoa-hoc-giao-tiep/?utm_source=Facebook&amp;utm_medium=MES&amp;utm_term=NEW_Korea_1845_none_250522&amp;utm_content=saletructiep_Korea.Anhthongbao12.1845.Giaotiep_PGPGTTA_LD068&amp;utm_campaign=Korea.Giaotiep.Anhthongbao12_XuBen.5018_MES_HuyLG_250522" TargetMode="External"/><Relationship Id="rId382" Type="http://schemas.openxmlformats.org/officeDocument/2006/relationships/hyperlink" Target="https://patadovietnam.edu.vn/khoa-hoc-giao-tiep/" TargetMode="External"/><Relationship Id="rId389" Type="http://schemas.openxmlformats.org/officeDocument/2006/relationships/hyperlink" Target="https://patadovietnam.edu.vn/khoa-hoc-giao-tiep/" TargetMode="External"/><Relationship Id="rId388" Type="http://schemas.openxmlformats.org/officeDocument/2006/relationships/hyperlink" Target="https://patadovietnam.edu.vn/khoa-hoc-giao-tiep/?utm_source=Facebook&amp;utm_medium=CVS&amp;utm_term=NEW_Japan_1840_none_280522&amp;utm_content=saletructiep_Japan.Anhthongbao12.1840.Giaotiep_TATTP_LD068&amp;utm_campaign=Japan.Giaotiep.Anhthongbao12_XuBen.5018_CVS_HuyLG_280522" TargetMode="External"/><Relationship Id="rId387" Type="http://schemas.openxmlformats.org/officeDocument/2006/relationships/hyperlink" Target="https://patadovietnam.edu.vn/khoa-hoc-giao-tiep/" TargetMode="External"/><Relationship Id="rId386" Type="http://schemas.openxmlformats.org/officeDocument/2006/relationships/hyperlink" Target="https://patadovietnam.edu.vn/khoa-hoc-giao-tiep/?utm_source=Facebook&amp;utm_medium=MES&amp;utm_term=NEW_Malaysia_1840_none_250522&amp;utm_content=saletructiep_Malaysia.Anhthongbao12.1840.Giaotiep_PGPGTTA_LD068&amp;utm_campaign=Malaysia.Giaotiep.Anhthongbao12_XuBen.5018_MES_HuyLG_250522" TargetMode="External"/><Relationship Id="rId381" Type="http://schemas.openxmlformats.org/officeDocument/2006/relationships/hyperlink" Target="https://patadovietnam.edu.vn/khoa-hoc-giao-tiep/?utm_source=Facebook&amp;utm_medium=MES&amp;utm_term=NEW_Philippines_1840_none_250522&amp;utm_content=saletructiep_Philippines.Anhthongbao12.1840.Giaotiep_PGPGTTA_LD068&amp;utm_campaign=Philippines.Giaotiep.Anhthongbao12_XuBen.5018_MES_HuyLG_250522" TargetMode="External"/><Relationship Id="rId380" Type="http://schemas.openxmlformats.org/officeDocument/2006/relationships/hyperlink" Target="https://patadovietnam.edu.vn/khoa-hoc-giao-tiep/" TargetMode="External"/><Relationship Id="rId379" Type="http://schemas.openxmlformats.org/officeDocument/2006/relationships/hyperlink" Target="https://patadovietnam.edu.vn/ielts_cvs/?utm_source=Facebook&amp;utm_medium=MES&amp;utm_term=NEW_Vietnam_1840_none_250522&amp;utm_content=Storytelling_Vietnam.VideoIELTS.1840.IELTS_PGPGTTA_LD114&amp;utm_campaign=Vietnam.IELTS.VideoIELTS_XuBen.5018_MES_HuyLG_250522" TargetMode="External"/><Relationship Id="rId374" Type="http://schemas.openxmlformats.org/officeDocument/2006/relationships/hyperlink" Target="https://patadovietnam.edu.vn/khoa-hoc-giao-tiep/?utm_source=Facebook&amp;utm_medium=MES&amp;utm_term=NEW_Canada_1838_none_230522&amp;utm_content=saletructiep_Canada.Anhthongbao12.1845.Giaotiep_PGPGTTA_LD068&amp;utm_campaign=Canada.Giaotiep.Anhthongbao12_XuBen.5018_MES_HuyLG_230522" TargetMode="External"/><Relationship Id="rId373" Type="http://schemas.openxmlformats.org/officeDocument/2006/relationships/hyperlink" Target="https://patadovietnam.edu.vn/khoa-hoc-giao-tiep/" TargetMode="External"/><Relationship Id="rId372" Type="http://schemas.openxmlformats.org/officeDocument/2006/relationships/hyperlink" Target="https://patadovietnam.edu.vn/khoa-hoc-giao-tiep/?utm_source=Facebook&amp;utm_medium=MES&amp;utm_term=NEW_Singapore_1845_none_230522&amp;utm_content=saletructiep_Singapore.Anhthongbao12.1845.Giaotiep_PGPGTTA_LD068&amp;utm_campaign=Singapore.Giaotiep.Anhthongbao12_XuBen.5018_MES_HuyLG_230522" TargetMode="External"/><Relationship Id="rId371" Type="http://schemas.openxmlformats.org/officeDocument/2006/relationships/hyperlink" Target="https://patadovietnam.edu.vn/khoa-hoc-giao-tiep/" TargetMode="External"/><Relationship Id="rId378" Type="http://schemas.openxmlformats.org/officeDocument/2006/relationships/hyperlink" Target="https://patadovietnam.edu.vn/ielts_cvs/" TargetMode="External"/><Relationship Id="rId377" Type="http://schemas.openxmlformats.org/officeDocument/2006/relationships/hyperlink" Target="http://ldp.ink/Taiwan5_HLG" TargetMode="External"/><Relationship Id="rId376" Type="http://schemas.openxmlformats.org/officeDocument/2006/relationships/hyperlink" Target="https://patadovietnam.edu.vn/khoa-hoc-giao-tiep/?utm_source=Facebook&amp;utm_medium=MES&amp;utm_term=NEW_Taiwan_1840_none_230522&amp;utm_content=saletructiep_Taiwan.Anhthongbao12.1840.Giaotiep_PGPGTTA_LD068&amp;utm_campaign=Taiwan.Giaotiep.Anhthongbao12_XuBen.5018_MES_HuyLG_230522" TargetMode="External"/><Relationship Id="rId375" Type="http://schemas.openxmlformats.org/officeDocument/2006/relationships/hyperlink" Target="https://patadovietnam.edu.vn/khoa-hoc-giao-tiep/" TargetMode="External"/><Relationship Id="rId396" Type="http://schemas.openxmlformats.org/officeDocument/2006/relationships/hyperlink" Target="https://patadovietnam.edu.vn/khoa-hoc-giao-tiep/" TargetMode="External"/><Relationship Id="rId395" Type="http://schemas.openxmlformats.org/officeDocument/2006/relationships/hyperlink" Target="https://patadovietnam.edu.vn/khoa-hoc-giao-tiep/?utm_source=Facebook&amp;utm_medium=MES&amp;utm_term=NEW_Philippines_1840_none_280522&amp;utm_content=saletructiep_Philippines.Anhthongbao12.1840.Giaotiep_TATTP_LD068&amp;utm_campaign=Philippines.Giaotiep.Anhthongbao12_XuBen.5018_MES_HuyLG_280522" TargetMode="External"/><Relationship Id="rId394" Type="http://schemas.openxmlformats.org/officeDocument/2006/relationships/hyperlink" Target="https://patadovietnam.edu.vn/khoa-hoc-giao-tiep/" TargetMode="External"/><Relationship Id="rId393" Type="http://schemas.openxmlformats.org/officeDocument/2006/relationships/hyperlink" Target="https://patadovietnam.edu.vn/khoa-hoc-giao-tiep/?utm_source=Facebook&amp;utm_medium=MES&amp;utm_term=NEW_Taiwan_1840_none_280522&amp;utm_content=saletructiep_Taiwan.Anhthongbao12.1840.Giaotiep_TATTP_LD068&amp;utm_campaign=Taiwan.Giaotiep.Anhthongbao12_XuBen.5018_MES_HuyLG_280522" TargetMode="External"/><Relationship Id="rId399" Type="http://schemas.openxmlformats.org/officeDocument/2006/relationships/hyperlink" Target="https://patadovietnam.edu.vn/khoa-hoc-giao-tiep/" TargetMode="External"/><Relationship Id="rId398" Type="http://schemas.openxmlformats.org/officeDocument/2006/relationships/hyperlink" Target="http://ldp.ink/Canada6_HLG" TargetMode="External"/><Relationship Id="rId397" Type="http://schemas.openxmlformats.org/officeDocument/2006/relationships/hyperlink" Target="https://patadovietnam.edu.vn/khoa-hoc-giao-tiep/?utm_source=Facebook&amp;utm_medium=MES&amp;utm_term=NEW_Canada_1845_none_280522&amp;utm_content=saletructiep_Canada.Anhthongbao12.1845.Giaotiep_TATTP_LD068&amp;utm_campaign=Canada.Giaotiep.Anhthongbao12_XuBen.5018_MES_HuyLG_280522" TargetMode="External"/><Relationship Id="rId40" Type="http://schemas.openxmlformats.org/officeDocument/2006/relationships/hyperlink" Target="https://www.patado.net/tettansuu/?utm_source=Facebook&amp;utm_medium=SEE&amp;utm_term=NON_NONE_none_none_170221&amp;utm_content=khac_Content_NON_LD060&amp;utm_campaign=Tettansuu_NON_NON_HuyLG_170221" TargetMode="External"/><Relationship Id="rId42" Type="http://schemas.openxmlformats.org/officeDocument/2006/relationships/hyperlink" Target="https://patadovietnam.edu.vn/blog/ielts-writting/cau-truc-bai-thi-ielts-academic-writing/?utm_source=Facebook&amp;utm_medium=SEE&amp;utm_term=NON_NONE_none_none_220221&amp;utm_content=khac_Content_NON_LD051&amp;utm_campaign=Cautrucbaithi_NON_NON_HuyLG_220221" TargetMode="External"/><Relationship Id="rId41" Type="http://schemas.openxmlformats.org/officeDocument/2006/relationships/hyperlink" Target="https://patadovietnam.edu.vn/blog/ielts-writting/cau-truc-bai-thi-ielts-academic-writing/" TargetMode="External"/><Relationship Id="rId44" Type="http://schemas.openxmlformats.org/officeDocument/2006/relationships/hyperlink" Target="https://patadovietnam.edu.vn/tai-lieu/tron-bo-practical-ielts-strategies/?utm_source=Facebook&amp;utm_medium=SEE&amp;utm_term=NON_NONE_none_none_240221&amp;utm_content=khac_Content_NON_LD061&amp;utm_campaign=IeltsStrategies_NON_NON_HuyLG_240221" TargetMode="External"/><Relationship Id="rId43" Type="http://schemas.openxmlformats.org/officeDocument/2006/relationships/hyperlink" Target="https://patadovietnam.edu.vn/tai-lieu/tron-bo-practical-ielts-strategies/" TargetMode="External"/><Relationship Id="rId46" Type="http://schemas.openxmlformats.org/officeDocument/2006/relationships/hyperlink" Target="https://patadovietnam.edu.vn/blog/tin-tuc-tieng-anh/idioms-ielts-speaking/?utm_source=Facebook&amp;utm_medium=SEE&amp;utm_term=NON_NONE_none_none_040321&amp;utm_content=khac_Content_NON_LD063&amp;utm_campaign=Idioms_NON_NON_HuyLG_040321" TargetMode="External"/><Relationship Id="rId45" Type="http://schemas.openxmlformats.org/officeDocument/2006/relationships/hyperlink" Target="https://patadovietnam.edu.vn/blog/tin-tuc-tieng-anh/idioms-ielts-speaking/" TargetMode="External"/><Relationship Id="rId48" Type="http://schemas.openxmlformats.org/officeDocument/2006/relationships/hyperlink" Target="https://www.patado.net/tienganhgiaotiepnails/?utm_source=Facebook&amp;utm_medium=CVS&amp;utm_term=NEW_UnitedStates_none_none_150321&amp;utm_content=saletructiep_test1_TATTPVN_LD065&amp;utm_campaign=tienganhgiaotiepnails_XuBen.5018_CVS_HuyLG_150321" TargetMode="External"/><Relationship Id="rId47" Type="http://schemas.openxmlformats.org/officeDocument/2006/relationships/hyperlink" Target="https://www.patado.net/tienganhgiaotiepnails" TargetMode="External"/><Relationship Id="rId49" Type="http://schemas.openxmlformats.org/officeDocument/2006/relationships/hyperlink" Target="https://www.patado.net/tienganhgiaotiepnails" TargetMode="External"/><Relationship Id="rId31" Type="http://schemas.openxmlformats.org/officeDocument/2006/relationships/hyperlink" Target="https://patadovietnam.edu.vn/test-trinh-do/kiem-tra-trinh-do-tu-vung-tieng-anh-01/" TargetMode="External"/><Relationship Id="rId30" Type="http://schemas.openxmlformats.org/officeDocument/2006/relationships/hyperlink" Target="https://patadovietnam.edu.vn/blog/kinh-nghiem-thi/ielts/?utm_source=Facebook&amp;utm_medium=SEE&amp;utm_term=NON_NONE_none_none_130121&amp;utm_content=khac_Content_NON_LD043&amp;utm_campaign=Kinhnghiemthi_NON_NON_HuyLG_130121" TargetMode="External"/><Relationship Id="rId33" Type="http://schemas.openxmlformats.org/officeDocument/2006/relationships/hyperlink" Target="https://patadovietnam.edu.vn/tai-lieu/ielts-vocabulary-booster/" TargetMode="External"/><Relationship Id="rId32" Type="http://schemas.openxmlformats.org/officeDocument/2006/relationships/hyperlink" Target="https://patadovietnam.edu.vn/test-trinh-do/kiem-tra-trinh-do-tu-vung-tieng-anh-01/?utm_source=Facebook&amp;utm_medium=SEE&amp;utm_term=NON_NONE_none_none_140121&amp;utm_content=khac_Content_NON_LD045&amp;utm_campaign=Testvocab_NON_NON_HuyLG_140121" TargetMode="External"/><Relationship Id="rId35" Type="http://schemas.openxmlformats.org/officeDocument/2006/relationships/hyperlink" Target="https://patadovietnam.edu.vn/blog/vocab-grammar/tu-loai/" TargetMode="External"/><Relationship Id="rId34" Type="http://schemas.openxmlformats.org/officeDocument/2006/relationships/hyperlink" Target="https://patadovietnam.edu.vn/tai-lieu/ielts-vocabulary-booster/?utm_source=Facebook&amp;utm_medium=SEE&amp;utm_term=NON_NONE_none_none_180121&amp;utm_content=khac_Content_NON_LD054&amp;utm_campaign=Booster_NON_NON_HuyLG_180121" TargetMode="External"/><Relationship Id="rId37" Type="http://schemas.openxmlformats.org/officeDocument/2006/relationships/hyperlink" Target="https://patadovietnam.edu.vn/tai-lieu/oxford-word-skills-basic/" TargetMode="External"/><Relationship Id="rId36" Type="http://schemas.openxmlformats.org/officeDocument/2006/relationships/hyperlink" Target="https://patadovietnam.edu.vn/blog/vocab-grammar/tu-loai/?utm_source=Facebook&amp;utm_medium=SEE&amp;utm_term=NON_NONE_none_none_190121&amp;utm_content=khac_Content_NON_LD055&amp;utm_campaign=Tuloai_NON_NON_HuyLG_190121" TargetMode="External"/><Relationship Id="rId39" Type="http://schemas.openxmlformats.org/officeDocument/2006/relationships/hyperlink" Target="https://www.patado.net/tettansuu" TargetMode="External"/><Relationship Id="rId38" Type="http://schemas.openxmlformats.org/officeDocument/2006/relationships/hyperlink" Target="https://patadovietnam.edu.vn/tai-lieu/oxford-word-skills-basic/?utm_source=Facebook&amp;utm_medium=SEE&amp;utm_term=NON_NONE_none_none_170221&amp;utm_content=khac_Content_NON_LD059&amp;utm_campaign=Oxfordwword_NON_NON_HuyLG_170221" TargetMode="External"/><Relationship Id="rId20" Type="http://schemas.openxmlformats.org/officeDocument/2006/relationships/hyperlink" Target="https://patadovietnam.edu.vn/blog/vocab-grammar/chuc-tet-tieng-anh/?utm_source=Facebook&amp;utm_medium=SEE&amp;utm_term=NON_NONE_none_none_080121&amp;utm_content=khac_Content_NON_LD039&amp;utm_campaign=30loichuc_NON_NON_HuyLG_080121" TargetMode="External"/><Relationship Id="rId22" Type="http://schemas.openxmlformats.org/officeDocument/2006/relationships/hyperlink" Target="https://patadovietnam.edu.vn/tai-lieu/3000-tu-vung-tieng-anh/?utm_source=Facebook&amp;utm_medium=SEE&amp;utm_term=NON_NONE_none_none_090121&amp;utm_content=khac_Content_NON_LD040&amp;utm_campaign=3000tuvung_NON_NON_HuyLG_090121" TargetMode="External"/><Relationship Id="rId21" Type="http://schemas.openxmlformats.org/officeDocument/2006/relationships/hyperlink" Target="https://patadovietnam.edu.vn/tai-lieu/3000-tu-vung-tieng-anh/" TargetMode="External"/><Relationship Id="rId24" Type="http://schemas.openxmlformats.org/officeDocument/2006/relationships/hyperlink" Target="https://patadovietnam.edu.vn/tai-lieu/tu-vung-co-ban-english-vocabulary-in-use-elementary/?utm_source=Facebook&amp;utm_medium=SEE&amp;utm_term=NON_NONE_none_none_090121&amp;utm_content=khac_Content1_NON_LD027&amp;utm_campaign=tuvungcoban_NON_NON_HuyLG_090121" TargetMode="External"/><Relationship Id="rId23" Type="http://schemas.openxmlformats.org/officeDocument/2006/relationships/hyperlink" Target="https://patadovietnam.edu.vn/tai-lieu/tu-vung-co-ban-english-vocabulary-in-use-elementary/" TargetMode="External"/><Relationship Id="rId26" Type="http://schemas.openxmlformats.org/officeDocument/2006/relationships/hyperlink" Target="https://patadovietnam.edu.vn/tai-lieu/full-bo-check-your-english-vocabulary/?utm_source=Facebook&amp;utm_medium=SEE&amp;utm_term=NON_NONE_none_none_110121&amp;utm_content=khac_Content_NON_LD024&amp;utm_campaign=Vocabulary_NON_NON_HuyLG_110121" TargetMode="External"/><Relationship Id="rId25" Type="http://schemas.openxmlformats.org/officeDocument/2006/relationships/hyperlink" Target="https://patadovietnam.edu.vn/tai-lieu/full-bo-check-your-english-vocabulary/" TargetMode="External"/><Relationship Id="rId28" Type="http://schemas.openxmlformats.org/officeDocument/2006/relationships/hyperlink" Target="https://patadovietnam.edu.vn/tai-lieu/english-grammar-in-use/?utm_source=Facebook&amp;utm_medium=SEE&amp;utm_term=NON_NONE_none_none_130121&amp;utm_content=khac_Content_NON_LD028&amp;utm_campaign=Grammar_NON_NON_HuyLG_130121" TargetMode="External"/><Relationship Id="rId27" Type="http://schemas.openxmlformats.org/officeDocument/2006/relationships/hyperlink" Target="https://patadovietnam.edu.vn/tai-lieu/english-grammar-in-use/" TargetMode="External"/><Relationship Id="rId29" Type="http://schemas.openxmlformats.org/officeDocument/2006/relationships/hyperlink" Target="https://patadovietnam.edu.vn/blog/kinh-nghiem-thi/ielts/" TargetMode="External"/><Relationship Id="rId11" Type="http://schemas.openxmlformats.org/officeDocument/2006/relationships/hyperlink" Target="https://patadovietnam.edu.vn/blog/vocab-grammar/16-thi-trong-tieng-anh/" TargetMode="External"/><Relationship Id="rId10" Type="http://schemas.openxmlformats.org/officeDocument/2006/relationships/hyperlink" Target="https://patadovietnam.edu.vn/blog/sach-luyen-thi-ielts/?utm_source=Facebook&amp;utm_medium=SEE&amp;utm_term=NON_NONE_none_none_311220&amp;utm_content=khac_Content1_NON_LD033&amp;utm_campaign=SachIELTS_NON_NON_HuyLG_311220" TargetMode="External"/><Relationship Id="rId13" Type="http://schemas.openxmlformats.org/officeDocument/2006/relationships/hyperlink" Target="https://patadovietnam.edu.vn/tai-lieu/tips-for-ielts-meo-hoc-ielts/" TargetMode="External"/><Relationship Id="rId12" Type="http://schemas.openxmlformats.org/officeDocument/2006/relationships/hyperlink" Target="https://patadovietnam.edu.vn/blog/vocab-grammar/16-thi-trong-tieng-anh/?utm_source=Facebook&amp;utm_medium=SEE&amp;utm_term=NON_NONE_none_none_040121&amp;utm_content=khac_Content_NON_LD034&amp;utm_campaign=16Thi_NON_NON_HuyLG_040121" TargetMode="External"/><Relationship Id="rId15" Type="http://schemas.openxmlformats.org/officeDocument/2006/relationships/hyperlink" Target="https://patadovietnam.edu.vn/tai-lieu/chinh-phuc-ielts-writing-course/" TargetMode="External"/><Relationship Id="rId14" Type="http://schemas.openxmlformats.org/officeDocument/2006/relationships/hyperlink" Target="https://patadovietnam.edu.vn/tai-lieu/tips-for-ielts-meo-hoc-ielts/?utm_source=Facebook&amp;utm_medium=SEE&amp;utm_term=NON_NONE_none_none_060121&amp;utm_content=khac_Content_NON_LD019&amp;utm_campaign=Tips_NON_NON_HuyLG_060121" TargetMode="External"/><Relationship Id="rId17" Type="http://schemas.openxmlformats.org/officeDocument/2006/relationships/hyperlink" Target="https://patadovietnam.edu.vn/blog/ielts-listening/lo-trinh-hoc-ielts-listening/" TargetMode="External"/><Relationship Id="rId16" Type="http://schemas.openxmlformats.org/officeDocument/2006/relationships/hyperlink" Target="https://patadovietnam.edu.vn/tai-lieu/chinh-phuc-ielts-writing-course/?utm_source=Facebook&amp;utm_medium=SEE&amp;utm_term=NON_NONE_none_none_060121&amp;utm_content=khac_Content2_NON_LD014&amp;utm_campaign=WritingCourse_NON_NON_HuyLG_060121" TargetMode="External"/><Relationship Id="rId19" Type="http://schemas.openxmlformats.org/officeDocument/2006/relationships/hyperlink" Target="https://patadovietnam.edu.vn/blog/vocab-grammar/chuc-tet-tieng-anh/" TargetMode="External"/><Relationship Id="rId18" Type="http://schemas.openxmlformats.org/officeDocument/2006/relationships/hyperlink" Target="https://patadovietnam.edu.vn/blog/ielts-listening/lo-trinh-hoc-ielts-listening/?utm_source=Facebook&amp;utm_medium=SEE&amp;utm_term=NON_NONE_none_none_070121&amp;utm_content=khac_Content_NON_LD037&amp;utm_campaign=Listening_NON_NON_HuyLG_070121" TargetMode="External"/><Relationship Id="rId84" Type="http://schemas.openxmlformats.org/officeDocument/2006/relationships/hyperlink" Target="https://patadovietnam.edu.vn/khoa-hoc-giao-tiep/?utm_source=Facebook&amp;utm_medium=MES&amp;utm_term=NEW_Cambodia_none_none_210421&amp;utm_content=saletructiep_Cambodia.Video.none.Giaotiep_TATTPVN_LD068&amp;utm_campaign=Cambodia.Giaotiep_XuBen.5018_MES_HuyLG_210421" TargetMode="External"/><Relationship Id="rId83" Type="http://schemas.openxmlformats.org/officeDocument/2006/relationships/hyperlink" Target="https://patadovietnam.edu.vn/khoa-hoc-giao-tiep/" TargetMode="External"/><Relationship Id="rId86" Type="http://schemas.openxmlformats.org/officeDocument/2006/relationships/hyperlink" Target="https://patadovietnam.edu.vn/nailspatado/?utm_source=Facebook&amp;utm_medium=MES&amp;utm_term=NEW_Australia_none_none_270421&amp;utm_content=Storytelling_Nails_TATTPVN_LD069&amp;utm_campaign=MES_XuBen.5018_MES_HuyLG_270421" TargetMode="External"/><Relationship Id="rId85" Type="http://schemas.openxmlformats.org/officeDocument/2006/relationships/hyperlink" Target="https://patadovietnam.edu.vn/nailspatado/" TargetMode="External"/><Relationship Id="rId88" Type="http://schemas.openxmlformats.org/officeDocument/2006/relationships/hyperlink" Target="https://patadovietnam.edu.vn/khoa-hoc-giao-tiep/?utm_source=Facebook&amp;utm_medium=MES&amp;utm_term=NEW_Korea_none_none_080521&amp;utm_content=saletructiep_Videotrungtam_TATTPVN_LD068&amp;utm_campaign=MES_XuBen.5018_MES_HuyLG_080521" TargetMode="External"/><Relationship Id="rId87" Type="http://schemas.openxmlformats.org/officeDocument/2006/relationships/hyperlink" Target="https://patadovietnam.edu.vn/khoa-hoc-giao-tiep/" TargetMode="External"/><Relationship Id="rId89" Type="http://schemas.openxmlformats.org/officeDocument/2006/relationships/hyperlink" Target="https://patadovietnam.edu.vn/ielts_patado/" TargetMode="External"/><Relationship Id="rId80" Type="http://schemas.openxmlformats.org/officeDocument/2006/relationships/hyperlink" Target="https://www.patado.net/tieng-anh-giao-tiep-nuoc-ngoai/?utm_source=Facebook&amp;utm_medium=VID&amp;utm_term=RMK_Vietnam_none_none_160421&amp;utm_content=h4giaovien_H4Giaovien_TATTPVN_LD071&amp;utm_campaign=VideoRMK_XuBen.5018_VID_HuyLG_160421" TargetMode="External"/><Relationship Id="rId82" Type="http://schemas.openxmlformats.org/officeDocument/2006/relationships/hyperlink" Target="https://patadovietnam.edu.vn/nailspatado/?utm_source=Facebook&amp;utm_medium=CVS&amp;utm_term=NEW_Canada_none_none_210421&amp;utm_content=saletructiep_Nails6_TATTPVN_LD069&amp;utm_campaign=tienganhgiaotiepnails_XuBen.5018_CVS_HuyLG_210421" TargetMode="External"/><Relationship Id="rId81" Type="http://schemas.openxmlformats.org/officeDocument/2006/relationships/hyperlink" Target="https://patadovietnam.edu.vn/nailspatado/" TargetMode="External"/><Relationship Id="rId73" Type="http://schemas.openxmlformats.org/officeDocument/2006/relationships/hyperlink" Target="https://patadovietnam.edu.vn/blog/kinh-nghiem-thi/tat-tan-tat-ve-tu-vung-ielts/" TargetMode="External"/><Relationship Id="rId72" Type="http://schemas.openxmlformats.org/officeDocument/2006/relationships/hyperlink" Target="https://patadovietnam.edu.vn/nailspatado/?utm_source=Facebook&amp;utm_medium=CVS&amp;utm_term=NEW_Australia_none_none_070421&amp;utm_content=saletructiep_Nails5_TATTPVN_LD069&amp;utm_campaign=tienganhgiaotiepnails_XuBen.5018_CVS_HuyLG_070421" TargetMode="External"/><Relationship Id="rId75" Type="http://schemas.openxmlformats.org/officeDocument/2006/relationships/hyperlink" Target="https://patadovietnam.edu.vn/nailspatado/" TargetMode="External"/><Relationship Id="rId74" Type="http://schemas.openxmlformats.org/officeDocument/2006/relationships/hyperlink" Target="https://patadovietnam.edu.vn/blog/kinh-nghiem-thi/tat-tan-tat-ve-tu-vung-ielts/?utm_source=Facebook&amp;utm_medium=CTW&amp;utm_term=NON_Vietnam_none_none_060421&amp;utm_content=Document_TuvungIELTS_TATTPVN_LD070&amp;utm_campaign=Document_XuBen.5018_CTW_HuyLG_060421" TargetMode="External"/><Relationship Id="rId77" Type="http://schemas.openxmlformats.org/officeDocument/2006/relationships/hyperlink" Target="https://patadovietnam.edu.vn/khoa-hoc-giao-tiep/" TargetMode="External"/><Relationship Id="rId76" Type="http://schemas.openxmlformats.org/officeDocument/2006/relationships/hyperlink" Target="https://patadovietnam.edu.vn/nailspatado/?utm_source=Facebook&amp;utm_medium=CVS&amp;utm_term=RMK_UnitedStates_none_none_140421&amp;utm_content=saletructiep_NailsRMK_TATTPVN_LD069&amp;utm_campaign=tienganhgiaotiepnails_XuBen.5018_CVS_HuyLG_140421" TargetMode="External"/><Relationship Id="rId79" Type="http://schemas.openxmlformats.org/officeDocument/2006/relationships/hyperlink" Target="https://patadovietnam.edu.vn/khoa-hoc-giao-tiep/" TargetMode="External"/><Relationship Id="rId78" Type="http://schemas.openxmlformats.org/officeDocument/2006/relationships/hyperlink" Target="https://patadovietnam.edu.vn/khoa-hoc-giao-tiep/?utm_source=Facebook&amp;utm_medium=VID&amp;utm_term=RMK_Vietnam_none_none_160421&amp;utm_content=h4trungtam_VideoVTV_TATTPVN_LD068&amp;utm_campaign=VideoRMK_XuBen.5018_VID_HuyLG_160421" TargetMode="External"/><Relationship Id="rId71" Type="http://schemas.openxmlformats.org/officeDocument/2006/relationships/hyperlink" Target="https://patadovietnam.edu.vn/nailspatado/" TargetMode="External"/><Relationship Id="rId70" Type="http://schemas.openxmlformats.org/officeDocument/2006/relationships/hyperlink" Target="https://patadovietnam.edu.vn/nailspatado/?utm_source=Facebook&amp;utm_medium=CVS&amp;utm_term=NEW_UnitedKingdom_none_none_070421&amp;utm_content=saletructiep_Nails4_TATTPVN_LD069&amp;utm_campaign=tienganhgiaotiepnails_XuBen.5018_CVS_HuyLG_070421" TargetMode="External"/><Relationship Id="rId62" Type="http://schemas.openxmlformats.org/officeDocument/2006/relationships/hyperlink" Target="https://patadovietnam.edu.vn/blog/kinh-nghiem-thi/ielts/?utm_source=Facebook&amp;utm_medium=CTW&amp;utm_term=NON_Vietnam_none_none_060421&amp;utm_content=Document_IELTS_TATTPVN_LD043&amp;utm_campaign=Document_XuBen.5018_CTW_HuyLG_060421" TargetMode="External"/><Relationship Id="rId61" Type="http://schemas.openxmlformats.org/officeDocument/2006/relationships/hyperlink" Target="https://patadovietnam.edu.vn/blog/kinh-nghiem-thi/ielts/" TargetMode="External"/><Relationship Id="rId64" Type="http://schemas.openxmlformats.org/officeDocument/2006/relationships/hyperlink" Target="https://patadovietnam.edu.vn/blog/vocab-grammar/tu-loai/?utm_source=Facebook&amp;utm_medium=CTW&amp;utm_term=NON_Vietnam_none_none_060421&amp;utm_content=Document_Tuloai_TATTPVN_LD055&amp;utm_campaign=Document_XuBen.5018_CTW_HuyLG_060421" TargetMode="External"/><Relationship Id="rId63" Type="http://schemas.openxmlformats.org/officeDocument/2006/relationships/hyperlink" Target="https://patadovietnam.edu.vn/blog/vocab-grammar/tu-loai/" TargetMode="External"/><Relationship Id="rId66" Type="http://schemas.openxmlformats.org/officeDocument/2006/relationships/hyperlink" Target="https://patadovietnam.edu.vn/khoa-hoc-giao-tiep/?utm_source=Facebook&amp;utm_medium=MES&amp;utm_term=NEW_UnitedStates_none_none_070421&amp;utm_content=Storytelling_UnitedStates.Video.none.Giaotiep_TATTPVN_LD068&amp;utm_campaign=UnitedStates.Giaotiep_XuBen.5018_MES_HuyLG_070421" TargetMode="External"/><Relationship Id="rId65" Type="http://schemas.openxmlformats.org/officeDocument/2006/relationships/hyperlink" Target="https://patadovietnam.edu.vn/khoa-hoc-giao-tiep/" TargetMode="External"/><Relationship Id="rId68" Type="http://schemas.openxmlformats.org/officeDocument/2006/relationships/hyperlink" Target="https://patadovietnam.edu.vn/khoa-hoc-giao-tiep/?utm_source=Facebook&amp;utm_medium=MES&amp;utm_term=NEW_Japan_none_none_070421&amp;utm_content=Storytelling_Giaotiep_TATTPVN_LD068&amp;utm_campaign=MES_XuBen.5018_MES_HuyLG_070421" TargetMode="External"/><Relationship Id="rId67" Type="http://schemas.openxmlformats.org/officeDocument/2006/relationships/hyperlink" Target="https://patadovietnam.edu.vn/khoa-hoc-giao-tiep/" TargetMode="External"/><Relationship Id="rId60" Type="http://schemas.openxmlformats.org/officeDocument/2006/relationships/hyperlink" Target="https://patadovietnam.edu.vn/khoa-hoc-giao-tiep/?utm_source=Facebook&amp;utm_medium=MES&amp;utm_term=NEW_Vietnam_none_none_300321&amp;utm_content=saletructiep_Giaotiep_TATTPVN_LD068&amp;utm_campaign=MES_XuBen.5018_MES_HuyLG_300321" TargetMode="External"/><Relationship Id="rId69" Type="http://schemas.openxmlformats.org/officeDocument/2006/relationships/hyperlink" Target="https://patadovietnam.edu.vn/nailspatado/" TargetMode="External"/><Relationship Id="rId51" Type="http://schemas.openxmlformats.org/officeDocument/2006/relationships/hyperlink" Target="https://www.patado.net/tienganhgiaotiepnails" TargetMode="External"/><Relationship Id="rId50" Type="http://schemas.openxmlformats.org/officeDocument/2006/relationships/hyperlink" Target="https://www.patado.net/tienganhgiaotiepnails/?utm_source=Facebook&amp;utm_medium=CVS&amp;utm_term=NEW_UnitedStates_none_none_150321&amp;utm_content=saletructiep_nails2_TATTPVN_LD065&amp;utm_campaign=tienganhgiaotiepnails_XuBen.5018_CVS_HuyLG_150321" TargetMode="External"/><Relationship Id="rId53" Type="http://schemas.openxmlformats.org/officeDocument/2006/relationships/hyperlink" Target="https://patadovietnam.edu.vn/luyenthiquoctichmy/" TargetMode="External"/><Relationship Id="rId52" Type="http://schemas.openxmlformats.org/officeDocument/2006/relationships/hyperlink" Target="https://www.patado.net/tienganhgiaotiepnails/?utm_source=Facebook&amp;utm_medium=CVS&amp;utm_term=NEW_UnitedStates_none_none_190321&amp;utm_content=saletructiep_Nails3_TATTPVN_LD065&amp;utm_campaign=tienganhgiaotiepnails_XuBen.5018_CVS_HuyLG_190321" TargetMode="External"/><Relationship Id="rId55" Type="http://schemas.openxmlformats.org/officeDocument/2006/relationships/hyperlink" Target="https://patadovietnam.edu.vn/" TargetMode="External"/><Relationship Id="rId54" Type="http://schemas.openxmlformats.org/officeDocument/2006/relationships/hyperlink" Target="https://patadovietnam.edu.vn/luyenthiquoctichmy/?utm_source=Facebook&amp;utm_medium=CVS&amp;utm_term=NEW_UnitedStates_none_none_250321&amp;utm_content=saletructiep_quoctich1_TATTPVN_LD067&amp;utm_campaign=luyenthiquoctich_XuBen.5018_CVS_HuyLG_250321" TargetMode="External"/><Relationship Id="rId57" Type="http://schemas.openxmlformats.org/officeDocument/2006/relationships/hyperlink" Target="https://patadovietnam.edu.vn/khoa-hoc-giao-tiep/" TargetMode="External"/><Relationship Id="rId56" Type="http://schemas.openxmlformats.org/officeDocument/2006/relationships/hyperlink" Target="https://patadovietnam.edu.vn/?utm_source=Facebook&amp;utm_medium=CVS&amp;utm_term=NON_NONE_none_none_290321&amp;utm_content=khac_none_TATTPVN_LD008&amp;utm_campaign=Inboxpage_Patado_CVS_HuyLG_290321" TargetMode="External"/><Relationship Id="rId59" Type="http://schemas.openxmlformats.org/officeDocument/2006/relationships/hyperlink" Target="https://patadovietnam.edu.vn/khoa-hoc-giao-tiep/" TargetMode="External"/><Relationship Id="rId58" Type="http://schemas.openxmlformats.org/officeDocument/2006/relationships/hyperlink" Target="https://patadovietnam.edu.vn/khoa-hoc-giao-tiep/?utm_source=Facebook&amp;utm_medium=MES&amp;utm_term=NEW_Australia_none_none_300321&amp;utm_content=Storytelling_Australia.Video.none.Giaotiep_TATTPVN_LD068&amp;utm_campaign=Australia.Giaotiep_XuBen.5018_MES_HuyLG_300321" TargetMode="External"/><Relationship Id="rId349" Type="http://schemas.openxmlformats.org/officeDocument/2006/relationships/hyperlink" Target="https://patadovietnam.edu.vn/khoa-hoc-giao-tiep/" TargetMode="External"/><Relationship Id="rId348" Type="http://schemas.openxmlformats.org/officeDocument/2006/relationships/hyperlink" Target="https://patadovietnam.edu.vn/khoa-hoc-giao-tiep/?utm_source=Facebook&amp;utm_medium=CVS&amp;utm_term=NEW_Japan_1835_none_220522&amp;utm_content=saletructiep_Japan.Anhthongbao12.1835.Giaotiep_TATTP_LD068&amp;utm_campaign=Japan.Giaotiep.Anhthongbao12_XuBen.5018_CVS_HuyLG_220522" TargetMode="External"/><Relationship Id="rId347" Type="http://schemas.openxmlformats.org/officeDocument/2006/relationships/hyperlink" Target="https://patadovietnam.edu.vn/khoa-hoc-giao-tiep/" TargetMode="External"/><Relationship Id="rId346" Type="http://schemas.openxmlformats.org/officeDocument/2006/relationships/hyperlink" Target="https://patadovietnam.edu.vn/khoa-hoc-giao-tiep/?utm_source=Facebook&amp;utm_medium=MES&amp;utm_term=NEW_Japan_1840_none_210522&amp;utm_content=saletructiep_Japan.VideoH4trungtam.1840.Giaotiep_PGPGTTA_LD068&amp;utm_campaign=Japan.Giaotiep.VideoH4trungtam_XuBen.5018_MES_HuyLG_210522" TargetMode="External"/><Relationship Id="rId341" Type="http://schemas.openxmlformats.org/officeDocument/2006/relationships/hyperlink" Target="https://patadovietnam.edu.vn/khoa-hoc-giao-tiep/" TargetMode="External"/><Relationship Id="rId340" Type="http://schemas.openxmlformats.org/officeDocument/2006/relationships/hyperlink" Target="https://patadovietnam.edu.vn/khoa-hoc-giao-tiep/?utm_source=Facebook&amp;utm_medium=MES&amp;utm_term=NEW_Australia_1833_none_180522&amp;utm_content=saletructiep_Australia.Videogioithieu.1845.Giaotiep_TATTP_LD068&amp;utm_campaign=Australia.Giaotiep.Videogioithieu_XuBen.5018_MES_HuyLG_180522" TargetMode="External"/><Relationship Id="rId345" Type="http://schemas.openxmlformats.org/officeDocument/2006/relationships/hyperlink" Target="https://patadovietnam.edu.vn/khoa-hoc-giao-tiep/" TargetMode="External"/><Relationship Id="rId344" Type="http://schemas.openxmlformats.org/officeDocument/2006/relationships/hyperlink" Target="https://patadovietnam.edu.vn/khoa-hoc-giao-tiep/?utm_source=Facebook&amp;utm_medium=MES&amp;utm_term=NEW_Taiwan_1834_none_180522&amp;utm_content=saletructiep_Taiwan.VideoH4trungtam.1834.Giaotiep_TATTP_LD068&amp;utm_campaign=Taiwan.Giaotiep.VideoH4trungtam_XuBen.5018_MES_HuyLG_180522" TargetMode="External"/><Relationship Id="rId343" Type="http://schemas.openxmlformats.org/officeDocument/2006/relationships/hyperlink" Target="https://patadovietnam.edu.vn/khoa-hoc-giao-tiep/" TargetMode="External"/><Relationship Id="rId342" Type="http://schemas.openxmlformats.org/officeDocument/2006/relationships/hyperlink" Target="https://patadovietnam.edu.vn/khoa-hoc-giao-tiep/?utm_source=Facebook&amp;utm_medium=MES&amp;utm_term=NEW_UnitedStates_1834_none_180522&amp;utm_content=saletructiep_UnitedStates.Videogioithieu.1845.Giaotiep_TATTP_LD068&amp;utm_campaign=UnitedStates.Giaotiep.Videogioithieu_XuBen.5018_MES_HuyLG_180522" TargetMode="External"/><Relationship Id="rId338" Type="http://schemas.openxmlformats.org/officeDocument/2006/relationships/hyperlink" Target="https://patadovietnam.edu.vn/khoa-hoc-giao-tiep/?utm_source=Facebook&amp;utm_medium=MES&amp;utm_term=NEW_Canada_1838_none_180522&amp;utm_content=saletructiep_Canada.Videogioithieu.1845.Giaotiep_TATTP_LD068&amp;utm_campaign=Canada.Giaotiep.Videogioithieu_XuBen.5018_MES_HuyLG_180522" TargetMode="External"/><Relationship Id="rId337" Type="http://schemas.openxmlformats.org/officeDocument/2006/relationships/hyperlink" Target="https://patadovietnam.edu.vn/khoa-hoc-giao-tiep/" TargetMode="External"/><Relationship Id="rId336" Type="http://schemas.openxmlformats.org/officeDocument/2006/relationships/hyperlink" Target="https://patadovietnam.edu.vn/khoa-hoc-giao-tiep/?utm_source=Facebook&amp;utm_medium=MES&amp;utm_term=NEW_Japan_1835_none_180522&amp;utm_content=saletructiep_Japan.Anhnenxanh.1835.Giaotiep_TATTP_LD068&amp;utm_campaign=Japan.Giaotiep.Anhnenxanh_XuBen.5018_MES_HuyLG_180522" TargetMode="External"/><Relationship Id="rId335" Type="http://schemas.openxmlformats.org/officeDocument/2006/relationships/hyperlink" Target="https://patadovietnam.edu.vn/khoa-hoc-giao-tiep/" TargetMode="External"/><Relationship Id="rId339" Type="http://schemas.openxmlformats.org/officeDocument/2006/relationships/hyperlink" Target="https://patadovietnam.edu.vn/khoa-hoc-giao-tiep/" TargetMode="External"/><Relationship Id="rId330" Type="http://schemas.openxmlformats.org/officeDocument/2006/relationships/hyperlink" Target="https://patadovietnam.edu.vn/khoa-hoc-giao-tiep/?utm_source=Facebook&amp;utm_medium=MES&amp;utm_term=NEW_Philippines_1835_none_160522&amp;utm_content=saletructiep_Philippines.Anhlotrinh.1835.Giaotiep_TATTP_LD068&amp;utm_campaign=Philippines.Giaotiep.Anhlotrinh_XuBen.5018_MES_HuyLG_160522" TargetMode="External"/><Relationship Id="rId334" Type="http://schemas.openxmlformats.org/officeDocument/2006/relationships/hyperlink" Target="https://patadovietnam.edu.vn/khoa-hoc-giao-tiep/?utm_source=Facebook&amp;utm_medium=MES&amp;utm_term=NEW_Malaysia_1840_none_160522&amp;utm_content=saletructiep_Malaysia.Videolophoc.1840.Giaotiep_TATTP_LD068&amp;utm_campaign=Malaysia.Giaotiep.Videolophoc_XuBen.5018_MES_HuyLG_160522" TargetMode="External"/><Relationship Id="rId333" Type="http://schemas.openxmlformats.org/officeDocument/2006/relationships/hyperlink" Target="https://patadovietnam.edu.vn/khoa-hoc-giao-tiep/" TargetMode="External"/><Relationship Id="rId332" Type="http://schemas.openxmlformats.org/officeDocument/2006/relationships/hyperlink" Target="https://patadovietnam.edu.vn/khoa-hoc-giao-tiep/?utm_source=Facebook&amp;utm_medium=MES&amp;utm_term=NEW_Australia_1840_none_160522&amp;utm_content=saletructiep_Australia.Anhlotrinh.1845.Giaotiep_TATTP_LD068&amp;utm_campaign=Australia.Giaotiep.Anhlotrinh_XuBen.5018_MES_HuyLG_160522" TargetMode="External"/><Relationship Id="rId331" Type="http://schemas.openxmlformats.org/officeDocument/2006/relationships/hyperlink" Target="https://patadovietnam.edu.vn/khoa-hoc-giao-tiep/" TargetMode="External"/><Relationship Id="rId370" Type="http://schemas.openxmlformats.org/officeDocument/2006/relationships/hyperlink" Target="https://by.tn/hlgus01" TargetMode="External"/><Relationship Id="rId369" Type="http://schemas.openxmlformats.org/officeDocument/2006/relationships/hyperlink" Target="https://patadovietnam.edu.vn/khoa-hoc-giao-tiep/?utm_source=Facebook&amp;utm_medium=MES&amp;utm_term=NEW_UnitedStates_1845_none_230522&amp;utm_content=saletructiep_UnitedStates.Anhthongbao12.1845.Giaotiep_PGPGTTA_LD068&amp;utm_campaign=UnitedStates.Giaotiep.Anhthongbao12_XuBen.5018_MES_HuyLG_230522" TargetMode="External"/><Relationship Id="rId368" Type="http://schemas.openxmlformats.org/officeDocument/2006/relationships/hyperlink" Target="https://patadovietnam.edu.vn/khoa-hoc-giao-tiep/" TargetMode="External"/><Relationship Id="rId363" Type="http://schemas.openxmlformats.org/officeDocument/2006/relationships/hyperlink" Target="https://patadovietnam.edu.vn/khoa-hoc-giao-tiep/?utm_source=Facebook&amp;utm_medium=CVS&amp;utm_term=NEW_Japan_1840_none_230522&amp;utm_content=saletructiep_Japan.Anhthongbao12.1840.Giaotiep_PGPGTTA_LD068&amp;utm_campaign=Japan.Giaotiep.Anhthongbao12_XuBen.5018_CVS_HuyLG_230522" TargetMode="External"/><Relationship Id="rId362" Type="http://schemas.openxmlformats.org/officeDocument/2006/relationships/hyperlink" Target="https://patadovietnam.edu.vn/khoa-hoc-giao-tiep/" TargetMode="External"/><Relationship Id="rId361" Type="http://schemas.openxmlformats.org/officeDocument/2006/relationships/hyperlink" Target="https://s.net.vn/hlgeu07" TargetMode="External"/><Relationship Id="rId360" Type="http://schemas.openxmlformats.org/officeDocument/2006/relationships/hyperlink" Target="https://patadovietnam.edu.vn/eu_hlg/?utm_source=Facebook&amp;utm_medium=MES&amp;utm_term=NEW_Europe_1840_none_040522&amp;utm_content=saletructiep_Europe.Anhthongbao.1845.Giaotiep_PGPGTTA_LD154&amp;utm_campaign=Europe.Giaotiep.Anhthongbao_XuBen.5018_MES_HuyLG_040522" TargetMode="External"/><Relationship Id="rId367" Type="http://schemas.openxmlformats.org/officeDocument/2006/relationships/hyperlink" Target="http://ldp.ink/hlgau01" TargetMode="External"/><Relationship Id="rId366" Type="http://schemas.openxmlformats.org/officeDocument/2006/relationships/hyperlink" Target="https://patadovietnam.edu.vn/khoa-hoc-giao-tiep/?utm_source=Facebook&amp;utm_medium=MES&amp;utm_term=NEW_Australia_1845_none_230522&amp;utm_content=saletructiep_Australia.Anhthongbao12.1845.Giaotiep_PGPGTTA_LD068&amp;utm_campaign=Australia.Giaotiep.Anhthongbao12_XuBen.5018_MES_HuyLG_230522" TargetMode="External"/><Relationship Id="rId365" Type="http://schemas.openxmlformats.org/officeDocument/2006/relationships/hyperlink" Target="https://patadovietnam.edu.vn/khoa-hoc-giao-tiep/" TargetMode="External"/><Relationship Id="rId364" Type="http://schemas.openxmlformats.org/officeDocument/2006/relationships/hyperlink" Target="http://ldp.ink/Japan5_HLG" TargetMode="External"/><Relationship Id="rId95" Type="http://schemas.openxmlformats.org/officeDocument/2006/relationships/hyperlink" Target="https://patadovietnam.edu.vn/khoa-hoc-giao-tiep/" TargetMode="External"/><Relationship Id="rId94" Type="http://schemas.openxmlformats.org/officeDocument/2006/relationships/hyperlink" Target="https://patadovietnam.edu.vn/khoa-hoc-giao-tiep/?utm_source=Facebook&amp;utm_medium=MES&amp;utm_term=NEW_Europe_none_none_170521&amp;utm_content=saletructiep_CVSEurope.Videotrungtam.none.Giaotiep_TATTPVN_LD068&amp;utm_campaign=Europe.Giaotiep_XuBen.5018_MES_HuyLG_170521" TargetMode="External"/><Relationship Id="rId97" Type="http://schemas.openxmlformats.org/officeDocument/2006/relationships/hyperlink" Target="https://patadovietnam.edu.vn/khoa-hoc-giao-tiep/" TargetMode="External"/><Relationship Id="rId96" Type="http://schemas.openxmlformats.org/officeDocument/2006/relationships/hyperlink" Target="https://patadovietnam.edu.vn/khoa-hoc-giao-tiep/?utm_source=Facebook&amp;utm_medium=CVS&amp;utm_term=NEW_Europe_none_none_190521&amp;utm_content=saletructiep_EuropeVideotrungtam.Video.none.Giaotiep_TATTPVN_LD068&amp;utm_campaign=Europe.Giaotiep_XuBen.5018_CVS_HuyLG_190521" TargetMode="External"/><Relationship Id="rId99" Type="http://schemas.openxmlformats.org/officeDocument/2006/relationships/hyperlink" Target="https://patadovietnam.edu.vn/khoa-hoc-giao-tiep/" TargetMode="External"/><Relationship Id="rId98" Type="http://schemas.openxmlformats.org/officeDocument/2006/relationships/hyperlink" Target="https://patadovietnam.edu.vn/khoa-hoc-giao-tiep/?utm_source=Facebook&amp;utm_medium=CVS&amp;utm_term=NEW_Europe_none_none_010621&amp;utm_content=saletructiep_DenmarkFinland.Video.none.Giaotiep_TATTPVN_LD068&amp;utm_campaign=DenmarkFinland.Giaotiep_XuBen.5018_CVS_HuyLG_010621" TargetMode="External"/><Relationship Id="rId91" Type="http://schemas.openxmlformats.org/officeDocument/2006/relationships/hyperlink" Target="https://patadovietnam.edu.vn/ielts_patado/" TargetMode="External"/><Relationship Id="rId90" Type="http://schemas.openxmlformats.org/officeDocument/2006/relationships/hyperlink" Target="https://patadovietnam.edu.vn/ielts_patado/?utm_source=Facebook&amp;utm_medium=CVS&amp;utm_term=NEW_Vietnam_none_none_080521&amp;utm_content=saletructiep_IELTS1_TATTPVN_LD074&amp;utm_campaign=IELTS_XuBen.5018_CVS_HuyLG_080521" TargetMode="External"/><Relationship Id="rId93" Type="http://schemas.openxmlformats.org/officeDocument/2006/relationships/hyperlink" Target="https://patadovietnam.edu.vn/khoa-hoc-giao-tiep/" TargetMode="External"/><Relationship Id="rId92" Type="http://schemas.openxmlformats.org/officeDocument/2006/relationships/hyperlink" Target="https://patadovietnam.edu.vn/ielts_patado/?utm_source=Facebook&amp;utm_medium=MES&amp;utm_term=NEW_Vietnam_none_none_140521&amp;utm_content=saletructiep_IELTSVN.Video.none.IELTS_TATTPVN_LD074&amp;utm_campaign=IELTS_XuBen.5018_MES_HuyLG_140521" TargetMode="External"/><Relationship Id="rId359" Type="http://schemas.openxmlformats.org/officeDocument/2006/relationships/hyperlink" Target="https://patadovietnam.edu.vn/eu_hlg/" TargetMode="External"/><Relationship Id="rId358" Type="http://schemas.openxmlformats.org/officeDocument/2006/relationships/hyperlink" Target="https://patadovietnam.edu.vn/khoa-hoc-giao-tiep/?utm_source=Facebook&amp;utm_medium=MES&amp;utm_term=NEW_Taiwan_1840_none_220522&amp;utm_content=saletructiep_Taiwan.Anhthongbao12.1840.Giaotiep_TATTP_LD068&amp;utm_campaign=Taiwan.Giaotiep.Anhthongbao12_XuBen.5018_MES_HuyLG_220522" TargetMode="External"/><Relationship Id="rId357" Type="http://schemas.openxmlformats.org/officeDocument/2006/relationships/hyperlink" Target="https://patadovietnam.edu.vn/khoa-hoc-giao-tiep/" TargetMode="External"/><Relationship Id="rId352" Type="http://schemas.openxmlformats.org/officeDocument/2006/relationships/hyperlink" Target="https://patadovietnam.edu.vn/khoa-hoc-giao-tiep/?utm_source=Facebook&amp;utm_medium=MES&amp;utm_term=NEW_UnitedStates_1845_none_220522&amp;utm_content=saletructiep_UnitedStates.Anhthongbao12.1845.Giaotiep_TATTP_LD068&amp;utm_campaign=UnitedStates.Giaotiep.Anhthongbao12_XuBen.5018_MES_HuyLG_220522" TargetMode="External"/><Relationship Id="rId351" Type="http://schemas.openxmlformats.org/officeDocument/2006/relationships/hyperlink" Target="https://patadovietnam.edu.vn/khoa-hoc-giao-tiep/" TargetMode="External"/><Relationship Id="rId350" Type="http://schemas.openxmlformats.org/officeDocument/2006/relationships/hyperlink" Target="https://patadovietnam.edu.vn/khoa-hoc-giao-tiep/?utm_source=Facebook&amp;utm_medium=MES&amp;utm_term=NEW_Australia_1845_none_220522&amp;utm_content=saletructiep_Australia.Anhthongbao12.1845.Giaotiep_TATTP_LD068&amp;utm_campaign=Australia.Giaotiep.Anhthongbao12_XuBen.5018_MES_HuyLG_220522" TargetMode="External"/><Relationship Id="rId356" Type="http://schemas.openxmlformats.org/officeDocument/2006/relationships/hyperlink" Target="https://patadovietnam.edu.vn/khoa-hoc-giao-tiep/?utm_source=Facebook&amp;utm_medium=MES&amp;utm_term=NEW_Canada_1838_none_220522&amp;utm_content=saletructiep_Canada.Anhthongbao12.1845.Giaotiep_TATTP_LD068&amp;utm_campaign=Canada.Giaotiep.Anhthongbao12_XuBen.5018_MES_HuyLG_220522" TargetMode="External"/><Relationship Id="rId355" Type="http://schemas.openxmlformats.org/officeDocument/2006/relationships/hyperlink" Target="https://patadovietnam.edu.vn/khoa-hoc-giao-tiep/" TargetMode="External"/><Relationship Id="rId354" Type="http://schemas.openxmlformats.org/officeDocument/2006/relationships/hyperlink" Target="https://patadovietnam.edu.vn/khoa-hoc-giao-tiep/?utm_source=Facebook&amp;utm_medium=MES&amp;utm_term=NEW_Singapore_1845_none_220522&amp;utm_content=saletructiep_Singapore.Anhthongbao12.1845.Giaotiep_TATTP_LD068&amp;utm_campaign=Singapore.Giaotiep.Anhthongbao12_XuBen.5018_MES_HuyLG_220522" TargetMode="External"/><Relationship Id="rId353" Type="http://schemas.openxmlformats.org/officeDocument/2006/relationships/hyperlink" Target="https://patadovietnam.edu.vn/khoa-hoc-giao-tiep/" TargetMode="External"/><Relationship Id="rId305" Type="http://schemas.openxmlformats.org/officeDocument/2006/relationships/hyperlink" Target="https://patadovietnam.edu.vn/khoa-hoc-giao-tiep/" TargetMode="External"/><Relationship Id="rId304" Type="http://schemas.openxmlformats.org/officeDocument/2006/relationships/hyperlink" Target="https://patadovietnam.edu.vn/khoa-hoc-giao-tiep/?utm_source=Facebook&amp;utm_medium=MES&amp;utm_term=NEW_Singapore_1845_none_040522&amp;utm_content=saletructiep_Singapore.Anhthongbao.1845.Giaotiep_PGPGTTA_LD068&amp;utm_campaign=Singapore.Giaotiep.Anhthongbao_XuBen.5018_MES_HuyLG_040522" TargetMode="External"/><Relationship Id="rId303" Type="http://schemas.openxmlformats.org/officeDocument/2006/relationships/hyperlink" Target="https://patadovietnam.edu.vn/khoa-hoc-giao-tiep/" TargetMode="External"/><Relationship Id="rId302" Type="http://schemas.openxmlformats.org/officeDocument/2006/relationships/hyperlink" Target="https://patadovietnam.edu.vn/khoa-hoc-giao-tiep/?utm_source=Facebook&amp;utm_medium=MES&amp;utm_term=NEW_Canada_1845_none_040522&amp;utm_content=saletructiep_Canada.Anhthongbao.1845.Giaotiep_PGPGTTA_LD068&amp;utm_campaign=Canada.Giaotiep.Anhthongbao_XuBen.5018_MES_HuyLG_040522" TargetMode="External"/><Relationship Id="rId309" Type="http://schemas.openxmlformats.org/officeDocument/2006/relationships/hyperlink" Target="https://patadovietnam.edu.vn/khoa-hoc-giao-tiep/" TargetMode="External"/><Relationship Id="rId308" Type="http://schemas.openxmlformats.org/officeDocument/2006/relationships/hyperlink" Target="https://patadovietnam.edu.vn/khoa-hoc-giao-tiep/?utm_source=Facebook&amp;utm_medium=MES&amp;utm_term=NEW_UnitedStates_1845_none_050522&amp;utm_content=saletructiep_UnitedStates.VideoH4trungtam.1845.Giaotiep_PGPGTTA_LD068&amp;utm_campaign=UnitedStates.Giaotiep.VideoH4trungtam_XuBen.5018_MES_HuyLG_050522" TargetMode="External"/><Relationship Id="rId307" Type="http://schemas.openxmlformats.org/officeDocument/2006/relationships/hyperlink" Target="https://patadovietnam.edu.vn/khoa-hoc-giao-tiep/" TargetMode="External"/><Relationship Id="rId306" Type="http://schemas.openxmlformats.org/officeDocument/2006/relationships/hyperlink" Target="https://patadovietnam.edu.vn/khoa-hoc-giao-tiep/?utm_source=Facebook&amp;utm_medium=MES&amp;utm_term=NEW_CzechRepublic_1845_none_050522&amp;utm_content=saletructiep_CzechRepublic.Anhthongbao.1845.Giaotiep_TAGTTDP_LD068&amp;utm_campaign=CzechRepublic.Giaotiep.Anhthongbao_XuBen.5018_MES_HuyLG_050522" TargetMode="External"/><Relationship Id="rId301" Type="http://schemas.openxmlformats.org/officeDocument/2006/relationships/hyperlink" Target="https://patadovietnam.edu.vn/khoa-hoc-giao-tiep/" TargetMode="External"/><Relationship Id="rId300" Type="http://schemas.openxmlformats.org/officeDocument/2006/relationships/hyperlink" Target="https://patadovietnam.edu.vn/khoa-hoc-giao-tiep/?utm_source=Facebook&amp;utm_medium=MES&amp;utm_term=NEW_Philippines_1845_none_040522&amp;utm_content=saletructiep_Philippines.Anhthongbao.1845.Giaotiep_PGPGTTA_LD068&amp;utm_campaign=Philippines.Giaotiep.Anhthongbao_XuBen.5018_MES_HuyLG_040522" TargetMode="External"/><Relationship Id="rId327" Type="http://schemas.openxmlformats.org/officeDocument/2006/relationships/hyperlink" Target="https://patadovietnam.edu.vn/khoa-hoc-giao-tiep/" TargetMode="External"/><Relationship Id="rId326" Type="http://schemas.openxmlformats.org/officeDocument/2006/relationships/hyperlink" Target="https://patadovietnam.edu.vn/khoa-hoc-giao-tiep/?utm_source=Facebook&amp;utm_medium=MES&amp;utm_term=NEW_ALL_1840_none_120522&amp;utm_content=saletructiep_ALL.VideoH4trungtam.1845.Giaotiep_TATTP_LD068&amp;utm_campaign=ALL.Giaotiep.VideoH4trungtam_XuBen.5018_MES_HuyLG_120522" TargetMode="External"/><Relationship Id="rId325" Type="http://schemas.openxmlformats.org/officeDocument/2006/relationships/hyperlink" Target="https://patadovietnam.edu.vn/khoa-hoc-giao-tiep/" TargetMode="External"/><Relationship Id="rId324" Type="http://schemas.openxmlformats.org/officeDocument/2006/relationships/hyperlink" Target="https://patadovietnam.edu.vn/ielts_cvs/?utm_source=Facebook&amp;utm_medium=MES&amp;utm_term=NEW_Vietnam_1840_none_120522&amp;utm_content=saletructiep_Vietnam.Anhlotrinh.1840.IELTS_TATTP_LD114&amp;utm_campaign=Vietnam.IELTS.Anhlotrinh_XuBen.5018_MES_HuyLG_120522" TargetMode="External"/><Relationship Id="rId329" Type="http://schemas.openxmlformats.org/officeDocument/2006/relationships/hyperlink" Target="https://patadovietnam.edu.vn/khoa-hoc-giao-tiep/" TargetMode="External"/><Relationship Id="rId328" Type="http://schemas.openxmlformats.org/officeDocument/2006/relationships/hyperlink" Target="https://patadovietnam.edu.vn/khoa-hoc-giao-tiep/?utm_source=Facebook&amp;utm_medium=MES&amp;utm_term=NEW_Japan_1835_none_160522&amp;utm_content=saletructiep_Japan.Anhlotrinh.1835.Giaotiep_TATTP_LD068&amp;utm_campaign=Japan.Giaotiep.Anhlotrinh_XuBen.5018_MES_HuyLG_160522" TargetMode="External"/><Relationship Id="rId323" Type="http://schemas.openxmlformats.org/officeDocument/2006/relationships/hyperlink" Target="https://patadovietnam.edu.vn/ielts_cvs/" TargetMode="External"/><Relationship Id="rId322" Type="http://schemas.openxmlformats.org/officeDocument/2006/relationships/hyperlink" Target="https://patadovietnam.edu.vn/khoa-hoc-giao-tiep/?utm_source=Facebook&amp;utm_medium=MES&amp;utm_term=NEW_UnitedStates_1845_none_110522&amp;utm_content=saletructiep_UnitedStates.Anhthongbao.1845.Giaotiep_TATTP_LD068&amp;utm_campaign=UnitedStates.Giaotiep.Anhthongbao_XuBen.5018_MES_HuyLG_110522" TargetMode="External"/><Relationship Id="rId321" Type="http://schemas.openxmlformats.org/officeDocument/2006/relationships/hyperlink" Target="https://patadovietnam.edu.vn/khoa-hoc-giao-tiep/" TargetMode="External"/><Relationship Id="rId320" Type="http://schemas.openxmlformats.org/officeDocument/2006/relationships/hyperlink" Target="https://patadovietnam.edu.vn/khoa-hoc-giao-tiep/?utm_source=Facebook&amp;utm_medium=MES&amp;utm_term=NEW_Australia_1845_none_090522&amp;utm_content=saletructiep_Australia.Anhthongbao.1845.Giaotiep_TATTP_LD068&amp;utm_campaign=Australia.Giaotiep.Anhthongbao_XuBen.5018_MES_HuyLG_090522" TargetMode="External"/><Relationship Id="rId316" Type="http://schemas.openxmlformats.org/officeDocument/2006/relationships/hyperlink" Target="https://patadovietnam.edu.vn/khoa-hoc-giao-tiep/?utm_source=Facebook&amp;utm_medium=MES&amp;utm_term=NEW_Korea_1845_none_090522&amp;utm_content=saletructiep_Korea.Anhthongbao.1845.Giaotiep_TATTP_LD068&amp;utm_campaign=Korea.Giaotiep.Anhthongbao_XuBen.5018_MES_HuyLG_090522" TargetMode="External"/><Relationship Id="rId315" Type="http://schemas.openxmlformats.org/officeDocument/2006/relationships/hyperlink" Target="https://patadovietnam.edu.vn/khoa-hoc-giao-tiep/" TargetMode="External"/><Relationship Id="rId314" Type="http://schemas.openxmlformats.org/officeDocument/2006/relationships/hyperlink" Target="https://patadovietnam.edu.vn/khoa-hoc-giao-tiep/?utm_source=Facebook&amp;utm_medium=CVS&amp;utm_term=NEW_Japan_1845_none_090522&amp;utm_content=saletructiep_Japan.Anhthongbao.1845.Giaotiep_TATTP_LD068&amp;utm_campaign=Japan.Giaotiep.Anhthongbao_XuBen.5018_CVS_HuyLG_090522" TargetMode="External"/><Relationship Id="rId313" Type="http://schemas.openxmlformats.org/officeDocument/2006/relationships/hyperlink" Target="https://patadovietnam.edu.vn/khoa-hoc-giao-tiep/" TargetMode="External"/><Relationship Id="rId319" Type="http://schemas.openxmlformats.org/officeDocument/2006/relationships/hyperlink" Target="https://patadovietnam.edu.vn/khoa-hoc-giao-tiep/" TargetMode="External"/><Relationship Id="rId318" Type="http://schemas.openxmlformats.org/officeDocument/2006/relationships/hyperlink" Target="https://patadovietnam.edu.vn/khoa-hoc-giao-tiep/?utm_source=Facebook&amp;utm_medium=MES&amp;utm_term=NEW_Canada_1845_none_090522&amp;utm_content=saletructiep_Canada.Anhthongbao.1845.Giaotiep_TATTP_LD068&amp;utm_campaign=Canada.Giaotiep.Anhthongbao_XuBen.5018_MES_HuyLG_090522" TargetMode="External"/><Relationship Id="rId317" Type="http://schemas.openxmlformats.org/officeDocument/2006/relationships/hyperlink" Target="https://patadovietnam.edu.vn/khoa-hoc-giao-tiep/" TargetMode="External"/><Relationship Id="rId312" Type="http://schemas.openxmlformats.org/officeDocument/2006/relationships/hyperlink" Target="https://patadovietnam.edu.vn/khoa-hoc-giao-tiep/?utm_source=Facebook&amp;utm_medium=MES&amp;utm_term=NEW_ALL_1840_none_070522&amp;utm_content=saletructiep_ALL.VideoH4trungtam.1845.Giaotiep_TATTP_LD068&amp;utm_campaign=ALL.Giaotiep.VideoH4trungtam_XuBen.5018_MES_HuyLG_070522" TargetMode="External"/><Relationship Id="rId311" Type="http://schemas.openxmlformats.org/officeDocument/2006/relationships/hyperlink" Target="https://patadovietnam.edu.vn/khoa-hoc-giao-tiep/" TargetMode="External"/><Relationship Id="rId310" Type="http://schemas.openxmlformats.org/officeDocument/2006/relationships/hyperlink" Target="https://patadovietnam.edu.vn/khoa-hoc-giao-tiep/?utm_source=Facebook&amp;utm_medium=MES&amp;utm_term=NEW_Japan_1840_none_050522&amp;utm_content=saletructiep_Japan.Videolophoc.1840.Giaotiep_PGPGTTA_LD068&amp;utm_campaign=Japan.Giaotiep.Videolophoc_XuBen.5018_MES_HuyLG_050522" TargetMode="External"/><Relationship Id="rId297" Type="http://schemas.openxmlformats.org/officeDocument/2006/relationships/hyperlink" Target="https://patadovietnam.edu.vn/khoa-hoc-giao-tiep/" TargetMode="External"/><Relationship Id="rId296" Type="http://schemas.openxmlformats.org/officeDocument/2006/relationships/hyperlink" Target="https://patadovietnam.edu.vn/ielts_cvs/?utm_source=Facebook&amp;utm_medium=MES&amp;utm_term=NEW_Vietnam_1840_none_040522&amp;utm_content=saletructiep_Vietnam.Anhlotrinh.1840.IELTS_PGPGTTA_LD114&amp;utm_campaign=Vietnam.IELTS.Anhlotrinh_XuBen.5018_MES_HuyLG_040522" TargetMode="External"/><Relationship Id="rId295" Type="http://schemas.openxmlformats.org/officeDocument/2006/relationships/hyperlink" Target="https://patadovietnam.edu.vn/ielts_cvs/" TargetMode="External"/><Relationship Id="rId294" Type="http://schemas.openxmlformats.org/officeDocument/2006/relationships/hyperlink" Target="https://patadovietnam.edu.vn/khoa-hoc-giao-tiep/?utm_source=Facebook&amp;utm_medium=MES&amp;utm_term=NEW_UnitedStates_1845_none_040522&amp;utm_content=saletructiep_UnitedStates.Anhthongbao.1845.Giaotiep_PGPGTTA_LD068&amp;utm_campaign=UnitedStates.Giaotiep.Anhthongbao_XuBen.5018_MES_HuyLG_040522" TargetMode="External"/><Relationship Id="rId299" Type="http://schemas.openxmlformats.org/officeDocument/2006/relationships/hyperlink" Target="https://patadovietnam.edu.vn/khoa-hoc-giao-tiep/" TargetMode="External"/><Relationship Id="rId298" Type="http://schemas.openxmlformats.org/officeDocument/2006/relationships/hyperlink" Target="https://patadovietnam.edu.vn/khoa-hoc-giao-tiep/?utm_source=Facebook&amp;utm_medium=MES&amp;utm_term=NEW_Malaysia_1840_none_040522&amp;utm_content=saletructiep_Malaysia.VideoH4trungtam.1840.Giaotiep_PGPGTTA_LD068&amp;utm_campaign=Malaysia.Giaotiep.VideoH4trungtam_XuBen.5018_MES_HuyLG_040522" TargetMode="External"/><Relationship Id="rId271" Type="http://schemas.openxmlformats.org/officeDocument/2006/relationships/hyperlink" Target="https://patadovietnam.edu.vn/khoa-hoc-giao-tiep/" TargetMode="External"/><Relationship Id="rId270" Type="http://schemas.openxmlformats.org/officeDocument/2006/relationships/hyperlink" Target="https://patadovietnam.edu.vn/ielts_cvs/?utm_source=Facebook&amp;utm_medium=CVS&amp;utm_term=NEW_ALL_1835_none_040422&amp;utm_content=saletructiep_ALL.Anhlotrinh.1835.IELTS_TATTP_LD114&amp;utm_campaign=ALL.IELTS.Anhlotrinh_XuBen.5018_CVS_HuyLG_040422" TargetMode="External"/><Relationship Id="rId269" Type="http://schemas.openxmlformats.org/officeDocument/2006/relationships/hyperlink" Target="https://patadovietnam.edu.vn/ielts_cvs/" TargetMode="External"/><Relationship Id="rId264" Type="http://schemas.openxmlformats.org/officeDocument/2006/relationships/hyperlink" Target="https://patadovietnam.edu.vn/khoa-hoc-giao-tiep/?utm_source=Facebook&amp;utm_medium=MES&amp;utm_term=NEW_Thailand_2045_none_010422&amp;utm_content=saletructiep_Thailand.Anhlotrinh.2045.Giaotiep_TATTP_LD068&amp;utm_campaign=Thailand.Giaotiep.Anhlotrinh_XuBen.5018_MES_HuyLG_010422" TargetMode="External"/><Relationship Id="rId263" Type="http://schemas.openxmlformats.org/officeDocument/2006/relationships/hyperlink" Target="https://patadovietnam.edu.vn/khoa-hoc-giao-tiep/" TargetMode="External"/><Relationship Id="rId262" Type="http://schemas.openxmlformats.org/officeDocument/2006/relationships/hyperlink" Target="https://patadovietnam.edu.vn/khoa-hoc-giao-tiep/?utm_source=Facebook&amp;utm_medium=MES&amp;utm_term=NEW_Cambodia_1845_none_010422&amp;utm_content=saletructiep_Cambodia.Anhlotrinh.1845.Giaotiep_TATTP_LD068&amp;utm_campaign=Cambodia.Giaotiep.Anhlotrinh_XuBen.5018_MES_HuyLG_010422" TargetMode="External"/><Relationship Id="rId261" Type="http://schemas.openxmlformats.org/officeDocument/2006/relationships/hyperlink" Target="https://patadovietnam.edu.vn/khoa-hoc-giao-tiep/" TargetMode="External"/><Relationship Id="rId268" Type="http://schemas.openxmlformats.org/officeDocument/2006/relationships/hyperlink" Target="https://patadovietnam.edu.vn/khoa-hoc-giao-tiep/?utm_source=Facebook&amp;utm_medium=MES&amp;utm_term=NEW_Korea_1845_none_040422&amp;utm_content=saletructiep_Korea.Videolophoc.1845.Giaotiep_TATTP_LD068&amp;utm_campaign=Korea.Giaotiep.Videolophoc_XuBen.5018_MES_HuyLG_040422" TargetMode="External"/><Relationship Id="rId267" Type="http://schemas.openxmlformats.org/officeDocument/2006/relationships/hyperlink" Target="https://patadovietnam.edu.vn/khoa-hoc-giao-tiep/" TargetMode="External"/><Relationship Id="rId266" Type="http://schemas.openxmlformats.org/officeDocument/2006/relationships/hyperlink" Target="https://patadovietnam.edu.vn/khoa-hoc-giao-tiep/?utm_source=Facebook&amp;utm_medium=CVS&amp;utm_term=NEW_UnitedStates_1845_none_010422&amp;utm_content=saletructiep_UnitedStates.Videolophoc.1845.Giaotiep_TATTP_LD068&amp;utm_campaign=UnitedStates.Giaotiep.Videolophoc_XuBen.5018_CVS_HuyLG_010422" TargetMode="External"/><Relationship Id="rId265" Type="http://schemas.openxmlformats.org/officeDocument/2006/relationships/hyperlink" Target="https://patadovietnam.edu.vn/khoa-hoc-giao-tiep/" TargetMode="External"/><Relationship Id="rId260" Type="http://schemas.openxmlformats.org/officeDocument/2006/relationships/hyperlink" Target="https://patadovietnam.edu.vn/ielts_cvs/?utm_source=Facebook&amp;utm_medium=CVS&amp;utm_term=NEW_Vietnam_1840_none_010422&amp;utm_content=saletructiep_Vietnam.AnhIELTS.1840.IELTS_TATTP_LD114&amp;utm_campaign=Vietnam.IELTS.AnhIELTS_XuBen.5018_CVS_HuyLG_010422" TargetMode="External"/><Relationship Id="rId259" Type="http://schemas.openxmlformats.org/officeDocument/2006/relationships/hyperlink" Target="https://patadovietnam.edu.vn/ielts_cvs/" TargetMode="External"/><Relationship Id="rId258" Type="http://schemas.openxmlformats.org/officeDocument/2006/relationships/hyperlink" Target="https://patadovietnam.edu.vn/khoa-hoc-giao-tiep/?utm_source=Facebook&amp;utm_medium=MES&amp;utm_term=NEW_NewZealand_1845_none_260322&amp;utm_content=saletructiep_NewZealand.Anhlotrinh.1845.Giaotiep_TATTP_LD068&amp;utm_campaign=NewZealand.Giaotiep.Anhlotrinh_XuBen.5018_MES_HuyLG_260322" TargetMode="External"/><Relationship Id="rId253" Type="http://schemas.openxmlformats.org/officeDocument/2006/relationships/hyperlink" Target="https://patadovietnam.edu.vn/khoa-hoc-giao-tiep/" TargetMode="External"/><Relationship Id="rId252" Type="http://schemas.openxmlformats.org/officeDocument/2006/relationships/hyperlink" Target="https://patadovietnam.edu.vn/khoa-hoc-giao-tiep/?utm_source=Facebook&amp;utm_medium=MES&amp;utm_term=NEW_Europe_1845_none_250322&amp;utm_content=saletructiep_Europe.Videolophoc.1845.Giaotiep_TATTP_LD068&amp;utm_campaign=Europe.Giaotiep.Videolophoc_XuBen.5018_MES_HuyLG_250322" TargetMode="External"/><Relationship Id="rId251" Type="http://schemas.openxmlformats.org/officeDocument/2006/relationships/hyperlink" Target="https://patadovietnam.edu.vn/khoa-hoc-giao-tiep/" TargetMode="External"/><Relationship Id="rId250" Type="http://schemas.openxmlformats.org/officeDocument/2006/relationships/hyperlink" Target="https://patadovietnam.edu.vn/ielts_cvs/?utm_source=Facebook&amp;utm_medium=MES&amp;utm_term=NEW_Vietnam_1840_none_250322&amp;utm_content=saletructiep_Vietnam.Anhlotrinh.1840.IELTS_TATTP_LD114&amp;utm_campaign=Vietnam.IELTS.Anhlotrinh_XuBen.5018_MES_HuyLG_250322" TargetMode="External"/><Relationship Id="rId257" Type="http://schemas.openxmlformats.org/officeDocument/2006/relationships/hyperlink" Target="https://patadovietnam.edu.vn/khoa-hoc-giao-tiep/" TargetMode="External"/><Relationship Id="rId256" Type="http://schemas.openxmlformats.org/officeDocument/2006/relationships/hyperlink" Target="https://patadovietnam.edu.vn/ielts_cvs/?utm_source=Facebook&amp;utm_medium=MES&amp;utm_term=NEW_ALL_1835_none_250322&amp;utm_content=Storytelling_ALL.VideoIELTS.1835.IELTS_TATTP_LD114&amp;utm_campaign=ALL.IELTS.VideoIELTS_XuBen.5018_MES_HuyLG_250322" TargetMode="External"/><Relationship Id="rId255" Type="http://schemas.openxmlformats.org/officeDocument/2006/relationships/hyperlink" Target="https://patadovietnam.edu.vn/ielts_cvs/" TargetMode="External"/><Relationship Id="rId254" Type="http://schemas.openxmlformats.org/officeDocument/2006/relationships/hyperlink" Target="https://patadovietnam.edu.vn/khoa-hoc-giao-tiep/?utm_source=Facebook&amp;utm_medium=MES&amp;utm_term=NEW_Taiwan_1845_none_250322&amp;utm_content=saletructiep_Taiwan.Anhlotrinh.1845.Giaotiep_TATTP_LD068&amp;utm_campaign=Taiwan.Giaotiep.Anhlotrinh_XuBen.5018_MES_HuyLG_250322" TargetMode="External"/><Relationship Id="rId293" Type="http://schemas.openxmlformats.org/officeDocument/2006/relationships/hyperlink" Target="https://patadovietnam.edu.vn/khoa-hoc-giao-tiep/" TargetMode="External"/><Relationship Id="rId292" Type="http://schemas.openxmlformats.org/officeDocument/2006/relationships/hyperlink" Target="https://patadovietnam.edu.vn/khoa-hoc-giao-tiep/?utm_source=Facebook&amp;utm_medium=MES&amp;utm_term=NEW_Korea_1845_none_040522&amp;utm_content=saletructiep_Korea.Anhthongbao.1845.Giaotiep_PGPGTTA_LD068&amp;utm_campaign=Korea.Giaotiep.Anhthongbao_XuBen.5018_MES_HuyLG_040522" TargetMode="External"/><Relationship Id="rId291" Type="http://schemas.openxmlformats.org/officeDocument/2006/relationships/hyperlink" Target="https://patadovietnam.edu.vn/khoa-hoc-giao-tiep/" TargetMode="External"/><Relationship Id="rId290" Type="http://schemas.openxmlformats.org/officeDocument/2006/relationships/hyperlink" Target="https://patadovietnam.edu.vn/khoa-hoc-giao-tiep/?utm_source=Facebook&amp;utm_medium=MES&amp;utm_term=NEW_Australia_1845_none_040522&amp;utm_content=saletructiep_Australia.Anhthongbao.1845.Giaotiep_PGPGTTA_LD068&amp;utm_campaign=Australia.Giaotiep.Anhthongbao_XuBen.5018_MES_HuyLG_040522" TargetMode="External"/><Relationship Id="rId286" Type="http://schemas.openxmlformats.org/officeDocument/2006/relationships/hyperlink" Target="https://patadovietnam.edu.vn/khoa-hoc-giao-tiep/?utm_source=Facebook&amp;utm_medium=MES&amp;utm_term=NEW_ALL_1840_none_220422&amp;utm_content=saletructiep_ALL.VideoH4trungtam.1845.Giaotiep_TATTP_LD068&amp;utm_campaign=ALL.Giaotiep.VideoH4trungtam_XuBen.5018_MES_HuyLG_220422" TargetMode="External"/><Relationship Id="rId285" Type="http://schemas.openxmlformats.org/officeDocument/2006/relationships/hyperlink" Target="https://patadovietnam.edu.vn/khoa-hoc-giao-tiep/" TargetMode="External"/><Relationship Id="rId284" Type="http://schemas.openxmlformats.org/officeDocument/2006/relationships/hyperlink" Target="https://patadovietnam.edu.vn/khoa-hoc-giao-tiep/?utm_source=Facebook&amp;utm_medium=MES&amp;utm_term=NEW_Europe_1840_none_200422&amp;utm_content=saletructiep_Europe.Anhthongbao.1845.Giaotiep_TATTP_LD068&amp;utm_campaign=Europe.Giaotiep.Anhthongbao_XuBen.5018_MES_HuyLG_200422" TargetMode="External"/><Relationship Id="rId283" Type="http://schemas.openxmlformats.org/officeDocument/2006/relationships/hyperlink" Target="https://patadovietnam.edu.vn/khoa-hoc-giao-tiep/" TargetMode="External"/><Relationship Id="rId289" Type="http://schemas.openxmlformats.org/officeDocument/2006/relationships/hyperlink" Target="https://patadovietnam.edu.vn/khoa-hoc-giao-tiep/" TargetMode="External"/><Relationship Id="rId288" Type="http://schemas.openxmlformats.org/officeDocument/2006/relationships/hyperlink" Target="https://patadovietnam.edu.vn/khoa-hoc-giao-tiep/?utm_source=Facebook&amp;utm_medium=CVS&amp;utm_term=NEW_Japan_1845_none_040522&amp;utm_content=saletructiep_Japan.Anhthongbao.1845.Giaotiep_PGPGTTA_LD068&amp;utm_campaign=Japan.Giaotiep.Anhthongbao_XuBen.5018_CVS_HuyLG_040522" TargetMode="External"/><Relationship Id="rId287" Type="http://schemas.openxmlformats.org/officeDocument/2006/relationships/hyperlink" Target="https://patadovietnam.edu.vn/khoa-hoc-giao-tiep/" TargetMode="External"/><Relationship Id="rId282" Type="http://schemas.openxmlformats.org/officeDocument/2006/relationships/hyperlink" Target="https://patadovietnam.edu.vn/khoa-hoc-giao-tiep/?utm_source=Facebook&amp;utm_medium=CVS&amp;utm_term=NEW_Korea_1845_none_190422&amp;utm_content=saletructiep_Korea.Anhthongbao.1845.Giaotiep_TATTP_LD068&amp;utm_campaign=Korea.Giaotiep.Anhthongbao_XuBen.5018_CVS_HuyLG_190422" TargetMode="External"/><Relationship Id="rId281" Type="http://schemas.openxmlformats.org/officeDocument/2006/relationships/hyperlink" Target="https://patadovietnam.edu.vn/khoa-hoc-giao-tiep/" TargetMode="External"/><Relationship Id="rId280" Type="http://schemas.openxmlformats.org/officeDocument/2006/relationships/hyperlink" Target="https://patadovietnam.edu.vn/khoa-hoc-giao-tiep/?utm_source=Facebook&amp;utm_medium=MES&amp;utm_term=NEW_Malaysia_1840_none_090422&amp;utm_content=saletructiep_Malaysia.VideoH4trungtam.1840.Giaotiep_TATTP_LD068&amp;utm_campaign=Malaysia.Giaotiep.VideoH4trungtam_XuBen.5018_MES_HuyLG_090422" TargetMode="External"/><Relationship Id="rId275" Type="http://schemas.openxmlformats.org/officeDocument/2006/relationships/hyperlink" Target="https://patadovietnam.edu.vn/ielts_cvs/" TargetMode="External"/><Relationship Id="rId274" Type="http://schemas.openxmlformats.org/officeDocument/2006/relationships/hyperlink" Target="https://patadovietnam.edu.vn/khoa-hoc-giao-tiep/?utm_source=Facebook&amp;utm_medium=MES&amp;utm_term=NEW_Macao_1845_none_050422&amp;utm_content=saletructiep_Macao.Videolophoc.1845.Giaotiep_TATTP_LD068&amp;utm_campaign=Macao.Giaotiep.Videolophoc_XuBen.5018_MES_HuyLG_050422" TargetMode="External"/><Relationship Id="rId273" Type="http://schemas.openxmlformats.org/officeDocument/2006/relationships/hyperlink" Target="https://patadovietnam.edu.vn/khoa-hoc-giao-tiep/" TargetMode="External"/><Relationship Id="rId272" Type="http://schemas.openxmlformats.org/officeDocument/2006/relationships/hyperlink" Target="https://patadovietnam.edu.vn/khoa-hoc-giao-tiep/?utm_source=Facebook&amp;utm_medium=MES&amp;utm_term=NEW_Malaysia_1845_none_050422&amp;utm_content=saletructiep_Malaysia.Anhlotrinh.1845.Giaotiep_TATTP_LD068&amp;utm_campaign=Malaysia.Giaotiep.Anhlotrinh_XuBen.5018_MES_HuyLG_050422" TargetMode="External"/><Relationship Id="rId279" Type="http://schemas.openxmlformats.org/officeDocument/2006/relationships/hyperlink" Target="https://patadovietnam.edu.vn/khoa-hoc-giao-tiep/" TargetMode="External"/><Relationship Id="rId278" Type="http://schemas.openxmlformats.org/officeDocument/2006/relationships/hyperlink" Target="https://patadovietnam.edu.vn/khoa-hoc-giao-tiep/?utm_source=Facebook&amp;utm_medium=MES&amp;utm_term=NEW_UnitedStates_1845_none_190422&amp;utm_content=saletructiep_UnitedStates.VideoH4trungtam.1845.Giaotiep_TATTP_LD068&amp;utm_campaign=UnitedStates.Giaotiep.VideoH4trungtam_XuBen.5018_MES_HuyLG_190422" TargetMode="External"/><Relationship Id="rId277" Type="http://schemas.openxmlformats.org/officeDocument/2006/relationships/hyperlink" Target="https://patadovietnam.edu.vn/khoa-hoc-giao-tiep/" TargetMode="External"/><Relationship Id="rId276" Type="http://schemas.openxmlformats.org/officeDocument/2006/relationships/hyperlink" Target="https://patadovietnam.edu.vn/ielts_cvs/?utm_source=Facebook&amp;utm_medium=MES&amp;utm_term=NEW_ALL_2035_none_060422&amp;utm_content=saletructiep_ALL.VideoIELTS.2035.IELTS_TATTP_LD114&amp;utm_campaign=ALL.IELTS.VideoIELTS_XuBen.5018_MES_HuyLG_060422" TargetMode="External"/><Relationship Id="rId1059" Type="http://schemas.openxmlformats.org/officeDocument/2006/relationships/hyperlink" Target="https://patadovietnam.edu.vn/hlg1908/?utm_source=Facebook&amp;utm_medium=MES&amp;utm_term=NEW_Australia_1840_none_121225&amp;utm_content=saletructiep_Australia.M597.1840.giaotiep_PGPGTTA_LD247&amp;utm_campaign=Australia.giaotiep.M597_XuBen.5018_MES_HuyLG_121225" TargetMode="External"/><Relationship Id="rId228" Type="http://schemas.openxmlformats.org/officeDocument/2006/relationships/hyperlink" Target="https://patadovietnam.edu.vn/khoa-hoc-giao-tiep/?utm_source=Facebook&amp;utm_medium=MES&amp;utm_term=NEW_Japan_1840_none_250322&amp;utm_content=saletructiep_Japan.VideoH4trungtam.1840.Giaotiep_TATTP_LD068&amp;utm_campaign=Japan.Giaotiep.VideoH4trungtam_XuBen.5018_MES_HuyLG_250322" TargetMode="External"/><Relationship Id="rId227" Type="http://schemas.openxmlformats.org/officeDocument/2006/relationships/hyperlink" Target="https://patadovietnam.edu.vn/khoa-hoc-giao-tiep/" TargetMode="External"/><Relationship Id="rId226" Type="http://schemas.openxmlformats.org/officeDocument/2006/relationships/hyperlink" Target="https://patadovietnam.edu.vn/khoa-hoc-giao-tiep/?utm_source=Facebook&amp;utm_medium=MES&amp;utm_term=NEW_Philippines_1845_none_240322&amp;utm_content=saletructiep_Philippines.Anhthongbao.1845.Giaotiep_TATTPVN_LD068&amp;utm_campaign=Philippines.Giaotiep.Anhthongbao_XuBen.5018_MES_HuyLG_240322" TargetMode="External"/><Relationship Id="rId225" Type="http://schemas.openxmlformats.org/officeDocument/2006/relationships/hyperlink" Target="https://patadovietnam.edu.vn/khoa-hoc-giao-tiep/" TargetMode="External"/><Relationship Id="rId229" Type="http://schemas.openxmlformats.org/officeDocument/2006/relationships/hyperlink" Target="https://patadovietnam.edu.vn/khoa-hoc-giao-tiep/" TargetMode="External"/><Relationship Id="rId1050" Type="http://schemas.openxmlformats.org/officeDocument/2006/relationships/hyperlink" Target="https://patadovietnam.edu.vn/hlg1908/?utm_source=Facebook&amp;utm_medium=CVS&amp;utm_term=NEW_Germany_1840_none_091225&amp;utm_content=saletructiep_Germany.M496.1840.giaotiep_TATTP_LD247&amp;utm_campaign=Germany.giaotiep.M496_LH3645_CVS_HuyLG_091225" TargetMode="External"/><Relationship Id="rId220" Type="http://schemas.openxmlformats.org/officeDocument/2006/relationships/hyperlink" Target="https://patadovietnam.edu.vn/khoa-hoc-giao-tiep/?utm_source=Facebook&amp;utm_medium=MES&amp;utm_term=NEW_Europe_1845_none_180322&amp;utm_content=saletructiep_Europe.Anhthongbao.1845.Giaotiep_TATTPVN_LD068&amp;utm_campaign=Europe.Giaotiep.Anhthongbao_XuBen.5018_MES_HuyLG_180322" TargetMode="External"/><Relationship Id="rId1051" Type="http://schemas.openxmlformats.org/officeDocument/2006/relationships/hyperlink" Target="https://byvn.net/hlgde03" TargetMode="External"/><Relationship Id="rId1052" Type="http://schemas.openxmlformats.org/officeDocument/2006/relationships/hyperlink" Target="https://patadovietnam.edu.vn/hlg1908" TargetMode="External"/><Relationship Id="rId1053" Type="http://schemas.openxmlformats.org/officeDocument/2006/relationships/hyperlink" Target="https://patadovietnam.edu.vn/hlg1908/?utm_source=Facebook&amp;utm_medium=MES&amp;utm_term=NEW_Europe_1840_none_091225&amp;utm_content=saletructiep_Europe.M597.1840.giaotiep_TATTPVN_LD247&amp;utm_campaign=Europe.giaotiep.M597_LH3645_MES_HuyLG_091225" TargetMode="External"/><Relationship Id="rId1054" Type="http://schemas.openxmlformats.org/officeDocument/2006/relationships/hyperlink" Target="https://byvn.net/hlgeu19" TargetMode="External"/><Relationship Id="rId224" Type="http://schemas.openxmlformats.org/officeDocument/2006/relationships/hyperlink" Target="https://patadovietnam.edu.vn/ielts_cvs/?utm_source=Facebook&amp;utm_medium=MES&amp;utm_term=NEW_ALL_1845_none_210322&amp;utm_content=Storytelling_ALL.VideoIELTS.1845.IELTS_TATTPVN_LD114&amp;utm_campaign=ALL.IELTS.VideoIELTS_XuBen.5018_MES_HuyLG_210322" TargetMode="External"/><Relationship Id="rId1055" Type="http://schemas.openxmlformats.org/officeDocument/2006/relationships/hyperlink" Target="https://patado.edu.vn/hlg_pgpgtta_gt/" TargetMode="External"/><Relationship Id="rId223" Type="http://schemas.openxmlformats.org/officeDocument/2006/relationships/hyperlink" Target="https://patadovietnam.edu.vn/ielts_cvs/" TargetMode="External"/><Relationship Id="rId1056" Type="http://schemas.openxmlformats.org/officeDocument/2006/relationships/hyperlink" Target="https://patado.edu.vn/hlg_pgpgtta_gt/?utm_source=Facebook&amp;utm_medium=MES&amp;utm_term=NEW_Australia_1840_none_121225&amp;utm_content=saletructiep_Australia.M300.1840.giaotiep_TATTPVN_LD274&amp;utm_campaign=Australia.giaotiep.M300_XuBen.5018_MES_HuyLG_121225" TargetMode="External"/><Relationship Id="rId222" Type="http://schemas.openxmlformats.org/officeDocument/2006/relationships/hyperlink" Target="https://patadovietnam.edu.vn/ielts_cvs/?utm_source=Facebook&amp;utm_medium=MES&amp;utm_term=NEW_Vietnam_1840_none_210322&amp;utm_content=Storytelling_Vietnam.VideoIELTS.1840.IELTS_TATTPVN_LD114&amp;utm_campaign=Vietnam.IELTS.VideoIELTS_XuBen.5018_MES_HuyLG_210322" TargetMode="External"/><Relationship Id="rId1057" Type="http://schemas.openxmlformats.org/officeDocument/2006/relationships/hyperlink" Target="https://byvn.net/hlgau21" TargetMode="External"/><Relationship Id="rId221" Type="http://schemas.openxmlformats.org/officeDocument/2006/relationships/hyperlink" Target="https://patadovietnam.edu.vn/ielts_cvs/" TargetMode="External"/><Relationship Id="rId1058" Type="http://schemas.openxmlformats.org/officeDocument/2006/relationships/hyperlink" Target="https://patadovietnam.edu.vn/hlg1908" TargetMode="External"/><Relationship Id="rId1048" Type="http://schemas.openxmlformats.org/officeDocument/2006/relationships/hyperlink" Target="https://byvn.net/hlgtw08" TargetMode="External"/><Relationship Id="rId1049" Type="http://schemas.openxmlformats.org/officeDocument/2006/relationships/hyperlink" Target="https://patadovietnam.edu.vn/hlg1908" TargetMode="External"/><Relationship Id="rId217" Type="http://schemas.openxmlformats.org/officeDocument/2006/relationships/hyperlink" Target="https://patadovietnam.edu.vn/khoa-hoc-giao-tiep/" TargetMode="External"/><Relationship Id="rId216" Type="http://schemas.openxmlformats.org/officeDocument/2006/relationships/hyperlink" Target="https://patadovietnam.edu.vn/ielts_cvs/?utm_source=Facebook&amp;utm_medium=CVS&amp;utm_term=NEW_Vietnam_1840_none_170322&amp;utm_content=Storytelling_Vietnam.VideoIELTS.1840.IELTS_TATTPVN_LD114&amp;utm_campaign=Vietnam.IELTS.VideoIELTS_XuBen.5018_CVS_HuyLG_170322" TargetMode="External"/><Relationship Id="rId215" Type="http://schemas.openxmlformats.org/officeDocument/2006/relationships/hyperlink" Target="https://patadovietnam.edu.vn/ielts_cvs/" TargetMode="External"/><Relationship Id="rId214" Type="http://schemas.openxmlformats.org/officeDocument/2006/relationships/hyperlink" Target="https://patadovietnam.edu.vn/khoa-hoc-giao-tiep/?utm_source=Facebook&amp;utm_medium=MES&amp;utm_term=NEW_Taiwan_1845_none_170322&amp;utm_content=saletructiep_Taiwan.Anhlotrinh.1845.Giaotiep_TATTPVN_LD068&amp;utm_campaign=Taiwan.Giaotiep.Anhlotrinh_XuBen.5018_MES_HuyLG_170322" TargetMode="External"/><Relationship Id="rId219" Type="http://schemas.openxmlformats.org/officeDocument/2006/relationships/hyperlink" Target="https://patadovietnam.edu.vn/khoa-hoc-giao-tiep/" TargetMode="External"/><Relationship Id="rId218" Type="http://schemas.openxmlformats.org/officeDocument/2006/relationships/hyperlink" Target="https://patadovietnam.edu.vn/khoa-hoc-giao-tiep/?utm_source=Facebook&amp;utm_medium=MES&amp;utm_term=NEW_Australia_1845_none_180322&amp;utm_content=saletructiep_Australia.Anhthongbao.1845.Giaotiep_TATTPVN_LD068&amp;utm_campaign=Australia.Giaotiep.Anhthongbao_XuBen.5018_MES_HuyLG_180322" TargetMode="External"/><Relationship Id="rId1040" Type="http://schemas.openxmlformats.org/officeDocument/2006/relationships/hyperlink" Target="https://patadovietnam.edu.vn/hlg1908" TargetMode="External"/><Relationship Id="rId1041" Type="http://schemas.openxmlformats.org/officeDocument/2006/relationships/hyperlink" Target="https://patadovietnam.edu.vn/hlg1908/?utm_source=Facebook&amp;utm_medium=MES&amp;utm_term=NEW_KoreaSouth_1840_none_051225&amp;utm_content=saletructiep_KoreaSouth.M598.1840.giaotiep_TATTPVN_LD247&amp;utm_campaign=KoreaSouth.giaotiep.M598_LH3645_MES_HuyLG_051225" TargetMode="External"/><Relationship Id="rId1042" Type="http://schemas.openxmlformats.org/officeDocument/2006/relationships/hyperlink" Target="https://byvn.net/hlgkr05" TargetMode="External"/><Relationship Id="rId1043" Type="http://schemas.openxmlformats.org/officeDocument/2006/relationships/hyperlink" Target="https://patadovietnam.edu.vn/hlg1908" TargetMode="External"/><Relationship Id="rId213" Type="http://schemas.openxmlformats.org/officeDocument/2006/relationships/hyperlink" Target="https://patadovietnam.edu.vn/khoa-hoc-giao-tiep/" TargetMode="External"/><Relationship Id="rId1044" Type="http://schemas.openxmlformats.org/officeDocument/2006/relationships/hyperlink" Target="https://patadovietnam.edu.vn/hlg1908/?utm_source=Facebook&amp;utm_medium=MES&amp;utm_term=NEW_ALL_1840_none_091225&amp;utm_content=saletructiep_ALL.M597.1840.giaotiep_TATTP_LD247&amp;utm_campaign=ALL.giaotiep.M597_HG4601_MES_HuyLG_091225" TargetMode="External"/><Relationship Id="rId212" Type="http://schemas.openxmlformats.org/officeDocument/2006/relationships/hyperlink" Target="https://patadovietnam.edu.vn/khoa-hoc-giao-tiep/?utm_source=Facebook&amp;utm_medium=MES&amp;utm_term=NEW_Malaysia_1845_none_170322&amp;utm_content=saletructiep_Malaysia.Anhlotrinh.1845.Giaotiep_TATTPVN_LD068&amp;utm_campaign=Malaysia.Giaotiep.Anhlotrinh_XuBen.5018_MES_HuyLG_170322" TargetMode="External"/><Relationship Id="rId1045" Type="http://schemas.openxmlformats.org/officeDocument/2006/relationships/hyperlink" Target="https://byvn.net/hlgall17" TargetMode="External"/><Relationship Id="rId211" Type="http://schemas.openxmlformats.org/officeDocument/2006/relationships/hyperlink" Target="https://patadovietnam.edu.vn/khoa-hoc-giao-tiep/" TargetMode="External"/><Relationship Id="rId1046" Type="http://schemas.openxmlformats.org/officeDocument/2006/relationships/hyperlink" Target="https://patadovietnam.edu.vn/hlg1908" TargetMode="External"/><Relationship Id="rId210" Type="http://schemas.openxmlformats.org/officeDocument/2006/relationships/hyperlink" Target="https://patadovietnam.edu.vn/khoa-hoc-giao-tiep/?utm_source=Facebook&amp;utm_medium=MES&amp;utm_term=NEW_Korea_1845_none_170322&amp;utm_content=saletructiep_Korea.Anhthongbao.1845.Giaotiep_TATTPVN_LD068&amp;utm_campaign=Korea.Giaotiep.Anhthongbao_XuBen.5018_MES_HuyLG_170322" TargetMode="External"/><Relationship Id="rId1047" Type="http://schemas.openxmlformats.org/officeDocument/2006/relationships/hyperlink" Target="https://patadovietnam.edu.vn/hlg1908/?utm_source=Facebook&amp;utm_medium=MES&amp;utm_term=NEW_Taiwan_1840_none_091225&amp;utm_content=saletructiep_Taiwan.M598.1840.giaotiep_TATTPVN_LD247&amp;utm_campaign=Taiwan.giaotiep.M598_LH3645_MES_HuyLG_091225" TargetMode="External"/><Relationship Id="rId249" Type="http://schemas.openxmlformats.org/officeDocument/2006/relationships/hyperlink" Target="https://patadovietnam.edu.vn/ielts_cvs/" TargetMode="External"/><Relationship Id="rId248" Type="http://schemas.openxmlformats.org/officeDocument/2006/relationships/hyperlink" Target="https://patadovietnam.edu.vn/khoa-hoc-giao-tiep/?utm_source=Facebook&amp;utm_medium=MES&amp;utm_term=NEW_UnitedStates_1845_none_250322&amp;utm_content=saletructiep_UnitedStates.Anhthongbao.1845.Giaotiep_TATTP_LD068&amp;utm_campaign=UnitedStates.Giaotiep.Anhthongbao_XuBen.5018_MES_HuyLG_250322" TargetMode="External"/><Relationship Id="rId247" Type="http://schemas.openxmlformats.org/officeDocument/2006/relationships/hyperlink" Target="https://patadovietnam.edu.vn/khoa-hoc-giao-tiep/" TargetMode="External"/><Relationship Id="rId1070" Type="http://schemas.openxmlformats.org/officeDocument/2006/relationships/hyperlink" Target="https://patadovietnam.edu.vn/hlg_tattpvn_gt/" TargetMode="External"/><Relationship Id="rId1071" Type="http://schemas.openxmlformats.org/officeDocument/2006/relationships/hyperlink" Target="https://patadovietnam.edu.vn/hlg_tattpvn_gt/?utm_source=Facebook&amp;utm_medium=MES&amp;utm_term=NEW_Europe_1840_none_161225&amp;utm_content=saletructiep_Europe.M580.1840.giaotiep_TATTPVN_LD229&amp;utm_campaign=Europe.giaotiep.M580_XuBen.5018_MES_HuyLG_161225" TargetMode="External"/><Relationship Id="rId1072" Type="http://schemas.openxmlformats.org/officeDocument/2006/relationships/hyperlink" Target="https://byvn.net/hlgeu15" TargetMode="External"/><Relationship Id="rId242" Type="http://schemas.openxmlformats.org/officeDocument/2006/relationships/hyperlink" Target="https://patadovietnam.edu.vn/khoa-hoc-giao-tiep/?utm_source=Facebook&amp;utm_medium=MES&amp;utm_term=NEW_Singapore_1845_none_250322&amp;utm_content=saletructiep_Singapore.Anhthongbao.1845.Giaotiep_TATTP_LD068&amp;utm_campaign=Singapore.Giaotiep.Anhthongbao_XuBen.5018_MES_HuyLG_250322" TargetMode="External"/><Relationship Id="rId1073" Type="http://schemas.openxmlformats.org/officeDocument/2006/relationships/hyperlink" Target="https://patadovietnam.edu.vn/hlg_tattpvn_gt/" TargetMode="External"/><Relationship Id="rId241" Type="http://schemas.openxmlformats.org/officeDocument/2006/relationships/hyperlink" Target="https://patadovietnam.edu.vn/khoa-hoc-giao-tiep/" TargetMode="External"/><Relationship Id="rId1074" Type="http://schemas.openxmlformats.org/officeDocument/2006/relationships/hyperlink" Target="https://patadovietnam.edu.vn/hlg_tattpvn_gt/?utm_source=Facebook&amp;utm_medium=MES&amp;utm_term=NEW_Japan_1840_none_161225&amp;utm_content=saletructiep_Japan.M580.1840.giaotiep_PGPGTTA_LD229&amp;utm_campaign=Japan.giaotiep.M580_XuBen.5018_MES_HuyLG_161225" TargetMode="External"/><Relationship Id="rId240" Type="http://schemas.openxmlformats.org/officeDocument/2006/relationships/hyperlink" Target="https://patadovietnam.edu.vn/khoa-hoc-giao-tiep/?utm_source=Facebook&amp;utm_medium=MES&amp;utm_term=NEW_Philippines_1845_none_250322&amp;utm_content=saletructiep_Philippines.Anhthongbao.1845.Giaotiep_TATTP_LD068&amp;utm_campaign=Philippines.Giaotiep.Anhthongbao_XuBen.5018_MES_HuyLG_250322" TargetMode="External"/><Relationship Id="rId1075" Type="http://schemas.openxmlformats.org/officeDocument/2006/relationships/hyperlink" Target="https://byvn.net/hlgjp25" TargetMode="External"/><Relationship Id="rId1076" Type="http://schemas.openxmlformats.org/officeDocument/2006/relationships/hyperlink" Target="https://patadovietnam.edu.vn/hlg_pgpgtta_gt" TargetMode="External"/><Relationship Id="rId246" Type="http://schemas.openxmlformats.org/officeDocument/2006/relationships/hyperlink" Target="https://patadovietnam.edu.vn/khoa-hoc-giao-tiep/?utm_source=Facebook&amp;utm_medium=CVS&amp;utm_term=NEW_Japan_1845_none_250322&amp;utm_content=saletructiep_Japan.Anhthongbao.1845.Giaotiep_TATTP_LD068&amp;utm_campaign=Japan.Giaotiep.Anhthongbao_XuBen.5018_CVS_HuyLG_250322" TargetMode="External"/><Relationship Id="rId1077" Type="http://schemas.openxmlformats.org/officeDocument/2006/relationships/hyperlink" Target="https://patadovietnam.edu.vn/hlg_pgpgtta_gt/?utm_source=Facebook&amp;utm_medium=MES&amp;utm_term=NEW_KoreaSouth_1840_none_161225&amp;utm_content=saletructiep_KoreaSouth.M580.1840.giaotiep_PGPGTTA_LD226&amp;utm_campaign=KoreaSouth.giaotiep.M580_XuBen.5018_MES_HuyLG_161225" TargetMode="External"/><Relationship Id="rId245" Type="http://schemas.openxmlformats.org/officeDocument/2006/relationships/hyperlink" Target="https://patadovietnam.edu.vn/khoa-hoc-giao-tiep/" TargetMode="External"/><Relationship Id="rId1078" Type="http://schemas.openxmlformats.org/officeDocument/2006/relationships/hyperlink" Target="https://byvn.net/hlgkr15" TargetMode="External"/><Relationship Id="rId244" Type="http://schemas.openxmlformats.org/officeDocument/2006/relationships/hyperlink" Target="https://patadovietnam.edu.vn/khoa-hoc-giao-tiep/?utm_source=Facebook&amp;utm_medium=CVS&amp;utm_term=NEW_UnitedKingdom_1845_none_250322&amp;utm_content=saletructiep_UnitedKingdom.Anhthongbao.1845.Giaotiep_TATTP_LD068&amp;utm_campaign=UnitedKingdom.Giaotiep.Anhthongbao_XuBen.5018_CVS_HuyLG_250322" TargetMode="External"/><Relationship Id="rId1079" Type="http://schemas.openxmlformats.org/officeDocument/2006/relationships/hyperlink" Target="https://patadovietnam.edu.vn/hlg_pgpgtta_gt" TargetMode="External"/><Relationship Id="rId243" Type="http://schemas.openxmlformats.org/officeDocument/2006/relationships/hyperlink" Target="https://patadovietnam.edu.vn/khoa-hoc-giao-tiep/" TargetMode="External"/><Relationship Id="rId239" Type="http://schemas.openxmlformats.org/officeDocument/2006/relationships/hyperlink" Target="https://patadovietnam.edu.vn/khoa-hoc-giao-tiep/" TargetMode="External"/><Relationship Id="rId238" Type="http://schemas.openxmlformats.org/officeDocument/2006/relationships/hyperlink" Target="https://patadovietnam.edu.vn/khoa-hoc-giao-tiep/?utm_source=Facebook&amp;utm_medium=MES&amp;utm_term=NEW_CzechRepublic_1845_none_250322&amp;utm_content=saletructiep_CzechRepublic.Anhthongbao.1845.Giaotiep_TATTP_LD068&amp;utm_campaign=CzechRepublic.Giaotiep.Anhthongbao_XuBen.5018_MES_HuyLG_250322" TargetMode="External"/><Relationship Id="rId237" Type="http://schemas.openxmlformats.org/officeDocument/2006/relationships/hyperlink" Target="https://patadovietnam.edu.vn/khoa-hoc-giao-tiep/" TargetMode="External"/><Relationship Id="rId236" Type="http://schemas.openxmlformats.org/officeDocument/2006/relationships/hyperlink" Target="https://patadovietnam.edu.vn/khoa-hoc-giao-tiep/?utm_source=Facebook&amp;utm_medium=MES&amp;utm_term=NEW_ALL_1845_none_250322&amp;utm_content=saletructiep_ALL.Videolophoc.1845.Giaotiep_TATTP_LD068&amp;utm_campaign=ALL.Giaotiep.Videolophoc_XuBen.5018_MES_HuyLG_250322" TargetMode="External"/><Relationship Id="rId1060" Type="http://schemas.openxmlformats.org/officeDocument/2006/relationships/hyperlink" Target="https://byvn.net/hlgau14" TargetMode="External"/><Relationship Id="rId1061" Type="http://schemas.openxmlformats.org/officeDocument/2006/relationships/hyperlink" Target="https://patadovietnam.edu.vn/hlg1908" TargetMode="External"/><Relationship Id="rId231" Type="http://schemas.openxmlformats.org/officeDocument/2006/relationships/hyperlink" Target="https://patadovietnam.edu.vn/khoa-hoc-giao-tiep/" TargetMode="External"/><Relationship Id="rId1062" Type="http://schemas.openxmlformats.org/officeDocument/2006/relationships/hyperlink" Target="https://patadovietnam.edu.vn/hlg1908/?utm_source=Facebook&amp;utm_medium=MES&amp;utm_term=NEW_UnitedStates_1840_none_121225&amp;utm_content=saletructiep_UnitedStates.M594.1840.giaotiep_TATTP_LD247&amp;utm_campaign=UnitedStates.giaotiep.M594_XuBen.5018_MES_HuyLG_121225" TargetMode="External"/><Relationship Id="rId230" Type="http://schemas.openxmlformats.org/officeDocument/2006/relationships/hyperlink" Target="https://patadovietnam.edu.vn/khoa-hoc-giao-tiep/?utm_source=Facebook&amp;utm_medium=MES&amp;utm_term=NEW_Canada_1845_none_250322&amp;utm_content=saletructiep_Canada.Anhthongbao.1845.Giaotiep_TATTP_LD068&amp;utm_campaign=Canada.Giaotiep.Anhthongbao_XuBen.5018_MES_HuyLG_250322" TargetMode="External"/><Relationship Id="rId1063" Type="http://schemas.openxmlformats.org/officeDocument/2006/relationships/hyperlink" Target="https://byvn.net/hlgus24" TargetMode="External"/><Relationship Id="rId1064" Type="http://schemas.openxmlformats.org/officeDocument/2006/relationships/hyperlink" Target="https://patadovietnam.edu.vn/hlg1908" TargetMode="External"/><Relationship Id="rId1065" Type="http://schemas.openxmlformats.org/officeDocument/2006/relationships/hyperlink" Target="https://patadovietnam.edu.vn/hlg1908/?utm_source=Facebook&amp;utm_medium=MES&amp;utm_term=NEW_ALL_1840_none_121225&amp;utm_content=saletructiep_ALL.M594.1840.giaotiep_TATTPVN_LD247&amp;utm_campaign=ALL.giaotiep.M594_XuBen.5018_MES_HuyLG_121225" TargetMode="External"/><Relationship Id="rId235" Type="http://schemas.openxmlformats.org/officeDocument/2006/relationships/hyperlink" Target="https://patadovietnam.edu.vn/khoa-hoc-giao-tiep/" TargetMode="External"/><Relationship Id="rId1066" Type="http://schemas.openxmlformats.org/officeDocument/2006/relationships/hyperlink" Target="https://byvn.net/hlgalll15" TargetMode="External"/><Relationship Id="rId234" Type="http://schemas.openxmlformats.org/officeDocument/2006/relationships/hyperlink" Target="https://patadovietnam.edu.vn/khoa-hoc-giao-tiep/?utm_source=Facebook&amp;utm_medium=MES&amp;utm_term=NEW_Korea_1845_none_250322&amp;utm_content=saletructiep_Korea.Anhthongbao.1845.Giaotiep_TATTP_LD068&amp;utm_campaign=Korea.Giaotiep.Anhthongbao_XuBen.5018_MES_HuyLG_250322" TargetMode="External"/><Relationship Id="rId1067" Type="http://schemas.openxmlformats.org/officeDocument/2006/relationships/hyperlink" Target="https://patadovietnam.edu.vn/hlg1908" TargetMode="External"/><Relationship Id="rId233" Type="http://schemas.openxmlformats.org/officeDocument/2006/relationships/hyperlink" Target="https://patadovietnam.edu.vn/khoa-hoc-giao-tiep/" TargetMode="External"/><Relationship Id="rId1068" Type="http://schemas.openxmlformats.org/officeDocument/2006/relationships/hyperlink" Target="https://patadovietnam.edu.vn/hlg1908/?utm_source=Facebook&amp;utm_medium=MES&amp;utm_term=NEW_KoreaSouth_1840_none_121225&amp;utm_content=saletructiep_KoreaSouth.M594.1840.giaotiep_TATTP_LD247&amp;utm_campaign=KoreaSouth.giaotiep.M594_LH3645_MES_HuyLG_121225" TargetMode="External"/><Relationship Id="rId232" Type="http://schemas.openxmlformats.org/officeDocument/2006/relationships/hyperlink" Target="https://patadovietnam.edu.vn/khoa-hoc-giao-tiep/?utm_source=Facebook&amp;utm_medium=MES&amp;utm_term=NEW_Australia_1845_none_250322&amp;utm_content=saletructiep_Australia.Anhthongbao.1845.Giaotiep_TATTP_LD068&amp;utm_campaign=Australia.Giaotiep.Anhthongbao_XuBen.5018_MES_HuyLG_250322" TargetMode="External"/><Relationship Id="rId1069" Type="http://schemas.openxmlformats.org/officeDocument/2006/relationships/hyperlink" Target="https://byvn.net/hlgkr13" TargetMode="External"/><Relationship Id="rId1015" Type="http://schemas.openxmlformats.org/officeDocument/2006/relationships/hyperlink" Target="https://byvn.net/hlgall10" TargetMode="External"/><Relationship Id="rId1016" Type="http://schemas.openxmlformats.org/officeDocument/2006/relationships/hyperlink" Target="https://patadovietnam.edu.vn/hlg1908" TargetMode="External"/><Relationship Id="rId1017" Type="http://schemas.openxmlformats.org/officeDocument/2006/relationships/hyperlink" Target="https://patadovietnam.edu.vn/hlg1908/?utm_source=Facebook&amp;utm_medium=MES&amp;utm_term=NEW_KoreaSouth_1840_none_031225&amp;utm_content=saletructiep_KoreaSouth.M595.1840.giaotiep_TATTPVN_LD247&amp;utm_campaign=KoreaSouth.giaotiep.M595_XuBen.5018_MES_HuyLG_031225" TargetMode="External"/><Relationship Id="rId1018" Type="http://schemas.openxmlformats.org/officeDocument/2006/relationships/hyperlink" Target="https://byvn.net/hlgkr10" TargetMode="External"/><Relationship Id="rId1019" Type="http://schemas.openxmlformats.org/officeDocument/2006/relationships/hyperlink" Target="https://patadovietnam.edu.vn/eu_hlg/" TargetMode="External"/><Relationship Id="rId1010" Type="http://schemas.openxmlformats.org/officeDocument/2006/relationships/hyperlink" Target="https://patado.edu.vn/hlg1908" TargetMode="External"/><Relationship Id="rId1011" Type="http://schemas.openxmlformats.org/officeDocument/2006/relationships/hyperlink" Target="https://patado.edu.vn/hlg1908/?utm_source=Facebook&amp;utm_medium=CVS&amp;utm_term=NEW_Japan_1840_none_031225&amp;utm_content=saletructiep_Japan.M595.1840.giaotiep_TATTP_LD273&amp;utm_campaign=Japan.giaotiep.M595_XuBen.5018_CVS_HuyLG_031225" TargetMode="External"/><Relationship Id="rId1012" Type="http://schemas.openxmlformats.org/officeDocument/2006/relationships/hyperlink" Target="https://byvn.net/hlgjp24" TargetMode="External"/><Relationship Id="rId1013" Type="http://schemas.openxmlformats.org/officeDocument/2006/relationships/hyperlink" Target="https://patadovietnam.edu.vn/hlg1709" TargetMode="External"/><Relationship Id="rId1014" Type="http://schemas.openxmlformats.org/officeDocument/2006/relationships/hyperlink" Target="https://patadovietnam.edu.vn/hlg1709/?utm_source=Facebook&amp;utm_medium=MES&amp;utm_term=NEW_ALL_1840_none_031225&amp;utm_content=saletructiep_ALL.M595.1840.giaotiep_TATTP_LD249&amp;utm_campaign=ALL.giaotiep.M595_XuBen.5018_MES_HuyLG_031225" TargetMode="External"/><Relationship Id="rId1004" Type="http://schemas.openxmlformats.org/officeDocument/2006/relationships/hyperlink" Target="https://patadovietnam.edu.vn/hoaky_cvs/" TargetMode="External"/><Relationship Id="rId1005" Type="http://schemas.openxmlformats.org/officeDocument/2006/relationships/hyperlink" Target="https://patadovietnam.edu.vn/hoaky_cvs/?utm_source=Facebook&amp;utm_medium=CVS&amp;utm_term=NEW_UnitedStates_1840_none_031225&amp;utm_content=saletructiep_UnitedStates.M584.1840.giaotiep_PGPGTTA_LD109&amp;utm_campaign=UnitedStates.giaotiep.M584_XuBen.5018_CVS_HuyLG_031225" TargetMode="External"/><Relationship Id="rId1006" Type="http://schemas.openxmlformats.org/officeDocument/2006/relationships/hyperlink" Target="https://byvn.net/hlgus23" TargetMode="External"/><Relationship Id="rId1007" Type="http://schemas.openxmlformats.org/officeDocument/2006/relationships/hyperlink" Target="https://patadovietnam.edu.vn/hlg1908" TargetMode="External"/><Relationship Id="rId1008" Type="http://schemas.openxmlformats.org/officeDocument/2006/relationships/hyperlink" Target="https://patadovietnam.edu.vn/hlg1908/?utm_source=Facebook&amp;utm_medium=CVS&amp;utm_term=NEW_Europe_1840_none_031225&amp;utm_content=saletructiep_Europe.M584.1840.giaotiep_TATTP_LD247&amp;utm_campaign=Europe.giaotiep.M584_XuBen.5018_CVS_HuyLG_031225" TargetMode="External"/><Relationship Id="rId1009" Type="http://schemas.openxmlformats.org/officeDocument/2006/relationships/hyperlink" Target="https://byvn.net/hlgeu12" TargetMode="External"/><Relationship Id="rId1000" Type="http://schemas.openxmlformats.org/officeDocument/2006/relationships/hyperlink" Target="https://byvn.net/hlgall05" TargetMode="External"/><Relationship Id="rId1001" Type="http://schemas.openxmlformats.org/officeDocument/2006/relationships/hyperlink" Target="https://patado.edu.vn/japancvs/" TargetMode="External"/><Relationship Id="rId1002" Type="http://schemas.openxmlformats.org/officeDocument/2006/relationships/hyperlink" Target="https://patado.edu.vn/japancvs/?utm_source=Facebook&amp;utm_medium=CVS&amp;utm_term=NEW_Japan_1840_none_031225&amp;utm_content=saletructiep_Japan.M584.1840.giaotiep_PGPGTTA_LD271&amp;utm_campaign=Japan.giaotiep.M584_XuBen.5018_CVS_HuyLG_031225" TargetMode="External"/><Relationship Id="rId1003" Type="http://schemas.openxmlformats.org/officeDocument/2006/relationships/hyperlink" Target="https://byvn.net/hlgjp23" TargetMode="External"/><Relationship Id="rId1037" Type="http://schemas.openxmlformats.org/officeDocument/2006/relationships/hyperlink" Target="https://patadovietnam.edu.vn/hlg1908" TargetMode="External"/><Relationship Id="rId1038" Type="http://schemas.openxmlformats.org/officeDocument/2006/relationships/hyperlink" Target="https://patadovietnam.edu.vn/hlg1908/?utm_source=Facebook&amp;utm_medium=MES&amp;utm_term=NEW_Taiwan_1840_none_051225&amp;utm_content=saletructiep_Taiwan.M597.1840.giaotiep_TATTPVN_LD247&amp;utm_campaign=Taiwan.giaotiep.M597_LH3645_MES_HuyLG_051225" TargetMode="External"/><Relationship Id="rId1039" Type="http://schemas.openxmlformats.org/officeDocument/2006/relationships/hyperlink" Target="https://byvn.net/hlgtw07" TargetMode="External"/><Relationship Id="rId206" Type="http://schemas.openxmlformats.org/officeDocument/2006/relationships/hyperlink" Target="https://patadovietnam.edu.vn/khoa-hoc-giao-tiep/?utm_source=Facebook&amp;utm_medium=MES&amp;utm_term=NEW_Argentina_1845_none_160322&amp;utm_content=saletructiep_Argentina.Videolophoc.1845.Giaotiep_TATTPVN_LD068&amp;utm_campaign=Argentina.Giaotiep.Videolophoc_XuBen.5018_MES_HuyLG_160322" TargetMode="External"/><Relationship Id="rId205" Type="http://schemas.openxmlformats.org/officeDocument/2006/relationships/hyperlink" Target="https://patadovietnam.edu.vn/khoa-hoc-giao-tiep/" TargetMode="External"/><Relationship Id="rId204" Type="http://schemas.openxmlformats.org/officeDocument/2006/relationships/hyperlink" Target="https://patadovietnam.edu.vn/khoa-hoc-giao-tiep/?utm_source=Facebook&amp;utm_medium=MES&amp;utm_term=NEW_UnitedKingdom_1845_none_160322&amp;utm_content=saletructiep_UnitedKingdom.Anhthongbao.1845.Giaotiep_TATTPVN_LD068&amp;utm_campaign=UnitedKingdom.Giaotiep.Anhthongbao_XuBen.5018_MES_HuyLG_160322" TargetMode="External"/><Relationship Id="rId203" Type="http://schemas.openxmlformats.org/officeDocument/2006/relationships/hyperlink" Target="https://patadovietnam.edu.vn/khoa-hoc-giao-tiep/" TargetMode="External"/><Relationship Id="rId209" Type="http://schemas.openxmlformats.org/officeDocument/2006/relationships/hyperlink" Target="https://patadovietnam.edu.vn/khoa-hoc-giao-tiep/" TargetMode="External"/><Relationship Id="rId208" Type="http://schemas.openxmlformats.org/officeDocument/2006/relationships/hyperlink" Target="https://patadovietnam.edu.vn/khoa-hoc-giao-tiep/?utm_source=Facebook&amp;utm_medium=MES&amp;utm_term=NEW_CzechRepublic_1845_none_160322&amp;utm_content=saletructiep_CzechRepublic.Anhlotrinh.1845.Giaotiep_TATTPVN_LD068&amp;utm_campaign=CzechRepublic.Giaotiep.Anhlotrinh_XuBen.5018_MES_HuyLG_160322" TargetMode="External"/><Relationship Id="rId207" Type="http://schemas.openxmlformats.org/officeDocument/2006/relationships/hyperlink" Target="https://patadovietnam.edu.vn/khoa-hoc-giao-tiep/" TargetMode="External"/><Relationship Id="rId1030" Type="http://schemas.openxmlformats.org/officeDocument/2006/relationships/hyperlink" Target="https://byvn.net/hlgall14" TargetMode="External"/><Relationship Id="rId1031" Type="http://schemas.openxmlformats.org/officeDocument/2006/relationships/hyperlink" Target="https://patadovietnam.edu.vn/japancvs/" TargetMode="External"/><Relationship Id="rId1032" Type="http://schemas.openxmlformats.org/officeDocument/2006/relationships/hyperlink" Target="https://patadovietnam.edu.vn/japancvs/?utm_source=Facebook&amp;utm_medium=MES&amp;utm_term=NEW_Japan_1840_none_051225&amp;utm_content=saletructiep_Japan.M597.1840.giaotiep_TATTP_LD115&amp;utm_campaign=Japan.giaotiep.M597_HG4601_MES_HuyLG_051225" TargetMode="External"/><Relationship Id="rId202" Type="http://schemas.openxmlformats.org/officeDocument/2006/relationships/hyperlink" Target="https://patadovietnam.edu.vn/ielts_cvs/?utm_source=Facebook&amp;utm_medium=MES&amp;utm_term=NEW_Vietnam_1835_none_120322&amp;utm_content=saletructiep_Vietnam.Anhlotrinh.1835.IELTS_TATTPVN_LD114&amp;utm_campaign=Vietnam.IELTS_XuBen.5018_MES_HuyLG_120322" TargetMode="External"/><Relationship Id="rId1033" Type="http://schemas.openxmlformats.org/officeDocument/2006/relationships/hyperlink" Target="https://byvn.net/hlgjp22" TargetMode="External"/><Relationship Id="rId201" Type="http://schemas.openxmlformats.org/officeDocument/2006/relationships/hyperlink" Target="https://patadovietnam.edu.vn/ielts_cvs/" TargetMode="External"/><Relationship Id="rId1034" Type="http://schemas.openxmlformats.org/officeDocument/2006/relationships/hyperlink" Target="https://patadovietnam.edu.vn/hlg1908" TargetMode="External"/><Relationship Id="rId200" Type="http://schemas.openxmlformats.org/officeDocument/2006/relationships/hyperlink" Target="https://patadovietnam.edu.vn/khoa-hoc-giao-tiep/?utm_source=Facebook&amp;utm_medium=MES&amp;utm_term=NEW_UnitedStates_1845_none_120322&amp;utm_content=saletructiep_UnitedStates.Anhthongbao.none.Giaotiep_TATTPVN_LD068&amp;utm_campaign=UnitedStates.Giaotiep.Anhthongbao_XuBen.5018_MES_HuyLG_120322" TargetMode="External"/><Relationship Id="rId1035" Type="http://schemas.openxmlformats.org/officeDocument/2006/relationships/hyperlink" Target="https://patadovietnam.edu.vn/hlg1908/?utm_source=Facebook&amp;utm_medium=MES&amp;utm_term=NEW_Germany_1840_none_051225&amp;utm_content=saletructiep_Germany.M597.1840.giaotiep_TATTPVN_LD247&amp;utm_campaign=Germany.giaotiep.M597_HG4601_MES_HuyLG_051225" TargetMode="External"/><Relationship Id="rId1036" Type="http://schemas.openxmlformats.org/officeDocument/2006/relationships/hyperlink" Target="https://byvn.net/hlgde02" TargetMode="External"/><Relationship Id="rId1026" Type="http://schemas.openxmlformats.org/officeDocument/2006/relationships/hyperlink" Target="https://patadovietnam.edu.vn/hlg1908/?utm_source=Facebook&amp;utm_medium=MES&amp;utm_term=NEW_ALL_1840_none_051225&amp;utm_content=saletructiep_ALL.M597.1840.giaotiep_TATTPVN_LD247&amp;utm_campaign=ALL.giaotiep.M597_HG4601_MES_HuyLG_051225" TargetMode="External"/><Relationship Id="rId1027" Type="http://schemas.openxmlformats.org/officeDocument/2006/relationships/hyperlink" Target="https://byvn.net/hlgall12" TargetMode="External"/><Relationship Id="rId1028" Type="http://schemas.openxmlformats.org/officeDocument/2006/relationships/hyperlink" Target="https://patadovietnam.edu.vn/hlg1908" TargetMode="External"/><Relationship Id="rId1029" Type="http://schemas.openxmlformats.org/officeDocument/2006/relationships/hyperlink" Target="https://patadovietnam.edu.vn/hlg1908/?utm_source=Facebook&amp;utm_medium=MES&amp;utm_term=NEW_ALL_1840_none_051225&amp;utm_content=saletructiep_ALL.M598.1840.giaotiep_TATTP_LD247&amp;utm_campaign=ALL.giaotiep.M598_HG4601_MES_HuyLG_051225" TargetMode="External"/><Relationship Id="rId1020" Type="http://schemas.openxmlformats.org/officeDocument/2006/relationships/hyperlink" Target="https://patadovietnam.edu.vn/eu_hlg/?utm_source=Facebook&amp;utm_medium=MES&amp;utm_term=NEW_Europe_1840_none_031225&amp;utm_content=saletructiep_Europe.M595.1840.giaotiep_TATTPVN_LD154&amp;utm_campaign=Europe.giaotiep.M595_XuBen.5018_MES_HuyLG_031225" TargetMode="External"/><Relationship Id="rId1021" Type="http://schemas.openxmlformats.org/officeDocument/2006/relationships/hyperlink" Target="https://byvn.net/hlgeu14" TargetMode="External"/><Relationship Id="rId1022" Type="http://schemas.openxmlformats.org/officeDocument/2006/relationships/hyperlink" Target="https://patadovietnam.edu.vn/hlg1908" TargetMode="External"/><Relationship Id="rId1023" Type="http://schemas.openxmlformats.org/officeDocument/2006/relationships/hyperlink" Target="https://patadovietnam.edu.vn/hlg1908/?utm_source=Facebook&amp;utm_medium=MES&amp;utm_term=NEW_Australia_1840_none_031225&amp;utm_content=saletructiep_Australia.M595.1840.giaotiep_PGPGTTA_LD247&amp;utm_campaign=Australia.giaotiep.M595_XuBen.5018_MES_HuyLG_031225" TargetMode="External"/><Relationship Id="rId1024" Type="http://schemas.openxmlformats.org/officeDocument/2006/relationships/hyperlink" Target="https://byvn.net/hlgau13" TargetMode="External"/><Relationship Id="rId1025" Type="http://schemas.openxmlformats.org/officeDocument/2006/relationships/hyperlink" Target="https://patadovietnam.edu.vn/hlg1908" TargetMode="External"/><Relationship Id="rId1090" Type="http://schemas.openxmlformats.org/officeDocument/2006/relationships/hyperlink" Target="https://byvn.net/hlgphi01" TargetMode="External"/><Relationship Id="rId1091" Type="http://schemas.openxmlformats.org/officeDocument/2006/relationships/hyperlink" Target="https://patadovietnam.edu.vn/hlg_tattp_gt/" TargetMode="External"/><Relationship Id="rId1092" Type="http://schemas.openxmlformats.org/officeDocument/2006/relationships/hyperlink" Target="https://patadovietnam.edu.vn/hlg_tattp_gt/?utm_source=Facebook&amp;utm_medium=MES&amp;utm_term=NEW_Thailand_1840_none_171225&amp;utm_content=saletructiep_Thailand.M594.1840.giaotiep_TATTP_LD233&amp;utm_campaign=Thailand.giaotiep.M594_HG4601_MES_HuyLG_171225" TargetMode="External"/><Relationship Id="rId1093" Type="http://schemas.openxmlformats.org/officeDocument/2006/relationships/hyperlink" Target="https://byvn.net/hlgth01" TargetMode="External"/><Relationship Id="rId1094" Type="http://schemas.openxmlformats.org/officeDocument/2006/relationships/hyperlink" Target="https://patadovietnam.edu.vn/hlg_pgpgtta_gt" TargetMode="External"/><Relationship Id="rId1095" Type="http://schemas.openxmlformats.org/officeDocument/2006/relationships/hyperlink" Target="https://patadovietnam.edu.vn/hlg_pgpgtta_gt/?utm_source=Facebook&amp;utm_medium=MES&amp;utm_term=NEW_UnitedStates_1840_none_191225&amp;utm_content=saletructiep_UnitedStates.M603.1840.giaotiep_PGPGTTA_LD226&amp;utm_campaign=UnitedStates.giaotiep.M603_XuBen.5018_MES_HuyLG_191225" TargetMode="External"/><Relationship Id="rId1096" Type="http://schemas.openxmlformats.org/officeDocument/2006/relationships/hyperlink" Target="https://byvn.net/hlgus28" TargetMode="External"/><Relationship Id="rId1097" Type="http://schemas.openxmlformats.org/officeDocument/2006/relationships/hyperlink" Target="https://patadovietnam.edu.vn/hlg_pgpgtta_gt" TargetMode="External"/><Relationship Id="rId1098" Type="http://schemas.openxmlformats.org/officeDocument/2006/relationships/hyperlink" Target="https://patadovietnam.edu.vn/hlg_pgpgtta_gt/?utm_source=Facebook&amp;utm_medium=MES&amp;utm_term=NEW_Japan_1840_none_191225&amp;utm_content=saletructiep_Japan.M603.1840.giaotiep_PGPGTTA_LD226&amp;utm_campaign=Japan.giaotiep.M603_XuBen.5018_MES_HuyLG_191225" TargetMode="External"/><Relationship Id="rId1099" Type="http://schemas.openxmlformats.org/officeDocument/2006/relationships/hyperlink" Target="https://byvn.net/hlgjp28" TargetMode="External"/><Relationship Id="rId1080" Type="http://schemas.openxmlformats.org/officeDocument/2006/relationships/hyperlink" Target="https://patadovietnam.edu.vn/hlg_pgpgtta_gt/?utm_source=Facebook&amp;utm_medium=MES&amp;utm_term=NEW_UnitedStates_1840_none_161225&amp;utm_content=saletructiep_UnitedStates.M561.1840.giaotiep_PGPGTTA_LD226&amp;utm_campaign=UnitedStates.Giaotiep.M561_LH3645_MES_HuyLG_161225" TargetMode="External"/><Relationship Id="rId1081" Type="http://schemas.openxmlformats.org/officeDocument/2006/relationships/hyperlink" Target="https://byvn.net/hlgus27" TargetMode="External"/><Relationship Id="rId1082" Type="http://schemas.openxmlformats.org/officeDocument/2006/relationships/hyperlink" Target="https://patado.edu.vn/hlg_pgpgtta_gt/" TargetMode="External"/><Relationship Id="rId1083" Type="http://schemas.openxmlformats.org/officeDocument/2006/relationships/hyperlink" Target="https://patado.edu.vn/hlg_pgpgtta_gt/?utm_source=Facebook&amp;utm_medium=MES&amp;utm_term=NEW_Europe_1840_none_171225&amp;utm_content=saletructiep_Europe.M605.1840.giaotiep_PGPGTTA_LD274&amp;utm_campaign=Europe.giaotiep.M605_XuBen.5018_MES_HuyLG_171225" TargetMode="External"/><Relationship Id="rId1084" Type="http://schemas.openxmlformats.org/officeDocument/2006/relationships/hyperlink" Target="https://byvn.net/hlgeu43" TargetMode="External"/><Relationship Id="rId1085" Type="http://schemas.openxmlformats.org/officeDocument/2006/relationships/hyperlink" Target="https://patadovietnam.edu.vn/hlg_tattpvn_gt/" TargetMode="External"/><Relationship Id="rId1086" Type="http://schemas.openxmlformats.org/officeDocument/2006/relationships/hyperlink" Target="https://patadovietnam.edu.vn/hlg_tattpvn_gt/?utm_source=Facebook&amp;utm_medium=MES&amp;utm_term=NEW_Europe_1840_none_171225&amp;utm_content=saletructiep_Europe.M594.1840.giaotiep_TATTPVN_LD229&amp;utm_campaign=Europe.giaotiep.M594_HG4601_MES_HuyLG_171225" TargetMode="External"/><Relationship Id="rId1087" Type="http://schemas.openxmlformats.org/officeDocument/2006/relationships/hyperlink" Target="https://byvn.net/hlgeu22" TargetMode="External"/><Relationship Id="rId1088" Type="http://schemas.openxmlformats.org/officeDocument/2006/relationships/hyperlink" Target="https://patadovietnam.edu.vn/hlg_tattpvn_gt/" TargetMode="External"/><Relationship Id="rId1089" Type="http://schemas.openxmlformats.org/officeDocument/2006/relationships/hyperlink" Target="https://patadovietnam.edu.vn/hlg_tattpvn_gt/?utm_source=Facebook&amp;utm_medium=MES&amp;utm_term=NEW_Philippines_1840_none_171225&amp;utm_content=saletructiep_Philippines.M594.1840.giaotiep_TATTPVN_LD229&amp;utm_campaign=Philippines.giaotiep.M594_HG4601_MES_HuyLG_171225" TargetMode="External"/><Relationship Id="rId509" Type="http://schemas.openxmlformats.org/officeDocument/2006/relationships/hyperlink" Target="http://ldp.to/us10_hlg" TargetMode="External"/><Relationship Id="rId508" Type="http://schemas.openxmlformats.org/officeDocument/2006/relationships/hyperlink" Target="https://patadovietnam.edu.vn/hoaky_cvs/?utm_source=Facebook&amp;utm_medium=MES&amp;utm_term=NEW_UnitedStates_2045_none_281122&amp;utm_content=saletructiep_UnitedStates.Videolophoc.2045.Giaotiep_TATTP_LD109&amp;utm_campaign=UnitedStates.Giaotiep.Videolophoc_XuBen.5018_MES_HuyLG_281122" TargetMode="External"/><Relationship Id="rId503" Type="http://schemas.openxmlformats.org/officeDocument/2006/relationships/hyperlink" Target="http://ldp.to/japan360_hlg" TargetMode="External"/><Relationship Id="rId502" Type="http://schemas.openxmlformats.org/officeDocument/2006/relationships/hyperlink" Target="https://patadovietnam.edu.vn/japancvs/?utm_source=Facebook&amp;utm_medium=CVS&amp;utm_term=NEW_Japan_1840_none_171022&amp;utm_content=saletructiep_Japan.Anhthongbao12.1840.Giaotiep_PGPGTTA_LD115&amp;utm_campaign=Japan.Giaotiep.Anhthongbao12_95360_MES_HuyLG_171022" TargetMode="External"/><Relationship Id="rId501" Type="http://schemas.openxmlformats.org/officeDocument/2006/relationships/hyperlink" Target="https://patadovietnam.edu.vn/japancvs/" TargetMode="External"/><Relationship Id="rId500" Type="http://schemas.openxmlformats.org/officeDocument/2006/relationships/hyperlink" Target="http://ldp.to/us360_hlg" TargetMode="External"/><Relationship Id="rId507" Type="http://schemas.openxmlformats.org/officeDocument/2006/relationships/hyperlink" Target="https://patadovietnam.edu.vn/hoaky_cvs/" TargetMode="External"/><Relationship Id="rId506" Type="http://schemas.openxmlformats.org/officeDocument/2006/relationships/hyperlink" Target="http://ldp.to/japan10_hlg" TargetMode="External"/><Relationship Id="rId505" Type="http://schemas.openxmlformats.org/officeDocument/2006/relationships/hyperlink" Target="https://patadovietnam.edu.vn/japan_hlg/?utm_source=Facebook&amp;utm_medium=CVS&amp;utm_term=NEW_Japan_2140_none_071122&amp;utm_content=saletructiep_Japan.Anhldpjapan.2140.Giaotiep_TATTP_LD125&amp;utm_campaign=Japan.Giaotiep.Anhldpjapan_XuBen.5018_CVS_HuyLG_071122" TargetMode="External"/><Relationship Id="rId504" Type="http://schemas.openxmlformats.org/officeDocument/2006/relationships/hyperlink" Target="https://patadovietnam.edu.vn/japan_hlg/" TargetMode="External"/><Relationship Id="rId1114" Type="http://schemas.openxmlformats.org/officeDocument/2006/relationships/hyperlink" Target="https://byvn.net/hlgus29" TargetMode="External"/><Relationship Id="rId1115" Type="http://schemas.openxmlformats.org/officeDocument/2006/relationships/hyperlink" Target="https://patadovietnam.edu.vn/hlg1908" TargetMode="External"/><Relationship Id="rId1116" Type="http://schemas.openxmlformats.org/officeDocument/2006/relationships/hyperlink" Target="https://patadovietnam.edu.vn/hlg1908/?utm_source=Facebook&amp;utm_medium=MES&amp;utm_term=NEW_Australia_1840_none_231225&amp;utm_content=saletructiep_Australia.M605.1840.giaotiep_TATTPVN_LD247&amp;utm_campaign=Australia.giaotiep.M605_HG4601_MES_HuyLG_231225" TargetMode="External"/><Relationship Id="rId1117" Type="http://schemas.openxmlformats.org/officeDocument/2006/relationships/hyperlink" Target="https://byvn.net/hlgau19" TargetMode="External"/><Relationship Id="rId1118" Type="http://schemas.openxmlformats.org/officeDocument/2006/relationships/hyperlink" Target="https://patadovietnam.edu.vn/hlg1908" TargetMode="External"/><Relationship Id="rId1119" Type="http://schemas.openxmlformats.org/officeDocument/2006/relationships/hyperlink" Target="https://patadovietnam.edu.vn/hlg1908/?utm_source=Facebook&amp;utm_medium=MES&amp;utm_term=NEW_UnitedStates_1840_none_160126&amp;utm_content=saletructiep_UnitedStates.M600.1840.giaotiep_TATTPVN_LD247&amp;utm_campaign=UnitedStates.giaotiep.M600_LH3645_MES_HuyLG_160126" TargetMode="External"/><Relationship Id="rId525" Type="http://schemas.openxmlformats.org/officeDocument/2006/relationships/hyperlink" Target="https://patadovietnam.edu.vn/khoa-hoc-giao-tiep/?utm_source=Facebook&amp;utm_medium=MES&amp;utm_term=NEW_Mexico_2045_none_100323&amp;utm_content=saletructiep_Mexico.Anhchung.2045.Giaotiep_TATTP_LD068&amp;utm_campaign=Mexico.Giaotiep.Anhchung_XuBen.5018_MES_HuyLG_100323" TargetMode="External"/><Relationship Id="rId524" Type="http://schemas.openxmlformats.org/officeDocument/2006/relationships/hyperlink" Target="https://patadovietnam.edu.vn/khoa-hoc-giao-tiep/" TargetMode="External"/><Relationship Id="rId523" Type="http://schemas.openxmlformats.org/officeDocument/2006/relationships/hyperlink" Target="http://ldp.to/Ielts_HLG1" TargetMode="External"/><Relationship Id="rId522" Type="http://schemas.openxmlformats.org/officeDocument/2006/relationships/hyperlink" Target="https://patadovietnam.edu.vn/ielts_cvs/?utm_source=Facebook&amp;utm_medium=MES&amp;utm_term=NEW_Vietnam_1840_none_100323&amp;utm_content=saletructiep_Vietnam.AnhIELTS.1840.IELTS_TATTP_LD114&amp;utm_campaign=Vietnam.IELTS.AnhIELTS_XuBen.5018_MES_HuyLG_100323" TargetMode="External"/><Relationship Id="rId529" Type="http://schemas.openxmlformats.org/officeDocument/2006/relationships/hyperlink" Target="http://ldp.to/Australia_hlg3" TargetMode="External"/><Relationship Id="rId528" Type="http://schemas.openxmlformats.org/officeDocument/2006/relationships/hyperlink" Target="https://patadovietnam.edu.vn/khoa-hoc-giao-tiep/?utm_source=Facebook&amp;utm_medium=MES&amp;utm_term=NEW_Australia_1840_none_130323&amp;utm_content=saletructiep_Australia.Anhmatgocdengiaotiep.1840.Giaotiep_TATTP_LD068&amp;utm_campaign=Australia.Giaotiep.Anhmatgocdengiaotiep_XuBen.5018_MES_HuyLG_130323" TargetMode="External"/><Relationship Id="rId527" Type="http://schemas.openxmlformats.org/officeDocument/2006/relationships/hyperlink" Target="https://patadovietnam.edu.vn/khoa-hoc-giao-tiep/" TargetMode="External"/><Relationship Id="rId526" Type="http://schemas.openxmlformats.org/officeDocument/2006/relationships/hyperlink" Target="http://ldp.to/SA_hlg" TargetMode="External"/><Relationship Id="rId521" Type="http://schemas.openxmlformats.org/officeDocument/2006/relationships/hyperlink" Target="https://patadovietnam.edu.vn/ielts_cvs/" TargetMode="External"/><Relationship Id="rId1110" Type="http://schemas.openxmlformats.org/officeDocument/2006/relationships/hyperlink" Target="https://patado.edu.vn/hlg_tattp_gt/?utm_source=Facebook&amp;utm_medium=MES&amp;utm_term=NEW_Japan_1840_none_231225&amp;utm_content=saletructiep_Japan.M605.1840.giaotiep_TATTP_LD279&amp;utm_campaign=Japan.giaotiep.M605_HG4601_MES_HuyLG_231225" TargetMode="External"/><Relationship Id="rId520" Type="http://schemas.openxmlformats.org/officeDocument/2006/relationships/hyperlink" Target="https://patadovietnam.edu.vn/khoa-hoc-giao-tiep/?utm_source=Facebook&amp;utm_medium=MES&amp;utm_term=NEW_Australia_1845_none_140223&amp;utm_content=saletructiep_Australia.Anhshortthongbao.1845.Giaotiep_PGPGTTA_LD068&amp;utm_campaign=Australia.Giaotiep.Anhshortthongbao_95360_MES_HuyLG_140223" TargetMode="External"/><Relationship Id="rId1111" Type="http://schemas.openxmlformats.org/officeDocument/2006/relationships/hyperlink" Target="https://byvn.net/hlgjp27" TargetMode="External"/><Relationship Id="rId1112" Type="http://schemas.openxmlformats.org/officeDocument/2006/relationships/hyperlink" Target="https://patado.edu.vn/hlg_pgpgtta_gt/" TargetMode="External"/><Relationship Id="rId1113" Type="http://schemas.openxmlformats.org/officeDocument/2006/relationships/hyperlink" Target="https://patado.edu.vn/hlg_pgpgtta_gt/?utm_source=Facebook&amp;utm_medium=MES&amp;utm_term=NEW_UnitedStates_1840_none_231225&amp;utm_content=saletructiep_UnitedStates.M605.1840.giaotiep_TATTP_LD274&amp;utm_campaign=UnitedStates.giaotiep.M605_HG4601_MES_HuyLG_231225" TargetMode="External"/><Relationship Id="rId1103" Type="http://schemas.openxmlformats.org/officeDocument/2006/relationships/hyperlink" Target="https://patadovietnam.edu.vn/hlg_pgpgtta_gt" TargetMode="External"/><Relationship Id="rId1104" Type="http://schemas.openxmlformats.org/officeDocument/2006/relationships/hyperlink" Target="https://patadovietnam.edu.vn/hlg_pgpgtta_gt/?utm_source=Facebook&amp;utm_medium=MES&amp;utm_term=NEW_Australia_1840_none_191225&amp;utm_content=saletructiep_Australia.M603.1840.giaotiep_PGPGTTA_LD226&amp;utm_campaign=Australia.giaotiep.M603_LH3645_MES_HuyLG_191225" TargetMode="External"/><Relationship Id="rId1105" Type="http://schemas.openxmlformats.org/officeDocument/2006/relationships/hyperlink" Target="https://byvn.net/hlgau18" TargetMode="External"/><Relationship Id="rId1106" Type="http://schemas.openxmlformats.org/officeDocument/2006/relationships/hyperlink" Target="https://patadovietnam.edu.vn/hlg_pgpgtta_gt" TargetMode="External"/><Relationship Id="rId1107" Type="http://schemas.openxmlformats.org/officeDocument/2006/relationships/hyperlink" Target="https://patadovietnam.edu.vn/hlg_pgpgtta_gt/?utm_source=Facebook&amp;utm_medium=MES&amp;utm_term=NEW_KoreaSouth_1840_none_191225&amp;utm_content=saletructiep_KoreaSouth.M603.1840.giaotiep_TATTPVN_LD226&amp;utm_campaign=KoreaSouth.giaotiep.M603_LH3645_MES_HuyLG_191225" TargetMode="External"/><Relationship Id="rId1108" Type="http://schemas.openxmlformats.org/officeDocument/2006/relationships/hyperlink" Target="https://byvn.net/hlgkr18" TargetMode="External"/><Relationship Id="rId1109" Type="http://schemas.openxmlformats.org/officeDocument/2006/relationships/hyperlink" Target="https://patado.edu.vn/hlg_tattp_gt" TargetMode="External"/><Relationship Id="rId519" Type="http://schemas.openxmlformats.org/officeDocument/2006/relationships/hyperlink" Target="https://patadovietnam.edu.vn/khoa-hoc-giao-tiep/" TargetMode="External"/><Relationship Id="rId514" Type="http://schemas.openxmlformats.org/officeDocument/2006/relationships/hyperlink" Target="https://patadovietnam.edu.vn/kids_hlg/?utm_source=Facebook&amp;utm_medium=MES&amp;utm_term=NEW_Vietnam_3050_none_081222&amp;utm_content=saletructiep_Vietnam.Anhcambridge.2855.Kids_TATTP_LD120&amp;utm_campaign=Vietnam.Kids.Anhcambridge_XuBen.5018_MES_HuyLG_081222" TargetMode="External"/><Relationship Id="rId513" Type="http://schemas.openxmlformats.org/officeDocument/2006/relationships/hyperlink" Target="https://patadovietnam.edu.vn/kids_hlg/" TargetMode="External"/><Relationship Id="rId512" Type="http://schemas.openxmlformats.org/officeDocument/2006/relationships/hyperlink" Target="http://ldp.to/Us2_hlg" TargetMode="External"/><Relationship Id="rId511" Type="http://schemas.openxmlformats.org/officeDocument/2006/relationships/hyperlink" Target="https://patadovietnam.edu.vn/hoaky_cvs/?utm_source=Facebook&amp;utm_medium=MES&amp;utm_term=NEW_UnitedStates_2045_none_051222&amp;utm_content=saletructiep_UnitedStates.Anhshortthongbao.2045.Giaotiep_PGPGTTA_LD109&amp;utm_campaign=UnitedStates.Giaotiep.Anhshortthongbao_XuBen.5018_MES_HuyLG_051222" TargetMode="External"/><Relationship Id="rId518" Type="http://schemas.openxmlformats.org/officeDocument/2006/relationships/hyperlink" Target="http://ldp.to/Kid2_hlg" TargetMode="External"/><Relationship Id="rId517" Type="http://schemas.openxmlformats.org/officeDocument/2006/relationships/hyperlink" Target="https://patadovietnam.edu.vn/kids_hlg/?utm_source=Facebook&amp;utm_medium=CVS&amp;utm_term=NEW_Europe_3050_none_081222&amp;utm_content=saletructiep_Europe.Anhcambridge.2550.Kids_TATTP_LD120&amp;utm_campaign=Europe.Kids.Anhcambridge_XuBen.5018_CVS_HuyLG_081222" TargetMode="External"/><Relationship Id="rId516" Type="http://schemas.openxmlformats.org/officeDocument/2006/relationships/hyperlink" Target="https://patadovietnam.edu.vn/kids_hlg/" TargetMode="External"/><Relationship Id="rId515" Type="http://schemas.openxmlformats.org/officeDocument/2006/relationships/hyperlink" Target="http://ldp.to/Kid1_hlg" TargetMode="External"/><Relationship Id="rId510" Type="http://schemas.openxmlformats.org/officeDocument/2006/relationships/hyperlink" Target="https://patadovietnam.edu.vn/hoaky_cvs/" TargetMode="External"/><Relationship Id="rId1100" Type="http://schemas.openxmlformats.org/officeDocument/2006/relationships/hyperlink" Target="https://patadovietnam.edu.vn/hlg_pgpgtta_gt" TargetMode="External"/><Relationship Id="rId1101" Type="http://schemas.openxmlformats.org/officeDocument/2006/relationships/hyperlink" Target="https://patadovietnam.edu.vn/hlg_pgpgtta_gt/?utm_source=Facebook&amp;utm_medium=MES&amp;utm_term=NEW_Europe_1840_none_191225&amp;utm_content=saletructiep_Europe.M603.1840.giaotiep_PGPGTTA_LD226&amp;utm_campaign=Europe.giaotiep.M603_XuBen.5018_MES_HuyLG_191225" TargetMode="External"/><Relationship Id="rId1102" Type="http://schemas.openxmlformats.org/officeDocument/2006/relationships/hyperlink" Target="https://byvn.net/hlgeu28" TargetMode="External"/><Relationship Id="rId590" Type="http://schemas.openxmlformats.org/officeDocument/2006/relationships/hyperlink" Target="https://patadovietnam.edu.vn/hlg_kr_tattpvn/?utm_source=Facebook&amp;utm_medium=MES&amp;utm_term=NEW_KoreaSouth_2045_none_211123&amp;utm_content=saletructiep_Korea.M62C35.2040.Giaotiep_PGPGTTA_LD205&amp;utm_campaign=KoreaSouth.Giaotiep.M62C35_XuBen.5018_MES_HuyLG_211123" TargetMode="External"/><Relationship Id="rId589" Type="http://schemas.openxmlformats.org/officeDocument/2006/relationships/hyperlink" Target="https://patadovietnam.edu.vn/hlg_kr_tattpvn" TargetMode="External"/><Relationship Id="rId588" Type="http://schemas.openxmlformats.org/officeDocument/2006/relationships/hyperlink" Target="http://ldp.ink/hlg_tw_tattpvn" TargetMode="External"/><Relationship Id="rId1170" Type="http://schemas.openxmlformats.org/officeDocument/2006/relationships/hyperlink" Target="https://patado.edu.vn/japancvs/?utm_source=Facebook&amp;utm_medium=CVS&amp;utm_term=NEW_Japan_1840_none_130426&amp;utm_content=saletructiep_Japan.M37.1840.giaotiep_TATTP_LD271&amp;utm_campaign=Japan.giaotiep.M37_XuBen.5018_CVS_HuyLG_130426" TargetMode="External"/><Relationship Id="rId1171" Type="http://schemas.openxmlformats.org/officeDocument/2006/relationships/hyperlink" Target="https://byvn.net/hlgjp35" TargetMode="External"/><Relationship Id="rId583" Type="http://schemas.openxmlformats.org/officeDocument/2006/relationships/hyperlink" Target="https://patadovietnam.edu.vn/hlg_us_tattpvn" TargetMode="External"/><Relationship Id="rId1172" Type="http://schemas.openxmlformats.org/officeDocument/2006/relationships/hyperlink" Target="https://patado.edu.vn/japan_hlg" TargetMode="External"/><Relationship Id="rId582" Type="http://schemas.openxmlformats.org/officeDocument/2006/relationships/hyperlink" Target="http://ldp.ink/hlg_tw_tattpvn" TargetMode="External"/><Relationship Id="rId1173" Type="http://schemas.openxmlformats.org/officeDocument/2006/relationships/hyperlink" Target="http://patado.edu.vn/japan_hlg/?utm_source=Facebook&amp;utm_medium=CVS&amp;utm_term=NEW_Japan_1840_none_130426&amp;utm_content=saletructiep_Japan.M397.1840.giaotiep_PGPGTTA_LD272&amp;utm_campaign=Japan.giaotiep.M397_XuBen.5018_CVS_HuyLG_130426" TargetMode="External"/><Relationship Id="rId581" Type="http://schemas.openxmlformats.org/officeDocument/2006/relationships/hyperlink" Target="https://patadovietnam.edu.vn/khoa-hoc-giao-tiep/?utm_source=Facebook&amp;utm_medium=MES&amp;utm_term=NEW_Taiwan_2040_none_171123&amp;utm_content=saletructiep_Taiwan.M54C41.2040.Giaotiep_TATTPVN_LD068&amp;utm_campaign=Taiwan.Giaotiep.M54C41_XuBen.5018_MES_HuyLG_171123" TargetMode="External"/><Relationship Id="rId1174" Type="http://schemas.openxmlformats.org/officeDocument/2006/relationships/hyperlink" Target="https://byvn.net/hlgjp36" TargetMode="External"/><Relationship Id="rId580" Type="http://schemas.openxmlformats.org/officeDocument/2006/relationships/hyperlink" Target="https://patadovietnam.edu.vn/khoa-hoc-giao-tiep/" TargetMode="External"/><Relationship Id="rId1175" Type="http://schemas.openxmlformats.org/officeDocument/2006/relationships/hyperlink" Target="https://patado.edu.vn/hlg1908" TargetMode="External"/><Relationship Id="rId587" Type="http://schemas.openxmlformats.org/officeDocument/2006/relationships/hyperlink" Target="https://patadovietnam.edu.vn/khoa-hoc-giao-tiep/?utm_source=Facebook&amp;utm_medium=MES&amp;utm_term=NEW_Taiwan_2040_none_211123&amp;utm_content=saletructiep_Taiwan.M46C39.2040.Giaotiep_TATTP_LD068&amp;utm_campaign=Taiwan.Giaotiep.M46C39_XuBen.5018_MES_HuyLG_211123" TargetMode="External"/><Relationship Id="rId1176" Type="http://schemas.openxmlformats.org/officeDocument/2006/relationships/hyperlink" Target="https://patado.edu.vn/hlg1908/?utm_source=Facebook&amp;utm_medium=MES&amp;utm_term=NEW_ALL_1840_none_130426&amp;utm_content=saletructiep_ALL.M645.1840.giaotiep_PGPGTTA_LD273&amp;utm_campaign=ALL.giaotiep.M645_XuBen.5018_MES_HuyLG_130426" TargetMode="External"/><Relationship Id="rId586" Type="http://schemas.openxmlformats.org/officeDocument/2006/relationships/hyperlink" Target="https://patadovietnam.edu.vn/khoa-hoc-giao-tiep/" TargetMode="External"/><Relationship Id="rId1177" Type="http://schemas.openxmlformats.org/officeDocument/2006/relationships/hyperlink" Target="https://byvn.net/hlgall20" TargetMode="External"/><Relationship Id="rId585" Type="http://schemas.openxmlformats.org/officeDocument/2006/relationships/hyperlink" Target="http://ldp.ink/hlg_us_tattpvn1" TargetMode="External"/><Relationship Id="rId1178" Type="http://schemas.openxmlformats.org/officeDocument/2006/relationships/hyperlink" Target="https://patado.edu.vn/hlg_pgpgtta_gt/" TargetMode="External"/><Relationship Id="rId584" Type="http://schemas.openxmlformats.org/officeDocument/2006/relationships/hyperlink" Target="https://patadovietnam.edu.vn/hlg_us_tattpvn/?utm_source=Facebook&amp;utm_medium=CVS&amp;utm_term=NEW_UnitedStates_2045_none_171123&amp;utm_content=saletructiep_UnitedStates.M37C30.2045.Giaotiep_TATTPVN_LD208&amp;utm_campaign=UnitedStates.Giaotiep.M37C30_XuBen.5018_CVS_HuyLG_171123" TargetMode="External"/><Relationship Id="rId1179" Type="http://schemas.openxmlformats.org/officeDocument/2006/relationships/hyperlink" Target="https://patado.edu.vn/hlg_pgpgtta_gt/?utm_source=Facebook&amp;utm_medium=CVS&amp;utm_term=NEW_Europe_1840_none_130426&amp;utm_content=saletructiep_Europe.M645.1840.giaotiep_PGPGTTA_LD274&amp;utm_campaign=Europe.giaotiep.M645_XuBen.5018_CVS_HuyLG_130426" TargetMode="External"/><Relationship Id="rId1169" Type="http://schemas.openxmlformats.org/officeDocument/2006/relationships/hyperlink" Target="https://patado.edu.vn/japancvs/" TargetMode="External"/><Relationship Id="rId579" Type="http://schemas.openxmlformats.org/officeDocument/2006/relationships/hyperlink" Target="https://patadovietnam.edu.vn/eu_hlg/?utm_source=Facebook&amp;utm_medium=MES&amp;utm_term=NEW_Europe_2040_none_171123&amp;utm_content=saletructiep_Europe.M54C41.2040.Giaotiep_TATTP_LD154&amp;utm_campaign=Europe.Giaotiep.M54C41_XuBen.5018_MES_HuyLG_171123" TargetMode="External"/><Relationship Id="rId578" Type="http://schemas.openxmlformats.org/officeDocument/2006/relationships/hyperlink" Target="https://patadovietnam.edu.vn/eu_hlg/" TargetMode="External"/><Relationship Id="rId577" Type="http://schemas.openxmlformats.org/officeDocument/2006/relationships/hyperlink" Target="http://ldp.ink/hlg_kr_tattp" TargetMode="External"/><Relationship Id="rId1160" Type="http://schemas.openxmlformats.org/officeDocument/2006/relationships/hyperlink" Target="https://patadovietnam.edu.vn/hlg1908" TargetMode="External"/><Relationship Id="rId572" Type="http://schemas.openxmlformats.org/officeDocument/2006/relationships/hyperlink" Target="https://patadovietnam.edu.vn/hlg_jp_tattpvn" TargetMode="External"/><Relationship Id="rId1161" Type="http://schemas.openxmlformats.org/officeDocument/2006/relationships/hyperlink" Target="https://patadovietnam.edu.vn/hlg1908/?utm_source=Facebook&amp;utm_medium=MES&amp;utm_term=NEW_KoreaSouth_1840_none_020426&amp;utm_content=saletructiep_KoreaSouth.M645.1840.giaotiep_TATTP_LD247&amp;utm_campaign=KoreaSouth.giaotiep.M645_LH3645_MES_HuyLG_020426" TargetMode="External"/><Relationship Id="rId571" Type="http://schemas.openxmlformats.org/officeDocument/2006/relationships/hyperlink" Target="http://ldp.ink/hlg_us_tattpvn" TargetMode="External"/><Relationship Id="rId1162" Type="http://schemas.openxmlformats.org/officeDocument/2006/relationships/hyperlink" Target="https://byvn.net/hlgkr20" TargetMode="External"/><Relationship Id="rId570" Type="http://schemas.openxmlformats.org/officeDocument/2006/relationships/hyperlink" Target="https://patadovietnam.edu.vn/hoaky_cvs/?utm_source=Facebook&amp;utm_medium=MES&amp;utm_term=NEW_UnitedStates_2045_none_141123&amp;utm_content=saletructiep_UnitedStates.M54C41.2045.Giaotiep_TATTPVN_LD109&amp;utm_campaign=UnitedStates.Giaotiep.M54C41_XuBen.5018_MES_HuyLG_141123" TargetMode="External"/><Relationship Id="rId1163" Type="http://schemas.openxmlformats.org/officeDocument/2006/relationships/hyperlink" Target="https://patadovietnam.edu.vn/hlg1908" TargetMode="External"/><Relationship Id="rId1164" Type="http://schemas.openxmlformats.org/officeDocument/2006/relationships/hyperlink" Target="https://patadovietnam.edu.vn/hlg1908/?utm_source=Facebook&amp;utm_medium=MES&amp;utm_term=NEW_Taiwan_1840_none_020426&amp;utm_content=saletructiep_Taiwan.M652.1840.giaotiep_TATTP_LD247&amp;utm_campaign=Taiwan.giaotiep.M652_LH3645_MES_HuyLG_020426" TargetMode="External"/><Relationship Id="rId576" Type="http://schemas.openxmlformats.org/officeDocument/2006/relationships/hyperlink" Target="https://patadovietnam.edu.vn/korea_cvs/?utm_source=Facebook&amp;utm_medium=MES&amp;utm_term=NEW_Korea_2040_none_141123&amp;utm_content=saletructiep_Korea.M54C41.2040.Giaotiep_TATTP_LD117&amp;utm_campaign=Korea.Giaotiep.M54C41_XuBen.5018_MES_HuyLG_141123" TargetMode="External"/><Relationship Id="rId1165" Type="http://schemas.openxmlformats.org/officeDocument/2006/relationships/hyperlink" Target="https://byvn.net/hlgtw15" TargetMode="External"/><Relationship Id="rId575" Type="http://schemas.openxmlformats.org/officeDocument/2006/relationships/hyperlink" Target="https://patadovietnam.edu.vn/korea_cvs/" TargetMode="External"/><Relationship Id="rId1166" Type="http://schemas.openxmlformats.org/officeDocument/2006/relationships/hyperlink" Target="https://patado.edu.vn/japancvs/" TargetMode="External"/><Relationship Id="rId574" Type="http://schemas.openxmlformats.org/officeDocument/2006/relationships/hyperlink" Target="http://ldp.ink/hlg_jp_tattpvn1" TargetMode="External"/><Relationship Id="rId1167" Type="http://schemas.openxmlformats.org/officeDocument/2006/relationships/hyperlink" Target="https://patado.edu.vn/japancvs/?utm_source=Facebook&amp;utm_medium=CVS&amp;utm_term=NEW_Japan_1840_none_130426&amp;utm_content=saletructiep_Japan.M645.1840.giaotiep_TATTPVN_LD271&amp;utm_campaign=Japan.giaotiep.M645_XuBen.5018_CVS_HuyLG_130426" TargetMode="External"/><Relationship Id="rId573" Type="http://schemas.openxmlformats.org/officeDocument/2006/relationships/hyperlink" Target="https://patadovietnam.edu.vn/hlg_jp_tattpvn/?utm_source=Facebook&amp;utm_medium=MES&amp;utm_term=NEW_Japan_2045_none_141123&amp;utm_content=saletructiep_Japan.M54C41.2045.Giaotiep_TATTPVN_LD204&amp;utm_campaign=Japan.Giaotiep.M54C41_XuBen.5018_MES_HuyLG_141123" TargetMode="External"/><Relationship Id="rId1168" Type="http://schemas.openxmlformats.org/officeDocument/2006/relationships/hyperlink" Target="https://byvn.net/hlgjp34" TargetMode="External"/><Relationship Id="rId1190" Type="http://schemas.openxmlformats.org/officeDocument/2006/relationships/hyperlink" Target="https://patado.edu.vn/hlg_tattp_gt" TargetMode="External"/><Relationship Id="rId1191" Type="http://schemas.openxmlformats.org/officeDocument/2006/relationships/hyperlink" Target="https://patado.edu.vn/hlg_tattp_gt/?utm_source=Facebook&amp;utm_medium=MES&amp;utm_term=NEW_Europe_1840_none_050526&amp;utm_content=saletructiep_Europe.M642.1840.giaotiep_TATTP_LD279&amp;utm_campaign=Europe.giaotiep.M642_XuBen.5018_MES_HuyLG_050526" TargetMode="External"/><Relationship Id="rId1192" Type="http://schemas.openxmlformats.org/officeDocument/2006/relationships/hyperlink" Target="https://byvn.net/hlgeu40" TargetMode="External"/><Relationship Id="rId1193" Type="http://schemas.openxmlformats.org/officeDocument/2006/relationships/hyperlink" Target="https://patado.edu.vn/hlg_tattp_gt" TargetMode="External"/><Relationship Id="rId1194" Type="http://schemas.openxmlformats.org/officeDocument/2006/relationships/hyperlink" Target="https://patado.edu.vn/hlg_tattp_gt/?utm_source=Facebook&amp;utm_medium=MES&amp;utm_term=NEW_Taiwan_1840_none_050526&amp;utm_content=saletructiep_Taiwan.M642.1840.giaotiep_TATTP_LD279&amp;utm_campaign=Taiwan.giaotiep.M642_XuBen.5018_MES_HuyLG_050526" TargetMode="External"/><Relationship Id="rId1195" Type="http://schemas.openxmlformats.org/officeDocument/2006/relationships/hyperlink" Target="https://byvn.net/hlgtw20" TargetMode="External"/><Relationship Id="rId1196" Type="http://schemas.openxmlformats.org/officeDocument/2006/relationships/hyperlink" Target="https://patado.edu.vn/hlg_tattp_gt" TargetMode="External"/><Relationship Id="rId1197" Type="http://schemas.openxmlformats.org/officeDocument/2006/relationships/hyperlink" Target="https://patado.edu.vn/hlg_tattp_gt/?utm_source=Facebook&amp;utm_medium=MES&amp;utm_term=NEW_KoreaSouth_1840_none_050526&amp;utm_content=saletructiep_KoreaSouth.M642.1840.giaotiep_TATTP_LD279&amp;utm_campaign=KoreaSouth.giaotiep.M642_XuBen.5018_MES_HuyLG_050526" TargetMode="External"/><Relationship Id="rId1198" Type="http://schemas.openxmlformats.org/officeDocument/2006/relationships/hyperlink" Target="https://byvn.net/hlgkr21" TargetMode="External"/><Relationship Id="rId1199" Type="http://schemas.openxmlformats.org/officeDocument/2006/relationships/hyperlink" Target="https://patado.edu.vn/hlg_tattp_gt" TargetMode="External"/><Relationship Id="rId599" Type="http://schemas.openxmlformats.org/officeDocument/2006/relationships/hyperlink" Target="https://patadovietnam.edu.vn/hlg_us_tattpvn/?utm_source=Facebook&amp;utm_medium=MES&amp;utm_term=NEW_UnitedStates_2040_none_061223&amp;utm_content=saletructiep_UnitedStates.M77C57.2040.Giaotiep_TATTPVN_LD208&amp;utm_campaign=UnitedStates.Giaotiep.M77C57_XuBen.5018_MES_HuyLG_061223" TargetMode="External"/><Relationship Id="rId1180" Type="http://schemas.openxmlformats.org/officeDocument/2006/relationships/hyperlink" Target="https://byvn.net/hlgeu36" TargetMode="External"/><Relationship Id="rId1181" Type="http://schemas.openxmlformats.org/officeDocument/2006/relationships/hyperlink" Target="https://patado.edu.vn/hlg1908" TargetMode="External"/><Relationship Id="rId1182" Type="http://schemas.openxmlformats.org/officeDocument/2006/relationships/hyperlink" Target="https://patado.edu.vn/hlg1908/?utm_source=Facebook&amp;utm_medium=MES&amp;utm_term=NEW_ALL_1840_none_170426&amp;utm_content=saletructiep_ALL.M647.1840.giaotiep_TATTPVN_LD273&amp;utm_campaign=ALL.giaotiep.M647_XuBen.5018_MES_HuyLG_170426" TargetMode="External"/><Relationship Id="rId594" Type="http://schemas.openxmlformats.org/officeDocument/2006/relationships/hyperlink" Target="http://ldp.ink/hlg_all_tattpvn" TargetMode="External"/><Relationship Id="rId1183" Type="http://schemas.openxmlformats.org/officeDocument/2006/relationships/hyperlink" Target="https://byvn.net/hlgall25" TargetMode="External"/><Relationship Id="rId593" Type="http://schemas.openxmlformats.org/officeDocument/2006/relationships/hyperlink" Target="https://patadovietnam.edu.vn/ielts_cvs/?utm_source=Facebook&amp;utm_medium=MES&amp;utm_term=NEW_ALL_2040_none_211123&amp;utm_content=saletructiep_ALL.M63C47.2040.IELTS_TATTPVN_LD114&amp;utm_campaign=ALL.IETLS.M63C47_XuBen.5018_MES_HuyLG_211123" TargetMode="External"/><Relationship Id="rId1184" Type="http://schemas.openxmlformats.org/officeDocument/2006/relationships/hyperlink" Target="https://patado.edu.vn/hlg_pgpgtta_gt/" TargetMode="External"/><Relationship Id="rId592" Type="http://schemas.openxmlformats.org/officeDocument/2006/relationships/hyperlink" Target="https://patadovietnam.edu.vn/ielts_cvs/" TargetMode="External"/><Relationship Id="rId1185" Type="http://schemas.openxmlformats.org/officeDocument/2006/relationships/hyperlink" Target="https://patado.edu.vn/hlg_pgpgtta_gt/?utm_source=Facebook&amp;utm_medium=MES&amp;utm_term=NEW_ALL_1840_none_170426&amp;utm_content=saletructiep_ALL.M655.1840.giaotiep_TATTP_LD274&amp;utm_campaign=ALL.giaotiep.M655_HG4601_MES_HuyLG_170426" TargetMode="External"/><Relationship Id="rId591" Type="http://schemas.openxmlformats.org/officeDocument/2006/relationships/hyperlink" Target="http://ldp.ink/hlg_kr_pgpgtta" TargetMode="External"/><Relationship Id="rId1186" Type="http://schemas.openxmlformats.org/officeDocument/2006/relationships/hyperlink" Target="https://byvn.net/hlgall27" TargetMode="External"/><Relationship Id="rId598" Type="http://schemas.openxmlformats.org/officeDocument/2006/relationships/hyperlink" Target="https://patadovietnam.edu.vn/hlg_us_tattpvn" TargetMode="External"/><Relationship Id="rId1187" Type="http://schemas.openxmlformats.org/officeDocument/2006/relationships/hyperlink" Target="https://patado.edu.vn/hlg1908" TargetMode="External"/><Relationship Id="rId597" Type="http://schemas.openxmlformats.org/officeDocument/2006/relationships/hyperlink" Target="https://s.net.vn/hlgall07" TargetMode="External"/><Relationship Id="rId1188" Type="http://schemas.openxmlformats.org/officeDocument/2006/relationships/hyperlink" Target="https://patado.edu.vn/hlg1908/?utm_source=Facebook&amp;utm_medium=MES&amp;utm_term=NEW_UnitedStates_1840_none_170426&amp;utm_content=saletructiep_UnitedStates.M581.1840.giaotiep_TATTPVN_LD273&amp;utm_campaign=UnitedStates.giaotiep.M581_HG4601_MES_HuyLG_170426" TargetMode="External"/><Relationship Id="rId596" Type="http://schemas.openxmlformats.org/officeDocument/2006/relationships/hyperlink" Target="https://patadovietnam.edu.vn/khoa-hoc-giao-tiep/?utm_source=Facebook&amp;utm_medium=MES&amp;utm_term=NEW_ALL_2040_none_211123&amp;utm_content=saletructiep_ALL.M64C48.2040.Giaotiep_PGPGTTA_LD068&amp;utm_campaign=ALL.Giaotiep.M64C48_XuBen.5018_MES_HuyLG_211123" TargetMode="External"/><Relationship Id="rId1189" Type="http://schemas.openxmlformats.org/officeDocument/2006/relationships/hyperlink" Target="https://byvn.net/hlgus35" TargetMode="External"/><Relationship Id="rId595" Type="http://schemas.openxmlformats.org/officeDocument/2006/relationships/hyperlink" Target="https://patadovietnam.edu.vn/khoa-hoc-giao-tiep/" TargetMode="External"/><Relationship Id="rId1136" Type="http://schemas.openxmlformats.org/officeDocument/2006/relationships/hyperlink" Target="https://patado.edu.vn/hlg_tattp_gt" TargetMode="External"/><Relationship Id="rId1137" Type="http://schemas.openxmlformats.org/officeDocument/2006/relationships/hyperlink" Target="https://patado.edu.vn/hlg_tattp_gt/?utm_source=Facebook&amp;utm_medium=CVS&amp;utm_term=NEW_Europe_1840_none_250226&amp;utm_content=saletructiep_Europe.M615.1840.giaotiep_TATTPVN_LD279&amp;utm_campaign=Europe.giaotiep.M615_XuBen.5018_CVS_HuyLG_250226" TargetMode="External"/><Relationship Id="rId1138" Type="http://schemas.openxmlformats.org/officeDocument/2006/relationships/hyperlink" Target="https://byvn.net/hlgeu42" TargetMode="External"/><Relationship Id="rId1139" Type="http://schemas.openxmlformats.org/officeDocument/2006/relationships/hyperlink" Target="https://patado.edu.vn/hlg_pgpgtta_gt/" TargetMode="External"/><Relationship Id="rId547" Type="http://schemas.openxmlformats.org/officeDocument/2006/relationships/hyperlink" Target="https://patadovietnam.edu.vn/korea_cvs/?utm_source=Facebook&amp;utm_medium=LEAD&amp;utm_term=NEW_Korea_1840_none_150423&amp;utm_content=saletructiep_Korea.Anhmolop.1840.Giaotiep_TATTP_LD117&amp;utm_campaign=Korea.Giaotiep.Anhmolop_XuBen.5018_LEAD_HuyLG_150423" TargetMode="External"/><Relationship Id="rId546" Type="http://schemas.openxmlformats.org/officeDocument/2006/relationships/hyperlink" Target="https://patadovietnam.edu.vn/korea_cvs/" TargetMode="External"/><Relationship Id="rId545" Type="http://schemas.openxmlformats.org/officeDocument/2006/relationships/hyperlink" Target="http://ldp.to/eu_lead_hlg" TargetMode="External"/><Relationship Id="rId544" Type="http://schemas.openxmlformats.org/officeDocument/2006/relationships/hyperlink" Target="https://patadovietnam.edu.vn/eu_hlg/?utm_source=Facebook&amp;utm_medium=LEAD&amp;utm_term=NEW_Europe_2045_none_140423&amp;utm_content=saletructiep_Europe.Anhshort.2045.Giaotiep_TATTP_LD154&amp;utm_campaign=Europe.Giaotiep.Anhshort_XuBen.5018_LEAD_HuyLG_140423" TargetMode="External"/><Relationship Id="rId549" Type="http://schemas.openxmlformats.org/officeDocument/2006/relationships/hyperlink" Target="https://patadovietnam.edu.vn/eu_hlg/" TargetMode="External"/><Relationship Id="rId548" Type="http://schemas.openxmlformats.org/officeDocument/2006/relationships/hyperlink" Target="http://ldp.to/Korea_Lead_hlg" TargetMode="External"/><Relationship Id="rId1130" Type="http://schemas.openxmlformats.org/officeDocument/2006/relationships/hyperlink" Target="https://patadovietnam.edu.vn/hlg_pgpgtta_gt" TargetMode="External"/><Relationship Id="rId1131" Type="http://schemas.openxmlformats.org/officeDocument/2006/relationships/hyperlink" Target="https://patadovietnam.edu.vn/hlg_pgpgtta_gt/?utm_source=Facebook&amp;utm_medium=MES&amp;utm_term=NEW_Europe_1840_none_020226&amp;utm_content=saletructiep_Europe.M600.1840.giaotiep_PGPGTTA_LD226&amp;utm_campaign=Europe.giaotiep.M600_XuBen.5018_MES_HuyLG_020226" TargetMode="External"/><Relationship Id="rId543" Type="http://schemas.openxmlformats.org/officeDocument/2006/relationships/hyperlink" Target="https://patadovietnam.edu.vn/eu_hlg/" TargetMode="External"/><Relationship Id="rId1132" Type="http://schemas.openxmlformats.org/officeDocument/2006/relationships/hyperlink" Target="https://byvn.net/hlgeu26" TargetMode="External"/><Relationship Id="rId542" Type="http://schemas.openxmlformats.org/officeDocument/2006/relationships/hyperlink" Target="http://ldp.to/Lead_Us_Hlg1" TargetMode="External"/><Relationship Id="rId1133" Type="http://schemas.openxmlformats.org/officeDocument/2006/relationships/hyperlink" Target="https://patadovietnam.edu.vn/japancvs/" TargetMode="External"/><Relationship Id="rId541" Type="http://schemas.openxmlformats.org/officeDocument/2006/relationships/hyperlink" Target="https://patadovietnam.edu.vn/hoaky_cvs/?utm_source=Facebook&amp;utm_medium=LEAD&amp;utm_term=NEW_UnitedStates_2045_none_130423&amp;utm_content=saletructiep_UnitedStates.Anhshortthongbao.2045.Giaotiep_TATTP_LD109&amp;utm_campaign=UnitedStates.Giaotiep.Anhshortthongbao_XuBen.5018_LEAD_HuyLG_130423" TargetMode="External"/><Relationship Id="rId1134" Type="http://schemas.openxmlformats.org/officeDocument/2006/relationships/hyperlink" Target="https://patadovietnam.edu.vn/japancvs/?utm_source=Facebook&amp;utm_medium=CVS&amp;utm_term=NEW_Japan_1840_none_250226&amp;utm_content=saletructiep_Japan.M615.1840.giaotiep_TATTPVN_LD115&amp;utm_campaign=Japan.giaotiep.M615_XuBen.5018_CVS_HuyLG_250226" TargetMode="External"/><Relationship Id="rId540" Type="http://schemas.openxmlformats.org/officeDocument/2006/relationships/hyperlink" Target="https://patadovietnam.edu.vn/hoaky_cvs/" TargetMode="External"/><Relationship Id="rId1135" Type="http://schemas.openxmlformats.org/officeDocument/2006/relationships/hyperlink" Target="https://byvn.net/hlgjp31" TargetMode="External"/><Relationship Id="rId1125" Type="http://schemas.openxmlformats.org/officeDocument/2006/relationships/hyperlink" Target="https://patado.edu.vn/hlg1908/?utm_source=Facebook&amp;utm_medium=CVS&amp;utm_term=NEW_Japan_1840_none_160126&amp;utm_content=saletructiep_Japan.M397.1840.giaotiep_PGPGTTA_LD273&amp;utm_campaign=Japan.giaotiep.M397_XuBen.5018_CVS_HuyLG_160126" TargetMode="External"/><Relationship Id="rId1126" Type="http://schemas.openxmlformats.org/officeDocument/2006/relationships/hyperlink" Target="https://byvn.net/hlgjp30" TargetMode="External"/><Relationship Id="rId1127" Type="http://schemas.openxmlformats.org/officeDocument/2006/relationships/hyperlink" Target="https://patadovietnam.edu.vn/hlg_tattp_gt/" TargetMode="External"/><Relationship Id="rId1128" Type="http://schemas.openxmlformats.org/officeDocument/2006/relationships/hyperlink" Target="https://patadovietnam.edu.vn/hlg_tattp_gt/?utm_source=Facebook&amp;utm_medium=MES&amp;utm_term=NEW_Australia_1840_none_010226&amp;utm_content=saletructiep_Australia.M600.1840.giaotiep_PGPGTTA_LD233&amp;utm_campaign=Australia.giaotiep.M600_LH3645_MES_HuyLG_010226" TargetMode="External"/><Relationship Id="rId1129" Type="http://schemas.openxmlformats.org/officeDocument/2006/relationships/hyperlink" Target="https://byvn.net/hlgau26" TargetMode="External"/><Relationship Id="rId536" Type="http://schemas.openxmlformats.org/officeDocument/2006/relationships/hyperlink" Target="https://patadovietnam.edu.vn/khoa-hoc-giao-tiep/?utm_source=Facebook&amp;utm_medium=REEL&amp;utm_term=NEW_Japan_1840_none_130323&amp;utm_content=Videolophoc_Japan.Videolophoc.Giaotiep_TATTP_LD068&amp;utm_campaign=Japan.Giaotiep.Videolophoc_XuBen.5018_REEL_HuyLG_130323" TargetMode="External"/><Relationship Id="rId535" Type="http://schemas.openxmlformats.org/officeDocument/2006/relationships/hyperlink" Target="https://patadovietnam.edu.vn/khoa-hoc-giao-tiep/" TargetMode="External"/><Relationship Id="rId534" Type="http://schemas.openxmlformats.org/officeDocument/2006/relationships/hyperlink" Target="http://ldp.ink/japan_hlg3" TargetMode="External"/><Relationship Id="rId533" Type="http://schemas.openxmlformats.org/officeDocument/2006/relationships/hyperlink" Target="https://patadovietnam.edu.vn/japan_hlg/?utm_source=Facebook&amp;utm_medium=CVS&amp;utm_term=NEW_Japan_1840_none_130323&amp;utm_content=saletructiep_Japan.Anhmolop.1840.Giaotiep_TATTP_LD125&amp;utm_campaign=Japan.Giaotiep.Anhmolop_XuBen.5018_CVS_HuyLG_130323" TargetMode="External"/><Relationship Id="rId539" Type="http://schemas.openxmlformats.org/officeDocument/2006/relationships/hyperlink" Target="http://ldp.to/Lead_japan_hlg1" TargetMode="External"/><Relationship Id="rId538" Type="http://schemas.openxmlformats.org/officeDocument/2006/relationships/hyperlink" Target="https://patadovietnam.edu.vn/japan_hlg/?utm_source=Facebook&amp;utm_medium=LEAD&amp;utm_term=NEW_Japan_1840_none_130423&amp;utm_content=saletructiep_Japan.Anhthongbao12.1840.Giaotiep_TATTP_LD125&amp;utm_campaign=Japan.Giaotiep.Anhthongbao12_XuBen.5018_LEAD_HuyLG_130423" TargetMode="External"/><Relationship Id="rId537" Type="http://schemas.openxmlformats.org/officeDocument/2006/relationships/hyperlink" Target="https://patadovietnam.edu.vn/japan_hlg/" TargetMode="External"/><Relationship Id="rId1120" Type="http://schemas.openxmlformats.org/officeDocument/2006/relationships/hyperlink" Target="https://byvn.net/hlgus30" TargetMode="External"/><Relationship Id="rId532" Type="http://schemas.openxmlformats.org/officeDocument/2006/relationships/hyperlink" Target="https://patadovietnam.edu.vn/japan_hlg/" TargetMode="External"/><Relationship Id="rId1121" Type="http://schemas.openxmlformats.org/officeDocument/2006/relationships/hyperlink" Target="https://patadovietnam.edu.vn/hlg1908" TargetMode="External"/><Relationship Id="rId531" Type="http://schemas.openxmlformats.org/officeDocument/2006/relationships/hyperlink" Target="https://patadovietnam.edu.vn/hoaky_cvs/?utm_source=Facebook&amp;utm_medium=MES&amp;utm_term=NEW_UnitedStates_1845_none_130323&amp;utm_content=saletructiep_UnitedStates.Anhlotrinhxanh.1845.Giaotiep_TATTP_LD109&amp;utm_campaign=UnitedStates.Giaotiep.Anhlotrinhxanh_XuBen.5018_MES_HuyLG_130323" TargetMode="External"/><Relationship Id="rId1122" Type="http://schemas.openxmlformats.org/officeDocument/2006/relationships/hyperlink" Target="https://patadovietnam.edu.vn/hlg1908/?utm_source=Facebook&amp;utm_medium=MES&amp;utm_term=NEW_Europe_1840_none_160126&amp;utm_content=saletructiep_Europe.M600.1840.giaotiep_PGPGTTA_LD247&amp;utm_campaign=Europe.giaotiep.M600_LH3645_MES_HuyLG_160126" TargetMode="External"/><Relationship Id="rId530" Type="http://schemas.openxmlformats.org/officeDocument/2006/relationships/hyperlink" Target="https://patadovietnam.edu.vn/hoaky_cvs/" TargetMode="External"/><Relationship Id="rId1123" Type="http://schemas.openxmlformats.org/officeDocument/2006/relationships/hyperlink" Target="https://byvn.net/hlgeu30" TargetMode="External"/><Relationship Id="rId1124" Type="http://schemas.openxmlformats.org/officeDocument/2006/relationships/hyperlink" Target="https://patado.edu.vn/hlg1908" TargetMode="External"/><Relationship Id="rId1158" Type="http://schemas.openxmlformats.org/officeDocument/2006/relationships/hyperlink" Target="https://patado.edu.vn/hlg_tattp_gt/?utm_source=Facebook&amp;utm_medium=MES&amp;utm_term=NEW_UnitedStates_1840_none_020426&amp;utm_content=saletructiep_UnitedStates.M645.1840.giaotiep_PGPGTTA_LD279&amp;utm_campaign=UnitedStates.giaotiep.M645_HG4601_MES_HuyLG_020426" TargetMode="External"/><Relationship Id="rId1159" Type="http://schemas.openxmlformats.org/officeDocument/2006/relationships/hyperlink" Target="https://byvn.net/hlgus43" TargetMode="External"/><Relationship Id="rId569" Type="http://schemas.openxmlformats.org/officeDocument/2006/relationships/hyperlink" Target="https://patadovietnam.edu.vn/hoaky_cvs/" TargetMode="External"/><Relationship Id="rId568" Type="http://schemas.openxmlformats.org/officeDocument/2006/relationships/hyperlink" Target="http://ldp.ink/hlg_eu_tattpvn" TargetMode="External"/><Relationship Id="rId567" Type="http://schemas.openxmlformats.org/officeDocument/2006/relationships/hyperlink" Target="https://patadovietnam.edu.vn/hlg_eu_tattpvn/?utm_source=Facebook&amp;utm_medium=MES&amp;utm_term=NEW_Europe_2040_none_091123&amp;utm_content=saletructiep_Europe.M46C35.2040.Giaotiep_TATTPVN_LD209&amp;utm_campaign=Europe.Giaotiep.M46C35_XuBen.5018_MES_HuyLG_091123" TargetMode="External"/><Relationship Id="rId566" Type="http://schemas.openxmlformats.org/officeDocument/2006/relationships/hyperlink" Target="https://patadovietnam.edu.vn/hlg_eu_tattpvn" TargetMode="External"/><Relationship Id="rId561" Type="http://schemas.openxmlformats.org/officeDocument/2006/relationships/hyperlink" Target="https://patadovietnam.edu.vn/hlg_us_tattpvn/?utm_source=Facebook&amp;utm_medium=MES&amp;utm_term=NEW_UnitedStates_2045_none_071123&amp;utm_content=saletructiep_UnitedStates.M49C34.2045.Giaotiep_TATTPVN_LD208&amp;utm_campaign=UnitedStates.Giaotiep.M49C34_XuBen.5018_MES_HuyLG_071123" TargetMode="External"/><Relationship Id="rId1150" Type="http://schemas.openxmlformats.org/officeDocument/2006/relationships/hyperlink" Target="https://byvn.net/hlgjp37" TargetMode="External"/><Relationship Id="rId560" Type="http://schemas.openxmlformats.org/officeDocument/2006/relationships/hyperlink" Target="https://patadovietnam.edu.vn/hlg_us_tattpvn" TargetMode="External"/><Relationship Id="rId1151" Type="http://schemas.openxmlformats.org/officeDocument/2006/relationships/hyperlink" Target="https://patado.edu.vn/hlg_pgpgtta_gt/" TargetMode="External"/><Relationship Id="rId1152" Type="http://schemas.openxmlformats.org/officeDocument/2006/relationships/hyperlink" Target="https://patado.edu.vn/hlg_pgpgtta_gt/?utm_source=Facebook&amp;utm_medium=CVS&amp;utm_term=NEW_Europe_1840_none_230326&amp;utm_content=saletructiep_Europe.M645.1840.giaotiep_TATTPVN_LD274&amp;utm_campaign=Europe.giaotiep.M645_XuBen.5018_CVS_HuyLG_230326" TargetMode="External"/><Relationship Id="rId1153" Type="http://schemas.openxmlformats.org/officeDocument/2006/relationships/hyperlink" Target="https://byvn.net/hlgeu39" TargetMode="External"/><Relationship Id="rId565" Type="http://schemas.openxmlformats.org/officeDocument/2006/relationships/hyperlink" Target="http://ldp.ink/hlg_my_tattpvn" TargetMode="External"/><Relationship Id="rId1154" Type="http://schemas.openxmlformats.org/officeDocument/2006/relationships/hyperlink" Target="https://patado.edu.vn/hlg1908" TargetMode="External"/><Relationship Id="rId564" Type="http://schemas.openxmlformats.org/officeDocument/2006/relationships/hyperlink" Target="https://patadovietnam.edu.vn/khoa-hoc-giao-tiep/?utm_source=Facebook&amp;utm_medium=MES&amp;utm_term=NEW_Malaysia_2040_none_091123&amp;utm_content=saletructiep_Malaysia.M50C35.2040.Giaotiep_TATTPVN_LD068&amp;utm_campaign=Malaysia.Giaotiep.M50C35_XuBen.5018_MES_HuyLG_091123" TargetMode="External"/><Relationship Id="rId1155" Type="http://schemas.openxmlformats.org/officeDocument/2006/relationships/hyperlink" Target="https://patado.edu.vn/hlg1908/?utm_source=Facebook&amp;utm_medium=CVS&amp;utm_term=NEW_Europe_1840_none_020426&amp;utm_content=saletructiep_Europe.M652.1840.giaotiep_PGPGTTA_LD273&amp;utm_campaign=Europe.giaotiep.M652_XuBen.5018_CVS_HuyLG_020426" TargetMode="External"/><Relationship Id="rId563" Type="http://schemas.openxmlformats.org/officeDocument/2006/relationships/hyperlink" Target="https://patadovietnam.edu.vn/khoa-hoc-giao-tiep/" TargetMode="External"/><Relationship Id="rId1156" Type="http://schemas.openxmlformats.org/officeDocument/2006/relationships/hyperlink" Target="https://byvn.net/hlgeu35" TargetMode="External"/><Relationship Id="rId562" Type="http://schemas.openxmlformats.org/officeDocument/2006/relationships/hyperlink" Target="http://ldp.ink/hlg_us_tattpvn" TargetMode="External"/><Relationship Id="rId1157" Type="http://schemas.openxmlformats.org/officeDocument/2006/relationships/hyperlink" Target="https://patado.edu.vn/hlg_tattp_gt" TargetMode="External"/><Relationship Id="rId1147" Type="http://schemas.openxmlformats.org/officeDocument/2006/relationships/hyperlink" Target="https://byvn.net/hlgall30" TargetMode="External"/><Relationship Id="rId1148" Type="http://schemas.openxmlformats.org/officeDocument/2006/relationships/hyperlink" Target="https://patado.edu.vn/japancvs/" TargetMode="External"/><Relationship Id="rId1149" Type="http://schemas.openxmlformats.org/officeDocument/2006/relationships/hyperlink" Target="https://patado.edu.vn/japancvs/?utm_source=Facebook&amp;utm_medium=CVS&amp;utm_term=NEW_Japan_1840_none_230326&amp;utm_content=saletructiep_Japan.M645.1840.giaotiep_TATTPVN_LD271&amp;utm_campaign=Japan.giaotiep.M645_XuBen.5018_CVS_HuyLG_230326" TargetMode="External"/><Relationship Id="rId558" Type="http://schemas.openxmlformats.org/officeDocument/2006/relationships/hyperlink" Target="https://patadovietnam.edu.vn/hlg_kr_tattpvn/?utm_source=Facebook&amp;utm_medium=MES&amp;utm_term=NEW_KoreaSouth_2045_none_071123&amp;utm_content=saletructiep_KoreaSouth.M36C24.2045.Giaotiep_TATTPVN_LD205&amp;utm_campaign=KoreaSouth.Giaotiep.M36C24_XuBen.5018_MES_HuyLG_071123" TargetMode="External"/><Relationship Id="rId557" Type="http://schemas.openxmlformats.org/officeDocument/2006/relationships/hyperlink" Target="https://patadovietnam.edu.vn/hlg_kr_tattpvn" TargetMode="External"/><Relationship Id="rId556" Type="http://schemas.openxmlformats.org/officeDocument/2006/relationships/hyperlink" Target="https://byvn.net/hlgjp26" TargetMode="External"/><Relationship Id="rId555" Type="http://schemas.openxmlformats.org/officeDocument/2006/relationships/hyperlink" Target="https://patado.edu.vn/hlg_tattp_gt/?utm_source=Facebook&amp;utm_medium=CVS&amp;utm_term=NEW_Japan_2045_none_071123&amp;utm_content=saletructiep_Japan.M37C30.2045.Giaotiep_TATTPVN_LD279&amp;utm_campaign=Japan.Giaotiep.M37C30_XuBen.5018_CVS_HuyLG_071123" TargetMode="External"/><Relationship Id="rId559" Type="http://schemas.openxmlformats.org/officeDocument/2006/relationships/hyperlink" Target="http://ldp.ink/hlg_korea" TargetMode="External"/><Relationship Id="rId550" Type="http://schemas.openxmlformats.org/officeDocument/2006/relationships/hyperlink" Target="https://patadovietnam.edu.vn/eu_hlg/?utm_source=Facebook&amp;utm_medium=CVS&amp;utm_term=NEW_Europe_2045_none_140423&amp;utm_content=saletructiep_Europe.Anhshort1.2045.Giaotiep_PGPGTTA_LD154&amp;utm_campaign=Europe.Giaotiep.Anhshort1_XuBen.5018_CVS_HuyLG_140423" TargetMode="External"/><Relationship Id="rId1140" Type="http://schemas.openxmlformats.org/officeDocument/2006/relationships/hyperlink" Target="https://patado.edu.vn/hlg_pgpgtta_gt/?utm_source=Facebook&amp;utm_medium=MES&amp;utm_term=NEW_Europe_1840_none_020326&amp;utm_content=saletructiep_Europe.M626.1840.giaotiep_TATTP_LD274&amp;utm_campaign=Europe.giaotiep.M626_XuBen.5018_MES_HuyLG_020326" TargetMode="External"/><Relationship Id="rId1141" Type="http://schemas.openxmlformats.org/officeDocument/2006/relationships/hyperlink" Target="https://byvn.net/hlgeu38" TargetMode="External"/><Relationship Id="rId1142" Type="http://schemas.openxmlformats.org/officeDocument/2006/relationships/hyperlink" Target="https://patadovietnam.edu.vn/eu_hlg/" TargetMode="External"/><Relationship Id="rId554" Type="http://schemas.openxmlformats.org/officeDocument/2006/relationships/hyperlink" Target="https://patado.edu.vn/hlg_tattp_gt" TargetMode="External"/><Relationship Id="rId1143" Type="http://schemas.openxmlformats.org/officeDocument/2006/relationships/hyperlink" Target="https://patadovietnam.edu.vn/eu_hlg/?utm_source=Facebook&amp;utm_medium=MES&amp;utm_term=NEW_Europe_1840_none_020326&amp;utm_content=saletructiep_Europe.M635.1840.giaotiep_PGPGTTA_LD154&amp;utm_campaign=Europe.giaotiep.M635_LH3645_MES_HuyLG_020326" TargetMode="External"/><Relationship Id="rId553" Type="http://schemas.openxmlformats.org/officeDocument/2006/relationships/hyperlink" Target="https://patadovietnam.edu.vn/nailspatado/?utm_source=Facebook&amp;utm_medium=MES&amp;utm_term=NEW_UnitedStates_2050_none_200723&amp;utm_content=Storytelling_UnitedStates.Nailsstorytelling.2050.Giaotiep_CDNVTM_LD069&amp;utm_campaign=UnitedStates.Giaotiep.Nailsstorytelling_XuBen.5018_CVS_HuyLG_200723" TargetMode="External"/><Relationship Id="rId1144" Type="http://schemas.openxmlformats.org/officeDocument/2006/relationships/hyperlink" Target="https://byvn.net/hlgeu33" TargetMode="External"/><Relationship Id="rId552" Type="http://schemas.openxmlformats.org/officeDocument/2006/relationships/hyperlink" Target="https://patadovietnam.edu.vn/nailspatado/" TargetMode="External"/><Relationship Id="rId1145" Type="http://schemas.openxmlformats.org/officeDocument/2006/relationships/hyperlink" Target="https://patadovietnam.edu.vn/hlg_tattpvn_gt/" TargetMode="External"/><Relationship Id="rId551" Type="http://schemas.openxmlformats.org/officeDocument/2006/relationships/hyperlink" Target="http://ldp.to/eu_hlg1" TargetMode="External"/><Relationship Id="rId1146" Type="http://schemas.openxmlformats.org/officeDocument/2006/relationships/hyperlink" Target="https://patadovietnam.edu.vn/hlg_tattpvn_gt/?utm_source=Facebook&amp;utm_medium=MES&amp;utm_term=NEW_ALL_1840_none_020326&amp;utm_content=saletructiep_ALL.M637.1840.giaotiep_TATTPVN_LD229&amp;utm_campaign=ALL.giaotiep.M637_XuBen.5018_MES_HuyLG_020326" TargetMode="External"/><Relationship Id="rId495" Type="http://schemas.openxmlformats.org/officeDocument/2006/relationships/hyperlink" Target="https://patadovietnam.edu.vn/khoa-hoc-giao-tiep/" TargetMode="External"/><Relationship Id="rId494" Type="http://schemas.openxmlformats.org/officeDocument/2006/relationships/hyperlink" Target="http://ldp.ink/australia_hlg1" TargetMode="External"/><Relationship Id="rId493" Type="http://schemas.openxmlformats.org/officeDocument/2006/relationships/hyperlink" Target="https://patadovietnam.edu.vn/khoa-hoc-giao-tiep/?utm_source=Facebook&amp;utm_medium=MES&amp;utm_term=NEW_Australia_1845_none_111022&amp;utm_content=saletructiep_Australia.Anhthongbao12.1845.Giaotiep_PGPGTTA_LD068&amp;utm_campaign=Australia.Giaotiep.Anhthongbao12_XuBen.5018_MES_HuyLG_111022" TargetMode="External"/><Relationship Id="rId492" Type="http://schemas.openxmlformats.org/officeDocument/2006/relationships/hyperlink" Target="https://patadovietnam.edu.vn/khoa-hoc-giao-tiep/" TargetMode="External"/><Relationship Id="rId499" Type="http://schemas.openxmlformats.org/officeDocument/2006/relationships/hyperlink" Target="https://patadovietnam.edu.vn/hoaky_cvs/?utm_source=Facebook&amp;utm_medium=MES&amp;utm_term=NEW_UnitedStates_1845_none_171022&amp;utm_content=saletructiep_UnitedStates.Anhthongbao12.2045.Giaotiep_PGPGTTA_LD109&amp;utm_campaign=UnitedStates.Giaotiep.Anhthongbao12_95360_MES_HuyLG_171022" TargetMode="External"/><Relationship Id="rId498" Type="http://schemas.openxmlformats.org/officeDocument/2006/relationships/hyperlink" Target="https://patadovietnam.edu.vn/hoaky_cvs/" TargetMode="External"/><Relationship Id="rId497" Type="http://schemas.openxmlformats.org/officeDocument/2006/relationships/hyperlink" Target="https://by.tn/hlgca01" TargetMode="External"/><Relationship Id="rId496" Type="http://schemas.openxmlformats.org/officeDocument/2006/relationships/hyperlink" Target="https://patadovietnam.edu.vn/khoa-hoc-giao-tiep/?utm_source=Facebook&amp;utm_medium=MES&amp;utm_term=NEW_Canada_1845_none_111022&amp;utm_content=saletructiep_Canada.Anhthongbao12.1845.Giaotiep_PGPGTTA_LD068&amp;utm_campaign=Canada.Giaotiep.Anhthongbao12_XuBen.5018_MES_HuyLG_111022" TargetMode="External"/><Relationship Id="rId1213" Type="http://schemas.openxmlformats.org/officeDocument/2006/relationships/hyperlink" Target="https://byvn.net/hlgjp50" TargetMode="External"/><Relationship Id="rId1214" Type="http://schemas.openxmlformats.org/officeDocument/2006/relationships/hyperlink" Target="https://patado.edu.vn/hlg_tattp_gt" TargetMode="External"/><Relationship Id="rId1215" Type="http://schemas.openxmlformats.org/officeDocument/2006/relationships/hyperlink" Target="https://patado.edu.vn/hlg_tattp_gt/?utm_source=Facebook&amp;utm_medium=MES&amp;utm_term=NEW_Europe_1840_none_020626&amp;utm_content=saletructiep_Europe.M698.1840.giaotiep_TATTP_LD279&amp;utm_campaign=Europe.giaotiep.M698_XuBen.5018_MES_HuyLG_020626" TargetMode="External"/><Relationship Id="rId1216" Type="http://schemas.openxmlformats.org/officeDocument/2006/relationships/hyperlink" Target="https://byvn.net/hlgeu44" TargetMode="External"/><Relationship Id="rId1217" Type="http://schemas.openxmlformats.org/officeDocument/2006/relationships/hyperlink" Target="https://patado.edu.vn/hlg_tattp_gt" TargetMode="External"/><Relationship Id="rId1218" Type="http://schemas.openxmlformats.org/officeDocument/2006/relationships/hyperlink" Target="https://patado.edu.vn/hlg_tattp_gt/?utm_source=Facebook&amp;utm_medium=CVS&amp;utm_term=NEW_Europe_1840_none_051026&amp;utm_content=saletructiep_Europe.M632.1840.giaotiep_TATTP_LD279&amp;utm_campaign=Europe.giaotiep.M632_HG4601_CVS_HuyLG_051026" TargetMode="External"/><Relationship Id="rId1219" Type="http://schemas.openxmlformats.org/officeDocument/2006/relationships/hyperlink" Target="https://byvn.net/eu-hlg40" TargetMode="External"/><Relationship Id="rId1210" Type="http://schemas.openxmlformats.org/officeDocument/2006/relationships/hyperlink" Target="https://byvn.net/hlgjp40" TargetMode="External"/><Relationship Id="rId1211" Type="http://schemas.openxmlformats.org/officeDocument/2006/relationships/hyperlink" Target="https://patado.edu.vn/hlg_tattp_gt" TargetMode="External"/><Relationship Id="rId1212" Type="http://schemas.openxmlformats.org/officeDocument/2006/relationships/hyperlink" Target="https://patado.edu.vn/hlg_tattp_gt/?utm_source=Facebook&amp;utm_medium=CVS&amp;utm_term=NEW_Japan_1840_none_020626&amp;utm_content=saletructiep_Japan.M698xM695.1840.giaotiep_TATTP_LD279&amp;utm_campaign=Japan.giaotiep.M698xM695_XuBen.5018_CVS_HuyLG_020626" TargetMode="External"/><Relationship Id="rId1202" Type="http://schemas.openxmlformats.org/officeDocument/2006/relationships/hyperlink" Target="https://patado.edu.vn/hlg_tattp_gt" TargetMode="External"/><Relationship Id="rId1203" Type="http://schemas.openxmlformats.org/officeDocument/2006/relationships/hyperlink" Target="https://patado.edu.vn/hlg_tattp_gt/?utm_source=Facebook&amp;utm_medium=MES&amp;utm_term=NEW_SoutheastAsia_1840_none_050526&amp;utm_content=saletructiep_SoutheastAsia.M642.1840.giaotiep_TATTP_LD279&amp;utm_campaign=SoutheastAsia.giaotiep.M642_HG4601_MES_HuyLG_050526" TargetMode="External"/><Relationship Id="rId1204" Type="http://schemas.openxmlformats.org/officeDocument/2006/relationships/hyperlink" Target="https://byvn.net/hlgsea01" TargetMode="External"/><Relationship Id="rId1205" Type="http://schemas.openxmlformats.org/officeDocument/2006/relationships/hyperlink" Target="https://patado.edu.vn/hlg_tattp_gt" TargetMode="External"/><Relationship Id="rId1206" Type="http://schemas.openxmlformats.org/officeDocument/2006/relationships/hyperlink" Target="https://patado.edu.vn/hlg_tattp_gt/?utm_source=Facebook&amp;utm_medium=MES&amp;utm_term=NEW_Malaysia_1840_none_080526&amp;utm_content=saletructiep_Malaysia.M397.1840.giaotiep_TATTPVN_LD279&amp;utm_campaign=Malaysia.giaotiep.M397_XuBen.5018_MES_HuyLG_080526" TargetMode="External"/><Relationship Id="rId1207" Type="http://schemas.openxmlformats.org/officeDocument/2006/relationships/hyperlink" Target="https://byvn.net/hlgmy01" TargetMode="External"/><Relationship Id="rId1208" Type="http://schemas.openxmlformats.org/officeDocument/2006/relationships/hyperlink" Target="https://patado.edu.vn/hlg_tattp_gt" TargetMode="External"/><Relationship Id="rId1209" Type="http://schemas.openxmlformats.org/officeDocument/2006/relationships/hyperlink" Target="https://patado.edu.vn/hlg_tattp_gt/?utm_source=Facebook&amp;utm_medium=CVS&amp;utm_term=NEW_Japan_1840_none_080526&amp;utm_content=saletructiep_Japan.M642xM397.1840.giaotiep_TATTPVN_LD279&amp;utm_campaign=Japan.giaotiep.M642xM397_XuBen.5018_CVS_HuyLG_080526" TargetMode="External"/><Relationship Id="rId1200" Type="http://schemas.openxmlformats.org/officeDocument/2006/relationships/hyperlink" Target="https://patado.edu.vn/hlg_tattp_gt/?utm_source=Facebook&amp;utm_medium=MES&amp;utm_term=NEW_UnitedStates_1840_none_050526&amp;utm_content=saletructiep_UnitedStates.M642.1840.giaotiep_TATTP_LD279&amp;utm_campaign=UnitedStates.giaotiep.M642_HG4601_MES_HuyLG_050526" TargetMode="External"/><Relationship Id="rId1201" Type="http://schemas.openxmlformats.org/officeDocument/2006/relationships/hyperlink" Target="https://byvn.net/hlgus41" TargetMode="External"/><Relationship Id="rId1235" Type="http://schemas.openxmlformats.org/officeDocument/2006/relationships/hyperlink" Target="https://patado.edu.vn/japancvs/?utm_source=Facebook&amp;utm_medium=CVS&amp;utm_term=NEW_Japan_1840_none_151026&amp;utm_content=saletructiep_Japan.M779.1840.giaotiep_TATTPVN_LD271&amp;utm_campaign=Japan.giaotiep.M779_HG4601_CVS_HuyLG_151026" TargetMode="External"/><Relationship Id="rId1236" Type="http://schemas.openxmlformats.org/officeDocument/2006/relationships/hyperlink" Target="https://patado.edu.vn/hlg_tattp_gt" TargetMode="External"/><Relationship Id="rId1237" Type="http://schemas.openxmlformats.org/officeDocument/2006/relationships/hyperlink" Target="https://patado.edu.vn/hlg_tattp_gt/?utm_source=Facebook&amp;utm_medium=MES&amp;utm_term=NEW_Japan_1840_none_151026&amp;utm_content=saletructiep_Japan.M800.1840.giaotiep_PGPGTTA_LD279&amp;utm_campaign=Japan.giaotiep.M800_HG4601_MES_HuyLG_151026" TargetMode="External"/><Relationship Id="rId1238" Type="http://schemas.openxmlformats.org/officeDocument/2006/relationships/hyperlink" Target="https://patado.edu.vn/hlg1908" TargetMode="External"/><Relationship Id="rId1239" Type="http://schemas.openxmlformats.org/officeDocument/2006/relationships/hyperlink" Target="https://patado.edu.vn/hlg1908/?utm_source=Facebook&amp;utm_medium=MES&amp;utm_term=NEW_KoreaSouth_1840_none_151026&amp;utm_content=saletructiep_KoreaSouth.M800.1840.giaotiep_TATTPVN_LD273&amp;utm_campaign=KoreaSouth.giaotiep.M800_HG4601_MES_HuyLG_151026" TargetMode="External"/><Relationship Id="rId409" Type="http://schemas.openxmlformats.org/officeDocument/2006/relationships/hyperlink" Target="https://patadovietnam.edu.vn/khoa-hoc-giao-tiep/" TargetMode="External"/><Relationship Id="rId404" Type="http://schemas.openxmlformats.org/officeDocument/2006/relationships/hyperlink" Target="https://patadovietnam.edu.vn/khoa-hoc-giao-tiep/" TargetMode="External"/><Relationship Id="rId403" Type="http://schemas.openxmlformats.org/officeDocument/2006/relationships/hyperlink" Target="http://ldp.ink/Japan7_HLG" TargetMode="External"/><Relationship Id="rId402" Type="http://schemas.openxmlformats.org/officeDocument/2006/relationships/hyperlink" Target="https://patadovietnam.edu.vn/japancvs/?utm_source=Facebook&amp;utm_medium=CVS&amp;utm_term=NEW_Japan_1840_none_310522&amp;utm_content=saletructiep_Japan.Anhthongbao12.1840.Giaotiep_TATTP_LD115&amp;utm_campaign=Japan.Giaotiep.Anhthongbao12_XuBen.5018_CVS_HuyLG_310522" TargetMode="External"/><Relationship Id="rId401" Type="http://schemas.openxmlformats.org/officeDocument/2006/relationships/hyperlink" Target="https://patadovietnam.edu.vn/japancvs/" TargetMode="External"/><Relationship Id="rId408" Type="http://schemas.openxmlformats.org/officeDocument/2006/relationships/hyperlink" Target="https://patadovietnam.edu.vn/ielts_cvs/?utm_source=Facebook&amp;utm_medium=MES&amp;utm_term=NEW_Vietnam_1835_none_310522&amp;utm_content=saletructiep_Vietnam.Anhlotrinh.1835.IELTS_TATTP_LD114&amp;utm_campaign=Vietnam.IELTS.Anhlotrinh_XuBen.5018_MES_HuyLG_310522" TargetMode="External"/><Relationship Id="rId407" Type="http://schemas.openxmlformats.org/officeDocument/2006/relationships/hyperlink" Target="https://patadovietnam.edu.vn/ielts_cvs/" TargetMode="External"/><Relationship Id="rId406" Type="http://schemas.openxmlformats.org/officeDocument/2006/relationships/hyperlink" Target="http://ldp.ink/Japan8_HLG" TargetMode="External"/><Relationship Id="rId405" Type="http://schemas.openxmlformats.org/officeDocument/2006/relationships/hyperlink" Target="https://patadovietnam.edu.vn/khoa-hoc-giao-tiep/?utm_source=Facebook&amp;utm_medium=MES&amp;utm_term=NEW_Japan_1840_none_310522&amp;utm_content=saletructiep_Japan.Anhthongbao12.1840.Giaotiep_PGPGTTA_LD068&amp;utm_campaign=Japan.Giaotiep.Anhthongbao12_XuBen.5018_MES_HuyLG_310522" TargetMode="External"/><Relationship Id="rId1230" Type="http://schemas.openxmlformats.org/officeDocument/2006/relationships/hyperlink" Target="https://patado.edu.vn/hlg_tattp_gt/?utm_source=Facebook&amp;utm_medium=MES&amp;utm_term=NEW_KoreaSouth_1840_none_071026&amp;utm_content=saletructiep_KoreaSouth.M632.1840.giaotiep_TATTP_LD279&amp;utm_campaign=KoreaSouth.giaotiep.M632_HG4601_MES_HuyLG_071026" TargetMode="External"/><Relationship Id="rId400" Type="http://schemas.openxmlformats.org/officeDocument/2006/relationships/hyperlink" Target="https://patadovietnam.edu.vn/khoa-hoc-giao-tiep/?utm_source=Facebook&amp;utm_medium=MES&amp;utm_term=NEW_Europe_1840_none_280522&amp;utm_content=saletructiep_Europe.Anhthongbao12.1840.Giaotiep_TATTP_LD068&amp;utm_campaign=Europe.Giaotiep.Anhthongbao12_XuBen.5018_MES_HuyLG_280522" TargetMode="External"/><Relationship Id="rId1231" Type="http://schemas.openxmlformats.org/officeDocument/2006/relationships/hyperlink" Target="https://byvn.net/hlgkr30" TargetMode="External"/><Relationship Id="rId1232" Type="http://schemas.openxmlformats.org/officeDocument/2006/relationships/hyperlink" Target="https://patado.edu.vn/japancvs/" TargetMode="External"/><Relationship Id="rId1233" Type="http://schemas.openxmlformats.org/officeDocument/2006/relationships/hyperlink" Target="https://patado.edu.vn/japancvs/?utm_source=Facebook&amp;utm_medium=CVS&amp;utm_term=NEW_Japan_1840_none_071026&amp;utm_content=saletructiep_Japan.M783.1840.giaotiep_TATTPVN_LD271&amp;utm_campaign=Japan.giaotiep.M783_HG4601_CVS_HuyLG_071026" TargetMode="External"/><Relationship Id="rId1234" Type="http://schemas.openxmlformats.org/officeDocument/2006/relationships/hyperlink" Target="https://patado.edu.vn/japancvs/" TargetMode="External"/><Relationship Id="rId1224" Type="http://schemas.openxmlformats.org/officeDocument/2006/relationships/hyperlink" Target="https://patado.edu.vn/japancvs/?utm_source=Facebook&amp;utm_medium=CVS&amp;utm_term=NEW_Japan_1840_none_071026&amp;utm_content=saletructiep_Japan.M37.1840.giaotiep_TATTPVN_LD271&amp;utm_campaign=Japan.giaotiep.M37_XuBen.5018_CVS_HuyLG_071026" TargetMode="External"/><Relationship Id="rId1225" Type="http://schemas.openxmlformats.org/officeDocument/2006/relationships/hyperlink" Target="https://byvn.net/hlgjp55" TargetMode="External"/><Relationship Id="rId1226" Type="http://schemas.openxmlformats.org/officeDocument/2006/relationships/hyperlink" Target="https://patado.edu.vn/hlg_tattp_gt" TargetMode="External"/><Relationship Id="rId1227" Type="http://schemas.openxmlformats.org/officeDocument/2006/relationships/hyperlink" Target="https://patado.edu.vn/hlg_tattp_gt/?utm_source=Facebook&amp;utm_medium=CVS&amp;utm_term=NEW_Japan_1840_none_071026&amp;utm_content=saletructiep_Japan.M632.1840.giaotiep_TATTP_LD279&amp;utm_campaign=Japan.giaotiep.M632_XuBen.5018_CVS_HuyLG_071026" TargetMode="External"/><Relationship Id="rId1228" Type="http://schemas.openxmlformats.org/officeDocument/2006/relationships/hyperlink" Target="https://byvn.net/hlgjp56" TargetMode="External"/><Relationship Id="rId1229" Type="http://schemas.openxmlformats.org/officeDocument/2006/relationships/hyperlink" Target="https://patado.edu.vn/hlg_tattp_gt" TargetMode="External"/><Relationship Id="rId1220" Type="http://schemas.openxmlformats.org/officeDocument/2006/relationships/hyperlink" Target="https://patado.edu.vn/hlg_tattp_gt" TargetMode="External"/><Relationship Id="rId1221" Type="http://schemas.openxmlformats.org/officeDocument/2006/relationships/hyperlink" Target="https://patado.edu.vn/hlg_tattp_gt/?utm_source=Facebook&amp;utm_medium=CVS&amp;utm_term=NEW_UnitedStates_1840_none_051026&amp;utm_content=saletructiep_UnitedStates.M632.1840.giaotiep_TATTP_LD279&amp;utm_campaign=UnitedStates.giaotiep.M632_HG4601_CVS_HuyLG_051026" TargetMode="External"/><Relationship Id="rId1222" Type="http://schemas.openxmlformats.org/officeDocument/2006/relationships/hyperlink" Target="https://byvn.net/hlgus45" TargetMode="External"/><Relationship Id="rId1223" Type="http://schemas.openxmlformats.org/officeDocument/2006/relationships/hyperlink" Target="https://patado.edu.vn/japancvs/" TargetMode="External"/><Relationship Id="rId469" Type="http://schemas.openxmlformats.org/officeDocument/2006/relationships/hyperlink" Target="https://patadovietnam.edu.vn/khoa-hoc-giao-tiep/" TargetMode="External"/><Relationship Id="rId468" Type="http://schemas.openxmlformats.org/officeDocument/2006/relationships/hyperlink" Target="http://ldp.to/kids_cvs" TargetMode="External"/><Relationship Id="rId467" Type="http://schemas.openxmlformats.org/officeDocument/2006/relationships/hyperlink" Target="https://patadovietnam.edu.vn/kids_hlg/?utm_source=Facebook&amp;utm_medium=CVS&amp;utm_term=NEW_Vietnam_2855_none_130822&amp;utm_content=saletructiep_Vietnam.Anhcambridge.2855.Kids_TATTP_LD120&amp;utm_campaign=Vietnam.Kids.Anhcambridge_XuBen.5018_CVS_HuyLG_130822" TargetMode="External"/><Relationship Id="rId462" Type="http://schemas.openxmlformats.org/officeDocument/2006/relationships/hyperlink" Target="http://ldp.to/CTW_HCM" TargetMode="External"/><Relationship Id="rId461" Type="http://schemas.openxmlformats.org/officeDocument/2006/relationships/hyperlink" Target="https://patadovietnam.edu.vn/khoa-hoc-giao-tiep/?utm_source=Facebook&amp;utm_medium=CTW&amp;utm_term=NEW_HCM_1840_none_250722&amp;utm_content=saletructiep_HCM.VideoH4trungtam.1840.PRtrungtam_THCNGDP_LD068&amp;utm_campaign=HCM.PRtrungtam.VideoH4trungtam_XuBen.5018_CTW_HuyLG_250722" TargetMode="External"/><Relationship Id="rId460" Type="http://schemas.openxmlformats.org/officeDocument/2006/relationships/hyperlink" Target="https://patadovietnam.edu.vn/khoa-hoc-giao-tiep/" TargetMode="External"/><Relationship Id="rId466" Type="http://schemas.openxmlformats.org/officeDocument/2006/relationships/hyperlink" Target="https://patadovietnam.edu.vn/kids_hlg/" TargetMode="External"/><Relationship Id="rId465" Type="http://schemas.openxmlformats.org/officeDocument/2006/relationships/hyperlink" Target="http://ldp.to/CTW_HN" TargetMode="External"/><Relationship Id="rId464" Type="http://schemas.openxmlformats.org/officeDocument/2006/relationships/hyperlink" Target="https://patadovietnam.edu.vn/khoa-hoc-giao-tiep/?utm_source=Facebook&amp;utm_medium=CTW&amp;utm_term=NEW_HN_1840_none_250722&amp;utm_content=saletructiep_HN.VideoVTV.1840.PRtrungtam_THCNGDP_LD068&amp;utm_campaign=HN.PRtrungtam.VideoVTV_XuBen.5018_CTW_HuyLG_250722" TargetMode="External"/><Relationship Id="rId463" Type="http://schemas.openxmlformats.org/officeDocument/2006/relationships/hyperlink" Target="https://patadovietnam.edu.vn/khoa-hoc-giao-tiep/" TargetMode="External"/><Relationship Id="rId459" Type="http://schemas.openxmlformats.org/officeDocument/2006/relationships/hyperlink" Target="https://s.net.vn/hlgjp11" TargetMode="External"/><Relationship Id="rId458" Type="http://schemas.openxmlformats.org/officeDocument/2006/relationships/hyperlink" Target="https://patadovietnam.edu.vn/japan_hlg/?utm_source=Facebook&amp;utm_medium=CVS&amp;utm_term=NEW_Japan_1840_none_130722&amp;utm_content=saletructiep_Japan.Anhshort.1840.Giaotiep_PGPGTTA_LD125&amp;utm_campaign=Japan.Giaotiep.Anhshort_XuBen.5018_CVS_HuyLG_130722" TargetMode="External"/><Relationship Id="rId457" Type="http://schemas.openxmlformats.org/officeDocument/2006/relationships/hyperlink" Target="https://patadovietnam.edu.vn/japan_hlg/" TargetMode="External"/><Relationship Id="rId456" Type="http://schemas.openxmlformats.org/officeDocument/2006/relationships/hyperlink" Target="https://patadovietnam.edu.vn/khoa-hoc-giao-tiep/?utm_source=Facebook&amp;utm_medium=MES&amp;utm_term=NEW_Australia_1845_none_130722&amp;utm_content=saletructiep_Australia.Anhthongbao12.1845.Giaotiep_PGPGTTA_LD068&amp;utm_campaign=Australia.Giaotiep.Anhthongbao12_XuBen.5018_MES_HuyLG_130722" TargetMode="External"/><Relationship Id="rId451" Type="http://schemas.openxmlformats.org/officeDocument/2006/relationships/hyperlink" Target="http://ldp.to/korea_cvs2" TargetMode="External"/><Relationship Id="rId450" Type="http://schemas.openxmlformats.org/officeDocument/2006/relationships/hyperlink" Target="https://patadovietnam.edu.vn/korea_cvs/?utm_source=Facebook&amp;utm_medium=CVS&amp;utm_term=NEW_Korea_1840_none_110722&amp;utm_content=saletructiep_Korea.Anhthongbao12.1840.Giaotiep_TATTP_LD117&amp;utm_campaign=Korea.Giaotiep.Anhthongbao12_XuBen.5018_CVS_HuyLG_110722" TargetMode="External"/><Relationship Id="rId455" Type="http://schemas.openxmlformats.org/officeDocument/2006/relationships/hyperlink" Target="https://patadovietnam.edu.vn/khoa-hoc-giao-tiep/" TargetMode="External"/><Relationship Id="rId454" Type="http://schemas.openxmlformats.org/officeDocument/2006/relationships/hyperlink" Target="http://ldp.to/canada_hlg" TargetMode="External"/><Relationship Id="rId453" Type="http://schemas.openxmlformats.org/officeDocument/2006/relationships/hyperlink" Target="https://patadovietnam.edu.vn/khoa-hoc-giao-tiep/?utm_source=Facebook&amp;utm_medium=MES&amp;utm_term=NEW_Canada_1845_none_130722&amp;utm_content=saletructiep_Canada.Anhthongbao12.1845.Giaotiep_TATTP_LD068&amp;utm_campaign=Canada.Giaotiep.Anhthongbao12_XuBen.5018_MES_HuyLG_130722" TargetMode="External"/><Relationship Id="rId452" Type="http://schemas.openxmlformats.org/officeDocument/2006/relationships/hyperlink" Target="https://patadovietnam.edu.vn/khoa-hoc-giao-tiep/" TargetMode="External"/><Relationship Id="rId491" Type="http://schemas.openxmlformats.org/officeDocument/2006/relationships/hyperlink" Target="http://ldp.to/Philippines_hlg" TargetMode="External"/><Relationship Id="rId490" Type="http://schemas.openxmlformats.org/officeDocument/2006/relationships/hyperlink" Target="https://patadovietnam.edu.vn/khoa-hoc-giao-tiep/?utm_source=Facebook&amp;utm_medium=MES&amp;utm_term=NEW_Philippines_1840_none_111022&amp;utm_content=saletructiep_Philippines.Anhthongbao12.1840.Giaotiep_TATTP_LD068&amp;utm_campaign=Philippines.Giaotiep.Anhthongbao12_XuBen.5018_MES_HuyLG_111022" TargetMode="External"/><Relationship Id="rId489" Type="http://schemas.openxmlformats.org/officeDocument/2006/relationships/hyperlink" Target="https://patadovietnam.edu.vn/khoa-hoc-giao-tiep/" TargetMode="External"/><Relationship Id="rId484" Type="http://schemas.openxmlformats.org/officeDocument/2006/relationships/hyperlink" Target="https://patadovietnam.edu.vn/korea_cvs/?utm_source=Facebook&amp;utm_medium=CVS&amp;utm_term=NEW_Korea_1840_none_041022&amp;utm_content=saletructiep_Korea.Anhthongbao12.1840.Giaotiep_TATTP_LD117&amp;utm_campaign=Korea.Giaotiep.Anhshortthongbao_XuBen.5018_CVS_HuyLG_041022" TargetMode="External"/><Relationship Id="rId483" Type="http://schemas.openxmlformats.org/officeDocument/2006/relationships/hyperlink" Target="https://patadovietnam.edu.vn/korea_cvs/" TargetMode="External"/><Relationship Id="rId482" Type="http://schemas.openxmlformats.org/officeDocument/2006/relationships/hyperlink" Target="https://patadovietnam.edu.vn/hoaky_cvs/?utm_source=Facebook&amp;utm_medium=MES&amp;utm_term=NEW_UnitedStates_2045_none_280922&amp;utm_content=saletructiep_UnitedStates.Anhshortthongbao.2045.Giaotiep_TATTP_LD109&amp;utm_campaign=UnitedStates.Giaotiep.Anhshortthongbao_XuBen.5018_MES_HuyLG_280922" TargetMode="External"/><Relationship Id="rId481" Type="http://schemas.openxmlformats.org/officeDocument/2006/relationships/hyperlink" Target="https://patadovietnam.edu.vn/hoaky_cvs/" TargetMode="External"/><Relationship Id="rId488" Type="http://schemas.openxmlformats.org/officeDocument/2006/relationships/hyperlink" Target="http://ldp.to/macao_hlg" TargetMode="External"/><Relationship Id="rId487" Type="http://schemas.openxmlformats.org/officeDocument/2006/relationships/hyperlink" Target="https://patadovietnam.edu.vn/khoa-hoc-giao-tiep/?utm_source=Facebook&amp;utm_medium=MES&amp;utm_term=NEW_Macao_1840_none_071022&amp;utm_content=saletructiep_Macao.Anhtutingt.1840.Giaotiep_TATTP_LD068&amp;utm_campaign=Macao.Giaotiep.Anhtutingt_XuBen.5018_MES_HuyLG_071022" TargetMode="External"/><Relationship Id="rId486" Type="http://schemas.openxmlformats.org/officeDocument/2006/relationships/hyperlink" Target="https://patadovietnam.edu.vn/khoa-hoc-giao-tiep/" TargetMode="External"/><Relationship Id="rId485" Type="http://schemas.openxmlformats.org/officeDocument/2006/relationships/hyperlink" Target="https://s.net.vn/hlgkr12" TargetMode="External"/><Relationship Id="rId480" Type="http://schemas.openxmlformats.org/officeDocument/2006/relationships/hyperlink" Target="http://ldp.to/Taiwan_hlg" TargetMode="External"/><Relationship Id="rId479" Type="http://schemas.openxmlformats.org/officeDocument/2006/relationships/hyperlink" Target="https://patadovietnam.edu.vn/khoa-hoc-giao-tiep/?utm_source=Facebook&amp;utm_medium=MES&amp;utm_term=NEW_Taiwan_1840_none_280922&amp;utm_content=saletructiep_Taiwan.Anhshortthongbao.1840.Giaotiep_TATTP_LD068&amp;utm_campaign=Taiwan.Giaotiep.Anhshortthongbao_XuBen.5018_MES_HuyLG_280922" TargetMode="External"/><Relationship Id="rId478" Type="http://schemas.openxmlformats.org/officeDocument/2006/relationships/hyperlink" Target="https://patadovietnam.edu.vn/khoa-hoc-giao-tiep/" TargetMode="External"/><Relationship Id="rId473" Type="http://schemas.openxmlformats.org/officeDocument/2006/relationships/hyperlink" Target="https://patadovietnam.edu.vn/khoa-hoc-giao-tiep/?utm_source=Facebook&amp;utm_medium=MES&amp;utm_term=NEW_UnitedStates_2050_none_060922&amp;utm_content=Storytelling_UnitedStates.Anhfeedback.2050.Giaotiep_TATTP_LD068&amp;utm_campaign=UnitedStates.Giaotiep.Anhfeedback_XuBen.5018_MES_HuyLG_060922" TargetMode="External"/><Relationship Id="rId472" Type="http://schemas.openxmlformats.org/officeDocument/2006/relationships/hyperlink" Target="https://patadovietnam.edu.vn/khoa-hoc-giao-tiep/" TargetMode="External"/><Relationship Id="rId471" Type="http://schemas.openxmlformats.org/officeDocument/2006/relationships/hyperlink" Target="http://ldp.to/Feedback_Australia" TargetMode="External"/><Relationship Id="rId470" Type="http://schemas.openxmlformats.org/officeDocument/2006/relationships/hyperlink" Target="https://patadovietnam.edu.vn/khoa-hoc-giao-tiep/?utm_source=Facebook&amp;utm_medium=MES&amp;utm_term=NEW_Australia_1845_none_060922&amp;utm_content=Storytelling_Australia.Anhfeedback.1845.Giaotiep_TATTP_LD068&amp;utm_campaign=Australia.Giaotiep.Anhfeedback_XuBen.5018_MES_HuyLG_060922" TargetMode="External"/><Relationship Id="rId477" Type="http://schemas.openxmlformats.org/officeDocument/2006/relationships/hyperlink" Target="http://ldp.to/Australia_hlg" TargetMode="External"/><Relationship Id="rId476" Type="http://schemas.openxmlformats.org/officeDocument/2006/relationships/hyperlink" Target="https://patadovietnam.edu.vn/khoa-hoc-giao-tiep/?utm_source=Facebook&amp;utm_medium=MES&amp;utm_term=NEW_Australia_1845_none_280922&amp;utm_content=saletructiep_Australia.Anhshortthongbao.1845.Giaotiep_TATTP_LD068&amp;utm_campaign=Australia.Giaotiep.Anhshortthongbao_XuBen.5018_MES_HuyLG_280922" TargetMode="External"/><Relationship Id="rId475" Type="http://schemas.openxmlformats.org/officeDocument/2006/relationships/hyperlink" Target="https://patadovietnam.edu.vn/khoa-hoc-giao-tiep/" TargetMode="External"/><Relationship Id="rId474" Type="http://schemas.openxmlformats.org/officeDocument/2006/relationships/hyperlink" Target="http://ldp.to/Feedback_Us" TargetMode="External"/><Relationship Id="rId426" Type="http://schemas.openxmlformats.org/officeDocument/2006/relationships/hyperlink" Target="https://patadovietnam.edu.vn/hoaky_cvs/?utm_source=Facebook&amp;utm_medium=CVS&amp;utm_term=NEW_UnitedStates_1840_none_010722&amp;utm_content=saletructiep_UnitedStates.Anhlotrinh.1845.Giaotiep_PGPGTTA_LD109&amp;utm_campaign=UnitedStates.Giaotiep.Anhlotrinh_XuBen.5018_CVS_HuyLG_010722" TargetMode="External"/><Relationship Id="rId425" Type="http://schemas.openxmlformats.org/officeDocument/2006/relationships/hyperlink" Target="https://patadovietnam.edu.vn/hoaky_cvs/" TargetMode="External"/><Relationship Id="rId424" Type="http://schemas.openxmlformats.org/officeDocument/2006/relationships/hyperlink" Target="https://s.net.vn/hlgall08" TargetMode="External"/><Relationship Id="rId423" Type="http://schemas.openxmlformats.org/officeDocument/2006/relationships/hyperlink" Target="https://patadovietnam.edu.vn/khoa-hoc-giao-tiep/?utm_source=Facebook&amp;utm_medium=MES&amp;utm_term=NEW_ALL_1840_none_130622&amp;utm_content=saletructiep_ALL.VideoH4trungtam.1840.Giaotiep_TATTP_LD068&amp;utm_campaign=ALL.Giaotiep.VideoH4trungtam_XuBen.5018_MES_HuyLG_130622" TargetMode="External"/><Relationship Id="rId429" Type="http://schemas.openxmlformats.org/officeDocument/2006/relationships/hyperlink" Target="https://patadovietnam.edu.vn/khoa-hoc-giao-tiep/?utm_source=Facebook&amp;utm_medium=CVS&amp;utm_term=NEW_Australia_1840_none_010722&amp;utm_content=saletructiep_Australia.Anhlotrinh.1845.Giaotiep_PGPGTTA_LD068&amp;utm_campaign=Australia.Giaotiep.Anhlotrinh_XuBen.5018_CVS_HuyLG_010722" TargetMode="External"/><Relationship Id="rId428" Type="http://schemas.openxmlformats.org/officeDocument/2006/relationships/hyperlink" Target="https://patadovietnam.edu.vn/khoa-hoc-giao-tiep/" TargetMode="External"/><Relationship Id="rId427" Type="http://schemas.openxmlformats.org/officeDocument/2006/relationships/hyperlink" Target="http://ldp.to/us_cvs" TargetMode="External"/><Relationship Id="rId422" Type="http://schemas.openxmlformats.org/officeDocument/2006/relationships/hyperlink" Target="https://patadovietnam.edu.vn/khoa-hoc-giao-tiep/" TargetMode="External"/><Relationship Id="rId421" Type="http://schemas.openxmlformats.org/officeDocument/2006/relationships/hyperlink" Target="http://ldp.ink/Japan9_HLG" TargetMode="External"/><Relationship Id="rId420" Type="http://schemas.openxmlformats.org/officeDocument/2006/relationships/hyperlink" Target="https://patadovietnam.edu.vn/japan_hlg/?utm_source=Facebook&amp;utm_medium=CVS&amp;utm_term=NEW_Japan_1840_none_110622&amp;utm_content=saletructiep_Japan.Anhthongbao12.1840.Giaotiep_TATTP_LD125&amp;utm_campaign=Japan.Giaotiep.Anhthongbao12_XuBen.5018_CVS_HuyLG_110622" TargetMode="External"/><Relationship Id="rId415" Type="http://schemas.openxmlformats.org/officeDocument/2006/relationships/hyperlink" Target="https://patadovietnam.edu.vn/khoa-hoc-giao-tiep/?utm_source=Facebook&amp;utm_medium=MES&amp;utm_term=NEW_Malaysia_1840_none_040622&amp;utm_content=saletructiep_Malaysia.Anhthongbao12.1840.Giaotiep_TATTP_LD068&amp;utm_campaign=Malaysia.Giaotiep.Anhthongbao12_XuBen.5018_MES_HuyLG_040622" TargetMode="External"/><Relationship Id="rId414" Type="http://schemas.openxmlformats.org/officeDocument/2006/relationships/hyperlink" Target="https://patadovietnam.edu.vn/khoa-hoc-giao-tiep/" TargetMode="External"/><Relationship Id="rId413" Type="http://schemas.openxmlformats.org/officeDocument/2006/relationships/hyperlink" Target="http://ldp.to/Australia6_HLG" TargetMode="External"/><Relationship Id="rId412" Type="http://schemas.openxmlformats.org/officeDocument/2006/relationships/hyperlink" Target="https://patadovietnam.edu.vn/khoa-hoc-giao-tiep/?utm_source=Facebook&amp;utm_medium=MES&amp;utm_term=NEW_Australia_1845_none_040622&amp;utm_content=saletructiep_Australia.Anhthongbao12.1845.Giaotiep_TATTP_LD068&amp;utm_campaign=Australia.Giaotiep.Anhthongbao12_XuBen.5018_MES_HuyLG_040622" TargetMode="External"/><Relationship Id="rId419" Type="http://schemas.openxmlformats.org/officeDocument/2006/relationships/hyperlink" Target="https://patadovietnam.edu.vn/japan_hlg/" TargetMode="External"/><Relationship Id="rId418" Type="http://schemas.openxmlformats.org/officeDocument/2006/relationships/hyperlink" Target="https://patadovietnam.edu.vn/ielts_cvs/?utm_source=Facebook&amp;utm_medium=MES&amp;utm_term=NEW_Vietnam_1840_none_060622&amp;utm_content=saletructiep_Vietnam.VideoH4trungtam.1840.IELTS_TATTP_LD114&amp;utm_campaign=Vietnam.IELTS.VideoH4trungtam_XuBen.5018_MES_HuyLG_060622" TargetMode="External"/><Relationship Id="rId417" Type="http://schemas.openxmlformats.org/officeDocument/2006/relationships/hyperlink" Target="https://patadovietnam.edu.vn/ielts_cvs/" TargetMode="External"/><Relationship Id="rId416" Type="http://schemas.openxmlformats.org/officeDocument/2006/relationships/hyperlink" Target="https://by.tn/hlgma01" TargetMode="External"/><Relationship Id="rId1240" Type="http://schemas.openxmlformats.org/officeDocument/2006/relationships/drawing" Target="../drawings/drawing10.xml"/><Relationship Id="rId411" Type="http://schemas.openxmlformats.org/officeDocument/2006/relationships/hyperlink" Target="https://patadovietnam.edu.vn/khoa-hoc-giao-tiep/" TargetMode="External"/><Relationship Id="rId410" Type="http://schemas.openxmlformats.org/officeDocument/2006/relationships/hyperlink" Target="https://patadovietnam.edu.vn/khoa-hoc-giao-tiep/?utm_source=Facebook&amp;utm_medium=MES&amp;utm_term=NEW_UnitedStates_1845_none_310522&amp;utm_content=saletructiep_UnitedStates.Anhthongbao12.1845.Giaotiep_TATTP_LD068&amp;utm_campaign=UnitedStates.Giaotiep.Anhthongbao12_XuBen.5018_MES_HuyLG_310522" TargetMode="External"/><Relationship Id="rId448" Type="http://schemas.openxmlformats.org/officeDocument/2006/relationships/hyperlink" Target="http://ldp.ink/us_cvs2" TargetMode="External"/><Relationship Id="rId447" Type="http://schemas.openxmlformats.org/officeDocument/2006/relationships/hyperlink" Target="https://patadovietnam.edu.vn/hoaky_cvs/?utm_source=Facebook&amp;utm_medium=CVS&amp;utm_term=NEW_UnitedStates_1850_none_110722&amp;utm_content=saletructiep_UnitedStates.Anhshortthongbao.1845.Giaotiep_PGPGTTA_LD109&amp;utm_campaign=UnitedStates.Giaotiep.Anhshortthongbao_XuBen.5018_CVS_HuyLG_110722" TargetMode="External"/><Relationship Id="rId446" Type="http://schemas.openxmlformats.org/officeDocument/2006/relationships/hyperlink" Target="https://patadovietnam.edu.vn/hoaky_cvs/" TargetMode="External"/><Relationship Id="rId445" Type="http://schemas.openxmlformats.org/officeDocument/2006/relationships/hyperlink" Target="https://by.tn/hlgus03" TargetMode="External"/><Relationship Id="rId449" Type="http://schemas.openxmlformats.org/officeDocument/2006/relationships/hyperlink" Target="https://patadovietnam.edu.vn/korea_cvs/" TargetMode="External"/><Relationship Id="rId440" Type="http://schemas.openxmlformats.org/officeDocument/2006/relationships/hyperlink" Target="https://patadovietnam.edu.vn/korea_cvs/" TargetMode="External"/><Relationship Id="rId444" Type="http://schemas.openxmlformats.org/officeDocument/2006/relationships/hyperlink" Target="https://patadovietnam.edu.vn/hoaky_cvs/?utm_source=Facebook&amp;utm_medium=CVS&amp;utm_term=NEW_UnitedStates_1840_none_090722&amp;utm_content=saletructiep_UnitedStates.Anhthongbao12.1845.Giaotiep_TATTP_LD109&amp;utm_campaign=UnitedStates.Giaotiep.Anhthongbao12_XuBen.5018_CVS_HuyLG_090722" TargetMode="External"/><Relationship Id="rId443" Type="http://schemas.openxmlformats.org/officeDocument/2006/relationships/hyperlink" Target="https://patadovietnam.edu.vn/hoaky_cvs/" TargetMode="External"/><Relationship Id="rId442" Type="http://schemas.openxmlformats.org/officeDocument/2006/relationships/hyperlink" Target="http://ldp.to/korea_cvs1" TargetMode="External"/><Relationship Id="rId441" Type="http://schemas.openxmlformats.org/officeDocument/2006/relationships/hyperlink" Target="https://patadovietnam.edu.vn/korea_cvs/?utm_source=Facebook&amp;utm_medium=CVS&amp;utm_term=NEW_Korea_1840_none_090722&amp;utm_content=saletructiep_Korea.Anhchaohe.1840.Giaotiep_TATTP_LD117&amp;utm_campaign=Korea.Giaotiep.Anhchaohe_XuBen.5018_CVS_HuyLG_090722" TargetMode="External"/><Relationship Id="rId437" Type="http://schemas.openxmlformats.org/officeDocument/2006/relationships/hyperlink" Target="https://patadovietnam.edu.vn/khoa-hoc-giao-tiep/" TargetMode="External"/><Relationship Id="rId436" Type="http://schemas.openxmlformats.org/officeDocument/2006/relationships/hyperlink" Target="http://ldp.ink/hlgeu01" TargetMode="External"/><Relationship Id="rId435" Type="http://schemas.openxmlformats.org/officeDocument/2006/relationships/hyperlink" Target="https://patadovietnam.edu.vn/eu_hlg/?utm_source=Facebook&amp;utm_medium=CVS&amp;utm_term=NEW_Europe_1840_none_020722&amp;utm_content=saletructiep_Europe.Anhlotrinh.1840.Giaotiep_PGPGTTA_LD154&amp;utm_campaign=Europe.Giaotiep.Anhlotrinh_XuBen.5018_CVS_HuyLG_020722" TargetMode="External"/><Relationship Id="rId434" Type="http://schemas.openxmlformats.org/officeDocument/2006/relationships/hyperlink" Target="https://patadovietnam.edu.vn/eu_hlg/" TargetMode="External"/><Relationship Id="rId439" Type="http://schemas.openxmlformats.org/officeDocument/2006/relationships/hyperlink" Target="http://ldp.to/australia_cvs1" TargetMode="External"/><Relationship Id="rId438" Type="http://schemas.openxmlformats.org/officeDocument/2006/relationships/hyperlink" Target="https://patadovietnam.edu.vn/khoa-hoc-giao-tiep/?utm_source=Facebook&amp;utm_medium=CVS&amp;utm_term=NEW_Australia_1840_none_090722&amp;utm_content=saletructiep_Australia.Anhchaohe.1845.Giaotiep_TATTP_LD068&amp;utm_campaign=Australia.Giaotiep.Anhchaohe_XuBen.5018_CVS_HuyLG_090722" TargetMode="External"/><Relationship Id="rId433" Type="http://schemas.openxmlformats.org/officeDocument/2006/relationships/hyperlink" Target="http://ldp.to/korea_cvs" TargetMode="External"/><Relationship Id="rId432" Type="http://schemas.openxmlformats.org/officeDocument/2006/relationships/hyperlink" Target="https://patadovietnam.edu.vn/korea_cvs/?utm_source=Facebook&amp;utm_medium=CVS&amp;utm_term=NEW_Korea_1840_none_010722&amp;utm_content=saletructiep_Korea.Anhlotrinh.1840.Giaotiep_PGPGTTA_LD117&amp;utm_campaign=Korea.Giaotiep.Anhlotrinh_XuBen.5018_CVS_HuyLG_010722" TargetMode="External"/><Relationship Id="rId431" Type="http://schemas.openxmlformats.org/officeDocument/2006/relationships/hyperlink" Target="https://patadovietnam.edu.vn/korea_cvs/" TargetMode="External"/><Relationship Id="rId430" Type="http://schemas.openxmlformats.org/officeDocument/2006/relationships/hyperlink" Target="http://ldp.to/australia_cvs" TargetMode="External"/><Relationship Id="rId1" Type="http://schemas.openxmlformats.org/officeDocument/2006/relationships/hyperlink" Target="https://toandien.tienganh24h.net/khoahocgiaotiep/" TargetMode="External"/><Relationship Id="rId2" Type="http://schemas.openxmlformats.org/officeDocument/2006/relationships/hyperlink" Target="https://patadovietnam.edu.vn/tai-tai-lieu/" TargetMode="External"/><Relationship Id="rId3" Type="http://schemas.openxmlformats.org/officeDocument/2006/relationships/hyperlink" Target="https://patadovietnam.edu.vn/test-trinh-do/" TargetMode="External"/><Relationship Id="rId4" Type="http://schemas.openxmlformats.org/officeDocument/2006/relationships/hyperlink" Target="https://patadovietnam.edu.vn/test-trinh-do/?utm_source=Facebook&amp;utm_medium=SEE&amp;utm_term=NON_NONE_none_none_181220&amp;utm_content=khac_Content2_NON_LD013&amp;utm_campaign=Test_NON_NON_HuyLG_181220" TargetMode="External"/><Relationship Id="rId9" Type="http://schemas.openxmlformats.org/officeDocument/2006/relationships/hyperlink" Target="https://patadovietnam.edu.vn/blog/sach-luyen-thi-ielts/" TargetMode="External"/><Relationship Id="rId5" Type="http://schemas.openxmlformats.org/officeDocument/2006/relationships/hyperlink" Target="https://patadovietnam.edu.vn/" TargetMode="External"/><Relationship Id="rId6" Type="http://schemas.openxmlformats.org/officeDocument/2006/relationships/hyperlink" Target="https://patadovietnam.edu.vn/?utm_source=Facebook&amp;utm_medium=SEE&amp;utm_term=NON_NONE_none_none_181220&amp;utm_content=khac_Content2_NON_LD008&amp;utm_campaign=Home_NON_NON_HuyLG_181220" TargetMode="External"/><Relationship Id="rId7" Type="http://schemas.openxmlformats.org/officeDocument/2006/relationships/hyperlink" Target="https://patadovietnam.edu.vn/blog/ielts-writting/" TargetMode="External"/><Relationship Id="rId8" Type="http://schemas.openxmlformats.org/officeDocument/2006/relationships/hyperlink" Target="https://patadovietnam.edu.vn/blog/ielts-writting/?utm_source=Facebook&amp;utm_medium=SEE&amp;utm_term=NON_NONE_none_none_311220&amp;utm_content=khac_Content1_NON_LD032&amp;utm_campaign=Writing_NON_NON_HuyLG_311220" TargetMode="External"/><Relationship Id="rId808" Type="http://schemas.openxmlformats.org/officeDocument/2006/relationships/hyperlink" Target="https://patadovietnam.edu.vn/hlg_tattp_gt/?utm_source=Facebook&amp;utm_medium=CVS&amp;utm_term=NEW_Europe_2040_none_120225&amp;utm_content=saletructiep_Europe.Giaotiep.M394C317.2040_TATTP_LD233&amp;utm_campaign=Europe.Giaotiep.M394C317_XuBen.5018_CVS_HuyLG_120225" TargetMode="External"/><Relationship Id="rId807" Type="http://schemas.openxmlformats.org/officeDocument/2006/relationships/hyperlink" Target="https://patadovietnam.edu.vn/hlg_tattp_gt/" TargetMode="External"/><Relationship Id="rId806" Type="http://schemas.openxmlformats.org/officeDocument/2006/relationships/hyperlink" Target="https://s.net.vn/hlgus09" TargetMode="External"/><Relationship Id="rId805" Type="http://schemas.openxmlformats.org/officeDocument/2006/relationships/hyperlink" Target="https://patadovietnam.edu.vn/hoaky_cvs/?utm_source=Facebook&amp;utm_medium=CVS&amp;utm_term=NEW_UnitedStates_2040_none_110225&amp;utm_content=saletructiep_UnitedStates.Giaotiep.M388C315.2040_TATTP_LD109&amp;utm_campaign=UnitedStates.Giaotiep.M388C315_XuBen.5018_CVS_HuyLG_110225" TargetMode="External"/><Relationship Id="rId809" Type="http://schemas.openxmlformats.org/officeDocument/2006/relationships/hyperlink" Target="https://s.net.vn/hlgeu08" TargetMode="External"/><Relationship Id="rId800" Type="http://schemas.openxmlformats.org/officeDocument/2006/relationships/hyperlink" Target="https://s.net.vn/hlgjp09" TargetMode="External"/><Relationship Id="rId804" Type="http://schemas.openxmlformats.org/officeDocument/2006/relationships/hyperlink" Target="https://patadovietnam.edu.vn/hoaky_cvs/" TargetMode="External"/><Relationship Id="rId803" Type="http://schemas.openxmlformats.org/officeDocument/2006/relationships/hyperlink" Target="https://s.net.vn/hlgkr09" TargetMode="External"/><Relationship Id="rId802" Type="http://schemas.openxmlformats.org/officeDocument/2006/relationships/hyperlink" Target="https://patadovietnam.edu.vn/korea_cvs/?utm_source=Facebook&amp;utm_medium=CVS&amp;utm_term=NEW_KoreaSouth_2040_none_110225&amp;utm_content=saletructiep_KoreaSouth.Giaotiep.M388C315.2040_TATTP_LD117&amp;utm_campaign=KoreaSouth.Giaotiep.M388C315_XuBen.5018_CVS_HuyLG_110225" TargetMode="External"/><Relationship Id="rId801" Type="http://schemas.openxmlformats.org/officeDocument/2006/relationships/hyperlink" Target="https://patadovietnam.edu.vn/korea_cvs/" TargetMode="External"/><Relationship Id="rId745" Type="http://schemas.openxmlformats.org/officeDocument/2006/relationships/hyperlink" Target="https://patadovietnam.edu.vn/hlg_tattp_gt/?utm_source=Facebook&amp;utm_medium=MES&amp;utm_term=NEW_Australia_2040_none_011124&amp;utm_content=saletructiep_Australia.Giaotiep.M300C262.2040_TATTP_LD233&amp;utm_campaign=Australia.Giaotiep.M300C262_XuBen.5018_MES_HuyLG_011124" TargetMode="External"/><Relationship Id="rId744" Type="http://schemas.openxmlformats.org/officeDocument/2006/relationships/hyperlink" Target="https://patadovietnam.edu.vn/hlg_tattp_gt/" TargetMode="External"/><Relationship Id="rId743" Type="http://schemas.openxmlformats.org/officeDocument/2006/relationships/hyperlink" Target="https://s.net.vn/hlgjp" TargetMode="External"/><Relationship Id="rId742" Type="http://schemas.openxmlformats.org/officeDocument/2006/relationships/hyperlink" Target="https://patadovietnam.edu.vn/japancvs/?utm_source=Facebook&amp;utm_medium=MES&amp;utm_term=NEW_Japan_2040_none_011124&amp;utm_content=saletructiep_Japan.Giaotiep.M300C262.2040_TATTP_LD115&amp;utm_campaign=Japan.Giaotiep.M300C262_XuBen.5018_MES_HuyLG_011124" TargetMode="External"/><Relationship Id="rId749" Type="http://schemas.openxmlformats.org/officeDocument/2006/relationships/hyperlink" Target="https://s.net.vn/hlgeu" TargetMode="External"/><Relationship Id="rId748" Type="http://schemas.openxmlformats.org/officeDocument/2006/relationships/hyperlink" Target="https://patadovietnam.edu.vn/eu_hlg/?utm_source=Facebook&amp;utm_medium=MES&amp;utm_term=NEW_Europe_2040_none_011124&amp;utm_content=saletructiep_Europe.Giaotiep.M300C262.2040_TATTP_LD154&amp;utm_campaign=Europe.Giaotiep.M300C262_XuBen.5018_MES_HuyLG_011124" TargetMode="External"/><Relationship Id="rId747" Type="http://schemas.openxmlformats.org/officeDocument/2006/relationships/hyperlink" Target="https://patadovietnam.edu.vn/eu_hlg/" TargetMode="External"/><Relationship Id="rId746" Type="http://schemas.openxmlformats.org/officeDocument/2006/relationships/hyperlink" Target="https://s.net.vn/hlgau" TargetMode="External"/><Relationship Id="rId741" Type="http://schemas.openxmlformats.org/officeDocument/2006/relationships/hyperlink" Target="https://patadovietnam.edu.vn/japancvs/" TargetMode="External"/><Relationship Id="rId740" Type="http://schemas.openxmlformats.org/officeDocument/2006/relationships/hyperlink" Target="https://by.tn/hlgeu06" TargetMode="External"/><Relationship Id="rId739" Type="http://schemas.openxmlformats.org/officeDocument/2006/relationships/hyperlink" Target="https://patadovietnam.edu.vn/eu_hlg/?utm_source=Facebook&amp;utm_medium=CVS&amp;utm_term=NEW_Europe_2040_none_231024&amp;utm_content=saletructiep_Europe.Giaotiep.M294C250.2040_TATTP_LD154&amp;utm_campaign=Europe.Giaotiep.M294C250_XuBen.5018_MES_HuyLG_231024" TargetMode="External"/><Relationship Id="rId734" Type="http://schemas.openxmlformats.org/officeDocument/2006/relationships/hyperlink" Target="https://by.tn/hlgall01" TargetMode="External"/><Relationship Id="rId733" Type="http://schemas.openxmlformats.org/officeDocument/2006/relationships/hyperlink" Target="https://patadovietnam.edu.vn/hlg_tattpvn_gt/?utm_source=Facebook&amp;utm_medium=MES&amp;utm_term=NEW_ALL_2040_none_231024&amp;utm_content=saletructiep_ALL.Giaotiep.M289C248.2040_TATTPVN_LD229&amp;utm_campaign=ALL.Giaotiep.M289C248_XuBen.5018_MES_HuyLG_231024" TargetMode="External"/><Relationship Id="rId732" Type="http://schemas.openxmlformats.org/officeDocument/2006/relationships/hyperlink" Target="https://patadovietnam.edu.vn/hlg_tattpvn_gt/" TargetMode="External"/><Relationship Id="rId731" Type="http://schemas.openxmlformats.org/officeDocument/2006/relationships/hyperlink" Target="https://by.tn/hlgjp05" TargetMode="External"/><Relationship Id="rId738" Type="http://schemas.openxmlformats.org/officeDocument/2006/relationships/hyperlink" Target="https://patadovietnam.edu.vn/eu_hlg/" TargetMode="External"/><Relationship Id="rId737" Type="http://schemas.openxmlformats.org/officeDocument/2006/relationships/hyperlink" Target="https://by.tn/hlgus06" TargetMode="External"/><Relationship Id="rId736" Type="http://schemas.openxmlformats.org/officeDocument/2006/relationships/hyperlink" Target="https://patadovietnam.edu.vn/hlg_tattp_gt/?utm_source=Facebook&amp;utm_medium=MES&amp;utm_term=NEW_UnitedStates_2040_none_231024&amp;utm_content=saletructiep_UnitedStates.Giaotiep.M231C203.2040_TATTP_LD233&amp;utm_campaign=UnitedStates.Giaotiep.M231C203_XuBen.5018_MES_HuyLG_231024" TargetMode="External"/><Relationship Id="rId735" Type="http://schemas.openxmlformats.org/officeDocument/2006/relationships/hyperlink" Target="https://patadovietnam.edu.vn/hlg_tattp_gt/" TargetMode="External"/><Relationship Id="rId730" Type="http://schemas.openxmlformats.org/officeDocument/2006/relationships/hyperlink" Target="https://patadovietnam.edu.vn/japancvs/?utm_source=Facebook&amp;utm_medium=CVS&amp;utm_term=NEW_Japan_2040_none_231024&amp;utm_content=saletructiep_Japan.Giaotiep.M289C248.2040_TATTP_LD115&amp;utm_campaign=Japan.Giaotiep.M289C248_XuBen.5018_CVS_HuyLG_231024" TargetMode="External"/><Relationship Id="rId767" Type="http://schemas.openxmlformats.org/officeDocument/2006/relationships/hyperlink" Target="https://s.net.vn/hlgjp05" TargetMode="External"/><Relationship Id="rId766" Type="http://schemas.openxmlformats.org/officeDocument/2006/relationships/hyperlink" Target="https://patadovietnam.edu.vn/hlg_tattp_gt/?utm_source=Facebook&amp;utm_medium=MES&amp;utm_term=NEW_Japan_2040_none_261124&amp;utm_content=saletructiep_Japan.Giaotiep.M321C275.2040_TATTP_LD233&amp;utm_campaign=Japan.Giaotiep.M321C275_XuBen.5018_MES_HuyLG_261124" TargetMode="External"/><Relationship Id="rId765" Type="http://schemas.openxmlformats.org/officeDocument/2006/relationships/hyperlink" Target="https://patadovietnam.edu.vn/hlg_tattp_gt/" TargetMode="External"/><Relationship Id="rId764" Type="http://schemas.openxmlformats.org/officeDocument/2006/relationships/hyperlink" Target="https://s.net.vn/hlgeu03" TargetMode="External"/><Relationship Id="rId769" Type="http://schemas.openxmlformats.org/officeDocument/2006/relationships/hyperlink" Target="https://patadovietnam.edu.vn/hlg_tattp_gt/?utm_source=Facebook&amp;utm_medium=MES&amp;utm_term=NEW_UnitedStates_2040_none_261124&amp;utm_content=saletructiep_UnitedStates.Giaotiep.M321C275.2040_TATTP_LD233&amp;utm_campaign=UnitedStates.Giaotiep.M321C275_XuBen.5018_MES_HuyLG_261124" TargetMode="External"/><Relationship Id="rId768" Type="http://schemas.openxmlformats.org/officeDocument/2006/relationships/hyperlink" Target="https://patadovietnam.edu.vn/hlg_tattp_gt/" TargetMode="External"/><Relationship Id="rId763" Type="http://schemas.openxmlformats.org/officeDocument/2006/relationships/hyperlink" Target="https://patadovietnam.edu.vn/eu_hlg/?utm_source=Facebook&amp;utm_medium=MES&amp;utm_term=NEW_Europe_2040_none_261124&amp;utm_content=saletructiep_Europe.Giaotiep.M321C275.2040_TATTP_LD154&amp;utm_campaign=Europe.Giaotiep.M321C275_XuBen.5018_MES_HuyLG_261124" TargetMode="External"/><Relationship Id="rId762" Type="http://schemas.openxmlformats.org/officeDocument/2006/relationships/hyperlink" Target="https://patadovietnam.edu.vn/eu_hlg/" TargetMode="External"/><Relationship Id="rId761" Type="http://schemas.openxmlformats.org/officeDocument/2006/relationships/hyperlink" Target="https://s.net.vn/hlgjp03" TargetMode="External"/><Relationship Id="rId760" Type="http://schemas.openxmlformats.org/officeDocument/2006/relationships/hyperlink" Target="https://patadovietnam.edu.vn/hlg_pgpgtta_gt/?utm_source=Facebook&amp;utm_medium=MES&amp;utm_term=NEW_Japan_2040_none_191124&amp;utm_content=saletructiep_Japan.Giaotiep.M312C267.2040_PGPGTTA_LD226&amp;utm_campaign=Japan.Giaotiep.M312C267_XuBen.5018_MES_HuyLG_191124" TargetMode="External"/><Relationship Id="rId756" Type="http://schemas.openxmlformats.org/officeDocument/2006/relationships/hyperlink" Target="https://patadovietnam.edu.vn/hlg_tattp_gt/" TargetMode="External"/><Relationship Id="rId755" Type="http://schemas.openxmlformats.org/officeDocument/2006/relationships/hyperlink" Target="https://s.net.vn/hlgjp02" TargetMode="External"/><Relationship Id="rId754" Type="http://schemas.openxmlformats.org/officeDocument/2006/relationships/hyperlink" Target="https://patadovietnam.edu.vn/japancvs/?utm_source=Facebook&amp;utm_medium=CVS&amp;utm_term=NEW_Japan_2040_none_131124&amp;utm_content=saletructiep_Japan.Giaotiep.M307C268.2040_TATTPVN_LD115&amp;utm_campaign=Japan.Giaotiep.M307C268_XuBen.5018_CVS_HuyLG_131124" TargetMode="External"/><Relationship Id="rId753" Type="http://schemas.openxmlformats.org/officeDocument/2006/relationships/hyperlink" Target="https://patadovietnam.edu.vn/japancvs/" TargetMode="External"/><Relationship Id="rId759" Type="http://schemas.openxmlformats.org/officeDocument/2006/relationships/hyperlink" Target="https://patadovietnam.edu.vn/hlg_pgpgtta_gt" TargetMode="External"/><Relationship Id="rId758" Type="http://schemas.openxmlformats.org/officeDocument/2006/relationships/hyperlink" Target="https://s.net.vn/hlgall03" TargetMode="External"/><Relationship Id="rId757" Type="http://schemas.openxmlformats.org/officeDocument/2006/relationships/hyperlink" Target="https://patadovietnam.edu.vn/hlg_tattp_gt/?utm_source=Facebook&amp;utm_medium=MES&amp;utm_term=NEW_ALL_2040_none_191124&amp;utm_content=saletructiep_ALL.Giaotiep.M311C268.2040_TATTP_LD233&amp;utm_campaign=ALL.Giaotiep.M311C268_XuBen.5018_MES_HuyLG_191124" TargetMode="External"/><Relationship Id="rId752" Type="http://schemas.openxmlformats.org/officeDocument/2006/relationships/hyperlink" Target="https://s.net.vn/hlgall02" TargetMode="External"/><Relationship Id="rId751" Type="http://schemas.openxmlformats.org/officeDocument/2006/relationships/hyperlink" Target="https://patadovietnam.edu.vn/hlg_tattpvn_gt/?utm_source=Facebook&amp;utm_medium=MES&amp;utm_term=NEW_ALL_2040_none_131124&amp;utm_content=saletructiep_ALL.Giaotiep.M306C264.2040_TATTPVN_LD229&amp;utm_campaign=ALL.Giaotiep.M306C264_XuBen.5018_MES_HuyLG_131124" TargetMode="External"/><Relationship Id="rId750" Type="http://schemas.openxmlformats.org/officeDocument/2006/relationships/hyperlink" Target="https://patadovietnam.edu.vn/hlg_tattpvn_gt/" TargetMode="External"/><Relationship Id="rId709" Type="http://schemas.openxmlformats.org/officeDocument/2006/relationships/hyperlink" Target="https://patadovietnam.edu.vn/hlg_tattp_gt/?utm_source=Facebook&amp;utm_medium=REACH&amp;utm_term=NEW_KoreaSouth_2040_none_210924&amp;utm_content=saletructiep_KoreaSouth.Giaotiep.M277C238.2040_TATTP_LD233&amp;utm_campaign=KoreaSouth.Giaotiep.M277C238_XuBen.5018_REACH_HuyLG_210924" TargetMode="External"/><Relationship Id="rId708" Type="http://schemas.openxmlformats.org/officeDocument/2006/relationships/hyperlink" Target="https://patadovietnam.edu.vn/hlg_tattp_gt/" TargetMode="External"/><Relationship Id="rId707" Type="http://schemas.openxmlformats.org/officeDocument/2006/relationships/hyperlink" Target="https://by.tn/hlgreaeu01" TargetMode="External"/><Relationship Id="rId706" Type="http://schemas.openxmlformats.org/officeDocument/2006/relationships/hyperlink" Target="https://patadovietnam.edu.vn/hlg_tattp_gt/?utm_source=Facebook&amp;utm_medium=REACH&amp;utm_term=NEW_Europe_2040_none_210924&amp;utm_content=saletructiep_Europe.Giaotiep.M277C238.2040_TATTP_LD233&amp;utm_campaign=Europe.Giaotiep.M277C238_XuBen.5018_REACH_HuyLG_210924" TargetMode="External"/><Relationship Id="rId701" Type="http://schemas.openxmlformats.org/officeDocument/2006/relationships/hyperlink" Target="https://by.tn/hlgreajp01" TargetMode="External"/><Relationship Id="rId700" Type="http://schemas.openxmlformats.org/officeDocument/2006/relationships/hyperlink" Target="https://patadovietnam.edu.vn/hlg_tattp_gt/?utm_source=Facebook&amp;utm_medium=REACH&amp;utm_term=NEW_Japan_1840_none_210924&amp;utm_content=saletructiep_Japan.Giaotiep.M277C238.1840_TATTP_LD233&amp;utm_campaign=Japan.Giaotiep.M277C238_XuBen.5018_REACH_HuyLG_210924" TargetMode="External"/><Relationship Id="rId705" Type="http://schemas.openxmlformats.org/officeDocument/2006/relationships/hyperlink" Target="https://patadovietnam.edu.vn/hlg_tattp_gt/" TargetMode="External"/><Relationship Id="rId704" Type="http://schemas.openxmlformats.org/officeDocument/2006/relationships/hyperlink" Target="https://by.tn/hlgreaus01" TargetMode="External"/><Relationship Id="rId703" Type="http://schemas.openxmlformats.org/officeDocument/2006/relationships/hyperlink" Target="https://patadovietnam.edu.vn/hlg_tattp_gt/?utm_source=Facebook&amp;utm_medium=REACH&amp;utm_term=NEW_UnitedStates_2045_none_210924&amp;utm_content=saletructiep_UnitedStates.Giaotiep.M277C238.2045_TATTP_LD233&amp;utm_campaign=UnitedStates.Giaotiep.M277C238_XuBen.5018_REACH_HuyLG_210924" TargetMode="External"/><Relationship Id="rId702" Type="http://schemas.openxmlformats.org/officeDocument/2006/relationships/hyperlink" Target="https://patadovietnam.edu.vn/hlg_tattp_gt/" TargetMode="External"/><Relationship Id="rId729" Type="http://schemas.openxmlformats.org/officeDocument/2006/relationships/hyperlink" Target="https://patadovietnam.edu.vn/japancvs/" TargetMode="External"/><Relationship Id="rId728" Type="http://schemas.openxmlformats.org/officeDocument/2006/relationships/hyperlink" Target="https://s.net.vn/hlgvn01" TargetMode="External"/><Relationship Id="rId723" Type="http://schemas.openxmlformats.org/officeDocument/2006/relationships/hyperlink" Target="https://patadovietnam.edu.vn/hlg_tattp_gt/" TargetMode="External"/><Relationship Id="rId722" Type="http://schemas.openxmlformats.org/officeDocument/2006/relationships/hyperlink" Target="https://by.tn/hlgeu07" TargetMode="External"/><Relationship Id="rId721" Type="http://schemas.openxmlformats.org/officeDocument/2006/relationships/hyperlink" Target="https://patadovietnam.edu.vn/eu_hlg/?utm_source=Facebook&amp;utm_medium=MES&amp;utm_term=NEW_Europe_2040_none_141024&amp;utm_content=saletructiep_Europe.Giaotiep.M284C237.2040_TATTP_LD154&amp;utm_campaign=Europe.Giaotiep.M284C237_XuBen.5018_MES_HuyLG_141024" TargetMode="External"/><Relationship Id="rId720" Type="http://schemas.openxmlformats.org/officeDocument/2006/relationships/hyperlink" Target="https://patadovietnam.edu.vn/eu_hlg/" TargetMode="External"/><Relationship Id="rId727" Type="http://schemas.openxmlformats.org/officeDocument/2006/relationships/hyperlink" Target="https://patadovietnam.edu.vn/hlg_tattp_gt/?utm_source=Facebook&amp;utm_medium=MES&amp;utm_term=NEW_Vietnam_2040_none_141024&amp;utm_content=saletructiep_Vietnam.Giaotiep.M285C241.2040_TATTP_LD233&amp;utm_campaign=Vietnam.Giaotiep.M285C241_XuBen.5018_REACH_HuyLG_141024" TargetMode="External"/><Relationship Id="rId726" Type="http://schemas.openxmlformats.org/officeDocument/2006/relationships/hyperlink" Target="https://patadovietnam.edu.vn/hlg_tattp_gt/" TargetMode="External"/><Relationship Id="rId725" Type="http://schemas.openxmlformats.org/officeDocument/2006/relationships/hyperlink" Target="https://by.tn/hlgus05" TargetMode="External"/><Relationship Id="rId724" Type="http://schemas.openxmlformats.org/officeDocument/2006/relationships/hyperlink" Target="https://patadovietnam.edu.vn/hlg_tattp_gt/?utm_source=Facebook&amp;utm_medium=MES&amp;utm_term=NEW_UnitedStates_2040_none_141024&amp;utm_content=saletructiep_UnitedStates.Giaotiep.M283C226.2040_PGPGTTA_LD233&amp;utm_campaign=UnitedStates.Giaotiep.M283C226_XuBen.5018_MES_HuyLG_141024" TargetMode="External"/><Relationship Id="rId719" Type="http://schemas.openxmlformats.org/officeDocument/2006/relationships/hyperlink" Target="https://by.tn/hlgkr03" TargetMode="External"/><Relationship Id="rId718" Type="http://schemas.openxmlformats.org/officeDocument/2006/relationships/hyperlink" Target="https://patadovietnam.edu.vn/hlg_pgpgtta_gt/?utm_source=Facebook&amp;utm_medium=MES&amp;utm_term=NEW_KoreaSouth_2040_none_141024&amp;utm_content=saletructiep_KoreaSouth.Giaotiep.M285C241.2040_PGPGTTA_LD226&amp;utm_campaign=KoreaSouth.Giaotiep.M285C241_XuBen.5018_MES_HuyLG_141024" TargetMode="External"/><Relationship Id="rId717" Type="http://schemas.openxmlformats.org/officeDocument/2006/relationships/hyperlink" Target="https://patadovietnam.edu.vn/hlg_pgpgtta_gt" TargetMode="External"/><Relationship Id="rId712" Type="http://schemas.openxmlformats.org/officeDocument/2006/relationships/hyperlink" Target="https://patadovietnam.edu.vn/hlg_tattp_gt/?utm_source=Facebook&amp;utm_medium=REACH&amp;utm_term=NEW_Australia_2040_none_210924&amp;utm_content=saletructiep_Australia.Giaotiep.M277C238.2040_TATTP_LD233&amp;utm_campaign=Australia.Giaotiep.M277C238_XuBen.5018_REACH_HuyLG_210924" TargetMode="External"/><Relationship Id="rId711" Type="http://schemas.openxmlformats.org/officeDocument/2006/relationships/hyperlink" Target="https://patadovietnam.edu.vn/hlg_tattp_gt/" TargetMode="External"/><Relationship Id="rId710" Type="http://schemas.openxmlformats.org/officeDocument/2006/relationships/hyperlink" Target="https://by.tn/hlgreakr01" TargetMode="External"/><Relationship Id="rId716" Type="http://schemas.openxmlformats.org/officeDocument/2006/relationships/hyperlink" Target="https://by.tn/hlgjp04" TargetMode="External"/><Relationship Id="rId715" Type="http://schemas.openxmlformats.org/officeDocument/2006/relationships/hyperlink" Target="https://patadovietnam.edu.vn/hlg_pgpgtta_gt/?utm_source=Facebook&amp;utm_medium=MES&amp;utm_term=NEW_Japan_2040_none_141024&amp;utm_content=saletructiep_Japan.Giaotiep.M285C241.2040_PGPGTTA_LD226&amp;utm_campaign=Japan.Giaotiep.M285C241_XuBen.5018_MES_HuyLG_141024" TargetMode="External"/><Relationship Id="rId714" Type="http://schemas.openxmlformats.org/officeDocument/2006/relationships/hyperlink" Target="https://patadovietnam.edu.vn/hlg_pgpgtta_gt" TargetMode="External"/><Relationship Id="rId713" Type="http://schemas.openxmlformats.org/officeDocument/2006/relationships/hyperlink" Target="https://by.tn/hlgreaau01" TargetMode="External"/><Relationship Id="rId789" Type="http://schemas.openxmlformats.org/officeDocument/2006/relationships/hyperlink" Target="https://patadovietnam.edu.vn/japan_hlg/" TargetMode="External"/><Relationship Id="rId788" Type="http://schemas.openxmlformats.org/officeDocument/2006/relationships/hyperlink" Target="https://s.net.vn/hlgall05" TargetMode="External"/><Relationship Id="rId787" Type="http://schemas.openxmlformats.org/officeDocument/2006/relationships/hyperlink" Target="https://patadovietnam.edu.vn/hlg_tattpvn_gt/?utm_source=Facebook&amp;utm_medium=MES&amp;utm_term=NEW_ALL_2040_none_131224&amp;utm_content=saletructiep_ALL.Giaotiep.M314C273.2040_TATTPVN_LD229&amp;utm_campaign=ALL.Giaotiep.M314C273_XuBen.5018_MES_HuyLG_131224" TargetMode="External"/><Relationship Id="rId786" Type="http://schemas.openxmlformats.org/officeDocument/2006/relationships/hyperlink" Target="https://patadovietnam.edu.vn/hlg_tattpvn_gt/" TargetMode="External"/><Relationship Id="rId781" Type="http://schemas.openxmlformats.org/officeDocument/2006/relationships/hyperlink" Target="https://patadovietnam.edu.vn/hlg_pgpgtta_gt/?utm_source=Facebook&amp;utm_medium=MES&amp;utm_term=NEW_Europe_2040_none_031224&amp;utm_content=saletructiep_Europe.Giaotiep.M320C277.2040_PGPGTTA_LD226&amp;utm_campaign=Europe.Giaotiep.M320C277_XuBen.5018_MES_HuyLG_031224" TargetMode="External"/><Relationship Id="rId780" Type="http://schemas.openxmlformats.org/officeDocument/2006/relationships/hyperlink" Target="https://patadovietnam.edu.vn/hlg_pgpgtta_gt" TargetMode="External"/><Relationship Id="rId785" Type="http://schemas.openxmlformats.org/officeDocument/2006/relationships/hyperlink" Target="https://s.net.vn/hlgau02" TargetMode="External"/><Relationship Id="rId784" Type="http://schemas.openxmlformats.org/officeDocument/2006/relationships/hyperlink" Target="https://patadovietnam.edu.vn/hlg_tattpvn_gt/?utm_source=Facebook&amp;utm_medium=MES&amp;utm_term=NEW_Australia_2040_none_131224&amp;utm_content=saletructiep_Australia.Giaotiep.M339C286.2040_TATTPVN_LD229&amp;utm_campaign=Australia.Giaotiep.M339C286_XuBen.5018_MES_HuyLG_131224" TargetMode="External"/><Relationship Id="rId783" Type="http://schemas.openxmlformats.org/officeDocument/2006/relationships/hyperlink" Target="https://patadovietnam.edu.vn/hlg_tattpvn_gt/" TargetMode="External"/><Relationship Id="rId782" Type="http://schemas.openxmlformats.org/officeDocument/2006/relationships/hyperlink" Target="https://s.net.vn/hlgeu04" TargetMode="External"/><Relationship Id="rId778" Type="http://schemas.openxmlformats.org/officeDocument/2006/relationships/hyperlink" Target="https://patadovietnam.edu.vn/hlg_tattpvn_gt/?utm_source=Facebook&amp;utm_medium=MES&amp;utm_term=NEW_ALL_2040_none_031224&amp;utm_content=saletructiep_ALL.Giaotiep.M311C273.2040_TATTPVN_LD229&amp;utm_campaign=ALL.Giaotiep.M311C273_XuBen.5018_MES_HuyLG_031224" TargetMode="External"/><Relationship Id="rId777" Type="http://schemas.openxmlformats.org/officeDocument/2006/relationships/hyperlink" Target="https://patadovietnam.edu.vn/hlg_tattpvn_gt/" TargetMode="External"/><Relationship Id="rId776" Type="http://schemas.openxmlformats.org/officeDocument/2006/relationships/hyperlink" Target="https://s.net.vn/hlgus05" TargetMode="External"/><Relationship Id="rId775" Type="http://schemas.openxmlformats.org/officeDocument/2006/relationships/hyperlink" Target="https://patadovietnam.edu.vn/hlg_pgpgtta_gt/?utm_source=Facebook&amp;utm_medium=MES&amp;utm_term=NEW_UnitedStates_2050_none_031224&amp;utm_content=saletructiep_UnitedStates.Giaotiep.M333C280.2050_PGPGTTA_LD226&amp;utm_campaign=UnitedStates.Giaotiep.M333C280_XuBen.5018_MES_HuyLG_031224" TargetMode="External"/><Relationship Id="rId779" Type="http://schemas.openxmlformats.org/officeDocument/2006/relationships/hyperlink" Target="https://s.net.vn/hlgall04" TargetMode="External"/><Relationship Id="rId770" Type="http://schemas.openxmlformats.org/officeDocument/2006/relationships/hyperlink" Target="https://s.net.vn/hlgus03" TargetMode="External"/><Relationship Id="rId774" Type="http://schemas.openxmlformats.org/officeDocument/2006/relationships/hyperlink" Target="https://patadovietnam.edu.vn/hlg_pgpgtta_gt" TargetMode="External"/><Relationship Id="rId773" Type="http://schemas.openxmlformats.org/officeDocument/2006/relationships/hyperlink" Target="https://s.net.vn/hlgus04" TargetMode="External"/><Relationship Id="rId772" Type="http://schemas.openxmlformats.org/officeDocument/2006/relationships/hyperlink" Target="https://patadovietnam.edu.vn/hlg_tattpvn_gt/?utm_source=Facebook&amp;utm_medium=MES&amp;utm_term=NEW_UnitedStates_2040_none_031224&amp;utm_content=saletructiep_UnitedStates.Giaotiep.M332C280.2040_TATTPVN_LD229&amp;utm_campaign=UnitedStates.Giaotiep.M332C280_XuBen.5018_MES_HuyLG_031224" TargetMode="External"/><Relationship Id="rId771" Type="http://schemas.openxmlformats.org/officeDocument/2006/relationships/hyperlink" Target="https://patadovietnam.edu.vn/hlg_tattpvn_gt/" TargetMode="External"/><Relationship Id="rId799" Type="http://schemas.openxmlformats.org/officeDocument/2006/relationships/hyperlink" Target="https://patadovietnam.edu.vn/japan_hlg/?utm_source=Facebook&amp;utm_medium=CVS&amp;utm_term=NEW_Japan_2040_none_110225&amp;utm_content=saletructiep_Japan.Giaotiep.M388C315.2040_TATTP_LD125&amp;utm_campaign=Japan.Giaotiep.M388C315_XuBen.5018_CVS_HuyLG_110225" TargetMode="External"/><Relationship Id="rId798" Type="http://schemas.openxmlformats.org/officeDocument/2006/relationships/hyperlink" Target="https://patadovietnam.edu.vn/japan_hlg/" TargetMode="External"/><Relationship Id="rId797" Type="http://schemas.openxmlformats.org/officeDocument/2006/relationships/hyperlink" Target="https://s.net.vn/hlgall06" TargetMode="External"/><Relationship Id="rId792" Type="http://schemas.openxmlformats.org/officeDocument/2006/relationships/hyperlink" Target="https://patadovietnam.edu.vn/eu_hlg/" TargetMode="External"/><Relationship Id="rId791" Type="http://schemas.openxmlformats.org/officeDocument/2006/relationships/hyperlink" Target="https://s.net.vn/hlgjp06" TargetMode="External"/><Relationship Id="rId790" Type="http://schemas.openxmlformats.org/officeDocument/2006/relationships/hyperlink" Target="https://patadovietnam.edu.vn/japan_hlg/?utm_source=Facebook&amp;utm_medium=CVS&amp;utm_term=NEW_Japan_1840_none_090125&amp;utm_content=saletructiep_Japan.Anhthongbao12.1840.Giaotiep_TATTP_LD125&amp;utm_campaign=Japan.Giaotiep.Anhthongbao12_XuBen.5018_CVS_HuyLG_090125" TargetMode="External"/><Relationship Id="rId796" Type="http://schemas.openxmlformats.org/officeDocument/2006/relationships/hyperlink" Target="https://patadovietnam.edu.vn/hlg_tattpvn_gt/?utm_source=Facebook&amp;utm_medium=MES&amp;utm_term=NEW_ALL_2040_none_090125&amp;utm_content=saletructiep_ALL.Giaotiep.M356C287.2040_TATTPVN_LD229&amp;utm_campaign=ALL.Giaotiep.M356C287_XuBen.5018_MES_HuyLG_090125" TargetMode="External"/><Relationship Id="rId795" Type="http://schemas.openxmlformats.org/officeDocument/2006/relationships/hyperlink" Target="https://patadovietnam.edu.vn/hlg_tattpvn_gt/" TargetMode="External"/><Relationship Id="rId794" Type="http://schemas.openxmlformats.org/officeDocument/2006/relationships/hyperlink" Target="https://s.net.vn/hlgeu05" TargetMode="External"/><Relationship Id="rId793" Type="http://schemas.openxmlformats.org/officeDocument/2006/relationships/hyperlink" Target="https://patadovietnam.edu.vn/eu_hlg/?utm_source=Facebook&amp;utm_medium=MES&amp;utm_term=NEW_Europe_2040_none_090125&amp;utm_content=saletructiep_Europe.Giaotiep.M356C287.2040_TATTPVN_LD154&amp;utm_campaign=Europe.Giaotiep.M356C287_XuBen.5018_MES_HuyLG_090125" TargetMode="External"/><Relationship Id="rId629" Type="http://schemas.openxmlformats.org/officeDocument/2006/relationships/hyperlink" Target="https://patadovietnam.edu.vn/be_hlg/?utm_source=Facebook&amp;utm_medium=MES&amp;utm_term=NEW_Vietnam_1830_none_110424&amp;utm_content=saletructiep_Vietnam.Congso.MB3CB2.1830_TATTP_LD223&amp;utm_campaign=Vietnam.Congso.MB3CB2_XuBen.5018_MES_HuyLG_110424" TargetMode="External"/><Relationship Id="rId624" Type="http://schemas.openxmlformats.org/officeDocument/2006/relationships/hyperlink" Target="http://ldp.ink/hlgeum197" TargetMode="External"/><Relationship Id="rId623" Type="http://schemas.openxmlformats.org/officeDocument/2006/relationships/hyperlink" Target="https://patadovietnam.edu.vn/hlg_eu_tattpvn/?utm_source=Facebook&amp;utm_medium=MES&amp;utm_term=NEW_Europe_2040_none_010424&amp;utm_content=saletructiep_Europe.M197C164.2040.Giaotiep_TATTPVN_LD209&amp;utm_campaign=Europe.Giaotiep.M197C164_XuBen.5018_MES_HuyLG_010424" TargetMode="External"/><Relationship Id="rId622" Type="http://schemas.openxmlformats.org/officeDocument/2006/relationships/hyperlink" Target="https://patadovietnam.edu.vn/hlg_eu_tattpvn" TargetMode="External"/><Relationship Id="rId621" Type="http://schemas.openxmlformats.org/officeDocument/2006/relationships/hyperlink" Target="http://ldp.ink/hlgjpm197" TargetMode="External"/><Relationship Id="rId628" Type="http://schemas.openxmlformats.org/officeDocument/2006/relationships/hyperlink" Target="https://patadovietnam.edu.vn/be_hlg/" TargetMode="External"/><Relationship Id="rId627" Type="http://schemas.openxmlformats.org/officeDocument/2006/relationships/hyperlink" Target="http://ldp.ink/hlgkrm197" TargetMode="External"/><Relationship Id="rId626" Type="http://schemas.openxmlformats.org/officeDocument/2006/relationships/hyperlink" Target="https://patadovietnam.edu.vn/korea_cvs/?utm_source=Facebook&amp;utm_medium=CVS&amp;utm_term=NEW_KoreaSouth_2040_none_030424&amp;utm_content=saletructiep_KoreaSouth.M197C164.2040.Giaotiep_TATTP_LD117&amp;utm_campaign=KoreaSouth.Giaotiep.M197C164_XuBen.5018_CVS_HuyLG_030424" TargetMode="External"/><Relationship Id="rId625" Type="http://schemas.openxmlformats.org/officeDocument/2006/relationships/hyperlink" Target="https://patadovietnam.edu.vn/korea_cvs/" TargetMode="External"/><Relationship Id="rId620" Type="http://schemas.openxmlformats.org/officeDocument/2006/relationships/hyperlink" Target="https://patadovietnam.edu.vn/hlg_jp_tattpvn/?utm_source=Facebook&amp;utm_medium=MES&amp;utm_term=NEW_Japan_2040_none_010424&amp;utm_content=saletructiep_Japan.M197C164.2040.Giaotiep_TATTPVN_LD204&amp;utm_campaign=Japan.Giaotiep.M197C164_XuBen.5018_MES_HuyLG_010424" TargetMode="External"/><Relationship Id="rId619" Type="http://schemas.openxmlformats.org/officeDocument/2006/relationships/hyperlink" Target="https://patadovietnam.edu.vn/hlg_jp_tattpvn" TargetMode="External"/><Relationship Id="rId618" Type="http://schemas.openxmlformats.org/officeDocument/2006/relationships/hyperlink" Target="http://ldp.ink/hlgusm197" TargetMode="External"/><Relationship Id="rId613" Type="http://schemas.openxmlformats.org/officeDocument/2006/relationships/hyperlink" Target="https://patadovietnam.edu.vn/korea_cvs/" TargetMode="External"/><Relationship Id="rId612" Type="http://schemas.openxmlformats.org/officeDocument/2006/relationships/hyperlink" Target="http://ldp.ink/hlg_tw_tattpvn1" TargetMode="External"/><Relationship Id="rId611" Type="http://schemas.openxmlformats.org/officeDocument/2006/relationships/hyperlink" Target="https://patadovietnam.edu.vn/khoa-hoc-giao-tiep/?utm_source=Facebook&amp;utm_medium=MES&amp;utm_term=NEW_Taiwan_2040_none_061223&amp;utm_content=saletructiep_Taiwan.M82C55.2040.Giaotiep_TATTPVN_LD068&amp;utm_campaign=Taiwan.Giaotiep.M82C55_XuBen.5018_MES_HuyLG_061223" TargetMode="External"/><Relationship Id="rId610" Type="http://schemas.openxmlformats.org/officeDocument/2006/relationships/hyperlink" Target="https://patadovietnam.edu.vn/khoa-hoc-giao-tiep/" TargetMode="External"/><Relationship Id="rId617" Type="http://schemas.openxmlformats.org/officeDocument/2006/relationships/hyperlink" Target="https://patadovietnam.edu.vn/hlg_us_tattpvn/?utm_source=Facebook&amp;utm_medium=MES&amp;utm_term=NEW_UnitedStates_2040_none_010424&amp;utm_content=saletructiep_UnitedStates.M197C164.2040.Giaotiep_TATTPVN_LD208&amp;utm_campaign=UnitedStates.Giaotiep.M197C164_XuBen.5018_MES_HuyLG_010424" TargetMode="External"/><Relationship Id="rId616" Type="http://schemas.openxmlformats.org/officeDocument/2006/relationships/hyperlink" Target="https://patadovietnam.edu.vn/hlg_us_tattpvn" TargetMode="External"/><Relationship Id="rId615" Type="http://schemas.openxmlformats.org/officeDocument/2006/relationships/hyperlink" Target="http://ldp.ink/korea_tattpvn" TargetMode="External"/><Relationship Id="rId614" Type="http://schemas.openxmlformats.org/officeDocument/2006/relationships/hyperlink" Target="https://patadovietnam.edu.vn/korea_cvs/?utm_source=Facebook&amp;utm_medium=MES&amp;utm_term=NEW_KoreaSouth_2040_none_050324&amp;utm_content=saletructiep_KoreaSouth.M64C48.2040.Giaotiep_TATTPVN_LD117&amp;utm_campaign=KoreaSouth.Giaotiep.M64C48_XuBen.5018_MES_HuyLG_050324" TargetMode="External"/><Relationship Id="rId646" Type="http://schemas.openxmlformats.org/officeDocument/2006/relationships/hyperlink" Target="https://patadovietnam.edu.vn/be_hlg/" TargetMode="External"/><Relationship Id="rId645" Type="http://schemas.openxmlformats.org/officeDocument/2006/relationships/hyperlink" Target="https://by.tn/hlgbehcm" TargetMode="External"/><Relationship Id="rId644" Type="http://schemas.openxmlformats.org/officeDocument/2006/relationships/hyperlink" Target="https://patadovietnam.edu.vn/be_hlg/?utm_source=Facebook&amp;utm_medium=MES&amp;utm_term=NEW_HCM_1845_none_080524&amp;utm_content=saletructiep_HCM.Congso.MB13CB4_TATTP_LD223&amp;utm_campaign=HCM.Congso.MB13CB4_XuBen.5018_MES_HuyLG_080524" TargetMode="External"/><Relationship Id="rId643" Type="http://schemas.openxmlformats.org/officeDocument/2006/relationships/hyperlink" Target="https://patadovietnam.edu.vn/be_hlg/" TargetMode="External"/><Relationship Id="rId649" Type="http://schemas.openxmlformats.org/officeDocument/2006/relationships/hyperlink" Target="https://patadovietnam.edu.vn/be_hlg/" TargetMode="External"/><Relationship Id="rId648" Type="http://schemas.openxmlformats.org/officeDocument/2006/relationships/hyperlink" Target="https://by.tn/hlgvnmb12" TargetMode="External"/><Relationship Id="rId647" Type="http://schemas.openxmlformats.org/officeDocument/2006/relationships/hyperlink" Target="https://patadovietnam.edu.vn/be_hlg/?utm_source=Facebook&amp;utm_medium=MES&amp;utm_term=NEW_Vietnam_1845_none_080524&amp;utm_content=saletructiep_Vietnam.Congso.MB12CB7.1845_TATTP_LD223&amp;utm_campaign=Vietnam.Congso.MB12CB7_XuBen.5018_MES_HuyLG_080524" TargetMode="External"/><Relationship Id="rId642" Type="http://schemas.openxmlformats.org/officeDocument/2006/relationships/hyperlink" Target="http://ldp.ink/hlgvncb6" TargetMode="External"/><Relationship Id="rId641" Type="http://schemas.openxmlformats.org/officeDocument/2006/relationships/hyperlink" Target="https://patadovietnam.edu.vn/be_hlg/?utm_source=Facebook&amp;utm_medium=CVS&amp;utm_term=NEW_Vietnam_1845_none_240424&amp;utm_content=taodongluc_Vietnam.Congso.MB9CB6.1845_TATTP_LD223&amp;utm_campaign=Vietnam.Congso.MB9CB6_XuBen.5018_CVS_HuyLG_240424" TargetMode="External"/><Relationship Id="rId640" Type="http://schemas.openxmlformats.org/officeDocument/2006/relationships/hyperlink" Target="https://patadovietnam.edu.vn/be_hlg/" TargetMode="External"/><Relationship Id="rId635" Type="http://schemas.openxmlformats.org/officeDocument/2006/relationships/hyperlink" Target="https://patadovietnam.edu.vn/be_hlg/?utm_source=Facebook&amp;utm_medium=MES&amp;utm_term=NEW_HN_1830_none_110424&amp;utm_content=saletructiep_HN.Congso.MB4CB1.1830_TATTP_LD223&amp;utm_campaign=HN.Congso.MB4CB1_XuBen.5018_MES_HuyLG_110424" TargetMode="External"/><Relationship Id="rId634" Type="http://schemas.openxmlformats.org/officeDocument/2006/relationships/hyperlink" Target="https://patadovietnam.edu.vn/be_hlg/" TargetMode="External"/><Relationship Id="rId633" Type="http://schemas.openxmlformats.org/officeDocument/2006/relationships/hyperlink" Target="http://ldp.ink/hlgvn3145" TargetMode="External"/><Relationship Id="rId632" Type="http://schemas.openxmlformats.org/officeDocument/2006/relationships/hyperlink" Target="https://patadovietnam.edu.vn/be_hlg/?utm_source=Facebook&amp;utm_medium=MES&amp;utm_term=NEW_Vietnam_3145_none_110424&amp;utm_content=saletructiep_Vietnam.Congso.MB3CB2.3145_TATTP_LD223&amp;utm_campaign=Vietnam.Congso.MB3CB2.3145_XuBen.5018_MES_HuyLG_110424" TargetMode="External"/><Relationship Id="rId639" Type="http://schemas.openxmlformats.org/officeDocument/2006/relationships/hyperlink" Target="http://ldp.ink/hlgdnmb2" TargetMode="External"/><Relationship Id="rId638" Type="http://schemas.openxmlformats.org/officeDocument/2006/relationships/hyperlink" Target="https://patadovietnam.edu.vn/be_hlg/?utm_source=Facebook&amp;utm_medium=CVS&amp;utm_term=NEW_Danang_1830_none_110424&amp;utm_content=saletructiep_Danang.Congso.MB2CB1.1830_TATTP_LD223&amp;utm_campaign=Danang.Congso.MB2CB1_XuBen.5018_CVS_HuyLG_110424" TargetMode="External"/><Relationship Id="rId637" Type="http://schemas.openxmlformats.org/officeDocument/2006/relationships/hyperlink" Target="https://patadovietnam.edu.vn/be_hlg/" TargetMode="External"/><Relationship Id="rId636" Type="http://schemas.openxmlformats.org/officeDocument/2006/relationships/hyperlink" Target="http://ldp.ink/hlghnmb4" TargetMode="External"/><Relationship Id="rId631" Type="http://schemas.openxmlformats.org/officeDocument/2006/relationships/hyperlink" Target="https://patadovietnam.edu.vn/be_hlg/" TargetMode="External"/><Relationship Id="rId630" Type="http://schemas.openxmlformats.org/officeDocument/2006/relationships/hyperlink" Target="http://ldp.ink/hlgvnmb3" TargetMode="External"/><Relationship Id="rId609" Type="http://schemas.openxmlformats.org/officeDocument/2006/relationships/hyperlink" Target="http://ldp.ink/hlg_ph_tattpvn" TargetMode="External"/><Relationship Id="rId608" Type="http://schemas.openxmlformats.org/officeDocument/2006/relationships/hyperlink" Target="https://patadovietnam.edu.vn/khoa-hoc-giao-tiep/?utm_source=Facebook&amp;utm_medium=MES&amp;utm_term=NEW_Philippines_2040_none_061223&amp;utm_content=saletructiep_Philippines.M82C55.2040.Giaotiep_TATTPVN_LD068&amp;utm_campaign=Philippines.Giaotiep.M82C55_XuBen.5018_MES_HuyLG_061223" TargetMode="External"/><Relationship Id="rId607" Type="http://schemas.openxmlformats.org/officeDocument/2006/relationships/hyperlink" Target="https://patadovietnam.edu.vn/khoa-hoc-giao-tiep/" TargetMode="External"/><Relationship Id="rId602" Type="http://schemas.openxmlformats.org/officeDocument/2006/relationships/hyperlink" Target="https://patadovietnam.edu.vn/hlg_eu_tattpvn/?utm_source=Facebook&amp;utm_medium=MES&amp;utm_term=NEW_Europe_2040_none_061223&amp;utm_content=saletructiep_Europe.M82C55.2040.Giaotiep_TATTPVN_LD209&amp;utm_campaign=Europe.Giaotiep.M82C55_XuBen.5018_MES_HuyLG_061223" TargetMode="External"/><Relationship Id="rId601" Type="http://schemas.openxmlformats.org/officeDocument/2006/relationships/hyperlink" Target="https://patadovietnam.edu.vn/hlg_eu_tattpvn" TargetMode="External"/><Relationship Id="rId600" Type="http://schemas.openxmlformats.org/officeDocument/2006/relationships/hyperlink" Target="https://s.net.vn/hlgus02" TargetMode="External"/><Relationship Id="rId606" Type="http://schemas.openxmlformats.org/officeDocument/2006/relationships/hyperlink" Target="http://ldp.ink/hlg_au_tattpvn" TargetMode="External"/><Relationship Id="rId605" Type="http://schemas.openxmlformats.org/officeDocument/2006/relationships/hyperlink" Target="https://patadovietnam.edu.vn/khoa-hoc-giao-tiep/?utm_source=Facebook&amp;utm_medium=MES&amp;utm_term=NEW_Australia_2040_none_061223&amp;utm_content=saletructiep_Australia.M82C55.2040.Giaotiep_TATTPVN_LD068&amp;utm_campaign=Australia.Giaotiep.M82C55_XuBen.5018_MES_HuyLG_061223" TargetMode="External"/><Relationship Id="rId604" Type="http://schemas.openxmlformats.org/officeDocument/2006/relationships/hyperlink" Target="https://patadovietnam.edu.vn/khoa-hoc-giao-tiep/" TargetMode="External"/><Relationship Id="rId603" Type="http://schemas.openxmlformats.org/officeDocument/2006/relationships/hyperlink" Target="http://ldp.ink/hlg_eu_tattpvn1" TargetMode="External"/><Relationship Id="rId699" Type="http://schemas.openxmlformats.org/officeDocument/2006/relationships/hyperlink" Target="https://patadovietnam.edu.vn/hlg_tattp_gt/" TargetMode="External"/><Relationship Id="rId698" Type="http://schemas.openxmlformats.org/officeDocument/2006/relationships/hyperlink" Target="https://by.tn/hlgau02" TargetMode="External"/><Relationship Id="rId693" Type="http://schemas.openxmlformats.org/officeDocument/2006/relationships/hyperlink" Target="https://patadovietnam.edu.vn/japancvs/" TargetMode="External"/><Relationship Id="rId692" Type="http://schemas.openxmlformats.org/officeDocument/2006/relationships/hyperlink" Target="https://by.tn/hlgeu03" TargetMode="External"/><Relationship Id="rId691" Type="http://schemas.openxmlformats.org/officeDocument/2006/relationships/hyperlink" Target="https://patadovietnam.edu.vn/hlg_tattpvn_gt/?utm_source=Facebook&amp;utm_medium=MES&amp;utm_term=NEW_Europe_2040_none_040924&amp;utm_content=saletructiep_Europe.Giaotiep.M273C235.2040.2040_TATTPVN_LD229&amp;utm_campaign=Europe.Giaotiep.M273C235_XuBen.5018_MES_HuyLG_040924" TargetMode="External"/><Relationship Id="rId690" Type="http://schemas.openxmlformats.org/officeDocument/2006/relationships/hyperlink" Target="https://patadovietnam.edu.vn/hlg_tattpvn_gt/" TargetMode="External"/><Relationship Id="rId697" Type="http://schemas.openxmlformats.org/officeDocument/2006/relationships/hyperlink" Target="https://patadovietnam.edu.vn/hlg_pgpgtta_gt/?utm_source=Facebook&amp;utm_medium=MES&amp;utm_term=NEW_Australia_2040_none_040924&amp;utm_content=saletructiep_Australia.Giaotiep.M273C235.2040_TATTPVN_LD226&amp;utm_campaign=Australia.Giaotiep.M273C235_XuBen.5018_MES_HuyLG_040924" TargetMode="External"/><Relationship Id="rId696" Type="http://schemas.openxmlformats.org/officeDocument/2006/relationships/hyperlink" Target="https://patadovietnam.edu.vn/hlg_pgpgtta_gt" TargetMode="External"/><Relationship Id="rId695" Type="http://schemas.openxmlformats.org/officeDocument/2006/relationships/hyperlink" Target="https://by.tn/hlgjp07" TargetMode="External"/><Relationship Id="rId694" Type="http://schemas.openxmlformats.org/officeDocument/2006/relationships/hyperlink" Target="https://patadovietnam.edu.vn/japancvs/?utm_source=Facebook&amp;utm_medium=MES&amp;utm_term=NEW_Japan_1835_none_040924&amp;utm_content=saletructiep_Japan.Giaotiep.M273C235.1835_TATTP_LD115&amp;utm_campaign=Japan.Giaotiep.M273C235_XuBen.5018_MES_HuyLG_040924" TargetMode="External"/><Relationship Id="rId668" Type="http://schemas.openxmlformats.org/officeDocument/2006/relationships/hyperlink" Target="https://patadovietnam.edu.vn/hlg_us_tattpvn/?utm_source=Facebook&amp;utm_medium=MES&amp;utm_term=NEW_UnitedStates_2040_none_120624&amp;utm_content=saletructiep_UnitedStates.Giaotiep.M237C206.2040_TATTPVN_LD208&amp;utm_campaign=UnitedStates.Giaotiep.M237C206_XuBen.5018_MES_HuyLG_120624" TargetMode="External"/><Relationship Id="rId667" Type="http://schemas.openxmlformats.org/officeDocument/2006/relationships/hyperlink" Target="https://patadovietnam.edu.vn/hlg_us_tattpvn" TargetMode="External"/><Relationship Id="rId666" Type="http://schemas.openxmlformats.org/officeDocument/2006/relationships/hyperlink" Target="https://by.tn/hlgpgall" TargetMode="External"/><Relationship Id="rId665" Type="http://schemas.openxmlformats.org/officeDocument/2006/relationships/hyperlink" Target="https://patadovietnam.edu.vn/hlg_pgpgtta_gt/?utm_source=Facebook&amp;utm_medium=MES&amp;utm_term=NEW_ALL_2040_none_200524&amp;utm_content=saletructiep_ALL.Giaotiep.M172C138.2040_PGPGTTA_LD226&amp;utm_campaign=ALL.Giaotiep.M172C138_XuBen.5018_MES_HuyLG_200524" TargetMode="External"/><Relationship Id="rId669" Type="http://schemas.openxmlformats.org/officeDocument/2006/relationships/hyperlink" Target="https://by.tn/hlg-us02" TargetMode="External"/><Relationship Id="rId660" Type="http://schemas.openxmlformats.org/officeDocument/2006/relationships/hyperlink" Target="https://by.tn/hlgjp02" TargetMode="External"/><Relationship Id="rId664" Type="http://schemas.openxmlformats.org/officeDocument/2006/relationships/hyperlink" Target="https://patadovietnam.edu.vn/hlg_pgpgtta_gt" TargetMode="External"/><Relationship Id="rId663" Type="http://schemas.openxmlformats.org/officeDocument/2006/relationships/hyperlink" Target="https://by.tn/hlgkr02" TargetMode="External"/><Relationship Id="rId662" Type="http://schemas.openxmlformats.org/officeDocument/2006/relationships/hyperlink" Target="https://patadovietnam.edu.vn/hlg_kr_tattpvn/?utm_source=Facebook&amp;utm_medium=MES&amp;utm_term=NEW_KoreaSouth_2040_none_200524&amp;utm_content=saletructiep_KoreaSouth.Giaotiep.M232C198.2040_TATTPVN_LD205&amp;utm_campaign=KoreaSouth.Giaotiep.M232C198_XuBen.5018_MES_HuyLG_200524" TargetMode="External"/><Relationship Id="rId661" Type="http://schemas.openxmlformats.org/officeDocument/2006/relationships/hyperlink" Target="https://patadovietnam.edu.vn/hlg_kr_tattpvn" TargetMode="External"/><Relationship Id="rId657" Type="http://schemas.openxmlformats.org/officeDocument/2006/relationships/hyperlink" Target="https://by.tn/hlgus03" TargetMode="External"/><Relationship Id="rId656" Type="http://schemas.openxmlformats.org/officeDocument/2006/relationships/hyperlink" Target="https://patadovietnam.edu.vn/be_hlg/?utm_source=Facebook&amp;utm_medium=MES&amp;utm_term=NEW_UnitedStates_2040_none_200524&amp;utm_content=saletructiep_UnitedStates.Giaotiep.M232C198.2040_TATTPVN_LD223&amp;utm_campaign=UnitedStates.Giaotiep.M232C198_XuBen.5018_MES_HuyLG_200524" TargetMode="External"/><Relationship Id="rId655" Type="http://schemas.openxmlformats.org/officeDocument/2006/relationships/hyperlink" Target="https://patadovietnam.edu.vn/be_hlg/" TargetMode="External"/><Relationship Id="rId654" Type="http://schemas.openxmlformats.org/officeDocument/2006/relationships/hyperlink" Target="https://by.tn/hlgus02" TargetMode="External"/><Relationship Id="rId659" Type="http://schemas.openxmlformats.org/officeDocument/2006/relationships/hyperlink" Target="https://patadovietnam.edu.vn/hlg_jp_tattpvn/?utm_source=Facebook&amp;utm_medium=CVS&amp;utm_term=NEW_Japan_2040_none_200524&amp;utm_content=saletructiep_Japan.Giaotiep.M225C192.2040_TATTPVN_LD204&amp;utm_campaign=Japan.Giaotiep.M225C192_XuBen.5018_MES_HuyLG_200524" TargetMode="External"/><Relationship Id="rId658" Type="http://schemas.openxmlformats.org/officeDocument/2006/relationships/hyperlink" Target="https://patadovietnam.edu.vn/hlg_jp_tattpvn" TargetMode="External"/><Relationship Id="rId653" Type="http://schemas.openxmlformats.org/officeDocument/2006/relationships/hyperlink" Target="https://patadovietnam.edu.vn/hlg_us_tattpvn/?utm_source=Facebook&amp;utm_medium=MES&amp;utm_term=NEW_UnitedStates_2040_none_200524&amp;utm_content=saletructiep_UnitedStates.Giaotiep.M232C198.2040_TATTPVN_LD208&amp;utm_campaign=UnitedStates.Giaotiep.M232C198_XuBen.5018_MES_HuyLG_200524" TargetMode="External"/><Relationship Id="rId652" Type="http://schemas.openxmlformats.org/officeDocument/2006/relationships/hyperlink" Target="https://patadovietnam.edu.vn/hlg_us_tattpvn" TargetMode="External"/><Relationship Id="rId651" Type="http://schemas.openxmlformats.org/officeDocument/2006/relationships/hyperlink" Target="https://by.tn/hlgvn01" TargetMode="External"/><Relationship Id="rId650" Type="http://schemas.openxmlformats.org/officeDocument/2006/relationships/hyperlink" Target="https://patadovietnam.edu.vn/be_hlg/?utm_source=Facebook&amp;utm_medium=MES&amp;utm_term=NEW_Vietnam_1845_none_200524&amp;utm_content=saletructiep_Vietnam.Congso.MB14CB8.1845_TATTP_LD223&amp;utm_campaign=Vietnam.Congso.MB14CB8_XuBen.5018_MES_HuyLG_200524" TargetMode="External"/><Relationship Id="rId689" Type="http://schemas.openxmlformats.org/officeDocument/2006/relationships/hyperlink" Target="https://by.tn/hlgeu02" TargetMode="External"/><Relationship Id="rId688" Type="http://schemas.openxmlformats.org/officeDocument/2006/relationships/hyperlink" Target="https://patadovietnam.edu.vn/eu_hlg/?utm_source=Facebook&amp;utm_medium=MES&amp;utm_term=NEW_Europe_2040_none_040924&amp;utm_content=saletructiep_Europe.Giaotiep.M77C235.2040_TATTP_LD154&amp;utm_campaign=Europe.Giaotiep.M77C235_XuBen.5018_MES_HuyLG_040924" TargetMode="External"/><Relationship Id="rId687" Type="http://schemas.openxmlformats.org/officeDocument/2006/relationships/hyperlink" Target="https://patadovietnam.edu.vn/eu_hlg/" TargetMode="External"/><Relationship Id="rId682" Type="http://schemas.openxmlformats.org/officeDocument/2006/relationships/hyperlink" Target="https://patadovietnam.edu.vn/hlg_tattpvn_gt/?utm_source=Facebook&amp;utm_medium=MES&amp;utm_term=NEW_ALL_2040_none_040924&amp;utm_content=saletructiep_ALL.Giaotiep.M268C230.2040_TATTPVN_LD229&amp;utm_campaign=ALL.Giaotiep.M268C230_XuBen.5018_MES_HuyLG_040924" TargetMode="External"/><Relationship Id="rId681" Type="http://schemas.openxmlformats.org/officeDocument/2006/relationships/hyperlink" Target="https://patadovietnam.edu.vn/hlg_tattpvn_gt/" TargetMode="External"/><Relationship Id="rId680" Type="http://schemas.openxmlformats.org/officeDocument/2006/relationships/hyperlink" Target="https://by.tn/hlgus02" TargetMode="External"/><Relationship Id="rId686" Type="http://schemas.openxmlformats.org/officeDocument/2006/relationships/hyperlink" Target="https://by.tn/hlgus04" TargetMode="External"/><Relationship Id="rId685" Type="http://schemas.openxmlformats.org/officeDocument/2006/relationships/hyperlink" Target="https://patadovietnam.edu.vn/hoaky_cvs/?utm_source=Facebook&amp;utm_medium=MES&amp;utm_term=NEW_UnitedStates_2040_none_040924&amp;utm_content=saletructiep_UnitedStates.Giaotiep.M77C235.2040_TATTP_LD109&amp;utm_campaign=UnitedStates.Giaotiep.M77C235_XuBen.5018_MES_HuyLG_040924" TargetMode="External"/><Relationship Id="rId684" Type="http://schemas.openxmlformats.org/officeDocument/2006/relationships/hyperlink" Target="https://patadovietnam.edu.vn/hoaky_cvs/" TargetMode="External"/><Relationship Id="rId683" Type="http://schemas.openxmlformats.org/officeDocument/2006/relationships/hyperlink" Target="https://s.net.vn/hlgall01" TargetMode="External"/><Relationship Id="rId679" Type="http://schemas.openxmlformats.org/officeDocument/2006/relationships/hyperlink" Target="https://patadovietnam.edu.vn/hlg_tattpvn_gt/?utm_source=Facebook&amp;utm_medium=CVS&amp;utm_term=NEW_UnitedStates_2040_none_220824&amp;utm_content=saletructiep_UnitedStates.Giaotiep.M268C230.2040_TATTPVN_LD229&amp;utm_campaign=UnitedStates.Giaotiep.M268C230_XuBen.5018_CVS_HuyLG_220824" TargetMode="External"/><Relationship Id="rId678" Type="http://schemas.openxmlformats.org/officeDocument/2006/relationships/hyperlink" Target="https://patadovietnam.edu.vn/hlg_tattpvn_gt/" TargetMode="External"/><Relationship Id="rId677" Type="http://schemas.openxmlformats.org/officeDocument/2006/relationships/hyperlink" Target="https://by.tn/hlgjp03" TargetMode="External"/><Relationship Id="rId676" Type="http://schemas.openxmlformats.org/officeDocument/2006/relationships/hyperlink" Target="https://patadovietnam.edu.vn/hlg_tattpvn_gt/?utm_source=Facebook&amp;utm_medium=CVS&amp;utm_term=NEW_Japan_2040_none_220824&amp;utm_content=saletructiep_Japan.Giaotiep.M268C230.2040_TATTPVN_LD229&amp;utm_campaign=Japan.Giaotiep.M268C230_XuBen.5018_CVS_HuyLG_220824" TargetMode="External"/><Relationship Id="rId671" Type="http://schemas.openxmlformats.org/officeDocument/2006/relationships/hyperlink" Target="https://patadovietnam.edu.vn/hlg_tattpvn_gt/?utm_source=Facebook&amp;utm_medium=MES&amp;utm_term=NEW_Australia_2040_none_120624&amp;utm_content=saletructiep_Australia.Giaotiep.M226C203.2040_TATTPVN_LD229&amp;utm_campaign=Australia.Giaotiep.M226C203_XuBen.5018_MES_HuyLG_120624" TargetMode="External"/><Relationship Id="rId670" Type="http://schemas.openxmlformats.org/officeDocument/2006/relationships/hyperlink" Target="https://patadovietnam.edu.vn/hlg_tattpvn_gt/" TargetMode="External"/><Relationship Id="rId675" Type="http://schemas.openxmlformats.org/officeDocument/2006/relationships/hyperlink" Target="https://patadovietnam.edu.vn/hlg_tattpvn_gt/" TargetMode="External"/><Relationship Id="rId674" Type="http://schemas.openxmlformats.org/officeDocument/2006/relationships/hyperlink" Target="https://patadovietnam.edu.vn/hlg_pgpgtta_gt/?utm_source=Facebook&amp;utm_medium=MES&amp;utm_term=NEW_KoreaSouth_2040_none_120624&amp;utm_content=saletructiep_KoreaSouth.Giaotiep.M226C203.2040_TATTPVN_LD226&amp;utm_campaign=KoreaSouth.Giaotiep.M226C203_XuBen.5018_MES_HuyLG_120624" TargetMode="External"/><Relationship Id="rId673" Type="http://schemas.openxmlformats.org/officeDocument/2006/relationships/hyperlink" Target="https://patadovietnam.edu.vn/hlg_pgpgtta_gt" TargetMode="External"/><Relationship Id="rId672" Type="http://schemas.openxmlformats.org/officeDocument/2006/relationships/hyperlink" Target="https://by.tn/hlg-au01" TargetMode="External"/><Relationship Id="rId190" Type="http://schemas.openxmlformats.org/officeDocument/2006/relationships/hyperlink" Target="https://patadovietnam.edu.vn/khoa-hoc-giao-tiep/?utm_source=Facebook&amp;utm_medium=MES&amp;utm_term=NEW_Thailand_none_none_030322&amp;utm_content=saletructiep_Thailand.Video.none.Giaotiep_TATTPVN_LD068&amp;utm_campaign=Thailand.Giaotiep_XuBen.5018_MES_HuyLG_030322" TargetMode="External"/><Relationship Id="rId194" Type="http://schemas.openxmlformats.org/officeDocument/2006/relationships/hyperlink" Target="https://patadovietnam.edu.vn/ielts_cvs/?utm_source=Facebook&amp;utm_medium=CVS&amp;utm_term=NEW_Vietnam_none_none_070322&amp;utm_content=saletructiep_Vietnam.Video.none.IELTS_TATTPVN_LD114&amp;utm_campaign=Vietnam.IELTS_XuBen.5018_CVS_HuyLG_070322" TargetMode="External"/><Relationship Id="rId193" Type="http://schemas.openxmlformats.org/officeDocument/2006/relationships/hyperlink" Target="https://patadovietnam.edu.vn/ielts_cvs/" TargetMode="External"/><Relationship Id="rId192" Type="http://schemas.openxmlformats.org/officeDocument/2006/relationships/hyperlink" Target="https://patadovietnam.edu.vn/khoa-hoc-giao-tiep/?utm_source=Facebook&amp;utm_medium=MES&amp;utm_term=NEW_ALL_none_none_030322&amp;utm_content=saletructiep_ALL.Video.none.Giaotiep_TATTPVN_LD068&amp;utm_campaign=ALL.Giaotiep_XuBen.5018_MES_HuyLG_030322" TargetMode="External"/><Relationship Id="rId191" Type="http://schemas.openxmlformats.org/officeDocument/2006/relationships/hyperlink" Target="https://patadovietnam.edu.vn/khoa-hoc-giao-tiep/" TargetMode="External"/><Relationship Id="rId187" Type="http://schemas.openxmlformats.org/officeDocument/2006/relationships/hyperlink" Target="https://patadovietnam.edu.vn/khoa-hoc-giao-tiep/" TargetMode="External"/><Relationship Id="rId186" Type="http://schemas.openxmlformats.org/officeDocument/2006/relationships/hyperlink" Target="https://www.patado.net/tieng-anh-giao-tiep-nuoc-ngoai/?utm_source=Other&amp;utm_medium=Leak&amp;utm_term=NON_Vietnam_none_none_070122&amp;utm_content=khac_none_NON_LD005&amp;utm_campaign=DuyenNTM_NON_LEAK_HuyLG_070122" TargetMode="External"/><Relationship Id="rId185" Type="http://schemas.openxmlformats.org/officeDocument/2006/relationships/hyperlink" Target="https://www.patado.net/tieng-anh-giao-tiep-nuoc-ngoai" TargetMode="External"/><Relationship Id="rId184" Type="http://schemas.openxmlformats.org/officeDocument/2006/relationships/hyperlink" Target="https://www.patado.net/tieng-anh-giao-tiep-nuoc-ngoai/?utm_source=Other&amp;utm_medium=Leak&amp;utm_term=NON_Vietnam_none_none_070122&amp;utm_content=khac_none_NON_LD005&amp;utm_campaign=LinhDK_NON_LEAK_HuyLG_070122" TargetMode="External"/><Relationship Id="rId189" Type="http://schemas.openxmlformats.org/officeDocument/2006/relationships/hyperlink" Target="https://patadovietnam.edu.vn/khoa-hoc-giao-tiep/" TargetMode="External"/><Relationship Id="rId188" Type="http://schemas.openxmlformats.org/officeDocument/2006/relationships/hyperlink" Target="https://patadovietnam.edu.vn/khoa-hoc-giao-tiep/?utm_source=Facebook&amp;utm_medium=MES&amp;utm_term=NEW_Macao_none_none_230222&amp;utm_content=saletructiep_Macao.Video.none.Giaotiep_TATTPVN_LD068&amp;utm_campaign=Macao.Giaotiep_XuBen.5018_MES_HuyLG_230222" TargetMode="External"/><Relationship Id="rId183" Type="http://schemas.openxmlformats.org/officeDocument/2006/relationships/hyperlink" Target="https://www.patado.net/tieng-anh-giao-tiep-nuoc-ngoai" TargetMode="External"/><Relationship Id="rId182" Type="http://schemas.openxmlformats.org/officeDocument/2006/relationships/hyperlink" Target="https://www.patado.net/tieng-anh-giao-tiep-nuoc-ngoai/?utm_source=Other&amp;utm_medium=Leak&amp;utm_term=NON_Vietnam_none_none_070122&amp;utm_content=khac_none_NON_LD005&amp;utm_campaign=DuongNB_NON_LEAK_HuyLG_070122" TargetMode="External"/><Relationship Id="rId181" Type="http://schemas.openxmlformats.org/officeDocument/2006/relationships/hyperlink" Target="https://www.patado.net/tieng-anh-giao-tiep-nuoc-ngoai" TargetMode="External"/><Relationship Id="rId180" Type="http://schemas.openxmlformats.org/officeDocument/2006/relationships/hyperlink" Target="https://www.patado.net/tieng-anh-giao-tiep-nuoc-ngoai/?utm_source=Other&amp;utm_medium=Leak&amp;utm_term=NON_Vietnam_none_none_070122&amp;utm_content=khac_none_NON_LD005&amp;utm_campaign=HieuPM_NON_LEAK_HuyLG_070122" TargetMode="External"/><Relationship Id="rId176" Type="http://schemas.openxmlformats.org/officeDocument/2006/relationships/hyperlink" Target="https://patadovietnam.edu.vn/tetnhamdan/?utm_source=Facebook&amp;utm_medium=CVS&amp;utm_term=NEW_HCM_none_none_311221&amp;utm_content=saletructiep_HCM.Video.none.Giaotiep_TATTPVN_LD089&amp;utm_campaign=HCM.Giaotiep_XuBen.5018_CVS_HuyLG_311221" TargetMode="External"/><Relationship Id="rId175" Type="http://schemas.openxmlformats.org/officeDocument/2006/relationships/hyperlink" Target="https://patadovietnam.edu.vn/tetnhamdan/" TargetMode="External"/><Relationship Id="rId174" Type="http://schemas.openxmlformats.org/officeDocument/2006/relationships/hyperlink" Target="https://patadovietnam.edu.vn/tetnhamdan/?utm_source=Facebook&amp;utm_medium=CVS&amp;utm_term=NEW_HN_none_none_311221&amp;utm_content=saletructiep_HN.Video.none.Giaotiep_TATTPVN_LD089&amp;utm_campaign=HN.Giaotiep_XuBen.5018_CVS_HuyLG_311221" TargetMode="External"/><Relationship Id="rId173" Type="http://schemas.openxmlformats.org/officeDocument/2006/relationships/hyperlink" Target="https://patadovietnam.edu.vn/tetnhamdan/" TargetMode="External"/><Relationship Id="rId179" Type="http://schemas.openxmlformats.org/officeDocument/2006/relationships/hyperlink" Target="https://www.patado.net/tieng-anh-giao-tiep-nuoc-ngoai" TargetMode="External"/><Relationship Id="rId178" Type="http://schemas.openxmlformats.org/officeDocument/2006/relationships/hyperlink" Target="https://www.patado.net/tieng-anh-giao-tiep-nuoc-ngoai/?utm_source=Other&amp;utm_medium=Leak&amp;utm_term=NON_Vietnam_none_none_070122&amp;utm_content=khac_none_NON_LD005&amp;utm_campaign=HuyLG_NON_LEAK_HuyLG_070122" TargetMode="External"/><Relationship Id="rId177" Type="http://schemas.openxmlformats.org/officeDocument/2006/relationships/hyperlink" Target="https://www.patado.net/tieng-anh-giao-tiep-nuoc-ngoai" TargetMode="External"/><Relationship Id="rId198" Type="http://schemas.openxmlformats.org/officeDocument/2006/relationships/hyperlink" Target="https://patadovietnam.edu.vn/khoa-hoc-giao-tiep/?utm_source=Facebook&amp;utm_medium=MES&amp;utm_term=NEW_Singapore_none_none_120322&amp;utm_content=saletructiep_Singapore.Anhthongbao.none.Giaotiep_TATTPVN_LD068&amp;utm_campaign=Singapore.Giaotiep.Anhthongbao_XuBen.5018_MES_HuyLG_120322" TargetMode="External"/><Relationship Id="rId197" Type="http://schemas.openxmlformats.org/officeDocument/2006/relationships/hyperlink" Target="https://patadovietnam.edu.vn/khoa-hoc-giao-tiep/" TargetMode="External"/><Relationship Id="rId196" Type="http://schemas.openxmlformats.org/officeDocument/2006/relationships/hyperlink" Target="https://patadovietnam.edu.vn/khoa-hoc-giao-tiep/?utm_source=Facebook&amp;utm_medium=MES&amp;utm_term=NEW_Singapore_none_none_110322&amp;utm_content=saletructiep_Singapore.Video.none.Giaotiep_TATTPVN_LD068&amp;utm_campaign=Singapore.Giaotiep_XuBen.5018_MES_HuyLG_110322" TargetMode="External"/><Relationship Id="rId195" Type="http://schemas.openxmlformats.org/officeDocument/2006/relationships/hyperlink" Target="https://patadovietnam.edu.vn/khoa-hoc-giao-tiep/" TargetMode="External"/><Relationship Id="rId199" Type="http://schemas.openxmlformats.org/officeDocument/2006/relationships/hyperlink" Target="https://patadovietnam.edu.vn/khoa-hoc-giao-tiep/" TargetMode="External"/><Relationship Id="rId150" Type="http://schemas.openxmlformats.org/officeDocument/2006/relationships/hyperlink" Target="https://patadovietnam.edu.vn/merrychristmast/?utm_source=Facebook&amp;utm_medium=CVS&amp;utm_term=NEW_Japan_none_none_221221&amp;utm_content=saletructiep_Japan.Video.none.Giaotiep_TATTPVN_LD077&amp;utm_campaign=Japan.Giaotiep_XuBen.5018_CVS_HuyLG_221221" TargetMode="External"/><Relationship Id="rId149" Type="http://schemas.openxmlformats.org/officeDocument/2006/relationships/hyperlink" Target="https://patadovietnam.edu.vn/merrychristmast/" TargetMode="External"/><Relationship Id="rId148" Type="http://schemas.openxmlformats.org/officeDocument/2006/relationships/hyperlink" Target="https://patadovietnam.edu.vn/merrychristmast/?utm_source=Facebook&amp;utm_medium=CVS&amp;utm_term=NEW_UnitedKingdom_none_none_221221&amp;utm_content=saletructiep_UnitedKingdom.Video.none.Giaotiep_TATTPVN_LD077&amp;utm_campaign=UnitedKingdom.Giaotiep_XuBen.5018_CVS_HuyLG_221221" TargetMode="External"/><Relationship Id="rId143" Type="http://schemas.openxmlformats.org/officeDocument/2006/relationships/hyperlink" Target="https://patadovietnam.edu.vn/khoa-hoc-giao-tiep/" TargetMode="External"/><Relationship Id="rId142" Type="http://schemas.openxmlformats.org/officeDocument/2006/relationships/hyperlink" Target="https://patadovietnam.edu.vn/khoa-hoc-giao-tiep/?utm_source=Facebook&amp;utm_medium=MES&amp;utm_term=NEW_UnitedArabEmirates_none_none_131121&amp;utm_content=saletructiep_UnitedArabEmirates.Video.none.Giaotiep_TATTPVN_LD068&amp;utm_campaign=UnitedArabEmirates.Giaotiep_XuBen.5018_MES_HuyLG_131121" TargetMode="External"/><Relationship Id="rId141" Type="http://schemas.openxmlformats.org/officeDocument/2006/relationships/hyperlink" Target="https://patadovietnam.edu.vn/khoa-hoc-giao-tiep/" TargetMode="External"/><Relationship Id="rId140" Type="http://schemas.openxmlformats.org/officeDocument/2006/relationships/hyperlink" Target="https://patadovietnam.edu.vn/khoa-hoc-giao-tiep/?utm_source=Facebook&amp;utm_medium=MES&amp;utm_term=NEW_India_none_none_121121&amp;utm_content=saletructiep_India.Video.none.Giaotiep_TATTPVN_LD068&amp;utm_campaign=India.Giaotiep_XuBen.5018_MES_HuyLG_121121" TargetMode="External"/><Relationship Id="rId147" Type="http://schemas.openxmlformats.org/officeDocument/2006/relationships/hyperlink" Target="https://patadovietnam.edu.vn/merrychristmast/" TargetMode="External"/><Relationship Id="rId146" Type="http://schemas.openxmlformats.org/officeDocument/2006/relationships/hyperlink" Target="https://patadovietnam.edu.vn/khoa-hoc-giao-tiep/?utm_source=Facebook&amp;utm_medium=CVS&amp;utm_term=NEW_Vietnam_none_none_171121&amp;utm_content=saletructiep_Vietnam.Video.none.Giaotiep_TATTPVN_LD068&amp;utm_campaign=Vietnam.Giaotiep_XuBen.5018_CVS_HuyLG_171121" TargetMode="External"/><Relationship Id="rId145" Type="http://schemas.openxmlformats.org/officeDocument/2006/relationships/hyperlink" Target="https://patadovietnam.edu.vn/khoa-hoc-giao-tiep/" TargetMode="External"/><Relationship Id="rId144" Type="http://schemas.openxmlformats.org/officeDocument/2006/relationships/hyperlink" Target="https://patadovietnam.edu.vn/khoa-hoc-giao-tiep/?utm_source=Facebook&amp;utm_medium=MES&amp;utm_term=NEW_Cambodia_none_none_151121&amp;utm_content=saletructiep_Cambodia.Video.none.Giaotiep_TATTPVN_LD068&amp;utm_campaign=Cambodia.Giaotiep_XuBen.5018_MES_HuyLG_151121" TargetMode="External"/><Relationship Id="rId139" Type="http://schemas.openxmlformats.org/officeDocument/2006/relationships/hyperlink" Target="https://patadovietnam.edu.vn/khoa-hoc-giao-tiep/" TargetMode="External"/><Relationship Id="rId138" Type="http://schemas.openxmlformats.org/officeDocument/2006/relationships/hyperlink" Target="https://patadovietnam.edu.vn/khoa-hoc-giao-tiep/?utm_source=Facebook&amp;utm_medium=MES&amp;utm_term=NEW_NewZealand_none_none_011021&amp;utm_content=saletructiep_NewZealand.Video.none.Giaotiep_TATTPVN_LD068&amp;utm_campaign=NewZealand.Giaotiep_XuBen.5018_MES_HuyLG_011021" TargetMode="External"/><Relationship Id="rId137" Type="http://schemas.openxmlformats.org/officeDocument/2006/relationships/hyperlink" Target="https://patadovietnam.edu.vn/khoa-hoc-giao-tiep/" TargetMode="External"/><Relationship Id="rId132" Type="http://schemas.openxmlformats.org/officeDocument/2006/relationships/hyperlink" Target="https://patadovietnam.edu.vn/khoa-hoc-giao-tiep/?utm_source=Facebook&amp;utm_medium=MES&amp;utm_term=NEW_Australia_none_none_100821&amp;utm_content=saletructiep_Australia.Video.none.Giaotiep_TATTPVN_LD068&amp;utm_campaign=Australia.Giaotiep_XuBen.5018_MES_HuyLG_100821" TargetMode="External"/><Relationship Id="rId131" Type="http://schemas.openxmlformats.org/officeDocument/2006/relationships/hyperlink" Target="https://patadovietnam.edu.vn/khoa-hoc-giao-tiep/" TargetMode="External"/><Relationship Id="rId130" Type="http://schemas.openxmlformats.org/officeDocument/2006/relationships/hyperlink" Target="https://patadovietnam.edu.vn/khoa-hoc-giao-tiep/?utm_source=Facebook&amp;utm_medium=MES&amp;utm_term=NEW_Korea_none_none_050821&amp;utm_content=saletructiep_Korea.Video.none.Giaotiep_TATTPVN_LD068&amp;utm_campaign=Korea.Giaotiep_XuBen.5018_MES_HuyLG_050821" TargetMode="External"/><Relationship Id="rId136" Type="http://schemas.openxmlformats.org/officeDocument/2006/relationships/hyperlink" Target="https://patadovietnam.edu.vn/khoa-hoc-giao-tiep/?utm_source=Facebook&amp;utm_medium=MES&amp;utm_term=NEW_Mexico_none_none_040921&amp;utm_content=saletructiep_Mexico.Video.none.Giaotiep_TATTPVN_LD068&amp;utm_campaign=Mexico.Giaotiep_XuBen.5018_MES_HuyLG_040921" TargetMode="External"/><Relationship Id="rId135" Type="http://schemas.openxmlformats.org/officeDocument/2006/relationships/hyperlink" Target="https://patadovietnam.edu.vn/khoa-hoc-giao-tiep/" TargetMode="External"/><Relationship Id="rId134" Type="http://schemas.openxmlformats.org/officeDocument/2006/relationships/hyperlink" Target="https://patadovietnam.edu.vn/khoa-hoc-giao-tiep/?utm_source=Facebook&amp;utm_medium=MES&amp;utm_term=NEW_UnitedStates_none_none_110821&amp;utm_content=saletructiep_UnitedStates.Video.none.Giaotiep_TATTPVN_LD068&amp;utm_campaign=UnitedStates.Giaotiep_XuBen.5018_MES_HuyLG_110821" TargetMode="External"/><Relationship Id="rId133" Type="http://schemas.openxmlformats.org/officeDocument/2006/relationships/hyperlink" Target="https://patadovietnam.edu.vn/khoa-hoc-giao-tiep/" TargetMode="External"/><Relationship Id="rId172" Type="http://schemas.openxmlformats.org/officeDocument/2006/relationships/hyperlink" Target="https://patadovietnam.edu.vn/tetnhamdan/?utm_source=Facebook&amp;utm_medium=CVS&amp;utm_term=NEW_Japan_none_none_311221&amp;utm_content=saletructiep_Japan.Video.none.Giaotiep_TATTPVN_LD089&amp;utm_campaign=Japan.Giaotiep_XuBen.5018_CVS_HuyLG_311221" TargetMode="External"/><Relationship Id="rId171" Type="http://schemas.openxmlformats.org/officeDocument/2006/relationships/hyperlink" Target="https://patadovietnam.edu.vn/tetnhamdan/" TargetMode="External"/><Relationship Id="rId170" Type="http://schemas.openxmlformats.org/officeDocument/2006/relationships/hyperlink" Target="https://patadovietnam.edu.vn/tetnhamdan/?utm_source=Facebook&amp;utm_medium=CVS&amp;utm_term=NEW_UnitedStates_none_none_311221&amp;utm_content=saletructiep_UnitedStates.Video.none.Giaotiep_TATTPVN_LD089&amp;utm_campaign=UnitedStates.Giaotiep_XuBen.5018_CVS_HuyLG_311221" TargetMode="External"/><Relationship Id="rId165" Type="http://schemas.openxmlformats.org/officeDocument/2006/relationships/hyperlink" Target="https://patadovietnam.edu.vn/tetnhamdan/" TargetMode="External"/><Relationship Id="rId164" Type="http://schemas.openxmlformats.org/officeDocument/2006/relationships/hyperlink" Target="https://patadovietnam.edu.vn/tetnhamdan/?utm_source=Facebook&amp;utm_medium=CVS&amp;utm_term=RMK_ALL_none_none_311221&amp;utm_content=saletructiep_ALLRMK.Video.none.Giaotiep_TATTPVN_LD089&amp;utm_campaign=ALLRMK.Giaotiep_XuBen.5018_CVS_HuyLG_311221" TargetMode="External"/><Relationship Id="rId163" Type="http://schemas.openxmlformats.org/officeDocument/2006/relationships/hyperlink" Target="https://patadovietnam.edu.vn/tetnhamdan/" TargetMode="External"/><Relationship Id="rId162" Type="http://schemas.openxmlformats.org/officeDocument/2006/relationships/hyperlink" Target="https://patadovietnam.edu.vn/tetnhamdan/?utm_source=Facebook&amp;utm_medium=CVS&amp;utm_term=NEW_CzechRepublic_none_none_311221&amp;utm_content=saletructiep_CzechRepublic.Video.none.Giaotiep_TATTPVN_LD089&amp;utm_campaign=CzechRepublic.Giaotiep_XuBen.5018_CVS_HuyLG_311221" TargetMode="External"/><Relationship Id="rId169" Type="http://schemas.openxmlformats.org/officeDocument/2006/relationships/hyperlink" Target="https://patadovietnam.edu.vn/tetnhamdan/" TargetMode="External"/><Relationship Id="rId168" Type="http://schemas.openxmlformats.org/officeDocument/2006/relationships/hyperlink" Target="https://patadovietnam.edu.vn/tetnhamdan/?utm_source=Facebook&amp;utm_medium=MES&amp;utm_term=NEW_Korea_none_none_311221&amp;utm_content=saletructiep_Korea.Video.none.Giaotiep_TATTPVN_LD089&amp;utm_campaign=Korea.Giaotiep_XuBen.5018_MES_HuyLG_311221" TargetMode="External"/><Relationship Id="rId167" Type="http://schemas.openxmlformats.org/officeDocument/2006/relationships/hyperlink" Target="https://patadovietnam.edu.vn/tetnhamdan/" TargetMode="External"/><Relationship Id="rId166" Type="http://schemas.openxmlformats.org/officeDocument/2006/relationships/hyperlink" Target="https://patadovietnam.edu.vn/tetnhamdan/?utm_source=Facebook&amp;utm_medium=CVS&amp;utm_term=NEW_UnitedKingdom_none_none_311221&amp;utm_content=saletructiep_UnitedKingdom.Video.none.Giaotiep_TATTPVN_LD089&amp;utm_campaign=UnitedKingdom.Giaotiep_XuBen.5018_CVS_HuyLG_311221" TargetMode="External"/><Relationship Id="rId161" Type="http://schemas.openxmlformats.org/officeDocument/2006/relationships/hyperlink" Target="https://patadovietnam.edu.vn/tetnhamdan/" TargetMode="External"/><Relationship Id="rId160" Type="http://schemas.openxmlformats.org/officeDocument/2006/relationships/hyperlink" Target="https://patadovietnam.edu.vn/merrychristmast/?utm_source=Facebook&amp;utm_medium=MES&amp;utm_term=NEW_Singapore_none_none_221221&amp;utm_content=saletructiep_Singapore.Video.none.Giaotiep_TATTPVN_LD077&amp;utm_campaign=Singapore.Giaotiep_XuBen.5018_MES_HuyLG_221221" TargetMode="External"/><Relationship Id="rId159" Type="http://schemas.openxmlformats.org/officeDocument/2006/relationships/hyperlink" Target="https://patadovietnam.edu.vn/merrychristmast/" TargetMode="External"/><Relationship Id="rId154" Type="http://schemas.openxmlformats.org/officeDocument/2006/relationships/hyperlink" Target="https://patadovietnam.edu.vn/merrychristmast/?utm_source=Facebook&amp;utm_medium=CVS&amp;utm_term=RMK_ALL_none_none_221221&amp;utm_content=saletructiep_ALLRMK.Video.none.Giaotiep_TATTPVN_LD077&amp;utm_campaign=ALLRMK.Giaotiep_XuBen.5018_CVS_HuyLG_221221" TargetMode="External"/><Relationship Id="rId153" Type="http://schemas.openxmlformats.org/officeDocument/2006/relationships/hyperlink" Target="https://patadovietnam.edu.vn/merrychristmast/" TargetMode="External"/><Relationship Id="rId152" Type="http://schemas.openxmlformats.org/officeDocument/2006/relationships/hyperlink" Target="https://patadovietnam.edu.vn/merrychristmast/?utm_source=Facebook&amp;utm_medium=MES&amp;utm_term=NEW_UnitedStates_none_none_221221&amp;utm_content=saletructiep_UnitedStates.Video.none.Giaotiep_TATTPVN_LD077&amp;utm_campaign=UnitedStates.Giaotiep_XuBen.5018_MES_HuyLG_221221" TargetMode="External"/><Relationship Id="rId151" Type="http://schemas.openxmlformats.org/officeDocument/2006/relationships/hyperlink" Target="https://patadovietnam.edu.vn/merrychristmast/" TargetMode="External"/><Relationship Id="rId158" Type="http://schemas.openxmlformats.org/officeDocument/2006/relationships/hyperlink" Target="https://patadovietnam.edu.vn/merrychristmast/?utm_source=Facebook&amp;utm_medium=CVS&amp;utm_term=NEW_Vietnam_none_none_221221&amp;utm_content=saletructiep_Vietnam.Video.none.Giaotiep_TATTPVN_LD077&amp;utm_campaign=Vietnam.Giaotiep_XuBen.5018_CVS_HuyLG_221221" TargetMode="External"/><Relationship Id="rId157" Type="http://schemas.openxmlformats.org/officeDocument/2006/relationships/hyperlink" Target="https://patadovietnam.edu.vn/merrychristmast/" TargetMode="External"/><Relationship Id="rId156" Type="http://schemas.openxmlformats.org/officeDocument/2006/relationships/hyperlink" Target="https://patadovietnam.edu.vn/merrychristmast/?utm_source=Facebook&amp;utm_medium=CVS&amp;utm_term=NEW_CzechRepublic_none_none_221221&amp;utm_content=saletructiep_CzechRepublic.Video.none.Giaotiep_TATTPVN_LD077&amp;utm_campaign=CzechRepublic.Giaotiep_XuBen.5018_CVS_HuyLG_221221" TargetMode="External"/><Relationship Id="rId155" Type="http://schemas.openxmlformats.org/officeDocument/2006/relationships/hyperlink" Target="https://patadovietnam.edu.vn/merrychristmast/" TargetMode="External"/><Relationship Id="rId987" Type="http://schemas.openxmlformats.org/officeDocument/2006/relationships/hyperlink" Target="https://patadovietnam.edu.vn/hlg1709/?utm_source=Facebook&amp;utm_medium=MES&amp;utm_term=NEW_UnitedStates_1840_none_011225&amp;utm_content=saletructiep_UnitedStates.Giaotiep.M561.C423.2040_PGPGTTA_LD249&amp;utm_campaign=UnitedStates.Giaotiep.M561.C423_XuBen.5018_MES_HuyLG_011225" TargetMode="External"/><Relationship Id="rId986" Type="http://schemas.openxmlformats.org/officeDocument/2006/relationships/hyperlink" Target="https://patadovietnam.edu.vn/hlg1709" TargetMode="External"/><Relationship Id="rId985" Type="http://schemas.openxmlformats.org/officeDocument/2006/relationships/hyperlink" Target="https://byvn.net/hlgkr03" TargetMode="External"/><Relationship Id="rId984" Type="http://schemas.openxmlformats.org/officeDocument/2006/relationships/hyperlink" Target="https://patadovietnam.edu.vn/hlg1908/?utm_source=Facebook&amp;utm_medium=MES&amp;utm_term=NEW_KoreaSouth_1840_none_191125&amp;utm_content=saletructiep_KoreaSouth.Giaotiep.M559.C423_TATTPVN_LD247&amp;utm_campaign=KoreaSouth.Giaotiep.M559.C423_XuBen.5018_MES_HuyLG_191125" TargetMode="External"/><Relationship Id="rId989" Type="http://schemas.openxmlformats.org/officeDocument/2006/relationships/hyperlink" Target="https://patadovietnam.edu.vn/hlg1709" TargetMode="External"/><Relationship Id="rId988" Type="http://schemas.openxmlformats.org/officeDocument/2006/relationships/hyperlink" Target="https://byvn.net/hlgus20" TargetMode="External"/><Relationship Id="rId983" Type="http://schemas.openxmlformats.org/officeDocument/2006/relationships/hyperlink" Target="https://patadovietnam.edu.vn/hlg1908" TargetMode="External"/><Relationship Id="rId982" Type="http://schemas.openxmlformats.org/officeDocument/2006/relationships/hyperlink" Target="https://byvn.net/hlgjp18" TargetMode="External"/><Relationship Id="rId981" Type="http://schemas.openxmlformats.org/officeDocument/2006/relationships/hyperlink" Target="https://patadovietnam.edu.vn/hlg1908/?utm_source=Facebook&amp;utm_medium=MES&amp;utm_term=NEW_Japan_1840_none_191125&amp;utm_content=saletructiep_Japan.Giaotiep.M561.C423_TATTPVN_LD247&amp;utm_campaign=Japan.Giaotiep.M561.C423_XuBen.5018_MES_HuyLG_191125" TargetMode="External"/><Relationship Id="rId980" Type="http://schemas.openxmlformats.org/officeDocument/2006/relationships/hyperlink" Target="https://patadovietnam.edu.vn/hlg1908" TargetMode="External"/><Relationship Id="rId976" Type="http://schemas.openxmlformats.org/officeDocument/2006/relationships/hyperlink" Target="https://byvn.net/hlgeu20" TargetMode="External"/><Relationship Id="rId975" Type="http://schemas.openxmlformats.org/officeDocument/2006/relationships/hyperlink" Target="https://patadovietnam.edu.vn/hlg1908/?utm_source=Facebook&amp;utm_medium=MES&amp;utm_term=NEW_Europe_1840_none_191125&amp;utm_content=saletructiep_Europe.Giaotiep.M581.2040_TATTPVN_LD247&amp;utm_campaign=Europe.Giaotiep.M581_XuBen.5018_MES_HuyLG_191125" TargetMode="External"/><Relationship Id="rId974" Type="http://schemas.openxmlformats.org/officeDocument/2006/relationships/hyperlink" Target="https://patadovietnam.edu.vn/hlg1908" TargetMode="External"/><Relationship Id="rId973" Type="http://schemas.openxmlformats.org/officeDocument/2006/relationships/hyperlink" Target="https://byvn.net/hlgus17" TargetMode="External"/><Relationship Id="rId979" Type="http://schemas.openxmlformats.org/officeDocument/2006/relationships/hyperlink" Target="https://byvn.net/hlgau10" TargetMode="External"/><Relationship Id="rId978" Type="http://schemas.openxmlformats.org/officeDocument/2006/relationships/hyperlink" Target="https://patadovietnam.edu.vn/hlg1908/?utm_source=Facebook&amp;utm_medium=MES&amp;utm_term=NEW_Australia_1840_none_191125&amp;utm_content=saletructiep_Australia.Giaotiep.M581.2040_TATTPVN_LD247&amp;utm_campaign=Australia.Giaotiep.M581_XuBen.5018_MES_HuyLG_191125" TargetMode="External"/><Relationship Id="rId977" Type="http://schemas.openxmlformats.org/officeDocument/2006/relationships/hyperlink" Target="https://patadovietnam.edu.vn/hlg1908" TargetMode="External"/><Relationship Id="rId972" Type="http://schemas.openxmlformats.org/officeDocument/2006/relationships/hyperlink" Target="https://patadovietnam.edu.vn/hlg1709/?utm_source=Facebook&amp;utm_medium=CVS&amp;utm_term=NEW_UnitedStates_1840_none_180925&amp;utm_content=saletructiep_UnitedStates.Giaotiep.M520.2040_TATTP_LD249&amp;utm_campaign=UnitedStates.Giaotiep.M520_XuBen.5018_CVS_HuyLG_180925" TargetMode="External"/><Relationship Id="rId971" Type="http://schemas.openxmlformats.org/officeDocument/2006/relationships/hyperlink" Target="https://patadovietnam.edu.vn/hlg1709" TargetMode="External"/><Relationship Id="rId970" Type="http://schemas.openxmlformats.org/officeDocument/2006/relationships/hyperlink" Target="https://byvn.net/hlgeu18" TargetMode="External"/><Relationship Id="rId998" Type="http://schemas.openxmlformats.org/officeDocument/2006/relationships/hyperlink" Target="https://patadovietnam.edu.vn/hlg_tattpvn_gt/" TargetMode="External"/><Relationship Id="rId997" Type="http://schemas.openxmlformats.org/officeDocument/2006/relationships/hyperlink" Target="https://byvn.net/hlgus21" TargetMode="External"/><Relationship Id="rId996" Type="http://schemas.openxmlformats.org/officeDocument/2006/relationships/hyperlink" Target="https://patadovietnam.edu.vn/hlg1709/?utm_source=Facebook&amp;utm_medium=MES&amp;utm_term=NEW_UnitedStates_1840_none_011225&amp;utm_content=saletructiep_UnitedStates.Giaotiep.M581_TATTP_LD249&amp;utm_campaign=UnitedStates.Giaotiep.M581_XuBen.5018_MES_HuyLG_011225" TargetMode="External"/><Relationship Id="rId995" Type="http://schemas.openxmlformats.org/officeDocument/2006/relationships/hyperlink" Target="https://patadovietnam.edu.vn/hlg1709" TargetMode="External"/><Relationship Id="rId999" Type="http://schemas.openxmlformats.org/officeDocument/2006/relationships/hyperlink" Target="https://patadovietnam.edu.vn/hlg_tattpvn_gt/?utm_source=Facebook&amp;utm_medium=MES&amp;utm_term=NEW_ALL_1840_none_011225&amp;utm_content=saletructiep_ALL.Giaotiep.M581.2040_TATTPVN_LD229&amp;utm_campaign=ALL.Giaotiep.M581_XuBen.5018_MES_HuyLG_011225" TargetMode="External"/><Relationship Id="rId990" Type="http://schemas.openxmlformats.org/officeDocument/2006/relationships/hyperlink" Target="https://patadovietnam.edu.vn/hlg1709/?utm_source=Facebook&amp;utm_medium=MES&amp;utm_term=NEW_Australia_1840_none_011225&amp;utm_content=saletructiep_Australia.Giaotiep.M559.C423_TATTP_LD249&amp;utm_campaign=Australia.Giaotiep.M559.C423_XuBen.5018_MES_HuyLG_011225" TargetMode="External"/><Relationship Id="rId994" Type="http://schemas.openxmlformats.org/officeDocument/2006/relationships/hyperlink" Target="https://byvn.net/hlgjp20" TargetMode="External"/><Relationship Id="rId993" Type="http://schemas.openxmlformats.org/officeDocument/2006/relationships/hyperlink" Target="https://patadovietnam.edu.vn/hlg1709/?utm_source=Facebook&amp;utm_medium=MES&amp;utm_term=NEW_Japan_1840_none_011225&amp;utm_content=saletructiep_Japan.Giaotiep.M559.C423_TATTP_LD249&amp;utm_campaign=Japan.Giaotiep.M559.C423_XuBen.5018_MES_HuyLG_011225" TargetMode="External"/><Relationship Id="rId992" Type="http://schemas.openxmlformats.org/officeDocument/2006/relationships/hyperlink" Target="https://patadovietnam.edu.vn/hlg1709" TargetMode="External"/><Relationship Id="rId991" Type="http://schemas.openxmlformats.org/officeDocument/2006/relationships/hyperlink" Target="https://byvn.net/hlgau11" TargetMode="External"/><Relationship Id="rId949" Type="http://schemas.openxmlformats.org/officeDocument/2006/relationships/hyperlink" Target="https://byvn.net/hlgtw05" TargetMode="External"/><Relationship Id="rId948" Type="http://schemas.openxmlformats.org/officeDocument/2006/relationships/hyperlink" Target="https://patadovietnam.edu.vn/hlg1907/?utm_source=Facebook&amp;utm_medium=MES&amp;utm_term=NEW_Taiwan_1840_none_150825&amp;utm_content=saletructiep_Taiwan.giaotiep.M511.2040_TATTP_LD245&amp;utm_campaign=Taiwan.giaotiep.M511_XuBen.5018_MES_HuyLG_150825" TargetMode="External"/><Relationship Id="rId943" Type="http://schemas.openxmlformats.org/officeDocument/2006/relationships/hyperlink" Target="https://byvn.net/hlgjp15" TargetMode="External"/><Relationship Id="rId942" Type="http://schemas.openxmlformats.org/officeDocument/2006/relationships/hyperlink" Target="https://patadovietnam.edu.vn/hlg1807/?utm_source=Facebook&amp;utm_medium=CVS&amp;utm_term=NEW_Japan_1840_none_040825&amp;utm_content=saletructiep_Japan.Giaotiep.Anhshortthongbao.1840_TATTP_LD244&amp;utm_campaign=Japan.Giaotiep.Anhshortthongbao_XuBen.5018_CVS_HuyLG_040825" TargetMode="External"/><Relationship Id="rId941" Type="http://schemas.openxmlformats.org/officeDocument/2006/relationships/hyperlink" Target="https://patadovietnam.edu.vn/hlg1907" TargetMode="External"/><Relationship Id="rId940" Type="http://schemas.openxmlformats.org/officeDocument/2006/relationships/hyperlink" Target="https://byvn.net/hlgus13" TargetMode="External"/><Relationship Id="rId947" Type="http://schemas.openxmlformats.org/officeDocument/2006/relationships/hyperlink" Target="https://patadovietnam.edu.vn/hlg1907" TargetMode="External"/><Relationship Id="rId946" Type="http://schemas.openxmlformats.org/officeDocument/2006/relationships/hyperlink" Target="https://byvn.net/hlgus16" TargetMode="External"/><Relationship Id="rId945" Type="http://schemas.openxmlformats.org/officeDocument/2006/relationships/hyperlink" Target="https://patadovietnam.edu.vn/hlg1907/?utm_source=Facebook&amp;utm_medium=CVS&amp;utm_term=NEW_UnitedStates_1840_none_040825&amp;utm_content=saletructiep_UnitedStates.Giaotiep.Anhshortthongbao.1840_TATTP_LD245&amp;utm_campaign=UnitedStates.Giaotiep.Anhshortthongbao_XuBen.5018_CVS_HuyLG_040825" TargetMode="External"/><Relationship Id="rId944" Type="http://schemas.openxmlformats.org/officeDocument/2006/relationships/hyperlink" Target="https://patadovietnam.edu.vn/hlg1907" TargetMode="External"/><Relationship Id="rId939" Type="http://schemas.openxmlformats.org/officeDocument/2006/relationships/hyperlink" Target="https://patadovietnam.edu.vn/hlg1807/?utm_source=Facebook&amp;utm_medium=CVS&amp;utm_term=NEW_UnitedStates_1840_none_210725&amp;utm_content=saletructiep_UnitedStates.Giaotiep.Anhshortthongbao.1840_TATTP_LD244&amp;utm_campaign=UnitedStates.Giaotiep.Anhshortthongbao_XuBen.5018_CVS_HuyLG_210725" TargetMode="External"/><Relationship Id="rId938" Type="http://schemas.openxmlformats.org/officeDocument/2006/relationships/hyperlink" Target="https://patadovietnam.edu.vn/hlg1907" TargetMode="External"/><Relationship Id="rId937" Type="http://schemas.openxmlformats.org/officeDocument/2006/relationships/hyperlink" Target="https://byvn.net/J3nu" TargetMode="External"/><Relationship Id="rId932" Type="http://schemas.openxmlformats.org/officeDocument/2006/relationships/hyperlink" Target="https://patadovietnam.edu.vn/hlg1907" TargetMode="External"/><Relationship Id="rId931" Type="http://schemas.openxmlformats.org/officeDocument/2006/relationships/hyperlink" Target="https://byvn.net/hlgeu13" TargetMode="External"/><Relationship Id="rId930" Type="http://schemas.openxmlformats.org/officeDocument/2006/relationships/hyperlink" Target="https://patadovietnam.edu.vn/hlg1907/?utm_source=Facebook&amp;utm_medium=CVS&amp;utm_term=NEW_Europe_2040_none_210725&amp;utm_content=saletructiep_Europe.Giaotiep.M496_TATTP_LD245&amp;utm_campaign=Europe.Giaotiep.M496_XuBen.5018_CVS_HuyLG_210725" TargetMode="External"/><Relationship Id="rId936" Type="http://schemas.openxmlformats.org/officeDocument/2006/relationships/hyperlink" Target="https://patadovietnam.edu.vn/hlg1807/?utm_source=Facebook&amp;utm_medium=CVS&amp;utm_term=NEW_Japan_1840_none_210725&amp;utm_content=saletructiep_Japan.Giaotiep.Anhshortthongbao.1840_TATTP_LD244&amp;utm_campaign=Japan.Giaotiep.Anhshortthongbao_XuBen.5018_CVS_HuyLG_210725" TargetMode="External"/><Relationship Id="rId935" Type="http://schemas.openxmlformats.org/officeDocument/2006/relationships/hyperlink" Target="https://patadovietnam.edu.vn/hlg1907" TargetMode="External"/><Relationship Id="rId934" Type="http://schemas.openxmlformats.org/officeDocument/2006/relationships/hyperlink" Target="https://byvn.net/hlgjp13" TargetMode="External"/><Relationship Id="rId933" Type="http://schemas.openxmlformats.org/officeDocument/2006/relationships/hyperlink" Target="https://patadovietnam.edu.vn/hlg1907/?utm_source=Facebook&amp;utm_medium=CVS&amp;utm_term=NEW_Japan_1840_none_210725&amp;utm_content=saletructiep_Japan.Giaotiep.M496.1840_TATTP_LD245&amp;utm_campaign=Japan.Giaotiep.M496_XuBen.5018_CVS_HuyLG_210725" TargetMode="External"/><Relationship Id="rId965" Type="http://schemas.openxmlformats.org/officeDocument/2006/relationships/hyperlink" Target="https://patadovietnam.edu.vn/hlg1709" TargetMode="External"/><Relationship Id="rId964" Type="http://schemas.openxmlformats.org/officeDocument/2006/relationships/hyperlink" Target="https://byvn.net/hlgjp10" TargetMode="External"/><Relationship Id="rId963" Type="http://schemas.openxmlformats.org/officeDocument/2006/relationships/hyperlink" Target="https://patadovietnam.edu.vn/hlg1908/?utm_source=Facebook&amp;utm_medium=MES&amp;utm_term=NEW_Japan_1840_none_210825&amp;utm_content=saletructiep_Japan.Giaotiep.M64.2040_TATTP_LD247&amp;utm_campaign=Japan.Giaotiep.M64_XuBen.5018_MES_HuyLG_210825" TargetMode="External"/><Relationship Id="rId962" Type="http://schemas.openxmlformats.org/officeDocument/2006/relationships/hyperlink" Target="https://patadovietnam.edu.vn/hlg1908" TargetMode="External"/><Relationship Id="rId969" Type="http://schemas.openxmlformats.org/officeDocument/2006/relationships/hyperlink" Target="https://patadovietnam.edu.vn/hlg1709/?utm_source=Facebook&amp;utm_medium=CVS&amp;utm_term=NEW_Europe_1840_none_180925&amp;utm_content=saletructiep_Europe.Giaotiep.M520.2040_TATTP_LD249&amp;utm_campaign=Europe.Giaotiep.M520_XuBen.5018_CVS_HuyLG_180925" TargetMode="External"/><Relationship Id="rId968" Type="http://schemas.openxmlformats.org/officeDocument/2006/relationships/hyperlink" Target="https://patadovietnam.edu.vn/hlg1709" TargetMode="External"/><Relationship Id="rId967" Type="http://schemas.openxmlformats.org/officeDocument/2006/relationships/hyperlink" Target="https://byvn.net/hlgjp17" TargetMode="External"/><Relationship Id="rId966" Type="http://schemas.openxmlformats.org/officeDocument/2006/relationships/hyperlink" Target="https://patadovietnam.edu.vn/hlg1709/?utm_source=Facebook&amp;utm_medium=CVS&amp;utm_term=NEW_Japan_1840_none_180925&amp;utm_content=saletructiep_Japan.Giaotiep.M520.2040_TATTP_LD249&amp;utm_campaign=Japan.Giaotiep.M520_XuBen.5018_CVS_HuyLG_180925" TargetMode="External"/><Relationship Id="rId961" Type="http://schemas.openxmlformats.org/officeDocument/2006/relationships/hyperlink" Target="https://byvn.net/hlgeu05" TargetMode="External"/><Relationship Id="rId960" Type="http://schemas.openxmlformats.org/officeDocument/2006/relationships/hyperlink" Target="https://patadovietnam.edu.vn/hlg1908/?utm_source=Facebook&amp;utm_medium=CVS&amp;utm_term=NEW_Europe_1840_none_210825&amp;utm_content=saletructiep_Europe.Giaotiep.M511.2040_TATTP_LD247&amp;utm_campaign=Europe.Giaotiep.M511_XuBen.5018_CVS_HuyLG_210825" TargetMode="External"/><Relationship Id="rId959" Type="http://schemas.openxmlformats.org/officeDocument/2006/relationships/hyperlink" Target="https://patadovietnam.edu.vn/hlg1908" TargetMode="External"/><Relationship Id="rId954" Type="http://schemas.openxmlformats.org/officeDocument/2006/relationships/hyperlink" Target="https://patadovietnam.edu.vn/hlg1907/?utm_source=Facebook&amp;utm_medium=MES&amp;utm_term=NEW_France_1840_none_150825&amp;utm_content=saletructiep_France.giaotiep.M496.2040_TATTP_LD245&amp;utm_campaign=France.giaotiep.M496_LH3645_MES_HuyLG_150825" TargetMode="External"/><Relationship Id="rId953" Type="http://schemas.openxmlformats.org/officeDocument/2006/relationships/hyperlink" Target="https://patadovietnam.edu.vn/hlg1907" TargetMode="External"/><Relationship Id="rId952" Type="http://schemas.openxmlformats.org/officeDocument/2006/relationships/hyperlink" Target="https://byvn.net/hlgde01" TargetMode="External"/><Relationship Id="rId951" Type="http://schemas.openxmlformats.org/officeDocument/2006/relationships/hyperlink" Target="https://patadovietnam.edu.vn/hlg1907/?utm_source=Facebook&amp;utm_medium=CVS&amp;utm_term=NEW_Germany_1840_none_150825&amp;utm_content=saletructiep_Germany.giaotiep.M496.2040_TATTP_LD245&amp;utm_campaign=Germany.giaotiep.M496_XuBen.5018_CVS_HuyLG_150825" TargetMode="External"/><Relationship Id="rId958" Type="http://schemas.openxmlformats.org/officeDocument/2006/relationships/hyperlink" Target="https://byvn.net/hlgtw03" TargetMode="External"/><Relationship Id="rId957" Type="http://schemas.openxmlformats.org/officeDocument/2006/relationships/hyperlink" Target="https://patadovietnam.edu.vn/hlg1907/?utm_source=Facebook&amp;utm_medium=MES&amp;utm_term=NEW_Taiwan_1840_none_150825&amp;utm_content=saletructiep_Taiwan.giaotiep.M496.2040_TATTPVN_LD245&amp;utm_campaign=Taiwan.giaotiep.M496_XuBen.5018_MES_HuyLG_150825" TargetMode="External"/><Relationship Id="rId956" Type="http://schemas.openxmlformats.org/officeDocument/2006/relationships/hyperlink" Target="https://patadovietnam.edu.vn/hlg1907" TargetMode="External"/><Relationship Id="rId955" Type="http://schemas.openxmlformats.org/officeDocument/2006/relationships/hyperlink" Target="https://byvn.net/hlgfr01" TargetMode="External"/><Relationship Id="rId950" Type="http://schemas.openxmlformats.org/officeDocument/2006/relationships/hyperlink" Target="https://patadovietnam.edu.vn/hlg1907" TargetMode="External"/><Relationship Id="rId107" Type="http://schemas.openxmlformats.org/officeDocument/2006/relationships/hyperlink" Target="https://patadovietnam.edu.vn/khoa-hoc-giao-tiep/" TargetMode="External"/><Relationship Id="rId106" Type="http://schemas.openxmlformats.org/officeDocument/2006/relationships/hyperlink" Target="https://patadovietnam.edu.vn/khoa-hoc-giao-tiep/?utm_source=Facebook&amp;utm_medium=MES&amp;utm_term=NEW_Taiwan_none_none_100621&amp;utm_content=saletructiep_Taiwan.Video.none.Giaotiep_TATTPVN_LD068&amp;utm_campaign=Taiwan.Giaotiep_XuBen.5018_MES_HuyLG_100621" TargetMode="External"/><Relationship Id="rId105" Type="http://schemas.openxmlformats.org/officeDocument/2006/relationships/hyperlink" Target="https://patadovietnam.edu.vn/khoa-hoc-giao-tiep/" TargetMode="External"/><Relationship Id="rId104" Type="http://schemas.openxmlformats.org/officeDocument/2006/relationships/hyperlink" Target="https://patadovietnam.edu.vn/khoa-hoc-giao-tiep/?utm_source=Facebook&amp;utm_medium=MES&amp;utm_term=NEW_Malaysia_none_none_090621&amp;utm_content=saletructiep_Malaysia.Video.none.Giaotiep_TATTPVN_LD068&amp;utm_campaign=Malaysia.Giaotiep_XuBen.5018_MES_HuyLG_090621" TargetMode="External"/><Relationship Id="rId109" Type="http://schemas.openxmlformats.org/officeDocument/2006/relationships/hyperlink" Target="https://patadovietnam.edu.vn/khoa-hoc-giao-tiep/" TargetMode="External"/><Relationship Id="rId108" Type="http://schemas.openxmlformats.org/officeDocument/2006/relationships/hyperlink" Target="https://patadovietnam.edu.vn/khoa-hoc-giao-tiep/?utm_source=Facebook&amp;utm_medium=CVS&amp;utm_term=NEW_Germany_none_none_260621&amp;utm_content=saletructiep_Germany.Video.none.Giaotiep_TATTPVN_LD068&amp;utm_campaign=Germany.Giaotiep_XuBen.5018_MES_HuyLG_260621" TargetMode="External"/><Relationship Id="rId103" Type="http://schemas.openxmlformats.org/officeDocument/2006/relationships/hyperlink" Target="https://patadovietnam.edu.vn/khoa-hoc-giao-tiep/" TargetMode="External"/><Relationship Id="rId102" Type="http://schemas.openxmlformats.org/officeDocument/2006/relationships/hyperlink" Target="https://patadovietnam.edu.vn/khoa-hoc-giao-tiep/?utm_source=Facebook&amp;utm_medium=MES&amp;utm_term=NEW_Canada_none_none_010621&amp;utm_content=saletructiep_Canada.Video.none.Giaotiep_TATTPVN_LD068&amp;utm_campaign=Canada.Giaotiep_XuBen.5018_MES_HuyLG_010621" TargetMode="External"/><Relationship Id="rId101" Type="http://schemas.openxmlformats.org/officeDocument/2006/relationships/hyperlink" Target="https://patadovietnam.edu.vn/khoa-hoc-giao-tiep/" TargetMode="External"/><Relationship Id="rId100" Type="http://schemas.openxmlformats.org/officeDocument/2006/relationships/hyperlink" Target="https://patadovietnam.edu.vn/khoa-hoc-giao-tiep/?utm_source=Facebook&amp;utm_medium=CVS&amp;utm_term=NEW_Japan_none_none_010621&amp;utm_content=saletructiep_Japan.Video.none.Giaotiep_TATTPVN_LD068&amp;utm_campaign=Japan.Giaotiep_XuBen.5018_CVS_HuyLG_010621" TargetMode="External"/><Relationship Id="rId129" Type="http://schemas.openxmlformats.org/officeDocument/2006/relationships/hyperlink" Target="https://patadovietnam.edu.vn/khoa-hoc-giao-tiep/" TargetMode="External"/><Relationship Id="rId128" Type="http://schemas.openxmlformats.org/officeDocument/2006/relationships/hyperlink" Target="https://patadovietnam.edu.vn/khoa-hoc-giao-tiep/?utm_source=Facebook&amp;utm_medium=CVS&amp;utm_term=RMK_ALL_none_none_040821&amp;utm_content=saletructiep_ALLRMK.Video.none.Giaotiep_TATTPVN_LD068&amp;utm_campaign=ALLRMK.Giaotiep_XuBen.5018_CVS_HuyLG_040821" TargetMode="External"/><Relationship Id="rId127" Type="http://schemas.openxmlformats.org/officeDocument/2006/relationships/hyperlink" Target="https://patadovietnam.edu.vn/khoa-hoc-giao-tiep/" TargetMode="External"/><Relationship Id="rId126" Type="http://schemas.openxmlformats.org/officeDocument/2006/relationships/hyperlink" Target="https://patadovietnam.edu.vn/khoa-hoc-giao-tiep/?utm_source=Facebook&amp;utm_medium=CVS&amp;utm_term=NEW_CzechRepublic_none_none_020821&amp;utm_content=saletructiep_CzechRepublic.Video.none.Giaotiep_TATTPVN_LD068&amp;utm_campaign=CzechRepublic.Giaotiep_XuBen.5018_CVS_HuyLG_020821" TargetMode="External"/><Relationship Id="rId121" Type="http://schemas.openxmlformats.org/officeDocument/2006/relationships/hyperlink" Target="https://patadovietnam.edu.vn/khoa-hoc-giao-tiep/" TargetMode="External"/><Relationship Id="rId120" Type="http://schemas.openxmlformats.org/officeDocument/2006/relationships/hyperlink" Target="https://www.patado.net/tieng-anh-giao-tiep-nuoc-ngoai/?utm_source=Facebook&amp;utm_medium=MES&amp;utm_term=NEW_Australia_none_none_270721&amp;utm_content=saletructiep_Australia.Video.none.Giaotiep_TATTPVN_LD071&amp;utm_campaign=Australia.Giaotiep_XuBen.5018_MES_HuyLG_270721" TargetMode="External"/><Relationship Id="rId125" Type="http://schemas.openxmlformats.org/officeDocument/2006/relationships/hyperlink" Target="https://patadovietnam.edu.vn/khoa-hoc-giao-tiep/" TargetMode="External"/><Relationship Id="rId124" Type="http://schemas.openxmlformats.org/officeDocument/2006/relationships/hyperlink" Target="https://patadovietnam.edu.vn/khoa-hoc-giao-tiep/?utm_source=Facebook&amp;utm_medium=CVS&amp;utm_term=NEW_UnitedKingdom_none_none_020821&amp;utm_content=saletructiep_UnitedKingdom.Video.none.Giaotiep_TATTPVN_LD068&amp;utm_campaign=UnitedKingdom.Giaotiep_XuBen.5018_CVS_HuyLG_020821" TargetMode="External"/><Relationship Id="rId123" Type="http://schemas.openxmlformats.org/officeDocument/2006/relationships/hyperlink" Target="https://patadovietnam.edu.vn/khoa-hoc-giao-tiep/" TargetMode="External"/><Relationship Id="rId122" Type="http://schemas.openxmlformats.org/officeDocument/2006/relationships/hyperlink" Target="https://patadovietnam.edu.vn/khoa-hoc-giao-tiep/?utm_source=Facebook&amp;utm_medium=CVS&amp;utm_term=NEW_Spain_none_none_020821&amp;utm_content=saletructiep_Spain.Video.none.Giaotiep_TATTPVN_LD068&amp;utm_campaign=Spain.Giaotiep_XuBen.5018_CVS_HuyLG_020821" TargetMode="External"/><Relationship Id="rId118" Type="http://schemas.openxmlformats.org/officeDocument/2006/relationships/hyperlink" Target="https://www.patado.net/tieng-anh-giao-tiep-nuoc-ngoai/?utm_source=Facebook&amp;utm_medium=MES&amp;utm_term=NEW_Korea_none_none_270721&amp;utm_content=saletructiep_Korea.Video.none.Giaotiep_TATTPVN_LD071&amp;utm_campaign=Korea.Giaotiep_XuBen.5018_MES_HuyLG_270721" TargetMode="External"/><Relationship Id="rId117" Type="http://schemas.openxmlformats.org/officeDocument/2006/relationships/hyperlink" Target="https://www.patado.net/tieng-anh-giao-tiep-nuoc-ngoai/" TargetMode="External"/><Relationship Id="rId116" Type="http://schemas.openxmlformats.org/officeDocument/2006/relationships/hyperlink" Target="https://www.patado.net/tieng-anh-giao-tiep-nuoc-ngoai/?utm_source=Facebook&amp;utm_medium=MES&amp;utm_term=NEW_Japan_none_none_210721&amp;utm_content=saletructiep_Japan.Video.none.Giaotiep_TATTPVN_LD071&amp;utm_campaign=Japan.Giaotiep_XuBen.5018_MES_HuyLG_210721" TargetMode="External"/><Relationship Id="rId115" Type="http://schemas.openxmlformats.org/officeDocument/2006/relationships/hyperlink" Target="https://www.patado.net/tieng-anh-giao-tiep-nuoc-ngoai/" TargetMode="External"/><Relationship Id="rId119" Type="http://schemas.openxmlformats.org/officeDocument/2006/relationships/hyperlink" Target="https://www.patado.net/tieng-anh-giao-tiep-nuoc-ngoai/" TargetMode="External"/><Relationship Id="rId110" Type="http://schemas.openxmlformats.org/officeDocument/2006/relationships/hyperlink" Target="https://patadovietnam.edu.vn/khoa-hoc-giao-tiep/?utm_source=Facebook&amp;utm_medium=MES&amp;utm_term=NEW_Singapore_none_none_160721&amp;utm_content=Storytelling_Singapore.Video.none.Giaotiep_TATTPVN_LD068&amp;utm_campaign=Singapore.Giaotiep_XuBen.5018_MES_HuyLG_160721" TargetMode="External"/><Relationship Id="rId114" Type="http://schemas.openxmlformats.org/officeDocument/2006/relationships/hyperlink" Target="https://patadovietnam.edu.vn/khoa-hoc-giao-tiep/?utm_source=Facebook&amp;utm_medium=MES&amp;utm_term=NEW_Philippines_none_none_200721&amp;utm_content=saletructiep_Philippines.Video.none.Giaotiep_TATTPVN_LD068&amp;utm_campaign=Philippines.Giaotiep_XuBen.5018_MES_HuyLG_200721" TargetMode="External"/><Relationship Id="rId113" Type="http://schemas.openxmlformats.org/officeDocument/2006/relationships/hyperlink" Target="https://patadovietnam.edu.vn/khoa-hoc-giao-tiep/" TargetMode="External"/><Relationship Id="rId112" Type="http://schemas.openxmlformats.org/officeDocument/2006/relationships/hyperlink" Target="https://patadovietnam.edu.vn/khoa-hoc-giao-tiep/?utm_source=Facebook&amp;utm_medium=MES&amp;utm_term=NEW_Myanmar_none_none_160721&amp;utm_content=saletructiep_Myanmar.Video.none.Giaotiep_TATTPVN_LD068&amp;utm_campaign=Myanmar.Giaotiep_XuBen.5018_MES_HuyLG_160721" TargetMode="External"/><Relationship Id="rId111" Type="http://schemas.openxmlformats.org/officeDocument/2006/relationships/hyperlink" Target="https://patadovietnam.edu.vn/khoa-hoc-giao-tiep/" TargetMode="External"/><Relationship Id="rId907" Type="http://schemas.openxmlformats.org/officeDocument/2006/relationships/hyperlink" Target="https://byvn.net/careerhlg02" TargetMode="External"/><Relationship Id="rId906" Type="http://schemas.openxmlformats.org/officeDocument/2006/relationships/hyperlink" Target="https://patadovietnam.edu.vn/career_hlg/?utm_source=Facebook&amp;utm_medium=CVS&amp;utm_term=NEW_UnitedStates_2040_none_100625&amp;utm_content=saletructiep_UnitedStates.Career.M464C374.2045_PTATDNDL_LD240&amp;utm_campaign=UnitedStates.Career.M464C374_XuBen.5018_CVS_HuyLG_100625" TargetMode="External"/><Relationship Id="rId905" Type="http://schemas.openxmlformats.org/officeDocument/2006/relationships/hyperlink" Target="https://patadovietnam.edu.vn/career_hlg/" TargetMode="External"/><Relationship Id="rId904" Type="http://schemas.openxmlformats.org/officeDocument/2006/relationships/hyperlink" Target="https://byvn.net/careerhlg01" TargetMode="External"/><Relationship Id="rId909" Type="http://schemas.openxmlformats.org/officeDocument/2006/relationships/hyperlink" Target="https://patadovietnam.edu.vn/career_hlg/?utm_source=Facebook&amp;utm_medium=CVS&amp;utm_term=NEW_Japan_2040_none_100625&amp;utm_content=saletructiep_Japan.Career.M464.2040_PTATDNDL_LD240&amp;utm_campaign=Japan.Career.M464_HG4601_CVS_HuyLG_100625" TargetMode="External"/><Relationship Id="rId908" Type="http://schemas.openxmlformats.org/officeDocument/2006/relationships/hyperlink" Target="https://patadovietnam.edu.vn/career_hlg/" TargetMode="External"/><Relationship Id="rId903" Type="http://schemas.openxmlformats.org/officeDocument/2006/relationships/hyperlink" Target="https://patadovietnam.edu.vn/career_hlg/?utm_source=Facebook&amp;utm_medium=CVS&amp;utm_term=NEW_Europe_2040_none_100625&amp;utm_content=saletructiep_Europe.Career.M465C375.2040_PTATDNDL_LD240&amp;utm_campaign=Europe.Career.M465C375_XuBen.5018_CVS_HuyLG_100625" TargetMode="External"/><Relationship Id="rId902" Type="http://schemas.openxmlformats.org/officeDocument/2006/relationships/hyperlink" Target="https://patadovietnam.edu.vn/career_hlg/" TargetMode="External"/><Relationship Id="rId901" Type="http://schemas.openxmlformats.org/officeDocument/2006/relationships/hyperlink" Target="https://patadovietnam.edu.vn/hlg_tattp_gt/?utm_source=Facebook&amp;utm_medium=MES&amp;utm_term=NEW_Vietnam_2040_none_040625&amp;utm_content=saletructiep_Vietnam.Career.M464C376.2040_PTATDNDL_LD233&amp;utm_campaign=Vietnam.Career.M464C376_HG4601_MES_HuyLG_040625" TargetMode="External"/><Relationship Id="rId900" Type="http://schemas.openxmlformats.org/officeDocument/2006/relationships/hyperlink" Target="https://patadovietnam.edu.vn/hlg_tattp_gt/" TargetMode="External"/><Relationship Id="rId929" Type="http://schemas.openxmlformats.org/officeDocument/2006/relationships/hyperlink" Target="https://patadovietnam.edu.vn/hlg1907" TargetMode="External"/><Relationship Id="rId928" Type="http://schemas.openxmlformats.org/officeDocument/2006/relationships/hyperlink" Target="https://byvn.net/hlgus11" TargetMode="External"/><Relationship Id="rId927" Type="http://schemas.openxmlformats.org/officeDocument/2006/relationships/hyperlink" Target="https://patadovietnam.edu.vn/hlg_tattp_gt/?utm_source=Facebook&amp;utm_medium=CVS&amp;utm_term=NEW_UnitedStates_2040_none_100725&amp;utm_content=saletructiep_UnitedStates.Giaotiep.M496.2040_TATTP_LD233&amp;utm_campaign=UnitedStates.Giaotiep.M496_XuBen.5018_CVS_HuyLG_100725" TargetMode="External"/><Relationship Id="rId926" Type="http://schemas.openxmlformats.org/officeDocument/2006/relationships/hyperlink" Target="https://patadovietnam.edu.vn/hlg_tattp_gt/" TargetMode="External"/><Relationship Id="rId921" Type="http://schemas.openxmlformats.org/officeDocument/2006/relationships/hyperlink" Target="https://patadovietnam.edu.vn/hlg_tattpvn_gt/?utm_source=Facebook&amp;utm_medium=CVS&amp;utm_term=NEW_Europe_2040_none_080725&amp;utm_content=saletructiep_Europe.Giaotiep.M480.2040_TATTPVN_LD229&amp;utm_campaign=Europe.Giaotiep.M480_XuBen.5018_CVS_HuyLG_080725" TargetMode="External"/><Relationship Id="rId920" Type="http://schemas.openxmlformats.org/officeDocument/2006/relationships/hyperlink" Target="https://patadovietnam.edu.vn/hlg_tattpvn_gt/" TargetMode="External"/><Relationship Id="rId925" Type="http://schemas.openxmlformats.org/officeDocument/2006/relationships/hyperlink" Target="https://byvn.net/hlgjp11" TargetMode="External"/><Relationship Id="rId924" Type="http://schemas.openxmlformats.org/officeDocument/2006/relationships/hyperlink" Target="https://patadovietnam.edu.vn/hlg_tattp_gt/?utm_source=Facebook&amp;utm_medium=CVS&amp;utm_term=NEW_Japan_2040_none_100725&amp;utm_content=saletructiep_Japan.Giaotiep.M496.2040_TATTP_LD233&amp;utm_campaign=Japan.Giaotiep.M496_XuBen.5018_CVS_HuyLG_100725" TargetMode="External"/><Relationship Id="rId923" Type="http://schemas.openxmlformats.org/officeDocument/2006/relationships/hyperlink" Target="https://patadovietnam.edu.vn/hlg_tattp_gt/" TargetMode="External"/><Relationship Id="rId922" Type="http://schemas.openxmlformats.org/officeDocument/2006/relationships/hyperlink" Target="https://byvn.net/hlgeu10" TargetMode="External"/><Relationship Id="rId918" Type="http://schemas.openxmlformats.org/officeDocument/2006/relationships/hyperlink" Target="https://patadovietnam.edu.vn/career_hlg/?utm_source=Facebook&amp;utm_medium=MES&amp;utm_term=NEW_Vietnam_2040_none_130625&amp;utm_content=saletructiep_Vietnam.Career.M464C376.2040_PTATDNDL_LD240&amp;utm_campaign=Vietnam.Career.M464C376_HG4601_MES_HuyLG_130625" TargetMode="External"/><Relationship Id="rId917" Type="http://schemas.openxmlformats.org/officeDocument/2006/relationships/hyperlink" Target="https://patadovietnam.edu.vn/career_hlg/" TargetMode="External"/><Relationship Id="rId916" Type="http://schemas.openxmlformats.org/officeDocument/2006/relationships/hyperlink" Target="https://byvn.net/myshlg" TargetMode="External"/><Relationship Id="rId915" Type="http://schemas.openxmlformats.org/officeDocument/2006/relationships/hyperlink" Target="https://patadovietnam.edu.vn/hlg_tattp_gt/?utm_source=Facebook&amp;utm_medium=MES&amp;utm_term=NEW_Malaysia_2040_none_120625&amp;utm_content=saletructiep_Malaysia.Giaotiep.M50.2040_TATTP_LD233&amp;utm_campaign=Malaysia.Giaotiep.M50_XuBen.5018_MES_HuyLG_120625" TargetMode="External"/><Relationship Id="rId919" Type="http://schemas.openxmlformats.org/officeDocument/2006/relationships/hyperlink" Target="https://byvn.net/careerhlg04" TargetMode="External"/><Relationship Id="rId910" Type="http://schemas.openxmlformats.org/officeDocument/2006/relationships/hyperlink" Target="https://byvn.net/careerhlg03" TargetMode="External"/><Relationship Id="rId914" Type="http://schemas.openxmlformats.org/officeDocument/2006/relationships/hyperlink" Target="https://patadovietnam.edu.vn/hlg_tattp_gt/" TargetMode="External"/><Relationship Id="rId913" Type="http://schemas.openxmlformats.org/officeDocument/2006/relationships/hyperlink" Target="https://byvn.net/hlgjp16" TargetMode="External"/><Relationship Id="rId912" Type="http://schemas.openxmlformats.org/officeDocument/2006/relationships/hyperlink" Target="https://patadovietnam.edu.vn/japan_hlg/?utm_source=Facebook&amp;utm_medium=CVS&amp;utm_term=NEW_Japan_2040_none_120625&amp;utm_content=saletructiep_Japan.Giaotiep.M173.2040_TATTP_LD125&amp;utm_campaign=Japan.Giaotiep.M173_XuBen.5018_CVS_HuyLG_120625" TargetMode="External"/><Relationship Id="rId911" Type="http://schemas.openxmlformats.org/officeDocument/2006/relationships/hyperlink" Target="https://patadovietnam.edu.vn/japan_hlg/" TargetMode="External"/><Relationship Id="rId866" Type="http://schemas.openxmlformats.org/officeDocument/2006/relationships/hyperlink" Target="https://patadovietnam.edu.vn/khoa-hoc-ielts/?utm_source=Facebook&amp;utm_medium=MES&amp;utm_term=NEW_ALL_2040_none_090325&amp;utm_content=saletructiep_ALL.IELTS.Anhlotrinh.2040_PGPGTTA_LD044&amp;utm_campaign=ALL.IELTS.Anhlotrinh_XuBen.5018_MES_HuyLG_090325" TargetMode="External"/><Relationship Id="rId865" Type="http://schemas.openxmlformats.org/officeDocument/2006/relationships/hyperlink" Target="https://patadovietnam.edu.vn/khoa-hoc-ielts/" TargetMode="External"/><Relationship Id="rId864" Type="http://schemas.openxmlformats.org/officeDocument/2006/relationships/hyperlink" Target="https://byvn.net/hlgvn01" TargetMode="External"/><Relationship Id="rId863" Type="http://schemas.openxmlformats.org/officeDocument/2006/relationships/hyperlink" Target="https://patadovietnam.edu.vn/khoa-hoc-ielts/?utm_source=Facebook&amp;utm_medium=MES&amp;utm_term=NEW_Vietnam_2040_none_090325&amp;utm_content=saletructiep_Vietnam.IELTS.Anhlotrinh.2049_PGPGTTA_LD044&amp;utm_campaign=Vietnam.IELTS.Anhlotrinh_XuBen.5018_MES_HuyLG_090325" TargetMode="External"/><Relationship Id="rId869" Type="http://schemas.openxmlformats.org/officeDocument/2006/relationships/hyperlink" Target="https://patadovietnam.edu.vn/hlg_tattp_gt/?utm_source=Facebook&amp;utm_medium=MES&amp;utm_term=NEW_Taiwan_2040_none_100325&amp;utm_content=saletructiep_Taiwan.Giaotiep.Anhshortthongbao.2040_TATTP_LD233&amp;utm_campaign=Taiwan.Giaotiep.Anhshortthongbao_LH3645_MES_HuyLG_100325" TargetMode="External"/><Relationship Id="rId868" Type="http://schemas.openxmlformats.org/officeDocument/2006/relationships/hyperlink" Target="https://patadovietnam.edu.vn/hlg_tattp_gt/" TargetMode="External"/><Relationship Id="rId867" Type="http://schemas.openxmlformats.org/officeDocument/2006/relationships/hyperlink" Target="https://byvn.net/hlgall15" TargetMode="External"/><Relationship Id="rId862" Type="http://schemas.openxmlformats.org/officeDocument/2006/relationships/hyperlink" Target="https://patadovietnam.edu.vn/khoa-hoc-ielts/" TargetMode="External"/><Relationship Id="rId861" Type="http://schemas.openxmlformats.org/officeDocument/2006/relationships/hyperlink" Target="https://byvn.net/hlgkr15" TargetMode="External"/><Relationship Id="rId860" Type="http://schemas.openxmlformats.org/officeDocument/2006/relationships/hyperlink" Target="https://patadovietnam.edu.vn/hlg_tattp_gt/?utm_source=Facebook&amp;utm_medium=CVS&amp;utm_term=NEW_KoreaSouth_2040_none_050325&amp;utm_content=saletructiep_KoreaSouth.Giaotiep.M396C322.2040_TATTP_LD233&amp;utm_campaign=KoreaSouth.Giaotiep.M396C322_HG4601_CVS_HuyLG_050325" TargetMode="External"/><Relationship Id="rId855" Type="http://schemas.openxmlformats.org/officeDocument/2006/relationships/hyperlink" Target="https://s.net.vn/hlgeu15" TargetMode="External"/><Relationship Id="rId854" Type="http://schemas.openxmlformats.org/officeDocument/2006/relationships/hyperlink" Target="https://patadovietnam.edu.vn/hlg_tattp_gt/?utm_source=Facebook&amp;utm_medium=CVS&amp;utm_term=NEW_Europe_2040_none_030325&amp;utm_content=saletructiep_Europe.Giaotiep.M396C322.2040_TATTP_LD233&amp;utm_campaign=Europe.Giaotiep.M396C322_HG4601_CVS_HuyLG_030325" TargetMode="External"/><Relationship Id="rId853" Type="http://schemas.openxmlformats.org/officeDocument/2006/relationships/hyperlink" Target="https://patadovietnam.edu.vn/hlg_tattp_gt/" TargetMode="External"/><Relationship Id="rId852" Type="http://schemas.openxmlformats.org/officeDocument/2006/relationships/hyperlink" Target="https://patadovietnam.edu.vn/hlg_tattp_gt/?utm_source=Facebook&amp;utm_medium=RMK&amp;utm_term=RMK_ALL_2040_none_260225&amp;utm_content=saletructiep_ALL.RMK.Page_TATTP_LD233&amp;utm_campaign=ALL.RMK.Page_XuBen.5018_MES_HuyLG_260225" TargetMode="External"/><Relationship Id="rId859" Type="http://schemas.openxmlformats.org/officeDocument/2006/relationships/hyperlink" Target="https://patadovietnam.edu.vn/hlg_tattp_gt/" TargetMode="External"/><Relationship Id="rId858" Type="http://schemas.openxmlformats.org/officeDocument/2006/relationships/hyperlink" Target="https://byvn.net/hlgus15" TargetMode="External"/><Relationship Id="rId857" Type="http://schemas.openxmlformats.org/officeDocument/2006/relationships/hyperlink" Target="https://patadovietnam.edu.vn/hlg_tattp_gt/?utm_source=Facebook&amp;utm_medium=CVS&amp;utm_term=NEW_UnitedStates_2040_none_050325&amp;utm_content=saletructiep_UnitedStates.Giaotiep.M396C322.2040_TATTP_LD233&amp;utm_campaign=UnitedStates.Giaotiep.M396C322_HG4601_CVS_HuyLG_050325" TargetMode="External"/><Relationship Id="rId856" Type="http://schemas.openxmlformats.org/officeDocument/2006/relationships/hyperlink" Target="https://patadovietnam.edu.vn/hlg_tattp_gt/" TargetMode="External"/><Relationship Id="rId851" Type="http://schemas.openxmlformats.org/officeDocument/2006/relationships/hyperlink" Target="https://patadovietnam.edu.vn/hlg_tattp_gt/" TargetMode="External"/><Relationship Id="rId850" Type="http://schemas.openxmlformats.org/officeDocument/2006/relationships/hyperlink" Target="https://s.net.vn/hlgftl" TargetMode="External"/><Relationship Id="rId888" Type="http://schemas.openxmlformats.org/officeDocument/2006/relationships/hyperlink" Target="https://byvn.net/hlgus08" TargetMode="External"/><Relationship Id="rId887" Type="http://schemas.openxmlformats.org/officeDocument/2006/relationships/hyperlink" Target="https://patadovietnam.edu.vn/hlg_tattp_gt/?utm_source=Facebook&amp;utm_medium=MES&amp;utm_term=NEW_UnitedStates_2040_none_060525&amp;utm_content=saletructiep_UnitedStates.Giaotiep.M436C353.2040_TATTP_LD233&amp;utm_campaign=UnitedStates.Giaotiep.M436C353_LH3645_MES_HuyLG_060525" TargetMode="External"/><Relationship Id="rId886" Type="http://schemas.openxmlformats.org/officeDocument/2006/relationships/hyperlink" Target="https://patadovietnam.edu.vn/hlg_tattp_gt/" TargetMode="External"/><Relationship Id="rId885" Type="http://schemas.openxmlformats.org/officeDocument/2006/relationships/hyperlink" Target="https://byvn.net/hlgjp08" TargetMode="External"/><Relationship Id="rId889" Type="http://schemas.openxmlformats.org/officeDocument/2006/relationships/hyperlink" Target="https://patadovietnam.edu.vn/hlg_pgpgtta_gt" TargetMode="External"/><Relationship Id="rId880" Type="http://schemas.openxmlformats.org/officeDocument/2006/relationships/hyperlink" Target="https://patadovietnam.edu.vn/hlg_tattpvn_gt/" TargetMode="External"/><Relationship Id="rId884" Type="http://schemas.openxmlformats.org/officeDocument/2006/relationships/hyperlink" Target="https://patadovietnam.edu.vn/hlg_tattp_gt/?utm_source=Facebook&amp;utm_medium=CVS&amp;utm_term=NEW_Japan_2040_none_060525&amp;utm_content=saletructiep_Japan.Giaotiep.M396C322.2040_TATTP_LD233&amp;utm_campaign=Japan.Giaotiep.M396C322_HG4601_CVS_HuyLG_060525" TargetMode="External"/><Relationship Id="rId883" Type="http://schemas.openxmlformats.org/officeDocument/2006/relationships/hyperlink" Target="https://patadovietnam.edu.vn/hlg_tattp_gt/" TargetMode="External"/><Relationship Id="rId882" Type="http://schemas.openxmlformats.org/officeDocument/2006/relationships/hyperlink" Target="https://byvn.net/hlgtw02" TargetMode="External"/><Relationship Id="rId881" Type="http://schemas.openxmlformats.org/officeDocument/2006/relationships/hyperlink" Target="https://patadovietnam.edu.vn/hlg_tattpvn_gt/?utm_source=Facebook&amp;utm_medium=MES&amp;utm_term=NEW_Taiwan_2040_none_250325&amp;utm_content=saletructiep_Taiwan.Giaotiep.Anhthongbao12.2040_TATTPVN_LD229&amp;utm_campaign=Taiwan.Giaotiep.Anhthongbao12_LH3645_MES_HuyLG_250325" TargetMode="External"/><Relationship Id="rId877" Type="http://schemas.openxmlformats.org/officeDocument/2006/relationships/hyperlink" Target="https://patadovietnam.edu.vn/hlg_tattpvn_gt/" TargetMode="External"/><Relationship Id="rId876" Type="http://schemas.openxmlformats.org/officeDocument/2006/relationships/hyperlink" Target="https://byvn.net/hlgeu16" TargetMode="External"/><Relationship Id="rId875" Type="http://schemas.openxmlformats.org/officeDocument/2006/relationships/hyperlink" Target="https://patadovietnam.edu.vn/hlg_tattp_gt/?utm_source=Facebook&amp;utm_medium=MES&amp;utm_term=NEW_Europe_2040_none_140325&amp;utm_content=saletructiep_Europe.Giaotiep.M396C322.2040_TATTP_LD233&amp;utm_campaign=Europe.Giaotiep.M396C322_HG4601_MES_HuyLG_140325" TargetMode="External"/><Relationship Id="rId874" Type="http://schemas.openxmlformats.org/officeDocument/2006/relationships/hyperlink" Target="https://patadovietnam.edu.vn/hlg_tattp_gt/" TargetMode="External"/><Relationship Id="rId879" Type="http://schemas.openxmlformats.org/officeDocument/2006/relationships/hyperlink" Target="https://byvn.net/hlgeu17" TargetMode="External"/><Relationship Id="rId878" Type="http://schemas.openxmlformats.org/officeDocument/2006/relationships/hyperlink" Target="https://patadovietnam.edu.vn/hlg_tattpvn_gt/?utm_source=Facebook&amp;utm_medium=MES&amp;utm_term=NEW_Europe_2040_none_140325&amp;utm_content=saletructiep_Europe.Giaotiep.Anhshortthongbao.2040_TATTPVN_LD229&amp;utm_campaign=Europe.Giaotiep.Anhshortthongbao_LH3645_MES_HuyLG_140325" TargetMode="External"/><Relationship Id="rId873" Type="http://schemas.openxmlformats.org/officeDocument/2006/relationships/hyperlink" Target="https://byvn.net/hlgjp15" TargetMode="External"/><Relationship Id="rId872" Type="http://schemas.openxmlformats.org/officeDocument/2006/relationships/hyperlink" Target="https://patadovietnam.edu.vn/hlg_tattp_gt/?utm_source=Facebook&amp;utm_medium=CVS&amp;utm_term=NEW_Japan_2040_none_110325&amp;utm_content=saletructiep_Japan.Giaotiep.Anhshortthongbao.2040_TATTP_LD233&amp;utm_campaign=Japan.Giaotiep.Anhshortthongbao_LH3645_CVS_HuyLG_110325" TargetMode="External"/><Relationship Id="rId871" Type="http://schemas.openxmlformats.org/officeDocument/2006/relationships/hyperlink" Target="https://patadovietnam.edu.vn/hlg_tattp_gt/" TargetMode="External"/><Relationship Id="rId870" Type="http://schemas.openxmlformats.org/officeDocument/2006/relationships/hyperlink" Target="https://byvn.net/hlgtw01" TargetMode="External"/><Relationship Id="rId829" Type="http://schemas.openxmlformats.org/officeDocument/2006/relationships/hyperlink" Target="https://s.net.vn/hlgus13" TargetMode="External"/><Relationship Id="rId828" Type="http://schemas.openxmlformats.org/officeDocument/2006/relationships/hyperlink" Target="https://patadovietnam.edu.vn/hlg_tattpvn_gt/?utm_source=Facebook&amp;utm_medium=LEAD&amp;utm_term=NEW_UnitedStates_2040_none_140225&amp;utm_content=saletructiep_UnitedStates.Lead.M397C4.2040_TATTPVN_LD229&amp;utm_campaign=UnitedStates.Lead.M397C4_XuBen.5018_LEAD_HuyLG_140225" TargetMode="External"/><Relationship Id="rId827" Type="http://schemas.openxmlformats.org/officeDocument/2006/relationships/hyperlink" Target="https://patadovietnam.edu.vn/hlg_tattpvn_gt/" TargetMode="External"/><Relationship Id="rId822" Type="http://schemas.openxmlformats.org/officeDocument/2006/relationships/hyperlink" Target="https://patadovietnam.edu.vn/hlg_tattpvn_gt/?utm_source=Facebook&amp;utm_medium=REACH&amp;utm_term=NON_ALL_2040_none_140225&amp;utm_content=Videolophoc_ALL.Reach.M314C4.2040_TATTPVN_LD229&amp;utm_campaign=ALL.Reach.M314C4_XuBen.5018_REACH_HuyLG_140225" TargetMode="External"/><Relationship Id="rId821" Type="http://schemas.openxmlformats.org/officeDocument/2006/relationships/hyperlink" Target="https://patadovietnam.edu.vn/hlg_tattpvn_gt/" TargetMode="External"/><Relationship Id="rId820" Type="http://schemas.openxmlformats.org/officeDocument/2006/relationships/hyperlink" Target="https://s.net.vn/hlgall10" TargetMode="External"/><Relationship Id="rId826" Type="http://schemas.openxmlformats.org/officeDocument/2006/relationships/hyperlink" Target="https://s.net.vn/hlgjp12" TargetMode="External"/><Relationship Id="rId825" Type="http://schemas.openxmlformats.org/officeDocument/2006/relationships/hyperlink" Target="https://patadovietnam.edu.vn/hlg_tattpvn_gt/?utm_source=Facebook&amp;utm_medium=LEAD&amp;utm_term=NEW_Japan_2040_none_140225&amp;utm_content=saletructiep_Japan.Lead.M397C4.2040_TATTPVN_LD229&amp;utm_campaign=Japan.Lead.M397C4_XuBen.5018_LEAD_HuyLG_140225" TargetMode="External"/><Relationship Id="rId824" Type="http://schemas.openxmlformats.org/officeDocument/2006/relationships/hyperlink" Target="https://patadovietnam.edu.vn/hlg_tattpvn_gt/" TargetMode="External"/><Relationship Id="rId823" Type="http://schemas.openxmlformats.org/officeDocument/2006/relationships/hyperlink" Target="https://s.net.vn/hlgall11" TargetMode="External"/><Relationship Id="rId819" Type="http://schemas.openxmlformats.org/officeDocument/2006/relationships/hyperlink" Target="https://patadovietnam.edu.vn/hlg_tattpvn_gt/?utm_source=Facebook&amp;utm_medium=CVS&amp;utm_term=NEW_ALL_2040_none_130225&amp;utm_content=saletructiep_ALL.Giaotiep.M396C322.2040_TATTPVN_LD229&amp;utm_campaign=ALL.Giaotiep.M396C322_XuBen.5018_CVS_HuyLG_130225" TargetMode="External"/><Relationship Id="rId818" Type="http://schemas.openxmlformats.org/officeDocument/2006/relationships/hyperlink" Target="https://patadovietnam.edu.vn/hlg_tattpvn_gt/" TargetMode="External"/><Relationship Id="rId817" Type="http://schemas.openxmlformats.org/officeDocument/2006/relationships/hyperlink" Target="https://s.net.vn/hlgau10" TargetMode="External"/><Relationship Id="rId816" Type="http://schemas.openxmlformats.org/officeDocument/2006/relationships/hyperlink" Target="https://patadovietnam.edu.vn/hlg_tattpvn_gt/?utm_source=Facebook&amp;utm_medium=CVS&amp;utm_term=NEW_Australia_2040_none_130225&amp;utm_content=saletructiep_Australia.Giaotiep.M396C322.2040_TATTPVN_LD229&amp;utm_campaign=Australia.Giaotiep.M396C322_XuBen.5018_CVS_HuyLG_130225" TargetMode="External"/><Relationship Id="rId811" Type="http://schemas.openxmlformats.org/officeDocument/2006/relationships/hyperlink" Target="https://patadovietnam.edu.vn/hlg_tattpvn_gt/?utm_source=Facebook&amp;utm_medium=MES&amp;utm_term=NEW_UnitedStates_2040_none_130225&amp;utm_content=saletructiep_UnitedStates.Giaotiep.M332C280.2040_TATTPVN_LD229&amp;utm_campaign=UnitedStates.Giaotiep.M332C280_XuBen.5018_MES_HuyLG_130225" TargetMode="External"/><Relationship Id="rId810" Type="http://schemas.openxmlformats.org/officeDocument/2006/relationships/hyperlink" Target="https://patadovietnam.edu.vn/hlg_tattpvn_gt/" TargetMode="External"/><Relationship Id="rId815" Type="http://schemas.openxmlformats.org/officeDocument/2006/relationships/hyperlink" Target="https://patadovietnam.edu.vn/hlg_tattpvn_gt/" TargetMode="External"/><Relationship Id="rId814" Type="http://schemas.openxmlformats.org/officeDocument/2006/relationships/hyperlink" Target="https://s.net.vn/hlgeu10" TargetMode="External"/><Relationship Id="rId813" Type="http://schemas.openxmlformats.org/officeDocument/2006/relationships/hyperlink" Target="https://patadovietnam.edu.vn/hlg_tattpvn_gt/?utm_source=Facebook&amp;utm_medium=CVS&amp;utm_term=NEW_Europe_2040_none_130225&amp;utm_content=saletructiep_Europe.Giaotiep.M396C322.2040_TATTPVN_LD229&amp;utm_campaign=Europe.Giaotiep.M396C322_XuBen.5018_CVS_HuyLG_130225" TargetMode="External"/><Relationship Id="rId812" Type="http://schemas.openxmlformats.org/officeDocument/2006/relationships/hyperlink" Target="https://patadovietnam.edu.vn/hlg_tattpvn_gt/" TargetMode="External"/><Relationship Id="rId849" Type="http://schemas.openxmlformats.org/officeDocument/2006/relationships/hyperlink" Target="https://patadovietnam.edu.vn/hlg_pgpgtta_gt/?utm_source=Facebook&amp;utm_medium=REACH&amp;utm_term=NON_ALL_2040_none_200225&amp;utm_content=tangtailieu_ALL.REACH.FormTL_PGPGTTA_LD226&amp;utm_campaign=ALL.REACH.FormTL_XuBen.5018_REACH_HuyLG_200225" TargetMode="External"/><Relationship Id="rId844" Type="http://schemas.openxmlformats.org/officeDocument/2006/relationships/hyperlink" Target="https://s.net.vn/hlgall15" TargetMode="External"/><Relationship Id="rId843" Type="http://schemas.openxmlformats.org/officeDocument/2006/relationships/hyperlink" Target="https://patadovietnam.edu.vn/hlg_pgpgtta_gt/?utm_source=Facebook&amp;utm_medium=REACH&amp;utm_term=NON_ALL_2040_none_150225&amp;utm_content=saletructiep_ALL.REACH.FormC4.2040_PGPGTTA_LD226&amp;utm_campaign=ALL.REACH.FormC4_XuBen.5018_REACH_HuyLG_150225" TargetMode="External"/><Relationship Id="rId842" Type="http://schemas.openxmlformats.org/officeDocument/2006/relationships/hyperlink" Target="https://patadovietnam.edu.vn/hlg_pgpgtta_gt" TargetMode="External"/><Relationship Id="rId841" Type="http://schemas.openxmlformats.org/officeDocument/2006/relationships/hyperlink" Target="https://s.net.vn/hlgall14" TargetMode="External"/><Relationship Id="rId848" Type="http://schemas.openxmlformats.org/officeDocument/2006/relationships/hyperlink" Target="https://patadovietnam.edu.vn/hlg_pgpgtta_gt" TargetMode="External"/><Relationship Id="rId847" Type="http://schemas.openxmlformats.org/officeDocument/2006/relationships/hyperlink" Target="https://s.net.vn/hlgftest" TargetMode="External"/><Relationship Id="rId846" Type="http://schemas.openxmlformats.org/officeDocument/2006/relationships/hyperlink" Target="https://patadovietnam.edu.vn/hlg_pgpgtta_gt/?utm_source=Facebook&amp;utm_medium=REACH&amp;utm_term=NON_ALL_2040_none_200225&amp;utm_content=test_ALL.REACH.FormTest_PGPGTTA_LD226&amp;utm_campaign=ALL.REACH.FormTest_XuBen.5018_REACH_HuyLG_200225" TargetMode="External"/><Relationship Id="rId845" Type="http://schemas.openxmlformats.org/officeDocument/2006/relationships/hyperlink" Target="https://patadovietnam.edu.vn/hlg_pgpgtta_gt" TargetMode="External"/><Relationship Id="rId840" Type="http://schemas.openxmlformats.org/officeDocument/2006/relationships/hyperlink" Target="https://patadovietnam.edu.vn/hlg_tattp_gt/?utm_source=Facebook&amp;utm_medium=MES&amp;utm_term=RMK_ALL_2040_none_140225&amp;utm_content=saletructiep_ALL.RMK.M277C238.2040_TATTP_LD233&amp;utm_campaign=ALL.RMK.M277C238_XuBen.5018_MES_HuyLG_140225" TargetMode="External"/><Relationship Id="rId839" Type="http://schemas.openxmlformats.org/officeDocument/2006/relationships/hyperlink" Target="https://patadovietnam.edu.vn/hlg_tattp_gt/" TargetMode="External"/><Relationship Id="rId838" Type="http://schemas.openxmlformats.org/officeDocument/2006/relationships/hyperlink" Target="https://s.net.vn/hlgall13" TargetMode="External"/><Relationship Id="rId833" Type="http://schemas.openxmlformats.org/officeDocument/2006/relationships/hyperlink" Target="https://patadovietnam.edu.vn/hlg_tattp_gt/" TargetMode="External"/><Relationship Id="rId832" Type="http://schemas.openxmlformats.org/officeDocument/2006/relationships/hyperlink" Target="https://s.net.vn/hlgeu13" TargetMode="External"/><Relationship Id="rId831" Type="http://schemas.openxmlformats.org/officeDocument/2006/relationships/hyperlink" Target="https://patadovietnam.edu.vn/hlg_tattpvn_gt/?utm_source=Facebook&amp;utm_medium=LEAD&amp;utm_term=NEW_Europe_2040_none_140225&amp;utm_content=saletructiep_Europe.Lead.M397C4.2040_TATTPVN_LD229&amp;utm_campaign=Europe.Lead.M397C4_XuBen.5018_LEAD_HuyLG_140225" TargetMode="External"/><Relationship Id="rId830" Type="http://schemas.openxmlformats.org/officeDocument/2006/relationships/hyperlink" Target="https://patadovietnam.edu.vn/hlg_tattpvn_gt/" TargetMode="External"/><Relationship Id="rId837" Type="http://schemas.openxmlformats.org/officeDocument/2006/relationships/hyperlink" Target="https://patadovietnam.edu.vn/hlg_tattp_gt/?utm_source=Facebook&amp;utm_medium=MES&amp;utm_term=RMK_ALL_2040_none_140225&amp;utm_content=saletructiep_ALL.RMK.M398C323_TATTP_LD233&amp;utm_campaign=ALL.RMK.M398C323_XuBen.5018_MES_HuyLG_140225" TargetMode="External"/><Relationship Id="rId836" Type="http://schemas.openxmlformats.org/officeDocument/2006/relationships/hyperlink" Target="https://patadovietnam.edu.vn/hlg_tattp_gt/" TargetMode="External"/><Relationship Id="rId835" Type="http://schemas.openxmlformats.org/officeDocument/2006/relationships/hyperlink" Target="https://s.net.vn/hlgjp13" TargetMode="External"/><Relationship Id="rId834" Type="http://schemas.openxmlformats.org/officeDocument/2006/relationships/hyperlink" Target="https://patadovietnam.edu.vn/hlg_tattp_gt/?utm_source=Facebook&amp;utm_medium=MES&amp;utm_term=LAL_Japan_2040_none_140225&amp;utm_content=saletructiep_Japan.LAL.M398C323.2040_TATTP_LD233&amp;utm_campaign=Japan.LAL.M398C323_XuBen.5018_MES_HuyLG_140225" TargetMode="External"/><Relationship Id="rId899" Type="http://schemas.openxmlformats.org/officeDocument/2006/relationships/hyperlink" Target="https://patadovietnam.edu.vn/hlg_tattp_gt/?utm_source=Facebook&amp;utm_medium=MES&amp;utm_term=NEW_Taiwan_2040_none_040625&amp;utm_content=saletructiep_Taiwan.Career.M465C375.2040_PTATDNDL_LD233&amp;utm_campaign=Taiwan.Career.M465C375_LH3645_MES_HuyLG_040625" TargetMode="External"/><Relationship Id="rId898" Type="http://schemas.openxmlformats.org/officeDocument/2006/relationships/hyperlink" Target="https://patadovietnam.edu.vn/hlg_tattp_gt/" TargetMode="External"/><Relationship Id="rId897" Type="http://schemas.openxmlformats.org/officeDocument/2006/relationships/hyperlink" Target="https://patadovietnam.edu.vn/hlg_tattp_gt/?utm_source=Facebook&amp;utm_medium=MES&amp;utm_term=NEW_Australia_2040_none_040625&amp;utm_content=Storytelling_Australia.Career.M466C376.2040_PTATDNDL_LD233&amp;utm_campaign=Australia.Career.M466C376_LH3645_MES_HuyLG_040625" TargetMode="External"/><Relationship Id="rId896" Type="http://schemas.openxmlformats.org/officeDocument/2006/relationships/hyperlink" Target="https://patadovietnam.edu.vn/hlg_tattp_gt/" TargetMode="External"/><Relationship Id="rId891" Type="http://schemas.openxmlformats.org/officeDocument/2006/relationships/hyperlink" Target="https://byvn.net/hlgjp09" TargetMode="External"/><Relationship Id="rId890" Type="http://schemas.openxmlformats.org/officeDocument/2006/relationships/hyperlink" Target="https://patadovietnam.edu.vn/hlg_pgpgtta_gt/?utm_source=Facebook&amp;utm_medium=MES&amp;utm_term=NEW_Japan_2040_none_060525&amp;utm_content=saletructiep_Japan.Giaotiep.M434C349_PGPGTTA_LD226&amp;utm_campaign=Japan.Giaotiep.M434C349_HG4601_MES_HuyLG_060525" TargetMode="External"/><Relationship Id="rId895" Type="http://schemas.openxmlformats.org/officeDocument/2006/relationships/hyperlink" Target="https://patadovietnam.edu.vn/hlg_tattp_gt/?utm_source=Facebook&amp;utm_medium=MES&amp;utm_term=NEW_ALL_2040_none_040625&amp;utm_content=saletructiep_ALL.Career.M465C375.2040_PTATDNDL_LD233&amp;utm_campaign=ALL.Career.M465C375_HG4601_MES_HuyLG_040625" TargetMode="External"/><Relationship Id="rId894" Type="http://schemas.openxmlformats.org/officeDocument/2006/relationships/hyperlink" Target="https://patadovietnam.edu.vn/hlg_tattp_gt/" TargetMode="External"/><Relationship Id="rId893" Type="http://schemas.openxmlformats.org/officeDocument/2006/relationships/hyperlink" Target="https://patadovietnam.edu.vn/hlg_tattp_gt/?utm_source=Facebook&amp;utm_medium=MES&amp;utm_term=NEW_ALL_2040_none_040625&amp;utm_content=saletructiep_ALL.Career.M464C374.2040_PTATDNDL_LD233&amp;utm_campaign=ALL.Career.M464C374_HG4601_MES_HuyLG_040625" TargetMode="External"/><Relationship Id="rId892" Type="http://schemas.openxmlformats.org/officeDocument/2006/relationships/hyperlink" Target="https://patadovietnam.edu.vn/hlg_tattp_gt/" TargetMode="External"/></Relationships>
</file>

<file path=xl/worksheets/_rels/sheet11.xml.rels><?xml version="1.0" encoding="UTF-8" standalone="yes"?><Relationships xmlns="http://schemas.openxmlformats.org/package/2006/relationships"><Relationship Id="rId392" Type="http://schemas.openxmlformats.org/officeDocument/2006/relationships/hyperlink" Target="http://ldp.to/khoatienganhtoandien_australia0409" TargetMode="External"/><Relationship Id="rId391" Type="http://schemas.openxmlformats.org/officeDocument/2006/relationships/hyperlink" Target="https://patadovietnam.edu.vn/tienganhnguoidilam_dnt/?utm_source=Facebook&amp;utm_medium=MES&amp;utm_term=NEW_Australia_2050_none_040923&amp;utm_content=saletructiep_Australia.Anhbeaf.2050.Giaotiep_PTATTNDL_LD167&amp;utm_campaign=Australia.Giaotiep.Anhbeaf_LHV.9822_MES_DungNT_040923" TargetMode="External"/><Relationship Id="rId390" Type="http://schemas.openxmlformats.org/officeDocument/2006/relationships/hyperlink" Target="https://patadovietnam.edu.vn/tienganhnguoidilam_dnt" TargetMode="External"/><Relationship Id="rId385" Type="http://schemas.openxmlformats.org/officeDocument/2006/relationships/hyperlink" Target="https://patadovietnam.edu.vn/tienganhnguoidilamjapan" TargetMode="External"/><Relationship Id="rId384" Type="http://schemas.openxmlformats.org/officeDocument/2006/relationships/hyperlink" Target="https://patadovietnam.edu.vn/tienganhnguoidilamkorea/?utm_source=Facebook&amp;utm_medium=CVS&amp;utm_term=NEW_KoreaSouth_1840_none_020923&amp;utm_content=saletructiep_KoreaSouth.Anhlt.1840.Giaotiep_PTATTNDL_LD174&amp;utm_campaign=KoreaSouth.Giaotiep.Anhlt_LHV.9822_CVS_DungNT_020923" TargetMode="External"/><Relationship Id="rId383" Type="http://schemas.openxmlformats.org/officeDocument/2006/relationships/hyperlink" Target="https://patadovietnam.edu.vn/tienganhnguoidilamkorea" TargetMode="External"/><Relationship Id="rId382" Type="http://schemas.openxmlformats.org/officeDocument/2006/relationships/hyperlink" Target="https://patadovietnam.edu.vn/tienganhpatado_d1/?utm_source=Facebook&amp;utm_medium=MES&amp;utm_term=NEW_Philippines_2050_none_140823&amp;utm_content=saletructiep_Philippines.Anhkg.2050.Giaotiep_PTATTNDL_LD144&amp;utm_campaign=Philippines.Giaotiep.Anhkg_LHV.9822_MES_DungNT_140823" TargetMode="External"/><Relationship Id="rId389" Type="http://schemas.openxmlformats.org/officeDocument/2006/relationships/hyperlink" Target="https://patadovietnam.edu.vn/tienganhusa_dntt/?utm_source=Facebook&amp;utm_medium=MES&amp;utm_term=NEW_UnitedStates_2050_none_020923&amp;utm_content=saletructiep_UnitedStates.Anhlt.2050.Giaotiep_PTATTNDL_LD150&amp;utm_campaign=UnitedStates.Giaotiep.Anhlt_LHV.9822_MES_DungNT_020923" TargetMode="External"/><Relationship Id="rId388" Type="http://schemas.openxmlformats.org/officeDocument/2006/relationships/hyperlink" Target="https://patadovietnam.edu.vn/tienganhusa_dntt" TargetMode="External"/><Relationship Id="rId387" Type="http://schemas.openxmlformats.org/officeDocument/2006/relationships/hyperlink" Target="http://ldp.to/tienganhthanhthao_japan" TargetMode="External"/><Relationship Id="rId386" Type="http://schemas.openxmlformats.org/officeDocument/2006/relationships/hyperlink" Target="https://patadovietnam.edu.vn/tienganhnguoidilamjapan/?utm_source=Facebook&amp;utm_medium=CVS&amp;utm_term=NEW_Japan_1840_none_020923&amp;utm_content=saletructiep_Japan.Anhlt.1840.Giaotiep_PTATTNDL_LD176&amp;utm_campaign=Japan.Giaotiep.Anhlt_LHV.9822_CVS_DungNT_020923" TargetMode="External"/><Relationship Id="rId381" Type="http://schemas.openxmlformats.org/officeDocument/2006/relationships/hyperlink" Target="https://patadovietnam.edu.vn/tienganhpatado_d1" TargetMode="External"/><Relationship Id="rId380" Type="http://schemas.openxmlformats.org/officeDocument/2006/relationships/hyperlink" Target="https://patadovietnam.edu.vn/tienganhpatado_d1/?utm_source=Facebook&amp;utm_medium=MES&amp;utm_term=NEW_Singapore_2050_none_140823&amp;utm_content=saletructiep_Singapore.Anhkg.2050.Giaotiep_PTATTNDL_LD144&amp;utm_campaign=Singapore.Giaotiep.Anhkg_LHV.9822_MES_DungNT_140823" TargetMode="External"/><Relationship Id="rId379" Type="http://schemas.openxmlformats.org/officeDocument/2006/relationships/hyperlink" Target="https://patadovietnam.edu.vn/tienganhpatado_d1" TargetMode="External"/><Relationship Id="rId374" Type="http://schemas.openxmlformats.org/officeDocument/2006/relationships/hyperlink" Target="https://patadovietnam.edu.vn/tienganhnguoidilamjapan" TargetMode="External"/><Relationship Id="rId373" Type="http://schemas.openxmlformats.org/officeDocument/2006/relationships/hyperlink" Target="http://ldp.to/tienganhthanhthao_canada" TargetMode="External"/><Relationship Id="rId372" Type="http://schemas.openxmlformats.org/officeDocument/2006/relationships/hyperlink" Target="https://patadovietnam.edu.vn/tienganhnguoidilam_dnt/?utm_source=Facebook&amp;utm_medium=MES&amp;utm_term=NEW_Canada_2050_none_110823&amp;utm_content=saletructiep_Canada.Anhkg.2050.Giaotiep_PTATTNDL_LD167&amp;utm_campaign=Canada.Giaotiep.Anhkg_LHV.9822_MES_DungNT_110823" TargetMode="External"/><Relationship Id="rId371" Type="http://schemas.openxmlformats.org/officeDocument/2006/relationships/hyperlink" Target="https://patadovietnam.edu.vn/tienganhnguoidilam_dnt" TargetMode="External"/><Relationship Id="rId378" Type="http://schemas.openxmlformats.org/officeDocument/2006/relationships/hyperlink" Target="https://patadovietnam.edu.vn/tienganhpatado_d1/?utm_source=Facebook&amp;utm_medium=MES&amp;utm_term=NEW_Australia_2050_none_140823&amp;utm_content=saletructiep_Australia.Anhkg.2050.Giaotiep_PTATTNDL_LD144&amp;utm_campaign=Australia.Giaotiep.Anhkg_LHV.9822_MES_DungNT_140823" TargetMode="External"/><Relationship Id="rId377" Type="http://schemas.openxmlformats.org/officeDocument/2006/relationships/hyperlink" Target="https://patadovietnam.edu.vn/tienganhpatado_d1" TargetMode="External"/><Relationship Id="rId376" Type="http://schemas.openxmlformats.org/officeDocument/2006/relationships/hyperlink" Target="http://ldp.to/tienganhthanhthao_japan" TargetMode="External"/><Relationship Id="rId375" Type="http://schemas.openxmlformats.org/officeDocument/2006/relationships/hyperlink" Target="https://patadovietnam.edu.vn/tienganhnguoidilamjapan/?utm_source=Facebook&amp;utm_medium=CVS&amp;utm_term=NEW_Japan_1840_none_140823&amp;utm_content=saletructiep_Japan.Anhkg.1840.Giaotiep_PTATTNDL_LD176&amp;utm_campaign=Japan.Giaotiep.Anhkg_LHV.9822_CVS_DungNT_140823" TargetMode="External"/><Relationship Id="rId396" Type="http://schemas.openxmlformats.org/officeDocument/2006/relationships/hyperlink" Target="https://patadovietnam.edu.vn/tienganhnguoidilam_ptatdndl/?utm_source=Facebook&amp;utm_medium=MES&amp;utm_term=NEW_Philippines_2050_none_070923&amp;utm_content=saletructiep_Philippines.Anhkg.2050.Giaotiep_PTATDNDL_LD184&amp;utm_campaign=Philippines.Giaotiep.Anhkg_LHV.9822_MES_DungNT_070923" TargetMode="External"/><Relationship Id="rId395" Type="http://schemas.openxmlformats.org/officeDocument/2006/relationships/hyperlink" Target="https://patadovietnam.edu.vn/tienganhnguoidilam_ptatdndl" TargetMode="External"/><Relationship Id="rId394" Type="http://schemas.openxmlformats.org/officeDocument/2006/relationships/hyperlink" Target="https://patadovietnam.edu.vn/tienganhpatado_ptatdndl/?utm_source=Facebook&amp;utm_medium=MES&amp;utm_term=NEW_Australia_2050_none_070923&amp;utm_content=saletructiep_Australia.Anhkg.2050.Giaotiep_PTATDNDL_LD183&amp;utm_campaign=Australia.Giaotiep.Anhkg_LHV.9822_MES_DungNT_070923" TargetMode="External"/><Relationship Id="rId393" Type="http://schemas.openxmlformats.org/officeDocument/2006/relationships/hyperlink" Target="https://patadovietnam.edu.vn/tienganhpatado_ptatdndl" TargetMode="External"/><Relationship Id="rId399" Type="http://schemas.openxmlformats.org/officeDocument/2006/relationships/hyperlink" Target="https://patadovietnam.edu.vn/tienganhnguoidilam_ptatdndl/?utm_source=Facebook&amp;utm_medium=MES&amp;utm_term=NEW_Singapore_2050_none_070923&amp;utm_content=saletructiep_Singapore.Anhkg.2050.Giaotiep_PTATDNDL_LD184&amp;utm_campaign=Singapore.Giaotiep.Anhkg_LHV.9822_MES_DungNT_070923" TargetMode="External"/><Relationship Id="rId398" Type="http://schemas.openxmlformats.org/officeDocument/2006/relationships/hyperlink" Target="https://patadovietnam.edu.vn/tienganhnguoidilam_ptatdndl" TargetMode="External"/><Relationship Id="rId397" Type="http://schemas.openxmlformats.org/officeDocument/2006/relationships/hyperlink" Target="http://ldp.to/tienganhthanhthao_philippines" TargetMode="External"/><Relationship Id="rId40" Type="http://schemas.openxmlformats.org/officeDocument/2006/relationships/hyperlink" Target="https://patadovietnam.edu.vn/dungnt4giaotiep/?utm_source=Facebook&amp;utm_medium=MES&amp;utm_term=NEW_Taiwan_1840_none_231222&amp;utm_content=saletructiep_Taiwan.Anhsale10.1840.Giaotiep_PTATTNDL_LD132&amp;utm_campaign=Taiwan.Giaotiep.Anhsale10_95360_MES_DungNT_231222" TargetMode="External"/><Relationship Id="rId42" Type="http://schemas.openxmlformats.org/officeDocument/2006/relationships/hyperlink" Target="http://ldp.to/9uYk9/?utm_source=Facebook&amp;utm_medium=MES&amp;utm_term=NEW_KoreaSouth_1840_none_261222&amp;utm_content=saletructiep_KoreaSouth.Anhsale10.1840.Giaotiep_PTATTNDL_LD134&amp;utm_campaign=KoreaSouth.Giaotiep.Anhsale10_95360_MES_DungNT_261222" TargetMode="External"/><Relationship Id="rId41" Type="http://schemas.openxmlformats.org/officeDocument/2006/relationships/hyperlink" Target="http://ldp.to/9uYk9" TargetMode="External"/><Relationship Id="rId44" Type="http://schemas.openxmlformats.org/officeDocument/2006/relationships/hyperlink" Target="https://patadovietnam.edu.vn/tienganhforkids/?utm_source=Facebook&amp;utm_medium=MES&amp;utm_term=NEW_CzechRepublic_2550_none_261222&amp;utm_content=saletructiep_CzechRepublic.Anhsale10.2055.Kids_PTATTNDL_LD135&amp;utm_campaign=CzechRepublic.Kids.Anhsale10_95360_MES_DungNT_261222" TargetMode="External"/><Relationship Id="rId43" Type="http://schemas.openxmlformats.org/officeDocument/2006/relationships/hyperlink" Target="https://patadovietnam.edu.vn/tienganhforkids" TargetMode="External"/><Relationship Id="rId46" Type="http://schemas.openxmlformats.org/officeDocument/2006/relationships/hyperlink" Target="http://ldp.to/2Jf0m/?utm_source=Facebook&amp;utm_medium=MES&amp;utm_term=NEW_Australia_2555_none_271222&amp;utm_content=saletructiep_Australia.Anhsale10.2555.Giaotiep_PTATTNDL_LD136&amp;utm_campaign=Australia.Giaotiep.Anhsale10_95360_MES_DungNT_271222" TargetMode="External"/><Relationship Id="rId45" Type="http://schemas.openxmlformats.org/officeDocument/2006/relationships/hyperlink" Target="http://ldp.to/2Jf0m" TargetMode="External"/><Relationship Id="rId48" Type="http://schemas.openxmlformats.org/officeDocument/2006/relationships/hyperlink" Target="http://ldp.to/2Jf0m/?utm_source=Facebook&amp;utm_medium=CVS&amp;utm_term=NEW_UnitedKingdom_2555_none_271222&amp;utm_content=saletructiep_UnitedKingdom.Anhsale10.2555.Giaotiep_PTATTNDL_LD136&amp;utm_campaign=UnitedKingdom.Giaotiep.Anhsale10_95360_CVS_DungNT_271222" TargetMode="External"/><Relationship Id="rId47" Type="http://schemas.openxmlformats.org/officeDocument/2006/relationships/hyperlink" Target="http://ldp.to/2Jf0m" TargetMode="External"/><Relationship Id="rId49" Type="http://schemas.openxmlformats.org/officeDocument/2006/relationships/hyperlink" Target="https://patadovietnam.edu.vn/tienganhnewzealandd" TargetMode="External"/><Relationship Id="rId31" Type="http://schemas.openxmlformats.org/officeDocument/2006/relationships/hyperlink" Target="http://ldp.page/dungnt3giaotiep" TargetMode="External"/><Relationship Id="rId30" Type="http://schemas.openxmlformats.org/officeDocument/2006/relationships/hyperlink" Target="http://ldp.page/dungnt3giaotiep/?utm_source=Facebook&amp;utm_medium=CVS&amp;utm_term=NEW_CzechRepublic_2055_none_211222&amp;utm_content=saletructiep_CzechRepublic.Anhsale10.2055.Giaotiep_PTATTNDL_LD131&amp;utm_campaign=CzechRepublic.Giaotiep.Anhsale10_95360_CVS_DungNT_211222" TargetMode="External"/><Relationship Id="rId33" Type="http://schemas.openxmlformats.org/officeDocument/2006/relationships/hyperlink" Target="https://patadovietnam.edu.vn/dungnt4giaotiep" TargetMode="External"/><Relationship Id="rId32" Type="http://schemas.openxmlformats.org/officeDocument/2006/relationships/hyperlink" Target="http://ldp.page/dungnt3giaotiep/?utm_source=Facebook&amp;utm_medium=MES&amp;utm_term=NEW_KoreaSouth_1840_none_211222&amp;utm_content=saletructiep_KoreaSouth.Anhsale10.1840.Giaotiep_PTATTNDL_LD131&amp;utm_campaign=KoreaSouth.Giaotiep.Anhsale10_95360_MES_DungNT_211222" TargetMode="External"/><Relationship Id="rId35" Type="http://schemas.openxmlformats.org/officeDocument/2006/relationships/hyperlink" Target="http://ldp.page/dungnt3giaotiep" TargetMode="External"/><Relationship Id="rId34" Type="http://schemas.openxmlformats.org/officeDocument/2006/relationships/hyperlink" Target="https://patadovietnam.edu.vn/dungnt4giaotiep/?utm_source=Facebook&amp;utm_medium=MES&amp;utm_term=NEW_Taiwan_1840_none_211222&amp;utm_content=saletructiep_Taiwan.Anhsale10.1840.Giaotiep_PTATTNDL_LD132&amp;utm_campaign=Taiwan.Giaotiep.Anhsale10_95360_MES_DungNT_211222" TargetMode="External"/><Relationship Id="rId37" Type="http://schemas.openxmlformats.org/officeDocument/2006/relationships/hyperlink" Target="http://ldp.page/637c3e4fe009dc0050223a84" TargetMode="External"/><Relationship Id="rId36" Type="http://schemas.openxmlformats.org/officeDocument/2006/relationships/hyperlink" Target="http://ldp.page/dungnt3giaotiep/?utm_source=Facebook&amp;utm_medium=CVS&amp;utm_term=NEW_CzechRepublic_2055_none_231222&amp;utm_content=saletructiep_CzechRepublic.Anhsale10.2055.Giaotiep_PTATTNDL_LD131&amp;utm_campaign=CzechRepublic.Giaotiep.Anhsale10_95360_CVS_DungNT_231222" TargetMode="External"/><Relationship Id="rId39" Type="http://schemas.openxmlformats.org/officeDocument/2006/relationships/hyperlink" Target="https://patadovietnam.edu.vn/dungnt4giaotiep" TargetMode="External"/><Relationship Id="rId38" Type="http://schemas.openxmlformats.org/officeDocument/2006/relationships/hyperlink" Target="http://ldp.page/637c3e4fe009dc0050223a84/?utm_source=Facebook&amp;utm_medium=MES&amp;utm_term=NEW_UnitedStates_3055_none_231222&amp;utm_content=saletructiep_UnitedStates.Anhsale10.3055.Giaotiep_PTATTNDL_LD133&amp;utm_campaign=UnitedStates.Giaotiep.Anhsale10_95360_MES_DungNT_231222" TargetMode="External"/><Relationship Id="rId20" Type="http://schemas.openxmlformats.org/officeDocument/2006/relationships/hyperlink" Target="http://ldp.page/dungnt3giaotiep/?utm_source=Facebook&amp;utm_medium=MES&amp;utm_term=NEW_Japan_1840_none_221122&amp;utm_content=saletructiep_Japan.Anhsale10.1840.Giaotiep_PTATTNDL_LD131&amp;utm_campaign=Japan.Giaotiep.Anhsale10_95360_MES_DungNT_221122" TargetMode="External"/><Relationship Id="rId22" Type="http://schemas.openxmlformats.org/officeDocument/2006/relationships/hyperlink" Target="https://patadovietnam.edu.vn/dungnt4giaotiep/?utm_source=Facebook&amp;utm_medium=MES&amp;utm_term=NEW_KoreaSouth_1840_none_171222&amp;utm_content=saletructiep_KoreaSouth.Anhsale10.1840.Giaotiep_PTATTNDL_LD132&amp;utm_campaign=KoreaSouth.Giaotiep.Anhsale10_95360_MES_DungNT_171222" TargetMode="External"/><Relationship Id="rId21" Type="http://schemas.openxmlformats.org/officeDocument/2006/relationships/hyperlink" Target="https://patadovietnam.edu.vn/dungnt4giaotiep" TargetMode="External"/><Relationship Id="rId24" Type="http://schemas.openxmlformats.org/officeDocument/2006/relationships/hyperlink" Target="http://ldp.page/dungnt3giaotiep/?utm_source=Facebook&amp;utm_medium=MES&amp;utm_term=NEW_UnitedStates_3055_none_171222&amp;utm_content=saletructiep_UnitedStates.Anhsale10.3055.Giaotiep_PTATTNDL_LD131&amp;utm_campaign=UnitedStates.Giaotiep.Anhsale10_95360_MES_DungNT_171222" TargetMode="External"/><Relationship Id="rId23" Type="http://schemas.openxmlformats.org/officeDocument/2006/relationships/hyperlink" Target="http://ldp.page/dungnt3giaotiep" TargetMode="External"/><Relationship Id="rId26" Type="http://schemas.openxmlformats.org/officeDocument/2006/relationships/hyperlink" Target="http://ldp.page/dungnt3giaotiep/?utm_source=Facebook&amp;utm_medium=MES&amp;utm_term=NEW_Taiwan_1840_none_171222&amp;utm_content=saletructiep_Taiwan.Anhsale10.1840.Giaotiep_PTATTNDL_LD131&amp;utm_campaign=Taiwan.Giaotiep.Anhsale10_95360_MES_DungNT_171222" TargetMode="External"/><Relationship Id="rId25" Type="http://schemas.openxmlformats.org/officeDocument/2006/relationships/hyperlink" Target="http://ldp.page/dungnt3giaotiep" TargetMode="External"/><Relationship Id="rId28" Type="http://schemas.openxmlformats.org/officeDocument/2006/relationships/hyperlink" Target="http://ldp.page/dungnt3giaotiep/?utm_source=Facebook&amp;utm_medium=CVS&amp;utm_term=NEW_CzechRepublic_2055_none_191222&amp;utm_content=saletructiep_CzechRepublic.Anhsale10.2055.Giaotiep_PTATTNDL_LD131&amp;utm_campaign=CzechRepublic.Giaotiep.Anhsale10_95360_CVS_DungNT_191222" TargetMode="External"/><Relationship Id="rId27" Type="http://schemas.openxmlformats.org/officeDocument/2006/relationships/hyperlink" Target="http://ldp.page/dungnt3giaotiep" TargetMode="External"/><Relationship Id="rId29" Type="http://schemas.openxmlformats.org/officeDocument/2006/relationships/hyperlink" Target="http://ldp.page/dungnt3giaotiep" TargetMode="External"/><Relationship Id="rId11" Type="http://schemas.openxmlformats.org/officeDocument/2006/relationships/hyperlink" Target="https://patadovietnam.edu.vn/dungnt10_giaotiep" TargetMode="External"/><Relationship Id="rId10" Type="http://schemas.openxmlformats.org/officeDocument/2006/relationships/hyperlink" Target="https://patadovietnam.edu.vn/dungnt10_ielts_cvs/?utm_source=Facebook&amp;utm_medium=MES&amp;utm_term=NEW_Vietnam_1840_none_091122&amp;utm_content=saletructiep_Vietnam.Anhsale11.1840.IELTS_PTATTNDL_LD127&amp;utm_campaign=Vietnam.IELTS.Anhsale11_95360_MES_DungNT_091122" TargetMode="External"/><Relationship Id="rId13" Type="http://schemas.openxmlformats.org/officeDocument/2006/relationships/hyperlink" Target="http://ldp.page/dungnt3giaotiep" TargetMode="External"/><Relationship Id="rId12" Type="http://schemas.openxmlformats.org/officeDocument/2006/relationships/hyperlink" Target="https://patadovietnam.edu.vn/dungnt10_giaotiep/?utm_source=Facebook&amp;utm_medium=MES&amp;utm_term=NEW_Vietnam_1845_none_091122&amp;utm_content=saletructiep_Vietnam.Anhsale12.1845.Giaotiep_PTATTNDL_LD126&amp;utm_campaign=Vietnam.Giaotiep.Anhsale12_95360_MES_DungNT_091122" TargetMode="External"/><Relationship Id="rId15" Type="http://schemas.openxmlformats.org/officeDocument/2006/relationships/hyperlink" Target="http://ldp.page/Us_dungnt" TargetMode="External"/><Relationship Id="rId14" Type="http://schemas.openxmlformats.org/officeDocument/2006/relationships/hyperlink" Target="http://ldp.page/dungnt3giaotiep/?utm_source=Facebook&amp;utm_medium=MES&amp;utm_term=NEW_Taiwan_1840_none_221122&amp;utm_content=saletructiep_Taiwan.Anhsale13.1840.Giaotiep_PTATTNDL_LD131&amp;utm_campaign=Taiwan.Giaotiep.Anhsale13_95360_MES_DungNT_221122" TargetMode="External"/><Relationship Id="rId17" Type="http://schemas.openxmlformats.org/officeDocument/2006/relationships/hyperlink" Target="http://ldp.page/dungnt3giaotiep" TargetMode="External"/><Relationship Id="rId16" Type="http://schemas.openxmlformats.org/officeDocument/2006/relationships/hyperlink" Target="http://ldp.page/Us_dungnt/?utm_source=Facebook&amp;utm_medium=MES&amp;utm_term=NEW_UnitedStates_3055_none_221122&amp;utm_content=saletructiep_UnitedStates.Anhsale14.3055.Giaotiep_PTATTNDL_LD129&amp;utm_campaign=UnitedStates.Giaotiep.Anhsale14_95360_MES_DungNT_221122" TargetMode="External"/><Relationship Id="rId19" Type="http://schemas.openxmlformats.org/officeDocument/2006/relationships/hyperlink" Target="http://ldp.page/dungnt3giaotiep" TargetMode="External"/><Relationship Id="rId18" Type="http://schemas.openxmlformats.org/officeDocument/2006/relationships/hyperlink" Target="http://ldp.page/dungnt3giaotiep/?utm_source=Facebook&amp;utm_medium=MES&amp;utm_term=NEW_Korea_1840_none_221122&amp;utm_content=saletructiep_Korea.Anhsale10.1840.Giaotiep_PTATTNDL_LD131&amp;utm_campaign=Korea.Giaotiep.Anhsale10_95360_MES_DungNT_221122" TargetMode="External"/><Relationship Id="rId84" Type="http://schemas.openxmlformats.org/officeDocument/2006/relationships/hyperlink" Target="https://patadovietnam.edu.vn/tienganhpatado_d1/?utm_source=Facebook&amp;utm_medium=CVS&amp;utm_term=NEW_Canada_2050_none_050123&amp;utm_content=saletructiep_Canada.Anhsale10.2050.Giaotiep_PTATTNDL_LD144&amp;utm_campaign=Canada.Giaotiep.Anhsale10_LHV.9822_MES_DungNT_050123" TargetMode="External"/><Relationship Id="rId83" Type="http://schemas.openxmlformats.org/officeDocument/2006/relationships/hyperlink" Target="https://patadovietnam.edu.vn/tienganhpatado_d1" TargetMode="External"/><Relationship Id="rId86" Type="http://schemas.openxmlformats.org/officeDocument/2006/relationships/hyperlink" Target="https://patadovietnam.edu.vn/tienganhaustralia_d1" TargetMode="External"/><Relationship Id="rId85" Type="http://schemas.openxmlformats.org/officeDocument/2006/relationships/hyperlink" Target="http://ldp.to/tienganhcanada_050123" TargetMode="External"/><Relationship Id="rId88" Type="http://schemas.openxmlformats.org/officeDocument/2006/relationships/hyperlink" Target="http://ldp.to/tienganhaustralia_070123" TargetMode="External"/><Relationship Id="rId87" Type="http://schemas.openxmlformats.org/officeDocument/2006/relationships/hyperlink" Target="https://patadovietnam.edu.vn/tienganhaustralia_d1/?utm_source=Facebook&amp;utm_medium=MES&amp;utm_term=NEW_Australia_2550_none_070123&amp;utm_content=saletructiep_Australia.Anhsale10.2550.Giaotiep_PTATTNDL_LD143&amp;utm_campaign=Australia.Giaotiep.Anhsale10_LHV.9822_MES_DungNT_070123" TargetMode="External"/><Relationship Id="rId89" Type="http://schemas.openxmlformats.org/officeDocument/2006/relationships/hyperlink" Target="https://patadovietnam.edu.vn/tienganhnewzealandd" TargetMode="External"/><Relationship Id="rId80" Type="http://schemas.openxmlformats.org/officeDocument/2006/relationships/hyperlink" Target="https://patadovietnam.edu.vn/tienganhpatado_d1/?utm_source=Facebook&amp;utm_medium=MES&amp;utm_term=NEW_KoreaSouth_1835_none_050123&amp;utm_content=saletructiep_KoreaSouth.Anhsale10.1835.Giaotiep_PTATTNDL_LD144&amp;utm_campaign=KoreaSouth.Giaotiep.Anhsale10_LHV.9822_MES_DungNT_050123" TargetMode="External"/><Relationship Id="rId82" Type="http://schemas.openxmlformats.org/officeDocument/2006/relationships/hyperlink" Target="https://patadovietnam.edu.vn/tienganhpatado_d1/?utm_source=Facebook&amp;utm_medium=MES&amp;utm_term=NEW_Singapore_2045_none_050123&amp;utm_content=saletructiep_Singapore.Anhsale10.2045.Giaotiep_PTATTNDL_LD144&amp;utm_campaign=Singapore.Giaotiep.Anhsale10_LHV.9822_MES_DungNT_050123" TargetMode="External"/><Relationship Id="rId81" Type="http://schemas.openxmlformats.org/officeDocument/2006/relationships/hyperlink" Target="https://patadovietnam.edu.vn/tienganhpatado_d1" TargetMode="External"/><Relationship Id="rId73" Type="http://schemas.openxmlformats.org/officeDocument/2006/relationships/hyperlink" Target="https://patadovietnam.edu.vn/tienganhjapan_d1" TargetMode="External"/><Relationship Id="rId72" Type="http://schemas.openxmlformats.org/officeDocument/2006/relationships/hyperlink" Target="https://patadovietnam.edu.vn/tienganhpatado_d1/?utm_source=Facebook&amp;utm_medium=MES&amp;utm_term=NEW_Philippines_2545_none_020123&amp;utm_content=saletructiep_Philippines.Anhsale10.2545.Giaotiep_PTATTNDL_LD144&amp;utm_campaign=Philippines.Giaotiep.Anhsale10_LHV.9822_MES_DungNT_020123" TargetMode="External"/><Relationship Id="rId75" Type="http://schemas.openxmlformats.org/officeDocument/2006/relationships/hyperlink" Target="https://patadovietnam.edu.vn/giaotieppatado2123" TargetMode="External"/><Relationship Id="rId74" Type="http://schemas.openxmlformats.org/officeDocument/2006/relationships/hyperlink" Target="https://patadovietnam.edu.vn/tienganhjapan_d1/?utm_source=Facebook&amp;utm_medium=MES&amp;utm_term=NEW_Japan_1835_none_020123&amp;utm_content=saletructiep_Japan.Anhsale10.1835.Giaotiep_PTATTNDL_LD145&amp;utm_campaign=Japan.Giaotiep.Anhsale10_LHV.9822_MES_DungNT_020123" TargetMode="External"/><Relationship Id="rId77" Type="http://schemas.openxmlformats.org/officeDocument/2006/relationships/hyperlink" Target="https://patadovietnam.edu.vn/tienganhpatado_d1" TargetMode="External"/><Relationship Id="rId76" Type="http://schemas.openxmlformats.org/officeDocument/2006/relationships/hyperlink" Target="https://patadovietnam.edu.vn/giaotieppatado2123/?utm_source=Facebook&amp;utm_medium=CVS&amp;utm_term=NEW_UnitedKingdom_2555_none_040123&amp;utm_content=saletructiep_UnitedKingdom.Anhsale10.2555.Giaotiep_PTATTNDL_LD142&amp;utm_campaign=UnitedKingdom.Giaotiep.Anhsale10_LHV.9822_CVS_DungNT_040123" TargetMode="External"/><Relationship Id="rId79" Type="http://schemas.openxmlformats.org/officeDocument/2006/relationships/hyperlink" Target="https://patadovietnam.edu.vn/tienganhpatado_d1" TargetMode="External"/><Relationship Id="rId78" Type="http://schemas.openxmlformats.org/officeDocument/2006/relationships/hyperlink" Target="https://patadovietnam.edu.vn/tienganhpatado_d1/?utm_source=Facebook&amp;utm_medium=MES&amp;utm_term=NEW_Philippines_2545_none_050123&amp;utm_content=saletructiep_Philippines.Anhsale10.2545.Giaotiep_PTATTNDL_LD144&amp;utm_campaign=Philippines.Giaotiep.Anhsale10_LHV.9822_MES_DungNT_050123" TargetMode="External"/><Relationship Id="rId71" Type="http://schemas.openxmlformats.org/officeDocument/2006/relationships/hyperlink" Target="https://patadovietnam.edu.vn/tienganhpatado_d1" TargetMode="External"/><Relationship Id="rId70" Type="http://schemas.openxmlformats.org/officeDocument/2006/relationships/hyperlink" Target="http://ldp.to/tienganhaustralia_d1" TargetMode="External"/><Relationship Id="rId62" Type="http://schemas.openxmlformats.org/officeDocument/2006/relationships/hyperlink" Target="https://patadovietnam.edu.vn/tienganhdanmach/?utm_source=Facebook&amp;utm_medium=CVS&amp;utm_term=NEW_Denmark_2050_none_291222&amp;utm_content=saletructiep_Denmark.Anhsale10.2050.Giaotiep_PTATTNDL_LD141&amp;utm_campaign=Denmark.Giaotiep.Anhsale10_95360_CVS_DungNT_291222" TargetMode="External"/><Relationship Id="rId61" Type="http://schemas.openxmlformats.org/officeDocument/2006/relationships/hyperlink" Target="https://patadovietnam.edu.vn/tienganhdanmach" TargetMode="External"/><Relationship Id="rId64" Type="http://schemas.openxmlformats.org/officeDocument/2006/relationships/hyperlink" Target="https://patadovietnam.edu.vn/tienganhforkids" TargetMode="External"/><Relationship Id="rId63" Type="http://schemas.openxmlformats.org/officeDocument/2006/relationships/hyperlink" Target="http://ldp.to/tienganhdanmach_d1" TargetMode="External"/><Relationship Id="rId66" Type="http://schemas.openxmlformats.org/officeDocument/2006/relationships/hyperlink" Target="https://patadovietnam.edu.vn/giaotieppatado2123" TargetMode="External"/><Relationship Id="rId65" Type="http://schemas.openxmlformats.org/officeDocument/2006/relationships/hyperlink" Target="https://patadovietnam.edu.vn/tienganhforkids/?utm_source=Facebook&amp;utm_medium=MES&amp;utm_term=NEW_CzechRepublic_2550_none_291222&amp;utm_content=saletructiep_CzechRepublic.Anhsale10.2055.Kids_PTATTNDL_LD135&amp;utm_campaign=CzechRepublic.Kids.Anhsale10_95360_MES_DungNT_291222" TargetMode="External"/><Relationship Id="rId68" Type="http://schemas.openxmlformats.org/officeDocument/2006/relationships/hyperlink" Target="https://patadovietnam.edu.vn/tienganhaustralia_d1" TargetMode="External"/><Relationship Id="rId67" Type="http://schemas.openxmlformats.org/officeDocument/2006/relationships/hyperlink" Target="https://patadovietnam.edu.vn/giaotieppatado2123/?utm_source=Facebook&amp;utm_medium=CVS&amp;utm_term=NEW_UnitedKingdom_2555_none_020123&amp;utm_content=saletructiep_UnitedKingdom.Anhsale10.2555.Giaotiep_PTATTNDL_LD142&amp;utm_campaign=UnitedKingdom.Giaotiep.Anhsale10_LHV.9822_CVS_DungNT_020123" TargetMode="External"/><Relationship Id="rId60" Type="http://schemas.openxmlformats.org/officeDocument/2006/relationships/hyperlink" Target="https://patadovietnam.edu.vn/tienganhthuydien/?utm_source=Facebook&amp;utm_medium=CVS&amp;utm_term=NEW_Sweden_2050_none_291222&amp;utm_content=saletructiep_Sweden.Anhsale10.2050.Giaotiep_PTATTNDL_LD140&amp;utm_campaign=Sweden.Giaotiep.Anhsale10_95360_CVS_DungNT_291222" TargetMode="External"/><Relationship Id="rId69" Type="http://schemas.openxmlformats.org/officeDocument/2006/relationships/hyperlink" Target="https://patadovietnam.edu.vn/tienganhaustralia_d1/?utm_source=Facebook&amp;utm_medium=MES&amp;utm_term=NEW_Australia_2550_none_020123&amp;utm_content=saletructiep_Australia.Anhsale10.2550.Giaotiep_PTATTNDL_LD143&amp;utm_campaign=Australia.Giaotiep.Anhsale10_LHV.9822_MES_DungNT_020123" TargetMode="External"/><Relationship Id="rId51" Type="http://schemas.openxmlformats.org/officeDocument/2006/relationships/hyperlink" Target="https://patadovietnam.edu.vn/giaotieppatado2123" TargetMode="External"/><Relationship Id="rId50" Type="http://schemas.openxmlformats.org/officeDocument/2006/relationships/hyperlink" Target="https://patadovietnam.edu.vn/tienganhnewzealandd/?utm_source=Facebook&amp;utm_medium=CVS&amp;utm_term=NEW_NewZealand_2050_none_281222&amp;utm_content=saletructiep_NewZealand.Anhsale10.2050.Giaotiep_PTATTNDL_LD137&amp;utm_campaign=NewZealand.Giaotiep.Anhsale10_95360_CVS_DungNT_281222" TargetMode="External"/><Relationship Id="rId53" Type="http://schemas.openxmlformats.org/officeDocument/2006/relationships/hyperlink" Target="http://ldp.to/singdungnt_1" TargetMode="External"/><Relationship Id="rId52" Type="http://schemas.openxmlformats.org/officeDocument/2006/relationships/hyperlink" Target="https://patadovietnam.edu.vn/giaotieppatado2123/?utm_source=Facebook&amp;utm_medium=MES&amp;utm_term=NEW_Singapore_1840_none_281222&amp;utm_content=saletructiep_Singapore.Anhsale10.1840.Giaotiep_PTATTNDL_LD142&amp;utm_campaign=Singapore.Giaotiep.Anhsale10_95360_MES_DungNT_281222" TargetMode="External"/><Relationship Id="rId55" Type="http://schemas.openxmlformats.org/officeDocument/2006/relationships/hyperlink" Target="https://patadovietnam.edu.vn/tienganhnauy/?utm_source=Facebook&amp;utm_medium=CVS&amp;utm_term=NEW_Norway_2050_none_291222&amp;utm_content=saletructiep_Norway.Anhsale10.2050.Giaotiep_PTATTNDL_LD138&amp;utm_campaign=Norway.Giaotiep.Anhsale10_95360_CVS_DungNT_291222" TargetMode="External"/><Relationship Id="rId54" Type="http://schemas.openxmlformats.org/officeDocument/2006/relationships/hyperlink" Target="https://patadovietnam.edu.vn/tienganhnauy" TargetMode="External"/><Relationship Id="rId57" Type="http://schemas.openxmlformats.org/officeDocument/2006/relationships/hyperlink" Target="https://patadovietnam.edu.vn/hoctienganhhalann/?utm_source=Facebook&amp;utm_medium=CVS&amp;utm_term=NEW_Netherlands_2050_none_291222&amp;utm_content=saletructiep_Netherlands.Anhsale10.2050.Giaotiep_PTATTNDL_LD139&amp;utm_campaign=Netherlands.Giaotiep.Anhsale10_95360_CVS_DungNT_291222" TargetMode="External"/><Relationship Id="rId56" Type="http://schemas.openxmlformats.org/officeDocument/2006/relationships/hyperlink" Target="https://patadovietnam.edu.vn/hoctienganhhalann" TargetMode="External"/><Relationship Id="rId59" Type="http://schemas.openxmlformats.org/officeDocument/2006/relationships/hyperlink" Target="https://patadovietnam.edu.vn/tienganhthuydien" TargetMode="External"/><Relationship Id="rId58" Type="http://schemas.openxmlformats.org/officeDocument/2006/relationships/hyperlink" Target="http://ldp.to/tienganhhalan_d1" TargetMode="External"/><Relationship Id="rId349" Type="http://schemas.openxmlformats.org/officeDocument/2006/relationships/hyperlink" Target="https://patadovietnam.edu.vn/tienganhpatado_d1" TargetMode="External"/><Relationship Id="rId348" Type="http://schemas.openxmlformats.org/officeDocument/2006/relationships/hyperlink" Target="http://ldp.to/tienganhthanhthao_taiwan" TargetMode="External"/><Relationship Id="rId347" Type="http://schemas.openxmlformats.org/officeDocument/2006/relationships/hyperlink" Target="https://patadovietnam.edu.vn/tienganhnguoidilam_dnt/?utm_source=Facebook&amp;utm_medium=MES&amp;utm_term=NEW_Taiwan_2045_none_010823&amp;utm_content=saletructiep_Taiwan.Anhbeaf.2045.Giaotiep_PTATTNDL_LD167&amp;utm_campaign=Taiwan.Giaotiep.Anhbeaf_LHV.9822_MES_DungNT_010823" TargetMode="External"/><Relationship Id="rId346" Type="http://schemas.openxmlformats.org/officeDocument/2006/relationships/hyperlink" Target="https://patadovietnam.edu.vn/tienganhnguoidilam_dnt" TargetMode="External"/><Relationship Id="rId341" Type="http://schemas.openxmlformats.org/officeDocument/2006/relationships/hyperlink" Target="http://ldp.to/tienganhnguoidilam_canada" TargetMode="External"/><Relationship Id="rId340" Type="http://schemas.openxmlformats.org/officeDocument/2006/relationships/hyperlink" Target="https://patadovietnam.edu.vn/tienganhnguoidilam_dnt/?utm_source=Facebook&amp;utm_medium=MES&amp;utm_term=NEW_Canada_2050_none_300723&amp;utm_content=saletructiep_Canada.Anhtblh.2045.Giaotiep_PTATTNDL_LD167&amp;utm_campaign=Canada.Giaotiep.Anhtblh_LHV.9822_MES_DungNT_300723" TargetMode="External"/><Relationship Id="rId345" Type="http://schemas.openxmlformats.org/officeDocument/2006/relationships/hyperlink" Target="https://patadovietnam.edu.vn/tienganhnguoidilamkorea/?utm_source=Facebook&amp;utm_medium=CVS&amp;utm_term=NEW_KoreaSouth_1840_none_010823&amp;utm_content=saletructiep_KoreaSouth.Anhbeaf.1840.Giaotiep_PTATTNDL_LD174&amp;utm_campaign=KoreaSouth.Giaotiep.Anhbeaf_LHV.9822_CVS_DungNT_010823" TargetMode="External"/><Relationship Id="rId344" Type="http://schemas.openxmlformats.org/officeDocument/2006/relationships/hyperlink" Target="https://patadovietnam.edu.vn/tienganhnguoidilamkorea" TargetMode="External"/><Relationship Id="rId343" Type="http://schemas.openxmlformats.org/officeDocument/2006/relationships/hyperlink" Target="https://patadovietnam.edu.vn/tienganhnguoidilam_dnt/?utm_source=Facebook&amp;utm_medium=MES&amp;utm_term=NEW_Australia_2050_none_300723&amp;utm_content=saletructiep_Australia.Anhtblh.2045.Giaotiep_PTATTNDL_LD167&amp;utm_campaign=Australia.Giaotiep.Anhtblh_LHV.9822_MES_DungNT_300723" TargetMode="External"/><Relationship Id="rId342" Type="http://schemas.openxmlformats.org/officeDocument/2006/relationships/hyperlink" Target="https://patadovietnam.edu.vn/tienganhnguoidilam_dnt" TargetMode="External"/><Relationship Id="rId338" Type="http://schemas.openxmlformats.org/officeDocument/2006/relationships/hyperlink" Target="https://patadovietnam.edu.vn/tienganhnguoidilam_dnt/?utm_source=Facebook&amp;utm_medium=MES&amp;utm_term=NEW_UnitedStates_2050_none_300723&amp;utm_content=saletructiep_UnitedStates.Anhtblh.2050.Giaotiep_PTATTNDL_LD167&amp;utm_campaign=UnitedStates.Giaotiep.Anhtblh_LHV.9822_MES_DungNT_300723" TargetMode="External"/><Relationship Id="rId337" Type="http://schemas.openxmlformats.org/officeDocument/2006/relationships/hyperlink" Target="https://patadovietnam.edu.vn/tienganhnguoidilam_dnt" TargetMode="External"/><Relationship Id="rId336" Type="http://schemas.openxmlformats.org/officeDocument/2006/relationships/hyperlink" Target="http://ldp.to/tienganhnguoidilam_dailoan" TargetMode="External"/><Relationship Id="rId335" Type="http://schemas.openxmlformats.org/officeDocument/2006/relationships/hyperlink" Target="https://patadovietnam.edu.vn/tienganhnguoidilam_dnt/?utm_source=Facebook&amp;utm_medium=MES&amp;utm_term=NEW_Taiwan_2045_none_210723&amp;utm_content=saletructiep_Taiwan.Anhtblh.2045.Giaotiep_PTATTNDL_LD167&amp;utm_campaign=Taiwan.Giaotiep.Anhtblh_LHV.9822_MES_DungNT_210723" TargetMode="External"/><Relationship Id="rId339" Type="http://schemas.openxmlformats.org/officeDocument/2006/relationships/hyperlink" Target="https://patadovietnam.edu.vn/tienganhnguoidilam_dnt" TargetMode="External"/><Relationship Id="rId330" Type="http://schemas.openxmlformats.org/officeDocument/2006/relationships/hyperlink" Target="http://ldp.to/tienganhnguoidilam_philippines" TargetMode="External"/><Relationship Id="rId334" Type="http://schemas.openxmlformats.org/officeDocument/2006/relationships/hyperlink" Target="https://patadovietnam.edu.vn/tienganhnguoidilam_dnt" TargetMode="External"/><Relationship Id="rId333" Type="http://schemas.openxmlformats.org/officeDocument/2006/relationships/hyperlink" Target="http://ldp.ink/tienganhnguoidilam_japan" TargetMode="External"/><Relationship Id="rId332" Type="http://schemas.openxmlformats.org/officeDocument/2006/relationships/hyperlink" Target="https://patadovietnam.edu.vn/tienganhnguoidilamjapan/?utm_source=Facebook&amp;utm_medium=CVS&amp;utm_term=NEW_Japan_1840_none_210723&amp;utm_content=saletructiep_Japan.Anhtblh.1840.Giaotiep_PTATTNDL_LD176&amp;utm_campaign=Japan.Giaotiep.Anhtblh_LHV.9822_CVS_DungNT_210723" TargetMode="External"/><Relationship Id="rId331" Type="http://schemas.openxmlformats.org/officeDocument/2006/relationships/hyperlink" Target="https://patadovietnam.edu.vn/tienganhnguoidilamjapan" TargetMode="External"/><Relationship Id="rId370" Type="http://schemas.openxmlformats.org/officeDocument/2006/relationships/hyperlink" Target="http://ldp.to/khoatienganhtoandien_usa" TargetMode="External"/><Relationship Id="rId369" Type="http://schemas.openxmlformats.org/officeDocument/2006/relationships/hyperlink" Target="https://patadovietnam.edu.vn/tienganhusa_dntt/?utm_source=Facebook&amp;utm_medium=MES&amp;utm_term=NEW_UnitedStates_2050_none_110823&amp;utm_content=saletructiep_UnitedStates.Anhkg.2050.Giaotiep_PTATTNDL_LD150&amp;utm_campaign=UnitedStates.Giaotiep.Anhkg_LHV.9822_MES_DungNT_110823" TargetMode="External"/><Relationship Id="rId368" Type="http://schemas.openxmlformats.org/officeDocument/2006/relationships/hyperlink" Target="https://patadovietnam.edu.vn/tienganhusa_dntt" TargetMode="External"/><Relationship Id="rId363" Type="http://schemas.openxmlformats.org/officeDocument/2006/relationships/hyperlink" Target="https://patadovietnam.edu.vn/tienganhnguoidilamkorea" TargetMode="External"/><Relationship Id="rId362" Type="http://schemas.openxmlformats.org/officeDocument/2006/relationships/hyperlink" Target="http://ldp.to/tienganhthanhthao_japan" TargetMode="External"/><Relationship Id="rId361" Type="http://schemas.openxmlformats.org/officeDocument/2006/relationships/hyperlink" Target="https://patadovietnam.edu.vn/tienganhnguoidilamjapan/?utm_source=Facebook&amp;utm_medium=CVS&amp;utm_term=NEW_Japan_1840_none_060823&amp;utm_content=saletructiep_Japan.Anhbeaf.1840.Giaotiep_PTATTNDL_LD176&amp;utm_campaign=Japan.Giaotiep.Anhbeaf_LHV.9822_CVS_DungNT_060823" TargetMode="External"/><Relationship Id="rId360" Type="http://schemas.openxmlformats.org/officeDocument/2006/relationships/hyperlink" Target="https://patadovietnam.edu.vn/tienganhnguoidilamjapan" TargetMode="External"/><Relationship Id="rId367" Type="http://schemas.openxmlformats.org/officeDocument/2006/relationships/hyperlink" Target="http://ldp.to/tienganhthanhthao_japan" TargetMode="External"/><Relationship Id="rId366" Type="http://schemas.openxmlformats.org/officeDocument/2006/relationships/hyperlink" Target="https://patadovietnam.edu.vn/tienganhnguoidilamjapan/?utm_source=Facebook&amp;utm_medium=CVS&amp;utm_term=NEW_Japan_1840_none_100823&amp;utm_content=saletructiep_Japan.Anhkg.1840.Giaotiep_PTATTNDL_LD176&amp;utm_campaign=Japan.Giaotiep.Anhkg_LHV.9822_CVS_DungNT_100823" TargetMode="External"/><Relationship Id="rId365" Type="http://schemas.openxmlformats.org/officeDocument/2006/relationships/hyperlink" Target="https://patadovietnam.edu.vn/tienganhnguoidilamjapan" TargetMode="External"/><Relationship Id="rId364" Type="http://schemas.openxmlformats.org/officeDocument/2006/relationships/hyperlink" Target="https://patadovietnam.edu.vn/tienganhnguoidilamkorea/?utm_source=Facebook&amp;utm_medium=CVS&amp;utm_term=NEW_KoreaSouth_1840_none_100823&amp;utm_content=saletructiep_KoreaSouth.Anhbeaf.1840.Giaotiep_PTATTNDL_LD174&amp;utm_campaign=KoreaSouth.Giaotiep.Anhbeaf_LHV.9822_CVS_DungNT_100823" TargetMode="External"/><Relationship Id="rId95" Type="http://schemas.openxmlformats.org/officeDocument/2006/relationships/hyperlink" Target="https://patadovietnam.edu.vn/tienganhjapan_d1" TargetMode="External"/><Relationship Id="rId94" Type="http://schemas.openxmlformats.org/officeDocument/2006/relationships/hyperlink" Target="http://ldp.to/tienganhnauy_0701" TargetMode="External"/><Relationship Id="rId97" Type="http://schemas.openxmlformats.org/officeDocument/2006/relationships/hyperlink" Target="http://ldp.to/tienganhjapan_0701" TargetMode="External"/><Relationship Id="rId96" Type="http://schemas.openxmlformats.org/officeDocument/2006/relationships/hyperlink" Target="https://patadovietnam.edu.vn/tienganhjapan_d1/?utm_source=Facebook&amp;utm_medium=CVS&amp;utm_term=NEW_Japan_1835_none_070123&amp;utm_content=saletructiep_Japan.Anhsale10.1835.Giaotiep_PTATTNDL_LD145&amp;utm_campaign=Japan.Giaotiep.Anhsale10_LHV.9822_CVS_DungNT_070123" TargetMode="External"/><Relationship Id="rId99" Type="http://schemas.openxmlformats.org/officeDocument/2006/relationships/hyperlink" Target="https://patadovietnam.edu.vn/tienganhireland/?utm_source=Facebook&amp;utm_medium=CVS&amp;utm_term=NEW_Ireland_2050_none_070123&amp;utm_content=saletructiep_Ireland.Giaotiep.Anhsale10_PTATTNDL_LD146&amp;utm_campaign=Ireland.Giaotiep.Anhsale10_LHV.9822_CVS_DungNT_070123" TargetMode="External"/><Relationship Id="rId98" Type="http://schemas.openxmlformats.org/officeDocument/2006/relationships/hyperlink" Target="https://patadovietnam.edu.vn/tienganhireland" TargetMode="External"/><Relationship Id="rId91" Type="http://schemas.openxmlformats.org/officeDocument/2006/relationships/hyperlink" Target="http://ldp.to/tienganhnewzealandd_070123" TargetMode="External"/><Relationship Id="rId90" Type="http://schemas.openxmlformats.org/officeDocument/2006/relationships/hyperlink" Target="https://patadovietnam.edu.vn/tienganhnewzealandd/?utm_source=Facebook&amp;utm_medium=CVS&amp;utm_term=NEW_NewZealand_2050_none_070123&amp;utm_content=saletructiep_NewZealand.Anhsale10.2050.Giaotiep_PTATTNDL_LD137&amp;utm_campaign=NewZealand.Giaotiep.Anhsale10_95360_CVS_DungNT_070123" TargetMode="External"/><Relationship Id="rId93" Type="http://schemas.openxmlformats.org/officeDocument/2006/relationships/hyperlink" Target="https://patadovietnam.edu.vn/tienganhnauy/?utm_source=Facebook&amp;utm_medium=CVS&amp;utm_term=NEW_Norway_2050_none_070123&amp;utm_content=saletructiep_Norway.Anhsale10.2050.Giaotiep_PTATTNDL_LD138&amp;utm_campaign=Norway.Giaotiep.Anhsale10_95360_CVS_DungNT_070123" TargetMode="External"/><Relationship Id="rId92" Type="http://schemas.openxmlformats.org/officeDocument/2006/relationships/hyperlink" Target="https://patadovietnam.edu.vn/tienganhnauy" TargetMode="External"/><Relationship Id="rId359" Type="http://schemas.openxmlformats.org/officeDocument/2006/relationships/hyperlink" Target="http://ldp.to/khoatienganhtoandien_australia" TargetMode="External"/><Relationship Id="rId358" Type="http://schemas.openxmlformats.org/officeDocument/2006/relationships/hyperlink" Target="https://patadovietnam.edu.vn/tienganhnguoidilam_dnt/?utm_source=Facebook&amp;utm_medium=MES&amp;utm_term=NEW_Australia_2050_none_050823&amp;utm_content=saletructiep_Australia.Anhbeaf.2050.Giaotiep_PTATTNDL_LD167&amp;utm_campaign=Australia.Giaotiep.Anhbeaf_LHV.9822_MES_DungNT_050823" TargetMode="External"/><Relationship Id="rId357" Type="http://schemas.openxmlformats.org/officeDocument/2006/relationships/hyperlink" Target="https://patadovietnam.edu.vn/tienganhnguoidilam_dnt" TargetMode="External"/><Relationship Id="rId352" Type="http://schemas.openxmlformats.org/officeDocument/2006/relationships/hyperlink" Target="https://patadovietnam.edu.vn/tienganhnguoidilam_dnt" TargetMode="External"/><Relationship Id="rId351" Type="http://schemas.openxmlformats.org/officeDocument/2006/relationships/hyperlink" Target="http://ldp.to/tienganhthanhthao_canada" TargetMode="External"/><Relationship Id="rId350" Type="http://schemas.openxmlformats.org/officeDocument/2006/relationships/hyperlink" Target="https://patadovietnam.edu.vn/tienganhpatado_d1/?utm_source=Facebook&amp;utm_medium=MES&amp;utm_term=NEW_Canada_2050_none_050823&amp;utm_content=saletructiep_Canada.Anhbeaf.2045.Giaotiep_PTATTNDL_LD144&amp;utm_campaign=Canada.Giaotiep.Anhbeaf_LHV.9822_MES_DungNT_050823" TargetMode="External"/><Relationship Id="rId356" Type="http://schemas.openxmlformats.org/officeDocument/2006/relationships/hyperlink" Target="https://patadovietnam.edu.vn/tienganhusa_dntt/?utm_source=Facebook&amp;utm_medium=MES&amp;utm_term=NEW_UnitedStates_2050_none_050823&amp;utm_content=saletructiep_UnitedStates.Anhbeaf.2045.Giaotiep_PTATTNDL_LD150&amp;utm_campaign=UnitedStates.Giaotiep.Anhbeaf_LHV.9822_MES_DungNT_050823" TargetMode="External"/><Relationship Id="rId355" Type="http://schemas.openxmlformats.org/officeDocument/2006/relationships/hyperlink" Target="https://patadovietnam.edu.vn/tienganhusa_dntt" TargetMode="External"/><Relationship Id="rId354" Type="http://schemas.openxmlformats.org/officeDocument/2006/relationships/hyperlink" Target="http://ldp.to/tienganhtoandien_singapore" TargetMode="External"/><Relationship Id="rId353" Type="http://schemas.openxmlformats.org/officeDocument/2006/relationships/hyperlink" Target="https://patadovietnam.edu.vn/tienganhnguoidilam_dnt/?utm_source=Facebook&amp;utm_medium=MES&amp;utm_term=NEW_Singapore_2045_none_050823&amp;utm_content=saletructiep_Singapore.Anhbeaf.2045.Giaotiep_PTATTNDL_LD167&amp;utm_campaign=Singapore.Giaotiep.Anhbeaf_LHV.9822_MES_DungNT_050823" TargetMode="External"/><Relationship Id="rId305" Type="http://schemas.openxmlformats.org/officeDocument/2006/relationships/hyperlink" Target="http://ldp.to/tienganhtoandien_australia" TargetMode="External"/><Relationship Id="rId304" Type="http://schemas.openxmlformats.org/officeDocument/2006/relationships/hyperlink" Target="https://patadovietnam.edu.vn/tienganhpatado_d1/?utm_source=Facebook&amp;utm_medium=MES&amp;utm_term=NEW_Australia_3055_none_050723&amp;utm_content=saletructiep_Australia.vdhv.3055.Giaotiep_PTATTNDL_LD144&amp;utm_campaign=Australia.Giaotiep.vdhv_LHV.9822_MES_DungNT_050723" TargetMode="External"/><Relationship Id="rId303" Type="http://schemas.openxmlformats.org/officeDocument/2006/relationships/hyperlink" Target="https://patadovietnam.edu.vn/tienganhpatado_d1" TargetMode="External"/><Relationship Id="rId302" Type="http://schemas.openxmlformats.org/officeDocument/2006/relationships/hyperlink" Target="http://ldp.to/tienganhtoandien_europe" TargetMode="External"/><Relationship Id="rId309" Type="http://schemas.openxmlformats.org/officeDocument/2006/relationships/hyperlink" Target="https://patadovietnam.edu.vn/tienganhnguoidilam_dnt" TargetMode="External"/><Relationship Id="rId308" Type="http://schemas.openxmlformats.org/officeDocument/2006/relationships/hyperlink" Target="http://ldp.to/tienganhtoandien_korea" TargetMode="External"/><Relationship Id="rId307" Type="http://schemas.openxmlformats.org/officeDocument/2006/relationships/hyperlink" Target="https://patadovietnam.edu.vn/tienganhpatado_d1/?utm_source=Facebook&amp;utm_medium=CVS&amp;utm_term=NEW_KoreaSouth_1840_none_070723&amp;utm_content=saletructiep_KoreaSouth.Anhsale12.1840.Giaotiep_PTATTNDL_LD144&amp;utm_campaign=KoreaSouth.Giaotiep.Anhsale12_LHV.9822_CVS_DungNT_070723" TargetMode="External"/><Relationship Id="rId306" Type="http://schemas.openxmlformats.org/officeDocument/2006/relationships/hyperlink" Target="https://patadovietnam.edu.vn/tienganhpatado_d1" TargetMode="External"/><Relationship Id="rId301" Type="http://schemas.openxmlformats.org/officeDocument/2006/relationships/hyperlink" Target="https://patadovietnam.edu.vn/tienganhnguoidilam_dnt/?utm_source=Facebook&amp;utm_medium=CVS&amp;utm_term=NEW_Europe_3055_none_050723&amp;utm_content=saletructiep_Europe.Anhsale12.3055.Giaotiep_PTATTNDL_LD167&amp;utm_campaign=Europe.Giaotiep.Anhsale12_LHV.9822_CVS_DungNT_050723" TargetMode="External"/><Relationship Id="rId300" Type="http://schemas.openxmlformats.org/officeDocument/2006/relationships/hyperlink" Target="https://patadovietnam.edu.vn/tienganhnguoidilam_dnt" TargetMode="External"/><Relationship Id="rId327" Type="http://schemas.openxmlformats.org/officeDocument/2006/relationships/hyperlink" Target="http://ldp.to/tienganhnguoidilam_korea" TargetMode="External"/><Relationship Id="rId326" Type="http://schemas.openxmlformats.org/officeDocument/2006/relationships/hyperlink" Target="https://patadovietnam.edu.vn/tienganhnguoidilamkorea/?utm_source=Facebook&amp;utm_medium=CVS&amp;utm_term=NEW_KoreaSouth_1840_none_210723&amp;utm_content=saletructiep_KoreaSouth.Anhtblh.1840.Giaotiep_PTATTNDL_LD174&amp;utm_campaign=KoreaSouth.Giaotiep.Anhtblh_LHV.9822_CVS_DungNT_210723" TargetMode="External"/><Relationship Id="rId325" Type="http://schemas.openxmlformats.org/officeDocument/2006/relationships/hyperlink" Target="https://patadovietnam.edu.vn/tienganhnguoidilamkorea" TargetMode="External"/><Relationship Id="rId324" Type="http://schemas.openxmlformats.org/officeDocument/2006/relationships/hyperlink" Target="http://ldp.to/khoatienganhtoandien_canada" TargetMode="External"/><Relationship Id="rId329" Type="http://schemas.openxmlformats.org/officeDocument/2006/relationships/hyperlink" Target="https://patadovietnam.edu.vn/tienganhnguoidilam_dnt/?utm_source=Facebook&amp;utm_medium=MES&amp;utm_term=NEW_Philippines_2045_none_210723&amp;utm_content=saletructiep_Philippines.Anhtblh.2045.Giaotiep_PTATTNDL_LD167&amp;utm_campaign=Philippines.Giaotiep.Anhtblh_LHV.9822_MES_DungNT_210723" TargetMode="External"/><Relationship Id="rId328" Type="http://schemas.openxmlformats.org/officeDocument/2006/relationships/hyperlink" Target="https://patadovietnam.edu.vn/tienganhnguoidilam_dnt" TargetMode="External"/><Relationship Id="rId323" Type="http://schemas.openxmlformats.org/officeDocument/2006/relationships/hyperlink" Target="https://patadovietnam.edu.vn/tienganhnguoidilam_dnt/?utm_source=Facebook&amp;utm_medium=MES&amp;utm_term=NEW_Canada_2055_none_200723&amp;utm_content=saletructiep_Canada.vdlh.2055.Giaotiep_PTATTNDL_LD167&amp;utm_campaign=Canada.Giaotiep.vdlh_LHV.9822_MES_DungNT_200723" TargetMode="External"/><Relationship Id="rId322" Type="http://schemas.openxmlformats.org/officeDocument/2006/relationships/hyperlink" Target="https://patadovietnam.edu.vn/tienganhnguoidilam_dnt" TargetMode="External"/><Relationship Id="rId321" Type="http://schemas.openxmlformats.org/officeDocument/2006/relationships/hyperlink" Target="https://patadovietnam.edu.vn/tienganhnguoidilam_dnt/?utm_source=Facebook&amp;utm_medium=MES&amp;utm_term=NEW_Australia_2055_none_200723&amp;utm_content=saletructiep_Australia.vdlh.2055.Giaotiep_PTATTNDL_LD167&amp;utm_campaign=Australia.Giaotiep.vdlh_LHV.9822_MES_DungNT_200723" TargetMode="External"/><Relationship Id="rId320" Type="http://schemas.openxmlformats.org/officeDocument/2006/relationships/hyperlink" Target="https://patadovietnam.edu.vn/tienganhnguoidilam_dnt" TargetMode="External"/><Relationship Id="rId316" Type="http://schemas.openxmlformats.org/officeDocument/2006/relationships/hyperlink" Target="https://patadovietnam.edu.vn/tienganhnguoidilam_dnt/?utm_source=Facebook&amp;utm_medium=MES&amp;utm_term=NEW_Taiwan_2045_none_160723&amp;utm_content=saletructiep_Taiwan.anhjh.2045.Giaotiep_PTATTNDL_LD167&amp;utm_campaign=Taiwan.Giaotiep.anhjh_LHV.9822_MES_DungNT_160723" TargetMode="External"/><Relationship Id="rId315" Type="http://schemas.openxmlformats.org/officeDocument/2006/relationships/hyperlink" Target="https://patadovietnam.edu.vn/tienganhnguoidilam_dnt" TargetMode="External"/><Relationship Id="rId314" Type="http://schemas.openxmlformats.org/officeDocument/2006/relationships/hyperlink" Target="http://ldp.to/tienganhtoandien_philippines" TargetMode="External"/><Relationship Id="rId313" Type="http://schemas.openxmlformats.org/officeDocument/2006/relationships/hyperlink" Target="https://patadovietnam.edu.vn/tienganhnguoidilam_dnt/?utm_source=Facebook&amp;utm_medium=MES&amp;utm_term=NEW_Philippines_2045_none_160723&amp;utm_content=saletructiep_Philippines.anhjh.2045.Giaotiep_PTATTNDL_LD167&amp;utm_campaign=Philippines.Giaotiep.anhjh_LHV.9822_MES_DungNT_160723" TargetMode="External"/><Relationship Id="rId319" Type="http://schemas.openxmlformats.org/officeDocument/2006/relationships/hyperlink" Target="https://patadovietnam.edu.vn/tienganhnguoidilam_dnt/?utm_source=Facebook&amp;utm_medium=MES&amp;utm_term=NEW_UnitedStates_2055_none_200723&amp;utm_content=saletructiep_UnitedStates.vdlh.2055.Giaotiep_PTATTNDL_LD167&amp;utm_campaign=UnitedStates.Giaotiep.vdlh_LHV.9822_MES_DungNT_200723" TargetMode="External"/><Relationship Id="rId318" Type="http://schemas.openxmlformats.org/officeDocument/2006/relationships/hyperlink" Target="https://patadovietnam.edu.vn/tienganhnguoidilam_dnt" TargetMode="External"/><Relationship Id="rId317" Type="http://schemas.openxmlformats.org/officeDocument/2006/relationships/hyperlink" Target="http://ldp.to/tienganhtoandien_taiwan" TargetMode="External"/><Relationship Id="rId312" Type="http://schemas.openxmlformats.org/officeDocument/2006/relationships/hyperlink" Target="https://patadovietnam.edu.vn/tienganhnguoidilam_dnt" TargetMode="External"/><Relationship Id="rId311" Type="http://schemas.openxmlformats.org/officeDocument/2006/relationships/hyperlink" Target="http://ldp.to/tienganhdilam_korea" TargetMode="External"/><Relationship Id="rId310" Type="http://schemas.openxmlformats.org/officeDocument/2006/relationships/hyperlink" Target="https://patadovietnam.edu.vn/tienganhnguoidilam_dnt/?utm_source=Facebook&amp;utm_medium=CVS&amp;utm_term=NEW_KoreaSouth_1840_none_160723&amp;utm_content=saletructiep_KoreaSouth.Anhjh.1840.Giaotiep_PTATTNDL_LD167&amp;utm_campaign=KoreaSouth.Giaotiep.Anhjh_LHV.9822_CVS_DungNT_160723" TargetMode="External"/><Relationship Id="rId297" Type="http://schemas.openxmlformats.org/officeDocument/2006/relationships/hyperlink" Target="https://patadovietnam.edu.vn/tienganhnguoidilam_dnt" TargetMode="External"/><Relationship Id="rId296" Type="http://schemas.openxmlformats.org/officeDocument/2006/relationships/hyperlink" Target="http://ldp.to/tienganhjapan_dnt3" TargetMode="External"/><Relationship Id="rId295" Type="http://schemas.openxmlformats.org/officeDocument/2006/relationships/hyperlink" Target="https://patadovietnam.edu.vn/tienganhpatado_d1/?utm_source=Facebook&amp;utm_medium=CVS&amp;utm_term=NEW_Japan_1840_none_030723&amp;utm_content=saletructiep_Japan.Anhsale10.1840.Giaotiep_PTATTNDL_LD144&amp;utm_campaign=Japan.Giaotiep.Anhsale10_LHV.9822_CVS_DungNT_030723" TargetMode="External"/><Relationship Id="rId294" Type="http://schemas.openxmlformats.org/officeDocument/2006/relationships/hyperlink" Target="https://patadovietnam.edu.vn/tienganhpatado_d1" TargetMode="External"/><Relationship Id="rId299" Type="http://schemas.openxmlformats.org/officeDocument/2006/relationships/hyperlink" Target="http://ldp.to/tienganhdilam_korea" TargetMode="External"/><Relationship Id="rId298" Type="http://schemas.openxmlformats.org/officeDocument/2006/relationships/hyperlink" Target="https://patadovietnam.edu.vn/tienganhnguoidilam_dnt/?utm_source=Facebook&amp;utm_medium=CVS&amp;utm_term=NEW_KoreaSouth_1840_none_030723&amp;utm_content=saletructiep_KoreaSouth.Anhsale13.1840.Giaotiep_PTATTNDL_LD167&amp;utm_campaign=KoreaSouth.Giaotiep.Anhsale13_LHV.9822_CVS_DungNT_030723" TargetMode="External"/><Relationship Id="rId271" Type="http://schemas.openxmlformats.org/officeDocument/2006/relationships/hyperlink" Target="https://patadovietnam.edu.vn/tienganhnguoidilam_dnt" TargetMode="External"/><Relationship Id="rId270" Type="http://schemas.openxmlformats.org/officeDocument/2006/relationships/hyperlink" Target="http://ldp.to/tienganhchonguoimatgoc_usa" TargetMode="External"/><Relationship Id="rId269" Type="http://schemas.openxmlformats.org/officeDocument/2006/relationships/hyperlink" Target="https://patadovietnam.edu.vn/tienganhpatado_d1/?utm_source=Facebook&amp;utm_medium=MES&amp;utm_term=NEW_Canada_3055_none_010723&amp;utm_content=saletructiep_Canada.Anhsale61.3055.Giaotiep_PTATTNDL_LD144&amp;utm_campaign=Canada.Giaotiep.Anhsale61_LHV.9822_MES_DungNT_010723" TargetMode="External"/><Relationship Id="rId264" Type="http://schemas.openxmlformats.org/officeDocument/2006/relationships/hyperlink" Target="http://ldp.to/tienganhchonguoimatgoc_usa" TargetMode="External"/><Relationship Id="rId263" Type="http://schemas.openxmlformats.org/officeDocument/2006/relationships/hyperlink" Target="https://patadovietnam.edu.vn/tienganhusa_dntt/?utm_source=Facebook&amp;utm_medium=MES&amp;utm_term=NEW_UnitedStates_3055_none_010723&amp;utm_content=saletructiep_UnitedStates.Anhsale61.3055.Giaotiep_PTATTNDL_LD150&amp;utm_campaign=UnitedStates.Giaotiep.Anhsale61_LHV.9822_MES_DungNT_010723" TargetMode="External"/><Relationship Id="rId262" Type="http://schemas.openxmlformats.org/officeDocument/2006/relationships/hyperlink" Target="https://patadovietnam.edu.vn/tienganhusa_dntt" TargetMode="External"/><Relationship Id="rId261" Type="http://schemas.openxmlformats.org/officeDocument/2006/relationships/hyperlink" Target="http://ldp.to/tienganhchonguoimatgoc_usa" TargetMode="External"/><Relationship Id="rId268" Type="http://schemas.openxmlformats.org/officeDocument/2006/relationships/hyperlink" Target="https://patadovietnam.edu.vn/tienganhpatado_d1" TargetMode="External"/><Relationship Id="rId267" Type="http://schemas.openxmlformats.org/officeDocument/2006/relationships/hyperlink" Target="http://ldp.to/tienganhchonguoimatgoc_usa" TargetMode="External"/><Relationship Id="rId266" Type="http://schemas.openxmlformats.org/officeDocument/2006/relationships/hyperlink" Target="https://patadovietnam.edu.vn/tienganhpatado_d1/?utm_source=Facebook&amp;utm_medium=MES&amp;utm_term=NEW_Australia_2555_none_010723&amp;utm_content=saletructiep_Australia.Anhsale61.2555.Giaotiep_PTATTNDL_LD144&amp;utm_campaign=Australia.Giaotiep.Anhsale61_LHV.9822_MES_DungNT_010723" TargetMode="External"/><Relationship Id="rId265" Type="http://schemas.openxmlformats.org/officeDocument/2006/relationships/hyperlink" Target="https://patadovietnam.edu.vn/tienganhpatado_d1" TargetMode="External"/><Relationship Id="rId260" Type="http://schemas.openxmlformats.org/officeDocument/2006/relationships/hyperlink" Target="https://patadovietnam.edu.vn/tienganhnguoidilam_dnt/?utm_source=Facebook&amp;utm_medium=MES&amp;utm_term=NEW_UnitedStates_3055_none_130623&amp;utm_content=saletructiep_UnitedStates.Anhsale61.3055.Giaotiep_PTATTNDL_LD167&amp;utm_campaign=UnitedStates.Giaotiep.Anhsale61_LHV.9822_MES_DungNT_130623" TargetMode="External"/><Relationship Id="rId259" Type="http://schemas.openxmlformats.org/officeDocument/2006/relationships/hyperlink" Target="https://patadovietnam.edu.vn/tienganhnguoidilam_dnt" TargetMode="External"/><Relationship Id="rId258" Type="http://schemas.openxmlformats.org/officeDocument/2006/relationships/hyperlink" Target="http://ldp.to/tienganhchonguoimatgoc_canada" TargetMode="External"/><Relationship Id="rId253" Type="http://schemas.openxmlformats.org/officeDocument/2006/relationships/hyperlink" Target="https://patadovietnam.edu.vn/tienganhnguoidilam_dnt" TargetMode="External"/><Relationship Id="rId252" Type="http://schemas.openxmlformats.org/officeDocument/2006/relationships/hyperlink" Target="http://ldp.to/tienganhdilam_korea" TargetMode="External"/><Relationship Id="rId251" Type="http://schemas.openxmlformats.org/officeDocument/2006/relationships/hyperlink" Target="https://patadovietnam.edu.vn/tienganhnguoidilam_dnt/?utm_source=Facebook&amp;utm_medium=CVS&amp;utm_term=NEW_KoreaSouth_1840_none_120623&amp;utm_content=saletructiep_KoreaSouth.Anhsale13.1840.Giaotiep_PTATTNDL_LD167&amp;utm_campaign=KoreaSouth.Giaotiep.Anhsale13_LHV.9822_CVS_DungNT_120623" TargetMode="External"/><Relationship Id="rId250" Type="http://schemas.openxmlformats.org/officeDocument/2006/relationships/hyperlink" Target="https://patadovietnam.edu.vn/tienganhnguoidilam_dnt" TargetMode="External"/><Relationship Id="rId257" Type="http://schemas.openxmlformats.org/officeDocument/2006/relationships/hyperlink" Target="https://patadovietnam.edu.vn/tienganhnguoidilam_dnt/?utm_source=Facebook&amp;utm_medium=MES&amp;utm_term=NEW_Canada_3055_none_130623&amp;utm_content=saletructiep_Canada.Anhsale61.3055.Giaotiep_PTATTNDL_LD167&amp;utm_campaign=Canada.Giaotiep.Anhsale61_LHV.9822_MES_DungNT_130623" TargetMode="External"/><Relationship Id="rId256" Type="http://schemas.openxmlformats.org/officeDocument/2006/relationships/hyperlink" Target="https://patadovietnam.edu.vn/tienganhnguoidilam_dnt" TargetMode="External"/><Relationship Id="rId255" Type="http://schemas.openxmlformats.org/officeDocument/2006/relationships/hyperlink" Target="http://ldp.to/tienganhdilam_uc" TargetMode="External"/><Relationship Id="rId254" Type="http://schemas.openxmlformats.org/officeDocument/2006/relationships/hyperlink" Target="https://patadovietnam.edu.vn/tienganhnguoidilam_dnt/?utm_source=Facebook&amp;utm_medium=MES&amp;utm_term=NEW_Australia_3055_none_130623&amp;utm_content=saletructiep_Australia.Anhsale61.3055.Giaotiep_PTATTNDL_LD167&amp;utm_campaign=Australia.Giaotiep.Anhsale61_LHV.9822_MES_DungNT_130623" TargetMode="External"/><Relationship Id="rId293" Type="http://schemas.openxmlformats.org/officeDocument/2006/relationships/hyperlink" Target="http://ldp.to/tienganhtoandien_korea" TargetMode="External"/><Relationship Id="rId292" Type="http://schemas.openxmlformats.org/officeDocument/2006/relationships/hyperlink" Target="https://patadovietnam.edu.vn/tienganhpatado_d1/?utm_source=Facebook&amp;utm_medium=CVS&amp;utm_term=NEW_KoreaSouth_1840_none_010723&amp;utm_content=saletructiep_KoreaSouth.Anhsale12.1840.Giaotiep_PTATTNDL_LD144&amp;utm_campaign=KoreaSouth.Giaotiep.Anhsale12_LHV.9822_CVS_DungNT_010723" TargetMode="External"/><Relationship Id="rId291" Type="http://schemas.openxmlformats.org/officeDocument/2006/relationships/hyperlink" Target="https://patadovietnam.edu.vn/tienganhpatado_d1" TargetMode="External"/><Relationship Id="rId290" Type="http://schemas.openxmlformats.org/officeDocument/2006/relationships/hyperlink" Target="http://ldp.to/tienganhtoandien_canada" TargetMode="External"/><Relationship Id="rId286" Type="http://schemas.openxmlformats.org/officeDocument/2006/relationships/hyperlink" Target="https://patadovietnam.edu.vn/tienganhpatado_d1/?utm_source=Facebook&amp;utm_medium=MES&amp;utm_term=NEW_Australia_3055_none_010723&amp;utm_content=saletructiep_Australia.vdhv.3055.Giaotiep_PTATTNDL_LD144&amp;utm_campaign=Australia.Giaotiep.vdhv_LHV.9822_MES_DungNT_010723" TargetMode="External"/><Relationship Id="rId285" Type="http://schemas.openxmlformats.org/officeDocument/2006/relationships/hyperlink" Target="https://patadovietnam.edu.vn/tienganhpatado_d1" TargetMode="External"/><Relationship Id="rId284" Type="http://schemas.openxmlformats.org/officeDocument/2006/relationships/hyperlink" Target="https://patadovietnam.edu.vn/tienganhusa_dntt/?utm_source=Facebook&amp;utm_medium=MES&amp;utm_term=NEW_UnitedStates_3055_none_010723&amp;utm_content=saletructiep_UnitedStates.vdhv.3055.Giaotiep_PTATTNDL_LD150&amp;utm_campaign=UnitedStates.Giaotiep.vdhv_LHV.9822_MES_DungNT_010723" TargetMode="External"/><Relationship Id="rId283" Type="http://schemas.openxmlformats.org/officeDocument/2006/relationships/hyperlink" Target="https://patadovietnam.edu.vn/tienganhusa_dntt" TargetMode="External"/><Relationship Id="rId289" Type="http://schemas.openxmlformats.org/officeDocument/2006/relationships/hyperlink" Target="https://patadovietnam.edu.vn/tienganhpatado_d1/?utm_source=Facebook&amp;utm_medium=MES&amp;utm_term=NEW_Canada_3055_none_010723&amp;utm_content=saletructiep_Canada.vdhv.3055.Giaotiep_PTATTNDL_LD144&amp;utm_campaign=Canada.Giaotiep.vdhv_LHV.9822_MES_DungNT_010723" TargetMode="External"/><Relationship Id="rId288" Type="http://schemas.openxmlformats.org/officeDocument/2006/relationships/hyperlink" Target="https://patadovietnam.edu.vn/tienganhpatado_d1" TargetMode="External"/><Relationship Id="rId287" Type="http://schemas.openxmlformats.org/officeDocument/2006/relationships/hyperlink" Target="http://ldp.to/tienganhtoandien_australia" TargetMode="External"/><Relationship Id="rId282" Type="http://schemas.openxmlformats.org/officeDocument/2006/relationships/hyperlink" Target="http://ldp.to/tienganhtoandien_europe" TargetMode="External"/><Relationship Id="rId281" Type="http://schemas.openxmlformats.org/officeDocument/2006/relationships/hyperlink" Target="https://patadovietnam.edu.vn/tienganhnguoidilam_dnt/?utm_source=Facebook&amp;utm_medium=CVS&amp;utm_term=NEW_Europe_3055_none_010723&amp;utm_content=saletructiep_Europe.Anhsale12.3055.Giaotiep_PTATTNDL_LD167&amp;utm_campaign=Europe.Giaotiep.Anhsale12_LHV.9822_CVS_DungNT_010723" TargetMode="External"/><Relationship Id="rId280" Type="http://schemas.openxmlformats.org/officeDocument/2006/relationships/hyperlink" Target="https://patadovietnam.edu.vn/tienganhnguoidilam_dnt" TargetMode="External"/><Relationship Id="rId275" Type="http://schemas.openxmlformats.org/officeDocument/2006/relationships/hyperlink" Target="https://patadovietnam.edu.vn/tienganhnguoidilam_dnt/?utm_source=Facebook&amp;utm_medium=CVS&amp;utm_term=NEW_KoreaSouth_1840_none_010723&amp;utm_content=saletructiep_KoreaSouth.Anhsale13.1840.Giaotiep_PTATTNDL_LD167&amp;utm_campaign=KoreaSouth.Giaotiep.Anhsale13_LHV.9822_CVS_DungNT_010723" TargetMode="External"/><Relationship Id="rId274" Type="http://schemas.openxmlformats.org/officeDocument/2006/relationships/hyperlink" Target="https://patadovietnam.edu.vn/tienganhnguoidilam_dnt" TargetMode="External"/><Relationship Id="rId273" Type="http://schemas.openxmlformats.org/officeDocument/2006/relationships/hyperlink" Target="http://ldp.to/tienganhdilam_taiwan" TargetMode="External"/><Relationship Id="rId272" Type="http://schemas.openxmlformats.org/officeDocument/2006/relationships/hyperlink" Target="https://patadovietnam.edu.vn/tienganhnguoidilam_dnt/?utm_source=Facebook&amp;utm_medium=MES&amp;utm_term=NEW_Taiwan_1840_none_010723&amp;utm_content=saletructiep_Taiwan.Anhsale13.1840.Giaotiep_PTATTNDL_LD167&amp;utm_campaign=Taiwan.Giaotiep.Anhsale13_LHV.9822_MES_DungNT_010723" TargetMode="External"/><Relationship Id="rId279" Type="http://schemas.openxmlformats.org/officeDocument/2006/relationships/hyperlink" Target="http://ldp.to/tienganhjapan_dnt3" TargetMode="External"/><Relationship Id="rId278" Type="http://schemas.openxmlformats.org/officeDocument/2006/relationships/hyperlink" Target="https://patadovietnam.edu.vn/tienganhpatado_d1/?utm_source=Facebook&amp;utm_medium=CVS&amp;utm_term=NEW_Japan_1840_none_010723&amp;utm_content=saletructiep_Japan.Anhsale10.1840.Giaotiep_PTATTNDL_LD144&amp;utm_campaign=Japan.Giaotiep.Anhsale10_LHV.9822_CVS_DungNT_010723" TargetMode="External"/><Relationship Id="rId277" Type="http://schemas.openxmlformats.org/officeDocument/2006/relationships/hyperlink" Target="https://patadovietnam.edu.vn/tienganhpatado_d1" TargetMode="External"/><Relationship Id="rId276" Type="http://schemas.openxmlformats.org/officeDocument/2006/relationships/hyperlink" Target="http://ldp.to/tienganhdilam_korea" TargetMode="External"/><Relationship Id="rId228" Type="http://schemas.openxmlformats.org/officeDocument/2006/relationships/hyperlink" Target="http://ldp.to/tienganhdilam_taiwan" TargetMode="External"/><Relationship Id="rId227" Type="http://schemas.openxmlformats.org/officeDocument/2006/relationships/hyperlink" Target="https://patadovietnam.edu.vn/tienganhnguoidilam_dnt/?utm_source=Facebook&amp;utm_medium=MES&amp;utm_term=NEW_Taiwan_1840_none_020623&amp;utm_content=saletructiep_Taiwan.Anhsale13.1840.Giaotiep_PTATTNDL_LD167&amp;utm_campaign=Taiwan.Giaotiep.Anhsale13_LHV.9822_MES_DungNT_020623" TargetMode="External"/><Relationship Id="rId226" Type="http://schemas.openxmlformats.org/officeDocument/2006/relationships/hyperlink" Target="https://patadovietnam.edu.vn/tienganhnguoidilam_dnt" TargetMode="External"/><Relationship Id="rId225" Type="http://schemas.openxmlformats.org/officeDocument/2006/relationships/hyperlink" Target="http://ldp.to/tienganhdilam_japan" TargetMode="External"/><Relationship Id="rId229" Type="http://schemas.openxmlformats.org/officeDocument/2006/relationships/hyperlink" Target="https://patadovietnam.edu.vn/tienganhnguoidilam_dnt" TargetMode="External"/><Relationship Id="rId220" Type="http://schemas.openxmlformats.org/officeDocument/2006/relationships/hyperlink" Target="https://patadovietnam.edu.vn/tienganhusa_dntt" TargetMode="External"/><Relationship Id="rId224" Type="http://schemas.openxmlformats.org/officeDocument/2006/relationships/hyperlink" Target="https://patadovietnam.edu.vn/tienganhnguoidilam_dnt/?utm_source=Facebook&amp;utm_medium=CVS&amp;utm_term=NEW_Japan_1840_none_020623&amp;utm_content=saletructiep_Japan.Anhsale13.1840.Giaotiep_PTATTNDL_LD167&amp;utm_campaign=Japan.Giaotiep.Anhsale13_LHV.9822_CVS_DungNT_020623" TargetMode="External"/><Relationship Id="rId223" Type="http://schemas.openxmlformats.org/officeDocument/2006/relationships/hyperlink" Target="https://patadovietnam.edu.vn/tienganhnguoidilam_dnt" TargetMode="External"/><Relationship Id="rId222" Type="http://schemas.openxmlformats.org/officeDocument/2006/relationships/hyperlink" Target="http://ldp.to/tienganhtructuyenusa" TargetMode="External"/><Relationship Id="rId221" Type="http://schemas.openxmlformats.org/officeDocument/2006/relationships/hyperlink" Target="https://patadovietnam.edu.vn/tienganhusa_dntt/?utm_source=Facebook&amp;utm_medium=MES&amp;utm_term=NEW_UnitedStates_2555_none_200523&amp;utm_content=saletructiep_UnitedStates.anhgiaotiepusa.2555.Giaotiep_PTATTNDL_LD150&amp;utm_campaign=UnitedStates.Giaotiep.anhgiaotiepusa_LHV.9822_MES_DungNT_200523" TargetMode="External"/><Relationship Id="rId217" Type="http://schemas.openxmlformats.org/officeDocument/2006/relationships/hyperlink" Target="https://patadovietnam.edu.vn/dungnt10_ielts_cvs" TargetMode="External"/><Relationship Id="rId216" Type="http://schemas.openxmlformats.org/officeDocument/2006/relationships/hyperlink" Target="http://ldp.to/tienganhcanada_dnttt" TargetMode="External"/><Relationship Id="rId215" Type="http://schemas.openxmlformats.org/officeDocument/2006/relationships/hyperlink" Target="https://patadovietnam.edu.vn/tienganhpatado_d1/?utm_source=Facebook&amp;utm_medium=MES&amp;utm_term=NEW_Canada_2055_none_160523&amp;utm_content=saletructiep_Canada.Anhsale10.2055.Giaotiep_PTATTNDL_LD144&amp;utm_campaign=Canada.Giaotiep.Anhsale10_LHV.9822_MES_DungNT_160523" TargetMode="External"/><Relationship Id="rId214" Type="http://schemas.openxmlformats.org/officeDocument/2006/relationships/hyperlink" Target="https://patadovietnam.edu.vn/tienganhpatado_d1" TargetMode="External"/><Relationship Id="rId219" Type="http://schemas.openxmlformats.org/officeDocument/2006/relationships/hyperlink" Target="http://ldp.to/khoaieltspatado_dntt" TargetMode="External"/><Relationship Id="rId218" Type="http://schemas.openxmlformats.org/officeDocument/2006/relationships/hyperlink" Target="https://patadovietnam.edu.vn/dungnt10_ielts_cvs/?utm_source=Facebook&amp;utm_medium=MES&amp;utm_term=NEW_Vietnam_1850_none_190523&amp;utm_content=saletructiep_Vietnam.Anhielts1.1850.IELTS_PTATT_LD127&amp;utm_campaign=Vietnam.IELTS.Anhielts1_LHV.9822_MES_DungNT_190523" TargetMode="External"/><Relationship Id="rId213" Type="http://schemas.openxmlformats.org/officeDocument/2006/relationships/hyperlink" Target="http://ldp.to/tienganhkorealead_dnt" TargetMode="External"/><Relationship Id="rId212" Type="http://schemas.openxmlformats.org/officeDocument/2006/relationships/hyperlink" Target="https://patadovietnam.edu.vn/tienganhpatado_d2/?utm_source=Facebook&amp;utm_medium=LEAD&amp;utm_term=NEW_KoreaSouth_1840_none_190423&amp;utm_content=saletructiep_KoreaSouth.Anhsale13.1840.Giaotiep_PTATT_LD152&amp;utm_campaign=KoreaSouth.Giaotiep.Anhsale13_LHV.9822_LEAD_DungNT_190423" TargetMode="External"/><Relationship Id="rId211" Type="http://schemas.openxmlformats.org/officeDocument/2006/relationships/hyperlink" Target="https://patadovietnam.edu.vn/tienganhpatado_d2" TargetMode="External"/><Relationship Id="rId210" Type="http://schemas.openxmlformats.org/officeDocument/2006/relationships/hyperlink" Target="http://ldp.to/tienganhjapanlead_dnt" TargetMode="External"/><Relationship Id="rId249" Type="http://schemas.openxmlformats.org/officeDocument/2006/relationships/hyperlink" Target="http://ldp.to/tienganhdilam_canadaa" TargetMode="External"/><Relationship Id="rId248" Type="http://schemas.openxmlformats.org/officeDocument/2006/relationships/hyperlink" Target="https://patadovietnam.edu.vn/tienganhnguoidilam_dnt/?utm_source=Facebook&amp;utm_medium=MES&amp;utm_term=NEW_Canada_2555_none_080623&amp;utm_content=saletructiep_Canada.Videogiangday1.2555.Giaotiep_PTATTNDL_LD167&amp;utm_campaign=Canada.Giaotiep.Videogiangday1_LHV.9822_MES_DungNT_080623" TargetMode="External"/><Relationship Id="rId247" Type="http://schemas.openxmlformats.org/officeDocument/2006/relationships/hyperlink" Target="https://patadovietnam.edu.vn/tienganhnguoidilam_dnt" TargetMode="External"/><Relationship Id="rId242" Type="http://schemas.openxmlformats.org/officeDocument/2006/relationships/hyperlink" Target="https://patadovietnam.edu.vn/tienganhpatado_d2/?utm_source=Facebook&amp;utm_medium=CVS&amp;utm_term=NEW_KoreaSouth_1840_none_070623&amp;utm_content=saletructiep_KoreaSouth.Anhsale10.1840.Giaotiep_PTATTNDL_LD152&amp;utm_campaign=KoreaSouth.Giaotiep.Anhsale10_LHV.9822_CVS_DungNT_070623" TargetMode="External"/><Relationship Id="rId241" Type="http://schemas.openxmlformats.org/officeDocument/2006/relationships/hyperlink" Target="https://patadovietnam.edu.vn/tienganhpatado_d2" TargetMode="External"/><Relationship Id="rId240" Type="http://schemas.openxmlformats.org/officeDocument/2006/relationships/hyperlink" Target="http://ldp.to/tienganhdilam_australia" TargetMode="External"/><Relationship Id="rId246" Type="http://schemas.openxmlformats.org/officeDocument/2006/relationships/hyperlink" Target="http://ldp.to/tienganhdilam_Aus" TargetMode="External"/><Relationship Id="rId245" Type="http://schemas.openxmlformats.org/officeDocument/2006/relationships/hyperlink" Target="https://patadovietnam.edu.vn/tienganhnguoidilam_dnt/?utm_source=Facebook&amp;utm_medium=MES&amp;utm_term=NEW_Australia_2555_none_080623&amp;utm_content=saletructiep_Australia.Videogiangday1.2555.Giaotiep_PTATTNDL_LD167&amp;utm_campaign=Australia.Giaotiep.Videogiangday1_LHV.9822_MES_DungNT_080623" TargetMode="External"/><Relationship Id="rId244" Type="http://schemas.openxmlformats.org/officeDocument/2006/relationships/hyperlink" Target="https://patadovietnam.edu.vn/tienganhnguoidilam_dnt" TargetMode="External"/><Relationship Id="rId243" Type="http://schemas.openxmlformats.org/officeDocument/2006/relationships/hyperlink" Target="http://ldp.to/tienganhkorea_070623" TargetMode="External"/><Relationship Id="rId239" Type="http://schemas.openxmlformats.org/officeDocument/2006/relationships/hyperlink" Target="https://patadovietnam.edu.vn/tienganhnguoidilam_dnt/?utm_source=Facebook&amp;utm_medium=MES&amp;utm_term=NEW_Australia_2055_none_030623&amp;utm_content=saletructiep_Australia.Anhsale13.2055.Giaotiep_PTATTNDL_LD167&amp;utm_campaign=Australia.Giaotiep.Anhsale13_LHV.9822_MES_DungNT_030623" TargetMode="External"/><Relationship Id="rId238" Type="http://schemas.openxmlformats.org/officeDocument/2006/relationships/hyperlink" Target="https://patadovietnam.edu.vn/tienganhnguoidilam_dnt" TargetMode="External"/><Relationship Id="rId237" Type="http://schemas.openxmlformats.org/officeDocument/2006/relationships/hyperlink" Target="http://ldp.to/tienganhdilam_hoaky" TargetMode="External"/><Relationship Id="rId236" Type="http://schemas.openxmlformats.org/officeDocument/2006/relationships/hyperlink" Target="https://patadovietnam.edu.vn/tienganhnguoidilam_dnt/?utm_source=Facebook&amp;utm_medium=MES&amp;utm_term=NEW_UnitedStates_2555_none_030623&amp;utm_content=saletructiep_UnitedStates.Anhsale13.2555.Giaotiep_PTATTNDL_LD167&amp;utm_campaign=UnitedStates.Giaotiep.Anhsale13_LHV.9822_MES_DungNT_030623" TargetMode="External"/><Relationship Id="rId231" Type="http://schemas.openxmlformats.org/officeDocument/2006/relationships/hyperlink" Target="http://ldp.to/tienganhdilam_europe" TargetMode="External"/><Relationship Id="rId230" Type="http://schemas.openxmlformats.org/officeDocument/2006/relationships/hyperlink" Target="https://patadovietnam.edu.vn/tienganhnguoidilam_dnt/?utm_source=Facebook&amp;utm_medium=CVS&amp;utm_term=NEW_Europe_2055_none_020623&amp;utm_content=saletructiep_Europe.Anhsale12.2055.Giaotiep_PTATTNDL_LD167&amp;utm_campaign=Europe.Giaotiep.Anhsale12_LHV.9822_CVS_DungNT_020623" TargetMode="External"/><Relationship Id="rId235" Type="http://schemas.openxmlformats.org/officeDocument/2006/relationships/hyperlink" Target="https://patadovietnam.edu.vn/tienganhnguoidilam_dnt" TargetMode="External"/><Relationship Id="rId234" Type="http://schemas.openxmlformats.org/officeDocument/2006/relationships/hyperlink" Target="http://ldp.to/tienganhdilam_canada" TargetMode="External"/><Relationship Id="rId233" Type="http://schemas.openxmlformats.org/officeDocument/2006/relationships/hyperlink" Target="https://patadovietnam.edu.vn/tienganhnguoidilam_dnt/?utm_source=Facebook&amp;utm_medium=MES&amp;utm_term=NEW_Canada_2555_none_030623&amp;utm_content=saletructiep_Canada.Anhsale13.2555.Giaotiep_PTATTNDL_LD167&amp;utm_campaign=Canada.Giaotiep.Anhsale13_LHV.9822_MES_DungNT_030623" TargetMode="External"/><Relationship Id="rId232" Type="http://schemas.openxmlformats.org/officeDocument/2006/relationships/hyperlink" Target="https://patadovietnam.edu.vn/tienganhnguoidilam_dnt" TargetMode="External"/><Relationship Id="rId206" Type="http://schemas.openxmlformats.org/officeDocument/2006/relationships/hyperlink" Target="https://patadovietnam.edu.vn/tienganhpatado_d2/?utm_source=Facebook&amp;utm_medium=LEAD&amp;utm_term=NEW_KoreaSouth_1840_none_160423&amp;utm_content=saletructiep_KoreaSouth.Anhsale13.1840.Giaotiep_PTATT_LD152&amp;utm_campaign=KoreaSouth.Giaotiep.Anhsale13_LHV.9822_LEAD_DungNT_160423" TargetMode="External"/><Relationship Id="rId205" Type="http://schemas.openxmlformats.org/officeDocument/2006/relationships/hyperlink" Target="https://patadovietnam.edu.vn/tienganhpatado_d2" TargetMode="External"/><Relationship Id="rId204" Type="http://schemas.openxmlformats.org/officeDocument/2006/relationships/hyperlink" Target="http://ldp.to/tienganhjapanlead_dnt" TargetMode="External"/><Relationship Id="rId203" Type="http://schemas.openxmlformats.org/officeDocument/2006/relationships/hyperlink" Target="https://patadovietnam.edu.vn/tienganhpatado_d2/?utm_source=Facebook&amp;utm_medium=LEAD&amp;utm_term=NEW_Japan_1840_none_160423&amp;utm_content=saletructiep_Japan.Anhsale13.1840.Giaotiep_PTATT_LD152&amp;utm_campaign=Japan.Giaotiep.Anhsale13_LHV.9822_LEAD_DungNT_160423" TargetMode="External"/><Relationship Id="rId209" Type="http://schemas.openxmlformats.org/officeDocument/2006/relationships/hyperlink" Target="https://patadovietnam.edu.vn/tienganhpatado_d2/?utm_source=Facebook&amp;utm_medium=LEAD&amp;utm_term=NEW_Japan_1840_none_190423&amp;utm_content=saletructiep_Japan.Anhsale13.1840.Giaotiep_PTATT_LD152&amp;utm_campaign=Japan.Giaotiep.Anhsale13_LHV.9822_LEAD_DungNT_190423" TargetMode="External"/><Relationship Id="rId208" Type="http://schemas.openxmlformats.org/officeDocument/2006/relationships/hyperlink" Target="https://patadovietnam.edu.vn/tienganhpatado_d2" TargetMode="External"/><Relationship Id="rId207" Type="http://schemas.openxmlformats.org/officeDocument/2006/relationships/hyperlink" Target="http://ldp.to/tienganhkorealead_dnt" TargetMode="External"/><Relationship Id="rId202" Type="http://schemas.openxmlformats.org/officeDocument/2006/relationships/hyperlink" Target="https://patadovietnam.edu.vn/tienganhpatado_d2" TargetMode="External"/><Relationship Id="rId201" Type="http://schemas.openxmlformats.org/officeDocument/2006/relationships/hyperlink" Target="https://patadovietnam.edu.vn/tienganhusa_dntt/?utm_source=Facebook&amp;utm_medium=LEAD&amp;utm_term=NEW_UnitedStates_2555_none_160423&amp;utm_content=saletructiep_UnitedStates.Anhsale13.2555.Giaotiep_PTATTNDL_LD150&amp;utm_campaign=UnitedStates.Giaotiep.Anhsale13_LHV.9822_LEAD_DungNT_160423" TargetMode="External"/><Relationship Id="rId200" Type="http://schemas.openxmlformats.org/officeDocument/2006/relationships/hyperlink" Target="https://patadovietnam.edu.vn/tienganhusa_dntt/?utm_source=Facebook&amp;utm_medium=LEAD&amp;utm_term=NEW_UnitedStates_2555_none_160423&amp;utm_content=saletructiep_UnitedStates.Anhsale13.2555.Giaotiep_PTATTNDL_LD150&amp;utm_campaign=UnitedStates.Giaotiep.Anhsale13_LHV.9822_LEAD_DungNT_160423" TargetMode="External"/><Relationship Id="rId509" Type="http://schemas.openxmlformats.org/officeDocument/2006/relationships/hyperlink" Target="http://ldp.ink/tienganhvc_hoaky" TargetMode="External"/><Relationship Id="rId508" Type="http://schemas.openxmlformats.org/officeDocument/2006/relationships/hyperlink" Target="https://patadovietnam.edu.vn/tienganhpatado_d1/?utm_source=Facebook&amp;utm_medium=MES&amp;utm_term=NEW_UnitedStates_2055_none_051023&amp;utm_content=saletructiep_UnitedStates.anhht.2055.Giaotiep_PTATTNDL_LD144&amp;utm_campaign=UnitedStates.Giaotiep.anhvc_LHV.9822_MES_DungNT_051023" TargetMode="External"/><Relationship Id="rId503" Type="http://schemas.openxmlformats.org/officeDocument/2006/relationships/hyperlink" Target="http://ldp.ink/tienganhht_japan" TargetMode="External"/><Relationship Id="rId502" Type="http://schemas.openxmlformats.org/officeDocument/2006/relationships/hyperlink" Target="https://patadovietnam.edu.vn/tienganhnguoidilamjapann/?utm_source=Facebook&amp;utm_medium=CVS&amp;utm_term=NEW_Japan_1840_none_051023&amp;utm_content=saletructiep_Japan.anhht.1840.Giaotiep_PTATDNDL_LD182&amp;utm_campaign=Japan.Giaotiep.anhht_LHV.9822_CVS_DungNT_051023" TargetMode="External"/><Relationship Id="rId501" Type="http://schemas.openxmlformats.org/officeDocument/2006/relationships/hyperlink" Target="https://patadovietnam.edu.vn/tienganhnguoidilamjapann" TargetMode="External"/><Relationship Id="rId500" Type="http://schemas.openxmlformats.org/officeDocument/2006/relationships/hyperlink" Target="http://ldp.ink/tienganhht_australia" TargetMode="External"/><Relationship Id="rId507" Type="http://schemas.openxmlformats.org/officeDocument/2006/relationships/hyperlink" Target="https://patadovietnam.edu.vn/tienganhpatado_d1" TargetMode="External"/><Relationship Id="rId506" Type="http://schemas.openxmlformats.org/officeDocument/2006/relationships/hyperlink" Target="http://ldp.ink/tienganhht_korea" TargetMode="External"/><Relationship Id="rId505" Type="http://schemas.openxmlformats.org/officeDocument/2006/relationships/hyperlink" Target="https://patadovietnam.edu.vn/tienganhnguoidilamkoreaa/?utm_source=Facebook&amp;utm_medium=CVS&amp;utm_term=NEW_KoreaSouth_1840_none_051023&amp;utm_content=saletructiep_KoreaSouth.anhht.1840.Giaotiep_PTATDNDL_LD181&amp;utm_campaign=KoreaSouth.Giaotiep.anhht_LHV.9822_CVS_DungNT_051023" TargetMode="External"/><Relationship Id="rId504" Type="http://schemas.openxmlformats.org/officeDocument/2006/relationships/hyperlink" Target="https://patadovietnam.edu.vn/tienganhnguoidilamkoreaa" TargetMode="External"/><Relationship Id="rId525" Type="http://schemas.openxmlformats.org/officeDocument/2006/relationships/hyperlink" Target="https://patadovietnam.edu.vn/tienganhpatado_d1" TargetMode="External"/><Relationship Id="rId524" Type="http://schemas.openxmlformats.org/officeDocument/2006/relationships/hyperlink" Target="http://ldp.ink/tienganhht_singapore" TargetMode="External"/><Relationship Id="rId523" Type="http://schemas.openxmlformats.org/officeDocument/2006/relationships/hyperlink" Target="https://patadovietnam.edu.vn/tienganhnguoidilam_ptatdndl/?utm_source=Facebook&amp;utm_medium=MES&amp;utm_term=NEW_Singapore_2045_none_051023&amp;utm_content=saletructiep_Singapore.anhht.2045.Giaotiep_PTATDNDL_LD184&amp;utm_campaign=Singapore.Giaotiep.anhht_LHV.9822_MES_DungNT_051023" TargetMode="External"/><Relationship Id="rId522" Type="http://schemas.openxmlformats.org/officeDocument/2006/relationships/hyperlink" Target="https://patadovietnam.edu.vn/tienganhnguoidilam_ptatdndl" TargetMode="External"/><Relationship Id="rId529" Type="http://schemas.openxmlformats.org/officeDocument/2006/relationships/hyperlink" Target="https://patadovietnam.edu.vn/tienganhpatado_d1/?utm_source=Facebook&amp;utm_medium=MES&amp;utm_term=NEW_Philippines_2045_none_051023&amp;utm_content=saletructiep_Philippines.anhvc.2055.Giaotiep_PTATTNDL_LD144&amp;utm_campaign=Philippines.Giaotiep.anhvc_LHV.9822_MES_DungNT_051023" TargetMode="External"/><Relationship Id="rId528" Type="http://schemas.openxmlformats.org/officeDocument/2006/relationships/hyperlink" Target="https://patadovietnam.edu.vn/tienganhpatado_d1" TargetMode="External"/><Relationship Id="rId527" Type="http://schemas.openxmlformats.org/officeDocument/2006/relationships/hyperlink" Target="http://ldp.ink/tienganhvc_taiwan" TargetMode="External"/><Relationship Id="rId526" Type="http://schemas.openxmlformats.org/officeDocument/2006/relationships/hyperlink" Target="https://patadovietnam.edu.vn/tienganhpatado_d1/?utm_source=Facebook&amp;utm_medium=MES&amp;utm_term=NEW_Taiwan_2045_none_051023&amp;utm_content=saletructiep_Taiwan.anhvc.2055.Giaotiep_PTATTNDL_LD144&amp;utm_campaign=Taiwan.Giaotiep.anhvc_LHV.9822_MES_DungNT_051023" TargetMode="External"/><Relationship Id="rId521" Type="http://schemas.openxmlformats.org/officeDocument/2006/relationships/hyperlink" Target="http://ldp.ink/tienganhht_philippines" TargetMode="External"/><Relationship Id="rId520" Type="http://schemas.openxmlformats.org/officeDocument/2006/relationships/hyperlink" Target="https://patadovietnam.edu.vn/tienganhnguoidilam_ptatdndl/?utm_source=Facebook&amp;utm_medium=MES&amp;utm_term=NEW_Philippines_2045_none_051023&amp;utm_content=saletructiep_Philippines.anhht.2045.Giaotiep_PTATDNDL_LD184&amp;utm_campaign=Philippines.Giaotiep.anhht_LHV.9822_MES_DungNT_051023" TargetMode="External"/><Relationship Id="rId519" Type="http://schemas.openxmlformats.org/officeDocument/2006/relationships/hyperlink" Target="https://patadovietnam.edu.vn/tienganhnguoidilam_ptatdndl" TargetMode="External"/><Relationship Id="rId514" Type="http://schemas.openxmlformats.org/officeDocument/2006/relationships/hyperlink" Target="https://patadovietnam.edu.vn/tienganhpatado_d1/?utm_source=Facebook&amp;utm_medium=MES&amp;utm_term=NEW_Australia_2055_none_051023&amp;utm_content=saletructiep_Australia.anhht.2055.Giaotiep_PTATTNDL_LD144&amp;utm_campaign=Australia.Giaotiep.anhvc_LHV.9822_MES_DungNT_051023" TargetMode="External"/><Relationship Id="rId513" Type="http://schemas.openxmlformats.org/officeDocument/2006/relationships/hyperlink" Target="https://patadovietnam.edu.vn/tienganhpatado_d1" TargetMode="External"/><Relationship Id="rId512" Type="http://schemas.openxmlformats.org/officeDocument/2006/relationships/hyperlink" Target="http://ldp.ink/tienganhvc_canada" TargetMode="External"/><Relationship Id="rId511" Type="http://schemas.openxmlformats.org/officeDocument/2006/relationships/hyperlink" Target="https://patadovietnam.edu.vn/tienganhpatado_d1/?utm_source=Facebook&amp;utm_medium=MES&amp;utm_term=NEW_Canada_2055_none_051023&amp;utm_content=saletructiep_Canada.anhht.2055.Giaotiep_PTATTNDL_LD144&amp;utm_campaign=Canada.Giaotiep.anhvc_LHV.9822_MES_DungNT_051023" TargetMode="External"/><Relationship Id="rId518" Type="http://schemas.openxmlformats.org/officeDocument/2006/relationships/hyperlink" Target="http://ldp.ink/tienganhht_taiwan" TargetMode="External"/><Relationship Id="rId517" Type="http://schemas.openxmlformats.org/officeDocument/2006/relationships/hyperlink" Target="https://patadovietnam.edu.vn/tienganhnguoidilam_ptatdndl/?utm_source=Facebook&amp;utm_medium=MES&amp;utm_term=NEW_Taiwan_2045_none_051023&amp;utm_content=saletructiep_Taiwan.anhht.2045.Giaotiep_PTATDNDL_LD184&amp;utm_campaign=Taiwan.Giaotiep.anhht_LHV.9822_MES_DungNT_051023" TargetMode="External"/><Relationship Id="rId516" Type="http://schemas.openxmlformats.org/officeDocument/2006/relationships/hyperlink" Target="https://patadovietnam.edu.vn/tienganhnguoidilam_ptatdndl" TargetMode="External"/><Relationship Id="rId515" Type="http://schemas.openxmlformats.org/officeDocument/2006/relationships/hyperlink" Target="http://ldp.ink/tienganhvc_australia" TargetMode="External"/><Relationship Id="rId510" Type="http://schemas.openxmlformats.org/officeDocument/2006/relationships/hyperlink" Target="https://patadovietnam.edu.vn/tienganhpatado_d1" TargetMode="External"/><Relationship Id="rId590" Type="http://schemas.openxmlformats.org/officeDocument/2006/relationships/hyperlink" Target="http://ldp.ink/tienganhndl_japan" TargetMode="External"/><Relationship Id="rId589" Type="http://schemas.openxmlformats.org/officeDocument/2006/relationships/hyperlink" Target="https://patadovietnam.edu.vn/tienganhnguoidilam_dnt/?utm_source=Facebook&amp;utm_medium=CVS&amp;utm_term=NEW_Japan_1840_none_191023&amp;utm_content=saletructiep_Japan.Anhndl.1840.Giaotiep_PTATTNDL_LD167&amp;utm_campaign=Japan.Giaotiep.Anhndl_LHV.9822_CVS_DungNT_191023" TargetMode="External"/><Relationship Id="rId588" Type="http://schemas.openxmlformats.org/officeDocument/2006/relationships/hyperlink" Target="https://patadovietnam.edu.vn/tienganhnguoidilam_dnt" TargetMode="External"/><Relationship Id="rId583" Type="http://schemas.openxmlformats.org/officeDocument/2006/relationships/hyperlink" Target="https://patadovietnam.edu.vn/tienganhnguoidilamkorea/?utm_source=Facebook&amp;utm_medium=CVS&amp;utm_term=NEW_KoreaSouth_1840_none_121023&amp;utm_content=saletructiep_KoreaSouth.Anhaz.1840.Giaotiep_PTATTNDL_LD174&amp;utm_campaign=KoreaSouth.Giaotiep.Anhaz_LHV.9822_CVS_DungNT_121023" TargetMode="External"/><Relationship Id="rId582" Type="http://schemas.openxmlformats.org/officeDocument/2006/relationships/hyperlink" Target="https://patadovietnam.edu.vn/tienganhnguoidilamkorea" TargetMode="External"/><Relationship Id="rId581" Type="http://schemas.openxmlformats.org/officeDocument/2006/relationships/hyperlink" Target="http://ldp.ink/tienganhaz_australia" TargetMode="External"/><Relationship Id="rId580" Type="http://schemas.openxmlformats.org/officeDocument/2006/relationships/hyperlink" Target="https://patadovietnam.edu.vn/tienganhnguoidilam_ptatdndl/?utm_source=Facebook&amp;utm_medium=MES&amp;utm_term=NEW_Australia_2055_none_161023&amp;utm_content=saletructiep_Australia.Anhaz.2055.Giaotiep_PTATTNDL_LD184&amp;utm_campaign=Australia.Giaotiep.Anhaz_LHV.9822_MES_DungNT_161023" TargetMode="External"/><Relationship Id="rId587" Type="http://schemas.openxmlformats.org/officeDocument/2006/relationships/hyperlink" Target="http://ldp.ink/tienganhndl_korea" TargetMode="External"/><Relationship Id="rId586" Type="http://schemas.openxmlformats.org/officeDocument/2006/relationships/hyperlink" Target="https://patadovietnam.edu.vn/tienganhnguoidilamkorea/?utm_source=Facebook&amp;utm_medium=CVS&amp;utm_term=NEW_KoreaSouth_1840_none_191023&amp;utm_content=saletructiep_KoreaSouth.Anhndl.1840.Giaotiep_PTATTNDL_LD174&amp;utm_campaign=KoreaSouth.Giaotiep.Anhndl_LHV.9822_CVS_DungNT_191023" TargetMode="External"/><Relationship Id="rId585" Type="http://schemas.openxmlformats.org/officeDocument/2006/relationships/hyperlink" Target="https://patadovietnam.edu.vn/tienganhnguoidilamkorea" TargetMode="External"/><Relationship Id="rId584" Type="http://schemas.openxmlformats.org/officeDocument/2006/relationships/hyperlink" Target="http://ldp.ink/tienganhaz_korea" TargetMode="External"/><Relationship Id="rId579" Type="http://schemas.openxmlformats.org/officeDocument/2006/relationships/hyperlink" Target="https://patadovietnam.edu.vn/tienganhnguoidilam_ptatdndl" TargetMode="External"/><Relationship Id="rId578" Type="http://schemas.openxmlformats.org/officeDocument/2006/relationships/hyperlink" Target="http://ldp.ink/tienganhtim_canada" TargetMode="External"/><Relationship Id="rId577" Type="http://schemas.openxmlformats.org/officeDocument/2006/relationships/hyperlink" Target="https://patadovietnam.edu.vn/tienganhnguoidilam_ptatdndl/?utm_source=Facebook&amp;utm_medium=MES&amp;utm_term=NEW_Canada_2055_none_131023&amp;utm_content=saletructiep_Canada.anhtim.2055.Giaotiep_PTATDNDL_LD184&amp;utm_campaign=Canada.Giaotiep.anhtim_LHV.9822_MES_DungNT_131023" TargetMode="External"/><Relationship Id="rId572" Type="http://schemas.openxmlformats.org/officeDocument/2006/relationships/hyperlink" Target="http://ldp.ink/tienganhtim_dailoan" TargetMode="External"/><Relationship Id="rId571" Type="http://schemas.openxmlformats.org/officeDocument/2006/relationships/hyperlink" Target="https://patadovietnam.edu.vn/tienganhnguoidilam_ptatdndl/?utm_source=Facebook&amp;utm_medium=MES&amp;utm_term=NEW_Taiwan_2045_none_131023&amp;utm_content=saletructiep_Taiwan.anhtim.2045.Giaotiep_PTATDNDL_LD184&amp;utm_campaign=Taiwan.Giaotiep.anhtim_LHV.9822_MES_DungNT_131023" TargetMode="External"/><Relationship Id="rId570" Type="http://schemas.openxmlformats.org/officeDocument/2006/relationships/hyperlink" Target="https://patadovietnam.edu.vn/tienganhnguoidilam_ptatdndl" TargetMode="External"/><Relationship Id="rId576" Type="http://schemas.openxmlformats.org/officeDocument/2006/relationships/hyperlink" Target="https://patadovietnam.edu.vn/tienganhnguoidilam_ptatdndl" TargetMode="External"/><Relationship Id="rId575" Type="http://schemas.openxmlformats.org/officeDocument/2006/relationships/hyperlink" Target="http://ldp.ink/tienganhtim_hoaky" TargetMode="External"/><Relationship Id="rId574" Type="http://schemas.openxmlformats.org/officeDocument/2006/relationships/hyperlink" Target="https://patadovietnam.edu.vn/tienganhnguoidilam_ptatdndl/?utm_source=Facebook&amp;utm_medium=MES&amp;utm_term=NEW_UnitedStates_2055_none_131023&amp;utm_content=saletructiep_UnitedStates.anhtim.2055.Giaotiep_PTATDNDL_LD184&amp;utm_campaign=UnitedStates.Giaotiep.anhtim_LHV.9822_MES_DungNT_131023" TargetMode="External"/><Relationship Id="rId573" Type="http://schemas.openxmlformats.org/officeDocument/2006/relationships/hyperlink" Target="https://patadovietnam.edu.vn/tienganhnguoidilam_ptatdndl" TargetMode="External"/><Relationship Id="rId599" Type="http://schemas.openxmlformats.org/officeDocument/2006/relationships/hyperlink" Target="http://ldp.ink/tienganhndl_canada" TargetMode="External"/><Relationship Id="rId594" Type="http://schemas.openxmlformats.org/officeDocument/2006/relationships/hyperlink" Target="https://patadovietnam.edu.vn/tienganhnguoidilam_ptatdndl" TargetMode="External"/><Relationship Id="rId593" Type="http://schemas.openxmlformats.org/officeDocument/2006/relationships/hyperlink" Target="http://ldp.ink/tienganhndl_dailoan" TargetMode="External"/><Relationship Id="rId592" Type="http://schemas.openxmlformats.org/officeDocument/2006/relationships/hyperlink" Target="https://patadovietnam.edu.vn/tienganhpatado_ptatdndl/?utm_source=Facebook&amp;utm_medium=MES&amp;utm_term=NEW_Taiwan_2045_none_191023&amp;utm_content=saletructiep_Taiwan.anhndl.2045.Giaotiep_PTATDNDL_LD183&amp;utm_campaign=Taiwan.Giaotiep.anhndl_LHV.9822_MES_DungNT_191023" TargetMode="External"/><Relationship Id="rId591" Type="http://schemas.openxmlformats.org/officeDocument/2006/relationships/hyperlink" Target="https://patadovietnam.edu.vn/tienganhpatado_ptatdndl" TargetMode="External"/><Relationship Id="rId598" Type="http://schemas.openxmlformats.org/officeDocument/2006/relationships/hyperlink" Target="https://patadovietnam.edu.vn/tienganhpatado_ptatdndl/?utm_source=Facebook&amp;utm_medium=MES&amp;utm_term=NEW_Canada_2055_none_211023&amp;utm_content=saletructiep_Canada.anhndl.2045.Giaotiep_PTATDNDL_LD183&amp;utm_campaign=Canada.Giaotiep.anhndl_LHV.9822_MES_DungNT_211023" TargetMode="External"/><Relationship Id="rId597" Type="http://schemas.openxmlformats.org/officeDocument/2006/relationships/hyperlink" Target="https://patadovietnam.edu.vn/tienganhpatado_ptatdndl" TargetMode="External"/><Relationship Id="rId596" Type="http://schemas.openxmlformats.org/officeDocument/2006/relationships/hyperlink" Target="http://ldp.ink/tienganhndl_hoaky" TargetMode="External"/><Relationship Id="rId595" Type="http://schemas.openxmlformats.org/officeDocument/2006/relationships/hyperlink" Target="https://patadovietnam.edu.vn/tienganhnguoidilam_ptatdndl/?utm_source=Facebook&amp;utm_medium=MES&amp;utm_term=NEW_UnitedStates_2055_none_211023&amp;utm_content=saletructiep_UnitedStates.anhndl.2045.Giaotiep_PTATDNDL_LD184&amp;utm_campaign=UnitedStates.Giaotiep.anhndl_LHV.9822_MES_DungNT_211023" TargetMode="External"/><Relationship Id="rId547" Type="http://schemas.openxmlformats.org/officeDocument/2006/relationships/hyperlink" Target="https://patadovietnam.edu.vn/tienganhnguoidilamjapann/?utm_source=Facebook&amp;utm_medium=CVS&amp;utm_term=NEW_Japan_1840_none_071023&amp;utm_content=saletructiep_Japan.anhht.1840.Giaotiep_PTATDNDL_LD182&amp;utm_campaign=Japan.Giaotiep.anhht_LHV.9822_CVS_DungNT_071023" TargetMode="External"/><Relationship Id="rId546" Type="http://schemas.openxmlformats.org/officeDocument/2006/relationships/hyperlink" Target="https://patadovietnam.edu.vn/tienganhnguoidilamjapann" TargetMode="External"/><Relationship Id="rId545" Type="http://schemas.openxmlformats.org/officeDocument/2006/relationships/hyperlink" Target="http://ldp.ink/tienganhmgta_korea" TargetMode="External"/><Relationship Id="rId544" Type="http://schemas.openxmlformats.org/officeDocument/2006/relationships/hyperlink" Target="https://patadovietnam.edu.vn/tienganhpatado_d1/?utm_source=Facebook&amp;utm_medium=CVS&amp;utm_term=NEW_KoreaSouth_1840_none_071023&amp;utm_content=saletructiep_KoreaSouth.anhmgta.1840.Giaotiep_PTATDNDL_LD144&amp;utm_campaign=KoreaSouth.Giaotiep.anhmgta_LHV.9822_CVS_DungNT_071023" TargetMode="External"/><Relationship Id="rId549" Type="http://schemas.openxmlformats.org/officeDocument/2006/relationships/hyperlink" Target="https://patadovietnam.edu.vn/tienganhnguoidilamkoreaa" TargetMode="External"/><Relationship Id="rId548" Type="http://schemas.openxmlformats.org/officeDocument/2006/relationships/hyperlink" Target="http://ldp.ink/tienganhht_japan" TargetMode="External"/><Relationship Id="rId543" Type="http://schemas.openxmlformats.org/officeDocument/2006/relationships/hyperlink" Target="https://patadovietnam.edu.vn/tienganhpatado_d1" TargetMode="External"/><Relationship Id="rId542" Type="http://schemas.openxmlformats.org/officeDocument/2006/relationships/hyperlink" Target="http://ldp.ink/tienganhmgta_japan" TargetMode="External"/><Relationship Id="rId541" Type="http://schemas.openxmlformats.org/officeDocument/2006/relationships/hyperlink" Target="https://patadovietnam.edu.vn/tienganhpatado_d1/?utm_source=Facebook&amp;utm_medium=CVS&amp;utm_term=NEW_Japan_1840_none_071023&amp;utm_content=saletructiep_Japan.anhmgta.1840.Giaotiep_PTATDNDL_LD144&amp;utm_campaign=Japan.Giaotiep.anhmgta_LHV.9822_CVS_DungNT_071023" TargetMode="External"/><Relationship Id="rId540" Type="http://schemas.openxmlformats.org/officeDocument/2006/relationships/hyperlink" Target="https://patadovietnam.edu.vn/tienganhpatado_d1" TargetMode="External"/><Relationship Id="rId536" Type="http://schemas.openxmlformats.org/officeDocument/2006/relationships/hyperlink" Target="http://ldp.ink/tienganhvc_japan" TargetMode="External"/><Relationship Id="rId535" Type="http://schemas.openxmlformats.org/officeDocument/2006/relationships/hyperlink" Target="https://patadovietnam.edu.vn/tienganhpatado_d1/?utm_source=Facebook&amp;utm_medium=CVS&amp;utm_term=NEW_Japan_1840_none_051023&amp;utm_content=saletructiep_Japan.anhvc.1840.Giaotiep_PTATDNDL_LD144&amp;utm_campaign=Japan.Giaotiep.anhvc_LHV.9822_CVS_DungNT_051023" TargetMode="External"/><Relationship Id="rId534" Type="http://schemas.openxmlformats.org/officeDocument/2006/relationships/hyperlink" Target="https://patadovietnam.edu.vn/tienganhpatado_d1" TargetMode="External"/><Relationship Id="rId533" Type="http://schemas.openxmlformats.org/officeDocument/2006/relationships/hyperlink" Target="http://ldp.ink/tienganhvc_singapore" TargetMode="External"/><Relationship Id="rId539" Type="http://schemas.openxmlformats.org/officeDocument/2006/relationships/hyperlink" Target="http://ldp.ink/tienganhvc_korea" TargetMode="External"/><Relationship Id="rId538" Type="http://schemas.openxmlformats.org/officeDocument/2006/relationships/hyperlink" Target="https://patadovietnam.edu.vn/tienganhpatado_d1/?utm_source=Facebook&amp;utm_medium=CVS&amp;utm_term=NEW_KoreaSouth_1840_none_051023&amp;utm_content=saletructiep_KoreaSouth.anhvc.1840.Giaotiep_PTATDNDL_LD144&amp;utm_campaign=KoreaSouth.Giaotiep.anhvc_LHV.9822_CVS_DungNT_051023" TargetMode="External"/><Relationship Id="rId537" Type="http://schemas.openxmlformats.org/officeDocument/2006/relationships/hyperlink" Target="https://patadovietnam.edu.vn/tienganhpatado_d1" TargetMode="External"/><Relationship Id="rId532" Type="http://schemas.openxmlformats.org/officeDocument/2006/relationships/hyperlink" Target="https://patadovietnam.edu.vn/tienganhpatado_d1/?utm_source=Facebook&amp;utm_medium=MES&amp;utm_term=NEW_Singapore_2045_none_051023&amp;utm_content=saletructiep_Singapore.anhvc.2055.Giaotiep_PTATTNDL_LD144&amp;utm_campaign=Singapore.Giaotiep.anhvc_LHV.9822_MES_DungNT_051023" TargetMode="External"/><Relationship Id="rId531" Type="http://schemas.openxmlformats.org/officeDocument/2006/relationships/hyperlink" Target="https://patadovietnam.edu.vn/tienganhpatado_d1" TargetMode="External"/><Relationship Id="rId530" Type="http://schemas.openxmlformats.org/officeDocument/2006/relationships/hyperlink" Target="http://ldp.ink/tienganhvc_philippines" TargetMode="External"/><Relationship Id="rId569" Type="http://schemas.openxmlformats.org/officeDocument/2006/relationships/hyperlink" Target="http://ldp.ink/tienganhtim_singapore" TargetMode="External"/><Relationship Id="rId568" Type="http://schemas.openxmlformats.org/officeDocument/2006/relationships/hyperlink" Target="https://patadovietnam.edu.vn/tienganhnguoidilam_ptatdndl/?utm_source=Facebook&amp;utm_medium=MES&amp;utm_term=NEW_Singapore_2045_none_131023&amp;utm_content=saletructiep_Singapore.anhtim.2045.Giaotiep_PTATDNDL_LD184&amp;utm_campaign=Singapore.Giaotiep.anhtim_LHV.9822_MES_DungNT_131023" TargetMode="External"/><Relationship Id="rId567" Type="http://schemas.openxmlformats.org/officeDocument/2006/relationships/hyperlink" Target="https://patadovietnam.edu.vn/tienganhnguoidilam_ptatdndl" TargetMode="External"/><Relationship Id="rId566" Type="http://schemas.openxmlformats.org/officeDocument/2006/relationships/hyperlink" Target="http://ldp.ink/tienganhtim_philippines" TargetMode="External"/><Relationship Id="rId561" Type="http://schemas.openxmlformats.org/officeDocument/2006/relationships/hyperlink" Target="https://patadovietnam.edu.vn/tienganhnguoidilam_ptatdndl" TargetMode="External"/><Relationship Id="rId560" Type="http://schemas.openxmlformats.org/officeDocument/2006/relationships/hyperlink" Target="http://ldp.ink/tienganhtim_korea" TargetMode="External"/><Relationship Id="rId565" Type="http://schemas.openxmlformats.org/officeDocument/2006/relationships/hyperlink" Target="https://patadovietnam.edu.vn/tienganhnguoidilam_ptatdndl/?utm_source=Facebook&amp;utm_medium=MES&amp;utm_term=NEW_Philippines_2045_none_131023&amp;utm_content=saletructiep_Philippines.anhtim.2045.Giaotiep_PTATDNDL_LD184&amp;utm_campaign=Philippines.Giaotiep.anhtim_LHV.9822_MES_DungNT_131023" TargetMode="External"/><Relationship Id="rId564" Type="http://schemas.openxmlformats.org/officeDocument/2006/relationships/hyperlink" Target="https://patadovietnam.edu.vn/tienganhnguoidilam_ptatdndl" TargetMode="External"/><Relationship Id="rId563" Type="http://schemas.openxmlformats.org/officeDocument/2006/relationships/hyperlink" Target="http://ldp.ink/tienganhtim_australia" TargetMode="External"/><Relationship Id="rId562" Type="http://schemas.openxmlformats.org/officeDocument/2006/relationships/hyperlink" Target="https://patadovietnam.edu.vn/tienganhnguoidilam_ptatdndl/?utm_source=Facebook&amp;utm_medium=MES&amp;utm_term=NEW_Australia_2055_none_131023&amp;utm_content=saletructiep_Australia.anhtim.2055.Giaotiep_PTATTNDL_LD184&amp;utm_campaign=Australia.Giaotiep.anhtim_LHV.9822_MES_DungNT_131023" TargetMode="External"/><Relationship Id="rId558" Type="http://schemas.openxmlformats.org/officeDocument/2006/relationships/hyperlink" Target="https://patadovietnam.edu.vn/tienganhpatado_ptatdndl" TargetMode="External"/><Relationship Id="rId557" Type="http://schemas.openxmlformats.org/officeDocument/2006/relationships/hyperlink" Target="http://ldp.ink/tienganhtim_japan" TargetMode="External"/><Relationship Id="rId556" Type="http://schemas.openxmlformats.org/officeDocument/2006/relationships/hyperlink" Target="https://patadovietnam.edu.vn/tienganhpatado_ptatdndl/?utm_source=Facebook&amp;utm_medium=CVS&amp;utm_term=NEW_Japan_1840_none_121023&amp;utm_content=saletructiep_Japan.Anhtim.1840.Giaotiep_PTATDNDL_LD183&amp;utm_campaign=Japan.Giaotiep.Anhtim_LHV.9822_CVS_DungNT_121023" TargetMode="External"/><Relationship Id="rId555" Type="http://schemas.openxmlformats.org/officeDocument/2006/relationships/hyperlink" Target="https://patadovietnam.edu.vn/tienganhpatado_ptatdndl" TargetMode="External"/><Relationship Id="rId559" Type="http://schemas.openxmlformats.org/officeDocument/2006/relationships/hyperlink" Target="https://patadovietnam.edu.vn/tienganhpatado_ptatdndl/?utm_source=Facebook&amp;utm_medium=CVS&amp;utm_term=NEW_KoreaSouth_1840_none_121023&amp;utm_content=saletructiep_KoreaSouth.Anhtim.1840.Giaotiep_PTATDNDL_LD183&amp;utm_campaign=KoreaSouth.Giaotiep.Anhtim_LHV.9822_CVS_DungNT_121023" TargetMode="External"/><Relationship Id="rId550" Type="http://schemas.openxmlformats.org/officeDocument/2006/relationships/hyperlink" Target="https://patadovietnam.edu.vn/tienganhnguoidilamkoreaa/?utm_source=Facebook&amp;utm_medium=CVS&amp;utm_term=NEW_KoreaSouth_1840_none_071023&amp;utm_content=saletructiep_KoreaSouth.anhht.1840.Giaotiep_PTATDNDL_LD181&amp;utm_campaign=KoreaSouth.Giaotiep.anhht_LHV.9822_CVS_DungNT_071023" TargetMode="External"/><Relationship Id="rId554" Type="http://schemas.openxmlformats.org/officeDocument/2006/relationships/hyperlink" Target="http://ldp.to/tienganhdilam_japan" TargetMode="External"/><Relationship Id="rId553" Type="http://schemas.openxmlformats.org/officeDocument/2006/relationships/hyperlink" Target="https://patadovietnam.edu.vn/tienganhnguoidilam_dnt/?utm_source=Facebook&amp;utm_medium=CVS&amp;utm_term=NEW_Japan_1840_none_111023&amp;utm_content=saletructiep_Japan.Anhsale13.1840.Giaotiep_PTATTNDL_LD167&amp;utm_campaign=Japan.Giaotiep.Anhsale13_LHV.9822_CVS_DungNT_111023" TargetMode="External"/><Relationship Id="rId552" Type="http://schemas.openxmlformats.org/officeDocument/2006/relationships/hyperlink" Target="https://patadovietnam.edu.vn/tienganhnguoidilam_dnt" TargetMode="External"/><Relationship Id="rId551" Type="http://schemas.openxmlformats.org/officeDocument/2006/relationships/hyperlink" Target="http://ldp.ink/tienganhht_korea" TargetMode="External"/><Relationship Id="rId495" Type="http://schemas.openxmlformats.org/officeDocument/2006/relationships/hyperlink" Target="https://patadovietnam.edu.vn/tienganhnguoidilam_ptatdndl" TargetMode="External"/><Relationship Id="rId494" Type="http://schemas.openxmlformats.org/officeDocument/2006/relationships/hyperlink" Target="http://ldp.ink/tienganhht_hoaky" TargetMode="External"/><Relationship Id="rId493" Type="http://schemas.openxmlformats.org/officeDocument/2006/relationships/hyperlink" Target="https://patadovietnam.edu.vn/tienganhnguoidilam_ptatdndl/?utm_source=Facebook&amp;utm_medium=MES&amp;utm_term=NEW_UnitedStates_2055_none_051023&amp;utm_content=saletructiep_UnitedStates.anhht.2055.Giaotiep_PTATDNDL_LD184&amp;utm_campaign=UnitedStates.Giaotiep.anhht_LHV.9822_MES_DungNT_051023" TargetMode="External"/><Relationship Id="rId492" Type="http://schemas.openxmlformats.org/officeDocument/2006/relationships/hyperlink" Target="https://patadovietnam.edu.vn/tienganhnguoidilam_ptatdndl" TargetMode="External"/><Relationship Id="rId499" Type="http://schemas.openxmlformats.org/officeDocument/2006/relationships/hyperlink" Target="https://patadovietnam.edu.vn/tienganhnguoidilam_ptatdndl/?utm_source=Facebook&amp;utm_medium=MES&amp;utm_term=NEW_Australia_2055_none_051023&amp;utm_content=saletructiep_Australia.anhht.2055.Giaotiep_PTATDNDL_LD184&amp;utm_campaign=Australia.Giaotiep.anhht_LHV.9822_MES_DungNT_051023" TargetMode="External"/><Relationship Id="rId498" Type="http://schemas.openxmlformats.org/officeDocument/2006/relationships/hyperlink" Target="https://patadovietnam.edu.vn/tienganhnguoidilam_ptatdndl" TargetMode="External"/><Relationship Id="rId497" Type="http://schemas.openxmlformats.org/officeDocument/2006/relationships/hyperlink" Target="http://ldp.ink/tienganhht_canada" TargetMode="External"/><Relationship Id="rId496" Type="http://schemas.openxmlformats.org/officeDocument/2006/relationships/hyperlink" Target="https://patadovietnam.edu.vn/tienganhnguoidilam_ptatdndl/?utm_source=Facebook&amp;utm_medium=MES&amp;utm_term=NEW_Canada_2055_none_051023&amp;utm_content=saletructiep_Canada.anhht.2055.Giaotiep_PTATDNDL_LD184&amp;utm_campaign=Canada.Giaotiep.anhht_LHV.9822_MES_DungNT_051023" TargetMode="External"/><Relationship Id="rId409" Type="http://schemas.openxmlformats.org/officeDocument/2006/relationships/hyperlink" Target="https://patadovietnam.edu.vn/tienganhnguoidilamjapann" TargetMode="External"/><Relationship Id="rId404" Type="http://schemas.openxmlformats.org/officeDocument/2006/relationships/hyperlink" Target="https://patadovietnam.edu.vn/tienganhnguoidilam_ptatdndl/?utm_source=Facebook&amp;utm_medium=MES&amp;utm_term=NEW_Philippines_2050_none_090923&amp;utm_content=saletructiep_Philippines.Anhkg.2050.Giaotiep_PTATDNDL_LD184&amp;utm_campaign=Philippines.Giaotiep.Anhkg_LHV.9822_MES_DungNT_090923" TargetMode="External"/><Relationship Id="rId403" Type="http://schemas.openxmlformats.org/officeDocument/2006/relationships/hyperlink" Target="https://patadovietnam.edu.vn/tienganhnguoidilam_ptatdndl" TargetMode="External"/><Relationship Id="rId402" Type="http://schemas.openxmlformats.org/officeDocument/2006/relationships/hyperlink" Target="https://patadovietnam.edu.vn/tienganhnguoidilamkoreaa/?utm_source=Facebook&amp;utm_medium=CVS&amp;utm_term=NEW_KoreaSouth_1840_none_070923&amp;utm_content=saletructiep_KoreaSouth.Anhbeaf.1840.Giaotiep_PTATDNDL_LD181&amp;utm_campaign=KoreaSouth.Giaotiep.Anhbeaf_LHV.9822_CVS_DungNT_070923" TargetMode="External"/><Relationship Id="rId401" Type="http://schemas.openxmlformats.org/officeDocument/2006/relationships/hyperlink" Target="https://patadovietnam.edu.vn/tienganhnguoidilamkoreaa" TargetMode="External"/><Relationship Id="rId408" Type="http://schemas.openxmlformats.org/officeDocument/2006/relationships/hyperlink" Target="http://ldp.to/tienganhthanhthao_australia" TargetMode="External"/><Relationship Id="rId407" Type="http://schemas.openxmlformats.org/officeDocument/2006/relationships/hyperlink" Target="https://patadovietnam.edu.vn/tienganhpatado_ptatdndl/?utm_source=Facebook&amp;utm_medium=MES&amp;utm_term=NEW_Australia_2050_none_090923&amp;utm_content=saletructiep_Australia.Anhkg.2050.Giaotiep_PTATDNDL_LD183&amp;utm_campaign=Australia.Giaotiep.Anhkg_LHV.9822_MES_DungNT_090923" TargetMode="External"/><Relationship Id="rId406" Type="http://schemas.openxmlformats.org/officeDocument/2006/relationships/hyperlink" Target="https://patadovietnam.edu.vn/tienganhpatado_ptatdndl" TargetMode="External"/><Relationship Id="rId405" Type="http://schemas.openxmlformats.org/officeDocument/2006/relationships/hyperlink" Target="http://ldp.to/biquyethoctienganh_philippines" TargetMode="External"/><Relationship Id="rId400" Type="http://schemas.openxmlformats.org/officeDocument/2006/relationships/hyperlink" Target="http://ldp.to/tienganhthanhthao_singapore" TargetMode="External"/><Relationship Id="rId469" Type="http://schemas.openxmlformats.org/officeDocument/2006/relationships/hyperlink" Target="https://patadovietnam.edu.vn/tienganhnguoidilam_ptatdndl/?utm_source=Facebook&amp;utm_medium=MES&amp;utm_term=NEW_UnitedStates_2055_none_021023&amp;utm_content=saletructiep_UnitedStates.tatl.2055.Giaotiep_PTATDNDL_LD184&amp;utm_campaign=UnitedStates.Giaotiep.tatl_LHV.9822_MES_DungNT_021023" TargetMode="External"/><Relationship Id="rId468" Type="http://schemas.openxmlformats.org/officeDocument/2006/relationships/hyperlink" Target="https://patadovietnam.edu.vn/tienganhnguoidilam_ptatdndl" TargetMode="External"/><Relationship Id="rId467" Type="http://schemas.openxmlformats.org/officeDocument/2006/relationships/hyperlink" Target="http://ldp.ink/tatl_japan" TargetMode="External"/><Relationship Id="rId462" Type="http://schemas.openxmlformats.org/officeDocument/2006/relationships/hyperlink" Target="https://patadovietnam.edu.vn/tienganhnguoidilam_ptatdndl" TargetMode="External"/><Relationship Id="rId461" Type="http://schemas.openxmlformats.org/officeDocument/2006/relationships/hyperlink" Target="http://ldp.to/khoatienganhtoandien_australia" TargetMode="External"/><Relationship Id="rId460" Type="http://schemas.openxmlformats.org/officeDocument/2006/relationships/hyperlink" Target="https://patadovietnam.edu.vn/tienganhpatado_ptatdndl/?utm_source=Facebook&amp;utm_medium=MES&amp;utm_term=NEW_Australia_2055_none_011023&amp;utm_content=saletructiep_Australia.anhjh.2055.Giaotiep_PTATDNDL_LD183&amp;utm_campaign=Australia.Giaotiep.anhjh_LHV.9822_MES_DungNT_011023" TargetMode="External"/><Relationship Id="rId466" Type="http://schemas.openxmlformats.org/officeDocument/2006/relationships/hyperlink" Target="https://patadovietnam.edu.vn/tienganhnguoidilamjapann/?utm_source=Facebook&amp;utm_medium=CVS&amp;utm_term=NEW_Japan_1840_none_021023&amp;utm_content=saletructiep_Japan.tatl.1840.Giaotiep_PTATDNDL_LD182&amp;utm_campaign=Japan.Giaotiep.tatl_LHV.9822_CVS_DungNT_021023" TargetMode="External"/><Relationship Id="rId465" Type="http://schemas.openxmlformats.org/officeDocument/2006/relationships/hyperlink" Target="https://patadovietnam.edu.vn/tienganhnguoidilamjapann" TargetMode="External"/><Relationship Id="rId464" Type="http://schemas.openxmlformats.org/officeDocument/2006/relationships/hyperlink" Target="http://ldp.to/tienganhtoandien_philippines" TargetMode="External"/><Relationship Id="rId463" Type="http://schemas.openxmlformats.org/officeDocument/2006/relationships/hyperlink" Target="https://patadovietnam.edu.vn/tienganhnguoidilam_ptatdndl/?utm_source=Facebook&amp;utm_medium=MES&amp;utm_term=NEW_Philippines_2045_none_011023&amp;utm_content=saletructiep_Philippines.anhjh.2045.Giaotiep_PTATDNDL_LD184&amp;utm_campaign=Philippines.Giaotiep.anhjh_LHV.9822_MES_DungNT_011023" TargetMode="External"/><Relationship Id="rId459" Type="http://schemas.openxmlformats.org/officeDocument/2006/relationships/hyperlink" Target="https://patadovietnam.edu.vn/tienganhpatado_ptatdndl" TargetMode="External"/><Relationship Id="rId458" Type="http://schemas.openxmlformats.org/officeDocument/2006/relationships/hyperlink" Target="http://ldp.to/tienganhthanhthao_korea" TargetMode="External"/><Relationship Id="rId457" Type="http://schemas.openxmlformats.org/officeDocument/2006/relationships/hyperlink" Target="https://patadovietnam.edu.vn/tienganhnguoidilamkorea/?utm_source=Facebook&amp;utm_medium=CVS&amp;utm_term=NEW_KoreaSouth_1840_none_011023&amp;utm_content=saletructiep_KoreaSouth.Anhkg.1840.Giaotiep_PTATTNDL_LD174&amp;utm_campaign=KoreaSouth.Giaotiep.Anhkg_LHV.9822_CVS_DungNT_011023" TargetMode="External"/><Relationship Id="rId456" Type="http://schemas.openxmlformats.org/officeDocument/2006/relationships/hyperlink" Target="https://patadovietnam.edu.vn/tienganhnguoidilamkorea" TargetMode="External"/><Relationship Id="rId451" Type="http://schemas.openxmlformats.org/officeDocument/2006/relationships/hyperlink" Target="https://patadovietnam.edu.vn/tienganhpatado_ptatdndl/?utm_source=Facebook&amp;utm_medium=MES&amp;utm_term=NEW_Canada_2055_none_011023&amp;utm_content=saletructiep_Canada.anhjh.2055.Giaotiep_PTATDNDL_LD183&amp;utm_campaign=Canada.Giaotiep.anhjh_LHV.9822_MES_DungNT_011023" TargetMode="External"/><Relationship Id="rId450" Type="http://schemas.openxmlformats.org/officeDocument/2006/relationships/hyperlink" Target="https://patadovietnam.edu.vn/tienganhpatado_ptatdndl" TargetMode="External"/><Relationship Id="rId455" Type="http://schemas.openxmlformats.org/officeDocument/2006/relationships/hyperlink" Target="https://patadovietnam.edu.vn/tienganhnguoidilamjapann/?utm_source=Facebook&amp;utm_medium=CVS&amp;utm_term=NEW_Japan_1840_none_011023&amp;utm_content=saletructiep_Japan.Anhkg.1840.Giaotiep_PTATDNDL_LD182&amp;utm_campaign=Japan.Giaotiep.Anhkg_LHV.9822_CVS_DungNT_011023" TargetMode="External"/><Relationship Id="rId454" Type="http://schemas.openxmlformats.org/officeDocument/2006/relationships/hyperlink" Target="https://patadovietnam.edu.vn/tienganhnguoidilamjapann" TargetMode="External"/><Relationship Id="rId453" Type="http://schemas.openxmlformats.org/officeDocument/2006/relationships/hyperlink" Target="https://patadovietnam.edu.vn/tienganhpatado_ptatdndl/?utm_source=Facebook&amp;utm_medium=MES&amp;utm_term=NEW_Australia_2055_none_011023&amp;utm_content=saletructiep_Australia.anhjh.2055.Giaotiep_PTATDNDL_LD183&amp;utm_campaign=Australia.Giaotiep.anhjh_LHV.9822_MES_DungNT_011023" TargetMode="External"/><Relationship Id="rId452" Type="http://schemas.openxmlformats.org/officeDocument/2006/relationships/hyperlink" Target="https://patadovietnam.edu.vn/tienganhpatado_ptatdndl" TargetMode="External"/><Relationship Id="rId491" Type="http://schemas.openxmlformats.org/officeDocument/2006/relationships/hyperlink" Target="http://ldp.ink/tienganhjh_japan" TargetMode="External"/><Relationship Id="rId490" Type="http://schemas.openxmlformats.org/officeDocument/2006/relationships/hyperlink" Target="https://patadovietnam.edu.vn/tienganhnguoidilamjapann/?utm_source=Facebook&amp;utm_medium=CVS&amp;utm_term=NEW_Japan_1840_none_041023&amp;utm_content=saletructiep_Japan.Anhkg.1840.Giaotiep_PTATDNDL_LD182&amp;utm_campaign=Japan.Giaotiep.Anhkg_LHV.9822_CVS_DungNT_041023" TargetMode="External"/><Relationship Id="rId489" Type="http://schemas.openxmlformats.org/officeDocument/2006/relationships/hyperlink" Target="https://patadovietnam.edu.vn/tienganhnguoidilamjapann" TargetMode="External"/><Relationship Id="rId484" Type="http://schemas.openxmlformats.org/officeDocument/2006/relationships/hyperlink" Target="https://patadovietnam.edu.vn/tienganhpatado_ptatdndl/?utm_source=Facebook&amp;utm_medium=MES&amp;utm_term=NEW_Canada_2055_none_031023&amp;utm_content=saletructiep_Canada.anhjh.2055.Giaotiep_PTATDNDL_LD183&amp;utm_campaign=Canada.Giaotiep.anhjh_LHV.9822_MES_DungNT_031023" TargetMode="External"/><Relationship Id="rId483" Type="http://schemas.openxmlformats.org/officeDocument/2006/relationships/hyperlink" Target="https://patadovietnam.edu.vn/tienganhpatado_ptatdndl" TargetMode="External"/><Relationship Id="rId482" Type="http://schemas.openxmlformats.org/officeDocument/2006/relationships/hyperlink" Target="http://ldp.to/biquyethoctienganh_hoaky" TargetMode="External"/><Relationship Id="rId481" Type="http://schemas.openxmlformats.org/officeDocument/2006/relationships/hyperlink" Target="https://patadovietnam.edu.vn/tienganhnguoidilam_ptatdndl/?utm_source=Facebook&amp;utm_medium=MES&amp;utm_term=NEW_UnitedStates_2055_none_031023&amp;utm_content=saletructiep_UnitedStates.anhjh.2055.Giaotiep_PTATDNDL_LD184&amp;utm_campaign=UnitedStates.Giaotiep.anhjh_LHV.9822_MES_DungNT_031023" TargetMode="External"/><Relationship Id="rId488" Type="http://schemas.openxmlformats.org/officeDocument/2006/relationships/hyperlink" Target="http://ldp.ink/tienganhjh_australia" TargetMode="External"/><Relationship Id="rId487" Type="http://schemas.openxmlformats.org/officeDocument/2006/relationships/hyperlink" Target="https://patadovietnam.edu.vn/tienganhpatado_ptatdndl/?utm_source=Facebook&amp;utm_medium=MES&amp;utm_term=NEW_Australia_2055_none_031023&amp;utm_content=saletructiep_Australia.anhjh.2055.Giaotiep_PTATDNDL_LD183&amp;utm_campaign=Australia.Giaotiep.anhjh_LHV.9822_MES_DungNT_031023" TargetMode="External"/><Relationship Id="rId486" Type="http://schemas.openxmlformats.org/officeDocument/2006/relationships/hyperlink" Target="https://patadovietnam.edu.vn/tienganhpatado_ptatdndl" TargetMode="External"/><Relationship Id="rId485" Type="http://schemas.openxmlformats.org/officeDocument/2006/relationships/hyperlink" Target="http://ldp.to/tienganhthanhthao_canada" TargetMode="External"/><Relationship Id="rId480" Type="http://schemas.openxmlformats.org/officeDocument/2006/relationships/hyperlink" Target="https://patadovietnam.edu.vn/tienganhnguoidilam_ptatdndl" TargetMode="External"/><Relationship Id="rId479" Type="http://schemas.openxmlformats.org/officeDocument/2006/relationships/hyperlink" Target="http://ldp.to/tatl_korea" TargetMode="External"/><Relationship Id="rId478" Type="http://schemas.openxmlformats.org/officeDocument/2006/relationships/hyperlink" Target="https://patadovietnam.edu.vn/tienganhnguoidilamkorea/?utm_source=Facebook&amp;utm_medium=CVS&amp;utm_term=NEW_KoreaSouth_1840_none_021023&amp;utm_content=saletructiep_KoreaSouth.tatl.1840.Giaotiep_PTATTNDL_LD174&amp;utm_campaign=KoreaSouth.Giaotiep.tatl_LHV.9822_CVS_DungNT_021023" TargetMode="External"/><Relationship Id="rId473" Type="http://schemas.openxmlformats.org/officeDocument/2006/relationships/hyperlink" Target="http://ldp.ink/tatl_canada" TargetMode="External"/><Relationship Id="rId472" Type="http://schemas.openxmlformats.org/officeDocument/2006/relationships/hyperlink" Target="https://patadovietnam.edu.vn/tienganhpatado_ptatdndl/?utm_source=Facebook&amp;utm_medium=MES&amp;utm_term=NEW_Canada_2055_none_021023&amp;utm_content=saletructiep_Canada.tatl.2055.Giaotiep_PTATDNDL_LD183&amp;utm_campaign=Canada.Giaotiep.tatl_LHV.9822_MES_DungNT_021023" TargetMode="External"/><Relationship Id="rId471" Type="http://schemas.openxmlformats.org/officeDocument/2006/relationships/hyperlink" Target="https://patadovietnam.edu.vn/tienganhpatado_ptatdndl" TargetMode="External"/><Relationship Id="rId470" Type="http://schemas.openxmlformats.org/officeDocument/2006/relationships/hyperlink" Target="http://ldp.ink/tatl_hoaky" TargetMode="External"/><Relationship Id="rId477" Type="http://schemas.openxmlformats.org/officeDocument/2006/relationships/hyperlink" Target="https://patadovietnam.edu.vn/tienganhnguoidilamkorea" TargetMode="External"/><Relationship Id="rId476" Type="http://schemas.openxmlformats.org/officeDocument/2006/relationships/hyperlink" Target="http://ldp.ink/tatl_australia" TargetMode="External"/><Relationship Id="rId475" Type="http://schemas.openxmlformats.org/officeDocument/2006/relationships/hyperlink" Target="https://patadovietnam.edu.vn/tienganhpatado_ptatdndl/?utm_source=Facebook&amp;utm_medium=MES&amp;utm_term=NEW_Australia_2055_none_021023&amp;utm_content=saletructiep_Australia.tatl.2055.Giaotiep_PTATDNDL_LD183&amp;utm_campaign=Australia.Giaotiep.tatl_LHV.9822_MES_DungNT_021023" TargetMode="External"/><Relationship Id="rId474" Type="http://schemas.openxmlformats.org/officeDocument/2006/relationships/hyperlink" Target="https://patadovietnam.edu.vn/tienganhpatado_ptatdndl" TargetMode="External"/><Relationship Id="rId426" Type="http://schemas.openxmlformats.org/officeDocument/2006/relationships/hyperlink" Target="https://patadovietnam.edu.vn/tienganhpatado_ptatdndl" TargetMode="External"/><Relationship Id="rId425" Type="http://schemas.openxmlformats.org/officeDocument/2006/relationships/hyperlink" Target="https://patadovietnam.edu.vn/tienganhnguoidilam_ptatdndl/?utm_source=Facebook&amp;utm_medium=MES&amp;utm_term=NEW_UnitedStates_2055_none_130923&amp;utm_content=saletructiep_UnitedStates.Anhlt.2055.Giaotiep_PTATDNDL_LD184&amp;utm_campaign=UnitedStates.Giaotiep.Anhlt_LHV.9822_MES_DungNT_130923" TargetMode="External"/><Relationship Id="rId424" Type="http://schemas.openxmlformats.org/officeDocument/2006/relationships/hyperlink" Target="https://patadovietnam.edu.vn/tienganhnguoidilam_ptatdndl" TargetMode="External"/><Relationship Id="rId423" Type="http://schemas.openxmlformats.org/officeDocument/2006/relationships/hyperlink" Target="https://patadovietnam.edu.vn/tienganhpatado_ptatdndl/?utm_source=Facebook&amp;utm_medium=MES&amp;utm_term=NEW_Canada_2055_none_110923&amp;utm_content=saletructiep_Canada.Anhlt.2055.Giaotiep_PTATDNDL_LD183&amp;utm_campaign=Canada.Giaotiep.Anhlt_LHV.9822_MES_DungNT_110923" TargetMode="External"/><Relationship Id="rId429" Type="http://schemas.openxmlformats.org/officeDocument/2006/relationships/hyperlink" Target="https://patadovietnam.edu.vn/tienganhnguoidilam_ptatdndl/?utm_source=Facebook&amp;utm_medium=MES&amp;utm_term=NEW_UnitedStates_2055_none_210923&amp;utm_content=saletructiep_UnitedStates.vd4nl.2055.Giaotiep_PTATDNDL_LD184&amp;utm_campaign=UnitedStates.Giaotiep.vd4nl_LHV.9822_MES_DungNT_210923" TargetMode="External"/><Relationship Id="rId428" Type="http://schemas.openxmlformats.org/officeDocument/2006/relationships/hyperlink" Target="https://patadovietnam.edu.vn/tienganhnguoidilam_ptatdndl" TargetMode="External"/><Relationship Id="rId427" Type="http://schemas.openxmlformats.org/officeDocument/2006/relationships/hyperlink" Target="https://patadovietnam.edu.vn/tienganhpatado_ptatdndl/?utm_source=Facebook&amp;utm_medium=MES&amp;utm_term=NEW_Canada_2055_none_130923&amp;utm_content=saletructiep_Canada.Anhlt.2055.Giaotiep_PTATDNDL_LD183&amp;utm_campaign=Canada.Giaotiep.Anhlt_LHV.9822_MES_DungNT_130923" TargetMode="External"/><Relationship Id="rId422" Type="http://schemas.openxmlformats.org/officeDocument/2006/relationships/hyperlink" Target="https://patadovietnam.edu.vn/tienganhpatado_ptatdndl" TargetMode="External"/><Relationship Id="rId421" Type="http://schemas.openxmlformats.org/officeDocument/2006/relationships/hyperlink" Target="https://patadovietnam.edu.vn/tienganhhoaky_ptatdndl/?utm_source=Facebook&amp;utm_medium=MES&amp;utm_term=NEW_UnitedStates_2055_none_110923&amp;utm_content=saletructiep_UnitedStates.Anhlt.2055.Giaotiep_PTATDNDL_LD185&amp;utm_campaign=UnitedStates.Giaotiep.Anhlt_LHV.9822_MES_DungNT_110923" TargetMode="External"/><Relationship Id="rId420" Type="http://schemas.openxmlformats.org/officeDocument/2006/relationships/hyperlink" Target="https://patadovietnam.edu.vn/tienganhhoaky_ptatdndl" TargetMode="External"/><Relationship Id="rId415" Type="http://schemas.openxmlformats.org/officeDocument/2006/relationships/hyperlink" Target="https://patadovietnam.edu.vn/tienganheurope_ptatdndl" TargetMode="External"/><Relationship Id="rId414" Type="http://schemas.openxmlformats.org/officeDocument/2006/relationships/hyperlink" Target="http://ldp.to/khoatienganhtoandien_usa" TargetMode="External"/><Relationship Id="rId413" Type="http://schemas.openxmlformats.org/officeDocument/2006/relationships/hyperlink" Target="https://patadovietnam.edu.vn/tienganhhoaky_ptatdndl/?utm_source=Facebook&amp;utm_medium=MES&amp;utm_term=NEW_UnitedStates_2050_none_090923&amp;utm_content=saletructiep_UnitedStates.Anhkg.2050.Giaotiep_PTATDNDL_LD185&amp;utm_campaign=UnitedStates.Giaotiep.Anhkg_LHV.9822_MES_DungNT_090923" TargetMode="External"/><Relationship Id="rId412" Type="http://schemas.openxmlformats.org/officeDocument/2006/relationships/hyperlink" Target="https://patadovietnam.edu.vn/tienganhhoaky_ptatdndl" TargetMode="External"/><Relationship Id="rId419" Type="http://schemas.openxmlformats.org/officeDocument/2006/relationships/hyperlink" Target="https://patadovietnam.edu.vn/tienganhnguoidilam_ptatdndl/?utm_source=Facebook&amp;utm_medium=MES&amp;utm_term=NEW_Philippines_2045_none_110923&amp;utm_content=saletructiep_Philippines.Anhtblh.2045.Giaotiep_PTATDNDL_LD184&amp;utm_campaign=Philippines.Giaotiep.Anhtblh_LHV.9822_MES_DungNT_110923" TargetMode="External"/><Relationship Id="rId418" Type="http://schemas.openxmlformats.org/officeDocument/2006/relationships/hyperlink" Target="https://patadovietnam.edu.vn/tienganhnguoidilam_ptatdndl" TargetMode="External"/><Relationship Id="rId417" Type="http://schemas.openxmlformats.org/officeDocument/2006/relationships/hyperlink" Target="http://ldp.to/tienganhthanhthao_europe" TargetMode="External"/><Relationship Id="rId416" Type="http://schemas.openxmlformats.org/officeDocument/2006/relationships/hyperlink" Target="https://patadovietnam.edu.vn/tienganheurope_ptatdndl/?utm_source=Facebook&amp;utm_medium=CVS&amp;utm_term=NEW_Europe_2055_none_090923&amp;utm_content=saletructiep_Europe.Anhsale10.2055.Giaotiep_PTATTNDL_LD186&amp;utm_campaign=Europe.Giaotiep.Anhsale10_SCB.9889_CVS_DungNT_090923" TargetMode="External"/><Relationship Id="rId411" Type="http://schemas.openxmlformats.org/officeDocument/2006/relationships/hyperlink" Target="http://ldp.to/tienganhtoandien_japan" TargetMode="External"/><Relationship Id="rId410" Type="http://schemas.openxmlformats.org/officeDocument/2006/relationships/hyperlink" Target="https://patadovietnam.edu.vn/tienganhnguoidilamjapann/?utm_source=Facebook&amp;utm_medium=CVS&amp;utm_term=NEW_Japan_1840_none_090923&amp;utm_content=saletructiep_Japan.Anhsale13.1840.Giaotiep_PTATDNDL_LD182&amp;utm_campaign=Japan.Giaotiep.Anhsale13_LHV.9822_CVS_DungNT_090923" TargetMode="External"/><Relationship Id="rId448" Type="http://schemas.openxmlformats.org/officeDocument/2006/relationships/hyperlink" Target="https://patadovietnam.edu.vn/tienganhnguoidilam_ptatdndl" TargetMode="External"/><Relationship Id="rId447" Type="http://schemas.openxmlformats.org/officeDocument/2006/relationships/hyperlink" Target="http://ldp.to/tienganhtoandien_philippines" TargetMode="External"/><Relationship Id="rId446" Type="http://schemas.openxmlformats.org/officeDocument/2006/relationships/hyperlink" Target="https://patadovietnam.edu.vn/tienganhnguoidilam_ptatdndl/?utm_source=Facebook&amp;utm_medium=MES&amp;utm_term=NEW_Philippines_2045_none_210923&amp;utm_content=saletructiep_Philippines.vd4nl.2045.Giaotiep_PTATDNDL_LD184&amp;utm_campaign=Philippines.Giaotiep.vd4nl_LHV.9822_MES_DungNT_210923" TargetMode="External"/><Relationship Id="rId445" Type="http://schemas.openxmlformats.org/officeDocument/2006/relationships/hyperlink" Target="https://patadovietnam.edu.vn/tienganhnguoidilam_ptatdndl" TargetMode="External"/><Relationship Id="rId449" Type="http://schemas.openxmlformats.org/officeDocument/2006/relationships/hyperlink" Target="https://patadovietnam.edu.vn/tienganhnguoidilam_ptatdndl/?utm_source=Facebook&amp;utm_medium=MES&amp;utm_term=NEW_UnitedStates_2055_none_011023&amp;utm_content=saletructiep_UnitedStates.anhjh.2055.Giaotiep_PTATDNDL_LD184&amp;utm_campaign=UnitedStates.Giaotiep.anhjh_LHV.9822_MES_DungNT_011023" TargetMode="External"/><Relationship Id="rId440" Type="http://schemas.openxmlformats.org/officeDocument/2006/relationships/hyperlink" Target="https://patadovietnam.edu.vn/tienganhnguoidilamkoreaa/?utm_source=Facebook&amp;utm_medium=CVS&amp;utm_term=NEW_KoreaSouth_1840_none_210923&amp;utm_content=saletructiep_KoreaSouth.vd4nl.1840.Giaotiep_PTATTNDL_LD181&amp;utm_campaign=KoreaSouth.Giaotiep.vd4nl_LHV.9822_CVS_DungNT_210923" TargetMode="External"/><Relationship Id="rId444" Type="http://schemas.openxmlformats.org/officeDocument/2006/relationships/hyperlink" Target="http://ldp.to/tienganhtoandien_dailoan" TargetMode="External"/><Relationship Id="rId443" Type="http://schemas.openxmlformats.org/officeDocument/2006/relationships/hyperlink" Target="https://patadovietnam.edu.vn/tienganhpatado_ptatdndl/?utm_source=Facebook&amp;utm_medium=MES&amp;utm_term=NEW_Taiwan_2045_none_210923&amp;utm_content=saletructiep_Taiwan.vd4nl.2045.Giaotiep_PTATDNDL_LD183&amp;utm_campaign=Taiwan.Giaotiep.vd4nl_LHV.9822_MES_DungNT_210923" TargetMode="External"/><Relationship Id="rId442" Type="http://schemas.openxmlformats.org/officeDocument/2006/relationships/hyperlink" Target="https://patadovietnam.edu.vn/tienganhpatado_ptatdndl" TargetMode="External"/><Relationship Id="rId441" Type="http://schemas.openxmlformats.org/officeDocument/2006/relationships/hyperlink" Target="http://ldp.to/tienganhthanhthao_korea" TargetMode="External"/><Relationship Id="rId437" Type="http://schemas.openxmlformats.org/officeDocument/2006/relationships/hyperlink" Target="https://patadovietnam.edu.vn/tienganhnguoidilam_dnt" TargetMode="External"/><Relationship Id="rId436" Type="http://schemas.openxmlformats.org/officeDocument/2006/relationships/hyperlink" Target="http://ldp.to/tienganhthanhthao_austrailia" TargetMode="External"/><Relationship Id="rId435" Type="http://schemas.openxmlformats.org/officeDocument/2006/relationships/hyperlink" Target="https://patadovietnam.edu.vn/tienganhnguoidilam_dnt/?utm_source=Facebook&amp;utm_medium=MES&amp;utm_term=NEW_Australia_2055_none_210923&amp;utm_content=saletructiep_Australia.vd4nl.2055.Giaotiep_PTATTNDL_LD167&amp;utm_campaign=Australia.Giaotiep.vd4nl_LHV.9822_MES_DungNT_210923" TargetMode="External"/><Relationship Id="rId434" Type="http://schemas.openxmlformats.org/officeDocument/2006/relationships/hyperlink" Target="https://patadovietnam.edu.vn/tienganhnguoidilam_dnt" TargetMode="External"/><Relationship Id="rId439" Type="http://schemas.openxmlformats.org/officeDocument/2006/relationships/hyperlink" Target="https://patadovietnam.edu.vn/tienganhnguoidilamkoreaa" TargetMode="External"/><Relationship Id="rId438" Type="http://schemas.openxmlformats.org/officeDocument/2006/relationships/hyperlink" Target="https://patadovietnam.edu.vn/tienganhnguoidilam_dnt/?utm_source=Facebook&amp;utm_medium=CVS&amp;utm_term=NEW_Japan_1840_none_210923&amp;utm_content=saletructiep_Japan.vd4nl.1840.Giaotiep_PTATTNDL_LD167&amp;utm_campaign=Japan.Giaotiep.vd4nl_LHV.9822_CVS_DungNT_210923" TargetMode="External"/><Relationship Id="rId433" Type="http://schemas.openxmlformats.org/officeDocument/2006/relationships/hyperlink" Target="http://ldp.to/tienganhtoandien_canada" TargetMode="External"/><Relationship Id="rId432" Type="http://schemas.openxmlformats.org/officeDocument/2006/relationships/hyperlink" Target="https://patadovietnam.edu.vn/tienganhpatado_ptatdndl/?utm_source=Facebook&amp;utm_medium=MES&amp;utm_term=NEW_Canada_2055_none_210923&amp;utm_content=saletructiep_Canada.vd4nl.2055.Giaotiep_PTATDNDL_LD183&amp;utm_campaign=Canada.Giaotiep.vd4nl_LHV.9822_MES_DungNT_210923" TargetMode="External"/><Relationship Id="rId431" Type="http://schemas.openxmlformats.org/officeDocument/2006/relationships/hyperlink" Target="https://patadovietnam.edu.vn/tienganhpatado_ptatdndl" TargetMode="External"/><Relationship Id="rId430" Type="http://schemas.openxmlformats.org/officeDocument/2006/relationships/hyperlink" Target="http://ldp.to/tienganhtoandien_hoaky" TargetMode="External"/><Relationship Id="rId1" Type="http://schemas.openxmlformats.org/officeDocument/2006/relationships/hyperlink" Target="https://toandien.tienganh24h.net/khoahocgiaotiep/" TargetMode="External"/><Relationship Id="rId2" Type="http://schemas.openxmlformats.org/officeDocument/2006/relationships/hyperlink" Target="https://patadovietnam.edu.vn/tai-tai-lieu/" TargetMode="External"/><Relationship Id="rId3" Type="http://schemas.openxmlformats.org/officeDocument/2006/relationships/hyperlink" Target="https://patadovietnam.edu.vn/dungnt10_giaotiep" TargetMode="External"/><Relationship Id="rId4" Type="http://schemas.openxmlformats.org/officeDocument/2006/relationships/hyperlink" Target="https://patadovietnam.edu.vn/dungnt10_giaotiep/?utm_source=Facebook&amp;utm_medium=MES&amp;utm_term=NEW_Korea_1840_none_110522&amp;utm_content=saletructiep_Korea.Anhsale10.18-40_PTATTNDL_LD126&amp;utm_campaign=Korea.Giaotiep.Anhsale10_95360_MES_DungNT_110522" TargetMode="External"/><Relationship Id="rId9" Type="http://schemas.openxmlformats.org/officeDocument/2006/relationships/hyperlink" Target="https://patadovietnam.edu.vn/dungnt10_ielts_cvs" TargetMode="External"/><Relationship Id="rId5" Type="http://schemas.openxmlformats.org/officeDocument/2006/relationships/hyperlink" Target="https://patadovietnam.edu.vn/dungnt10_giaotiep" TargetMode="External"/><Relationship Id="rId6" Type="http://schemas.openxmlformats.org/officeDocument/2006/relationships/hyperlink" Target="https://patadovietnam.edu.vn/dungnt10_giaotiep/?utm_source=Facebook&amp;utm_medium=MES&amp;utm_term=NEW_Korea_1840_none_081122&amp;utm_content=saletructiep_Korea.Anhsale10.1840.Giaotiep_PTATTNDL_LD126&amp;utm_campaign=Korea.Giaotiep.Anhsale10_95360_MES_DungNT_081122" TargetMode="External"/><Relationship Id="rId7" Type="http://schemas.openxmlformats.org/officeDocument/2006/relationships/hyperlink" Target="https://patadovietnam.edu.vn/dungnt10_giaotiep" TargetMode="External"/><Relationship Id="rId8" Type="http://schemas.openxmlformats.org/officeDocument/2006/relationships/hyperlink" Target="https://patadovietnam.edu.vn/dungnt10_giaotiep/?utm_source=Facebook&amp;utm_medium=MES&amp;utm_term=NEW_Japan_1840_none_91122&amp;utm_content=saletructiep_Japan.Anhsale10.1840.Giaotiep_PTATTNDL_LD126&amp;utm_campaign=Japan.Giaotiep.Anhsale10_95360_MES_DungNT_91122" TargetMode="External"/><Relationship Id="rId808" Type="http://schemas.openxmlformats.org/officeDocument/2006/relationships/hyperlink" Target="https://patadovietnam.edu.vn/tienganheurope_dnt/?utm_source=Facebook&amp;utm_medium=CVS&amp;utm_term=NEW_Europe_2055_none_080124&amp;utm_content=saletructiep_Europe.3bpatado.2055.Giaotiep_PTATTNDL_LD151&amp;utm_campaign=Europe.Giaotiep.3bpatado_LHV.9822_CVS_DungNT_080124" TargetMode="External"/><Relationship Id="rId807" Type="http://schemas.openxmlformats.org/officeDocument/2006/relationships/hyperlink" Target="https://patadovietnam.edu.vn/tienganheurope_dnt" TargetMode="External"/><Relationship Id="rId806" Type="http://schemas.openxmlformats.org/officeDocument/2006/relationships/hyperlink" Target="http://ldp.ink/3bpatado_korea" TargetMode="External"/><Relationship Id="rId805" Type="http://schemas.openxmlformats.org/officeDocument/2006/relationships/hyperlink" Target="https://patadovietnam.edu.vn/tienganhnguoidilam_dnt/?utm_source=Facebook&amp;utm_medium=MES&amp;utm_term=NEW_KoreaSouth_1840_none_080124&amp;utm_content=saletructiep_KoreaSouth.3bpatado.2045.Giaotiep_PTATDNDL_LD167&amp;utm_campaign=KoreaSouth.Giaotiep.3bpatado_LHV.9822_MES_DungNT_080124" TargetMode="External"/><Relationship Id="rId809" Type="http://schemas.openxmlformats.org/officeDocument/2006/relationships/hyperlink" Target="http://ldp.ink/3bpatado_europe" TargetMode="External"/><Relationship Id="rId800" Type="http://schemas.openxmlformats.org/officeDocument/2006/relationships/hyperlink" Target="http://ldp.ink/3bpatado_philippines" TargetMode="External"/><Relationship Id="rId804" Type="http://schemas.openxmlformats.org/officeDocument/2006/relationships/hyperlink" Target="https://patadovietnam.edu.vn/tienganhnguoidilam_dnt" TargetMode="External"/><Relationship Id="rId803" Type="http://schemas.openxmlformats.org/officeDocument/2006/relationships/hyperlink" Target="http://ldp.ink/3bpatado_japan" TargetMode="External"/><Relationship Id="rId802" Type="http://schemas.openxmlformats.org/officeDocument/2006/relationships/hyperlink" Target="https://patadovietnam.edu.vn/tienganhnguoidilam_dnt/?utm_source=Facebook&amp;utm_medium=MES&amp;utm_term=NEW_Japan_1840_none_080124&amp;utm_content=saletructiep_Japan.3bpatado.1840.Giaotiep_PTATDNDL_LD167&amp;utm_campaign=Japan.Giaotiep.3bpatado_LHV.9822_MES_DungNT_080124" TargetMode="External"/><Relationship Id="rId801" Type="http://schemas.openxmlformats.org/officeDocument/2006/relationships/hyperlink" Target="https://patadovietnam.edu.vn/tienganhnguoidilam_dnt" TargetMode="External"/><Relationship Id="rId745" Type="http://schemas.openxmlformats.org/officeDocument/2006/relationships/hyperlink" Target="https://patadovietnam.edu.vn/tienganhtoandienpatado_ptattndl/?utm_source=Facebook&amp;utm_medium=MES&amp;utm_term=NEW_UnitedStates_2055_none_040124&amp;utm_content=saletructiep_UnitedStates.M117C93.2055.Giaotiep_PTATDNDL_LD210&amp;utm_campaign=UnitedStates.Giaotiep.M117C93_LHV.9822_MES_DungNT_040124" TargetMode="External"/><Relationship Id="rId744" Type="http://schemas.openxmlformats.org/officeDocument/2006/relationships/hyperlink" Target="https://patadovietnam.edu.vn/tienganhtoandienpatado_ptattndl" TargetMode="External"/><Relationship Id="rId743" Type="http://schemas.openxmlformats.org/officeDocument/2006/relationships/hyperlink" Target="http://ldp.ink/mlgtbx_australia" TargetMode="External"/><Relationship Id="rId742" Type="http://schemas.openxmlformats.org/officeDocument/2006/relationships/hyperlink" Target="https://patadovietnam.edu.vn/tienganhtoandienpatado_ptattndl/?utm_source=Facebook&amp;utm_medium=MES&amp;utm_term=NEW_Australia_2055_none_040124&amp;utm_content=saletructiep_Australia.M117C93.2055.Giaotiep_PTATDNDL_LD210&amp;utm_campaign=Australia.Giaotiep.M117C93_LHV.9822_MES_DungNT_040124" TargetMode="External"/><Relationship Id="rId749" Type="http://schemas.openxmlformats.org/officeDocument/2006/relationships/hyperlink" Target="http://ldp.ink/mlgtbx_canada" TargetMode="External"/><Relationship Id="rId748" Type="http://schemas.openxmlformats.org/officeDocument/2006/relationships/hyperlink" Target="https://patadovietnam.edu.vn/tienganhtoandienpatado_ptattndl/?utm_source=Facebook&amp;utm_medium=MES&amp;utm_term=NEW_Canada_2055_none_040124&amp;utm_content=saletructiep_Canada.M117C93.2055.Giaotiep_PTATDNDL_LD210&amp;utm_campaign=Canada.Giaotiep.M117C93_LHV.9822_MES_DungNT_040124" TargetMode="External"/><Relationship Id="rId747" Type="http://schemas.openxmlformats.org/officeDocument/2006/relationships/hyperlink" Target="https://patadovietnam.edu.vn/tienganhtoandienpatado_ptattndl" TargetMode="External"/><Relationship Id="rId746" Type="http://schemas.openxmlformats.org/officeDocument/2006/relationships/hyperlink" Target="http://ldp.ink/mlgtbx_hoaky" TargetMode="External"/><Relationship Id="rId741" Type="http://schemas.openxmlformats.org/officeDocument/2006/relationships/hyperlink" Target="https://patadovietnam.edu.vn/tienganhtoandienpatado_ptattndl" TargetMode="External"/><Relationship Id="rId740" Type="http://schemas.openxmlformats.org/officeDocument/2006/relationships/hyperlink" Target="http://ldp.ink/Philippines_tn36b" TargetMode="External"/><Relationship Id="rId739" Type="http://schemas.openxmlformats.org/officeDocument/2006/relationships/hyperlink" Target="https://patadovietnam.edu.vn/tienganhpatado_ptatdndl/?utm_source=Facebook&amp;utm_medium=MES&amp;utm_term=NEW_Philippines_1845_none_030124&amp;utm_content=saletructiep_Philippines.M96C52.2055.Giaotiep_PTATDNDL_LD183&amp;utm_campaign=Philippines.Giaotiep.M96C52_LHV.9822_MES_DungNT_030124" TargetMode="External"/><Relationship Id="rId734" Type="http://schemas.openxmlformats.org/officeDocument/2006/relationships/hyperlink" Target="http://ldp.ink/canada_tn36b" TargetMode="External"/><Relationship Id="rId733" Type="http://schemas.openxmlformats.org/officeDocument/2006/relationships/hyperlink" Target="https://patadovietnam.edu.vn/tienganhpatado_ptatdndl/?utm_source=Facebook&amp;utm_medium=MES&amp;utm_term=NEW_Canada_2055_none_030124&amp;utm_content=saletructiep_Canada.M96C52.2055.Giaotiep_PTATDNDL_LD183&amp;utm_campaign=Canada.Giaotiep.M96C52_LHV.9822_MES_DungNT_030124" TargetMode="External"/><Relationship Id="rId732" Type="http://schemas.openxmlformats.org/officeDocument/2006/relationships/hyperlink" Target="https://patadovietnam.edu.vn/tienganhpatado_ptatdndl" TargetMode="External"/><Relationship Id="rId731" Type="http://schemas.openxmlformats.org/officeDocument/2006/relationships/hyperlink" Target="http://ldp.ink/unitedstates_tn36b" TargetMode="External"/><Relationship Id="rId738" Type="http://schemas.openxmlformats.org/officeDocument/2006/relationships/hyperlink" Target="https://patadovietnam.edu.vn/tienganhpatado_ptatdndl" TargetMode="External"/><Relationship Id="rId737" Type="http://schemas.openxmlformats.org/officeDocument/2006/relationships/hyperlink" Target="http://ldp.ink/australia_tn36b" TargetMode="External"/><Relationship Id="rId736" Type="http://schemas.openxmlformats.org/officeDocument/2006/relationships/hyperlink" Target="https://patadovietnam.edu.vn/tienganhpatado_ptatdndl/?utm_source=Facebook&amp;utm_medium=MES&amp;utm_term=NEW_Australia_2055_none_030124&amp;utm_content=saletructiep_Australia.M96C52.2055.Giaotiep_PTATDNDL_LD183&amp;utm_campaign=Australia.Giaotiep.M96C52_LHV.9822_MES_DungNT_030124" TargetMode="External"/><Relationship Id="rId735" Type="http://schemas.openxmlformats.org/officeDocument/2006/relationships/hyperlink" Target="https://patadovietnam.edu.vn/tienganhpatado_ptatdndl" TargetMode="External"/><Relationship Id="rId730" Type="http://schemas.openxmlformats.org/officeDocument/2006/relationships/hyperlink" Target="https://patadovietnam.edu.vn/tienganhpatado_ptatdndl/?utm_source=Facebook&amp;utm_medium=MES&amp;utm_term=NEW_UnitedStates_2055_none_030124&amp;utm_content=saletructiep_UnitedStates.M96C52.2055.Giaotiep_PTATDNDL_LD183&amp;utm_campaign=UnitedStates.Giaotiep.M96C52_LHV.9822_MES_DungNT_030124" TargetMode="External"/><Relationship Id="rId767" Type="http://schemas.openxmlformats.org/officeDocument/2006/relationships/hyperlink" Target="http://ldp.ink/cktal_canada" TargetMode="External"/><Relationship Id="rId766" Type="http://schemas.openxmlformats.org/officeDocument/2006/relationships/hyperlink" Target="https://patadovietnam.edu.vn/tienganhpatado_d1/?utm_source=Facebook&amp;utm_medium=MES&amp;utm_term=NEW_Canada_2055_none_040124&amp;utm_content=saletructiep_Canada.M99C76.2055.Giaotiep_PTATDNDL_LD144&amp;utm_campaign=Canada.Giaotiep.M99C76_LHV.9822_MES_DungNT_040124" TargetMode="External"/><Relationship Id="rId765" Type="http://schemas.openxmlformats.org/officeDocument/2006/relationships/hyperlink" Target="https://patadovietnam.edu.vn/tienganhpatado_d1" TargetMode="External"/><Relationship Id="rId764" Type="http://schemas.openxmlformats.org/officeDocument/2006/relationships/hyperlink" Target="http://ldp.ink/cktal_hoaky" TargetMode="External"/><Relationship Id="rId769" Type="http://schemas.openxmlformats.org/officeDocument/2006/relationships/hyperlink" Target="https://patadovietnam.edu.vn/tienganhpatado_d1/?utm_source=Facebook&amp;utm_medium=MES&amp;utm_term=NEW_Australia_2055_none_040124&amp;utm_content=saletructiep_Australia.M99C76.2055.Giaotiep_PTATDNDL_LD144&amp;utm_campaign=Australia.Giaotiep.M99C76_LHV.9822_MES_DungNT_040124" TargetMode="External"/><Relationship Id="rId768" Type="http://schemas.openxmlformats.org/officeDocument/2006/relationships/hyperlink" Target="https://patadovietnam.edu.vn/tienganhpatado_d1" TargetMode="External"/><Relationship Id="rId763" Type="http://schemas.openxmlformats.org/officeDocument/2006/relationships/hyperlink" Target="https://patadovietnam.edu.vn/tienganhpatado_d1/?utm_source=Facebook&amp;utm_medium=MES&amp;utm_term=NEW_UnitedStates_2055_none_040124&amp;utm_content=saletructiep_UnitedStates.M99C76.2055.Giaotiep_PTATDNDL_LD144&amp;utm_campaign=UnitedStates.Giaotiep.M99C76_LHV.9822_MES_DungNT_040124" TargetMode="External"/><Relationship Id="rId762" Type="http://schemas.openxmlformats.org/officeDocument/2006/relationships/hyperlink" Target="https://patadovietnam.edu.vn/tienganhpatado_d1" TargetMode="External"/><Relationship Id="rId761" Type="http://schemas.openxmlformats.org/officeDocument/2006/relationships/hyperlink" Target="http://ldp.ink/mlgtbx_korea" TargetMode="External"/><Relationship Id="rId760" Type="http://schemas.openxmlformats.org/officeDocument/2006/relationships/hyperlink" Target="https://patadovietnam.edu.vn/tienganhtoandienpatado_ptattndl/?utm_source=Facebook&amp;utm_medium=CVS&amp;utm_term=NEW_KoreaSouth_1840_none_040124&amp;utm_content=saletructiep_KoreaSouth.M117C93.1840.Giaotiep_PTATDNDL_LD210&amp;utm_campaign=KoreaSouth.Giaotiep.M117C93_LHV.9822_CVS_DungNT_040124" TargetMode="External"/><Relationship Id="rId756" Type="http://schemas.openxmlformats.org/officeDocument/2006/relationships/hyperlink" Target="https://patadovietnam.edu.vn/tienganhtoandienpatado_ptattndl" TargetMode="External"/><Relationship Id="rId755" Type="http://schemas.openxmlformats.org/officeDocument/2006/relationships/hyperlink" Target="http://ldp.ink/mlgtbx_philippines" TargetMode="External"/><Relationship Id="rId754" Type="http://schemas.openxmlformats.org/officeDocument/2006/relationships/hyperlink" Target="https://patadovietnam.edu.vn/tienganhtoandienpatado_ptattndl/?utm_source=Facebook&amp;utm_medium=MES&amp;utm_term=NEW_Philippines_2045_none_040124&amp;utm_content=saletructiep_Philippines.M117C93.2045.Giaotiep_PTATDNDL_LD210&amp;utm_campaign=Philippines.Giaotiep.M117C93_LHV.9822_MES_DungNT_040124" TargetMode="External"/><Relationship Id="rId753" Type="http://schemas.openxmlformats.org/officeDocument/2006/relationships/hyperlink" Target="https://patadovietnam.edu.vn/tienganhtoandienpatado_ptattndl" TargetMode="External"/><Relationship Id="rId759" Type="http://schemas.openxmlformats.org/officeDocument/2006/relationships/hyperlink" Target="https://patadovietnam.edu.vn/tienganhtoandienpatado_ptattndl" TargetMode="External"/><Relationship Id="rId758" Type="http://schemas.openxmlformats.org/officeDocument/2006/relationships/hyperlink" Target="http://ldp.ink/mlgtbx_japan" TargetMode="External"/><Relationship Id="rId757" Type="http://schemas.openxmlformats.org/officeDocument/2006/relationships/hyperlink" Target="https://patadovietnam.edu.vn/tienganhtoandienpatado_ptattndl/?utm_source=Facebook&amp;utm_medium=CVS&amp;utm_term=NEW_Japan_1840_none_040124&amp;utm_content=saletructiep_Japan.M117C93.1840.Giaotiep_PTATDNDL_LD210&amp;utm_campaign=Japan.Giaotiep.M117C93_LHV.9822_CVS_DungNT_040124" TargetMode="External"/><Relationship Id="rId752" Type="http://schemas.openxmlformats.org/officeDocument/2006/relationships/hyperlink" Target="http://ldp.ink/mlgtbx_taiwan" TargetMode="External"/><Relationship Id="rId751" Type="http://schemas.openxmlformats.org/officeDocument/2006/relationships/hyperlink" Target="https://patadovietnam.edu.vn/tienganhtoandienpatado_ptattndl/?utm_source=Facebook&amp;utm_medium=MES&amp;utm_term=NEW_Taiwan_2045_none_040124&amp;utm_content=saletructiep_Taiwan.M117C93.2045.Giaotiep_PTATDNDL_LD210&amp;utm_campaign=Taiwan.Giaotiep.M117C93_LHV.9822_MES_DungNT_040124" TargetMode="External"/><Relationship Id="rId750" Type="http://schemas.openxmlformats.org/officeDocument/2006/relationships/hyperlink" Target="https://patadovietnam.edu.vn/tienganhtoandienpatado_ptattndl" TargetMode="External"/><Relationship Id="rId709" Type="http://schemas.openxmlformats.org/officeDocument/2006/relationships/hyperlink" Target="https://patadovietnam.edu.vn/tienganhpatado_ptatdndl" TargetMode="External"/><Relationship Id="rId708" Type="http://schemas.openxmlformats.org/officeDocument/2006/relationships/hyperlink" Target="http://ldp.ink/M97C72_tienganhphilippines" TargetMode="External"/><Relationship Id="rId707" Type="http://schemas.openxmlformats.org/officeDocument/2006/relationships/hyperlink" Target="https://patadovietnam.edu.vn/tienganhpatado_ptatdndl/?utm_source=Facebook&amp;utm_medium=MES&amp;utm_term=NEW_Philippines_2045_none_151223&amp;utm_content=saletructiep_Philippines.M97C72.2045.Giaotiep_PTATDNDL_LD183&amp;utm_campaign=Philippines.Giaotiep.M97C72_LHV.9822_MES_DungNT_151223" TargetMode="External"/><Relationship Id="rId706" Type="http://schemas.openxmlformats.org/officeDocument/2006/relationships/hyperlink" Target="https://patadovietnam.edu.vn/tienganhpatado_ptatdndl" TargetMode="External"/><Relationship Id="rId701" Type="http://schemas.openxmlformats.org/officeDocument/2006/relationships/hyperlink" Target="https://patadovietnam.edu.vn/tienganhtoandienpatado/?utm_source=Facebook&amp;utm_medium=CVS&amp;utm_term=NEW_Europe_2555_none_081223&amp;utm_content=saletructiep_Europe.M48C54.2555.Giaotiep_PTATDNDL_LD203&amp;utm_campaign=Europe.Giaotiep.M48C54_LHV.9822_CVS_DungNT_081223" TargetMode="External"/><Relationship Id="rId700" Type="http://schemas.openxmlformats.org/officeDocument/2006/relationships/hyperlink" Target="https://patadovietnam.edu.vn/tienganhtoandienpatado" TargetMode="External"/><Relationship Id="rId705" Type="http://schemas.openxmlformats.org/officeDocument/2006/relationships/hyperlink" Target="http://ldp.ink/M97C72_tienganhjapan" TargetMode="External"/><Relationship Id="rId704" Type="http://schemas.openxmlformats.org/officeDocument/2006/relationships/hyperlink" Target="https://patadovietnam.edu.vn/tienganhpatado_ptatdndl/?utm_source=Facebook&amp;utm_medium=CVS&amp;utm_term=NEW_Japan_1840_none_151223&amp;utm_content=saletructiep_Japan.M97C72.1840.Giaotiep_PTATDNDL_LD183&amp;utm_campaign=Japan.Giaotiep.M97C72_LHV.9822_CVS_DungNT_151223" TargetMode="External"/><Relationship Id="rId703" Type="http://schemas.openxmlformats.org/officeDocument/2006/relationships/hyperlink" Target="https://patadovietnam.edu.vn/tienganhpatado_ptatdndl" TargetMode="External"/><Relationship Id="rId702" Type="http://schemas.openxmlformats.org/officeDocument/2006/relationships/hyperlink" Target="http://ldp.ink/M48C54_tienganheurope" TargetMode="External"/><Relationship Id="rId729" Type="http://schemas.openxmlformats.org/officeDocument/2006/relationships/hyperlink" Target="https://patadovietnam.edu.vn/tienganhpatado_ptatdndl" TargetMode="External"/><Relationship Id="rId728" Type="http://schemas.openxmlformats.org/officeDocument/2006/relationships/hyperlink" Target="http://ldp.ink/all_ndlkt" TargetMode="External"/><Relationship Id="rId723" Type="http://schemas.openxmlformats.org/officeDocument/2006/relationships/hyperlink" Target="https://patadovietnam.edu.vn/tienganhpatado_ptatdndl" TargetMode="External"/><Relationship Id="rId722" Type="http://schemas.openxmlformats.org/officeDocument/2006/relationships/hyperlink" Target="http://ldp.ink/khoaieltscaptocdnt_all" TargetMode="External"/><Relationship Id="rId721" Type="http://schemas.openxmlformats.org/officeDocument/2006/relationships/hyperlink" Target="https://patadovietnam.edu.vn/khoaieltscaptoc_dnt/?utm_source=Facebook&amp;utm_medium=CVS&amp;utm_term=NEW_ALL_1850_none_231223&amp;utm_content=saletructiep_ALL.M109C86.1850.IELTS_PTATTNDL_LD214&amp;utm_campaign=ALL.IELTS.M109C86_LHV.9822_CVS_DungNT_231223" TargetMode="External"/><Relationship Id="rId720" Type="http://schemas.openxmlformats.org/officeDocument/2006/relationships/hyperlink" Target="https://patadovietnam.edu.vn/khoaieltscaptoc_dnt" TargetMode="External"/><Relationship Id="rId727" Type="http://schemas.openxmlformats.org/officeDocument/2006/relationships/hyperlink" Target="https://patadovietnam.edu.vn/tienganhnguoidilam_dnt/?utm_source=Facebook&amp;utm_medium=MES&amp;utm_term=NEW_ALL_1850_none_030124&amp;utm_content=saletructiep_ALL.M89C73.1850.Giaotiep_PTATTNDL_LD167&amp;utm_campaign=ALL.Giaotiep.M89C73_LHV.9822_MES_DungNT_030124" TargetMode="External"/><Relationship Id="rId726" Type="http://schemas.openxmlformats.org/officeDocument/2006/relationships/hyperlink" Target="https://patadovietnam.edu.vn/tienganhnguoidilam_dnt" TargetMode="External"/><Relationship Id="rId725" Type="http://schemas.openxmlformats.org/officeDocument/2006/relationships/hyperlink" Target="http://ldp.ink/all_bfat" TargetMode="External"/><Relationship Id="rId724" Type="http://schemas.openxmlformats.org/officeDocument/2006/relationships/hyperlink" Target="https://patadovietnam.edu.vn/tienganhpatado_ptatdndl/?utm_source=Facebook&amp;utm_medium=MES&amp;utm_term=NEW_ALL_1850_none_030124&amp;utm_content=saletructiep_ALL.M111C89.1850.Giaotiep_PTATTNDL_LD183&amp;utm_campaign=ALL.Giaotiep.M111C89_LHV.9822_MES_DungNT_030124" TargetMode="External"/><Relationship Id="rId719" Type="http://schemas.openxmlformats.org/officeDocument/2006/relationships/hyperlink" Target="http://ldp.ink/pvtdn_philippines" TargetMode="External"/><Relationship Id="rId718" Type="http://schemas.openxmlformats.org/officeDocument/2006/relationships/hyperlink" Target="https://patadovietnam.edu.vn/phong_van_doc_quyen_vicky_thao_dnguyen_phi/?utm_source=Facebook&amp;utm_medium=MES&amp;utm_term=NEW_Philippines_1845_none_201223&amp;utm_content=saletructiep_Philippines.M57C62.1845.Giaotiep_PTATTNDL_LD213&amp;utm_campaign=Philippines.Giaotiep.M57C62_LHV.9822_MES_DungNT_201223" TargetMode="External"/><Relationship Id="rId717" Type="http://schemas.openxmlformats.org/officeDocument/2006/relationships/hyperlink" Target="https://patadovietnam.edu.vn/phong_van_doc_quyen_vicky_thao_dnguyen_phi" TargetMode="External"/><Relationship Id="rId712" Type="http://schemas.openxmlformats.org/officeDocument/2006/relationships/hyperlink" Target="https://patadovietnam.edu.vn/phong_van_doc_quyen_vicky_thao_dnguyen_nhat" TargetMode="External"/><Relationship Id="rId711" Type="http://schemas.openxmlformats.org/officeDocument/2006/relationships/hyperlink" Target="http://ldp.ink/M97C72_tienganhdailoan" TargetMode="External"/><Relationship Id="rId710" Type="http://schemas.openxmlformats.org/officeDocument/2006/relationships/hyperlink" Target="https://patadovietnam.edu.vn/tienganhpatado_ptatdndl/?utm_source=Facebook&amp;utm_medium=MES&amp;utm_term=NEW_Taiwan_2045_none_151223&amp;utm_content=saletructiep_Taiwan.M97C72.2045.Giaotiep_PTATDNDL_LD183&amp;utm_campaign=Taiwan.Giaotiep.M97C72_LHV.9822_MES_DungNT_151223" TargetMode="External"/><Relationship Id="rId716" Type="http://schemas.openxmlformats.org/officeDocument/2006/relationships/hyperlink" Target="https://patadovietnam.edu.vn/phong_van_doc_quyen_vicky_thao_dnguyen_dai/?utm_source=Facebook&amp;utm_medium=MES&amp;utm_term=NEW_Taiwan_1845_none_201223&amp;utm_content=saletructiep_Taiwan.M57C62.1845.Giaotiep_PTATTNDL_LD207&amp;utm_campaign=Taiwan.Giaotiep.M57C62_LHV.9822_MES_DungNT_201223" TargetMode="External"/><Relationship Id="rId715" Type="http://schemas.openxmlformats.org/officeDocument/2006/relationships/hyperlink" Target="https://patadovietnam.edu.vn/phong_van_doc_quyen_vicky_thao_dnguyen_dai" TargetMode="External"/><Relationship Id="rId714" Type="http://schemas.openxmlformats.org/officeDocument/2006/relationships/hyperlink" Target="http://ldp.to/pvtdn_japan" TargetMode="External"/><Relationship Id="rId713" Type="http://schemas.openxmlformats.org/officeDocument/2006/relationships/hyperlink" Target="https://patadovietnam.edu.vn/phong_van_doc_quyen_vicky_thao_dnguyen_nhat/?utm_source=Facebook&amp;utm_medium=CVS&amp;utm_term=NEW_Japan_2050_none_201223&amp;utm_content=saletructiep_Japan.M57C62.2050.Giaotiep_PTATTNDL_LD206&amp;utm_campaign=Japan.Giaotiep.M57C62_LHV.9822_CVS_DungNT_201223" TargetMode="External"/><Relationship Id="rId789" Type="http://schemas.openxmlformats.org/officeDocument/2006/relationships/hyperlink" Target="https://patadovietnam.edu.vn/tienganhnguoidilam_dnt" TargetMode="External"/><Relationship Id="rId788" Type="http://schemas.openxmlformats.org/officeDocument/2006/relationships/hyperlink" Target="http://ldp.ink/3bpatado_hoaky" TargetMode="External"/><Relationship Id="rId787" Type="http://schemas.openxmlformats.org/officeDocument/2006/relationships/hyperlink" Target="https://patadovietnam.edu.vn/tienganhnguoidilam_dnt/?utm_source=Facebook&amp;utm_medium=MES&amp;utm_term=NEW_UnitedStates_2055_none_080124&amp;utm_content=saletructiep_UnitedStates.3bpatado.2055.Giaotiep_PTATDNDL_LD167&amp;utm_campaign=UnitedStates.Giaotiep.3bpatado_LHV.9822_MES_DungNT_080124" TargetMode="External"/><Relationship Id="rId786" Type="http://schemas.openxmlformats.org/officeDocument/2006/relationships/hyperlink" Target="https://patadovietnam.edu.vn/tienganhnguoidilam_dnt" TargetMode="External"/><Relationship Id="rId781" Type="http://schemas.openxmlformats.org/officeDocument/2006/relationships/hyperlink" Target="https://patadovietnam.edu.vn/tienganhpatado_d1/?utm_source=Facebook&amp;utm_medium=CVS&amp;utm_term=NEW_KoreaSouth_1840_none_040124&amp;utm_content=saletructiep_KoreaSouth.M99C76.1840.Giaotiep_PTATDNDL_LD144&amp;utm_campaign=KoreaSouth.Giaotiep.M99C76_LHV.9822_CVS_DungNT_040124" TargetMode="External"/><Relationship Id="rId780" Type="http://schemas.openxmlformats.org/officeDocument/2006/relationships/hyperlink" Target="https://patadovietnam.edu.vn/tienganhpatado_d1" TargetMode="External"/><Relationship Id="rId785" Type="http://schemas.openxmlformats.org/officeDocument/2006/relationships/hyperlink" Target="http://ldp.ink/abeaf_europe" TargetMode="External"/><Relationship Id="rId784" Type="http://schemas.openxmlformats.org/officeDocument/2006/relationships/hyperlink" Target="https://patadovietnam.edu.vn/tienganheurope_dnt/?utm_source=Facebook&amp;utm_medium=CVS&amp;utm_term=NEW_Europe_2055_none_050124&amp;utm_content=saletructiep_Europe.M74C36.1840.Giaotiep_PTATTNDL_LD151&amp;utm_campaign=Europe.Giaotiep.M74C36_LHV.9822_CVS_DungNT_050124" TargetMode="External"/><Relationship Id="rId783" Type="http://schemas.openxmlformats.org/officeDocument/2006/relationships/hyperlink" Target="https://patadovietnam.edu.vn/tienganheurope_dnt" TargetMode="External"/><Relationship Id="rId782" Type="http://schemas.openxmlformats.org/officeDocument/2006/relationships/hyperlink" Target="http://ldp.ink/cktal_korea" TargetMode="External"/><Relationship Id="rId778" Type="http://schemas.openxmlformats.org/officeDocument/2006/relationships/hyperlink" Target="https://patadovietnam.edu.vn/tienganhpatado_d1/?utm_source=Facebook&amp;utm_medium=CVS&amp;utm_term=NEW_Japan_1840_none_040124&amp;utm_content=saletructiep_Japan.M99C76.1840.Giaotiep_PTATDNDL_LD144&amp;utm_campaign=Japan.Giaotiep.M99C76_LHV.9822_CVS_DungNT_040124" TargetMode="External"/><Relationship Id="rId777" Type="http://schemas.openxmlformats.org/officeDocument/2006/relationships/hyperlink" Target="https://patadovietnam.edu.vn/tienganhpatado_d1" TargetMode="External"/><Relationship Id="rId776" Type="http://schemas.openxmlformats.org/officeDocument/2006/relationships/hyperlink" Target="http://ldp.ink/cktal_philippines" TargetMode="External"/><Relationship Id="rId775" Type="http://schemas.openxmlformats.org/officeDocument/2006/relationships/hyperlink" Target="https://patadovietnam.edu.vn/tienganhpatado_d1/?utm_source=Facebook&amp;utm_medium=MES&amp;utm_term=NEW_Philippines_2045_none_040124&amp;utm_content=saletructiep_Philippines.M99C76.2045.Giaotiep_PTATDNDL_LD144&amp;utm_campaign=Philippines.Giaotiep.M99C76_LHV.9822_MES_DungNT_040124" TargetMode="External"/><Relationship Id="rId779" Type="http://schemas.openxmlformats.org/officeDocument/2006/relationships/hyperlink" Target="http://ldp.ink/cktal_japan" TargetMode="External"/><Relationship Id="rId770" Type="http://schemas.openxmlformats.org/officeDocument/2006/relationships/hyperlink" Target="http://ldp.ink/cktal_australia" TargetMode="External"/><Relationship Id="rId774" Type="http://schemas.openxmlformats.org/officeDocument/2006/relationships/hyperlink" Target="https://patadovietnam.edu.vn/tienganhpatado_d1" TargetMode="External"/><Relationship Id="rId773" Type="http://schemas.openxmlformats.org/officeDocument/2006/relationships/hyperlink" Target="http://ldp.ink/cktal_taiwan" TargetMode="External"/><Relationship Id="rId772" Type="http://schemas.openxmlformats.org/officeDocument/2006/relationships/hyperlink" Target="https://patadovietnam.edu.vn/tienganhpatado_d1/?utm_source=Facebook&amp;utm_medium=MES&amp;utm_term=NEW_Taiwan_2045_none_040124&amp;utm_content=saletructiep_Taiwan.M99C76.2045.Giaotiep_PTATDNDL_LD144&amp;utm_campaign=Taiwan.Giaotiep.M99C76_LHV.9822_MES_DungNT_040124" TargetMode="External"/><Relationship Id="rId771" Type="http://schemas.openxmlformats.org/officeDocument/2006/relationships/hyperlink" Target="https://patadovietnam.edu.vn/tienganhpatado_d1" TargetMode="External"/><Relationship Id="rId799" Type="http://schemas.openxmlformats.org/officeDocument/2006/relationships/hyperlink" Target="https://patadovietnam.edu.vn/tienganhnguoidilam_dnt/?utm_source=Facebook&amp;utm_medium=MES&amp;utm_term=NEW_Philippines_2045_none_080124&amp;utm_content=saletructiep_Philippines.3bpatado.2045.Giaotiep_PTATDNDL_LD167&amp;utm_campaign=Philippines.Giaotiep.3bpatado_LHV.9822_MES_DungNT_080124" TargetMode="External"/><Relationship Id="rId798" Type="http://schemas.openxmlformats.org/officeDocument/2006/relationships/hyperlink" Target="https://patadovietnam.edu.vn/tienganhnguoidilam_dnt" TargetMode="External"/><Relationship Id="rId797" Type="http://schemas.openxmlformats.org/officeDocument/2006/relationships/hyperlink" Target="http://ldp.ink/3bpatado_taiwan" TargetMode="External"/><Relationship Id="rId792" Type="http://schemas.openxmlformats.org/officeDocument/2006/relationships/hyperlink" Target="https://patadovietnam.edu.vn/tienganhnguoidilam_dnt" TargetMode="External"/><Relationship Id="rId791" Type="http://schemas.openxmlformats.org/officeDocument/2006/relationships/hyperlink" Target="http://ldp.ink/3bpatado_canada" TargetMode="External"/><Relationship Id="rId790" Type="http://schemas.openxmlformats.org/officeDocument/2006/relationships/hyperlink" Target="https://patadovietnam.edu.vn/tienganhnguoidilam_dnt/?utm_source=Facebook&amp;utm_medium=MES&amp;utm_term=NEW_Canada_2055_none_080124&amp;utm_content=saletructiep_Canada.3bpatado.2055.Giaotiep_PTATDNDL_LD167&amp;utm_campaign=Canada.Giaotiep.3bpatado_LHV.9822_MES_DungNT_080124" TargetMode="External"/><Relationship Id="rId796" Type="http://schemas.openxmlformats.org/officeDocument/2006/relationships/hyperlink" Target="https://patadovietnam.edu.vn/tienganhnguoidilam_dnt/?utm_source=Facebook&amp;utm_medium=MES&amp;utm_term=NEW_Taiwan_2045_none_080124&amp;utm_content=saletructiep_Taiwan.3bpatado.2045.Giaotiep_PTATDNDL_LD167&amp;utm_campaign=Taiwan.Giaotiep.3bpatado_LHV.9822_MES_DungNT_080124" TargetMode="External"/><Relationship Id="rId795" Type="http://schemas.openxmlformats.org/officeDocument/2006/relationships/hyperlink" Target="https://patadovietnam.edu.vn/tienganhnguoidilam_dnt" TargetMode="External"/><Relationship Id="rId794" Type="http://schemas.openxmlformats.org/officeDocument/2006/relationships/hyperlink" Target="http://ldp.ink/3bpatado_australia" TargetMode="External"/><Relationship Id="rId793" Type="http://schemas.openxmlformats.org/officeDocument/2006/relationships/hyperlink" Target="https://patadovietnam.edu.vn/tienganhnguoidilam_dnt/?utm_source=Facebook&amp;utm_medium=MES&amp;utm_term=NEW_Australia_2055_none_080124&amp;utm_content=saletructiep_Australia.3bpatado.2055.Giaotiep_PTATDNDL_LD167&amp;utm_campaign=Australia.Giaotiep.3bpatado_LHV.9822_MES_DungNT_080124" TargetMode="External"/><Relationship Id="rId629" Type="http://schemas.openxmlformats.org/officeDocument/2006/relationships/hyperlink" Target="https://patadovietnam.edu.vn/phong_van_doc_quyen_vicky_thao_dnguyen" TargetMode="External"/><Relationship Id="rId624" Type="http://schemas.openxmlformats.org/officeDocument/2006/relationships/hyperlink" Target="https://patadovietnam.edu.vn/tienganhtoandienpatado" TargetMode="External"/><Relationship Id="rId623" Type="http://schemas.openxmlformats.org/officeDocument/2006/relationships/hyperlink" Target="http://ldp.ink/tienganhdl_canada" TargetMode="External"/><Relationship Id="rId622" Type="http://schemas.openxmlformats.org/officeDocument/2006/relationships/hyperlink" Target="https://patadovietnam.edu.vn/tienganhtoandienpatado/?utm_source=Facebook&amp;utm_medium=MES&amp;utm_term=NEW_Canada_2055_none_071123&amp;utm_content=saletructiep_Canada.anhdongluc.2055.Giaotiep_PTATDNDL_LD203&amp;utm_campaign=Canada.Giaotiep.anhdongluc_LHV.9822_MES_DungNT_071123" TargetMode="External"/><Relationship Id="rId621" Type="http://schemas.openxmlformats.org/officeDocument/2006/relationships/hyperlink" Target="https://patadovietnam.edu.vn/tienganhtoandienpatado" TargetMode="External"/><Relationship Id="rId628" Type="http://schemas.openxmlformats.org/officeDocument/2006/relationships/hyperlink" Target="http://ldp.ink/tienganhdl_japan" TargetMode="External"/><Relationship Id="rId627" Type="http://schemas.openxmlformats.org/officeDocument/2006/relationships/hyperlink" Target="https://patadovietnam.edu.vn/phong_van_doc_quyen_vicky_thao_dnguyen" TargetMode="External"/><Relationship Id="rId626" Type="http://schemas.openxmlformats.org/officeDocument/2006/relationships/hyperlink" Target="http://ldp.ink/tienganhdl_dailoan" TargetMode="External"/><Relationship Id="rId625" Type="http://schemas.openxmlformats.org/officeDocument/2006/relationships/hyperlink" Target="https://patadovietnam.edu.vn/tienganhtoandienpatado/?utm_source=Facebook&amp;utm_medium=MES&amp;utm_term=NEW_Taiwan_2045_none_071123&amp;utm_content=saletructiep_Taiwan.anhdongluc.2050.Giaotiep_PTATDNDL_LD203&amp;utm_campaign=Taiwan.Giaotiep.anhdongluc_LHV.9822_MES_DungNT_071123" TargetMode="External"/><Relationship Id="rId620" Type="http://schemas.openxmlformats.org/officeDocument/2006/relationships/hyperlink" Target="http://ldp.ink/tienganhdl_hoaky" TargetMode="External"/><Relationship Id="rId619" Type="http://schemas.openxmlformats.org/officeDocument/2006/relationships/hyperlink" Target="https://patadovietnam.edu.vn/tienganhtoandienpatado/?utm_source=Facebook&amp;utm_medium=MES&amp;utm_term=NEW_UnitedStates_2055_none_071123&amp;utm_content=saletructiep_UnitedStates.anhdongluc.2055.Giaotiep_PTATDNDL_LD203&amp;utm_campaign=UnitedStates.Giaotiep.anhdongluc_LHV.9822_MES_DungNT_071123" TargetMode="External"/><Relationship Id="rId618" Type="http://schemas.openxmlformats.org/officeDocument/2006/relationships/hyperlink" Target="https://patadovietnam.edu.vn/tienganhtoandienpatado" TargetMode="External"/><Relationship Id="rId613" Type="http://schemas.openxmlformats.org/officeDocument/2006/relationships/hyperlink" Target="https://patadovietnam.edu.vn/tienganhtoandienpatado/?utm_source=Facebook&amp;utm_medium=CVS&amp;utm_term=NEW_KoreaSouth_1840_none_071123&amp;utm_content=saletructiep_KoreaSouth.anhdongluc.1840.Giaotiep_PTATTNDL_LD203&amp;utm_campaign=KoreaSouth.Giaotiep.anhdongluc_LHV.9822_CVS_DungNT_071123" TargetMode="External"/><Relationship Id="rId612" Type="http://schemas.openxmlformats.org/officeDocument/2006/relationships/hyperlink" Target="https://patadovietnam.edu.vn/tienganhtoandienpatado" TargetMode="External"/><Relationship Id="rId611" Type="http://schemas.openxmlformats.org/officeDocument/2006/relationships/hyperlink" Target="http://ldp.ink/tienganhdl_japan" TargetMode="External"/><Relationship Id="rId610" Type="http://schemas.openxmlformats.org/officeDocument/2006/relationships/hyperlink" Target="https://patadovietnam.edu.vn/tienganhtoandienpatado_ptattndl/?utm_source=Facebook&amp;utm_medium=CVS&amp;utm_term=NEW_Japan_1840_none_071123&amp;utm_content=saletructiep_Japan.anhdongluc.1840.Giaotiep_PTATTNDL_LD210&amp;utm_campaign=Japan.Giaotiep.anhdongluc_LHV.9822_CVS_DungNT_071123" TargetMode="External"/><Relationship Id="rId617" Type="http://schemas.openxmlformats.org/officeDocument/2006/relationships/hyperlink" Target="http://ldp.ink/tienganhdl_australia" TargetMode="External"/><Relationship Id="rId616" Type="http://schemas.openxmlformats.org/officeDocument/2006/relationships/hyperlink" Target="https://patadovietnam.edu.vn/tienganhtoandienpatado/?utm_source=Facebook&amp;utm_medium=MES&amp;utm_term=NEW_Australia_2055_none_071123&amp;utm_content=saletructiep_Australia.anhdongluc.2055.Giaotiep_PTATDNDL_LD203&amp;utm_campaign=Australia.Giaotiep.anhdongluc_LHV.9822_MES_DungNT_071123" TargetMode="External"/><Relationship Id="rId615" Type="http://schemas.openxmlformats.org/officeDocument/2006/relationships/hyperlink" Target="https://patadovietnam.edu.vn/tienganhtoandienpatado" TargetMode="External"/><Relationship Id="rId614" Type="http://schemas.openxmlformats.org/officeDocument/2006/relationships/hyperlink" Target="http://ldp.ink/tienganhdl_korea" TargetMode="External"/><Relationship Id="rId646" Type="http://schemas.openxmlformats.org/officeDocument/2006/relationships/hyperlink" Target="https://patadovietnam.edu.vn/tienganhtoandienpatado" TargetMode="External"/><Relationship Id="rId645" Type="http://schemas.openxmlformats.org/officeDocument/2006/relationships/hyperlink" Target="http://ldp.ink/vdndl_japan" TargetMode="External"/><Relationship Id="rId644" Type="http://schemas.openxmlformats.org/officeDocument/2006/relationships/hyperlink" Target="https://patadovietnam.edu.vn/tienganhnguoidilam_ptatdndl/?utm_source=Facebook&amp;utm_medium=CVS&amp;utm_term=NEW_Japan_1840_none_141123&amp;utm_content=saletructiep_Japan.vdndl.1840.Giaotiep_PTATDNDL_LD184&amp;utm_campaign=Japan.Giaotiep.vdndl_LHV.9822_CVS_DungNT_141123" TargetMode="External"/><Relationship Id="rId643" Type="http://schemas.openxmlformats.org/officeDocument/2006/relationships/hyperlink" Target="https://patadovietnam.edu.vn/tienganhnguoidilam_ptatdndl" TargetMode="External"/><Relationship Id="rId649" Type="http://schemas.openxmlformats.org/officeDocument/2006/relationships/hyperlink" Target="https://patadovietnam.edu.vn/tienganhtoandienpatado" TargetMode="External"/><Relationship Id="rId648" Type="http://schemas.openxmlformats.org/officeDocument/2006/relationships/hyperlink" Target="http://ldp.ink/vdndl_korea" TargetMode="External"/><Relationship Id="rId647" Type="http://schemas.openxmlformats.org/officeDocument/2006/relationships/hyperlink" Target="https://patadovietnam.edu.vn/tienganhtoandienpatado/?utm_source=Facebook&amp;utm_medium=CVS&amp;utm_term=NEW_KoreaSouth_1840_none_141123&amp;utm_content=saletructiep_KoreaSouth.vdndl.1840.Giaotiep_PTATTNDL_LD203&amp;utm_campaign=KoreaSouth.Giaotiep.vdndl_LHV.9822_CVS_DungNT_141123" TargetMode="External"/><Relationship Id="rId642" Type="http://schemas.openxmlformats.org/officeDocument/2006/relationships/hyperlink" Target="http://ldp.ink/tienganhdl_dailoan" TargetMode="External"/><Relationship Id="rId641" Type="http://schemas.openxmlformats.org/officeDocument/2006/relationships/hyperlink" Target="https://patadovietnam.edu.vn/phong_van_doc_quyen_vicky_thao_dnguyen" TargetMode="External"/><Relationship Id="rId640" Type="http://schemas.openxmlformats.org/officeDocument/2006/relationships/hyperlink" Target="http://ldp.ink/tienganhdl_dailoan" TargetMode="External"/><Relationship Id="rId635" Type="http://schemas.openxmlformats.org/officeDocument/2006/relationships/hyperlink" Target="https://patadovietnam.edu.vn/phong_van_doc_quyen_vicky_thao_dnguyenn" TargetMode="External"/><Relationship Id="rId634" Type="http://schemas.openxmlformats.org/officeDocument/2006/relationships/hyperlink" Target="http://ldp.ink/tienganhdl_hoaky" TargetMode="External"/><Relationship Id="rId633" Type="http://schemas.openxmlformats.org/officeDocument/2006/relationships/hyperlink" Target="https://patadovietnam.edu.vn/phong_van_doc_quyen_vicky_thao_dnguyenn" TargetMode="External"/><Relationship Id="rId632" Type="http://schemas.openxmlformats.org/officeDocument/2006/relationships/hyperlink" Target="http://ldp.ink/tienganhdl_australia" TargetMode="External"/><Relationship Id="rId639" Type="http://schemas.openxmlformats.org/officeDocument/2006/relationships/hyperlink" Target="https://patadovietnam.edu.vn/phong_van_doc_quyen_vicky_thao_dnguyen" TargetMode="External"/><Relationship Id="rId638" Type="http://schemas.openxmlformats.org/officeDocument/2006/relationships/hyperlink" Target="http://ldp.ink/tienganhdl_dailoan" TargetMode="External"/><Relationship Id="rId637" Type="http://schemas.openxmlformats.org/officeDocument/2006/relationships/hyperlink" Target="https://patadovietnam.edu.vn/phong_van_doc_quyen_vicky_thao_dnguyen" TargetMode="External"/><Relationship Id="rId636" Type="http://schemas.openxmlformats.org/officeDocument/2006/relationships/hyperlink" Target="http://ldp.ink/tienganhdl_canada" TargetMode="External"/><Relationship Id="rId631" Type="http://schemas.openxmlformats.org/officeDocument/2006/relationships/hyperlink" Target="https://patadovietnam.edu.vn/phong_van_doc_quyen_vicky_thao_dnguyenn" TargetMode="External"/><Relationship Id="rId630" Type="http://schemas.openxmlformats.org/officeDocument/2006/relationships/hyperlink" Target="http://ldp.ink/tienganhdl_korea" TargetMode="External"/><Relationship Id="rId609" Type="http://schemas.openxmlformats.org/officeDocument/2006/relationships/hyperlink" Target="https://patadovietnam.edu.vn/tienganhtoandienpatado_ptattndl" TargetMode="External"/><Relationship Id="rId608" Type="http://schemas.openxmlformats.org/officeDocument/2006/relationships/hyperlink" Target="http://ldp.ink/tienganhndl_europe" TargetMode="External"/><Relationship Id="rId607" Type="http://schemas.openxmlformats.org/officeDocument/2006/relationships/hyperlink" Target="https://patadovietnam.edu.vn/tienganhtoandienpatado/?utm_source=Facebook&amp;utm_medium=CVS&amp;utm_term=NEW_Europe_2555_none_051123&amp;utm_content=saletructiep_Europe.Anhndl.2555.Giaotiep_PTATDNDL_LD203&amp;utm_campaign=Europe.Giaotiep.Anhndl_LHV.9822_CVS_DungNT_051123" TargetMode="External"/><Relationship Id="rId602" Type="http://schemas.openxmlformats.org/officeDocument/2006/relationships/hyperlink" Target="http://ldp.ink/tienganhndl_uc" TargetMode="External"/><Relationship Id="rId601" Type="http://schemas.openxmlformats.org/officeDocument/2006/relationships/hyperlink" Target="https://patadovietnam.edu.vn/tienganhpatado_ptatdndl/?utm_source=Facebook&amp;utm_medium=MES&amp;utm_term=NEW_Australia_2055_none_211023&amp;utm_content=saletructiep_Australia.anhndl.2045.Giaotiep_PTATDNDL_LD183&amp;utm_campaign=Australia.Giaotiep.anhndl_LHV.9822_MES_DungNT_211023" TargetMode="External"/><Relationship Id="rId600" Type="http://schemas.openxmlformats.org/officeDocument/2006/relationships/hyperlink" Target="https://patadovietnam.edu.vn/tienganhpatado_ptatdndl" TargetMode="External"/><Relationship Id="rId606" Type="http://schemas.openxmlformats.org/officeDocument/2006/relationships/hyperlink" Target="https://patadovietnam.edu.vn/tienganhtoandienpatado" TargetMode="External"/><Relationship Id="rId605" Type="http://schemas.openxmlformats.org/officeDocument/2006/relationships/hyperlink" Target="http://ldp.ink/tienganhtim_europe" TargetMode="External"/><Relationship Id="rId604" Type="http://schemas.openxmlformats.org/officeDocument/2006/relationships/hyperlink" Target="https://patadovietnam.edu.vn/tienganheurope_dnt/?utm_source=Facebook&amp;utm_medium=CVS&amp;utm_term=NEW_Europe_2555_none_041123&amp;utm_content=saletructiep_Europe.Anhtim.2555.Giaotiep_PTATDNDL_LD151&amp;utm_campaign=Europe.Giaotiep.Anhtim_LHV.9822_CVS_DungNT_041123" TargetMode="External"/><Relationship Id="rId603" Type="http://schemas.openxmlformats.org/officeDocument/2006/relationships/hyperlink" Target="https://patadovietnam.edu.vn/tienganheurope_dnt" TargetMode="External"/><Relationship Id="rId699" Type="http://schemas.openxmlformats.org/officeDocument/2006/relationships/hyperlink" Target="http://ldp.ink/M48C54_tienganhhoaky" TargetMode="External"/><Relationship Id="rId698" Type="http://schemas.openxmlformats.org/officeDocument/2006/relationships/hyperlink" Target="https://patadovietnam.edu.vn/tienganhtoandienpatado/?utm_source=Facebook&amp;utm_medium=MES&amp;utm_term=NEW_UnitedStates_2055_none_071223&amp;utm_content=saletructiep_UnitedStatesM48C54.2055.Giaotiep_PTATDNDL_LD203&amp;utm_campaign=UnitedStates.Giaotiep.M48C54_LHV.9822_MES_DungNT_071223" TargetMode="External"/><Relationship Id="rId693" Type="http://schemas.openxmlformats.org/officeDocument/2006/relationships/hyperlink" Target="http://ldp.ink/M48C54_tienganhjapan" TargetMode="External"/><Relationship Id="rId692" Type="http://schemas.openxmlformats.org/officeDocument/2006/relationships/hyperlink" Target="https://patadovietnam.edu.vn/tienganhtoandienpatado/?utm_source=Facebook&amp;utm_medium=CVS&amp;utm_term=NEW_Japan_1840_none_051223&amp;utm_content=saletructiep_Japan.M48C54.1840.Giaotiep_PTATDNDL_LD203&amp;utm_campaign=Japan.Giaotiep.M48C54_LHV.9822_CVS_DungNT_051223" TargetMode="External"/><Relationship Id="rId691" Type="http://schemas.openxmlformats.org/officeDocument/2006/relationships/hyperlink" Target="https://patadovietnam.edu.vn/tienganhtoandienpatado" TargetMode="External"/><Relationship Id="rId690" Type="http://schemas.openxmlformats.org/officeDocument/2006/relationships/hyperlink" Target="http://ldp.ink/M48C54_tienganhphilippines" TargetMode="External"/><Relationship Id="rId697" Type="http://schemas.openxmlformats.org/officeDocument/2006/relationships/hyperlink" Target="https://patadovietnam.edu.vn/tienganhtoandienpatado" TargetMode="External"/><Relationship Id="rId696" Type="http://schemas.openxmlformats.org/officeDocument/2006/relationships/hyperlink" Target="http://ldp.ink/M48C54_tienganhkorea" TargetMode="External"/><Relationship Id="rId695" Type="http://schemas.openxmlformats.org/officeDocument/2006/relationships/hyperlink" Target="https://patadovietnam.edu.vn/tienganhtoandienpatado/?utm_source=Facebook&amp;utm_medium=CVS&amp;utm_term=NEW_KoreaSouth_1840_none_051223&amp;utm_content=saletructiep_KoreaSouth.M48C54.1840.Giaotiep_PTATDNDL_LD203&amp;utm_campaign=KoreaSouth.Giaotiep.M48C54_LHV.9822_CVS_DungNT_051223" TargetMode="External"/><Relationship Id="rId694" Type="http://schemas.openxmlformats.org/officeDocument/2006/relationships/hyperlink" Target="https://patadovietnam.edu.vn/tienganhtoandienpatado" TargetMode="External"/><Relationship Id="rId668" Type="http://schemas.openxmlformats.org/officeDocument/2006/relationships/hyperlink" Target="https://patadovietnam.edu.vn/tienganhtoandienpatado/?utm_source=Facebook&amp;utm_medium=CVS&amp;utm_term=NEW_KoreaSouth_1840_none_171123&amp;utm_content=saletructiep_KoreaSouth.vdndl.1840.Giaotiep_PTATTNDL_LD203&amp;utm_campaign=KoreaSouth.Giaotiep.vdndl_LHV.9822_CVS_DungNT_171123" TargetMode="External"/><Relationship Id="rId667" Type="http://schemas.openxmlformats.org/officeDocument/2006/relationships/hyperlink" Target="https://patadovietnam.edu.vn/tienganhtoandienpatado" TargetMode="External"/><Relationship Id="rId666" Type="http://schemas.openxmlformats.org/officeDocument/2006/relationships/hyperlink" Target="http://ldp.ink/tienganhddv_malaysia" TargetMode="External"/><Relationship Id="rId665" Type="http://schemas.openxmlformats.org/officeDocument/2006/relationships/hyperlink" Target="https://patadovietnam.edu.vn/tienganhtoandienpatado_ptattndl/?utm_source=Facebook&amp;utm_medium=MES&amp;utm_term=NEW_Malaysia_2055_none_171123&amp;utm_content=saletructiep_Malaysia.M51C46.2045.Giaotiep_PTATTNDL_LD210&amp;utm_campaign=Malaysia.Giaotiep.M51C46_LHV.9822_MES_DungNT_171123" TargetMode="External"/><Relationship Id="rId669" Type="http://schemas.openxmlformats.org/officeDocument/2006/relationships/hyperlink" Target="http://ldp.ink/vdndl_koreasouth" TargetMode="External"/><Relationship Id="rId660" Type="http://schemas.openxmlformats.org/officeDocument/2006/relationships/hyperlink" Target="http://ldp.ink/tienganhddv_australia" TargetMode="External"/><Relationship Id="rId664" Type="http://schemas.openxmlformats.org/officeDocument/2006/relationships/hyperlink" Target="https://patadovietnam.edu.vn/tienganhtoandienpatado_ptattndl" TargetMode="External"/><Relationship Id="rId663" Type="http://schemas.openxmlformats.org/officeDocument/2006/relationships/hyperlink" Target="http://ldp.ink/tienganhddv_taiwan" TargetMode="External"/><Relationship Id="rId662" Type="http://schemas.openxmlformats.org/officeDocument/2006/relationships/hyperlink" Target="https://patadovietnam.edu.vn/tienganhtoandienpatado_ptattndl/?utm_source=Facebook&amp;utm_medium=MES&amp;utm_term=NEW_Taiwan_2045_none_171123&amp;utm_content=saletructiep_Taiwan.M51C46.2045.Giaotiep_PTATTNDL_LD210&amp;utm_campaign=Taiwan.Giaotiep.M51C46_LHV.9822_MES_DungNT_171123" TargetMode="External"/><Relationship Id="rId661" Type="http://schemas.openxmlformats.org/officeDocument/2006/relationships/hyperlink" Target="https://patadovietnam.edu.vn/tienganhtoandienpatado_ptattndl" TargetMode="External"/><Relationship Id="rId657" Type="http://schemas.openxmlformats.org/officeDocument/2006/relationships/hyperlink" Target="http://ldp.ink/tienganhddv_canada" TargetMode="External"/><Relationship Id="rId656" Type="http://schemas.openxmlformats.org/officeDocument/2006/relationships/hyperlink" Target="https://patadovietnam.edu.vn/tienganhtoandienpatado_ptattndl/?utm_source=Facebook&amp;utm_medium=MES&amp;utm_term=NEW_Canada_2055_none_171123&amp;utm_content=saletructiep_Canada.M51C46.2055.Giaotiep_PTATTNDL_LD210&amp;utm_campaign=Canada.Giaotiep.M51C46_LHV.9822_MES_DungNT_171123" TargetMode="External"/><Relationship Id="rId655" Type="http://schemas.openxmlformats.org/officeDocument/2006/relationships/hyperlink" Target="https://patadovietnam.edu.vn/tienganhtoandienpatado_ptattndl" TargetMode="External"/><Relationship Id="rId654" Type="http://schemas.openxmlformats.org/officeDocument/2006/relationships/hyperlink" Target="http://ldp.ink/tienganhddv_hoaky" TargetMode="External"/><Relationship Id="rId659" Type="http://schemas.openxmlformats.org/officeDocument/2006/relationships/hyperlink" Target="https://patadovietnam.edu.vn/tienganhtoandienpatado_ptattndl/?utm_source=Facebook&amp;utm_medium=MES&amp;utm_term=NEW_Australia_2055_none_171123&amp;utm_content=saletructiep_Australia.M51C46.2055.Giaotiep_PTATTNDL_LD210&amp;utm_campaign=Australia.Giaotiep.M51C46_LHV.9822_MES_DungNT_171123" TargetMode="External"/><Relationship Id="rId658" Type="http://schemas.openxmlformats.org/officeDocument/2006/relationships/hyperlink" Target="https://patadovietnam.edu.vn/tienganhtoandienpatado_ptattndl" TargetMode="External"/><Relationship Id="rId653" Type="http://schemas.openxmlformats.org/officeDocument/2006/relationships/hyperlink" Target="https://patadovietnam.edu.vn/tienganhtoandienpatado_ptattndl/?utm_source=Facebook&amp;utm_medium=MES&amp;utm_term=NEW_UnitedStates_2055_none_171123&amp;utm_content=saletructiep_UnitedStates.M51C46.2055.Giaotiep_PTATTNDL_LD210&amp;utm_campaign=UnitedStates.Giaotiep.M51C46_LHV.9822_MES_DungNT_171123" TargetMode="External"/><Relationship Id="rId652" Type="http://schemas.openxmlformats.org/officeDocument/2006/relationships/hyperlink" Target="https://patadovietnam.edu.vn/tienganhtoandienpatado_ptattndl" TargetMode="External"/><Relationship Id="rId651" Type="http://schemas.openxmlformats.org/officeDocument/2006/relationships/hyperlink" Target="http://ldp.ink/vdndl_taiwan" TargetMode="External"/><Relationship Id="rId650" Type="http://schemas.openxmlformats.org/officeDocument/2006/relationships/hyperlink" Target="https://patadovietnam.edu.vn/tienganhtoandienpatado/?utm_source=Facebook&amp;utm_medium=MES&amp;utm_term=NEW_Taiwan_2045_none_071123&amp;utm_content=saletructiep_Taiwan.vdndl.2050.Giaotiep_PTATDNDL_LD203&amp;utm_campaign=Taiwan.Giaotiep.vdndl_LHV.9822_MES_DungNT_071123" TargetMode="External"/><Relationship Id="rId689" Type="http://schemas.openxmlformats.org/officeDocument/2006/relationships/hyperlink" Target="https://patadovietnam.edu.vn/tienganhtoandienpatado/?utm_source=Facebook&amp;utm_medium=MES&amp;utm_term=NEW_Philippines_2045_none_051223&amp;utm_content=saletructiep_Philippines.M48C54.2045.Giaotiep_PTATDNDL_LD203&amp;utm_campaign=Philippines.Giaotiep.M48C54_LHV.9822_MES_DungNT_051223" TargetMode="External"/><Relationship Id="rId688" Type="http://schemas.openxmlformats.org/officeDocument/2006/relationships/hyperlink" Target="https://patadovietnam.edu.vn/tienganhtoandienpatado" TargetMode="External"/><Relationship Id="rId687" Type="http://schemas.openxmlformats.org/officeDocument/2006/relationships/hyperlink" Target="http://ldp.ink/M48C54_taiwan" TargetMode="External"/><Relationship Id="rId682" Type="http://schemas.openxmlformats.org/officeDocument/2006/relationships/hyperlink" Target="https://patadovietnam.edu.vn/tienganhtoandienpatado" TargetMode="External"/><Relationship Id="rId681" Type="http://schemas.openxmlformats.org/officeDocument/2006/relationships/hyperlink" Target="http://ldp.ink/M48C54_tienganhcanada" TargetMode="External"/><Relationship Id="rId680" Type="http://schemas.openxmlformats.org/officeDocument/2006/relationships/hyperlink" Target="https://patadovietnam.edu.vn/tienganhtoandienpatado/?utm_source=Facebook&amp;utm_medium=MES&amp;utm_term=NEW_Canada_2055_none_051223&amp;utm_content=saletructiep_Canada.M48C54.2055.Giaotiep_PTATDNDL_LD203&amp;utm_campaign=Canada.Giaotiep.M48C54_LHV.9822_MES_DungNT_051223" TargetMode="External"/><Relationship Id="rId686" Type="http://schemas.openxmlformats.org/officeDocument/2006/relationships/hyperlink" Target="https://patadovietnam.edu.vn/tienganhtoandienpatado/?utm_source=Facebook&amp;utm_medium=MES&amp;utm_term=NEW_Taiwan_2045_none_051223&amp;utm_content=saletructiep_Taiwan.M48C54.2045.Giaotiep_PTATDNDL_LD203&amp;utm_campaign=Taiwan.Giaotiep.M48C54_LHV.9822_MES_DungNT_051223" TargetMode="External"/><Relationship Id="rId685" Type="http://schemas.openxmlformats.org/officeDocument/2006/relationships/hyperlink" Target="https://patadovietnam.edu.vn/tienganhtoandienpatado" TargetMode="External"/><Relationship Id="rId684" Type="http://schemas.openxmlformats.org/officeDocument/2006/relationships/hyperlink" Target="http://ldp.ink/M48C54_tienganhaustralia" TargetMode="External"/><Relationship Id="rId683" Type="http://schemas.openxmlformats.org/officeDocument/2006/relationships/hyperlink" Target="https://patadovietnam.edu.vn/tienganhtoandienpatado/?utm_source=Facebook&amp;utm_medium=MES&amp;utm_term=NEW_Australia_2055_none_051223&amp;utm_content=saletructiep_Australia.M48C54.2055.Giaotiep_PTATDNDL_LD203&amp;utm_campaign=Australia.Giaotiep.M48C54_LHV.9822_MES_DungNT_051223" TargetMode="External"/><Relationship Id="rId679" Type="http://schemas.openxmlformats.org/officeDocument/2006/relationships/hyperlink" Target="https://patadovietnam.edu.vn/tienganhtoandienpatado" TargetMode="External"/><Relationship Id="rId678" Type="http://schemas.openxmlformats.org/officeDocument/2006/relationships/hyperlink" Target="http://ldp.ink/M48C54_tienganhhoaky" TargetMode="External"/><Relationship Id="rId677" Type="http://schemas.openxmlformats.org/officeDocument/2006/relationships/hyperlink" Target="https://patadovietnam.edu.vn/tienganhtoandienpatado/?utm_source=Facebook&amp;utm_medium=MES&amp;utm_term=NEW_UnitedStates_2055_none_051223&amp;utm_content=saletructiep_UnitedStatesanhndl.2055.Giaotiep_PTATDNDL_LD203&amp;utm_campaign=UnitedStates.Giaotiep.anhndl_LHV.9822_MES_DungNT_051223" TargetMode="External"/><Relationship Id="rId676" Type="http://schemas.openxmlformats.org/officeDocument/2006/relationships/hyperlink" Target="https://patadovietnam.edu.vn/tienganhtoandienpatado" TargetMode="External"/><Relationship Id="rId671" Type="http://schemas.openxmlformats.org/officeDocument/2006/relationships/hyperlink" Target="https://patadovietnam.edu.vn/tienganhpatado_ptatdndl/?utm_source=Facebook&amp;utm_medium=CVS&amp;utm_term=NEW_Japan_1840_none_221123&amp;utm_content=saletructiep_Japan.Anhtim.1840.Giaotiep_PTATDNDL_LD183&amp;utm_campaign=Japan.Giaotiep.Anhtim_LHV.9822_CVS_DungNT_221123" TargetMode="External"/><Relationship Id="rId670" Type="http://schemas.openxmlformats.org/officeDocument/2006/relationships/hyperlink" Target="https://patadovietnam.edu.vn/tienganhpatado_ptatdndl" TargetMode="External"/><Relationship Id="rId675" Type="http://schemas.openxmlformats.org/officeDocument/2006/relationships/hyperlink" Target="http://ldp.ink/tienganhjh_japan" TargetMode="External"/><Relationship Id="rId674" Type="http://schemas.openxmlformats.org/officeDocument/2006/relationships/hyperlink" Target="https://patadovietnam.edu.vn/tienganhnguoidilamjapann/?utm_source=Facebook&amp;utm_medium=CVS&amp;utm_term=NEW_Japan_1840_none_221123&amp;utm_content=saletructiep_Japan.anhht.1840.Giaotiep_PTATDNDL_LD182&amp;utm_campaign=Japan.Giaotiep.anhht_LHV.9822_CVS_DungNT_221123" TargetMode="External"/><Relationship Id="rId673" Type="http://schemas.openxmlformats.org/officeDocument/2006/relationships/hyperlink" Target="https://patadovietnam.edu.vn/tienganhnguoidilamjapann" TargetMode="External"/><Relationship Id="rId672" Type="http://schemas.openxmlformats.org/officeDocument/2006/relationships/hyperlink" Target="http://ldp.ink/tienganhtim_japan" TargetMode="External"/><Relationship Id="rId190" Type="http://schemas.openxmlformats.org/officeDocument/2006/relationships/hyperlink" Target="https://patadovietnam.edu.vn/tienganhpatado_d1" TargetMode="External"/><Relationship Id="rId194" Type="http://schemas.openxmlformats.org/officeDocument/2006/relationships/hyperlink" Target="https://patadovietnam.edu.vn/tienganhpatado_d1/?utm_source=Facebook&amp;utm_medium=MES&amp;utm_term=NEW_Taiwan_2050_none_120423&amp;utm_content=saletructiep_Taiwan.Anhsale10.2055.Giaotiep_PTATTNDL_LD144&amp;utm_campaign=Taiwan.Giaotiep.Anhsale10_LHV.9822_MES_DungNT_120423" TargetMode="External"/><Relationship Id="rId193" Type="http://schemas.openxmlformats.org/officeDocument/2006/relationships/hyperlink" Target="https://patadovietnam.edu.vn/tienganhpatado_d1" TargetMode="External"/><Relationship Id="rId192" Type="http://schemas.openxmlformats.org/officeDocument/2006/relationships/hyperlink" Target="http://ldp.to/tienganhaustralia_leaddnt" TargetMode="External"/><Relationship Id="rId191" Type="http://schemas.openxmlformats.org/officeDocument/2006/relationships/hyperlink" Target="https://patadovietnam.edu.vn/tienganhpatado_d1/?utm_source=Facebook&amp;utm_medium=Lead&amp;utm_term=NEW_Australia_2055_none_120423&amp;utm_content=saletructiep_Australia.Anhsale12.2055.Giaotiep_PTATTNDL_LD144&amp;utm_campaign=Australia.Giaotiep.Anhsale12_LHV.9822_LEAD_DungNT_120423" TargetMode="External"/><Relationship Id="rId187" Type="http://schemas.openxmlformats.org/officeDocument/2006/relationships/hyperlink" Target="https://patadovietnam.edu.vn/tienganhpatado_d1" TargetMode="External"/><Relationship Id="rId186" Type="http://schemas.openxmlformats.org/officeDocument/2006/relationships/hyperlink" Target="http://ldp.to/tienganhcanada_dntt" TargetMode="External"/><Relationship Id="rId185" Type="http://schemas.openxmlformats.org/officeDocument/2006/relationships/hyperlink" Target="https://patadovietnam.edu.vn/tienganhpatado_d1/?utm_source=Facebook&amp;utm_medium=MES&amp;utm_term=NEW_Canada_2055_none_070423&amp;utm_content=saletructiep_Canada.Anhsale10.2055.Giaotiep_PTATTNDL_LD144&amp;utm_campaign=Canada.Giaotiep.Anhsale10_LHV.9822_MES_DungNT_070423" TargetMode="External"/><Relationship Id="rId184" Type="http://schemas.openxmlformats.org/officeDocument/2006/relationships/hyperlink" Target="https://patadovietnam.edu.vn/tienganhpatado_d1" TargetMode="External"/><Relationship Id="rId189" Type="http://schemas.openxmlformats.org/officeDocument/2006/relationships/hyperlink" Target="http://ldp.to/tienganhsingapore_dnt" TargetMode="External"/><Relationship Id="rId188" Type="http://schemas.openxmlformats.org/officeDocument/2006/relationships/hyperlink" Target="https://patadovietnam.edu.vn/tienganhpatado_d1/?utm_source=Facebook&amp;utm_medium=MES&amp;utm_term=NEW_Singapore_2055_none_110423&amp;utm_content=saletructiep_Singapore.Anhsale12.2055.Giaotiep_PTATTNDL_LD144&amp;utm_campaign=Singapore.Giaotiep.Anhsale12_LHV.9822_MES_DungNT_110423" TargetMode="External"/><Relationship Id="rId183" Type="http://schemas.openxmlformats.org/officeDocument/2006/relationships/hyperlink" Target="http://ldp.to/tienganhtaiwan_dntt" TargetMode="External"/><Relationship Id="rId182" Type="http://schemas.openxmlformats.org/officeDocument/2006/relationships/hyperlink" Target="https://patadovietnam.edu.vn/tienganhpatado_d1/?utm_source=Facebook&amp;utm_medium=MES&amp;utm_term=NEW_Taiwan_1840_none_050423&amp;utm_content=saletructiep_Taiwan.Anhsale10.1840.Giaotiep_PTATTNDL_LD144&amp;utm_campaign=Taiwan.Giaotiep.Anhsale10_LHV.9822_MES_DungNT_050423" TargetMode="External"/><Relationship Id="rId181" Type="http://schemas.openxmlformats.org/officeDocument/2006/relationships/hyperlink" Target="https://patadovietnam.edu.vn/tienganhpatado_d1" TargetMode="External"/><Relationship Id="rId180" Type="http://schemas.openxmlformats.org/officeDocument/2006/relationships/hyperlink" Target="http://ldp.to/khoaieltspatado_dnt" TargetMode="External"/><Relationship Id="rId176" Type="http://schemas.openxmlformats.org/officeDocument/2006/relationships/hyperlink" Target="https://patadovietnam.edu.vn/tienganhpatado_d2/?utm_source=Facebook&amp;utm_medium=CVS&amp;utm_term=NEW_Japan_1840_none_010423&amp;utm_content=saletructiep_Japan.Anhsale10.1840.Giaotiep_PTATT_LD152&amp;utm_campaign=Japan.Giaotiep.Anhsale10_LHV.9822_CVS_DungNT_010423" TargetMode="External"/><Relationship Id="rId175" Type="http://schemas.openxmlformats.org/officeDocument/2006/relationships/hyperlink" Target="https://patadovietnam.edu.vn/tienganhpatado_d2" TargetMode="External"/><Relationship Id="rId174" Type="http://schemas.openxmlformats.org/officeDocument/2006/relationships/hyperlink" Target="http://ldp.to/tienganhtaiwan_dntt" TargetMode="External"/><Relationship Id="rId173" Type="http://schemas.openxmlformats.org/officeDocument/2006/relationships/hyperlink" Target="https://patadovietnam.edu.vn/tienganhpatado_d1/?utm_source=Facebook&amp;utm_medium=MES&amp;utm_term=NEW_Taiwan_1840_none_010423&amp;utm_content=saletructiep_Taiwan.Anhsale10.1840.Giaotiep_PTATTNDL_LD144&amp;utm_campaign=Taiwan.Giaotiep.Anhsale10_LHV.9822_MES_DungNT_010423" TargetMode="External"/><Relationship Id="rId179" Type="http://schemas.openxmlformats.org/officeDocument/2006/relationships/hyperlink" Target="https://patadovietnam.edu.vn/dungnt10_ielts_cvs/?utm_source=Facebook&amp;utm_medium=CVS&amp;utm_term=NEW_Vietnam_1850_none_010423&amp;utm_content=saletructiep_Vietnam.Anhielts1.1850.IELTS_PTATT_LD127&amp;utm_campaign=Vietnam.IELTS.Anhielts1_LHV.9822_CVS_DungNT_010423" TargetMode="External"/><Relationship Id="rId178" Type="http://schemas.openxmlformats.org/officeDocument/2006/relationships/hyperlink" Target="https://patadovietnam.edu.vn/dungnt10_ielts_cvs" TargetMode="External"/><Relationship Id="rId177" Type="http://schemas.openxmlformats.org/officeDocument/2006/relationships/hyperlink" Target="http://ldp.to/tienganhjapan_dnt2" TargetMode="External"/><Relationship Id="rId198" Type="http://schemas.openxmlformats.org/officeDocument/2006/relationships/hyperlink" Target="http://ldp.to/tienganheurope_leaddnt" TargetMode="External"/><Relationship Id="rId197" Type="http://schemas.openxmlformats.org/officeDocument/2006/relationships/hyperlink" Target="https://patadovietnam.edu.vn/tienganheurope_dnt/?utm_source=Facebook&amp;utm_medium=LEAD&amp;utm_term=NEW_Europe_2055_none_140423&amp;utm_content=saletructiep_Europe.Anhsale12.2055.Giaotiep_PTATTNDL_LD151&amp;utm_campaign=Europe.Giaotiep.Anhsale12_LHV.9822_LEAD_DungNT_140423" TargetMode="External"/><Relationship Id="rId196" Type="http://schemas.openxmlformats.org/officeDocument/2006/relationships/hyperlink" Target="https://patadovietnam.edu.vn/tienganheurope_dnt" TargetMode="External"/><Relationship Id="rId195" Type="http://schemas.openxmlformats.org/officeDocument/2006/relationships/hyperlink" Target="http://ldp.to/tienganhtaiwan_dnttt" TargetMode="External"/><Relationship Id="rId199" Type="http://schemas.openxmlformats.org/officeDocument/2006/relationships/hyperlink" Target="https://patadovietnam.edu.vn/tienganhusa_dntt" TargetMode="External"/><Relationship Id="rId150" Type="http://schemas.openxmlformats.org/officeDocument/2006/relationships/hyperlink" Target="https://patadovietnam.edu.vn/tienganhaustralia_d1" TargetMode="External"/><Relationship Id="rId149" Type="http://schemas.openxmlformats.org/officeDocument/2006/relationships/hyperlink" Target="http://ldp.to/tienganheurope_dntt" TargetMode="External"/><Relationship Id="rId148" Type="http://schemas.openxmlformats.org/officeDocument/2006/relationships/hyperlink" Target="https://patadovietnam.edu.vn/tienganheurope_dnt/?utm_source=Facebook&amp;utm_medium=CVS&amp;utm_term=NEW_Europe_2055_none_090323&amp;utm_content=saletructiep_Europe.Videogiangday.2055.Giaotiep_PTATTNDL_LD151&amp;utm_campaign=Europe.Giaotiep.Videogiangday_SCB.9889_CVS_DungNT_090323" TargetMode="External"/><Relationship Id="rId143" Type="http://schemas.openxmlformats.org/officeDocument/2006/relationships/hyperlink" Target="http://ldp.to/tienganhjapan_dnt1" TargetMode="External"/><Relationship Id="rId142" Type="http://schemas.openxmlformats.org/officeDocument/2006/relationships/hyperlink" Target="https://patadovietnam.edu.vn/tienganhjapan_dnt/?utm_source=Facebook&amp;utm_medium=MES&amp;utm_term=NEW_Japan_1840_none_020323&amp;utm_content=saletructiep_Japan.Anhsale10.1835.Giaotiep_PTATT_LD149&amp;utm_campaign=Japan.Giaotiep.Anhsale10_LHV.9822_MES_DungNT_020323" TargetMode="External"/><Relationship Id="rId141" Type="http://schemas.openxmlformats.org/officeDocument/2006/relationships/hyperlink" Target="https://patadovietnam.edu.vn/tienganhjapan_dnt/" TargetMode="External"/><Relationship Id="rId140" Type="http://schemas.openxmlformats.org/officeDocument/2006/relationships/hyperlink" Target="http://ldp.to/tienganhusa_dnt1323" TargetMode="External"/><Relationship Id="rId147" Type="http://schemas.openxmlformats.org/officeDocument/2006/relationships/hyperlink" Target="https://patadovietnam.edu.vn/tienganheurope_dnt" TargetMode="External"/><Relationship Id="rId146" Type="http://schemas.openxmlformats.org/officeDocument/2006/relationships/hyperlink" Target="http://ldp.to/tienganhkorea_dnt4323" TargetMode="External"/><Relationship Id="rId145" Type="http://schemas.openxmlformats.org/officeDocument/2006/relationships/hyperlink" Target="https://patadovietnam.edu.vn/tienganhpatado_d1/?utm_source=Facebook&amp;utm_medium=CVS&amp;utm_term=NEW_KoreaSouth_1840_none_3/4/2023&amp;utm_content=saletructiep_KoreaSouth.Anhsale10.1840.Giaotiep_PTATT_LD144&amp;utm_campaign=KoreaSouth.Giaotiep.Anhsale10_LHV.9822_CVS_DungNT_3/4/2023" TargetMode="External"/><Relationship Id="rId144" Type="http://schemas.openxmlformats.org/officeDocument/2006/relationships/hyperlink" Target="https://patadovietnam.edu.vn/tienganhpatado_d1" TargetMode="External"/><Relationship Id="rId139" Type="http://schemas.openxmlformats.org/officeDocument/2006/relationships/hyperlink" Target="https://patadovietnam.edu.vn/tienganhusa_dntt/?utm_source=Facebook&amp;utm_medium=MES&amp;utm_term=NEW_UnitedStates_2055_none_010323&amp;utm_content=saletructiep_UnitedStates.Anhsale10.2555.Giaotiep_PTATTNDL_LD150&amp;utm_campaign=UnitedStates.Giaotiep.Anhsale10_LHV.9822_MES_DungNT_010323" TargetMode="External"/><Relationship Id="rId138" Type="http://schemas.openxmlformats.org/officeDocument/2006/relationships/hyperlink" Target="https://patadovietnam.edu.vn/tienganhusa_dntt" TargetMode="External"/><Relationship Id="rId137" Type="http://schemas.openxmlformats.org/officeDocument/2006/relationships/hyperlink" Target="http://ldp.to/tienganhaustralia_dnt3123" TargetMode="External"/><Relationship Id="rId132" Type="http://schemas.openxmlformats.org/officeDocument/2006/relationships/hyperlink" Target="https://patadovietnam.edu.vn/tienganheurope_dnt" TargetMode="External"/><Relationship Id="rId131" Type="http://schemas.openxmlformats.org/officeDocument/2006/relationships/hyperlink" Target="http://ldp.to/tienganhcanada_dnt" TargetMode="External"/><Relationship Id="rId130" Type="http://schemas.openxmlformats.org/officeDocument/2006/relationships/hyperlink" Target="https://patadovietnam.edu.vn/tienganhpatado_d1/?utm_source=Facebook&amp;utm_medium=MES&amp;utm_term=NEW_Canada_2555_none_050223&amp;utm_content=saletructiep_Canada.Anhsale10.2555.Giaotiep_PTATTNDL_LD144&amp;utm_campaign=Canada.Giaotiep.Anhsale10_SCB.9889_MES_DungNT_050223" TargetMode="External"/><Relationship Id="rId136" Type="http://schemas.openxmlformats.org/officeDocument/2006/relationships/hyperlink" Target="https://patadovietnam.edu.vn/tienganhaustralia_d1/?utm_source=Facebook&amp;utm_medium=MES&amp;utm_term=NEW_Australia_2055_none_010323&amp;utm_content=saletructiep_Australia.Anhsale10.2550.Giaotiep_PTATTNDL_LD143&amp;utm_campaign=Australia.Giaotiep.Anhsale10_LHV.9822_MES_DungNT_010323" TargetMode="External"/><Relationship Id="rId135" Type="http://schemas.openxmlformats.org/officeDocument/2006/relationships/hyperlink" Target="https://patadovietnam.edu.vn/tienganhaustralia_d1" TargetMode="External"/><Relationship Id="rId134" Type="http://schemas.openxmlformats.org/officeDocument/2006/relationships/hyperlink" Target="http://ldp.to/tienganheurope_dnt" TargetMode="External"/><Relationship Id="rId133" Type="http://schemas.openxmlformats.org/officeDocument/2006/relationships/hyperlink" Target="https://patadovietnam.edu.vn/tienganheurope_dnt/?utm_source=Facebook&amp;utm_medium=CVS&amp;utm_term=NEW_Europe_2055_none_100223&amp;utm_content=saletructiep_Europe.Anhsale10.2055.Giaotiep_PTATTNDL_LD151&amp;utm_campaign=Europe.Giaotiep.Anhsale10_SCB.9889_CVS_DungNT_100223" TargetMode="External"/><Relationship Id="rId172" Type="http://schemas.openxmlformats.org/officeDocument/2006/relationships/hyperlink" Target="https://patadovietnam.edu.vn/tienganhpatado_d1" TargetMode="External"/><Relationship Id="rId171" Type="http://schemas.openxmlformats.org/officeDocument/2006/relationships/hyperlink" Target="http://ldp.to/tienganhkorea_010423" TargetMode="External"/><Relationship Id="rId170" Type="http://schemas.openxmlformats.org/officeDocument/2006/relationships/hyperlink" Target="https://patadovietnam.edu.vn/tienganhpatado_d2/?utm_source=Facebook&amp;utm_medium=CVS&amp;utm_term=NEW_KoreaSouth_1840_none_010423&amp;utm_content=saletructiep_KoreaSouth.Anhsale10.1840.Giaotiep_PTATT_LD152&amp;utm_campaign=KoreaSouth.Giaotiep.Anhsale10_LHV.9822_CVS_DungNT_010423" TargetMode="External"/><Relationship Id="rId165" Type="http://schemas.openxmlformats.org/officeDocument/2006/relationships/hyperlink" Target="http://ldp.to/tienganhkorea_dntt140323" TargetMode="External"/><Relationship Id="rId164" Type="http://schemas.openxmlformats.org/officeDocument/2006/relationships/hyperlink" Target="https://patadovietnam.edu.vn/tienganhpatado_d1/?utm_source=Facebook&amp;utm_medium=MES&amp;utm_term=NEW_KoreaSouth_1840_none_140323&amp;utm_content=saletructiep_KoreaSouth.Anhsale10.1840.Giaotiep_PTATT_LD144&amp;utm_campaign=KoreaSouth.Giaotiep.Anhsale10_LHV.9822_MES_DungNT_140323" TargetMode="External"/><Relationship Id="rId163" Type="http://schemas.openxmlformats.org/officeDocument/2006/relationships/hyperlink" Target="https://patadovietnam.edu.vn/tienganhpatado_d1" TargetMode="External"/><Relationship Id="rId162" Type="http://schemas.openxmlformats.org/officeDocument/2006/relationships/hyperlink" Target="https://patadovietnam.edu.vn/tienganhjapan_dnt/?utm_source=Facebook&amp;utm_medium=MES&amp;utm_term=NEW_Japan_1840_none_150323&amp;utm_content=saletructiep_Japan.Anhsale10.1840.Giaotiep_PTATT_LD149&amp;utm_campaign=Japan.Giaotiep.Anhsale10_LHV.9822_MES_DungNT_150323" TargetMode="External"/><Relationship Id="rId169" Type="http://schemas.openxmlformats.org/officeDocument/2006/relationships/hyperlink" Target="https://patadovietnam.edu.vn/tienganhpatado_d2" TargetMode="External"/><Relationship Id="rId168" Type="http://schemas.openxmlformats.org/officeDocument/2006/relationships/hyperlink" Target="http://ldp.to/tienganhusa_dntttt" TargetMode="External"/><Relationship Id="rId167" Type="http://schemas.openxmlformats.org/officeDocument/2006/relationships/hyperlink" Target="https://patadovietnam.edu.vn/tienganhusa_dntt/?utm_source=Facebook&amp;utm_medium=MES&amp;utm_term=NEW_UnitedStates_2555_none_130323&amp;utm_content=saletructiep_UnitedStates.Videogiangday.2555.Giaotiep_PTATTNDL_LD150&amp;utm_campaign=UnitedStates.Giaotiep.Videogiangday_LHV.9822_MES_DungNT_130323" TargetMode="External"/><Relationship Id="rId166" Type="http://schemas.openxmlformats.org/officeDocument/2006/relationships/hyperlink" Target="https://patadovietnam.edu.vn/tienganhusa_dntt" TargetMode="External"/><Relationship Id="rId161" Type="http://schemas.openxmlformats.org/officeDocument/2006/relationships/hyperlink" Target="https://patadovietnam.edu.vn/tienganhjapan_dnt/" TargetMode="External"/><Relationship Id="rId160" Type="http://schemas.openxmlformats.org/officeDocument/2006/relationships/hyperlink" Target="http://ldp.to/tienganhaustralia_video" TargetMode="External"/><Relationship Id="rId159" Type="http://schemas.openxmlformats.org/officeDocument/2006/relationships/hyperlink" Target="https://patadovietnam.edu.vn/tienganhaustralia_d1/?utm_source=Facebook&amp;utm_medium=MES&amp;utm_term=NEW_Australia_2055_none_130323&amp;utm_content=saletructiep_Australia.Videogiangday.2555.Giaotiep_PTATTNDL_LD143&amp;utm_campaign=Australia.Giaotiep.Videogiangday_LHV.9822_MES_DungNT_130323" TargetMode="External"/><Relationship Id="rId154" Type="http://schemas.openxmlformats.org/officeDocument/2006/relationships/hyperlink" Target="https://patadovietnam.edu.vn/tienganhpatado_d2/?utm_source=Facebook&amp;utm_medium=MES&amp;utm_term=NEW_Malaysia_2055_none_100323&amp;utm_content=saletructiep_Malaysia.Anhsale10.2055.Giaotiep_PTATT_LD152&amp;utm_campaign=Malaysia.Giaotiep.Anhsale10_LHV.9822_MES_DungNT_100323" TargetMode="External"/><Relationship Id="rId153" Type="http://schemas.openxmlformats.org/officeDocument/2006/relationships/hyperlink" Target="https://patadovietnam.edu.vn/tienganhpatado_d2" TargetMode="External"/><Relationship Id="rId152" Type="http://schemas.openxmlformats.org/officeDocument/2006/relationships/hyperlink" Target="http://ldp.to/tienganhaustralia_d2" TargetMode="External"/><Relationship Id="rId151" Type="http://schemas.openxmlformats.org/officeDocument/2006/relationships/hyperlink" Target="https://patadovietnam.edu.vn/tienganhaustralia_d1/?utm_source=Facebook&amp;utm_medium=CVS&amp;utm_term=NEW_Australia_2055_none_100323&amp;utm_content=saletructiep_Australia.Videogiangday.2550.Giaotiep_PTATTNDL_LD143&amp;utm_campaign=Australia.Giaotiep.Videogiangday_LHV.9822_CVS_DungNT_100323" TargetMode="External"/><Relationship Id="rId158" Type="http://schemas.openxmlformats.org/officeDocument/2006/relationships/hyperlink" Target="https://patadovietnam.edu.vn/tienganhaustralia_d1" TargetMode="External"/><Relationship Id="rId157" Type="http://schemas.openxmlformats.org/officeDocument/2006/relationships/hyperlink" Target="http://ldp.to/tienganhusa_dnttt" TargetMode="External"/><Relationship Id="rId156" Type="http://schemas.openxmlformats.org/officeDocument/2006/relationships/hyperlink" Target="https://patadovietnam.edu.vn/tienganhusa_dntt/?utm_source=Facebook&amp;utm_medium=MES&amp;utm_term=NEW_UnitedStates_2555_none_130323&amp;utm_content=saletructiep_UnitedStates.Videogiangday.2555.Giaotiep_PTATTNDL_LD150&amp;utm_campaign=UnitedStates.Giaotiep.Videogiangday_LHV.9822_MES_DungNT_130323" TargetMode="External"/><Relationship Id="rId155" Type="http://schemas.openxmlformats.org/officeDocument/2006/relationships/hyperlink" Target="https://patadovietnam.edu.vn/tienganhusa_dntt" TargetMode="External"/><Relationship Id="rId932" Type="http://schemas.openxmlformats.org/officeDocument/2006/relationships/hyperlink" Target="http://ldp.ink/metatt_philippines" TargetMode="External"/><Relationship Id="rId931" Type="http://schemas.openxmlformats.org/officeDocument/2006/relationships/hyperlink" Target="https://patadovietnam.edu.vn/tienganhnguoidilam_dnt/?utm_source=Facebook&amp;utm_medium=MES&amp;utm_term=NEW_Philippines_2050_none_060224&amp;utm_content=saletructiep_Philippines.metatt.2050.Giaotiep_PTATTNDL_LD167&amp;utm_campaign=Philippines.Giaotiep.metatt_LHV.9822_MES_DungNT_060224" TargetMode="External"/><Relationship Id="rId930" Type="http://schemas.openxmlformats.org/officeDocument/2006/relationships/hyperlink" Target="https://patadovietnam.edu.vn/tienganhnguoidilam_dnt" TargetMode="External"/><Relationship Id="rId933" Type="http://schemas.openxmlformats.org/officeDocument/2006/relationships/drawing" Target="../drawings/drawing11.xml"/><Relationship Id="rId107" Type="http://schemas.openxmlformats.org/officeDocument/2006/relationships/hyperlink" Target="https://patadovietnam.edu.vn/tienganhkorea_dnt/" TargetMode="External"/><Relationship Id="rId106" Type="http://schemas.openxmlformats.org/officeDocument/2006/relationships/hyperlink" Target="http://ldp.to/tienganhusa270123" TargetMode="External"/><Relationship Id="rId105" Type="http://schemas.openxmlformats.org/officeDocument/2006/relationships/hyperlink" Target="https://patadovietnam.edu.vn/tienganhusa270123/?utm_source=Facebook&amp;utm_medium=MES&amp;utm_term=NEW_UnitedStates_3055_none_270123&amp;utm_content=saletructiep_UnitedStates.Anhsale10.3055.Giaotiep_PTATTNDL_LD147&amp;utm_campaign=UnitedStates.Giaotiep.Anhsale10_LHV.9822_MES_DungNT_270123" TargetMode="External"/><Relationship Id="rId104" Type="http://schemas.openxmlformats.org/officeDocument/2006/relationships/hyperlink" Target="https://patadovietnam.edu.vn/tienganhusa270123" TargetMode="External"/><Relationship Id="rId109" Type="http://schemas.openxmlformats.org/officeDocument/2006/relationships/hyperlink" Target="http://ldp.to/tienganhkorea_dnt" TargetMode="External"/><Relationship Id="rId108" Type="http://schemas.openxmlformats.org/officeDocument/2006/relationships/hyperlink" Target="https://patadovietnam.edu.vn/tienganhkorea_dnt/?utm_source=Facebook&amp;utm_medium=MES&amp;utm_term=NEW_KoreaSouth_1835_none_310123&amp;utm_content=saletructiep_KoreaSouth.Anhsale10.1835.Giaotiep_PTATTNDL_LD148&amp;utm_campaign=KoreaSouth.Giaotiep.Anhsale10_LHV.9822_MES_DungNT_310123" TargetMode="External"/><Relationship Id="rId103" Type="http://schemas.openxmlformats.org/officeDocument/2006/relationships/hyperlink" Target="https://patadovietnam.edu.vn/hoctienganhhalann" TargetMode="External"/><Relationship Id="rId102" Type="http://schemas.openxmlformats.org/officeDocument/2006/relationships/hyperlink" Target="https://patadovietnam.edu.vn/tienganhthuydien" TargetMode="External"/><Relationship Id="rId101" Type="http://schemas.openxmlformats.org/officeDocument/2006/relationships/hyperlink" Target="https://patadovietnam.edu.vn/tienganhdanmach" TargetMode="External"/><Relationship Id="rId100" Type="http://schemas.openxmlformats.org/officeDocument/2006/relationships/hyperlink" Target="http://ldp.to/tienganhireland" TargetMode="External"/><Relationship Id="rId129" Type="http://schemas.openxmlformats.org/officeDocument/2006/relationships/hyperlink" Target="https://patadovietnam.edu.vn/tienganhpatado_d1" TargetMode="External"/><Relationship Id="rId128" Type="http://schemas.openxmlformats.org/officeDocument/2006/relationships/hyperlink" Target="http://ldp.to/tienganhnguoidilam_dnt" TargetMode="External"/><Relationship Id="rId127" Type="http://schemas.openxmlformats.org/officeDocument/2006/relationships/hyperlink" Target="https://patadovietnam.edu.vn/tienganhpatado_d1/?utm_source=Facebook&amp;utm_medium=CVS&amp;utm_term=NEW_UnitedKingdom_2550_none_050223&amp;utm_content=saletructiep_UnitedKingdom.Anhsale10.2550.Giaotiep_PTATTNDL_LD144&amp;utm_campaign=UnitedKingdom.Giaotiep.Anhsale10_SCB.9889_CVS_DungNT_050223" TargetMode="External"/><Relationship Id="rId126" Type="http://schemas.openxmlformats.org/officeDocument/2006/relationships/hyperlink" Target="https://patadovietnam.edu.vn/tienganhpatado_d1" TargetMode="External"/><Relationship Id="rId121" Type="http://schemas.openxmlformats.org/officeDocument/2006/relationships/hyperlink" Target="https://patadovietnam.edu.vn/tienganhpatado_d1" TargetMode="External"/><Relationship Id="rId120" Type="http://schemas.openxmlformats.org/officeDocument/2006/relationships/hyperlink" Target="http://ldp.to/tienganhtaiwan_dnt1" TargetMode="External"/><Relationship Id="rId125" Type="http://schemas.openxmlformats.org/officeDocument/2006/relationships/hyperlink" Target="http://ldp.to/tienganhusa_dntt" TargetMode="External"/><Relationship Id="rId124" Type="http://schemas.openxmlformats.org/officeDocument/2006/relationships/hyperlink" Target="https://patadovietnam.edu.vn/tienganhusa_dntt/?utm_source=Facebook&amp;utm_medium=MES&amp;utm_term=NEW_UnitedStates_2555_none_050223&amp;utm_content=saletructiep_UnitedStates.Anhsale10.2555.Giaotiep_PTATTNDL_LD150&amp;utm_campaign=UnitedStates.Giaotiep.Anhsale10_LHV.9822_MES_DungNT_050223" TargetMode="External"/><Relationship Id="rId123" Type="http://schemas.openxmlformats.org/officeDocument/2006/relationships/hyperlink" Target="https://patadovietnam.edu.vn/tienganhusa_dntt" TargetMode="External"/><Relationship Id="rId122" Type="http://schemas.openxmlformats.org/officeDocument/2006/relationships/hyperlink" Target="https://patadovietnam.edu.vn/tienganhpatado_d1/?utm_source=Facebook&amp;utm_medium=MES&amp;utm_term=NEW_Singapore_1850_none_030223&amp;utm_content=saletructiep_Singapore.Anhsale10.1850.Giaotiep_PTATTNDL_LD144&amp;utm_campaign=Singapore.Giaotiep.Anhsale10_LHV.9822_MES_DungNT_030223" TargetMode="External"/><Relationship Id="rId118" Type="http://schemas.openxmlformats.org/officeDocument/2006/relationships/hyperlink" Target="https://patadovietnam.edu.vn/tienganhpatado_d1" TargetMode="External"/><Relationship Id="rId117" Type="http://schemas.openxmlformats.org/officeDocument/2006/relationships/hyperlink" Target="http://ldp.to/tienganhkorea_dntt" TargetMode="External"/><Relationship Id="rId116" Type="http://schemas.openxmlformats.org/officeDocument/2006/relationships/hyperlink" Target="https://patadovietnam.edu.vn/tienganhkorea_dnt/?utm_source=Facebook&amp;utm_medium=MES&amp;utm_term=NEW_KoreaSouth_1835_none_010223&amp;utm_content=saletructiep_KoreaSouth.Anhsale10.1835.Giaotiep_PTATTNDL_LD148&amp;utm_campaign=KoreaSouth.Giaotiep.Anhsale10_LHV.9822_MES_DungNT_010223" TargetMode="External"/><Relationship Id="rId115" Type="http://schemas.openxmlformats.org/officeDocument/2006/relationships/hyperlink" Target="https://patadovietnam.edu.vn/tienganhkorea_dnt/" TargetMode="External"/><Relationship Id="rId119" Type="http://schemas.openxmlformats.org/officeDocument/2006/relationships/hyperlink" Target="https://patadovietnam.edu.vn/tienganhpatado_d1/?utm_source=Facebook&amp;utm_medium=MES&amp;utm_term=NEW_Taiwan_1845_none_030223&amp;utm_content=saletructiep_Taiwan.Anhsale10.1845.Giaotiep_PTATTNDL_LD144&amp;utm_campaign=Taiwan.Giaotiep.Anhsale10_LHV.9822_MES_DungNT_030223" TargetMode="External"/><Relationship Id="rId110" Type="http://schemas.openxmlformats.org/officeDocument/2006/relationships/hyperlink" Target="https://patadovietnam.edu.vn/tienganhjapan_dnt/" TargetMode="External"/><Relationship Id="rId114" Type="http://schemas.openxmlformats.org/officeDocument/2006/relationships/hyperlink" Target="https://patadovietnam.edu.vn/tienganhaustralia_d1/?utm_source=Facebook&amp;utm_medium=MES&amp;utm_term=NEW_Australia_2050_none_310123&amp;utm_content=saletructiep_Australia.Anhsale10.2550.Giaotiep_PTATTNDL_LD143&amp;utm_campaign=Australia.Giaotiep.Anhsale10_LHV.9822_MES_DungNT_310123" TargetMode="External"/><Relationship Id="rId113" Type="http://schemas.openxmlformats.org/officeDocument/2006/relationships/hyperlink" Target="https://patadovietnam.edu.vn/tienganhaustralia_d1" TargetMode="External"/><Relationship Id="rId112" Type="http://schemas.openxmlformats.org/officeDocument/2006/relationships/hyperlink" Target="http://ldp.to/tienganhjapan_dnt" TargetMode="External"/><Relationship Id="rId111" Type="http://schemas.openxmlformats.org/officeDocument/2006/relationships/hyperlink" Target="https://patadovietnam.edu.vn/tienganhjapan_dnt/?utm_source=Facebook&amp;utm_medium=MES&amp;utm_term=NEW_Japan_1835_none_310123&amp;utm_content=saletructiep_Japan.Anhsale10.1835.Giaotiep_PTATT_LD149&amp;utm_campaign=Japan.Giaotiep.Anhsale10_LHV.9822_MES_DungNT_310123" TargetMode="External"/><Relationship Id="rId907" Type="http://schemas.openxmlformats.org/officeDocument/2006/relationships/hyperlink" Target="https://patadovietnam.edu.vn/tienganhnguoidilamkorea/?utm_source=Facebook&amp;utm_medium=CVS&amp;utm_term=NEW_KoreaSouth_2050_none_060224&amp;utm_content=saletructiep_KoreaSouth.Anhkg.2050.Giaotiep_PTATTNDL_LD174&amp;utm_campaign=KoreaSouth.Giaotiep.Anhkg_LHV.9822_CVS_DungNT_060224" TargetMode="External"/><Relationship Id="rId906" Type="http://schemas.openxmlformats.org/officeDocument/2006/relationships/hyperlink" Target="https://patadovietnam.edu.vn/tienganhnguoidilamkorea" TargetMode="External"/><Relationship Id="rId905" Type="http://schemas.openxmlformats.org/officeDocument/2006/relationships/hyperlink" Target="http://ldp.ink/tienganhkg_japan" TargetMode="External"/><Relationship Id="rId904" Type="http://schemas.openxmlformats.org/officeDocument/2006/relationships/hyperlink" Target="https://patadovietnam.edu.vn/tienganhnguoidilamjapan/?utm_source=Facebook&amp;utm_medium=CVS&amp;utm_term=NEW_Japan_2050_none_060224&amp;utm_content=saletructiep_Japan.Anhkg.2050.Giaotiep_PTATTNDL_LD176&amp;utm_campaign=Japan.Giaotiep.Anhkg_LHV.9822_CVS_DungNT_060224" TargetMode="External"/><Relationship Id="rId909" Type="http://schemas.openxmlformats.org/officeDocument/2006/relationships/hyperlink" Target="https://patadovietnam.edu.vn/tienganhtoandienpatado_ptattndl" TargetMode="External"/><Relationship Id="rId908" Type="http://schemas.openxmlformats.org/officeDocument/2006/relationships/hyperlink" Target="http://ldp.ink/tienganhkg_korea" TargetMode="External"/><Relationship Id="rId903" Type="http://schemas.openxmlformats.org/officeDocument/2006/relationships/hyperlink" Target="https://patadovietnam.edu.vn/tienganhnguoidilamjapan" TargetMode="External"/><Relationship Id="rId902" Type="http://schemas.openxmlformats.org/officeDocument/2006/relationships/hyperlink" Target="http://ldp.ink/tienganhkg_uc" TargetMode="External"/><Relationship Id="rId901" Type="http://schemas.openxmlformats.org/officeDocument/2006/relationships/hyperlink" Target="https://patadovietnam.edu.vn/tienganhtoandienpatado_ptattndl/?utm_source=Facebook&amp;utm_medium=MES&amp;utm_term=NEW_Australia_2050_none_060224&amp;utm_content=saletructiep_Australia.Anhkg.2050.Giaotiep_PTATTNDL_LD210&amp;utm_campaign=Australia.Giaotiep.Anhkg_LHV.9822_MES_DungNT_060224" TargetMode="External"/><Relationship Id="rId900" Type="http://schemas.openxmlformats.org/officeDocument/2006/relationships/hyperlink" Target="https://patadovietnam.edu.vn/tienganhtoandienpatado_ptattndl" TargetMode="External"/><Relationship Id="rId929" Type="http://schemas.openxmlformats.org/officeDocument/2006/relationships/hyperlink" Target="http://ldp.ink/metatt_taiwan" TargetMode="External"/><Relationship Id="rId928" Type="http://schemas.openxmlformats.org/officeDocument/2006/relationships/hyperlink" Target="https://patadovietnam.edu.vn/tienganhtoandienpatado_ptattndl/?utm_source=Facebook&amp;utm_medium=MES&amp;utm_term=NEW_Taiwan_2050_none_060224&amp;utm_content=saletructiep_Taiwan.metatt.2050.Giaotiep_PTATTNDL_LD210&amp;utm_campaign=Taiwan.Giaotiep.metatt_LHV.9822_MES_DungNT_060224" TargetMode="External"/><Relationship Id="rId927" Type="http://schemas.openxmlformats.org/officeDocument/2006/relationships/hyperlink" Target="https://patadovietnam.edu.vn/tienganhtoandienpatado_ptattndl" TargetMode="External"/><Relationship Id="rId926" Type="http://schemas.openxmlformats.org/officeDocument/2006/relationships/hyperlink" Target="http://ldp.ink/metatt_korea" TargetMode="External"/><Relationship Id="rId921" Type="http://schemas.openxmlformats.org/officeDocument/2006/relationships/hyperlink" Target="https://patadovietnam.edu.vn/tienganhnguoidilamjapan" TargetMode="External"/><Relationship Id="rId920" Type="http://schemas.openxmlformats.org/officeDocument/2006/relationships/hyperlink" Target="http://ldp.ink/anhkg_europe" TargetMode="External"/><Relationship Id="rId925" Type="http://schemas.openxmlformats.org/officeDocument/2006/relationships/hyperlink" Target="https://patadovietnam.edu.vn/tienganhnguoidilamkorea/?utm_source=Facebook&amp;utm_medium=CVS&amp;utm_term=NEW_KoreaSouth_2050_none_060224&amp;utm_content=saletructiep_KoreaSouth.metatt.2050.Giaotiep_PTATTNDL_LD174&amp;utm_campaign=KoreaSouth.Giaotiep.metatt_LHV.9822_CVS_DungNT_060224" TargetMode="External"/><Relationship Id="rId924" Type="http://schemas.openxmlformats.org/officeDocument/2006/relationships/hyperlink" Target="https://patadovietnam.edu.vn/tienganhnguoidilamkorea" TargetMode="External"/><Relationship Id="rId923" Type="http://schemas.openxmlformats.org/officeDocument/2006/relationships/hyperlink" Target="http://ldp.ink/metatt_japan" TargetMode="External"/><Relationship Id="rId922" Type="http://schemas.openxmlformats.org/officeDocument/2006/relationships/hyperlink" Target="https://patadovietnam.edu.vn/tienganhnguoidilamjapan/?utm_source=Facebook&amp;utm_medium=CVS&amp;utm_term=NEW_Japan_2050_none_060224&amp;utm_content=saletructiep_Japan.metatt.2050.Giaotiep_PTATTNDL_LD176&amp;utm_campaign=Japan.Giaotiep.metatt_LHV.9822_CVS_DungNT_060224" TargetMode="External"/><Relationship Id="rId918" Type="http://schemas.openxmlformats.org/officeDocument/2006/relationships/hyperlink" Target="https://patadovietnam.edu.vn/tienganhpatado_d1" TargetMode="External"/><Relationship Id="rId917" Type="http://schemas.openxmlformats.org/officeDocument/2006/relationships/hyperlink" Target="http://ldp.ink/vdgd_europe" TargetMode="External"/><Relationship Id="rId916" Type="http://schemas.openxmlformats.org/officeDocument/2006/relationships/hyperlink" Target="https://patadovietnam.edu.vn/tienganheurope_dnt/?utm_source=Facebook&amp;utm_medium=CVS&amp;utm_term=NEW_Europe_2055_none_080224&amp;utm_content=saletructiep_Europe.vdgd.2055.Giaotiep_PTATDNDL_LD151&amp;utm_campaign=Europe.Giaotiep.vdgd_LHV.9822_CVS_DungNT_080224" TargetMode="External"/><Relationship Id="rId915" Type="http://schemas.openxmlformats.org/officeDocument/2006/relationships/hyperlink" Target="https://patadovietnam.edu.vn/tienganheurope_dnt" TargetMode="External"/><Relationship Id="rId919" Type="http://schemas.openxmlformats.org/officeDocument/2006/relationships/hyperlink" Target="https://patadovietnam.edu.vn/tienganhpatado_d1/?utm_source=Facebook&amp;utm_medium=CVS&amp;utm_term=NEW_Europe_2055_none_080224&amp;utm_content=saletructiep_Europe.Anhkg.2055.Giaotiep_PTATDNDL_LD144&amp;utm_campaign=Europe.Giaotiep.Anhkg_LHV.9822_CVS_DungNT_080224" TargetMode="External"/><Relationship Id="rId910" Type="http://schemas.openxmlformats.org/officeDocument/2006/relationships/hyperlink" Target="https://patadovietnam.edu.vn/tienganhtoandienpatado_ptattndl/?utm_source=Facebook&amp;utm_medium=MES&amp;utm_term=NEW_Philippines_2050_none_060224&amp;utm_content=saletructiep_Philippines.Anhkg.2050.Giaotiep_PTATTNDL_LD210&amp;utm_campaign=Philippines.Giaotiep.Anhkg_LHV.9822_MES_DungNT_060224" TargetMode="External"/><Relationship Id="rId914" Type="http://schemas.openxmlformats.org/officeDocument/2006/relationships/hyperlink" Target="http://ldp.ink/vdjh_hoaky" TargetMode="External"/><Relationship Id="rId913" Type="http://schemas.openxmlformats.org/officeDocument/2006/relationships/hyperlink" Target="https://patadovietnam.edu.vn/tienganhusa_dntt/?utm_source=Facebook&amp;utm_medium=MES&amp;utm_term=NEW_UnitedStates_2055_none_080224&amp;utm_content=saletructiep_UnitedStates.vdjh.2055.Giaotiep_PTATDNDL_LD150&amp;utm_campaign=UnitedStates.Giaotiep.vdjh_LHV.9822_MES_DungNT_080224" TargetMode="External"/><Relationship Id="rId912" Type="http://schemas.openxmlformats.org/officeDocument/2006/relationships/hyperlink" Target="https://patadovietnam.edu.vn/tienganhusa_dntt" TargetMode="External"/><Relationship Id="rId911" Type="http://schemas.openxmlformats.org/officeDocument/2006/relationships/hyperlink" Target="http://ldp.ink/tienganhkg_philippines" TargetMode="External"/><Relationship Id="rId866" Type="http://schemas.openxmlformats.org/officeDocument/2006/relationships/hyperlink" Target="http://ldp.ink/vdjh_europe" TargetMode="External"/><Relationship Id="rId865" Type="http://schemas.openxmlformats.org/officeDocument/2006/relationships/hyperlink" Target="https://patadovietnam.edu.vn/tienganhtoandienpatado_ptattndlscb/?utm_source=Facebook&amp;utm_medium=CVS&amp;utm_term=NEW_Europe_1840_none_190124&amp;utm_content=saletructiep_Europe.vdjh.1840.Giaotiep_PTATDNDL_LD218&amp;utm_campaign=Europe.Giaotiep.vdjh_LHV.9822_CVS_DungNT_190124" TargetMode="External"/><Relationship Id="rId864" Type="http://schemas.openxmlformats.org/officeDocument/2006/relationships/hyperlink" Target="https://patadovietnam.edu.vn/tienganhtoandienpatado_ptattndlscb" TargetMode="External"/><Relationship Id="rId863" Type="http://schemas.openxmlformats.org/officeDocument/2006/relationships/hyperlink" Target="http://ldp.ink/vdjh_korea" TargetMode="External"/><Relationship Id="rId869" Type="http://schemas.openxmlformats.org/officeDocument/2006/relationships/hyperlink" Target="http://ldp.ink/mendl_japan" TargetMode="External"/><Relationship Id="rId868" Type="http://schemas.openxmlformats.org/officeDocument/2006/relationships/hyperlink" Target="https://patadovietnam.edu.vn/tienganhtoandienpatado_ptattndl/?utm_source=Facebook&amp;utm_medium=CVS&amp;utm_term=NEW_Japan_1840_none_310124&amp;utm_content=saletructiep_Japan.mendl.1840.Giaotiep_PTATDNDL_LD210&amp;utm_campaign=Japan.Giaotiep.mendl_LHV.9822_CVS_DungNT_310124" TargetMode="External"/><Relationship Id="rId867" Type="http://schemas.openxmlformats.org/officeDocument/2006/relationships/hyperlink" Target="https://patadovietnam.edu.vn/tienganhtoandienpatado_ptattndl" TargetMode="External"/><Relationship Id="rId862" Type="http://schemas.openxmlformats.org/officeDocument/2006/relationships/hyperlink" Target="https://patadovietnam.edu.vn/tienganhtoandienpatado_ptattndl/?utm_source=Facebook&amp;utm_medium=CVS&amp;utm_term=NEW_KoreaSouth_1840_none_190124&amp;utm_content=saletructiep_KoreaSouth.vdjh.1840.Giaotiep_PTATDNDL_LD210&amp;utm_campaign=KoreaSouth.Giaotiep.vdjh_LHV.9822_CVS_DungNT_190124" TargetMode="External"/><Relationship Id="rId861" Type="http://schemas.openxmlformats.org/officeDocument/2006/relationships/hyperlink" Target="https://patadovietnam.edu.vn/tienganhtoandienpatado_ptattndl" TargetMode="External"/><Relationship Id="rId860" Type="http://schemas.openxmlformats.org/officeDocument/2006/relationships/hyperlink" Target="http://ldp.ink/vdjh_japan" TargetMode="External"/><Relationship Id="rId855" Type="http://schemas.openxmlformats.org/officeDocument/2006/relationships/hyperlink" Target="https://patadovietnam.edu.vn/tienganhtoandienpatado_ptattndl" TargetMode="External"/><Relationship Id="rId854" Type="http://schemas.openxmlformats.org/officeDocument/2006/relationships/hyperlink" Target="http://ldp.ink/vdjh_taiwan" TargetMode="External"/><Relationship Id="rId853" Type="http://schemas.openxmlformats.org/officeDocument/2006/relationships/hyperlink" Target="https://patadovietnam.edu.vn/tienganhtoandienpatado_ptattndl/?utm_source=Facebook&amp;utm_medium=MES&amp;utm_term=NEW_Taiwan_1840_none_190124&amp;utm_content=saletructiep_Taiwan.anhfb.1840.Giaotiep_PTATDNDL_LD210&amp;utm_campaign=Taiwan.Giaotiep.vdjh_LHV.9822_MES_DungNT_190124" TargetMode="External"/><Relationship Id="rId852" Type="http://schemas.openxmlformats.org/officeDocument/2006/relationships/hyperlink" Target="https://patadovietnam.edu.vn/tienganhtoandienpatado_ptattndl" TargetMode="External"/><Relationship Id="rId859" Type="http://schemas.openxmlformats.org/officeDocument/2006/relationships/hyperlink" Target="https://patadovietnam.edu.vn/tienganhtoandienpatado_ptattndl/?utm_source=Facebook&amp;utm_medium=CVS&amp;utm_term=NEW_Japan_1840_none_190124&amp;utm_content=saletructiep_Japan.vdjh.1840.Giaotiep_PTATDNDL_LD210&amp;utm_campaign=Japan.Giaotiep.vdjh_LHV.9822_CVS_DungNT_190124" TargetMode="External"/><Relationship Id="rId858" Type="http://schemas.openxmlformats.org/officeDocument/2006/relationships/hyperlink" Target="https://patadovietnam.edu.vn/tienganhtoandienpatado_ptattndl" TargetMode="External"/><Relationship Id="rId857" Type="http://schemas.openxmlformats.org/officeDocument/2006/relationships/hyperlink" Target="http://ldp.ink/vdjh_philippines" TargetMode="External"/><Relationship Id="rId856" Type="http://schemas.openxmlformats.org/officeDocument/2006/relationships/hyperlink" Target="https://patadovietnam.edu.vn/tienganhtoandienpatado_ptattndl/?utm_source=Facebook&amp;utm_medium=MES&amp;utm_term=NEW_Philippines_2045_none_190124&amp;utm_content=saletructiep_Philippines.vdjh.1840.Giaotiep_PTATDNDL_LD210&amp;utm_campaign=Philippines.Giaotiep.vdjh_LHV.9822_MES_DungNT_190124" TargetMode="External"/><Relationship Id="rId851" Type="http://schemas.openxmlformats.org/officeDocument/2006/relationships/hyperlink" Target="http://ldp.ink/vdjh_canada" TargetMode="External"/><Relationship Id="rId850" Type="http://schemas.openxmlformats.org/officeDocument/2006/relationships/hyperlink" Target="https://patadovietnam.edu.vn/tienganhtoandienpatado_ptattndl/?utm_source=Facebook&amp;utm_medium=MES&amp;utm_term=NEW_Canada_2055_none_190124&amp;utm_content=saletructiep_Canada.vdjh.2055.Giaotiep_PTATDNDL_LD210&amp;utm_campaign=Canada.Giaotiep.vdjh_LHV.9822_MES_DungNT_190124" TargetMode="External"/><Relationship Id="rId888" Type="http://schemas.openxmlformats.org/officeDocument/2006/relationships/hyperlink" Target="https://patadovietnam.edu.vn/tienganhusa_dntt" TargetMode="External"/><Relationship Id="rId887" Type="http://schemas.openxmlformats.org/officeDocument/2006/relationships/hyperlink" Target="http://ldp.ink/vdgd_australia" TargetMode="External"/><Relationship Id="rId886" Type="http://schemas.openxmlformats.org/officeDocument/2006/relationships/hyperlink" Target="https://patadovietnam.edu.vn/tienganhpatado_d1/?utm_source=Facebook&amp;utm_medium=MES&amp;utm_term=NEW_Australia_2055_none_310124&amp;utm_content=saletructiep_Australia.vdgd.2055.Giaotiep_PTATDNDL_LD144&amp;utm_campaign=Australia.Giaotiep.vdgd_LHV.9822_MES_DungNT_310124" TargetMode="External"/><Relationship Id="rId885" Type="http://schemas.openxmlformats.org/officeDocument/2006/relationships/hyperlink" Target="https://patadovietnam.edu.vn/tienganhpatado_d1" TargetMode="External"/><Relationship Id="rId889" Type="http://schemas.openxmlformats.org/officeDocument/2006/relationships/hyperlink" Target="https://patadovietnam.edu.vn/tienganhusa_dntt/?utm_source=Facebook&amp;utm_medium=MES&amp;utm_term=NEW_UnitedStates_2055_none_020224&amp;utm_content=saletructiep_UnitedStates.Anhaz.2055.Giaotiep_PTATTNDL_LD150&amp;utm_campaign=UnitedStates.Giaotiep.Anhaz_LHV.9822_MES_DungNT_020224" TargetMode="External"/><Relationship Id="rId880" Type="http://schemas.openxmlformats.org/officeDocument/2006/relationships/hyperlink" Target="https://patadovietnam.edu.vn/tienganhusa_dntt/?utm_source=Facebook&amp;utm_medium=MES&amp;utm_term=NEW_UnitedStates_2055_none_310124&amp;utm_content=saletructiep_UnitedStates.vdgd.2055.Giaotiep_PTATDNDL_LD150&amp;utm_campaign=UnitedStates.Giaotiep.vdgd_LHV.9822_MES_DungNT_310124" TargetMode="External"/><Relationship Id="rId884" Type="http://schemas.openxmlformats.org/officeDocument/2006/relationships/hyperlink" Target="http://ldp.ink/vdgd_canada" TargetMode="External"/><Relationship Id="rId883" Type="http://schemas.openxmlformats.org/officeDocument/2006/relationships/hyperlink" Target="https://patadovietnam.edu.vn/tienganhpatado_d1/?utm_source=Facebook&amp;utm_medium=MES&amp;utm_term=NEW_Canada_2055_none_080224&amp;utm_content=saletructiep_Canada.vdgd.2055.Giaotiep_PTATDNDL_LD144&amp;utm_campaign=Canada.Giaotiep.vdgd_LHV.9822_MES_DungNT_080224" TargetMode="External"/><Relationship Id="rId882" Type="http://schemas.openxmlformats.org/officeDocument/2006/relationships/hyperlink" Target="https://patadovietnam.edu.vn/tienganhpatado_d1" TargetMode="External"/><Relationship Id="rId881" Type="http://schemas.openxmlformats.org/officeDocument/2006/relationships/hyperlink" Target="http://ldp.ink/vdgd_hoaky" TargetMode="External"/><Relationship Id="rId877" Type="http://schemas.openxmlformats.org/officeDocument/2006/relationships/hyperlink" Target="https://patadovietnam.edu.vn/tienganhtoandienpatado_ptattndl/?utm_source=Facebook&amp;utm_medium=MES&amp;utm_term=NEW_Philippines_1840_none_310124&amp;utm_content=saletructiep_Philippines.mendl.1840.Giaotiep_PTATDNDL_LD210&amp;utm_campaign=Philippines.Giaotiep.mendl_LHV.9822_MES_DungNT_310124" TargetMode="External"/><Relationship Id="rId876" Type="http://schemas.openxmlformats.org/officeDocument/2006/relationships/hyperlink" Target="https://patadovietnam.edu.vn/tienganhtoandienpatado_ptattndl" TargetMode="External"/><Relationship Id="rId875" Type="http://schemas.openxmlformats.org/officeDocument/2006/relationships/hyperlink" Target="http://ldp.ink/mendl_taiwan" TargetMode="External"/><Relationship Id="rId874" Type="http://schemas.openxmlformats.org/officeDocument/2006/relationships/hyperlink" Target="https://patadovietnam.edu.vn/tienganhtoandienpatado_ptattndl/?utm_source=Facebook&amp;utm_medium=MES&amp;utm_term=NEW_Taiwan_1840_none_310124&amp;utm_content=saletructiep_Taiwan.mendl.1840.Giaotiep_PTATDNDL_LD210&amp;utm_campaign=Taiwan.Giaotiep.mendl_LHV.9822_MES_DungNT_310124" TargetMode="External"/><Relationship Id="rId879" Type="http://schemas.openxmlformats.org/officeDocument/2006/relationships/hyperlink" Target="https://patadovietnam.edu.vn/tienganhusa_dntt" TargetMode="External"/><Relationship Id="rId878" Type="http://schemas.openxmlformats.org/officeDocument/2006/relationships/hyperlink" Target="http://ldp.ink/mendl_philippines" TargetMode="External"/><Relationship Id="rId873" Type="http://schemas.openxmlformats.org/officeDocument/2006/relationships/hyperlink" Target="https://patadovietnam.edu.vn/tienganhtoandienpatado_ptattndl" TargetMode="External"/><Relationship Id="rId872" Type="http://schemas.openxmlformats.org/officeDocument/2006/relationships/hyperlink" Target="http://ldp.ink/mendl_korea" TargetMode="External"/><Relationship Id="rId871" Type="http://schemas.openxmlformats.org/officeDocument/2006/relationships/hyperlink" Target="https://patadovietnam.edu.vn/tienganhtoandienpatado_ptattndl/?utm_source=Facebook&amp;utm_medium=CVS&amp;utm_term=NEW_KoreaSouth_1840_none_310124&amp;utm_content=saletructiep_KoreaSouth.mendl.1840.Giaotiep_PTATDNDL_LD210&amp;utm_campaign=KoreaSouth.Giaotiep.mendl_LHV.9822_CVS_DungNT_310124" TargetMode="External"/><Relationship Id="rId870" Type="http://schemas.openxmlformats.org/officeDocument/2006/relationships/hyperlink" Target="https://patadovietnam.edu.vn/tienganhtoandienpatado_ptattndl" TargetMode="External"/><Relationship Id="rId829" Type="http://schemas.openxmlformats.org/officeDocument/2006/relationships/hyperlink" Target="https://patadovietnam.edu.vn/tienganhpatado_d1/?utm_source=Facebook&amp;utm_medium=MES&amp;utm_term=NEW_Japan_1840_none_190124&amp;utm_content=saletructiep_Japan.anhfb.1840.Giaotiep_PTATDNDL_LD144&amp;utm_campaign=Japan.Giaotiep.anhfb_LHV.9822_MES_DungNT_190124" TargetMode="External"/><Relationship Id="rId828" Type="http://schemas.openxmlformats.org/officeDocument/2006/relationships/hyperlink" Target="https://patadovietnam.edu.vn/tienganhpatado_d1" TargetMode="External"/><Relationship Id="rId827" Type="http://schemas.openxmlformats.org/officeDocument/2006/relationships/hyperlink" Target="http://ldp.ink/vdgd_europe" TargetMode="External"/><Relationship Id="rId822" Type="http://schemas.openxmlformats.org/officeDocument/2006/relationships/hyperlink" Target="https://patadovietnam.edu.vn/tienganhpatado_d1" TargetMode="External"/><Relationship Id="rId821" Type="http://schemas.openxmlformats.org/officeDocument/2006/relationships/hyperlink" Target="http://ldp.ink/ht3t_taiwan" TargetMode="External"/><Relationship Id="rId820" Type="http://schemas.openxmlformats.org/officeDocument/2006/relationships/hyperlink" Target="https://patadovietnam.edu.vn/tienganhpatado_d1/?utm_source=Facebook&amp;utm_medium=MES&amp;utm_term=NEW_Taiwan_2045_none_140124&amp;utm_content=saletructiep_Taiwan.ht3t.2045.Giaotiep_PTATDNDL_LD144&amp;utm_campaign=Taiwan.Giaotiep.ht3t_LHV.9822_MES_DungNT_140124" TargetMode="External"/><Relationship Id="rId826" Type="http://schemas.openxmlformats.org/officeDocument/2006/relationships/hyperlink" Target="https://patadovietnam.edu.vn/tienganheurope_dnt/?utm_source=Facebook&amp;utm_medium=CVS&amp;utm_term=NEW_Europe_2055_none_140124&amp;utm_content=saletructiep_Europe.vdgd.2055.Giaotiep_PTATTNDL_LD151&amp;utm_campaign=Europe.Giaotiep.vdgd_LHV.9822_CVS_DungNT_140124" TargetMode="External"/><Relationship Id="rId825" Type="http://schemas.openxmlformats.org/officeDocument/2006/relationships/hyperlink" Target="https://patadovietnam.edu.vn/tienganheurope_dnt" TargetMode="External"/><Relationship Id="rId824" Type="http://schemas.openxmlformats.org/officeDocument/2006/relationships/hyperlink" Target="http://ldp.ink/ht3t_philippines" TargetMode="External"/><Relationship Id="rId823" Type="http://schemas.openxmlformats.org/officeDocument/2006/relationships/hyperlink" Target="https://patadovietnam.edu.vn/tienganhpatado_d1/?utm_source=Facebook&amp;utm_medium=MES&amp;utm_term=NEW_Philippines_2045_none_140124&amp;utm_content=saletructiep_Philippines.ht3t.2045.Giaotiep_PTATDNDL_LD144&amp;utm_campaign=Philippines.Giaotiep.ht3t_LHV.9822_MES_DungNT_140124" TargetMode="External"/><Relationship Id="rId819" Type="http://schemas.openxmlformats.org/officeDocument/2006/relationships/hyperlink" Target="https://patadovietnam.edu.vn/tienganhpatado_d1" TargetMode="External"/><Relationship Id="rId818" Type="http://schemas.openxmlformats.org/officeDocument/2006/relationships/hyperlink" Target="http://ldp.ink/vdgd_hoaky" TargetMode="External"/><Relationship Id="rId817" Type="http://schemas.openxmlformats.org/officeDocument/2006/relationships/hyperlink" Target="https://patadovietnam.edu.vn/tienganhpatado_d1/?utm_source=Facebook&amp;utm_medium=MES&amp;utm_term=NEW_UnitedStates_2055_none_140124&amp;utm_content=saletructiep_UnitedStates.vdgd.2055.Giaotiep_PTATDNDL_LD144&amp;utm_campaign=UnitedStates.Giaotiep.vdgd_LHV.9822_MES_DungNT_140124" TargetMode="External"/><Relationship Id="rId816" Type="http://schemas.openxmlformats.org/officeDocument/2006/relationships/hyperlink" Target="https://patadovietnam.edu.vn/tienganhpatado_d1" TargetMode="External"/><Relationship Id="rId811" Type="http://schemas.openxmlformats.org/officeDocument/2006/relationships/hyperlink" Target="https://patadovietnam.edu.vn/tienganhpatado_d1/?utm_source=Facebook&amp;utm_medium=CVS&amp;utm_term=NEW_Japan_1840_none_140124&amp;utm_content=saletructiep_Japan.ht3t.1840.Giaotiep_PTATDNDL_LD144&amp;utm_campaign=Japan.Giaotiep.ht3t_LHV.9822_CVS_DungNT_140124" TargetMode="External"/><Relationship Id="rId810" Type="http://schemas.openxmlformats.org/officeDocument/2006/relationships/hyperlink" Target="https://patadovietnam.edu.vn/tienganhpatado_d1" TargetMode="External"/><Relationship Id="rId815" Type="http://schemas.openxmlformats.org/officeDocument/2006/relationships/hyperlink" Target="http://ldp.ink/ht3t_korea" TargetMode="External"/><Relationship Id="rId814" Type="http://schemas.openxmlformats.org/officeDocument/2006/relationships/hyperlink" Target="https://patadovietnam.edu.vn/tienganhpatado_d1/?utm_source=Facebook&amp;utm_medium=CVS&amp;utm_term=NEW_KoreaSouth_1840_none_140124&amp;utm_content=saletructiep_KoreaSouth.ht3t.1840.Giaotiep_PTATDNDL_LD144&amp;utm_campaign=KoreaSouth.Giaotiep.ht3t_LHV.9822_CVS_DungNT_140124" TargetMode="External"/><Relationship Id="rId813" Type="http://schemas.openxmlformats.org/officeDocument/2006/relationships/hyperlink" Target="https://patadovietnam.edu.vn/tienganhpatado_d1" TargetMode="External"/><Relationship Id="rId812" Type="http://schemas.openxmlformats.org/officeDocument/2006/relationships/hyperlink" Target="http://ldp.ink/ht3t_japan" TargetMode="External"/><Relationship Id="rId849" Type="http://schemas.openxmlformats.org/officeDocument/2006/relationships/hyperlink" Target="https://patadovietnam.edu.vn/tienganhtoandienpatado_ptattndl" TargetMode="External"/><Relationship Id="rId844" Type="http://schemas.openxmlformats.org/officeDocument/2006/relationships/hyperlink" Target="https://patadovietnam.edu.vn/tienganhpatado_d1/?utm_source=Facebook&amp;utm_medium=MES&amp;utm_term=NEW_Canada_2055_none_190124&amp;utm_content=saletructiep_Canada.anhfb.2055.Giaotiep_PTATDNDL_LD144&amp;utm_campaign=Canada.videofb_LHV.9822_MES_DungNT_190124" TargetMode="External"/><Relationship Id="rId843" Type="http://schemas.openxmlformats.org/officeDocument/2006/relationships/hyperlink" Target="https://patadovietnam.edu.vn/tienganhpatado_d1" TargetMode="External"/><Relationship Id="rId842" Type="http://schemas.openxmlformats.org/officeDocument/2006/relationships/hyperlink" Target="http://ldp.ink/videofb_hoaky" TargetMode="External"/><Relationship Id="rId841" Type="http://schemas.openxmlformats.org/officeDocument/2006/relationships/hyperlink" Target="https://patadovietnam.edu.vn/tienganhusa_dntt/?utm_source=Facebook&amp;utm_medium=MES&amp;utm_term=NEW_UnitedStates_2055_none_190124&amp;utm_content=saletructiep_UnitedStates.anhfb.2055.Giaotiep_PTATDNDL_LD150&amp;utm_campaign=UnitedStates.videofb_LHV.9822_MES_DungNT_190124" TargetMode="External"/><Relationship Id="rId848" Type="http://schemas.openxmlformats.org/officeDocument/2006/relationships/hyperlink" Target="http://ldp.ink/vdjh_hoaky" TargetMode="External"/><Relationship Id="rId847" Type="http://schemas.openxmlformats.org/officeDocument/2006/relationships/hyperlink" Target="https://patadovietnam.edu.vn/tienganhusa_dntt/?utm_source=Facebook&amp;utm_medium=MES&amp;utm_term=NEW_UnitedStates_2055_none_190124&amp;utm_content=saletructiep_UnitedStates.vdjh.2055.Giaotiep_PTATDNDL_LD150&amp;utm_campaign=UnitedStates.Giaotiep.vdjh_LHV.9822_MES_DungNT_190124" TargetMode="External"/><Relationship Id="rId846" Type="http://schemas.openxmlformats.org/officeDocument/2006/relationships/hyperlink" Target="https://patadovietnam.edu.vn/tienganhusa_dntt" TargetMode="External"/><Relationship Id="rId845" Type="http://schemas.openxmlformats.org/officeDocument/2006/relationships/hyperlink" Target="http://ldp.ink/videofb_canada" TargetMode="External"/><Relationship Id="rId840" Type="http://schemas.openxmlformats.org/officeDocument/2006/relationships/hyperlink" Target="https://patadovietnam.edu.vn/tienganhusa_dntt" TargetMode="External"/><Relationship Id="rId839" Type="http://schemas.openxmlformats.org/officeDocument/2006/relationships/hyperlink" Target="http://ldp.ink/anhfb_philippines" TargetMode="External"/><Relationship Id="rId838" Type="http://schemas.openxmlformats.org/officeDocument/2006/relationships/hyperlink" Target="https://patadovietnam.edu.vn/tienganhpatado_d1/?utm_source=Facebook&amp;utm_medium=MES&amp;utm_term=NEW_Philippines_2045_none_190124&amp;utm_content=saletructiep_Philippines.anhfb.1840.Giaotiep_PTATDNDL_LD144&amp;utm_campaign=Philippines.Giaotiep.anhfb_LHV.9822_MES_DungNT_190124" TargetMode="External"/><Relationship Id="rId833" Type="http://schemas.openxmlformats.org/officeDocument/2006/relationships/hyperlink" Target="http://ldp.ink/anhfb_korea" TargetMode="External"/><Relationship Id="rId832" Type="http://schemas.openxmlformats.org/officeDocument/2006/relationships/hyperlink" Target="https://patadovietnam.edu.vn/tienganhpatado_d1/?utm_source=Facebook&amp;utm_medium=MES&amp;utm_term=NEW_KoreaSouth_1840_none_190124&amp;utm_content=saletructiep_KoreaSouth.anhfb.1840.Giaotiep_PTATDNDL_LD144&amp;utm_campaign=KoreaSouth.Giaotiep.anhfb_LHV.9822_MES_DungNT_190124" TargetMode="External"/><Relationship Id="rId831" Type="http://schemas.openxmlformats.org/officeDocument/2006/relationships/hyperlink" Target="https://patadovietnam.edu.vn/tienganhpatado_d1" TargetMode="External"/><Relationship Id="rId830" Type="http://schemas.openxmlformats.org/officeDocument/2006/relationships/hyperlink" Target="http://ldp.ink/anhfb_japan" TargetMode="External"/><Relationship Id="rId837" Type="http://schemas.openxmlformats.org/officeDocument/2006/relationships/hyperlink" Target="https://patadovietnam.edu.vn/tienganhpatado_d1" TargetMode="External"/><Relationship Id="rId836" Type="http://schemas.openxmlformats.org/officeDocument/2006/relationships/hyperlink" Target="http://ldp.ink/anhfb_taiwan" TargetMode="External"/><Relationship Id="rId835" Type="http://schemas.openxmlformats.org/officeDocument/2006/relationships/hyperlink" Target="https://patadovietnam.edu.vn/tienganhpatado_d1/?utm_source=Facebook&amp;utm_medium=MES&amp;utm_term=NEW_Taiwan_1840_none_190124&amp;utm_content=saletructiep_Taiwan.anhfb.1840.Giaotiep_PTATDNDL_LD144&amp;utm_campaign=Taiwan.Giaotiep.anhfb_LHV.9822_MES_DungNT_190124" TargetMode="External"/><Relationship Id="rId834" Type="http://schemas.openxmlformats.org/officeDocument/2006/relationships/hyperlink" Target="https://patadovietnam.edu.vn/tienganhpatado_d1" TargetMode="External"/><Relationship Id="rId899" Type="http://schemas.openxmlformats.org/officeDocument/2006/relationships/hyperlink" Target="http://ldp.ink/tienganhkg_taiwan" TargetMode="External"/><Relationship Id="rId898" Type="http://schemas.openxmlformats.org/officeDocument/2006/relationships/hyperlink" Target="https://patadovietnam.edu.vn/tienganhtoandienpatado_ptattndl/?utm_source=Facebook&amp;utm_medium=MES&amp;utm_term=NEW_Taiwan_2050_none_060224&amp;utm_content=saletructiep_Taiwan.Anhkg.2050.Giaotiep_PTATTNDL_LD210&amp;utm_campaign=Taiwan.Giaotiep.Anhkg_LHV.9822_MES_DungNT_060224" TargetMode="External"/><Relationship Id="rId897" Type="http://schemas.openxmlformats.org/officeDocument/2006/relationships/hyperlink" Target="https://patadovietnam.edu.vn/tienganhtoandienpatado_ptattndl" TargetMode="External"/><Relationship Id="rId896" Type="http://schemas.openxmlformats.org/officeDocument/2006/relationships/hyperlink" Target="http://ldp.to/tienganhthanhthao_canada" TargetMode="External"/><Relationship Id="rId891" Type="http://schemas.openxmlformats.org/officeDocument/2006/relationships/hyperlink" Target="https://patadovietnam.edu.vn/tienganhpatado_d1" TargetMode="External"/><Relationship Id="rId890" Type="http://schemas.openxmlformats.org/officeDocument/2006/relationships/hyperlink" Target="http://ldp.ink/tienganhaz_hoaky" TargetMode="External"/><Relationship Id="rId895" Type="http://schemas.openxmlformats.org/officeDocument/2006/relationships/hyperlink" Target="https://patadovietnam.edu.vn/tienganhnguoidilam_dnt/?utm_source=Facebook&amp;utm_medium=MES&amp;utm_term=NEW_Canada_2050_none_060224&amp;utm_content=saletructiep_Canada.Anhkg.2050.Giaotiep_PTATTNDL_LD167&amp;utm_campaign=Canada.Giaotiep.Anhkg_LHV.9822_MES_DungNT_060224" TargetMode="External"/><Relationship Id="rId894" Type="http://schemas.openxmlformats.org/officeDocument/2006/relationships/hyperlink" Target="https://patadovietnam.edu.vn/tienganhnguoidilam_dnt" TargetMode="External"/><Relationship Id="rId893" Type="http://schemas.openxmlformats.org/officeDocument/2006/relationships/hyperlink" Target="http://ldp.ink/tienganhaz_canada" TargetMode="External"/><Relationship Id="rId892" Type="http://schemas.openxmlformats.org/officeDocument/2006/relationships/hyperlink" Target="https://patadovietnam.edu.vn/tienganhpatado_d1/?utm_source=Facebook&amp;utm_medium=MES&amp;utm_term=NEW_Canada_2055_none_020224&amp;utm_content=saletructiep_Canada.Anhaz.2055.Giaotiep_PTATTNDL_LD144&amp;utm_campaign=Canada.Giaotiep.Anhaz_LHV.9822_MES_DungNT_020224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ecenglishkids.edu.vn/?utm_source=Facebook&amp;utm_medium=MES&amp;utm_term=NEW_Japan_3555_none_130623&amp;utm_content=saletructiep_Japan.anhkhaigiang.3555.Giaotiep_AEC_LD171&amp;utm_campaign=Japan.Kids.anhkhaigiang_LHV.9822_MES_DungNTKids_130623" TargetMode="External"/><Relationship Id="rId42" Type="http://schemas.openxmlformats.org/officeDocument/2006/relationships/hyperlink" Target="https://pu.englishcoach.vn/tienganhkidsaec" TargetMode="External"/><Relationship Id="rId41" Type="http://schemas.openxmlformats.org/officeDocument/2006/relationships/hyperlink" Target="http://ldp.to/tienganhchuanhoaky_japan" TargetMode="External"/><Relationship Id="rId44" Type="http://schemas.openxmlformats.org/officeDocument/2006/relationships/hyperlink" Target="http://ldp.to/tutinnoitienganhaec" TargetMode="External"/><Relationship Id="rId43" Type="http://schemas.openxmlformats.org/officeDocument/2006/relationships/hyperlink" Target="https://pu.englishcoach.vn/tienganhkidsaec/?utm_source=Facebook&amp;utm_medium=MES&amp;utm_term=NEW_Vietnam_3055_none_110623&amp;utm_content=saletructiep_TTTUKHTN.anhmolop.3555.Giaotiep_AEC_LD168&amp;utm_campaign=TTTUKHTN.Kids.anhmolop_LHV.9822_MES_DungNTKids_110623" TargetMode="External"/><Relationship Id="rId46" Type="http://schemas.openxmlformats.org/officeDocument/2006/relationships/hyperlink" Target="https://www.aecenglishkids.edu.vn/?utm_source=Facebook&amp;utm_medium=MES&amp;utm_term=NEW_TTTUKHTN_3055_none_140623&amp;utm_content=saletructiep_TTTUKHTN.anhmolop.3055.Giaotiep_AEC_LD171&amp;utm_campaign=TTTUKHTN.Kids.anhmolop_LHV.9822_MES_DungNTKids_140623" TargetMode="External"/><Relationship Id="rId45" Type="http://schemas.openxmlformats.org/officeDocument/2006/relationships/hyperlink" Target="https://www.aecenglishkids.edu.vn/" TargetMode="External"/><Relationship Id="rId48" Type="http://schemas.openxmlformats.org/officeDocument/2006/relationships/hyperlink" Target="https://www.aecenglishkids.edu.vn/" TargetMode="External"/><Relationship Id="rId47" Type="http://schemas.openxmlformats.org/officeDocument/2006/relationships/hyperlink" Target="http://ldp.to/me_tutinnoitienganhaec" TargetMode="External"/><Relationship Id="rId49" Type="http://schemas.openxmlformats.org/officeDocument/2006/relationships/hyperlink" Target="https://www.aecenglishkids.edu.vn/?utm_source=Facebook&amp;utm_medium=CVS&amp;utm_term=NEW_TTTUKHTN_3055_none_140623&amp;utm_content=saletructiep_TTTUKHTN.anhmolop.3055.Giaotiep_AEC_LD171&amp;utm_campaign=TTTUKHTN.Kids.anhmolop_LHV.9822_CVS_DungNTKids_140623" TargetMode="External"/><Relationship Id="rId31" Type="http://schemas.openxmlformats.org/officeDocument/2006/relationships/hyperlink" Target="https://pu.englishcoach.vn/tienganhkidsaec/?utm_source=Facebook&amp;utm_medium=CVS&amp;utm_term=NEW_Danang_3555_none_080623&amp;utm_content=saletructiep_Danang.Videoangel.3555.Giaotiep_AEC_LD168&amp;utm_campaign=Danang.Kids.Videoangel_LHV.9822_CVS_DungNTKids_080623" TargetMode="External"/><Relationship Id="rId30" Type="http://schemas.openxmlformats.org/officeDocument/2006/relationships/hyperlink" Target="https://pu.englishcoach.vn/tienganhkidsaec" TargetMode="External"/><Relationship Id="rId33" Type="http://schemas.openxmlformats.org/officeDocument/2006/relationships/hyperlink" Target="https://pu.englishcoach.vn/tienganhkidsaec" TargetMode="External"/><Relationship Id="rId32" Type="http://schemas.openxmlformats.org/officeDocument/2006/relationships/hyperlink" Target="http://ldp.to/lophoctienganhcoangel" TargetMode="External"/><Relationship Id="rId35" Type="http://schemas.openxmlformats.org/officeDocument/2006/relationships/hyperlink" Target="http://ldp.to/tienganhchuanhoaky" TargetMode="External"/><Relationship Id="rId34" Type="http://schemas.openxmlformats.org/officeDocument/2006/relationships/hyperlink" Target="https://pu.englishcoach.vn/tienganhkidsaec/?utm_source=Facebook&amp;utm_medium=MES&amp;utm_term=NEW_Cantho_3555_none_080623&amp;utm_content=saletructiep_Cantho.anhkhaigiang.3555.Giaotiep_AEC_LD168&amp;utm_campaign=Cantho.Kids.anhkhaigiang_LHV.9822_MES_DungNTKids_080623" TargetMode="External"/><Relationship Id="rId37" Type="http://schemas.openxmlformats.org/officeDocument/2006/relationships/hyperlink" Target="https://www.aecenglishkids.edu.vn/?utm_source=Facebook&amp;utm_medium=MES&amp;utm_term=NEW_CzechRepublic_3555_none_130623&amp;utm_content=saletructiep_CzechRepublic.anhkhaigiang.3555.Giaotiep_AEC_LD171&amp;utm_campaign=CzechRepublic.Kids.anhkhaigiang_LHV.9822_MES_DungNTKids_130623" TargetMode="External"/><Relationship Id="rId36" Type="http://schemas.openxmlformats.org/officeDocument/2006/relationships/hyperlink" Target="https://www.aecenglishkids.edu.vn/" TargetMode="External"/><Relationship Id="rId39" Type="http://schemas.openxmlformats.org/officeDocument/2006/relationships/hyperlink" Target="https://www.aecenglishkids.edu.vn/" TargetMode="External"/><Relationship Id="rId38" Type="http://schemas.openxmlformats.org/officeDocument/2006/relationships/hyperlink" Target="http://ldp.to/tienganhchuanhoaky_cz" TargetMode="External"/><Relationship Id="rId20" Type="http://schemas.openxmlformats.org/officeDocument/2006/relationships/hyperlink" Target="http://ldp.to/lophoctienganhthayben" TargetMode="External"/><Relationship Id="rId22" Type="http://schemas.openxmlformats.org/officeDocument/2006/relationships/hyperlink" Target="https://pu.englishcoach.vn/tienganhkidsaec/?utm_source=Facebook&amp;utm_medium=CVS&amp;utm_term=NEW_Vietnam_2550_none_070623&amp;utm_content=saletructiep_Vietnam.Videoangel.2550.Giaotiep_AEC_LD168&amp;utm_campaign=Vietnam.Kids.Videoangel_LHV.9822_CVS_DungNTKids_070623" TargetMode="External"/><Relationship Id="rId21" Type="http://schemas.openxmlformats.org/officeDocument/2006/relationships/hyperlink" Target="https://pu.englishcoach.vn/tienganhkidsaec" TargetMode="External"/><Relationship Id="rId24" Type="http://schemas.openxmlformats.org/officeDocument/2006/relationships/hyperlink" Target="https://pu.englishcoach.vn/tienganhkidsaec" TargetMode="External"/><Relationship Id="rId23" Type="http://schemas.openxmlformats.org/officeDocument/2006/relationships/hyperlink" Target="http://ldp.to/lophoctienganhcoangel" TargetMode="External"/><Relationship Id="rId26" Type="http://schemas.openxmlformats.org/officeDocument/2006/relationships/hyperlink" Target="http://ldp.to/tienganhchuanhoaky" TargetMode="External"/><Relationship Id="rId25" Type="http://schemas.openxmlformats.org/officeDocument/2006/relationships/hyperlink" Target="https://pu.englishcoach.vn/tienganhkidsaec/?utm_source=Facebook&amp;utm_medium=MES&amp;utm_term=NEW_Vietnam_2550_none_070623&amp;utm_content=saletructiep_Vietnam.anhkhaigiang.2550.Giaotiep_AEC_LD168&amp;utm_campaign=Vietnam.Kids.anhkhaigiang_LHV.9822_MES_DungNTKids_070623" TargetMode="External"/><Relationship Id="rId28" Type="http://schemas.openxmlformats.org/officeDocument/2006/relationships/hyperlink" Target="https://pu.englishcoach.vn/tienganhkidsaec/?utm_source=Facebook&amp;utm_medium=CVS&amp;utm_term=NEW_Haiphong_3555_none_080623&amp;utm_content=saletructiep_Haiphong.Videoben.3555.Giaotiep_AEC_LD168&amp;utm_campaign=Haiphong.Kids.Videoben_LHV.9822_CVS_DungNTKids_080623" TargetMode="External"/><Relationship Id="rId27" Type="http://schemas.openxmlformats.org/officeDocument/2006/relationships/hyperlink" Target="https://pu.englishcoach.vn/tienganhkidsaec" TargetMode="External"/><Relationship Id="rId29" Type="http://schemas.openxmlformats.org/officeDocument/2006/relationships/hyperlink" Target="http://ldp.to/lophoctienganhthayben" TargetMode="External"/><Relationship Id="rId11" Type="http://schemas.openxmlformats.org/officeDocument/2006/relationships/hyperlink" Target="https://pu.englishcoach.vn/tienganhkidsaec/?utm_source=Facebook&amp;utm_medium=MES&amp;utm_term=NEW_Vietnam_2550_none_6/6/2023&amp;utm_content=saletructiep_Vietnam.anhkhaigiang.2550.Giaotiep_AEC_LD168&amp;utm_campaign=Vietnam.Kids.anhkhaigiang_LHV.9822_MES_DungNTKids_6/6/2023" TargetMode="External"/><Relationship Id="rId10" Type="http://schemas.openxmlformats.org/officeDocument/2006/relationships/hyperlink" Target="https://pu.englishcoach.vn/tienganhkidsaec" TargetMode="External"/><Relationship Id="rId13" Type="http://schemas.openxmlformats.org/officeDocument/2006/relationships/hyperlink" Target="https://pu.englishcoach.vn/tienganhkidsaec" TargetMode="External"/><Relationship Id="rId12" Type="http://schemas.openxmlformats.org/officeDocument/2006/relationships/hyperlink" Target="http://ldp.to/tienganhchuanhoaky" TargetMode="External"/><Relationship Id="rId15" Type="http://schemas.openxmlformats.org/officeDocument/2006/relationships/hyperlink" Target="https://pu.englishcoach.vn/tienganhkidsaec" TargetMode="External"/><Relationship Id="rId14" Type="http://schemas.openxmlformats.org/officeDocument/2006/relationships/hyperlink" Target="https://pu.englishcoach.vn/tienganhkidsaec/?utm_source=Facebook&amp;utm_medium=CVS&amp;utm_term=NEW_Vietnam_2550_none_050623&amp;utm_content=Storytelling_Vietnam.storyhuongnoi.2550.Giaotiep_AEC_LD168&amp;utm_campaign=Vietnam.Kids.storyhuongnoi_LHV.9822_CVS_DungNTKids_050623" TargetMode="External"/><Relationship Id="rId17" Type="http://schemas.openxmlformats.org/officeDocument/2006/relationships/hyperlink" Target="http://ldp.to/tienganhchuanbandia" TargetMode="External"/><Relationship Id="rId16" Type="http://schemas.openxmlformats.org/officeDocument/2006/relationships/hyperlink" Target="https://pu.englishcoach.vn/tienganhkidsaec/?utm_source=Facebook&amp;utm_medium=LEAD&amp;utm_term=NEW_Vietnam_2550_none_060623&amp;utm_content=saletructiep_Vietnam.Videocamnhan.2550.Giaotiep_AEC_LD168&amp;utm_campaign=Vietnam.Kids.Videocamnhan_LHV.9822_LEAD_DungNTKids_060623" TargetMode="External"/><Relationship Id="rId19" Type="http://schemas.openxmlformats.org/officeDocument/2006/relationships/hyperlink" Target="https://pu.englishcoach.vn/tienganhkidsaec/?utm_source=Facebook&amp;utm_medium=CVS&amp;utm_term=NEW_Vietnam_2550_none_070623&amp;utm_content=saletructiep_Vietnam.Videoben.2550.Giaotiep_AEC_LD168&amp;utm_campaign=Vietnam.Kids.Videoben_LHV.9822_CVS_DungNTKids_070623" TargetMode="External"/><Relationship Id="rId18" Type="http://schemas.openxmlformats.org/officeDocument/2006/relationships/hyperlink" Target="https://pu.englishcoach.vn/tienganhkidsaec" TargetMode="External"/><Relationship Id="rId84" Type="http://schemas.openxmlformats.org/officeDocument/2006/relationships/hyperlink" Target="https://www.aecenglishkids.edu.vn/" TargetMode="External"/><Relationship Id="rId83" Type="http://schemas.openxmlformats.org/officeDocument/2006/relationships/hyperlink" Target="http://ldp.to/aectienganhchuanhoaky" TargetMode="External"/><Relationship Id="rId86" Type="http://schemas.openxmlformats.org/officeDocument/2006/relationships/hyperlink" Target="http://ldp.to/me_aectienganhchuanhoakyy" TargetMode="External"/><Relationship Id="rId85" Type="http://schemas.openxmlformats.org/officeDocument/2006/relationships/hyperlink" Target="https://www.aecenglishkids.edu.vn/?utm_source=Facebook&amp;utm_medium=MES&amp;utm_term=NEW_TTTUKHTN_3555_none_210623&amp;utm_content=saletructiep_TTTUKHTN.videokids1.3555.Giaotiep_AEC_LD171&amp;utm_campaign=TTTUKHTN.Kids.videokids1_LHV.9822_MES_DungNTKids_210623" TargetMode="External"/><Relationship Id="rId88" Type="http://schemas.openxmlformats.org/officeDocument/2006/relationships/hyperlink" Target="https://www.aecenglishkids.edu.vn/?utm_source=Facebook&amp;utm_medium=CVS&amp;utm_term=NEW_TTTUKHTN_3555_none_210623&amp;utm_content=saletructiep_TTTUKHTN.videokids1.3555.Giaotiep_AEC_LD171&amp;utm_campaign=TTTUKHTN.Kids.videokids1_LHV.9822_CVS_DungNTKids_210623" TargetMode="External"/><Relationship Id="rId87" Type="http://schemas.openxmlformats.org/officeDocument/2006/relationships/hyperlink" Target="https://www.aecenglishkids.edu.vn/" TargetMode="External"/><Relationship Id="rId89" Type="http://schemas.openxmlformats.org/officeDocument/2006/relationships/hyperlink" Target="http://ldp.to/cvs_aectienganhchuanhoakyy" TargetMode="External"/><Relationship Id="rId80" Type="http://schemas.openxmlformats.org/officeDocument/2006/relationships/hyperlink" Target="http://ldp.to/cvs_tienganhchuanbandia" TargetMode="External"/><Relationship Id="rId82" Type="http://schemas.openxmlformats.org/officeDocument/2006/relationships/hyperlink" Target="https://www.aecenglishkids.edu.vn/?utm_source=Facebook&amp;utm_medium=MES&amp;utm_term=NEW_TTTUKHTN_3555_none_210623&amp;utm_content=saletructiep_TTTUKHTN.anhkhaigiangctdh.3555.Giaotiep_AEC_LD171&amp;utm_campaign=TTTUKHTN.Kids.anhkhaigiangctdh_LHV.9822_MES_DungNTKids_210623" TargetMode="External"/><Relationship Id="rId81" Type="http://schemas.openxmlformats.org/officeDocument/2006/relationships/hyperlink" Target="https://www.aecenglishkids.edu.vn/" TargetMode="External"/><Relationship Id="rId73" Type="http://schemas.openxmlformats.org/officeDocument/2006/relationships/hyperlink" Target="https://www.aecenglishkids.edu.vn/?utm_source=Facebook&amp;utm_medium=CVS&amp;utm_term=NEW_TTTUKHTN_3555_none_190623&amp;utm_content=saletructiep_TTTUKHTN.anhmolop.3555.Giaotiep_AEC_LD171&amp;utm_campaign=TTTUKHTN.Kids.anhmolop_LHV.9822_CVS_DungNTKids_190623" TargetMode="External"/><Relationship Id="rId72" Type="http://schemas.openxmlformats.org/officeDocument/2006/relationships/hyperlink" Target="https://www.aecenglishkids.edu.vn/" TargetMode="External"/><Relationship Id="rId75" Type="http://schemas.openxmlformats.org/officeDocument/2006/relationships/hyperlink" Target="https://www.aecenglishkids.edu.vn/" TargetMode="External"/><Relationship Id="rId74" Type="http://schemas.openxmlformats.org/officeDocument/2006/relationships/hyperlink" Target="http://ldp.to/cvs_tutinnoitienganhaec" TargetMode="External"/><Relationship Id="rId77" Type="http://schemas.openxmlformats.org/officeDocument/2006/relationships/hyperlink" Target="http://ldp.to/me_tienganhchuanbandia" TargetMode="External"/><Relationship Id="rId76" Type="http://schemas.openxmlformats.org/officeDocument/2006/relationships/hyperlink" Target="https://www.aecenglishkids.edu.vn/?utm_source=Facebook&amp;utm_medium=MES&amp;utm_term=NEW_TTTUKHTN_3555_none_190623&amp;utm_content=saletructiep_TTTUKHTN.Videocamnhan.3555.Giaotiep_AEC_LD171&amp;utm_campaign=TTTUKHTN.Kids.Videocamnhan_LHV.9822_MES_DungNTKids_190623" TargetMode="External"/><Relationship Id="rId79" Type="http://schemas.openxmlformats.org/officeDocument/2006/relationships/hyperlink" Target="https://www.aecenglishkids.edu.vn/?utm_source=Facebook&amp;utm_medium=CVS&amp;utm_term=NEW_TTTUKHTN_3555_none_190623&amp;utm_content=saletructiep_TTTUKHTN.Videocamnhan.3555.Giaotiep_AEC_LD171&amp;utm_campaign=TTTUKHTN.Kids.Videocamnhan_LHV.9822_CVS_DungNTKids_190623" TargetMode="External"/><Relationship Id="rId78" Type="http://schemas.openxmlformats.org/officeDocument/2006/relationships/hyperlink" Target="https://www.aecenglishkids.edu.vn/" TargetMode="External"/><Relationship Id="rId71" Type="http://schemas.openxmlformats.org/officeDocument/2006/relationships/hyperlink" Target="http://ldp.to/cvs_tienganhchuanhoaky" TargetMode="External"/><Relationship Id="rId70" Type="http://schemas.openxmlformats.org/officeDocument/2006/relationships/hyperlink" Target="https://www.aecenglishkids.edu.vn/?utm_source=Facebook&amp;utm_medium=CVS&amp;utm_term=NEW_TTTUKHTN_3555_none_190623&amp;utm_content=saletructiep_TTTUKHTN.anhkhaigiang.3555.Giaotiep_AEC_LD171&amp;utm_campaign=TTTUKHTN.Kids.anhkhaigiang_LHV.9822_CVS_DungNTKids_190623" TargetMode="External"/><Relationship Id="rId62" Type="http://schemas.openxmlformats.org/officeDocument/2006/relationships/hyperlink" Target="http://ldp.to/re_lophoctienganhkidscoangel" TargetMode="External"/><Relationship Id="rId61" Type="http://schemas.openxmlformats.org/officeDocument/2006/relationships/hyperlink" Target="https://www.aecenglishkids.edu.vn/?utm_source=Facebook&amp;utm_medium=REEL&amp;utm_term=NEW_TTTUKHTN_3555_none_140623&amp;utm_content=saletructiep_TTTUKHTN.Videoangel.3555.Giaotiep_AEC_LD171&amp;utm_campaign=TTTUKHTN.Kids.Videoangel_LHV.9822_REEL_DungNTKids_140623" TargetMode="External"/><Relationship Id="rId64" Type="http://schemas.openxmlformats.org/officeDocument/2006/relationships/hyperlink" Target="https://www.aecenglishkids.edu.vn/?utm_source=Facebook&amp;utm_medium=CVS&amp;utm_term=NEW_TTTUKHTN_3555_none_140623&amp;utm_content=Storytelling_TTTUKHTN.anhstory.3555.Giaotiep_AEC_LD171&amp;utm_campaign=TTTUKHTN.Kids.anhstory_LHV.9822_CVS_DungNTKids_140623" TargetMode="External"/><Relationship Id="rId63" Type="http://schemas.openxmlformats.org/officeDocument/2006/relationships/hyperlink" Target="https://www.aecenglishkids.edu.vn/" TargetMode="External"/><Relationship Id="rId66" Type="http://schemas.openxmlformats.org/officeDocument/2006/relationships/hyperlink" Target="https://www.aecenglishkids.edu.vn/" TargetMode="External"/><Relationship Id="rId65" Type="http://schemas.openxmlformats.org/officeDocument/2006/relationships/hyperlink" Target="http://ldp.to/aectienganhkids" TargetMode="External"/><Relationship Id="rId68" Type="http://schemas.openxmlformats.org/officeDocument/2006/relationships/hyperlink" Target="http://ldp.to/me_tienganhchuanhoaky" TargetMode="External"/><Relationship Id="rId67" Type="http://schemas.openxmlformats.org/officeDocument/2006/relationships/hyperlink" Target="https://www.aecenglishkids.edu.vn/?utm_source=Facebook&amp;utm_medium=MES&amp;utm_term=NEW_TTTUKHTN_3555_none_190623&amp;utm_content=saletructiep_TTTUKHTN.anhkhaigiang.3555.Giaotiep_AEC_LD171&amp;utm_campaign=TTTUKHTN.Kids.anhkhaigiang_LHV.9822_MES_DungNTKids_190623" TargetMode="External"/><Relationship Id="rId60" Type="http://schemas.openxmlformats.org/officeDocument/2006/relationships/hyperlink" Target="https://www.aecenglishkids.edu.vn/" TargetMode="External"/><Relationship Id="rId69" Type="http://schemas.openxmlformats.org/officeDocument/2006/relationships/hyperlink" Target="https://www.aecenglishkids.edu.vn/" TargetMode="External"/><Relationship Id="rId51" Type="http://schemas.openxmlformats.org/officeDocument/2006/relationships/hyperlink" Target="https://www.aecenglishkids.edu.vn/" TargetMode="External"/><Relationship Id="rId50" Type="http://schemas.openxmlformats.org/officeDocument/2006/relationships/hyperlink" Target="http://ldp.to/cvs_tutinnoitienganhaec" TargetMode="External"/><Relationship Id="rId53" Type="http://schemas.openxmlformats.org/officeDocument/2006/relationships/hyperlink" Target="http://ldp.to/me_tienganhchuanhoaky" TargetMode="External"/><Relationship Id="rId52" Type="http://schemas.openxmlformats.org/officeDocument/2006/relationships/hyperlink" Target="https://www.aecenglishkids.edu.vn/?utm_source=Facebook&amp;utm_medium=MES&amp;utm_term=NEW_TTTUKHTN_3055_none_140623&amp;utm_content=saletructiep_TTTUKHTN.anhkhaigiang.3055.Giaotiep_AEC_LD171&amp;utm_campaign=TTTUKHTN.Kids.anhkhaigiang_LHV.9822_MES_DungNTKids_140623" TargetMode="External"/><Relationship Id="rId55" Type="http://schemas.openxmlformats.org/officeDocument/2006/relationships/hyperlink" Target="https://www.aecenglishkids.edu.vn/?utm_source=Facebook&amp;utm_medium=CVS&amp;utm_term=NEW_TTTUKHTN_3055_none_140623&amp;utm_content=saletructiep_TTTUKHTN.anhkhaigiang.3055.Giaotiep_AEC_LD171&amp;utm_campaign=TTTUKHTN.Kids.anhkhaigiang_LHV.9822_CVS_DungNTKids_140623" TargetMode="External"/><Relationship Id="rId54" Type="http://schemas.openxmlformats.org/officeDocument/2006/relationships/hyperlink" Target="https://www.aecenglishkids.edu.vn/" TargetMode="External"/><Relationship Id="rId57" Type="http://schemas.openxmlformats.org/officeDocument/2006/relationships/hyperlink" Target="https://www.aecenglishkids.edu.vn/" TargetMode="External"/><Relationship Id="rId56" Type="http://schemas.openxmlformats.org/officeDocument/2006/relationships/hyperlink" Target="http://ldp.to/cvs_tienganhchuanhoaky" TargetMode="External"/><Relationship Id="rId59" Type="http://schemas.openxmlformats.org/officeDocument/2006/relationships/hyperlink" Target="http://ldp.to/re_lophoctienganhkidsthayben" TargetMode="External"/><Relationship Id="rId58" Type="http://schemas.openxmlformats.org/officeDocument/2006/relationships/hyperlink" Target="https://www.aecenglishkids.edu.vn/?utm_source=Facebook&amp;utm_medium=REEL&amp;utm_term=NEW_TTTUKHTN_3555_none_140623&amp;utm_content=saletructiep_TTTUKHTN.Videoben.3555.Giaotiep_AEC_LD171&amp;utm_campaign=TTTUKHTN.Kids.Videoben_LHV.9822_REEL_DungNTKids_140623" TargetMode="External"/><Relationship Id="rId95" Type="http://schemas.openxmlformats.org/officeDocument/2006/relationships/hyperlink" Target="http://ldp.to/me_aectienganhchuanhoakyy" TargetMode="External"/><Relationship Id="rId94" Type="http://schemas.openxmlformats.org/officeDocument/2006/relationships/hyperlink" Target="https://www.aecenglishkids.edu.vn/?utm_source=Facebook&amp;utm_medium=MES&amp;utm_term=NEW_TTTUKHTN_3555_none_230623&amp;utm_content=saletructiep_TTTUKHTN.videokids1.3555.Giaotiep_AEC_LD171&amp;utm_campaign=TTTUKHTN.Kids.videokids1_LHV.9822_MES_DungNTKids_230623" TargetMode="External"/><Relationship Id="rId97" Type="http://schemas.openxmlformats.org/officeDocument/2006/relationships/hyperlink" Target="https://www.aecenglishkids.edu.vn/?utm_source=Facebook&amp;utm_medium=MES&amp;utm_term=NEW_TTTUKHTN_3555_none_260623&amp;utm_content=saletructiep_TTTUKHTN.anhanhcttuonglai.3555.Giaotiep_AEC_LD171&amp;utm_campaign=TTTUKHTN.Kids.anhcttuonglai_LHV.9822_MES_DungNTKids_260623" TargetMode="External"/><Relationship Id="rId96" Type="http://schemas.openxmlformats.org/officeDocument/2006/relationships/hyperlink" Target="https://www.aecenglishkids.edu.vn/" TargetMode="External"/><Relationship Id="rId99" Type="http://schemas.openxmlformats.org/officeDocument/2006/relationships/hyperlink" Target="https://www.aecenglishkids.edu.vn/" TargetMode="External"/><Relationship Id="rId98" Type="http://schemas.openxmlformats.org/officeDocument/2006/relationships/hyperlink" Target="http://ldp.to/aectienganhchuanhoakyyy" TargetMode="External"/><Relationship Id="rId91" Type="http://schemas.openxmlformats.org/officeDocument/2006/relationships/hyperlink" Target="https://www.aecenglishkids.edu.vn/?utm_source=Facebook&amp;utm_medium=MES&amp;utm_term=NEW_TTTUKHTN_3555_none_230623&amp;utm_content=saletructiep_TTTUKHTN.anhanhcttuonglai.3555.Giaotiep_AEC_LD171&amp;utm_campaign=TTTUKHTN.Kids.anhcttuonglai_LHV.9822_MES_DungNTKids_230623" TargetMode="External"/><Relationship Id="rId90" Type="http://schemas.openxmlformats.org/officeDocument/2006/relationships/hyperlink" Target="https://www.aecenglishkids.edu.vn/" TargetMode="External"/><Relationship Id="rId93" Type="http://schemas.openxmlformats.org/officeDocument/2006/relationships/hyperlink" Target="https://www.aecenglishkids.edu.vn/" TargetMode="External"/><Relationship Id="rId92" Type="http://schemas.openxmlformats.org/officeDocument/2006/relationships/hyperlink" Target="http://ldp.to/aectienganhchuanhoakyyy" TargetMode="External"/><Relationship Id="rId1" Type="http://schemas.openxmlformats.org/officeDocument/2006/relationships/hyperlink" Target="https://toandien.tienganh24h.net/khoahocgiaotiep/" TargetMode="External"/><Relationship Id="rId2" Type="http://schemas.openxmlformats.org/officeDocument/2006/relationships/hyperlink" Target="https://pu.englishcoach.vn/tienganhkidsaec" TargetMode="External"/><Relationship Id="rId3" Type="http://schemas.openxmlformats.org/officeDocument/2006/relationships/hyperlink" Target="http://ldp.to/lophocthayben" TargetMode="External"/><Relationship Id="rId4" Type="http://schemas.openxmlformats.org/officeDocument/2006/relationships/hyperlink" Target="https://pu.englishcoach.vn/tienganhkidsaec" TargetMode="External"/><Relationship Id="rId9" Type="http://schemas.openxmlformats.org/officeDocument/2006/relationships/hyperlink" Target="http://ldp.to/tienganhchuanbandia" TargetMode="External"/><Relationship Id="rId5" Type="http://schemas.openxmlformats.org/officeDocument/2006/relationships/hyperlink" Target="https://pu.englishcoach.vn/tienganhkidsaec/?utm_source=Facebook&amp;utm_medium=CVS&amp;utm_term=NEW_Vietnam_2550_none_050623&amp;utm_content=saletructiep_Vietnam.Videoangel.2550.Giaotiep_AEC_LD168&amp;utm_campaign=Vietnam.Kids.Videoangel_LHV.9822_CVS_DungNTKids_050623" TargetMode="External"/><Relationship Id="rId6" Type="http://schemas.openxmlformats.org/officeDocument/2006/relationships/hyperlink" Target="http://ldp.to/lophoctienganhcoangel" TargetMode="External"/><Relationship Id="rId7" Type="http://schemas.openxmlformats.org/officeDocument/2006/relationships/hyperlink" Target="https://pu.englishcoach.vn/tienganhkidsaec" TargetMode="External"/><Relationship Id="rId8" Type="http://schemas.openxmlformats.org/officeDocument/2006/relationships/hyperlink" Target="https://pu.englishcoach.vn/tienganhkidsaec/?utm_source=Facebook&amp;utm_medium=MES&amp;utm_term=NEW_Vietnam_2550_none_050623&amp;utm_content=saletructiep_Vietnam.Videocamnhan.2550.Giaotiep_AEC_LD168&amp;utm_campaign=Vietnam.Kids.Videocamnhan_LHV.9822_MES_DungNTKids_050623" TargetMode="External"/><Relationship Id="rId141" Type="http://schemas.openxmlformats.org/officeDocument/2006/relationships/drawing" Target="../drawings/drawing13.xml"/><Relationship Id="rId140" Type="http://schemas.openxmlformats.org/officeDocument/2006/relationships/hyperlink" Target="http://ldp.to/aecenglishkids_asia" TargetMode="External"/><Relationship Id="rId139" Type="http://schemas.openxmlformats.org/officeDocument/2006/relationships/hyperlink" Target="https://www.aecenglishkids.edu.vn/?utm_source=Facebook&amp;utm_medium=CVS&amp;utm_term=NEW_Asia_2555_none_100823&amp;utm_content=saletructiep_Asia.anhmolop.2555.Giaotiep_AEC_LD171&amp;utm_campaign=Asia.Kids.anhmolop_SCB.9889_CVS_DungNTKids_100823" TargetMode="External"/><Relationship Id="rId138" Type="http://schemas.openxmlformats.org/officeDocument/2006/relationships/hyperlink" Target="https://www.aecenglishkids.edu.vn/" TargetMode="External"/><Relationship Id="rId137" Type="http://schemas.openxmlformats.org/officeDocument/2006/relationships/hyperlink" Target="http://ldp.to/aecenglishkids_korea" TargetMode="External"/><Relationship Id="rId132" Type="http://schemas.openxmlformats.org/officeDocument/2006/relationships/hyperlink" Target="https://www.aecenglishkids.edu.vn/" TargetMode="External"/><Relationship Id="rId131" Type="http://schemas.openxmlformats.org/officeDocument/2006/relationships/hyperlink" Target="http://ldp.to/aecenglishkids_asia" TargetMode="External"/><Relationship Id="rId130" Type="http://schemas.openxmlformats.org/officeDocument/2006/relationships/hyperlink" Target="https://www.aecenglishkids.edu.vn/?utm_source=Facebook&amp;utm_medium=CVS&amp;utm_term=NEW_Asia_2555_none_050823&amp;utm_content=saletructiep_Asia.anhkhoahoc.2555.Giaotiep_AEC_LD171&amp;utm_campaign=Asia.Kids.anhkhoahoc_SCB.9889_CVS_DungNTKids_050823" TargetMode="External"/><Relationship Id="rId136" Type="http://schemas.openxmlformats.org/officeDocument/2006/relationships/hyperlink" Target="https://www.aecenglishkids.edu.vn/?utm_source=Facebook&amp;utm_medium=CVS&amp;utm_term=NEW_KoreaSouth_2555_none_100823&amp;utm_content=saletructiep_KoreaSouth.anhkhoahoc.2555.Giaotiep_AEC_LD171&amp;utm_campaign=KoreaSouth.Kids.anhkhoahoc_SCB.9889_CVS_DungNTKids_100823" TargetMode="External"/><Relationship Id="rId135" Type="http://schemas.openxmlformats.org/officeDocument/2006/relationships/hyperlink" Target="https://www.aecenglishkids.edu.vn/" TargetMode="External"/><Relationship Id="rId134" Type="http://schemas.openxmlformats.org/officeDocument/2006/relationships/hyperlink" Target="http://ldp.to/aecenglishkids_japan" TargetMode="External"/><Relationship Id="rId133" Type="http://schemas.openxmlformats.org/officeDocument/2006/relationships/hyperlink" Target="https://www.aecenglishkids.edu.vn/?utm_source=Facebook&amp;utm_medium=CVS&amp;utm_term=NEW_Japan_2555_none_070823&amp;utm_content=saletructiep_Japan.anhkhoahoc.2555.Giaotiep_AEC_LD171&amp;utm_campaign=Japan.Kids.anhkhoahoc_SCB.9889_CVS_DungNTKids_070823" TargetMode="External"/><Relationship Id="rId107" Type="http://schemas.openxmlformats.org/officeDocument/2006/relationships/hyperlink" Target="https://www.aecenglishkids.edu.vn/?utm_source=Facebook&amp;utm_medium=MES&amp;utm_term=NEW_CzechRepublic_3055_none_040723&amp;utm_content=saletructiep_CzechRepublic.anhmolop.3055.Giaotiep_AEC_LD171&amp;utm_campaign=CzechRepublic.Kids.anhmolop_LHV.9822_MES_DungNTKids_040723" TargetMode="External"/><Relationship Id="rId106" Type="http://schemas.openxmlformats.org/officeDocument/2006/relationships/hyperlink" Target="https://www.aecenglishkids.edu.vn/" TargetMode="External"/><Relationship Id="rId105" Type="http://schemas.openxmlformats.org/officeDocument/2006/relationships/hyperlink" Target="http://ldp.to/aectienganhchuanhoakyyy" TargetMode="External"/><Relationship Id="rId104" Type="http://schemas.openxmlformats.org/officeDocument/2006/relationships/hyperlink" Target="https://www.aecenglishkids.edu.vn/?utm_source=Facebook&amp;utm_medium=MES&amp;utm_term=NEW_TTTUKHTN_3555_none_040723&amp;utm_content=saletructiep_TTTUKHTN.anhanhcttuonglai.3555.Giaotiep_AEC_LD171&amp;utm_campaign=TTTUKHTN.Kids.anhcttuonglai_LHV.9822_MES_DungNTKids_040723" TargetMode="External"/><Relationship Id="rId109" Type="http://schemas.openxmlformats.org/officeDocument/2006/relationships/hyperlink" Target="https://www.aecenglishkids.edu.vn/" TargetMode="External"/><Relationship Id="rId108" Type="http://schemas.openxmlformats.org/officeDocument/2006/relationships/hyperlink" Target="http://ldp.to/me_tutinnoitienganhaeccz" TargetMode="External"/><Relationship Id="rId103" Type="http://schemas.openxmlformats.org/officeDocument/2006/relationships/hyperlink" Target="https://www.aecenglishkids.edu.vn/" TargetMode="External"/><Relationship Id="rId102" Type="http://schemas.openxmlformats.org/officeDocument/2006/relationships/hyperlink" Target="https://www.aecenglishkids.edu.vn/?utm_source=Facebook&amp;utm_medium=MES&amp;utm_term=NEW_TTTUKHTN_3555_none_040723&amp;utm_content=saletructiep_TTTUKHTN.CTCNNT.3555.Giaotiep_AEC_LD171&amp;utm_campaign=TTTUKHTN.Kids.CTCNNT_LHV.9822_MES_DungNTKids_040723" TargetMode="External"/><Relationship Id="rId101" Type="http://schemas.openxmlformats.org/officeDocument/2006/relationships/hyperlink" Target="https://www.aecenglishkids.edu.vn/" TargetMode="External"/><Relationship Id="rId100" Type="http://schemas.openxmlformats.org/officeDocument/2006/relationships/hyperlink" Target="https://www.aecenglishkids.edu.vn/?utm_source=Facebook&amp;utm_medium=MES&amp;utm_term=NEW_TTTUKHTN_3555_none_270623&amp;utm_content=saletructiep_TTTUKHTN.CTCNNT.3555.Giaotiep_AEC_LD171&amp;utm_campaign=TTTUKHTN.Kids.CTCNNT_LHV.9822_MES_DungNTKids_270623" TargetMode="External"/><Relationship Id="rId129" Type="http://schemas.openxmlformats.org/officeDocument/2006/relationships/hyperlink" Target="https://www.aecenglishkids.edu.vn/" TargetMode="External"/><Relationship Id="rId128" Type="http://schemas.openxmlformats.org/officeDocument/2006/relationships/hyperlink" Target="http://ldp.to/biquyethoctienganhchocon_korea" TargetMode="External"/><Relationship Id="rId127" Type="http://schemas.openxmlformats.org/officeDocument/2006/relationships/hyperlink" Target="https://www.aecenglishkids.edu.vn/?utm_source=Facebook&amp;utm_medium=CVS&amp;utm_term=NEW_KoreaSouth_2555_none_040823&amp;utm_content=saletructiep_KoreaSouth.anhmolop.2555.Giaotiep_AEC_LD171&amp;utm_campaign=KoreaSouth.Kids.anhmolop_SCB.9889_CVS_DungNTKids_040823" TargetMode="External"/><Relationship Id="rId126" Type="http://schemas.openxmlformats.org/officeDocument/2006/relationships/hyperlink" Target="https://www.aecenglishkids.edu.vn/" TargetMode="External"/><Relationship Id="rId121" Type="http://schemas.openxmlformats.org/officeDocument/2006/relationships/hyperlink" Target="https://www.aecenglishkids.edu.vn/?utm_source=Facebook&amp;utm_medium=CVS&amp;utm_term=NEW_Japan_2555_none_010823&amp;utm_content=saletructiep_Japan.anhkhoahoc.2555.Giaotiep_AEC_LD171&amp;utm_campaign=Japan.Kids.anhkhoahoc_SCB.9889_CVS_DungNTKids_010823" TargetMode="External"/><Relationship Id="rId120" Type="http://schemas.openxmlformats.org/officeDocument/2006/relationships/hyperlink" Target="https://www.aecenglishkids.edu.vn/" TargetMode="External"/><Relationship Id="rId125" Type="http://schemas.openxmlformats.org/officeDocument/2006/relationships/hyperlink" Target="http://ldp.to/aecenglishkidskorea" TargetMode="External"/><Relationship Id="rId124" Type="http://schemas.openxmlformats.org/officeDocument/2006/relationships/hyperlink" Target="https://www.aecenglishkids.edu.vn/?utm_source=Facebook&amp;utm_medium=CVS&amp;utm_term=NEW_KoreaSouth_2555_none_040823&amp;utm_content=saletructiep_KoreaSouth.anhkhoahoc.2555.Giaotiep_AEC_LD171&amp;utm_campaign=KoreaSouth.Kids.anhkhoahoc_SCB.9889_CVS_DungNTKids_040823" TargetMode="External"/><Relationship Id="rId123" Type="http://schemas.openxmlformats.org/officeDocument/2006/relationships/hyperlink" Target="https://www.aecenglishkids.edu.vn/" TargetMode="External"/><Relationship Id="rId122" Type="http://schemas.openxmlformats.org/officeDocument/2006/relationships/hyperlink" Target="http://ldp.to/aecenglishkidsjapan" TargetMode="External"/><Relationship Id="rId118" Type="http://schemas.openxmlformats.org/officeDocument/2006/relationships/hyperlink" Target="https://www.aecenglishkids.edu.vn/?utm_source=Facebook&amp;utm_medium=CVS&amp;utm_term=NEW_Japan_2555_none_310723&amp;utm_content=saletructiep_Japan.anhmolop.2555.Giaotiep_AEC_LD171&amp;utm_campaign=Japan.Kids.anhmolop_SCB.9889_CVS_DungNTKids_310723" TargetMode="External"/><Relationship Id="rId117" Type="http://schemas.openxmlformats.org/officeDocument/2006/relationships/hyperlink" Target="https://www.aecenglishkids.edu.vn/" TargetMode="External"/><Relationship Id="rId116" Type="http://schemas.openxmlformats.org/officeDocument/2006/relationships/hyperlink" Target="http://ldp.to/biquyethoctienganhchocon_europe" TargetMode="External"/><Relationship Id="rId115" Type="http://schemas.openxmlformats.org/officeDocument/2006/relationships/hyperlink" Target="https://www.aecenglishkids.edu.vn/?utm_source=Facebook&amp;utm_medium=CVS&amp;utm_term=NEW_Europe_2555_none_310723&amp;utm_content=saletructiep_Europe.anhmolop.2555.Giaotiep_AEC_LD171&amp;utm_campaign=Europe.Kids.anhmolop_SCB.9889_CVS_DungNTKids_310723" TargetMode="External"/><Relationship Id="rId119" Type="http://schemas.openxmlformats.org/officeDocument/2006/relationships/hyperlink" Target="http://ldp.to/biquyethoctienganhchocon_japan" TargetMode="External"/><Relationship Id="rId110" Type="http://schemas.openxmlformats.org/officeDocument/2006/relationships/hyperlink" Target="https://www.aecenglishkids.edu.vn/?utm_source=Facebook&amp;utm_medium=MES&amp;utm_term=NEW_TTTUKHTN_3555_none_060723&amp;utm_content=saletructiep_TTTUKHTN.anhctthoidiemvang.3555.Giaotiep_AEC_LD171&amp;utm_campaign=TTTUKHTN.Kids.anhctthoidiemvang_LHV.9822_MES_DungNTKids_060723" TargetMode="External"/><Relationship Id="rId114" Type="http://schemas.openxmlformats.org/officeDocument/2006/relationships/hyperlink" Target="https://www.aecenglishkids.edu.vn/" TargetMode="External"/><Relationship Id="rId113" Type="http://schemas.openxmlformats.org/officeDocument/2006/relationships/hyperlink" Target="http://ldp.to/aecenglishkidseurope" TargetMode="External"/><Relationship Id="rId112" Type="http://schemas.openxmlformats.org/officeDocument/2006/relationships/hyperlink" Target="https://www.aecenglishkids.edu.vn/?utm_source=Facebook&amp;utm_medium=CVS&amp;utm_term=NEW_Europe_2555_none_310723&amp;utm_content=saletructiep_Europe.anhkhoahoc.2555.Giaotiep_AEC_LD171&amp;utm_campaign=Europe.Kids.anhkhoahoc_SCB.9889_CVS_DungNTKids_310723" TargetMode="External"/><Relationship Id="rId111" Type="http://schemas.openxmlformats.org/officeDocument/2006/relationships/hyperlink" Target="https://www.aecenglishkids.edu.vn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patadovietnam.edu.vn/giaotiepanhngu_adp/?utm_source=Facebook&amp;utm_medium=MES&amp;utm_term=NEW_KoreaSouth_1840_none_270324&amp;utm_content=saletructiep_KoreaSouth.M191C133.giaotiep_PTATTNDL_LD220&amp;utm_campaign=KoreaSouth.giaotiep.M191C133_SCB.9889_MES_AnhDP_270324" TargetMode="External"/><Relationship Id="rId42" Type="http://schemas.openxmlformats.org/officeDocument/2006/relationships/hyperlink" Target="https://patadovietnam.edu.vn/giaotiepanhngu_adp/" TargetMode="External"/><Relationship Id="rId41" Type="http://schemas.openxmlformats.org/officeDocument/2006/relationships/hyperlink" Target="http://ldp.ink/tagtkorea_adp" TargetMode="External"/><Relationship Id="rId44" Type="http://schemas.openxmlformats.org/officeDocument/2006/relationships/hyperlink" Target="http://ldp.ink/tagtsweden_adp" TargetMode="External"/><Relationship Id="rId43" Type="http://schemas.openxmlformats.org/officeDocument/2006/relationships/hyperlink" Target="https://patadovietnam.edu.vn/giaotiepanhngu_adp/?utm_source=Facebook&amp;utm_medium=MES&amp;utm_term=NEW_Sweden_2040_none_290324&amp;utm_content=saletructiep_Sweden.M110C88.giaotiep_PTATTNDL_LD220&amp;utm_campaign=Sweden.giaotiep.M110C88_SCB.9889_MES_AnhDP_290324" TargetMode="External"/><Relationship Id="rId46" Type="http://schemas.openxmlformats.org/officeDocument/2006/relationships/hyperlink" Target="https://patadovietnam.edu.vn/giaotiepanhngu_adp/?utm_source=Facebook&amp;utm_medium=CVS&amp;utm_term=NEW_KoreaSouth_1840_none_040424&amp;utm_content=saletructiep_KoreaSouth.M201C170.giaotiep_PTATTNDL_LD220&amp;utm_campaign=KoreaSouth.giaotiep.M201C170_SCB.9889_CVS_AnhDP_040424" TargetMode="External"/><Relationship Id="rId45" Type="http://schemas.openxmlformats.org/officeDocument/2006/relationships/hyperlink" Target="https://patadovietnam.edu.vn/giaotiepanhngu_adp/" TargetMode="External"/><Relationship Id="rId48" Type="http://schemas.openxmlformats.org/officeDocument/2006/relationships/hyperlink" Target="https://patadovietnam.edu.vn/giaotiepanhngu_adp/" TargetMode="External"/><Relationship Id="rId47" Type="http://schemas.openxmlformats.org/officeDocument/2006/relationships/hyperlink" Target="http://ldp.ink/koreacvs_adp" TargetMode="External"/><Relationship Id="rId49" Type="http://schemas.openxmlformats.org/officeDocument/2006/relationships/hyperlink" Target="https://patadovietnam.edu.vn/giaotiepanhngu_adp/?utm_source=Facebook&amp;utm_medium=MES&amp;utm_term=NEW_Canada_1840_none_040424&amp;utm_content=saletructiep_Canada.M189C170.giaotiep_PTATTNDL_LD220&amp;utm_campaign=Canada.giaotiep.M189C170_SCB.9889_MES_AnhDP_040424" TargetMode="External"/><Relationship Id="rId31" Type="http://schemas.openxmlformats.org/officeDocument/2006/relationships/hyperlink" Target="https://patadovietnam.edu.vn/tienganhgiaotiep_adp/?utm_source=Facebook&amp;utm_medium=MES&amp;utm_term=NEW_KoreaSouth_1845_none_220324&amp;utm_content=saletructiep_KoreaSouth.M172C162.giaotiep_PTATTNDL_LD219&amp;utm_campaign=KoreaSouth.giaotiep.M172C162_SCB.9889_MES_AnhDP_220324" TargetMode="External"/><Relationship Id="rId30" Type="http://schemas.openxmlformats.org/officeDocument/2006/relationships/hyperlink" Target="https://patadovietnam.edu.vn/tienganhgiaotiep_adp/" TargetMode="External"/><Relationship Id="rId33" Type="http://schemas.openxmlformats.org/officeDocument/2006/relationships/hyperlink" Target="https://patadovietnam.edu.vn/tienganhgiaotiep_adp/" TargetMode="External"/><Relationship Id="rId32" Type="http://schemas.openxmlformats.org/officeDocument/2006/relationships/hyperlink" Target="http://ldp.ink/tattndl_koreasouth" TargetMode="External"/><Relationship Id="rId35" Type="http://schemas.openxmlformats.org/officeDocument/2006/relationships/hyperlink" Target="http://ldp.ink/alltagt_adp" TargetMode="External"/><Relationship Id="rId34" Type="http://schemas.openxmlformats.org/officeDocument/2006/relationships/hyperlink" Target="https://patadovietnam.edu.vn/tienganhgiaotiep_adp/?utm_source=Facebook&amp;utm_medium=MES&amp;utm_term=NEW_ALL_1845_none_230324&amp;utm_content=saletructiep_ALL.M172C138.giaotiep_PTATTNDL_LD219&amp;utm_campaign=ALL.giaotiep.M172C138_SCB.9889_MES_AnhDP_230324" TargetMode="External"/><Relationship Id="rId37" Type="http://schemas.openxmlformats.org/officeDocument/2006/relationships/hyperlink" Target="https://patadovietnam.edu.vn/giaotiepanhngu_adp/?utm_source=Facebook&amp;utm_medium=CVS&amp;utm_term=NEW_ALL_2240_none_250324&amp;utm_content=saletructiep_ALL.M189C138.giaotiep_PTATTNDL_LD220&amp;utm_campaign=ALL.giaotiep.M189C138_SCB.9889_CVS_AnhDP_250324" TargetMode="External"/><Relationship Id="rId36" Type="http://schemas.openxmlformats.org/officeDocument/2006/relationships/hyperlink" Target="https://patadovietnam.edu.vn/giaotiepanhngu_adp/" TargetMode="External"/><Relationship Id="rId39" Type="http://schemas.openxmlformats.org/officeDocument/2006/relationships/hyperlink" Target="https://patadovietnam.edu.vn/giaotiepanhngu_adp/" TargetMode="External"/><Relationship Id="rId38" Type="http://schemas.openxmlformats.org/officeDocument/2006/relationships/hyperlink" Target="http://ldp.ink/allgiaotiep_ADP" TargetMode="External"/><Relationship Id="rId20" Type="http://schemas.openxmlformats.org/officeDocument/2006/relationships/hyperlink" Target="http://ldp.ink/Canada_adp" TargetMode="External"/><Relationship Id="rId22" Type="http://schemas.openxmlformats.org/officeDocument/2006/relationships/hyperlink" Target="https://patadovietnam.edu.vn/tienganhgiaotiep_adp/?utm_source=Facebook&amp;utm_medium=MES&amp;utm_term=NEW_Canada_1830_none_210324&amp;utm_content=saletructiep_Canada.M39C45.giaotiep_PTATDNDL_LD219&amp;utm_campaign=Canada.giaotiep.M39C45_SCB.9889_MES_AnhDP_210324" TargetMode="External"/><Relationship Id="rId21" Type="http://schemas.openxmlformats.org/officeDocument/2006/relationships/hyperlink" Target="https://patadovietnam.edu.vn/tienganhgiaotiep_adp/" TargetMode="External"/><Relationship Id="rId24" Type="http://schemas.openxmlformats.org/officeDocument/2006/relationships/hyperlink" Target="https://patadovietnam.edu.vn/tienganhgiaotiep_adp/" TargetMode="External"/><Relationship Id="rId23" Type="http://schemas.openxmlformats.org/officeDocument/2006/relationships/hyperlink" Target="http://ldp.ink/tadv_adp" TargetMode="External"/><Relationship Id="rId26" Type="http://schemas.openxmlformats.org/officeDocument/2006/relationships/hyperlink" Target="http://ldp.ink/canada_tadv_adp" TargetMode="External"/><Relationship Id="rId25" Type="http://schemas.openxmlformats.org/officeDocument/2006/relationships/hyperlink" Target="https://patadovietnam.edu.vn/tienganhgiaotiep_adp/?utm_source=Facebook&amp;utm_medium=MES&amp;utm_term=NEW_Canada_1830_none_210324&amp;utm_content=saletructiep_Canada.M189C45.giaotiep_PTATDNDL_LD219&amp;utm_campaign=Canada.giaotiep.M189C45_SCB.9889_MES_AnhDP_210324" TargetMode="External"/><Relationship Id="rId28" Type="http://schemas.openxmlformats.org/officeDocument/2006/relationships/hyperlink" Target="https://patadovietnam.edu.vn/tienganhgiaotiep_adp/?utm_source=Facebook&amp;utm_medium=MES&amp;utm_term=NEW_ALL_1845_none_220324&amp;utm_content=saletructiep_ALL.M191C162.giaotiep_PTATTNDL_LD219&amp;utm_campaign=ALL.giaotiep.M191C162_SCB.9889_MES_AnhDP_220324" TargetMode="External"/><Relationship Id="rId27" Type="http://schemas.openxmlformats.org/officeDocument/2006/relationships/hyperlink" Target="https://patadovietnam.edu.vn/tienganhgiaotiep_adp/" TargetMode="External"/><Relationship Id="rId29" Type="http://schemas.openxmlformats.org/officeDocument/2006/relationships/hyperlink" Target="http://ldp.ink/giaotieptoandien_adp" TargetMode="External"/><Relationship Id="rId11" Type="http://schemas.openxmlformats.org/officeDocument/2006/relationships/hyperlink" Target="http://ldp.ink/giaotiepadp" TargetMode="External"/><Relationship Id="rId10" Type="http://schemas.openxmlformats.org/officeDocument/2006/relationships/hyperlink" Target="https://patadovietnam.edu.vn/tienganhgiaotiep_adp/?utm_source=Facebook&amp;utm_medium=MES&amp;utm_term=NEW_Vietnam_1840_none_180324&amp;utm_content=saletructiep_Vietnam.M191C158.giaotiep_PTATTNDL_LD219&amp;utm_campaign=Vietnam.giaotiep.M191C158_SCB.9889_MES_AnhDP_180324" TargetMode="External"/><Relationship Id="rId13" Type="http://schemas.openxmlformats.org/officeDocument/2006/relationships/hyperlink" Target="https://patadovietnam.edu.vn/tienganhgiaotiep_adp/?utm_source=Facebook&amp;utm_medium=MES&amp;utm_term=NEW_Australia_1830_none_180324&amp;utm_content=saletructiep_Australia.M187C155.giaotiep_PTATTNDL_LD219&amp;utm_campaign=Australia.giaotiep.M187C155_SCB.9889_MES_AnhDP_180324" TargetMode="External"/><Relationship Id="rId12" Type="http://schemas.openxmlformats.org/officeDocument/2006/relationships/hyperlink" Target="https://patadovietnam.edu.vn/tienganhgiaotiep_adp/" TargetMode="External"/><Relationship Id="rId15" Type="http://schemas.openxmlformats.org/officeDocument/2006/relationships/hyperlink" Target="https://patadovietnam.edu.vn/tienganhgiaotiep_adp/" TargetMode="External"/><Relationship Id="rId14" Type="http://schemas.openxmlformats.org/officeDocument/2006/relationships/hyperlink" Target="http://ldp.ink/Australia_adp" TargetMode="External"/><Relationship Id="rId17" Type="http://schemas.openxmlformats.org/officeDocument/2006/relationships/hyperlink" Target="http://ldp.ink/tienganhgiaotiep_adp" TargetMode="External"/><Relationship Id="rId16" Type="http://schemas.openxmlformats.org/officeDocument/2006/relationships/hyperlink" Target="https://patadovietnam.edu.vn/tienganhgiaotiep_adp/?utm_source=Facebook&amp;utm_medium=MES&amp;utm_term=NEW_Vietnam_1840_none_180324&amp;utm_content=saletructiep_Vietnam.M193C160.1840.giaotiep_PTATDNDL_LD219&amp;utm_campaign=Vietnam.giaotiep.M193C160_SCB.9889_MES_AnhDP_180324" TargetMode="External"/><Relationship Id="rId19" Type="http://schemas.openxmlformats.org/officeDocument/2006/relationships/hyperlink" Target="https://patadovietnam.edu.vn/tienganhgiaotiep_adp/?utm_source=Facebook&amp;utm_medium=MES&amp;utm_term=NEW_Canada_1830_none_180324&amp;utm_content=saletructiep_Canada.M39C21.giaotiep_PTATDNDL_LD219&amp;utm_campaign=Canada.giaotiep.M39C21_SCB.9889_MES_AnhDP_180324" TargetMode="External"/><Relationship Id="rId18" Type="http://schemas.openxmlformats.org/officeDocument/2006/relationships/hyperlink" Target="https://patadovietnam.edu.vn/tienganhgiaotiep_adp/" TargetMode="External"/><Relationship Id="rId84" Type="http://schemas.openxmlformats.org/officeDocument/2006/relationships/hyperlink" Target="https://patadovietnam.edu.vn/giaotiepanhngu_adp/" TargetMode="External"/><Relationship Id="rId83" Type="http://schemas.openxmlformats.org/officeDocument/2006/relationships/hyperlink" Target="http://ldp.ink/Japantagt_adp" TargetMode="External"/><Relationship Id="rId86" Type="http://schemas.openxmlformats.org/officeDocument/2006/relationships/hyperlink" Target="http://ldp.ink/Taiwantagt_adp" TargetMode="External"/><Relationship Id="rId85" Type="http://schemas.openxmlformats.org/officeDocument/2006/relationships/hyperlink" Target="https://patadovietnam.edu.vn/giaotiepanhngu_adp/?utm_source=Facebook&amp;utm_medium=MES&amp;utm_term=NEW_Taiwan_1840_none_220424&amp;utm_content=saletructiep_Taiwan.M191C134.giaotiep_PTATTNDL_LD220&amp;utm_campaign=Taiwan.giaotiep.M191C134_SCB.9889_MES_AnhDP_220424" TargetMode="External"/><Relationship Id="rId88" Type="http://schemas.openxmlformats.org/officeDocument/2006/relationships/hyperlink" Target="https://patadovietnam.edu.vn/giaotiepanhngu_adp/?utm_source=Facebook&amp;utm_medium=MES&amp;utm_term=NEW_Europe_1840_none_220424&amp;utm_content=saletructiep_Europe.M172C138.giaotiep_PTATTNDL_LD220&amp;utm_campaign=Europe.giaotiep.M172C138_SCB.9889_MES_AnhDP_220424" TargetMode="External"/><Relationship Id="rId87" Type="http://schemas.openxmlformats.org/officeDocument/2006/relationships/hyperlink" Target="https://patadovietnam.edu.vn/giaotiepanhngu_adp/" TargetMode="External"/><Relationship Id="rId89" Type="http://schemas.openxmlformats.org/officeDocument/2006/relationships/hyperlink" Target="http://ldp.ink/giaotieptienganhnsf_adp" TargetMode="External"/><Relationship Id="rId80" Type="http://schemas.openxmlformats.org/officeDocument/2006/relationships/hyperlink" Target="http://ldp.ink/gttamalaysia_adp" TargetMode="External"/><Relationship Id="rId82" Type="http://schemas.openxmlformats.org/officeDocument/2006/relationships/hyperlink" Target="https://patadovietnam.edu.vn/giaotiepanhngu_adp/?utm_source=Facebook&amp;utm_medium=MES&amp;utm_term=NEW_Japan_2030_none_220424&amp;utm_content=saletructiep_Japan.M191C132.giaotiep_PTATTNDL_LD220&amp;utm_campaign=Japan.giaotiep.M191C132_SCB.9889_MES_AnhDP_220424" TargetMode="External"/><Relationship Id="rId81" Type="http://schemas.openxmlformats.org/officeDocument/2006/relationships/hyperlink" Target="https://patadovietnam.edu.vn/giaotiepanhngu_adp/" TargetMode="External"/><Relationship Id="rId73" Type="http://schemas.openxmlformats.org/officeDocument/2006/relationships/hyperlink" Target="https://patadovietnam.edu.vn/giaotiepanhngu_adp/?utm_source=Facebook&amp;utm_medium=MES&amp;utm_term=NEW_Australia_2030_none_190424&amp;utm_content=saletructiep_Australia.M208C174.giaotiep_PTATTNDL_LD220&amp;utm_campaign=Australia.giaotiep.M208C174_SCB.9889_MES_AnhDP_190424" TargetMode="External"/><Relationship Id="rId72" Type="http://schemas.openxmlformats.org/officeDocument/2006/relationships/hyperlink" Target="https://patadovietnam.edu.vn/giaotiepanhngu_adp/" TargetMode="External"/><Relationship Id="rId75" Type="http://schemas.openxmlformats.org/officeDocument/2006/relationships/hyperlink" Target="https://patadovietnam.edu.vn/giaotiepanhngu_adp/" TargetMode="External"/><Relationship Id="rId74" Type="http://schemas.openxmlformats.org/officeDocument/2006/relationships/hyperlink" Target="http://ldp.ink/australiagiaotiep_adp" TargetMode="External"/><Relationship Id="rId77" Type="http://schemas.openxmlformats.org/officeDocument/2006/relationships/hyperlink" Target="http://ldp.ink/giaotieptaicanada_adp" TargetMode="External"/><Relationship Id="rId76" Type="http://schemas.openxmlformats.org/officeDocument/2006/relationships/hyperlink" Target="https://patadovietnam.edu.vn/giaotiepanhngu_adp/?utm_source=Facebook&amp;utm_medium=MES&amp;utm_term=NEW_Canada_2030_none_190424&amp;utm_content=saletructiep_Canada.M209C170.giaotiep_PTATTNDL_LD220&amp;utm_campaign=Canada.giaotiep.M209C170_SCB.9889_MES_AnhDP_190424" TargetMode="External"/><Relationship Id="rId79" Type="http://schemas.openxmlformats.org/officeDocument/2006/relationships/hyperlink" Target="https://patadovietnam.edu.vn/giaotiepanhngu_adp/?utm_source=Facebook&amp;utm_medium=MES&amp;utm_term=NEW_Malaysia_2030_none_190424&amp;utm_content=saletructiep_Malaysia.M172C138.giaotiep_PTATTNDL_LD220&amp;utm_campaign=Malaysia.giaotiep.M172C138_SCB.9889_MES_AnhDP_190424" TargetMode="External"/><Relationship Id="rId78" Type="http://schemas.openxmlformats.org/officeDocument/2006/relationships/hyperlink" Target="https://patadovietnam.edu.vn/giaotiepanhngu_adp/" TargetMode="External"/><Relationship Id="rId71" Type="http://schemas.openxmlformats.org/officeDocument/2006/relationships/hyperlink" Target="http://ldp.ink/tienganhgiaotiep_australia" TargetMode="External"/><Relationship Id="rId70" Type="http://schemas.openxmlformats.org/officeDocument/2006/relationships/hyperlink" Target="https://patadovietnam.edu.vn/giaotiepanhngu_adp/?utm_source=Facebook&amp;utm_medium=MES&amp;utm_term=NEW_Australia_2030_none_170424&amp;utm_content=saletructiep_Australia.M207C161.giaotiep_PTATTNDL_LD220&amp;utm_campaign=Australia.giaotiep.M207C161_SCB.9889_MES_AnhDP_170424" TargetMode="External"/><Relationship Id="rId62" Type="http://schemas.openxmlformats.org/officeDocument/2006/relationships/hyperlink" Target="http://ldp.ink/koreagiaotiep_adp" TargetMode="External"/><Relationship Id="rId61" Type="http://schemas.openxmlformats.org/officeDocument/2006/relationships/hyperlink" Target="https://patadovietnam.edu.vn/giaotiepanhngu_adp/?utm_source=Facebook&amp;utm_medium=MES&amp;utm_term=NEW_KoreaSouth_2035_none_150424&amp;utm_content=saletructiep_KoreaSouth.M188C39.giaotiep_PTATTNDL_LD220&amp;utm_campaign=KoreaSouth.giaotiep.M188C39_SCB.9889_MES_AnhDP_150424" TargetMode="External"/><Relationship Id="rId64" Type="http://schemas.openxmlformats.org/officeDocument/2006/relationships/hyperlink" Target="https://patadovietnam.edu.vn/giaotiepanhngu_adp/?utm_source=Facebook&amp;utm_medium=MES&amp;utm_term=NEW_Japan_2035_none_160424&amp;utm_content=saletructiep_Japan.M197C171.giaotiep_PTATTNDL_LD220&amp;utm_campaign=Japan.giaotiep.M197C171_SCB.9889_MES_AnhDP_160424" TargetMode="External"/><Relationship Id="rId63" Type="http://schemas.openxmlformats.org/officeDocument/2006/relationships/hyperlink" Target="https://patadovietnam.edu.vn/giaotiepanhngu_adp/" TargetMode="External"/><Relationship Id="rId66" Type="http://schemas.openxmlformats.org/officeDocument/2006/relationships/hyperlink" Target="https://patadovietnam.edu.vn/giaotiepanhngu_adp/" TargetMode="External"/><Relationship Id="rId65" Type="http://schemas.openxmlformats.org/officeDocument/2006/relationships/hyperlink" Target="http://ldp.ink/tienganhgiaotiep_japan" TargetMode="External"/><Relationship Id="rId68" Type="http://schemas.openxmlformats.org/officeDocument/2006/relationships/hyperlink" Target="http://ldp.ink/europe_adp" TargetMode="External"/><Relationship Id="rId67" Type="http://schemas.openxmlformats.org/officeDocument/2006/relationships/hyperlink" Target="https://patadovietnam.edu.vn/giaotiepanhngu_adp/?utm_source=Facebook&amp;utm_medium=MES&amp;utm_term=NEW_Europe_2035_none_160424&amp;utm_content=saletructiep_Europe.M197C162.giaotiep_PTATTNDL_LD220&amp;utm_campaign=Europe.giaotiep.M197C162_SCB.9889_MES_AnhDP_160424" TargetMode="External"/><Relationship Id="rId60" Type="http://schemas.openxmlformats.org/officeDocument/2006/relationships/hyperlink" Target="https://patadovietnam.edu.vn/giaotiepanhngu_adp/" TargetMode="External"/><Relationship Id="rId69" Type="http://schemas.openxmlformats.org/officeDocument/2006/relationships/hyperlink" Target="https://patadovietnam.edu.vn/giaotiepanhngu_adp/" TargetMode="External"/><Relationship Id="rId51" Type="http://schemas.openxmlformats.org/officeDocument/2006/relationships/hyperlink" Target="https://patadovietnam.edu.vn/giaotiepanhngu_adp/" TargetMode="External"/><Relationship Id="rId50" Type="http://schemas.openxmlformats.org/officeDocument/2006/relationships/hyperlink" Target="http://ldp.ink/Canadagiaotiep_adp" TargetMode="External"/><Relationship Id="rId53" Type="http://schemas.openxmlformats.org/officeDocument/2006/relationships/hyperlink" Target="http://ldp.ink/giaotiep_adp" TargetMode="External"/><Relationship Id="rId52" Type="http://schemas.openxmlformats.org/officeDocument/2006/relationships/hyperlink" Target="https://patadovietnam.edu.vn/giaotiepanhngu_adp/?utm_source=Facebook&amp;utm_medium=MES&amp;utm_term=NEW_Australia_1840_none_100424&amp;utm_content=saletructiep_Australia.M207C174.giaotiep_PTATTNDL_LD220&amp;utm_campaign=Australia.giaotiep.M207C174_SCB.9889_MES_AnhDP_100424" TargetMode="External"/><Relationship Id="rId55" Type="http://schemas.openxmlformats.org/officeDocument/2006/relationships/hyperlink" Target="https://patadovietnam.edu.vn/giaotiepanhngu_adp/?utm_source=Facebook&amp;utm_medium=MES&amp;utm_term=NEW_Japan_2035_none_150424&amp;utm_content=saletructiep_Japan.C132M172.giaotiep_PTATTNDL_LD220&amp;utm_campaign=Japan.giaotiep.C132M172_SCB.9889_MES_AnhDP_150424" TargetMode="External"/><Relationship Id="rId54" Type="http://schemas.openxmlformats.org/officeDocument/2006/relationships/hyperlink" Target="https://patadovietnam.edu.vn/giaotiepanhngu_adp/" TargetMode="External"/><Relationship Id="rId57" Type="http://schemas.openxmlformats.org/officeDocument/2006/relationships/hyperlink" Target="https://patadovietnam.edu.vn/giaotiepanhngu_adp/" TargetMode="External"/><Relationship Id="rId56" Type="http://schemas.openxmlformats.org/officeDocument/2006/relationships/hyperlink" Target="http://ldp.ink/tienganhgiaotiep_japan" TargetMode="External"/><Relationship Id="rId59" Type="http://schemas.openxmlformats.org/officeDocument/2006/relationships/hyperlink" Target="http://ldp.ink/tienganhgiaotiep_mnb" TargetMode="External"/><Relationship Id="rId58" Type="http://schemas.openxmlformats.org/officeDocument/2006/relationships/hyperlink" Target="https://patadovietnam.edu.vn/giaotiepanhngu_adp/?utm_source=Facebook&amp;utm_medium=MES&amp;utm_term=NEW_ALL_2035_none_150424&amp;utm_content=saletructiep_All.M189C48.giaotiep_PTATTNDL_LD220&amp;utm_campaign=All.giaotiep.M189C48_SCB.9889_MES_AnhDP_150424" TargetMode="External"/><Relationship Id="rId95" Type="http://schemas.openxmlformats.org/officeDocument/2006/relationships/hyperlink" Target="http://ldp.ink/Taiwan_giaotiepanhngu_adp" TargetMode="External"/><Relationship Id="rId94" Type="http://schemas.openxmlformats.org/officeDocument/2006/relationships/hyperlink" Target="https://patadovietnam.edu.vn/giaotiepanhngu_adp/?utm_source=Facebook&amp;utm_medium=MES&amp;utm_term=NEW_Taiwan_1840_none_240424&amp;utm_content=saletructiep_Taiwan.M210C114.giaotiep_PTATTNDL_LD220&amp;utm_campaign=Taiwan.giaotiep.M210C114_SCB.9889_MES_AnhDP_240424" TargetMode="External"/><Relationship Id="rId97" Type="http://schemas.openxmlformats.org/officeDocument/2006/relationships/hyperlink" Target="https://patadovietnam.edu.vn/giaotiepanhngu_adp/?utm_source=Facebook&amp;utm_medium=MES&amp;utm_term=NEW_Europe_1840_none_240424&amp;utm_content=saletructiep_Europe.M172C170.giaotiep_PTATTNDL_LD220&amp;utm_campaign=Europe.giaotiep.M172C170_SCB.9889_MES_AnhDP_240424" TargetMode="External"/><Relationship Id="rId96" Type="http://schemas.openxmlformats.org/officeDocument/2006/relationships/hyperlink" Target="https://patadovietnam.edu.vn/giaotiepanhngu_adp/" TargetMode="External"/><Relationship Id="rId99" Type="http://schemas.openxmlformats.org/officeDocument/2006/relationships/hyperlink" Target="https://patadovietnam.edu.vn/giaotiepanhngu_adp/" TargetMode="External"/><Relationship Id="rId98" Type="http://schemas.openxmlformats.org/officeDocument/2006/relationships/hyperlink" Target="http://ldp.ink/tienganhgiaotiepadp_sbdas" TargetMode="External"/><Relationship Id="rId91" Type="http://schemas.openxmlformats.org/officeDocument/2006/relationships/hyperlink" Target="https://patadovietnam.edu.vn/giaotiepanhngu_adp/?utm_source=Facebook&amp;utm_medium=MES&amp;utm_term=NEW_Canada_1840_none_230424&amp;utm_content=saletructiep_Canada.M209C175.giaotiep_PTATTNDL_LD220&amp;utm_campaign=Canada.giaotiep.M209C175_SCB.9889_MES_AnhDP_230424" TargetMode="External"/><Relationship Id="rId90" Type="http://schemas.openxmlformats.org/officeDocument/2006/relationships/hyperlink" Target="https://patadovietnam.edu.vn/giaotiepanhngu_adp/" TargetMode="External"/><Relationship Id="rId93" Type="http://schemas.openxmlformats.org/officeDocument/2006/relationships/hyperlink" Target="https://patadovietnam.edu.vn/giaotiepanhngu_adp/" TargetMode="External"/><Relationship Id="rId92" Type="http://schemas.openxmlformats.org/officeDocument/2006/relationships/hyperlink" Target="http://ldp.ink/tagtcanada_adp" TargetMode="External"/><Relationship Id="rId1" Type="http://schemas.openxmlformats.org/officeDocument/2006/relationships/hyperlink" Target="https://toandien.tienganh24h.net/khoahocgiaotiep/" TargetMode="External"/><Relationship Id="rId2" Type="http://schemas.openxmlformats.org/officeDocument/2006/relationships/hyperlink" Target="https://patadovietnam.edu.vn/tai-tai-lieu/" TargetMode="External"/><Relationship Id="rId3" Type="http://schemas.openxmlformats.org/officeDocument/2006/relationships/hyperlink" Target="https://patadovietnam.edu.vn/tienganhgiaotiep_adp/" TargetMode="External"/><Relationship Id="rId4" Type="http://schemas.openxmlformats.org/officeDocument/2006/relationships/hyperlink" Target="https://patadovietnam.edu.vn/tienganhgiaotiep_adp/?utm_source=Facebook&amp;utm_medium=MES&amp;utm_term=NEW_Ireland_2240_none_180324&amp;utm_content=saletructiep_Ireland.M26C138.2240.giaotiep_PTATTNDL_LD219&amp;utm_campaign=Ireland.giaotiep.M26C138_SCB.9889_MES_AnhDP_180324" TargetMode="External"/><Relationship Id="rId9" Type="http://schemas.openxmlformats.org/officeDocument/2006/relationships/hyperlink" Target="https://patadovietnam.edu.vn/tienganhgiaotiep_adp/" TargetMode="External"/><Relationship Id="rId5" Type="http://schemas.openxmlformats.org/officeDocument/2006/relationships/hyperlink" Target="http://ldp.ink/Ireland_adp" TargetMode="External"/><Relationship Id="rId6" Type="http://schemas.openxmlformats.org/officeDocument/2006/relationships/hyperlink" Target="https://patadovietnam.edu.vn/tienganhgiaotiep_adp/" TargetMode="External"/><Relationship Id="rId7" Type="http://schemas.openxmlformats.org/officeDocument/2006/relationships/hyperlink" Target="https://patadovietnam.edu.vn/tienganhgiaotiep_adp/?utm_source=Facebook&amp;utm_medium=MES&amp;utm_term=NEW_Singapore_2235_none_180324&amp;utm_content=saletructiep_Singapore.M186C156.2235.giaotiep_PTATTNDL_LD219&amp;utm_campaign=Singapore.giaotiep.M186C156_SCB.9889_MES_AnhDP_180324" TargetMode="External"/><Relationship Id="rId8" Type="http://schemas.openxmlformats.org/officeDocument/2006/relationships/hyperlink" Target="http://ldp.ink/tatm_adp" TargetMode="External"/><Relationship Id="rId143" Type="http://schemas.openxmlformats.org/officeDocument/2006/relationships/hyperlink" Target="https://by.id.vn/asia-adp" TargetMode="External"/><Relationship Id="rId142" Type="http://schemas.openxmlformats.org/officeDocument/2006/relationships/hyperlink" Target="https://patadovietnam.edu.vn/giaotiepanhngu_adp/?utm_source=Facebook&amp;utm_medium=MES&amp;utm_term=NEW_Asia_2035_none_090524&amp;utm_content=saletructiep_Asia.M172C138.giaotiep_PTATDNDL_LD220&amp;utm_campaign=Asia.giaotiep.M172C138_SCB.9889_MES_AnhDP_090524" TargetMode="External"/><Relationship Id="rId141" Type="http://schemas.openxmlformats.org/officeDocument/2006/relationships/hyperlink" Target="https://patadovietnam.edu.vn/giaotiepanhngu_adp/" TargetMode="External"/><Relationship Id="rId140" Type="http://schemas.openxmlformats.org/officeDocument/2006/relationships/hyperlink" Target="https://by.id.vn/Taiwan-adp" TargetMode="External"/><Relationship Id="rId147" Type="http://schemas.openxmlformats.org/officeDocument/2006/relationships/drawing" Target="../drawings/drawing14.xml"/><Relationship Id="rId146" Type="http://schemas.openxmlformats.org/officeDocument/2006/relationships/hyperlink" Target="https://by.id.vn/allgiaotiep-adp" TargetMode="External"/><Relationship Id="rId145" Type="http://schemas.openxmlformats.org/officeDocument/2006/relationships/hyperlink" Target="https://patadovietnam.edu.vn/giaotiepanhngu_adp/?utm_source=Facebook&amp;utm_medium=MES&amp;utm_term=NEW_ALL_2035_none_090524&amp;utm_content=saletructiep_ALL.M172C138.giaotiep_PTATDNDL_LD220&amp;utm_campaign=ALL.giaotiep.M172C138_SCB.9889_MES_AnhDP_090524" TargetMode="External"/><Relationship Id="rId144" Type="http://schemas.openxmlformats.org/officeDocument/2006/relationships/hyperlink" Target="https://patadovietnam.edu.vn/giaotiepanhngu_adp/" TargetMode="External"/><Relationship Id="rId139" Type="http://schemas.openxmlformats.org/officeDocument/2006/relationships/hyperlink" Target="https://patadovietnam.edu.vn/giaotiepanhngu_adp/?utm_source=Facebook&amp;utm_medium=MES&amp;utm_term=NEW_Taiwan_1835_none_090524&amp;utm_content=saletructiep_Taiwan.M191C138.giaotiep_PTATDNDL_LD220&amp;utm_campaign=Taiwan.giaotiep.M191C138_SCB.9889_MES_AnhDP_090524" TargetMode="External"/><Relationship Id="rId138" Type="http://schemas.openxmlformats.org/officeDocument/2006/relationships/hyperlink" Target="https://patadovietnam.edu.vn/giaotiepanhngu_adp/" TargetMode="External"/><Relationship Id="rId137" Type="http://schemas.openxmlformats.org/officeDocument/2006/relationships/hyperlink" Target="https://by.id.vn/philippines-adp" TargetMode="External"/><Relationship Id="rId132" Type="http://schemas.openxmlformats.org/officeDocument/2006/relationships/hyperlink" Target="https://patadovietnam.edu.vn/tienganhgiaotiep_adp/" TargetMode="External"/><Relationship Id="rId131" Type="http://schemas.openxmlformats.org/officeDocument/2006/relationships/hyperlink" Target="https://by.id.vn/australia-adp" TargetMode="External"/><Relationship Id="rId130" Type="http://schemas.openxmlformats.org/officeDocument/2006/relationships/hyperlink" Target="https://patadovietnam.edu.vn/giaotiepanhngu_adp/?utm_source=Facebook&amp;utm_medium=MES&amp;utm_term=NEW_Australia_2035_none_070524&amp;utm_content=saletructiep_Australia.M207C174.giaotiep_PTATDNDL_LD220&amp;utm_campaign=Australia.giaotiep.M207C174_SCB.9889_MES_AnhDP_070524" TargetMode="External"/><Relationship Id="rId136" Type="http://schemas.openxmlformats.org/officeDocument/2006/relationships/hyperlink" Target="https://patadovietnam.edu.vn/tienganhgiaotiep_adp/?utm_source=Facebook&amp;utm_medium=MES&amp;utm_term=NEW_Philippines_2035_none_090524&amp;utm_content=saletructiep_Philippines.M172C138.giaotiep_PTATDNDL_LD219&amp;utm_campaign=Philippines.giaotiep.M172C138_SCB.9889_MES_AnhDP_090524" TargetMode="External"/><Relationship Id="rId135" Type="http://schemas.openxmlformats.org/officeDocument/2006/relationships/hyperlink" Target="https://patadovietnam.edu.vn/tienganhgiaotiep_adp/" TargetMode="External"/><Relationship Id="rId134" Type="http://schemas.openxmlformats.org/officeDocument/2006/relationships/hyperlink" Target="https://by.id.vn/giaotiepkr-adp" TargetMode="External"/><Relationship Id="rId133" Type="http://schemas.openxmlformats.org/officeDocument/2006/relationships/hyperlink" Target="https://patadovietnam.edu.vn/tienganhgiaotiep_adp/?utm_source=Facebook&amp;utm_medium=MES&amp;utm_term=NEW_KoreaSouth_2035_none_070524&amp;utm_content=saletructiep_KoreaSouth.M191C188.giaotiep_PTATDNDL_LD219&amp;utm_campaign=KoreaSouth.giaotiep.M191C188_SCB.9889_MES_AnhDP_070524" TargetMode="External"/><Relationship Id="rId107" Type="http://schemas.openxmlformats.org/officeDocument/2006/relationships/hyperlink" Target="https://by.id.vn/Philippines-gt-adp" TargetMode="External"/><Relationship Id="rId106" Type="http://schemas.openxmlformats.org/officeDocument/2006/relationships/hyperlink" Target="https://patadovietnam.edu.vn/giaotiepanhngu_adp/?utm_source=Facebook&amp;utm_medium=MES&amp;utm_term=NEW_Philippines_2035_none_030524&amp;utm_content=saletructiep_Philippines.M216C177.giaotiep_PTATTNDL_LD220&amp;utm_campaign=Philippines.giaotiep.M216C177_SCB.9889_MES_AnhDP_030524" TargetMode="External"/><Relationship Id="rId105" Type="http://schemas.openxmlformats.org/officeDocument/2006/relationships/hyperlink" Target="https://patadovietnam.edu.vn/giaotiepanhngu_adp/" TargetMode="External"/><Relationship Id="rId104" Type="http://schemas.openxmlformats.org/officeDocument/2006/relationships/hyperlink" Target="http://ldp.ink/giaotieptienganhKS_adp" TargetMode="External"/><Relationship Id="rId109" Type="http://schemas.openxmlformats.org/officeDocument/2006/relationships/hyperlink" Target="https://patadovietnam.edu.vn/giaotiepanhngu_adp/?utm_source=Facebook&amp;utm_medium=MES&amp;utm_term=NEW_Canada_2035_none_030524&amp;utm_content=saletructiep_Canada.M217C178.giaotiep_PTATTNDL_LD220&amp;utm_campaign=Canada.giaotiep.M217C178_SCB.9889_MES_AnhDP_030524" TargetMode="External"/><Relationship Id="rId108" Type="http://schemas.openxmlformats.org/officeDocument/2006/relationships/hyperlink" Target="https://patadovietnam.edu.vn/giaotiepanhngu_adp/" TargetMode="External"/><Relationship Id="rId103" Type="http://schemas.openxmlformats.org/officeDocument/2006/relationships/hyperlink" Target="https://patadovietnam.edu.vn/tienganhgiaotiep_adp/?utm_source=Facebook&amp;utm_medium=MES&amp;utm_term=NEW_KoreaSouth_1840_none_250424&amp;utm_content=saletructiep_KoreaSouth.M213C100.giaotiep_PTATTNDL_LD219&amp;utm_campaign=KoreaSouth.giaotiep.M213C100_SCB.9889_MES_AnhDP_250424" TargetMode="External"/><Relationship Id="rId102" Type="http://schemas.openxmlformats.org/officeDocument/2006/relationships/hyperlink" Target="https://patadovietnam.edu.vn/tienganhgiaotiep_adp/" TargetMode="External"/><Relationship Id="rId101" Type="http://schemas.openxmlformats.org/officeDocument/2006/relationships/hyperlink" Target="http://ldp.ink/tagtsingapore_adp" TargetMode="External"/><Relationship Id="rId100" Type="http://schemas.openxmlformats.org/officeDocument/2006/relationships/hyperlink" Target="https://patadovietnam.edu.vn/giaotiepanhngu_adp/?utm_source=Facebook&amp;utm_medium=MES&amp;utm_term=NEW_Singapore_1840_none_240424&amp;utm_content=saletructiep_Singapore.M191C170.giaotiep_PTATTNDL_LD220&amp;utm_campaign=Singapore.giaotiep.M191C170_SCB.9889_MES_AnhDP_240424" TargetMode="External"/><Relationship Id="rId129" Type="http://schemas.openxmlformats.org/officeDocument/2006/relationships/hyperlink" Target="https://patadovietnam.edu.vn/giaotiepanhngu_adp/" TargetMode="External"/><Relationship Id="rId128" Type="http://schemas.openxmlformats.org/officeDocument/2006/relationships/hyperlink" Target="https://by.id.vn/sbnm-patado-adp" TargetMode="External"/><Relationship Id="rId127" Type="http://schemas.openxmlformats.org/officeDocument/2006/relationships/hyperlink" Target="https://patadovietnam.edu.vn/giaotiepanhngu_adp/?utm_source=Facebook&amp;utm_medium=MES&amp;utm_term=NEW_Europe_2035_none_070524&amp;utm_content=saletructiep_Europe.M211C124.giaotiep_PTATDNDL_LD220&amp;utm_campaign=Europe.giaotiep.M211C124_SCB.9889_MES_AnhDP_070524" TargetMode="External"/><Relationship Id="rId126" Type="http://schemas.openxmlformats.org/officeDocument/2006/relationships/hyperlink" Target="https://patadovietnam.edu.vn/giaotiepanhngu_adp/" TargetMode="External"/><Relationship Id="rId121" Type="http://schemas.openxmlformats.org/officeDocument/2006/relationships/hyperlink" Target="https://patadovietnam.edu.vn/giaotiepanhngu_adp/?utm_source=Facebook&amp;utm_medium=MES&amp;utm_term=NEW_Europe_2035_none_060524&amp;utm_content=saletructiep_Europe.M225C187.giaotiep_PTATTNDL_LD220&amp;utm_campaign=Europe.giaotiep.M225C187_SCB.9889_MES_AnhDP_060524" TargetMode="External"/><Relationship Id="rId120" Type="http://schemas.openxmlformats.org/officeDocument/2006/relationships/hyperlink" Target="https://patadovietnam.edu.vn/giaotiepanhngu_adp/" TargetMode="External"/><Relationship Id="rId125" Type="http://schemas.openxmlformats.org/officeDocument/2006/relationships/hyperlink" Target="https://by.id.vn/english-kr-adp" TargetMode="External"/><Relationship Id="rId124" Type="http://schemas.openxmlformats.org/officeDocument/2006/relationships/hyperlink" Target="https://patadovietnam.edu.vn/giaotiepanhngu_adp/?utm_source=Facebook&amp;utm_medium=MES&amp;utm_term=NEW_KoreaSouth_1835_none_070524&amp;utm_content=saletructiep_KoreaSouth.M225C133.giaotiep_PTATDNDL_LD220&amp;utm_campaign=KoreaSouth.giaotiep.M225C133_SCB.9889_MES_AnhDP_070524" TargetMode="External"/><Relationship Id="rId123" Type="http://schemas.openxmlformats.org/officeDocument/2006/relationships/hyperlink" Target="https://patadovietnam.edu.vn/giaotiepanhngu_adp/" TargetMode="External"/><Relationship Id="rId122" Type="http://schemas.openxmlformats.org/officeDocument/2006/relationships/hyperlink" Target="https://by.id.vn/giaotieptaimy-adp" TargetMode="External"/><Relationship Id="rId118" Type="http://schemas.openxmlformats.org/officeDocument/2006/relationships/hyperlink" Target="https://patadovietnam.edu.vn/giaotiepanhngu_adp/?utm_source=Facebook&amp;utm_medium=MES&amp;utm_term=NEW_Europe_2035_none_040524&amp;utm_content=saletructiep_Europe.M202C187.giaotiep_PTATTNDL_LD220&amp;utm_campaign=Europe.giaotiep.M202C187_SCB.9889_MES_AnhDP_040524" TargetMode="External"/><Relationship Id="rId117" Type="http://schemas.openxmlformats.org/officeDocument/2006/relationships/hyperlink" Target="https://patadovietnam.edu.vn/giaotiepanhngu_adp/" TargetMode="External"/><Relationship Id="rId116" Type="http://schemas.openxmlformats.org/officeDocument/2006/relationships/hyperlink" Target="https://by.id.vn/anhngupatado-adp" TargetMode="External"/><Relationship Id="rId115" Type="http://schemas.openxmlformats.org/officeDocument/2006/relationships/hyperlink" Target="https://patadovietnam.edu.vn/giaotiepanhngu_adp/?utm_source=Facebook&amp;utm_medium=MES&amp;utm_term=NEW_Taiwan_2035_none_040524&amp;utm_content=saletructiep_Taiwan.M172C178.giaotiep_PTATTNDL_LD220&amp;utm_campaign=Taiwan.giaotiep.M172C178_SCB.9889_MES_AnhDP_040524" TargetMode="External"/><Relationship Id="rId119" Type="http://schemas.openxmlformats.org/officeDocument/2006/relationships/hyperlink" Target="https://by.id.vn/giaotieppatado-adp" TargetMode="External"/><Relationship Id="rId110" Type="http://schemas.openxmlformats.org/officeDocument/2006/relationships/hyperlink" Target="https://by.id.vn/tacanada-adp" TargetMode="External"/><Relationship Id="rId114" Type="http://schemas.openxmlformats.org/officeDocument/2006/relationships/hyperlink" Target="https://patadovietnam.edu.vn/giaotiepanhngu_adp/" TargetMode="External"/><Relationship Id="rId113" Type="http://schemas.openxmlformats.org/officeDocument/2006/relationships/hyperlink" Target="https://by.id.vn/nht-adp" TargetMode="External"/><Relationship Id="rId112" Type="http://schemas.openxmlformats.org/officeDocument/2006/relationships/hyperlink" Target="https://patadovietnam.edu.vn/giaotiepanhngu_adp/?utm_source=Facebook&amp;utm_medium=MES&amp;utm_term=NEW_Europe_2035_none_030524&amp;utm_content=saletructiep_Europe.M217C178.giaotiep_PTATTNDL_LD220&amp;utm_campaign=Europe.giaotiep.M217C178_SCB.9889_MES_AnhDP_030524" TargetMode="External"/><Relationship Id="rId111" Type="http://schemas.openxmlformats.org/officeDocument/2006/relationships/hyperlink" Target="https://patadovietnam.edu.vn/giaotiepanhngu_adp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patadovietnam.edu.vn/tienganhgiaotiep_hn/?utm_source=Instagram&amp;utm_medium=CVS&amp;utm_term=NEW_Europe_1840_none_110425&amp;utm_content=saletructiep_Europe.M416CVS.1840.M416CVS_PTATT_LD153&amp;utm_campaign=Europe.giaotiep.M416CVS_LHV.9822_INS_NamNH_110425" TargetMode="External"/><Relationship Id="rId42" Type="http://schemas.openxmlformats.org/officeDocument/2006/relationships/hyperlink" Target="https://patadovietnam.edu.vn/gtjapan_nhn3" TargetMode="External"/><Relationship Id="rId41" Type="http://schemas.openxmlformats.org/officeDocument/2006/relationships/hyperlink" Target="https://tinyurl.com/M416EUINS" TargetMode="External"/><Relationship Id="rId44" Type="http://schemas.openxmlformats.org/officeDocument/2006/relationships/hyperlink" Target="https://tinyurl.com/M416jpins" TargetMode="External"/><Relationship Id="rId43" Type="http://schemas.openxmlformats.org/officeDocument/2006/relationships/hyperlink" Target="https://patadovietnam.edu.vn/gtjapan_nhn3/?utm_source=Instagram&amp;utm_medium=CVS&amp;utm_term=NEW_Japan_1840_none_110425&amp;utm_content=saletructiep_Japan.M416CVS.1840.M416CVS_PTATT_LD164&amp;utm_campaign=Japan.giaotiep.M416CVS_LHV.9822_INS_NamNH_110425" TargetMode="External"/><Relationship Id="rId46" Type="http://schemas.openxmlformats.org/officeDocument/2006/relationships/hyperlink" Target="https://patadovietnam.edu.vn/tienganhgiaotiep_hn/?utm_source=Instagram&amp;utm_medium=MES&amp;utm_term=NEW_ALL_1840_none_110425&amp;utm_content=saletructiep_ALL.M416MES.1840.M416MES_PTATT_LD153&amp;utm_campaign=ALL.giaotiep.M416MES_LHV.9822_INS_NamNH_110425" TargetMode="External"/><Relationship Id="rId45" Type="http://schemas.openxmlformats.org/officeDocument/2006/relationships/hyperlink" Target="https://patadovietnam.edu.vn/tienganhgiaotiep_hn/" TargetMode="External"/><Relationship Id="rId48" Type="http://schemas.openxmlformats.org/officeDocument/2006/relationships/hyperlink" Target="https://patadovietnam.edu.vn/tienganhgiaotiep_hn/" TargetMode="External"/><Relationship Id="rId47" Type="http://schemas.openxmlformats.org/officeDocument/2006/relationships/hyperlink" Target="https://tinyurl.com/M416allins" TargetMode="External"/><Relationship Id="rId49" Type="http://schemas.openxmlformats.org/officeDocument/2006/relationships/hyperlink" Target="https://patadovietnam.edu.vn/tienganhgiaotiep_hn/?utm_source=Instagram&amp;utm_medium=CVS&amp;utm_term=NEW_Europe_1840_none_110425&amp;utm_content=saletructiep_Europe.molopchauau.1840.molopchauau_PTATT_LD153&amp;utm_campaign=Europe.giaotiep.molopchauau_LHV.9823_INS_NamNH_110425" TargetMode="External"/><Relationship Id="rId31" Type="http://schemas.openxmlformats.org/officeDocument/2006/relationships/hyperlink" Target="https://patadovietnam.edu.vn/tienganhgiaotiep_hn/?utm_source=Instagram&amp;utm_medium=CVS&amp;utm_term=NEW_ALL_1840_none_060425&amp;utm_content=saletructiep_ALL.JHCVS.1840.JHCVS_PTATT_LD153&amp;utm_campaign=ALL.giaotiep.JHCVS_LHV.9823_INS_NamNH_060425" TargetMode="External"/><Relationship Id="rId30" Type="http://schemas.openxmlformats.org/officeDocument/2006/relationships/hyperlink" Target="https://patadovietnam.edu.vn/tienganhgiaotiep_hn/" TargetMode="External"/><Relationship Id="rId33" Type="http://schemas.openxmlformats.org/officeDocument/2006/relationships/hyperlink" Target="https://patadovietnam.edu.vn/tienganhgiaotiep_hn/" TargetMode="External"/><Relationship Id="rId32" Type="http://schemas.openxmlformats.org/officeDocument/2006/relationships/hyperlink" Target="https://tinyurl.com/jhcvsall" TargetMode="External"/><Relationship Id="rId35" Type="http://schemas.openxmlformats.org/officeDocument/2006/relationships/hyperlink" Target="https://tinyurl.com/jhcvs2all" TargetMode="External"/><Relationship Id="rId34" Type="http://schemas.openxmlformats.org/officeDocument/2006/relationships/hyperlink" Target="https://patadovietnam.edu.vn/tienganhgiaotiep_hn/?utm_source=Instagram&amp;utm_medium=CVS&amp;utm_term=NEW_ALL_1840_none_060425&amp;utm_content=saletructiep_ALL.JHCVS2.1840.JHCVS2_PTATT_LD153&amp;utm_campaign=ALL.giaotiep.JHCVS2_LHV.9823_INS_NamNH_060425" TargetMode="External"/><Relationship Id="rId37" Type="http://schemas.openxmlformats.org/officeDocument/2006/relationships/hyperlink" Target="https://patadovietnam.edu.vn/gtjapan_nhn3/?utm_source=Instagram&amp;utm_medium=CVS&amp;utm_term=NEW_Japan_1840_none_060425&amp;utm_content=saletructiep_Japan.JHCVS.1840.JHCVS_PTATT_LD164&amp;utm_campaign=Japan.giaotiep.JHCVS_LHV.9822_INS_NamNH_060425" TargetMode="External"/><Relationship Id="rId36" Type="http://schemas.openxmlformats.org/officeDocument/2006/relationships/hyperlink" Target="https://patadovietnam.edu.vn/gtjapan_nhn3" TargetMode="External"/><Relationship Id="rId39" Type="http://schemas.openxmlformats.org/officeDocument/2006/relationships/hyperlink" Target="https://patadovietnam.edu.vn/tienganhgiaotiep_hn/" TargetMode="External"/><Relationship Id="rId38" Type="http://schemas.openxmlformats.org/officeDocument/2006/relationships/hyperlink" Target="https://tinyurl.com/jhcvs2jp" TargetMode="External"/><Relationship Id="rId20" Type="http://schemas.openxmlformats.org/officeDocument/2006/relationships/hyperlink" Target="https://tinyurl.com/jhcvseurope" TargetMode="External"/><Relationship Id="rId22" Type="http://schemas.openxmlformats.org/officeDocument/2006/relationships/hyperlink" Target="https://patadovietnam.edu.vn/tienganhgiaotiep_hn/?utm_source=Instagram&amp;utm_medium=MES&amp;utm_term=NEW_ALL_1840_none_040425&amp;utm_content=saletructiep_ALL.JHMES.1840.JHMES_PTATT_LD153&amp;utm_campaign=ALL.giaotiep.JHMES_LHV.9822_INS_NamNH_040425" TargetMode="External"/><Relationship Id="rId21" Type="http://schemas.openxmlformats.org/officeDocument/2006/relationships/hyperlink" Target="https://patadovietnam.edu.vn/tienganhgiaotiep_hn/" TargetMode="External"/><Relationship Id="rId24" Type="http://schemas.openxmlformats.org/officeDocument/2006/relationships/hyperlink" Target="https://patadovietnam.edu.vn/tienganhgiaotiep_hn/" TargetMode="External"/><Relationship Id="rId23" Type="http://schemas.openxmlformats.org/officeDocument/2006/relationships/hyperlink" Target="https://tinyurl.com/jhmesall" TargetMode="External"/><Relationship Id="rId26" Type="http://schemas.openxmlformats.org/officeDocument/2006/relationships/hyperlink" Target="https://tinyurl.com/jhmesall2" TargetMode="External"/><Relationship Id="rId25" Type="http://schemas.openxmlformats.org/officeDocument/2006/relationships/hyperlink" Target="https://patadovietnam.edu.vn/tienganhgiaotiep_hn/?utm_source=Instagram&amp;utm_medium=MES&amp;utm_term=NEW_ALL_1840_none_040425&amp;utm_content=saletructiep_ALL.JHMES2.1840.JHMES2_PTATT_LD153&amp;utm_campaign=ALL.giaotiep.JHMES2_LHV.9822_INS_NamNH_040425" TargetMode="External"/><Relationship Id="rId28" Type="http://schemas.openxmlformats.org/officeDocument/2006/relationships/hyperlink" Target="https://patadovietnam.edu.vn/tienganhgiaotiep_hn/?utm_source=Instagram&amp;utm_medium=CVS&amp;utm_term=NEW_KoreaSouth_1840_none_060425&amp;utm_content=saletructiep_KoreaSouth.JHCVS.1840.JHCVS_PTATT_LD153&amp;utm_campaign=KoreaSouth.giaotiep.JHCVS_LHV.9822_INS_NamNH_060425" TargetMode="External"/><Relationship Id="rId27" Type="http://schemas.openxmlformats.org/officeDocument/2006/relationships/hyperlink" Target="https://patadovietnam.edu.vn/tienganhgiaotiep_hn/" TargetMode="External"/><Relationship Id="rId29" Type="http://schemas.openxmlformats.org/officeDocument/2006/relationships/hyperlink" Target="https://tinyurl.com/jhcvskorea" TargetMode="External"/><Relationship Id="rId11" Type="http://schemas.openxmlformats.org/officeDocument/2006/relationships/hyperlink" Target="http://ldp.to/Australia_NamNH" TargetMode="External"/><Relationship Id="rId10" Type="http://schemas.openxmlformats.org/officeDocument/2006/relationships/hyperlink" Target="https://patadovietnam.edu.vn/tienganhgiaotiep_hn/?utm_source=Facebook&amp;utm_medium=MES&amp;utm_term=NEW_Australia_2045_none_110423&amp;utm_content=saletructiep_Australia.anhgiaotiep2.2045.giaotiep_PTATT_LD153&amp;utm_campaign=Australia.giaotiep.anhgiaotiep2_95360_MES_NamNH_110423" TargetMode="External"/><Relationship Id="rId13" Type="http://schemas.openxmlformats.org/officeDocument/2006/relationships/hyperlink" Target="https://patadovietnam.edu.vn/tienganhgiaotiep_hn/?utm_source=Instagram&amp;utm_medium=CVS&amp;utm_term=NEW_Japan_1840_none_040425&amp;utm_content=saletructiep_Japan.JHCVS.1840.JHCVS_PTATT_LD153&amp;utm_campaign=Japan.giaotiep.JHCVS_LHV.9822_INS_NamNH_040425" TargetMode="External"/><Relationship Id="rId12" Type="http://schemas.openxmlformats.org/officeDocument/2006/relationships/hyperlink" Target="https://patadovietnam.edu.vn/tienganhgiaotiep_hn/" TargetMode="External"/><Relationship Id="rId15" Type="http://schemas.openxmlformats.org/officeDocument/2006/relationships/hyperlink" Target="https://patadovietnam.edu.vn/tienganhgiaotiep_hn/" TargetMode="External"/><Relationship Id="rId14" Type="http://schemas.openxmlformats.org/officeDocument/2006/relationships/hyperlink" Target="https://tinyurl.com/jhcvsjapan" TargetMode="External"/><Relationship Id="rId17" Type="http://schemas.openxmlformats.org/officeDocument/2006/relationships/hyperlink" Target="https://tinyurl.com/jhmeskorea" TargetMode="External"/><Relationship Id="rId16" Type="http://schemas.openxmlformats.org/officeDocument/2006/relationships/hyperlink" Target="https://patadovietnam.edu.vn/tienganhgiaotiep_hn/?utm_source=Instagram&amp;utm_medium=MES&amp;utm_term=NEW_KoreaSouth_1840_none_040425&amp;utm_content=saletructiep_KoreaSouth.JHMES.1840.JHMES_PTATT_LD153&amp;utm_campaign=KoreaSouth.giaotiep.JHMES_LHV.9823_INS_NamNH_040425" TargetMode="External"/><Relationship Id="rId19" Type="http://schemas.openxmlformats.org/officeDocument/2006/relationships/hyperlink" Target="https://patadovietnam.edu.vn/tienganhgiaotiep_hn/?utm_source=Instagram&amp;utm_medium=CVS&amp;utm_term=NEW_Europe_1840_none_040425&amp;utm_content=saletructiep_Europe.JHCVS.1840.JHCVS_PTATT_LD153&amp;utm_campaign=Europe.giaotiep.JHCVS_LHV.9822_INS_NamNH_040425" TargetMode="External"/><Relationship Id="rId18" Type="http://schemas.openxmlformats.org/officeDocument/2006/relationships/hyperlink" Target="https://patadovietnam.edu.vn/tienganhgiaotiep_hn/" TargetMode="External"/><Relationship Id="rId51" Type="http://schemas.openxmlformats.org/officeDocument/2006/relationships/hyperlink" Target="https://patadovietnam.edu.vn/gtjapan_nhn3" TargetMode="External"/><Relationship Id="rId50" Type="http://schemas.openxmlformats.org/officeDocument/2006/relationships/hyperlink" Target="https://tinyurl.com/mlcaeuins" TargetMode="External"/><Relationship Id="rId53" Type="http://schemas.openxmlformats.org/officeDocument/2006/relationships/hyperlink" Target="https://tinyurl.com/M396motjpins" TargetMode="External"/><Relationship Id="rId52" Type="http://schemas.openxmlformats.org/officeDocument/2006/relationships/hyperlink" Target="https://patadovietnam.edu.vn/gtjapan_nhn3/?utm_source=Instagram&amp;utm_medium=CVS&amp;utm_term=NEW_Japan_1840_none_110425&amp;utm_content=saletructiep_Japan.M396mot.1840.M396mot_PTATT_LD164&amp;utm_campaign=Japan.giaotiep.M396mot_LHV.9822_INS_NamNH_110425" TargetMode="External"/><Relationship Id="rId55" Type="http://schemas.openxmlformats.org/officeDocument/2006/relationships/hyperlink" Target="https://patadovietnam.edu.vn/tienganhgiaotiep_hn/?utm_source=Instagram&amp;utm_medium=MES&amp;utm_term=NEW_ALL_1840_none_110425&amp;utm_content=saletructiep_ALL.anhnote.1840.anhnote_PTATT_LD153&amp;utm_campaign=ALL.giaotiep.anhnote_LHV.9822_INS_NamNH_110425" TargetMode="External"/><Relationship Id="rId54" Type="http://schemas.openxmlformats.org/officeDocument/2006/relationships/hyperlink" Target="https://patadovietnam.edu.vn/tienganhgiaotiep_hn/" TargetMode="External"/><Relationship Id="rId57" Type="http://schemas.openxmlformats.org/officeDocument/2006/relationships/hyperlink" Target="https://patadovietnam.edu.vn/tienganhgiaotiep_hn/?utm_source=Instagram&amp;utm_medium=MES&amp;utm_term=NEW_ALL_1840_none_110425&amp;utm_content=saletructiep_ALL.qcpatado1.1840.qcpatado1_PTATT_LD153&amp;utm_campaign=ALL.giaotiep.qcpatado1_LHV.9822_INS_NamNH_110425" TargetMode="External"/><Relationship Id="rId56" Type="http://schemas.openxmlformats.org/officeDocument/2006/relationships/hyperlink" Target="https://patadovietnam.edu.vn/tienganhgiaotiep_hn/" TargetMode="External"/><Relationship Id="rId58" Type="http://schemas.openxmlformats.org/officeDocument/2006/relationships/drawing" Target="../drawings/drawing15.xml"/><Relationship Id="rId1" Type="http://schemas.openxmlformats.org/officeDocument/2006/relationships/hyperlink" Target="https://toandien.tienganh24h.net/khoahocgiaotiep/" TargetMode="External"/><Relationship Id="rId2" Type="http://schemas.openxmlformats.org/officeDocument/2006/relationships/hyperlink" Target="https://patadovietnam.edu.vn/tai-tai-lieu/" TargetMode="External"/><Relationship Id="rId3" Type="http://schemas.openxmlformats.org/officeDocument/2006/relationships/hyperlink" Target="https://patadovietnam.edu.vn/tienganhgiaotiep_hn/" TargetMode="External"/><Relationship Id="rId4" Type="http://schemas.openxmlformats.org/officeDocument/2006/relationships/hyperlink" Target="https://patadovietnam.edu.vn/tienganhgiaotiep_hn/?utm_source=Facebook&amp;utm_medium=MES&amp;utm_term=NEW_Vietnam_2040_none_110423&amp;utm_content=saletructiep_Vietnam.anhgiaotiep1.2040.giaotiep_PTATT_LD153&amp;utm_campaign=Vietnam.giaotiep.anhgiaotiep1_95360_MES_NamNH_110423" TargetMode="External"/><Relationship Id="rId9" Type="http://schemas.openxmlformats.org/officeDocument/2006/relationships/hyperlink" Target="https://patadovietnam.edu.vn/tienganhgiaotiep_hn/" TargetMode="External"/><Relationship Id="rId5" Type="http://schemas.openxmlformats.org/officeDocument/2006/relationships/hyperlink" Target="http://ldp.to/vietnam_namnh" TargetMode="External"/><Relationship Id="rId6" Type="http://schemas.openxmlformats.org/officeDocument/2006/relationships/hyperlink" Target="https://patadovietnam.edu.vn/tienganhgiaotiep_hn/" TargetMode="External"/><Relationship Id="rId7" Type="http://schemas.openxmlformats.org/officeDocument/2006/relationships/hyperlink" Target="https://patadovietnam.edu.vn/tienganhgiaotiep_hn/?utm_source=Facebook&amp;utm_medium=MES&amp;utm_term=NEW_UnitedStates_2045_none_110423&amp;utm_content=saletructiep_UnitedStates.anhgiaotiep2.2045.giaotiep_PTATT_LD153&amp;utm_campaign=UnitedStates.giaotiep.anhgiaotiep2_95360_MES_NamNH_110423" TargetMode="External"/><Relationship Id="rId8" Type="http://schemas.openxmlformats.org/officeDocument/2006/relationships/hyperlink" Target="http://ldp.to/USA_Namnh" TargetMode="External"/></Relationships>
</file>

<file path=xl/worksheets/_rels/sheet16.xml.rels><?xml version="1.0" encoding="UTF-8" standalone="yes"?><Relationships xmlns="http://schemas.openxmlformats.org/package/2006/relationships"><Relationship Id="rId392" Type="http://schemas.openxmlformats.org/officeDocument/2006/relationships/hyperlink" Target="https://patadovietnam.edu.vn/hlg_gt_sea/?utm_source=Google&amp;utm_medium=SEA&amp;utm_term=!!!&amp;utm_content=!!!&amp;utm_campaign=!!!" TargetMode="External"/><Relationship Id="rId391" Type="http://schemas.openxmlformats.org/officeDocument/2006/relationships/hyperlink" Target="https://patadovietnam.edu.vn/hlg_tattpvn_gt/" TargetMode="External"/><Relationship Id="rId390" Type="http://schemas.openxmlformats.org/officeDocument/2006/relationships/hyperlink" Target="https://patadovietnam.edu.vn/hlg_gt_sea/?utm_source=Google&amp;utm_medium=SEA&amp;utm_term=!!!&amp;utm_content=!!!&amp;utm_campaign=!!!" TargetMode="External"/><Relationship Id="rId385" Type="http://schemas.openxmlformats.org/officeDocument/2006/relationships/hyperlink" Target="https://patadovietnam.edu.vn/hlg_tattpvn_gt/" TargetMode="External"/><Relationship Id="rId384" Type="http://schemas.openxmlformats.org/officeDocument/2006/relationships/hyperlink" Target="https://patadovietnam.edu.vn/hlg_gt_sea/?utm_source=Google&amp;utm_medium=SEA&amp;utm_term=!!!&amp;utm_content=!!!&amp;utm_campaign=!!!" TargetMode="External"/><Relationship Id="rId383" Type="http://schemas.openxmlformats.org/officeDocument/2006/relationships/hyperlink" Target="https://patadovietnam.edu.vn/hlg_tattpvn_gt/" TargetMode="External"/><Relationship Id="rId382" Type="http://schemas.openxmlformats.org/officeDocument/2006/relationships/hyperlink" Target="https://patadovietnam.edu.vn/hlg_gt_sea/?utm_source=Google&amp;utm_medium=SEA&amp;utm_term=!!!&amp;utm_content=!!!&amp;utm_campaign=!!!" TargetMode="External"/><Relationship Id="rId389" Type="http://schemas.openxmlformats.org/officeDocument/2006/relationships/hyperlink" Target="https://patadovietnam.edu.vn/hlg_tattpvn_gt/" TargetMode="External"/><Relationship Id="rId388" Type="http://schemas.openxmlformats.org/officeDocument/2006/relationships/hyperlink" Target="https://patadovietnam.edu.vn/hlg_gt_sea/?utm_source=Google&amp;utm_medium=SEA&amp;utm_term=!!!&amp;utm_content=!!!&amp;utm_campaign=!!!" TargetMode="External"/><Relationship Id="rId387" Type="http://schemas.openxmlformats.org/officeDocument/2006/relationships/hyperlink" Target="https://patadovietnam.edu.vn/hlg_tattpvn_gt/" TargetMode="External"/><Relationship Id="rId386" Type="http://schemas.openxmlformats.org/officeDocument/2006/relationships/hyperlink" Target="https://patadovietnam.edu.vn/hlg_gt_sea/?utm_source=Google&amp;utm_medium=SEA&amp;utm_term=!!!&amp;utm_content=!!!&amp;utm_campaign=!!!" TargetMode="External"/><Relationship Id="rId381" Type="http://schemas.openxmlformats.org/officeDocument/2006/relationships/hyperlink" Target="https://patadovietnam.edu.vn/hlg_tattpvn_gt/" TargetMode="External"/><Relationship Id="rId380" Type="http://schemas.openxmlformats.org/officeDocument/2006/relationships/hyperlink" Target="https://patadovietnam.edu.vn/hlg_gt_sea/?utm_source=Google&amp;utm_medium=SEA&amp;utm_term=!!!&amp;utm_content=!!!&amp;utm_campaign=!!!" TargetMode="External"/><Relationship Id="rId379" Type="http://schemas.openxmlformats.org/officeDocument/2006/relationships/hyperlink" Target="https://patadovietnam.edu.vn/hlg_tattpvn_gt/" TargetMode="External"/><Relationship Id="rId374" Type="http://schemas.openxmlformats.org/officeDocument/2006/relationships/hyperlink" Target="https://patadovietnam.edu.vn/hlg_gt_sea/?utm_source=Google&amp;utm_medium=SEA&amp;utm_term=!!!&amp;utm_content=!!!&amp;utm_campaign=!!!" TargetMode="External"/><Relationship Id="rId373" Type="http://schemas.openxmlformats.org/officeDocument/2006/relationships/hyperlink" Target="https://patadovietnam.edu.vn/hlg_tattpvn_gt/" TargetMode="External"/><Relationship Id="rId372" Type="http://schemas.openxmlformats.org/officeDocument/2006/relationships/hyperlink" Target="https://patadovietnam.edu.vn/hlg_gt_sea/?utm_source=Google&amp;utm_medium=SEA&amp;utm_term=!!!&amp;utm_content=!!!&amp;utm_campaign=!!!" TargetMode="External"/><Relationship Id="rId371" Type="http://schemas.openxmlformats.org/officeDocument/2006/relationships/hyperlink" Target="https://patadovietnam.edu.vn/hlg_tattpvn_gt/" TargetMode="External"/><Relationship Id="rId378" Type="http://schemas.openxmlformats.org/officeDocument/2006/relationships/hyperlink" Target="https://patadovietnam.edu.vn/hlg_gt_sea/?utm_source=Google&amp;utm_medium=SEA&amp;utm_term=!!!&amp;utm_content=!!!&amp;utm_campaign=!!!" TargetMode="External"/><Relationship Id="rId377" Type="http://schemas.openxmlformats.org/officeDocument/2006/relationships/hyperlink" Target="https://patadovietnam.edu.vn/hlg_tattpvn_gt/" TargetMode="External"/><Relationship Id="rId376" Type="http://schemas.openxmlformats.org/officeDocument/2006/relationships/hyperlink" Target="https://patadovietnam.edu.vn/hlg_gt_sea/?utm_source=Google&amp;utm_medium=SEA&amp;utm_term=!!!&amp;utm_content=!!!&amp;utm_campaign=!!!" TargetMode="External"/><Relationship Id="rId375" Type="http://schemas.openxmlformats.org/officeDocument/2006/relationships/hyperlink" Target="https://patadovietnam.edu.vn/hlg_tattpvn_gt/" TargetMode="External"/><Relationship Id="rId396" Type="http://schemas.openxmlformats.org/officeDocument/2006/relationships/hyperlink" Target="https://patadovietnam.edu.vn/hlg_gt_sea/?utm_source=Google&amp;utm_medium=SEA&amp;utm_term=!!!&amp;utm_content=!!!&amp;utm_campaign=!!!" TargetMode="External"/><Relationship Id="rId395" Type="http://schemas.openxmlformats.org/officeDocument/2006/relationships/hyperlink" Target="https://patadovietnam.edu.vn/hlg_tattpvn_gt/" TargetMode="External"/><Relationship Id="rId394" Type="http://schemas.openxmlformats.org/officeDocument/2006/relationships/hyperlink" Target="https://patadovietnam.edu.vn/hlg_gt_sea/?utm_source=Google&amp;utm_medium=SEA&amp;utm_term=!!!&amp;utm_content=!!!&amp;utm_campaign=!!!" TargetMode="External"/><Relationship Id="rId393" Type="http://schemas.openxmlformats.org/officeDocument/2006/relationships/hyperlink" Target="https://patadovietnam.edu.vn/hlg_tattpvn_gt/" TargetMode="External"/><Relationship Id="rId399" Type="http://schemas.openxmlformats.org/officeDocument/2006/relationships/hyperlink" Target="https://patadovietnam.edu.vn/hlg_tattpvn_gt/" TargetMode="External"/><Relationship Id="rId398" Type="http://schemas.openxmlformats.org/officeDocument/2006/relationships/hyperlink" Target="https://patadovietnam.edu.vn/hlg_gt_sea/?utm_source=Google&amp;utm_medium=SEA&amp;utm_term=!!!&amp;utm_content=!!!&amp;utm_campaign=!!!" TargetMode="External"/><Relationship Id="rId397" Type="http://schemas.openxmlformats.org/officeDocument/2006/relationships/hyperlink" Target="https://patadovietnam.edu.vn/hlg_tattpvn_gt/" TargetMode="External"/><Relationship Id="rId40" Type="http://schemas.openxmlformats.org/officeDocument/2006/relationships/hyperlink" Target="https://patadovietnam.edu.vn/hlg_gt_sea/?utm_source=Google&amp;utm_medium=SEA&amp;utm_term=NON_KoreaSouth_none_none_130225&amp;utm_content=KW_Hoctienganhtructuyen_PTAGTTD_LD237&amp;utm_campaign=KoreaSouth.CPA400_Patado_SEA_HuyLG_130225" TargetMode="External"/><Relationship Id="rId42" Type="http://schemas.openxmlformats.org/officeDocument/2006/relationships/hyperlink" Target="https://patadovietnam.edu.vn/hlg_gt_sea/?utm_source=Google&amp;utm_medium=SEA&amp;utm_term=NON_KoreaSouth_none_none_130225&amp;utm_content=KW_HocTiengAnhOnline11_PTAGTTD_LD237&amp;utm_campaign=KoreaSouth.CPA400_Patado_SEA_HuyLG_130225" TargetMode="External"/><Relationship Id="rId41" Type="http://schemas.openxmlformats.org/officeDocument/2006/relationships/hyperlink" Target="https://patadovietnam.edu.vn/hlg_tattpvn_gt/" TargetMode="External"/><Relationship Id="rId44" Type="http://schemas.openxmlformats.org/officeDocument/2006/relationships/hyperlink" Target="https://patadovietnam.edu.vn/hlg_gt_sea/?utm_source=Google&amp;utm_medium=SEA&amp;utm_term=NON_KoreaSouth_none_none_130225&amp;utm_content=KW_Daytienganhonline_PTAGTTD_LD237&amp;utm_campaign=KoreaSouth.CPA400_Patado_SEA_HuyLG_130225" TargetMode="External"/><Relationship Id="rId43" Type="http://schemas.openxmlformats.org/officeDocument/2006/relationships/hyperlink" Target="https://patadovietnam.edu.vn/hlg_tattpvn_gt/" TargetMode="External"/><Relationship Id="rId46" Type="http://schemas.openxmlformats.org/officeDocument/2006/relationships/hyperlink" Target="https://patadovietnam.edu.vn/hlg_gt_sea/?utm_source=Google&amp;utm_medium=SEA&amp;utm_term=NON_ALL_none_none_130225&amp;utm_content=KW_HocTiengAnhTrucTuyenChoNguoiDiLam_PTAGTTD_LD237&amp;utm_campaign=ALL.CPA100_Patado_SEA_HuyLG_130225" TargetMode="External"/><Relationship Id="rId45" Type="http://schemas.openxmlformats.org/officeDocument/2006/relationships/hyperlink" Target="https://patadovietnam.edu.vn/hlg_tattpvn_gt/" TargetMode="External"/><Relationship Id="rId48" Type="http://schemas.openxmlformats.org/officeDocument/2006/relationships/hyperlink" Target="https://patadovietnam.edu.vn/hlg_gt_sea/?utm_source=Google&amp;utm_medium=SEA&amp;utm_term=NON_KoreaSouth_none_none_130225&amp;utm_content=KW_Tienganhcoban_PTAGTTD_LD237&amp;utm_campaign=KoreaSouth.CPA400_Patado_SEA_HuyLG_130225" TargetMode="External"/><Relationship Id="rId47" Type="http://schemas.openxmlformats.org/officeDocument/2006/relationships/hyperlink" Target="https://patadovietnam.edu.vn/hlg_tattpvn_gt/" TargetMode="External"/><Relationship Id="rId49" Type="http://schemas.openxmlformats.org/officeDocument/2006/relationships/hyperlink" Target="https://patadovietnam.edu.vn/hlg_tattpvn_gt/" TargetMode="External"/><Relationship Id="rId31" Type="http://schemas.openxmlformats.org/officeDocument/2006/relationships/hyperlink" Target="https://patadovietnam.edu.vn/hlg_tattpvn_gt/" TargetMode="External"/><Relationship Id="rId30" Type="http://schemas.openxmlformats.org/officeDocument/2006/relationships/hyperlink" Target="https://patadovietnam.edu.vn/hlg_gt_sea/?utm_source=Google&amp;utm_medium=SEA&amp;utm_term=NON_Japan_none_none_130225&amp;utm_content=KW_HocTiengAnhOnline11_PTAGTTD_LD237&amp;utm_campaign=Japan.TDHCD_Patado_SEA_HuyLG_130225" TargetMode="External"/><Relationship Id="rId33" Type="http://schemas.openxmlformats.org/officeDocument/2006/relationships/hyperlink" Target="https://patadovietnam.edu.vn/hlg_tattpvn_gt/" TargetMode="External"/><Relationship Id="rId32" Type="http://schemas.openxmlformats.org/officeDocument/2006/relationships/hyperlink" Target="https://patadovietnam.edu.vn/hlg_gt_sea/?utm_source=Google&amp;utm_medium=SEA&amp;utm_term=NON_ALL_none_none_130225&amp;utm_content=KW_Hoctienganhchung_PTAGTTD_LD237&amp;utm_campaign=ALL.CPA200_Patado_SEA_HuyLG_130225" TargetMode="External"/><Relationship Id="rId35" Type="http://schemas.openxmlformats.org/officeDocument/2006/relationships/hyperlink" Target="https://patadovietnam.edu.vn/hlg_tattpvn_gt/" TargetMode="External"/><Relationship Id="rId34" Type="http://schemas.openxmlformats.org/officeDocument/2006/relationships/hyperlink" Target="https://patadovietnam.edu.vn/hlg_gt_sea/?utm_source=Google&amp;utm_medium=SEA&amp;utm_term=NON_UnitedStates_none_none_130225&amp;utm_content=KW_TiengAnhGiaoTiep_PTAGTTD_LD237&amp;utm_campaign=UnitedStates.CPA500_Patado_SEA_HuyLG_130225" TargetMode="External"/><Relationship Id="rId37" Type="http://schemas.openxmlformats.org/officeDocument/2006/relationships/hyperlink" Target="https://patadovietnam.edu.vn/hlg_tattpvn_gt/" TargetMode="External"/><Relationship Id="rId36" Type="http://schemas.openxmlformats.org/officeDocument/2006/relationships/hyperlink" Target="https://patadovietnam.edu.vn/hlg_gt_sea/?utm_source=Google&amp;utm_medium=SEA&amp;utm_term=NON_KoreaSouth_none_none_130225&amp;utm_content=KW_Tienganhtudau_PTAGTTD_LD237&amp;utm_campaign=KoreaSouth.CPA400_Patado_SEA_HuyLG_130225" TargetMode="External"/><Relationship Id="rId39" Type="http://schemas.openxmlformats.org/officeDocument/2006/relationships/hyperlink" Target="https://patadovietnam.edu.vn/hlg_tattpvn_gt/" TargetMode="External"/><Relationship Id="rId38" Type="http://schemas.openxmlformats.org/officeDocument/2006/relationships/hyperlink" Target="https://patadovietnam.edu.vn/hlg_gt_sea/?utm_source=Google&amp;utm_medium=SEA&amp;utm_term=NON_ALL_none_none_130225&amp;utm_content=KW_DangKyHocTiengAnhOnline_PTAGTTD_LD237&amp;utm_campaign=ALL.CPA200_Patado_SEA_HuyLG_130225" TargetMode="External"/><Relationship Id="rId20" Type="http://schemas.openxmlformats.org/officeDocument/2006/relationships/hyperlink" Target="https://patadovietnam.edu.vn/hlg_gt_sea/?utm_source=Google&amp;utm_medium=SEA&amp;utm_term=NON_ALL_none_none_130225&amp;utm_content=KW_HocTiengAnhTrucTuyenChoNguoiDiLam_PTAGTTD_LD237&amp;utm_campaign=ALL.CPA300_Patado_SEA_HuyLG_130225" TargetMode="External"/><Relationship Id="rId22" Type="http://schemas.openxmlformats.org/officeDocument/2006/relationships/hyperlink" Target="https://patadovietnam.edu.vn/hlg_gt_sea/?utm_source=Google&amp;utm_medium=SEA&amp;utm_term=NEW_ALL_2040_none_130225&amp;utm_content=saletructiep_HocTiengAnhTrucTuyenChoNguoiDiLam_PTAGTTD_LD237&amp;utm_campaign=ALL.CPA100.C2_Patado_SEA_HuyLG_130225" TargetMode="External"/><Relationship Id="rId21" Type="http://schemas.openxmlformats.org/officeDocument/2006/relationships/hyperlink" Target="https://patadovietnam.edu.vn/hlg_tattpvn_gt/" TargetMode="External"/><Relationship Id="rId24" Type="http://schemas.openxmlformats.org/officeDocument/2006/relationships/hyperlink" Target="https://patadovietnam.edu.vn/hlg_gt_sea/?utm_source=Google&amp;utm_medium=SEA&amp;utm_term=NEW_Japan_2040_none_130225&amp;utm_content=saletructiep_Tienganhonline_PTAGTTD_LD237&amp;utm_campaign=Japan.TDHCD_Patado_SEA_HuyLG_130225" TargetMode="External"/><Relationship Id="rId23" Type="http://schemas.openxmlformats.org/officeDocument/2006/relationships/hyperlink" Target="https://patadovietnam.edu.vn/hlg_tattpvn_gt/" TargetMode="External"/><Relationship Id="rId26" Type="http://schemas.openxmlformats.org/officeDocument/2006/relationships/hyperlink" Target="https://patadovietnam.edu.vn/hlg_gt_sea/?utm_source=Google&amp;utm_medium=SEA&amp;utm_term=NON_UnitedStates_none_none_130225&amp;utm_content=KW_Tienganhonline_PTAGTTD_LD237&amp;utm_campaign=UnitedStates.CPA400_Patado_SEA_HuyLG_130225" TargetMode="External"/><Relationship Id="rId25" Type="http://schemas.openxmlformats.org/officeDocument/2006/relationships/hyperlink" Target="https://patadovietnam.edu.vn/hlg_tattpvn_gt/" TargetMode="External"/><Relationship Id="rId28" Type="http://schemas.openxmlformats.org/officeDocument/2006/relationships/hyperlink" Target="https://patadovietnam.edu.vn/hlg_gt_sea/?utm_source=Google&amp;utm_medium=SEA&amp;utm_term=NON_UnitedStates_none_none_130225&amp;utm_content=KW_TiengAnhGiaoTiep_PTAGTTD_LD237&amp;utm_campaign=UnitedStates.CPA600_Patado_SEA_HuyLG_130225" TargetMode="External"/><Relationship Id="rId27" Type="http://schemas.openxmlformats.org/officeDocument/2006/relationships/hyperlink" Target="https://patadovietnam.edu.vn/hlg_tattpvn_gt/" TargetMode="External"/><Relationship Id="rId29" Type="http://schemas.openxmlformats.org/officeDocument/2006/relationships/hyperlink" Target="https://patadovietnam.edu.vn/hlg_tattpvn_gt/" TargetMode="External"/><Relationship Id="rId11" Type="http://schemas.openxmlformats.org/officeDocument/2006/relationships/hyperlink" Target="https://patadovietnam.edu.vn/hlg_tattpvn_gt/" TargetMode="External"/><Relationship Id="rId10" Type="http://schemas.openxmlformats.org/officeDocument/2006/relationships/hyperlink" Target="https://patadovietnam.edu.vn/hlg_gt_sea/?utm_source=Google&amp;utm_medium=SEA&amp;utm_term=NON_ALL_none_none_110225&amp;utm_content=saletructiep_Patado_PTAGTTD_LD237&amp;utm_campaign=BRAND.CPC_Patado_SEA_HuyLG_110225" TargetMode="External"/><Relationship Id="rId13" Type="http://schemas.openxmlformats.org/officeDocument/2006/relationships/hyperlink" Target="https://patadovietnam.edu.vn/hlg_tattpvn_gt/" TargetMode="External"/><Relationship Id="rId12" Type="http://schemas.openxmlformats.org/officeDocument/2006/relationships/hyperlink" Target="https://patadovietnam.edu.vn/hlg_gt_sea/?utm_source=Google&amp;utm_medium=SEA&amp;utm_term=NON_ALL_none_none_110225&amp;utm_content=saletructiep_BrandingPatado_PTAGTTD_LD237&amp;utm_campaign=BRAND.CPC_Patado_SEA_HuyLG_110225" TargetMode="External"/><Relationship Id="rId15" Type="http://schemas.openxmlformats.org/officeDocument/2006/relationships/hyperlink" Target="https://patadovietnam.edu.vn/hlg_tattpvn_gt/" TargetMode="External"/><Relationship Id="rId14" Type="http://schemas.openxmlformats.org/officeDocument/2006/relationships/hyperlink" Target="https://patadovietnam.edu.vn/hlg_gt_sea/?utm_source=Google&amp;utm_medium=SEA&amp;utm_term=NON_ALL_none_none_180225&amp;utm_content=KW_HocTiengAnhTrucTuyenChoNguoiDiLam_PTAGTTD_LD237&amp;utm_campaign=ALL.CPA100_Patado_SEA_HuyLG_180225" TargetMode="External"/><Relationship Id="rId17" Type="http://schemas.openxmlformats.org/officeDocument/2006/relationships/hyperlink" Target="https://patadovietnam.edu.vn/hlg_tattpvn_gt/" TargetMode="External"/><Relationship Id="rId16" Type="http://schemas.openxmlformats.org/officeDocument/2006/relationships/hyperlink" Target="https://patadovietnam.edu.vn/hlg_gt_sea/?utm_source=Google&amp;utm_medium=SEA&amp;utm_term=NEW_ALL_2040_none_130225&amp;utm_content=saletructiep_ALL.CPA200_PTAGTTD_LD237&amp;utm_campaign=ALL.CPA200_Patado_SEA_HuyLG_130225" TargetMode="External"/><Relationship Id="rId19" Type="http://schemas.openxmlformats.org/officeDocument/2006/relationships/hyperlink" Target="https://patadovietnam.edu.vn/hlg_tattpvn_gt/" TargetMode="External"/><Relationship Id="rId18" Type="http://schemas.openxmlformats.org/officeDocument/2006/relationships/hyperlink" Target="https://patadovietnam.edu.vn/hlg_gt_sea/?utm_source=Google&amp;utm_medium=SEA&amp;utm_term=NEW_ALL_2040_none_130225&amp;utm_content=saletructiep_ALL.CPA100.C2_PTAGTTD_LD237&amp;utm_campaign=ALL.CPA100.C2_Patado_SEA_HuyLG_130225" TargetMode="External"/><Relationship Id="rId84" Type="http://schemas.openxmlformats.org/officeDocument/2006/relationships/hyperlink" Target="https://patadovietnam.edu.vn/hlg_gt_sea/?utm_source=Google&amp;utm_medium=SEA&amp;utm_term=NON_KoreaSouth_none_none_130225&amp;utm_content=KW_Patado_PTAGTTD_LD237&amp;utm_campaign=KoreaSouth.CPA400_Patado_SEA_HuyLG_130225" TargetMode="External"/><Relationship Id="rId83" Type="http://schemas.openxmlformats.org/officeDocument/2006/relationships/hyperlink" Target="https://patadovietnam.edu.vn/hlg_tattpvn_gt/" TargetMode="External"/><Relationship Id="rId86" Type="http://schemas.openxmlformats.org/officeDocument/2006/relationships/hyperlink" Target="https://patadovietnam.edu.vn/hlg_gt_sea/?utm_source=Google&amp;utm_medium=SEA&amp;utm_term=NON_KoreaSouth_none_none_130225&amp;utm_content=KW_Tienganhchonguoimatgoc_PTAGTTD_LD237&amp;utm_campaign=KoreaSouth.CPA400_Patado_SEA_HuyLG_130225" TargetMode="External"/><Relationship Id="rId85" Type="http://schemas.openxmlformats.org/officeDocument/2006/relationships/hyperlink" Target="https://patadovietnam.edu.vn/hlg_tattpvn_gt/" TargetMode="External"/><Relationship Id="rId88" Type="http://schemas.openxmlformats.org/officeDocument/2006/relationships/hyperlink" Target="https://patadovietnam.edu.vn/hlg_gt_sea/?utm_source=Google&amp;utm_medium=SEA&amp;utm_term=NON_KoreaSouth_none_none_130225&amp;utm_content=KW_Tienganhgiaotiepcaptoc_PTAGTTD_LD237&amp;utm_campaign=KoreaSouth.CPA400_Patado_SEA_HuyLG_130225" TargetMode="External"/><Relationship Id="rId87" Type="http://schemas.openxmlformats.org/officeDocument/2006/relationships/hyperlink" Target="https://patadovietnam.edu.vn/hlg_tattpvn_gt/" TargetMode="External"/><Relationship Id="rId89" Type="http://schemas.openxmlformats.org/officeDocument/2006/relationships/hyperlink" Target="https://patadovietnam.edu.vn/hlg_tattpvn_gt/" TargetMode="External"/><Relationship Id="rId80" Type="http://schemas.openxmlformats.org/officeDocument/2006/relationships/hyperlink" Target="https://patadovietnam.edu.vn/hlg_gt_sea/?utm_source=Google&amp;utm_medium=SEA&amp;utm_term=NON_KoreaSouth_none_none_130225&amp;utm_content=KW_Tienganhgiaotieptainha_PTAGTTD_LD237&amp;utm_campaign=KoreaSouth.CPA400_Patado_SEA_HuyLG_130225" TargetMode="External"/><Relationship Id="rId82" Type="http://schemas.openxmlformats.org/officeDocument/2006/relationships/hyperlink" Target="https://patadovietnam.edu.vn/hlg_gt_sea/?utm_source=Google&amp;utm_medium=SEA&amp;utm_term=NON_KoreaSouth_none_none_130225&amp;utm_content=KW_Hoctienganh11_PTAGTTD_LD237&amp;utm_campaign=KoreaSouth.CPA400_Patado_SEA_HuyLG_130225" TargetMode="External"/><Relationship Id="rId81" Type="http://schemas.openxmlformats.org/officeDocument/2006/relationships/hyperlink" Target="https://patadovietnam.edu.vn/hlg_tattpvn_gt/" TargetMode="External"/><Relationship Id="rId73" Type="http://schemas.openxmlformats.org/officeDocument/2006/relationships/hyperlink" Target="https://patadovietnam.edu.vn/hlg_tattpvn_gt/" TargetMode="External"/><Relationship Id="rId72" Type="http://schemas.openxmlformats.org/officeDocument/2006/relationships/hyperlink" Target="https://patadovietnam.edu.vn/hlg_gt_sea/?utm_source=Google&amp;utm_medium=SEA&amp;utm_term=NON_KoreaSouth_none_none_130225&amp;utm_content=KW_Tienganhchonguoidilam_PTAGTTD_LD237&amp;utm_campaign=KoreaSouth.CPA400_Patado_SEA_HuyLG_130225" TargetMode="External"/><Relationship Id="rId75" Type="http://schemas.openxmlformats.org/officeDocument/2006/relationships/hyperlink" Target="https://patadovietnam.edu.vn/hlg_tattpvn_gt/" TargetMode="External"/><Relationship Id="rId74" Type="http://schemas.openxmlformats.org/officeDocument/2006/relationships/hyperlink" Target="https://patadovietnam.edu.vn/hlg_gt_sea/?utm_source=Google&amp;utm_medium=SEA&amp;utm_term=NON_KoreaSouth_none_none_130225&amp;utm_content=KW_HocTiengAnhOnlineChoNguoiMatGoc_PTAGTTD_LD237&amp;utm_campaign=KoreaSouth.CPA400_Patado_SEA_HuyLG_130225" TargetMode="External"/><Relationship Id="rId77" Type="http://schemas.openxmlformats.org/officeDocument/2006/relationships/hyperlink" Target="https://patadovietnam.edu.vn/hlg_tattpvn_gt/" TargetMode="External"/><Relationship Id="rId76" Type="http://schemas.openxmlformats.org/officeDocument/2006/relationships/hyperlink" Target="https://patadovietnam.edu.vn/hlg_gt_sea/?utm_source=Google&amp;utm_medium=SEA&amp;utm_term=NON_KoreaSouth_none_none_130225&amp;utm_content=KW_Tienganhquamang_PTAGTTD_LD237&amp;utm_campaign=KoreaSouth.CPA400_Patado_SEA_HuyLG_130225" TargetMode="External"/><Relationship Id="rId79" Type="http://schemas.openxmlformats.org/officeDocument/2006/relationships/hyperlink" Target="https://patadovietnam.edu.vn/hlg_tattpvn_gt/" TargetMode="External"/><Relationship Id="rId78" Type="http://schemas.openxmlformats.org/officeDocument/2006/relationships/hyperlink" Target="https://patadovietnam.edu.vn/hlg_gt_sea/?utm_source=Google&amp;utm_medium=SEA&amp;utm_term=NON_KoreaSouth_none_none_130225&amp;utm_content=KW_Tienganhtrenmang_PTAGTTD_LD237&amp;utm_campaign=KoreaSouth.CPA400_Patado_SEA_HuyLG_130225" TargetMode="External"/><Relationship Id="rId71" Type="http://schemas.openxmlformats.org/officeDocument/2006/relationships/hyperlink" Target="https://patadovietnam.edu.vn/hlg_tattpvn_gt/" TargetMode="External"/><Relationship Id="rId70" Type="http://schemas.openxmlformats.org/officeDocument/2006/relationships/hyperlink" Target="https://patadovietnam.edu.vn/hlg_gt_sea/?utm_source=Google&amp;utm_medium=SEA&amp;utm_term=NON_KoreaSouth_none_none_130225&amp;utm_content=KW_HocTiengAnh_PTAGTTD_LD237&amp;utm_campaign=KoreaSouth.CPA400_Patado_SEA_HuyLG_130225" TargetMode="External"/><Relationship Id="rId62" Type="http://schemas.openxmlformats.org/officeDocument/2006/relationships/hyperlink" Target="https://patadovietnam.edu.vn/hlg_gt_sea/?utm_source=Google&amp;utm_medium=SEA&amp;utm_term=NON_KoreaSouth_none_none_130225&amp;utm_content=KW_HocTiengAnhTrucTuyenOnline_PTAGTTD_LD237&amp;utm_campaign=KoreaSouth.CPA400_Patado_SEA_HuyLG_130225" TargetMode="External"/><Relationship Id="rId61" Type="http://schemas.openxmlformats.org/officeDocument/2006/relationships/hyperlink" Target="https://patadovietnam.edu.vn/hlg_tattpvn_gt/" TargetMode="External"/><Relationship Id="rId64" Type="http://schemas.openxmlformats.org/officeDocument/2006/relationships/hyperlink" Target="https://patadovietnam.edu.vn/hlg_gt_sea/?utm_source=Google&amp;utm_medium=SEA&amp;utm_term=NON_KoreaSouth_none_none_130225&amp;utm_content=KW_TiengAnhGiaoTiep_PTAGTTD_LD237&amp;utm_campaign=KoreaSouth.CPA400_Patado_SEA_HuyLG_130225" TargetMode="External"/><Relationship Id="rId63" Type="http://schemas.openxmlformats.org/officeDocument/2006/relationships/hyperlink" Target="https://patadovietnam.edu.vn/hlg_tattpvn_gt/" TargetMode="External"/><Relationship Id="rId66" Type="http://schemas.openxmlformats.org/officeDocument/2006/relationships/hyperlink" Target="https://patadovietnam.edu.vn/hlg_gt_sea/?utm_source=Google&amp;utm_medium=SEA&amp;utm_term=NON_KoreaSouth_none_none_130225&amp;utm_content=KW_Tienganhmatgoc_PTAGTTD_LD237&amp;utm_campaign=KoreaSouth.CPA400_Patado_SEA_HuyLG_130225" TargetMode="External"/><Relationship Id="rId65" Type="http://schemas.openxmlformats.org/officeDocument/2006/relationships/hyperlink" Target="https://patadovietnam.edu.vn/hlg_tattpvn_gt/" TargetMode="External"/><Relationship Id="rId68" Type="http://schemas.openxmlformats.org/officeDocument/2006/relationships/hyperlink" Target="https://patadovietnam.edu.vn/hlg_gt_sea/?utm_source=Google&amp;utm_medium=SEA&amp;utm_term=NON_KoreaSouth_none_none_130225&amp;utm_content=KW_Chuongtrinhhoctienganh_PTAGTTD_LD237&amp;utm_campaign=KoreaSouth.CPA400_Patado_SEA_HuyLG_130225" TargetMode="External"/><Relationship Id="rId67" Type="http://schemas.openxmlformats.org/officeDocument/2006/relationships/hyperlink" Target="https://patadovietnam.edu.vn/hlg_tattpvn_gt/" TargetMode="External"/><Relationship Id="rId60" Type="http://schemas.openxmlformats.org/officeDocument/2006/relationships/hyperlink" Target="https://patadovietnam.edu.vn/hlg_gt_sea/?utm_source=Google&amp;utm_medium=SEA&amp;utm_term=NON_KoreaSouth_none_none_130225&amp;utm_content=KW_Hoctienganhchung_PTAGTTD_LD237&amp;utm_campaign=KoreaSouth.CPA400_Patado_SEA_HuyLG_130225" TargetMode="External"/><Relationship Id="rId69" Type="http://schemas.openxmlformats.org/officeDocument/2006/relationships/hyperlink" Target="https://patadovietnam.edu.vn/hlg_tattpvn_gt/" TargetMode="External"/><Relationship Id="rId51" Type="http://schemas.openxmlformats.org/officeDocument/2006/relationships/hyperlink" Target="https://patadovietnam.edu.vn/hlg_tattpvn_gt/" TargetMode="External"/><Relationship Id="rId50" Type="http://schemas.openxmlformats.org/officeDocument/2006/relationships/hyperlink" Target="https://patadovietnam.edu.vn/hlg_gt_sea/?utm_source=Google&amp;utm_medium=SEA&amp;utm_term=NON_KoreaSouth_none_none_130225&amp;utm_content=KW_Tienganhonlinetainha_PTAGTTD_LD237&amp;utm_campaign=KoreaSouth.CPA400_Patado_SEA_HuyLG_130225" TargetMode="External"/><Relationship Id="rId53" Type="http://schemas.openxmlformats.org/officeDocument/2006/relationships/hyperlink" Target="https://patadovietnam.edu.vn/hlg_tattpvn_gt/" TargetMode="External"/><Relationship Id="rId52" Type="http://schemas.openxmlformats.org/officeDocument/2006/relationships/hyperlink" Target="https://patadovietnam.edu.vn/hlg_gt_sea/?utm_source=Google&amp;utm_medium=SEA&amp;utm_term=NON_KoreaSouth_none_none_130225&amp;utm_content=KW_Hoctienhanhonline_PTAGTTD_LD237&amp;utm_campaign=KoreaSouth.CPA400_Patado_SEA_HuyLG_130225" TargetMode="External"/><Relationship Id="rId55" Type="http://schemas.openxmlformats.org/officeDocument/2006/relationships/hyperlink" Target="https://patadovietnam.edu.vn/hlg_tattpvn_gt/" TargetMode="External"/><Relationship Id="rId54" Type="http://schemas.openxmlformats.org/officeDocument/2006/relationships/hyperlink" Target="https://patadovietnam.edu.vn/hlg_gt_sea/?utm_source=Google&amp;utm_medium=SEA&amp;utm_term=NON_KoreaSouth_none_none_130225&amp;utm_content=KW_Hoctienganhchonguoimoibatdau_PTAGTTD_LD237&amp;utm_campaign=KoreaSouth.CPA400_Patado_SEA_HuyLG_130225" TargetMode="External"/><Relationship Id="rId57" Type="http://schemas.openxmlformats.org/officeDocument/2006/relationships/hyperlink" Target="https://patadovietnam.edu.vn/hlg_tattpvn_gt/" TargetMode="External"/><Relationship Id="rId56" Type="http://schemas.openxmlformats.org/officeDocument/2006/relationships/hyperlink" Target="https://patadovietnam.edu.vn/hlg_gt_sea/?utm_source=Google&amp;utm_medium=SEA&amp;utm_term=NON_KoreaSouth_none_none_130225&amp;utm_content=KW_Dangkihoctienganh_PTAGTTD_LD237&amp;utm_campaign=KoreaSouth.CPA400_Patado_SEA_HuyLG_130225" TargetMode="External"/><Relationship Id="rId59" Type="http://schemas.openxmlformats.org/officeDocument/2006/relationships/hyperlink" Target="https://patadovietnam.edu.vn/hlg_tattpvn_gt/" TargetMode="External"/><Relationship Id="rId58" Type="http://schemas.openxmlformats.org/officeDocument/2006/relationships/hyperlink" Target="https://patadovietnam.edu.vn/hlg_gt_sea/?utm_source=Google&amp;utm_medium=SEA&amp;utm_term=NON_KoreaSouth_none_none_130225&amp;utm_content=KW_KhoaHocIeltsOnline_PTAGTTD_LD237&amp;utm_campaign=KoreaSouth.CPA400_Patado_SEA_HuyLG_130225" TargetMode="External"/><Relationship Id="rId349" Type="http://schemas.openxmlformats.org/officeDocument/2006/relationships/hyperlink" Target="https://patadovietnam.edu.vn/hlg_tattpvn_gt/" TargetMode="External"/><Relationship Id="rId348" Type="http://schemas.openxmlformats.org/officeDocument/2006/relationships/hyperlink" Target="https://patadovietnam.edu.vn/hlg_gt_sea/?utm_source=Google&amp;utm_medium=SEA&amp;utm_term=!!!&amp;utm_content=!!!&amp;utm_campaign=!!!" TargetMode="External"/><Relationship Id="rId347" Type="http://schemas.openxmlformats.org/officeDocument/2006/relationships/hyperlink" Target="https://patadovietnam.edu.vn/hlg_tattpvn_gt/" TargetMode="External"/><Relationship Id="rId346" Type="http://schemas.openxmlformats.org/officeDocument/2006/relationships/hyperlink" Target="https://patadovietnam.edu.vn/hlg_gt_sea/?utm_source=Google&amp;utm_medium=SEA&amp;utm_term=!!!&amp;utm_content=!!!&amp;utm_campaign=!!!" TargetMode="External"/><Relationship Id="rId341" Type="http://schemas.openxmlformats.org/officeDocument/2006/relationships/hyperlink" Target="https://patadovietnam.edu.vn/hlg_tattpvn_gt/" TargetMode="External"/><Relationship Id="rId340" Type="http://schemas.openxmlformats.org/officeDocument/2006/relationships/hyperlink" Target="https://patadovietnam.edu.vn/hlg_gt_sea/?utm_source=Google&amp;utm_medium=SEA&amp;utm_term=!!!&amp;utm_content=!!!&amp;utm_campaign=!!!" TargetMode="External"/><Relationship Id="rId345" Type="http://schemas.openxmlformats.org/officeDocument/2006/relationships/hyperlink" Target="https://patadovietnam.edu.vn/hlg_tattpvn_gt/" TargetMode="External"/><Relationship Id="rId344" Type="http://schemas.openxmlformats.org/officeDocument/2006/relationships/hyperlink" Target="https://patadovietnam.edu.vn/hlg_gt_sea/?utm_source=Google&amp;utm_medium=SEA&amp;utm_term=!!!&amp;utm_content=!!!&amp;utm_campaign=!!!" TargetMode="External"/><Relationship Id="rId343" Type="http://schemas.openxmlformats.org/officeDocument/2006/relationships/hyperlink" Target="https://patadovietnam.edu.vn/hlg_tattpvn_gt/" TargetMode="External"/><Relationship Id="rId342" Type="http://schemas.openxmlformats.org/officeDocument/2006/relationships/hyperlink" Target="https://patadovietnam.edu.vn/hlg_gt_sea/?utm_source=Google&amp;utm_medium=SEA&amp;utm_term=!!!&amp;utm_content=!!!&amp;utm_campaign=!!!" TargetMode="External"/><Relationship Id="rId338" Type="http://schemas.openxmlformats.org/officeDocument/2006/relationships/hyperlink" Target="https://patadovietnam.edu.vn/hlg_gt_sea/?utm_source=Google&amp;utm_medium=SEA&amp;utm_term=!!!&amp;utm_content=!!!&amp;utm_campaign=!!!" TargetMode="External"/><Relationship Id="rId337" Type="http://schemas.openxmlformats.org/officeDocument/2006/relationships/hyperlink" Target="https://patadovietnam.edu.vn/hlg_tattpvn_gt/" TargetMode="External"/><Relationship Id="rId336" Type="http://schemas.openxmlformats.org/officeDocument/2006/relationships/hyperlink" Target="https://patadovietnam.edu.vn/hlg_gt_sea/?utm_source=Google&amp;utm_medium=SEA&amp;utm_term=!!!&amp;utm_content=!!!&amp;utm_campaign=!!!" TargetMode="External"/><Relationship Id="rId335" Type="http://schemas.openxmlformats.org/officeDocument/2006/relationships/hyperlink" Target="https://patadovietnam.edu.vn/hlg_tattpvn_gt/" TargetMode="External"/><Relationship Id="rId339" Type="http://schemas.openxmlformats.org/officeDocument/2006/relationships/hyperlink" Target="https://patadovietnam.edu.vn/hlg_tattpvn_gt/" TargetMode="External"/><Relationship Id="rId330" Type="http://schemas.openxmlformats.org/officeDocument/2006/relationships/hyperlink" Target="https://patadovietnam.edu.vn/hlg_gt_sea/?utm_source=Google&amp;utm_medium=SEA&amp;utm_term=!!!&amp;utm_content=!!!&amp;utm_campaign=!!!" TargetMode="External"/><Relationship Id="rId334" Type="http://schemas.openxmlformats.org/officeDocument/2006/relationships/hyperlink" Target="https://patadovietnam.edu.vn/hlg_gt_sea/?utm_source=Google&amp;utm_medium=SEA&amp;utm_term=!!!&amp;utm_content=!!!&amp;utm_campaign=!!!" TargetMode="External"/><Relationship Id="rId333" Type="http://schemas.openxmlformats.org/officeDocument/2006/relationships/hyperlink" Target="https://patadovietnam.edu.vn/hlg_tattpvn_gt/" TargetMode="External"/><Relationship Id="rId332" Type="http://schemas.openxmlformats.org/officeDocument/2006/relationships/hyperlink" Target="https://patadovietnam.edu.vn/hlg_gt_sea/?utm_source=Google&amp;utm_medium=SEA&amp;utm_term=!!!&amp;utm_content=!!!&amp;utm_campaign=!!!" TargetMode="External"/><Relationship Id="rId331" Type="http://schemas.openxmlformats.org/officeDocument/2006/relationships/hyperlink" Target="https://patadovietnam.edu.vn/hlg_tattpvn_gt/" TargetMode="External"/><Relationship Id="rId370" Type="http://schemas.openxmlformats.org/officeDocument/2006/relationships/hyperlink" Target="https://patadovietnam.edu.vn/hlg_gt_sea/?utm_source=Google&amp;utm_medium=SEA&amp;utm_term=!!!&amp;utm_content=!!!&amp;utm_campaign=!!!" TargetMode="External"/><Relationship Id="rId369" Type="http://schemas.openxmlformats.org/officeDocument/2006/relationships/hyperlink" Target="https://patadovietnam.edu.vn/hlg_tattpvn_gt/" TargetMode="External"/><Relationship Id="rId368" Type="http://schemas.openxmlformats.org/officeDocument/2006/relationships/hyperlink" Target="https://patadovietnam.edu.vn/hlg_gt_sea/?utm_source=Google&amp;utm_medium=SEA&amp;utm_term=!!!&amp;utm_content=!!!&amp;utm_campaign=!!!" TargetMode="External"/><Relationship Id="rId363" Type="http://schemas.openxmlformats.org/officeDocument/2006/relationships/hyperlink" Target="https://patadovietnam.edu.vn/hlg_tattpvn_gt/" TargetMode="External"/><Relationship Id="rId362" Type="http://schemas.openxmlformats.org/officeDocument/2006/relationships/hyperlink" Target="https://patadovietnam.edu.vn/hlg_gt_sea/?utm_source=Google&amp;utm_medium=SEA&amp;utm_term=!!!&amp;utm_content=!!!&amp;utm_campaign=!!!" TargetMode="External"/><Relationship Id="rId361" Type="http://schemas.openxmlformats.org/officeDocument/2006/relationships/hyperlink" Target="https://patadovietnam.edu.vn/hlg_tattpvn_gt/" TargetMode="External"/><Relationship Id="rId360" Type="http://schemas.openxmlformats.org/officeDocument/2006/relationships/hyperlink" Target="https://patadovietnam.edu.vn/hlg_gt_sea/?utm_source=Google&amp;utm_medium=SEA&amp;utm_term=!!!&amp;utm_content=!!!&amp;utm_campaign=!!!" TargetMode="External"/><Relationship Id="rId367" Type="http://schemas.openxmlformats.org/officeDocument/2006/relationships/hyperlink" Target="https://patadovietnam.edu.vn/hlg_tattpvn_gt/" TargetMode="External"/><Relationship Id="rId366" Type="http://schemas.openxmlformats.org/officeDocument/2006/relationships/hyperlink" Target="https://patadovietnam.edu.vn/hlg_gt_sea/?utm_source=Google&amp;utm_medium=SEA&amp;utm_term=!!!&amp;utm_content=!!!&amp;utm_campaign=!!!" TargetMode="External"/><Relationship Id="rId365" Type="http://schemas.openxmlformats.org/officeDocument/2006/relationships/hyperlink" Target="https://patadovietnam.edu.vn/hlg_tattpvn_gt/" TargetMode="External"/><Relationship Id="rId364" Type="http://schemas.openxmlformats.org/officeDocument/2006/relationships/hyperlink" Target="https://patadovietnam.edu.vn/hlg_gt_sea/?utm_source=Google&amp;utm_medium=SEA&amp;utm_term=!!!&amp;utm_content=!!!&amp;utm_campaign=!!!" TargetMode="External"/><Relationship Id="rId95" Type="http://schemas.openxmlformats.org/officeDocument/2006/relationships/hyperlink" Target="https://patadovietnam.edu.vn/hlg_tattpvn_gt/" TargetMode="External"/><Relationship Id="rId94" Type="http://schemas.openxmlformats.org/officeDocument/2006/relationships/hyperlink" Target="https://patadovietnam.edu.vn/hlg_gt_sea/?utm_source=Google&amp;utm_medium=SEA&amp;utm_term=NON_KoreaSouth_none_none_130225&amp;utm_content=KW_Tienganhonline_PTAGTTD_LD237&amp;utm_campaign=KoreaSouth.CPA400_Patado_SEA_HuyLG_130225" TargetMode="External"/><Relationship Id="rId97" Type="http://schemas.openxmlformats.org/officeDocument/2006/relationships/hyperlink" Target="https://patadovietnam.edu.vn/hlg_tattpvn_gt/" TargetMode="External"/><Relationship Id="rId96" Type="http://schemas.openxmlformats.org/officeDocument/2006/relationships/hyperlink" Target="https://patadovietnam.edu.vn/hlg_gt_sea/?utm_source=Google&amp;utm_medium=SEA&amp;utm_term=NON_UnitedStates_none_none_130225&amp;utm_content=KW_Tienganhcoban_PTAGTTD_LD237&amp;utm_campaign=UnitedStates.CPA600_Patado_SEA_HuyLG_130225" TargetMode="External"/><Relationship Id="rId99" Type="http://schemas.openxmlformats.org/officeDocument/2006/relationships/hyperlink" Target="https://patadovietnam.edu.vn/hlg_tattpvn_gt/" TargetMode="External"/><Relationship Id="rId98" Type="http://schemas.openxmlformats.org/officeDocument/2006/relationships/hyperlink" Target="https://patadovietnam.edu.vn/hlg_gt_sea/?utm_source=Google&amp;utm_medium=SEA&amp;utm_term=NON_UnitedStates_none_none_130225&amp;utm_content=KW_Tienganhtudau_PTAGTTD_LD237&amp;utm_campaign=UnitedStates.CPA600_Patado_SEA_HuyLG_130225" TargetMode="External"/><Relationship Id="rId91" Type="http://schemas.openxmlformats.org/officeDocument/2006/relationships/hyperlink" Target="https://patadovietnam.edu.vn/hlg_tattpvn_gt/" TargetMode="External"/><Relationship Id="rId90" Type="http://schemas.openxmlformats.org/officeDocument/2006/relationships/hyperlink" Target="https://patadovietnam.edu.vn/hlg_gt_sea/?utm_source=Google&amp;utm_medium=SEA&amp;utm_term=NON_KoreaSouth_none_none_130225&amp;utm_content=KW_Duhoctienganh_PTAGTTD_LD237&amp;utm_campaign=KoreaSouth.CPA400_Patado_SEA_HuyLG_130225" TargetMode="External"/><Relationship Id="rId93" Type="http://schemas.openxmlformats.org/officeDocument/2006/relationships/hyperlink" Target="https://patadovietnam.edu.vn/hlg_tattpvn_gt/" TargetMode="External"/><Relationship Id="rId92" Type="http://schemas.openxmlformats.org/officeDocument/2006/relationships/hyperlink" Target="https://patadovietnam.edu.vn/hlg_gt_sea/?utm_source=Google&amp;utm_medium=SEA&amp;utm_term=NON_KoreaSouth_none_none_130225&amp;utm_content=KW_Tienganhvanphong_PTAGTTD_LD237&amp;utm_campaign=KoreaSouth.CPA400_Patado_SEA_HuyLG_130225" TargetMode="External"/><Relationship Id="rId359" Type="http://schemas.openxmlformats.org/officeDocument/2006/relationships/hyperlink" Target="https://patadovietnam.edu.vn/hlg_tattpvn_gt/" TargetMode="External"/><Relationship Id="rId358" Type="http://schemas.openxmlformats.org/officeDocument/2006/relationships/hyperlink" Target="https://patadovietnam.edu.vn/hlg_gt_sea/?utm_source=Google&amp;utm_medium=SEA&amp;utm_term=!!!&amp;utm_content=!!!&amp;utm_campaign=!!!" TargetMode="External"/><Relationship Id="rId357" Type="http://schemas.openxmlformats.org/officeDocument/2006/relationships/hyperlink" Target="https://patadovietnam.edu.vn/hlg_tattpvn_gt/" TargetMode="External"/><Relationship Id="rId352" Type="http://schemas.openxmlformats.org/officeDocument/2006/relationships/hyperlink" Target="https://patadovietnam.edu.vn/hlg_gt_sea/?utm_source=Google&amp;utm_medium=SEA&amp;utm_term=!!!&amp;utm_content=!!!&amp;utm_campaign=!!!" TargetMode="External"/><Relationship Id="rId351" Type="http://schemas.openxmlformats.org/officeDocument/2006/relationships/hyperlink" Target="https://patadovietnam.edu.vn/hlg_tattpvn_gt/" TargetMode="External"/><Relationship Id="rId350" Type="http://schemas.openxmlformats.org/officeDocument/2006/relationships/hyperlink" Target="https://patadovietnam.edu.vn/hlg_gt_sea/?utm_source=Google&amp;utm_medium=SEA&amp;utm_term=!!!&amp;utm_content=!!!&amp;utm_campaign=!!!" TargetMode="External"/><Relationship Id="rId356" Type="http://schemas.openxmlformats.org/officeDocument/2006/relationships/hyperlink" Target="https://patadovietnam.edu.vn/hlg_gt_sea/?utm_source=Google&amp;utm_medium=SEA&amp;utm_term=!!!&amp;utm_content=!!!&amp;utm_campaign=!!!" TargetMode="External"/><Relationship Id="rId355" Type="http://schemas.openxmlformats.org/officeDocument/2006/relationships/hyperlink" Target="https://patadovietnam.edu.vn/hlg_tattpvn_gt/" TargetMode="External"/><Relationship Id="rId354" Type="http://schemas.openxmlformats.org/officeDocument/2006/relationships/hyperlink" Target="https://patadovietnam.edu.vn/hlg_gt_sea/?utm_source=Google&amp;utm_medium=SEA&amp;utm_term=!!!&amp;utm_content=!!!&amp;utm_campaign=!!!" TargetMode="External"/><Relationship Id="rId353" Type="http://schemas.openxmlformats.org/officeDocument/2006/relationships/hyperlink" Target="https://patadovietnam.edu.vn/hlg_tattpvn_gt/" TargetMode="External"/><Relationship Id="rId305" Type="http://schemas.openxmlformats.org/officeDocument/2006/relationships/hyperlink" Target="https://patadovietnam.edu.vn/hlg_tattpvn_gt/" TargetMode="External"/><Relationship Id="rId304" Type="http://schemas.openxmlformats.org/officeDocument/2006/relationships/hyperlink" Target="https://patadovietnam.edu.vn/hlg_gt_sea/?utm_source=Google&amp;utm_medium=SEA&amp;utm_term=!!!&amp;utm_content=!!!&amp;utm_campaign=!!!" TargetMode="External"/><Relationship Id="rId303" Type="http://schemas.openxmlformats.org/officeDocument/2006/relationships/hyperlink" Target="https://patadovietnam.edu.vn/hlg_tattpvn_gt/" TargetMode="External"/><Relationship Id="rId302" Type="http://schemas.openxmlformats.org/officeDocument/2006/relationships/hyperlink" Target="https://patadovietnam.edu.vn/hlg_gt_sea/?utm_source=Google&amp;utm_medium=SEA&amp;utm_term=!!!&amp;utm_content=!!!&amp;utm_campaign=!!!" TargetMode="External"/><Relationship Id="rId309" Type="http://schemas.openxmlformats.org/officeDocument/2006/relationships/hyperlink" Target="https://patadovietnam.edu.vn/hlg_tattpvn_gt/" TargetMode="External"/><Relationship Id="rId308" Type="http://schemas.openxmlformats.org/officeDocument/2006/relationships/hyperlink" Target="https://patadovietnam.edu.vn/hlg_gt_sea/?utm_source=Google&amp;utm_medium=SEA&amp;utm_term=!!!&amp;utm_content=!!!&amp;utm_campaign=!!!" TargetMode="External"/><Relationship Id="rId307" Type="http://schemas.openxmlformats.org/officeDocument/2006/relationships/hyperlink" Target="https://patadovietnam.edu.vn/hlg_tattpvn_gt/" TargetMode="External"/><Relationship Id="rId306" Type="http://schemas.openxmlformats.org/officeDocument/2006/relationships/hyperlink" Target="https://patadovietnam.edu.vn/hlg_gt_sea/?utm_source=Google&amp;utm_medium=SEA&amp;utm_term=!!!&amp;utm_content=!!!&amp;utm_campaign=!!!" TargetMode="External"/><Relationship Id="rId301" Type="http://schemas.openxmlformats.org/officeDocument/2006/relationships/hyperlink" Target="https://patadovietnam.edu.vn/hlg_tattpvn_gt/" TargetMode="External"/><Relationship Id="rId300" Type="http://schemas.openxmlformats.org/officeDocument/2006/relationships/hyperlink" Target="https://patadovietnam.edu.vn/hlg_gt_sea/?utm_source=Google&amp;utm_medium=SEA&amp;utm_term=!!!&amp;utm_content=!!!&amp;utm_campaign=!!!" TargetMode="External"/><Relationship Id="rId327" Type="http://schemas.openxmlformats.org/officeDocument/2006/relationships/hyperlink" Target="https://patadovietnam.edu.vn/hlg_tattpvn_gt/" TargetMode="External"/><Relationship Id="rId326" Type="http://schemas.openxmlformats.org/officeDocument/2006/relationships/hyperlink" Target="https://patadovietnam.edu.vn/hlg_gt_sea/?utm_source=Google&amp;utm_medium=SEA&amp;utm_term=!!!&amp;utm_content=!!!&amp;utm_campaign=!!!" TargetMode="External"/><Relationship Id="rId325" Type="http://schemas.openxmlformats.org/officeDocument/2006/relationships/hyperlink" Target="https://patadovietnam.edu.vn/hlg_tattpvn_gt/" TargetMode="External"/><Relationship Id="rId324" Type="http://schemas.openxmlformats.org/officeDocument/2006/relationships/hyperlink" Target="https://patadovietnam.edu.vn/hlg_gt_sea/?utm_source=Google&amp;utm_medium=SEA&amp;utm_term=!!!&amp;utm_content=!!!&amp;utm_campaign=!!!" TargetMode="External"/><Relationship Id="rId329" Type="http://schemas.openxmlformats.org/officeDocument/2006/relationships/hyperlink" Target="https://patadovietnam.edu.vn/hlg_tattpvn_gt/" TargetMode="External"/><Relationship Id="rId328" Type="http://schemas.openxmlformats.org/officeDocument/2006/relationships/hyperlink" Target="https://patadovietnam.edu.vn/hlg_gt_sea/?utm_source=Google&amp;utm_medium=SEA&amp;utm_term=!!!&amp;utm_content=!!!&amp;utm_campaign=!!!" TargetMode="External"/><Relationship Id="rId323" Type="http://schemas.openxmlformats.org/officeDocument/2006/relationships/hyperlink" Target="https://patadovietnam.edu.vn/hlg_tattpvn_gt/" TargetMode="External"/><Relationship Id="rId322" Type="http://schemas.openxmlformats.org/officeDocument/2006/relationships/hyperlink" Target="https://patadovietnam.edu.vn/hlg_gt_sea/?utm_source=Google&amp;utm_medium=SEA&amp;utm_term=!!!&amp;utm_content=!!!&amp;utm_campaign=!!!" TargetMode="External"/><Relationship Id="rId321" Type="http://schemas.openxmlformats.org/officeDocument/2006/relationships/hyperlink" Target="https://patadovietnam.edu.vn/hlg_tattpvn_gt/" TargetMode="External"/><Relationship Id="rId320" Type="http://schemas.openxmlformats.org/officeDocument/2006/relationships/hyperlink" Target="https://patadovietnam.edu.vn/hlg_gt_sea/?utm_source=Google&amp;utm_medium=SEA&amp;utm_term=!!!&amp;utm_content=!!!&amp;utm_campaign=!!!" TargetMode="External"/><Relationship Id="rId316" Type="http://schemas.openxmlformats.org/officeDocument/2006/relationships/hyperlink" Target="https://patadovietnam.edu.vn/hlg_gt_sea/?utm_source=Google&amp;utm_medium=SEA&amp;utm_term=!!!&amp;utm_content=!!!&amp;utm_campaign=!!!" TargetMode="External"/><Relationship Id="rId315" Type="http://schemas.openxmlformats.org/officeDocument/2006/relationships/hyperlink" Target="https://patadovietnam.edu.vn/hlg_tattpvn_gt/" TargetMode="External"/><Relationship Id="rId314" Type="http://schemas.openxmlformats.org/officeDocument/2006/relationships/hyperlink" Target="https://patadovietnam.edu.vn/hlg_gt_sea/?utm_source=Google&amp;utm_medium=SEA&amp;utm_term=!!!&amp;utm_content=!!!&amp;utm_campaign=!!!" TargetMode="External"/><Relationship Id="rId313" Type="http://schemas.openxmlformats.org/officeDocument/2006/relationships/hyperlink" Target="https://patadovietnam.edu.vn/hlg_tattpvn_gt/" TargetMode="External"/><Relationship Id="rId319" Type="http://schemas.openxmlformats.org/officeDocument/2006/relationships/hyperlink" Target="https://patadovietnam.edu.vn/hlg_tattpvn_gt/" TargetMode="External"/><Relationship Id="rId318" Type="http://schemas.openxmlformats.org/officeDocument/2006/relationships/hyperlink" Target="https://patadovietnam.edu.vn/hlg_gt_sea/?utm_source=Google&amp;utm_medium=SEA&amp;utm_term=!!!&amp;utm_content=!!!&amp;utm_campaign=!!!" TargetMode="External"/><Relationship Id="rId317" Type="http://schemas.openxmlformats.org/officeDocument/2006/relationships/hyperlink" Target="https://patadovietnam.edu.vn/hlg_tattpvn_gt/" TargetMode="External"/><Relationship Id="rId312" Type="http://schemas.openxmlformats.org/officeDocument/2006/relationships/hyperlink" Target="https://patadovietnam.edu.vn/hlg_gt_sea/?utm_source=Google&amp;utm_medium=SEA&amp;utm_term=!!!&amp;utm_content=!!!&amp;utm_campaign=!!!" TargetMode="External"/><Relationship Id="rId311" Type="http://schemas.openxmlformats.org/officeDocument/2006/relationships/hyperlink" Target="https://patadovietnam.edu.vn/hlg_tattpvn_gt/" TargetMode="External"/><Relationship Id="rId310" Type="http://schemas.openxmlformats.org/officeDocument/2006/relationships/hyperlink" Target="https://patadovietnam.edu.vn/hlg_gt_sea/?utm_source=Google&amp;utm_medium=SEA&amp;utm_term=!!!&amp;utm_content=!!!&amp;utm_campaign=!!!" TargetMode="External"/><Relationship Id="rId297" Type="http://schemas.openxmlformats.org/officeDocument/2006/relationships/hyperlink" Target="https://patadovietnam.edu.vn/hlg_tattpvn_gt/" TargetMode="External"/><Relationship Id="rId296" Type="http://schemas.openxmlformats.org/officeDocument/2006/relationships/hyperlink" Target="https://patadovietnam.edu.vn/hlg_gt_sea/?utm_source=Google&amp;utm_medium=SEA&amp;utm_term=!!!&amp;utm_content=!!!&amp;utm_campaign=!!!" TargetMode="External"/><Relationship Id="rId295" Type="http://schemas.openxmlformats.org/officeDocument/2006/relationships/hyperlink" Target="https://patadovietnam.edu.vn/hlg_tattpvn_gt/" TargetMode="External"/><Relationship Id="rId294" Type="http://schemas.openxmlformats.org/officeDocument/2006/relationships/hyperlink" Target="https://patadovietnam.edu.vn/hlg_gt_sea/?utm_source=Google&amp;utm_medium=SEA&amp;utm_term=!!!&amp;utm_content=!!!&amp;utm_campaign=!!!" TargetMode="External"/><Relationship Id="rId299" Type="http://schemas.openxmlformats.org/officeDocument/2006/relationships/hyperlink" Target="https://patadovietnam.edu.vn/hlg_tattpvn_gt/" TargetMode="External"/><Relationship Id="rId298" Type="http://schemas.openxmlformats.org/officeDocument/2006/relationships/hyperlink" Target="https://patadovietnam.edu.vn/hlg_gt_sea/?utm_source=Google&amp;utm_medium=SEA&amp;utm_term=!!!&amp;utm_content=!!!&amp;utm_campaign=!!!" TargetMode="External"/><Relationship Id="rId271" Type="http://schemas.openxmlformats.org/officeDocument/2006/relationships/hyperlink" Target="https://patadovietnam.edu.vn/hlg_tattpvn_gt/" TargetMode="External"/><Relationship Id="rId270" Type="http://schemas.openxmlformats.org/officeDocument/2006/relationships/hyperlink" Target="https://patadovietnam.edu.vn/hlg_gt_sea/?utm_source=Google&amp;utm_medium=SEA&amp;utm_term=!!!&amp;utm_content=!!!&amp;utm_campaign=!!!" TargetMode="External"/><Relationship Id="rId269" Type="http://schemas.openxmlformats.org/officeDocument/2006/relationships/hyperlink" Target="https://patadovietnam.edu.vn/hlg_tattpvn_gt/" TargetMode="External"/><Relationship Id="rId264" Type="http://schemas.openxmlformats.org/officeDocument/2006/relationships/hyperlink" Target="https://patadovietnam.edu.vn/hlg_gt_sea/?utm_source=Google&amp;utm_medium=SEA&amp;utm_term=NON_Japan_none_none_180225&amp;utm_content=!!!&amp;utm_campaign=Japan.CPA400_Patado_SEA_HuyLG_180225" TargetMode="External"/><Relationship Id="rId263" Type="http://schemas.openxmlformats.org/officeDocument/2006/relationships/hyperlink" Target="https://patadovietnam.edu.vn/hlg_tattpvn_gt/" TargetMode="External"/><Relationship Id="rId262" Type="http://schemas.openxmlformats.org/officeDocument/2006/relationships/hyperlink" Target="https://patadovietnam.edu.vn/hlg_gt_sea/?utm_source=Google&amp;utm_medium=SEA&amp;utm_term=NON_Japan_none_none_180225&amp;utm_content=!!!&amp;utm_campaign=Japan.CPA400_Patado_SEA_HuyLG_180225" TargetMode="External"/><Relationship Id="rId261" Type="http://schemas.openxmlformats.org/officeDocument/2006/relationships/hyperlink" Target="https://patadovietnam.edu.vn/hlg_tattpvn_gt/" TargetMode="External"/><Relationship Id="rId268" Type="http://schemas.openxmlformats.org/officeDocument/2006/relationships/hyperlink" Target="https://patadovietnam.edu.vn/hlg_gt_sea/?utm_source=Google&amp;utm_medium=SEA&amp;utm_term=NON_ALL_none_none_200225&amp;utm_content=KW_HocTiengAnhTrucTuyenChoNguoiDiLam_PTAGTTD_LD237&amp;utm_campaign=ALL.CPA250_Patado_SEA_HuyLG_200225" TargetMode="External"/><Relationship Id="rId267" Type="http://schemas.openxmlformats.org/officeDocument/2006/relationships/hyperlink" Target="https://patadovietnam.edu.vn/hlg_tattpvn_gt/" TargetMode="External"/><Relationship Id="rId266" Type="http://schemas.openxmlformats.org/officeDocument/2006/relationships/hyperlink" Target="https://patadovietnam.edu.vn/hlg_gt_sea/?utm_source=Google&amp;utm_medium=SEA&amp;utm_term=!!!&amp;utm_content=!!!&amp;utm_campaign=!!!" TargetMode="External"/><Relationship Id="rId265" Type="http://schemas.openxmlformats.org/officeDocument/2006/relationships/hyperlink" Target="https://patadovietnam.edu.vn/hlg_tattpvn_gt/" TargetMode="External"/><Relationship Id="rId260" Type="http://schemas.openxmlformats.org/officeDocument/2006/relationships/hyperlink" Target="https://patadovietnam.edu.vn/hlg_gt_sea/?utm_source=Google&amp;utm_medium=SEA&amp;utm_term=NON_Japan_none_none_180225&amp;utm_content=KW_Tienganhonline_PTAGTTD_LD237&amp;utm_campaign=Japan.CPA200_Patado_SEA_HuyLG_180225" TargetMode="External"/><Relationship Id="rId259" Type="http://schemas.openxmlformats.org/officeDocument/2006/relationships/hyperlink" Target="https://patadovietnam.edu.vn/hlg_tattpvn_gt/" TargetMode="External"/><Relationship Id="rId258" Type="http://schemas.openxmlformats.org/officeDocument/2006/relationships/hyperlink" Target="https://patadovietnam.edu.vn/hlg_gt_sea/?utm_source=Google&amp;utm_medium=SEA&amp;utm_term=NON_Japan_none_none_150225&amp;utm_content=KW_TiengAnhGiaoTiep_PTAGTTD_LD237&amp;utm_campaign=Japan.CPA400_Patado_SEA_HuyLG_150225" TargetMode="External"/><Relationship Id="rId253" Type="http://schemas.openxmlformats.org/officeDocument/2006/relationships/hyperlink" Target="https://patadovietnam.edu.vn/hlg_tattpvn_gt/" TargetMode="External"/><Relationship Id="rId252" Type="http://schemas.openxmlformats.org/officeDocument/2006/relationships/hyperlink" Target="https://patadovietnam.edu.vn/hlg_gt_sea/?utm_source=Google&amp;utm_medium=SEA&amp;utm_term=NON_Japan_none_none_150225&amp;utm_content=KW_Tienganhtrenmang_PTAGTTD_LD237&amp;utm_campaign=Japan.CPA400_Patado_SEA_HuyLG_150225" TargetMode="External"/><Relationship Id="rId251" Type="http://schemas.openxmlformats.org/officeDocument/2006/relationships/hyperlink" Target="https://patadovietnam.edu.vn/hlg_tattpvn_gt/" TargetMode="External"/><Relationship Id="rId250" Type="http://schemas.openxmlformats.org/officeDocument/2006/relationships/hyperlink" Target="https://patadovietnam.edu.vn/hlg_gt_sea/?utm_source=Google&amp;utm_medium=SEA&amp;utm_term=NON_Japan_none_none_150225&amp;utm_content=KW_Dtienganhonline_PTAGTTD_LD237&amp;utm_campaign=Japan.CPA400_Patado_SEA_HuyLG_150225" TargetMode="External"/><Relationship Id="rId257" Type="http://schemas.openxmlformats.org/officeDocument/2006/relationships/hyperlink" Target="https://patadovietnam.edu.vn/hlg_tattpvn_gt/" TargetMode="External"/><Relationship Id="rId256" Type="http://schemas.openxmlformats.org/officeDocument/2006/relationships/hyperlink" Target="https://patadovietnam.edu.vn/hlg_gt_sea/?utm_source=Google&amp;utm_medium=SEA&amp;utm_term=NON_Japan_none_none_150225&amp;utm_content=KW_Tienganhonline_PTAGTTD_LD237&amp;utm_campaign=Japan.CPA400_Patado_SEA_HuyLG_150225" TargetMode="External"/><Relationship Id="rId255" Type="http://schemas.openxmlformats.org/officeDocument/2006/relationships/hyperlink" Target="https://patadovietnam.edu.vn/hlg_tattpvn_gt/" TargetMode="External"/><Relationship Id="rId254" Type="http://schemas.openxmlformats.org/officeDocument/2006/relationships/hyperlink" Target="https://patadovietnam.edu.vn/hlg_gt_sea/?utm_source=Google&amp;utm_medium=SEA&amp;utm_term=NON_Japan_none_none_150225&amp;utm_content=KW_Chuongtrinhhoctienganh_PTAGTTD_LD237&amp;utm_campaign=Japan.CPA400_Patado_SEA_HuyLG_150225" TargetMode="External"/><Relationship Id="rId293" Type="http://schemas.openxmlformats.org/officeDocument/2006/relationships/hyperlink" Target="https://patadovietnam.edu.vn/hlg_tattpvn_gt/" TargetMode="External"/><Relationship Id="rId292" Type="http://schemas.openxmlformats.org/officeDocument/2006/relationships/hyperlink" Target="https://patadovietnam.edu.vn/hlg_gt_sea/?utm_source=Google&amp;utm_medium=SEA&amp;utm_term=!!!&amp;utm_content=!!!&amp;utm_campaign=!!!" TargetMode="External"/><Relationship Id="rId291" Type="http://schemas.openxmlformats.org/officeDocument/2006/relationships/hyperlink" Target="https://patadovietnam.edu.vn/hlg_tattpvn_gt/" TargetMode="External"/><Relationship Id="rId290" Type="http://schemas.openxmlformats.org/officeDocument/2006/relationships/hyperlink" Target="https://patadovietnam.edu.vn/hlg_gt_sea/?utm_source=Google&amp;utm_medium=SEA&amp;utm_term=!!!&amp;utm_content=!!!&amp;utm_campaign=!!!" TargetMode="External"/><Relationship Id="rId286" Type="http://schemas.openxmlformats.org/officeDocument/2006/relationships/hyperlink" Target="https://patadovietnam.edu.vn/hlg_gt_sea/?utm_source=Google&amp;utm_medium=SEA&amp;utm_term=!!!&amp;utm_content=!!!&amp;utm_campaign=!!!" TargetMode="External"/><Relationship Id="rId285" Type="http://schemas.openxmlformats.org/officeDocument/2006/relationships/hyperlink" Target="https://patadovietnam.edu.vn/hlg_tattpvn_gt/" TargetMode="External"/><Relationship Id="rId284" Type="http://schemas.openxmlformats.org/officeDocument/2006/relationships/hyperlink" Target="https://patadovietnam.edu.vn/hlg_gt_sea/?utm_source=Google&amp;utm_medium=SEA&amp;utm_term=!!!&amp;utm_content=!!!&amp;utm_campaign=!!!" TargetMode="External"/><Relationship Id="rId283" Type="http://schemas.openxmlformats.org/officeDocument/2006/relationships/hyperlink" Target="https://patadovietnam.edu.vn/hlg_tattpvn_gt/" TargetMode="External"/><Relationship Id="rId289" Type="http://schemas.openxmlformats.org/officeDocument/2006/relationships/hyperlink" Target="https://patadovietnam.edu.vn/hlg_tattpvn_gt/" TargetMode="External"/><Relationship Id="rId288" Type="http://schemas.openxmlformats.org/officeDocument/2006/relationships/hyperlink" Target="https://patadovietnam.edu.vn/hlg_gt_sea/?utm_source=Google&amp;utm_medium=SEA&amp;utm_term=!!!&amp;utm_content=!!!&amp;utm_campaign=!!!" TargetMode="External"/><Relationship Id="rId287" Type="http://schemas.openxmlformats.org/officeDocument/2006/relationships/hyperlink" Target="https://patadovietnam.edu.vn/hlg_tattpvn_gt/" TargetMode="External"/><Relationship Id="rId282" Type="http://schemas.openxmlformats.org/officeDocument/2006/relationships/hyperlink" Target="https://patadovietnam.edu.vn/hlg_gt_sea/?utm_source=Google&amp;utm_medium=SEA&amp;utm_term=!!!&amp;utm_content=!!!&amp;utm_campaign=!!!" TargetMode="External"/><Relationship Id="rId281" Type="http://schemas.openxmlformats.org/officeDocument/2006/relationships/hyperlink" Target="https://patadovietnam.edu.vn/hlg_tattpvn_gt/" TargetMode="External"/><Relationship Id="rId280" Type="http://schemas.openxmlformats.org/officeDocument/2006/relationships/hyperlink" Target="https://patadovietnam.edu.vn/hlg_gt_sea/?utm_source=Google&amp;utm_medium=SEA&amp;utm_term=!!!&amp;utm_content=!!!&amp;utm_campaign=!!!" TargetMode="External"/><Relationship Id="rId275" Type="http://schemas.openxmlformats.org/officeDocument/2006/relationships/hyperlink" Target="https://patadovietnam.edu.vn/hlg_tattpvn_gt/" TargetMode="External"/><Relationship Id="rId274" Type="http://schemas.openxmlformats.org/officeDocument/2006/relationships/hyperlink" Target="https://patadovietnam.edu.vn/hlg_gt_sea/?utm_source=Google&amp;utm_medium=SEA&amp;utm_term=!!!&amp;utm_content=!!!&amp;utm_campaign=!!!" TargetMode="External"/><Relationship Id="rId273" Type="http://schemas.openxmlformats.org/officeDocument/2006/relationships/hyperlink" Target="https://patadovietnam.edu.vn/hlg_tattpvn_gt/" TargetMode="External"/><Relationship Id="rId272" Type="http://schemas.openxmlformats.org/officeDocument/2006/relationships/hyperlink" Target="https://patadovietnam.edu.vn/hlg_gt_sea/?utm_source=Google&amp;utm_medium=SEA&amp;utm_term=!!!&amp;utm_content=!!!&amp;utm_campaign=!!!" TargetMode="External"/><Relationship Id="rId279" Type="http://schemas.openxmlformats.org/officeDocument/2006/relationships/hyperlink" Target="https://patadovietnam.edu.vn/hlg_tattpvn_gt/" TargetMode="External"/><Relationship Id="rId278" Type="http://schemas.openxmlformats.org/officeDocument/2006/relationships/hyperlink" Target="https://patadovietnam.edu.vn/hlg_gt_sea/?utm_source=Google&amp;utm_medium=SEA&amp;utm_term=!!!&amp;utm_content=!!!&amp;utm_campaign=!!!" TargetMode="External"/><Relationship Id="rId277" Type="http://schemas.openxmlformats.org/officeDocument/2006/relationships/hyperlink" Target="https://patadovietnam.edu.vn/hlg_tattpvn_gt/" TargetMode="External"/><Relationship Id="rId276" Type="http://schemas.openxmlformats.org/officeDocument/2006/relationships/hyperlink" Target="https://patadovietnam.edu.vn/hlg_gt_sea/?utm_source=Google&amp;utm_medium=SEA&amp;utm_term=!!!&amp;utm_content=!!!&amp;utm_campaign=!!!" TargetMode="External"/><Relationship Id="rId1059" Type="http://schemas.openxmlformats.org/officeDocument/2006/relationships/hyperlink" Target="https://patadovietnam.edu.vn/hlg_tattpvn_gt/" TargetMode="External"/><Relationship Id="rId228" Type="http://schemas.openxmlformats.org/officeDocument/2006/relationships/hyperlink" Target="https://patadovietnam.edu.vn/hlg_gt_sea/?utm_source=Google&amp;utm_medium=SEA&amp;utm_term=NON_Japan_none_none_150225&amp;utm_content=KW_HocTiengAnhTrucTuyenOnline_PTAGTTD_LD237&amp;utm_campaign=Japan.CPA400_Patado_SEA_HuyLG_150225" TargetMode="External"/><Relationship Id="rId227" Type="http://schemas.openxmlformats.org/officeDocument/2006/relationships/hyperlink" Target="https://patadovietnam.edu.vn/hlg_tattpvn_gt/" TargetMode="External"/><Relationship Id="rId226" Type="http://schemas.openxmlformats.org/officeDocument/2006/relationships/hyperlink" Target="https://patadovietnam.edu.vn/hlg_gt_sea/?utm_source=Google&amp;utm_medium=SEA&amp;utm_term=NON_Japan_none_none_150225&amp;utm_content=KW_Dangkihoctienganh_PTAGTTD_LD237&amp;utm_campaign=Japan.CPA400_Patado_SEA_HuyLG_150225" TargetMode="External"/><Relationship Id="rId225" Type="http://schemas.openxmlformats.org/officeDocument/2006/relationships/hyperlink" Target="https://patadovietnam.edu.vn/hlg_tattpvn_gt/" TargetMode="External"/><Relationship Id="rId229" Type="http://schemas.openxmlformats.org/officeDocument/2006/relationships/hyperlink" Target="https://patadovietnam.edu.vn/hlg_tattpvn_gt/" TargetMode="External"/><Relationship Id="rId1050" Type="http://schemas.openxmlformats.org/officeDocument/2006/relationships/hyperlink" Target="https://patadovietnam.edu.vn/hlg_gt_sea/?utm_source=Google&amp;utm_medium=SEA&amp;utm_term=!!!&amp;utm_content=!!!&amp;utm_campaign=!!!" TargetMode="External"/><Relationship Id="rId220" Type="http://schemas.openxmlformats.org/officeDocument/2006/relationships/hyperlink" Target="https://patadovietnam.edu.vn/hlg_gt_sea/?utm_source=Google&amp;utm_medium=SEA&amp;utm_term=NON_Japan_none_none_150225&amp;utm_content=KW_Tienganhmatgoc_PTAGTTD_LD237&amp;utm_campaign=Japan.CPA400_Patado_SEA_HuyLG_150225" TargetMode="External"/><Relationship Id="rId1051" Type="http://schemas.openxmlformats.org/officeDocument/2006/relationships/hyperlink" Target="https://patadovietnam.edu.vn/hlg_tattpvn_gt/" TargetMode="External"/><Relationship Id="rId1052" Type="http://schemas.openxmlformats.org/officeDocument/2006/relationships/hyperlink" Target="https://patadovietnam.edu.vn/hlg_gt_sea/?utm_source=Google&amp;utm_medium=SEA&amp;utm_term=!!!&amp;utm_content=!!!&amp;utm_campaign=!!!" TargetMode="External"/><Relationship Id="rId1053" Type="http://schemas.openxmlformats.org/officeDocument/2006/relationships/hyperlink" Target="https://patadovietnam.edu.vn/hlg_tattpvn_gt/" TargetMode="External"/><Relationship Id="rId1054" Type="http://schemas.openxmlformats.org/officeDocument/2006/relationships/hyperlink" Target="https://patadovietnam.edu.vn/hlg_gt_sea/?utm_source=Google&amp;utm_medium=SEA&amp;utm_term=!!!&amp;utm_content=!!!&amp;utm_campaign=!!!" TargetMode="External"/><Relationship Id="rId224" Type="http://schemas.openxmlformats.org/officeDocument/2006/relationships/hyperlink" Target="https://patadovietnam.edu.vn/hlg_gt_sea/?utm_source=Google&amp;utm_medium=SEA&amp;utm_term=NON_Japan_none_none_150225&amp;utm_content=KW_Hoctienganhchung_PTAGTTD_LD237&amp;utm_campaign=Japan.CPA400_Patado_SEA_HuyLG_150225" TargetMode="External"/><Relationship Id="rId1055" Type="http://schemas.openxmlformats.org/officeDocument/2006/relationships/hyperlink" Target="https://patadovietnam.edu.vn/hlg_tattpvn_gt/" TargetMode="External"/><Relationship Id="rId223" Type="http://schemas.openxmlformats.org/officeDocument/2006/relationships/hyperlink" Target="https://patadovietnam.edu.vn/hlg_tattpvn_gt/" TargetMode="External"/><Relationship Id="rId1056" Type="http://schemas.openxmlformats.org/officeDocument/2006/relationships/hyperlink" Target="https://patadovietnam.edu.vn/hlg_gt_sea/?utm_source=Google&amp;utm_medium=SEA&amp;utm_term=!!!&amp;utm_content=!!!&amp;utm_campaign=!!!" TargetMode="External"/><Relationship Id="rId222" Type="http://schemas.openxmlformats.org/officeDocument/2006/relationships/hyperlink" Target="https://patadovietnam.edu.vn/hlg_gt_sea/?utm_source=Google&amp;utm_medium=SEA&amp;utm_term=NON_Japan_none_none_150225&amp;utm_content=KW_Tienganhvanphong_PTAGTTD_LD237&amp;utm_campaign=Japan.CPA400_Patado_SEA_HuyLG_150225" TargetMode="External"/><Relationship Id="rId1057" Type="http://schemas.openxmlformats.org/officeDocument/2006/relationships/hyperlink" Target="https://patadovietnam.edu.vn/hlg_tattpvn_gt/" TargetMode="External"/><Relationship Id="rId221" Type="http://schemas.openxmlformats.org/officeDocument/2006/relationships/hyperlink" Target="https://patadovietnam.edu.vn/hlg_tattpvn_gt/" TargetMode="External"/><Relationship Id="rId1058" Type="http://schemas.openxmlformats.org/officeDocument/2006/relationships/hyperlink" Target="https://patadovietnam.edu.vn/hlg_gt_sea/?utm_source=Google&amp;utm_medium=SEA&amp;utm_term=!!!&amp;utm_content=!!!&amp;utm_campaign=!!!" TargetMode="External"/><Relationship Id="rId1048" Type="http://schemas.openxmlformats.org/officeDocument/2006/relationships/hyperlink" Target="https://patadovietnam.edu.vn/hlg_gt_sea/?utm_source=Google&amp;utm_medium=SEA&amp;utm_term=!!!&amp;utm_content=!!!&amp;utm_campaign=!!!" TargetMode="External"/><Relationship Id="rId1049" Type="http://schemas.openxmlformats.org/officeDocument/2006/relationships/hyperlink" Target="https://patadovietnam.edu.vn/hlg_tattpvn_gt/" TargetMode="External"/><Relationship Id="rId217" Type="http://schemas.openxmlformats.org/officeDocument/2006/relationships/hyperlink" Target="https://patadovietnam.edu.vn/hlg_tattpvn_gt/" TargetMode="External"/><Relationship Id="rId216" Type="http://schemas.openxmlformats.org/officeDocument/2006/relationships/hyperlink" Target="https://patadovietnam.edu.vn/hlg_gt_sea/?utm_source=Google&amp;utm_medium=SEA&amp;utm_term=NON_Japan_none_none_150225&amp;utm_content=KW_HocTiengAnhOnlineChoNguoiMatGoc_PTAGTTD_LD237&amp;utm_campaign=Japan.CPA400_Patado_SEA_HuyLG_150225" TargetMode="External"/><Relationship Id="rId215" Type="http://schemas.openxmlformats.org/officeDocument/2006/relationships/hyperlink" Target="https://patadovietnam.edu.vn/hlg_tattpvn_gt/" TargetMode="External"/><Relationship Id="rId214" Type="http://schemas.openxmlformats.org/officeDocument/2006/relationships/hyperlink" Target="https://patadovietnam.edu.vn/hlg_gt_sea/?utm_source=Google&amp;utm_medium=SEA&amp;utm_term=NON_Japan_none_none_150225&amp;utm_content=KW_Hoctienganhchonguoimoibatdau_PTAGTTD_LD237&amp;utm_campaign=Japan.CPA400_Patado_SEA_HuyLG_150225" TargetMode="External"/><Relationship Id="rId219" Type="http://schemas.openxmlformats.org/officeDocument/2006/relationships/hyperlink" Target="https://patadovietnam.edu.vn/hlg_tattpvn_gt/" TargetMode="External"/><Relationship Id="rId218" Type="http://schemas.openxmlformats.org/officeDocument/2006/relationships/hyperlink" Target="https://patadovietnam.edu.vn/hlg_gt_sea/?utm_source=Google&amp;utm_medium=SEA&amp;utm_term=NON_Japan_none_none_150225&amp;utm_content=KW_Duhoctienganh_PTAGTTD_LD237&amp;utm_campaign=Japan.CPA400_Patado_SEA_HuyLG_150225" TargetMode="External"/><Relationship Id="rId1040" Type="http://schemas.openxmlformats.org/officeDocument/2006/relationships/hyperlink" Target="https://patadovietnam.edu.vn/hlg_gt_sea/?utm_source=Google&amp;utm_medium=SEA&amp;utm_term=!!!&amp;utm_content=!!!&amp;utm_campaign=!!!" TargetMode="External"/><Relationship Id="rId1041" Type="http://schemas.openxmlformats.org/officeDocument/2006/relationships/hyperlink" Target="https://patadovietnam.edu.vn/hlg_tattpvn_gt/" TargetMode="External"/><Relationship Id="rId1042" Type="http://schemas.openxmlformats.org/officeDocument/2006/relationships/hyperlink" Target="https://patadovietnam.edu.vn/hlg_gt_sea/?utm_source=Google&amp;utm_medium=SEA&amp;utm_term=!!!&amp;utm_content=!!!&amp;utm_campaign=!!!" TargetMode="External"/><Relationship Id="rId1043" Type="http://schemas.openxmlformats.org/officeDocument/2006/relationships/hyperlink" Target="https://patadovietnam.edu.vn/hlg_tattpvn_gt/" TargetMode="External"/><Relationship Id="rId213" Type="http://schemas.openxmlformats.org/officeDocument/2006/relationships/hyperlink" Target="https://patadovietnam.edu.vn/hlg_tattpvn_gt/" TargetMode="External"/><Relationship Id="rId1044" Type="http://schemas.openxmlformats.org/officeDocument/2006/relationships/hyperlink" Target="https://patadovietnam.edu.vn/hlg_gt_sea/?utm_source=Google&amp;utm_medium=SEA&amp;utm_term=!!!&amp;utm_content=!!!&amp;utm_campaign=!!!" TargetMode="External"/><Relationship Id="rId212" Type="http://schemas.openxmlformats.org/officeDocument/2006/relationships/hyperlink" Target="https://patadovietnam.edu.vn/hlg_gt_sea/?utm_source=Google&amp;utm_medium=SEA&amp;utm_term=NON_Japan_none_none_150225&amp;utm_content=KW_Tienganhchonguoimatgoc_PTAGTTD_LD237&amp;utm_campaign=Japan.CPA400_Patado_SEA_HuyLG_150225" TargetMode="External"/><Relationship Id="rId1045" Type="http://schemas.openxmlformats.org/officeDocument/2006/relationships/hyperlink" Target="https://patadovietnam.edu.vn/hlg_tattpvn_gt/" TargetMode="External"/><Relationship Id="rId211" Type="http://schemas.openxmlformats.org/officeDocument/2006/relationships/hyperlink" Target="https://patadovietnam.edu.vn/hlg_tattpvn_gt/" TargetMode="External"/><Relationship Id="rId1046" Type="http://schemas.openxmlformats.org/officeDocument/2006/relationships/hyperlink" Target="https://patadovietnam.edu.vn/hlg_gt_sea/?utm_source=Google&amp;utm_medium=SEA&amp;utm_term=!!!&amp;utm_content=!!!&amp;utm_campaign=!!!" TargetMode="External"/><Relationship Id="rId210" Type="http://schemas.openxmlformats.org/officeDocument/2006/relationships/hyperlink" Target="https://patadovietnam.edu.vn/hlg_gt_sea/?utm_source=Google&amp;utm_medium=SEA&amp;utm_term=NON_Japan_none_none_150225&amp;utm_content=KW_Tienganhquamang_PTAGTTD_LD237&amp;utm_campaign=Japan.CPA400_Patado_SEA_HuyLG_150225" TargetMode="External"/><Relationship Id="rId1047" Type="http://schemas.openxmlformats.org/officeDocument/2006/relationships/hyperlink" Target="https://patadovietnam.edu.vn/hlg_tattpvn_gt/" TargetMode="External"/><Relationship Id="rId249" Type="http://schemas.openxmlformats.org/officeDocument/2006/relationships/hyperlink" Target="https://patadovietnam.edu.vn/hlg_tattpvn_gt/" TargetMode="External"/><Relationship Id="rId248" Type="http://schemas.openxmlformats.org/officeDocument/2006/relationships/hyperlink" Target="https://patadovietnam.edu.vn/hlg_gt_sea/?utm_source=Google&amp;utm_medium=SEA&amp;utm_term=NON_Japan_none_none_150225&amp;utm_content=KW_Tienganhquamang_PTAGTTD_LD237&amp;utm_campaign=Japan.CPA400_Patado_SEA_HuyLG_150225" TargetMode="External"/><Relationship Id="rId247" Type="http://schemas.openxmlformats.org/officeDocument/2006/relationships/hyperlink" Target="https://patadovietnam.edu.vn/hlg_tattpvn_gt/" TargetMode="External"/><Relationship Id="rId1070" Type="http://schemas.openxmlformats.org/officeDocument/2006/relationships/hyperlink" Target="https://patadovietnam.edu.vn/hlg_gt_sea/?utm_source=Google&amp;utm_medium=SEA&amp;utm_term=!!!&amp;utm_content=!!!&amp;utm_campaign=!!!" TargetMode="External"/><Relationship Id="rId1071" Type="http://schemas.openxmlformats.org/officeDocument/2006/relationships/hyperlink" Target="https://patadovietnam.edu.vn/hlg_tattpvn_gt/" TargetMode="External"/><Relationship Id="rId1072" Type="http://schemas.openxmlformats.org/officeDocument/2006/relationships/hyperlink" Target="https://patadovietnam.edu.vn/hlg_gt_sea/?utm_source=Google&amp;utm_medium=SEA&amp;utm_term=!!!&amp;utm_content=!!!&amp;utm_campaign=!!!" TargetMode="External"/><Relationship Id="rId242" Type="http://schemas.openxmlformats.org/officeDocument/2006/relationships/hyperlink" Target="https://patadovietnam.edu.vn/hlg_gt_sea/?utm_source=Google&amp;utm_medium=SEA&amp;utm_term=NON_Japan_none_none_150225&amp;utm_content=KW_Tienganhcoban_PTAGTTD_LD237&amp;utm_campaign=Japan.CPA400_Patado_SEA_HuyLG_150225" TargetMode="External"/><Relationship Id="rId1073" Type="http://schemas.openxmlformats.org/officeDocument/2006/relationships/hyperlink" Target="https://patadovietnam.edu.vn/hlg_tattpvn_gt/" TargetMode="External"/><Relationship Id="rId241" Type="http://schemas.openxmlformats.org/officeDocument/2006/relationships/hyperlink" Target="https://patadovietnam.edu.vn/hlg_tattpvn_gt/" TargetMode="External"/><Relationship Id="rId1074" Type="http://schemas.openxmlformats.org/officeDocument/2006/relationships/hyperlink" Target="https://patadovietnam.edu.vn/hlg_gt_sea/?utm_source=Google&amp;utm_medium=SEA&amp;utm_term=!!!&amp;utm_content=!!!&amp;utm_campaign=!!!" TargetMode="External"/><Relationship Id="rId240" Type="http://schemas.openxmlformats.org/officeDocument/2006/relationships/hyperlink" Target="https://patadovietnam.edu.vn/hlg_gt_sea/?utm_source=Google&amp;utm_medium=SEA&amp;utm_term=NON_Japan_none_none_150225&amp;utm_content=KW_Tienganhonlinetainha_PTAGTTD_LD237&amp;utm_campaign=Japan.CPA400_Patado_SEA_HuyLG_150225" TargetMode="External"/><Relationship Id="rId1075" Type="http://schemas.openxmlformats.org/officeDocument/2006/relationships/hyperlink" Target="https://patadovietnam.edu.vn/hlg_tattpvn_gt/" TargetMode="External"/><Relationship Id="rId1076" Type="http://schemas.openxmlformats.org/officeDocument/2006/relationships/hyperlink" Target="https://patadovietnam.edu.vn/hlg_gt_sea/?utm_source=Google&amp;utm_medium=SEA&amp;utm_term=!!!&amp;utm_content=!!!&amp;utm_campaign=!!!" TargetMode="External"/><Relationship Id="rId246" Type="http://schemas.openxmlformats.org/officeDocument/2006/relationships/hyperlink" Target="https://patadovietnam.edu.vn/hlg_gt_sea/?utm_source=Google&amp;utm_medium=SEA&amp;utm_term=NON_Japan_none_none_150225&amp;utm_content=KW_TiengAnhGiaoTiep_PTAGTTD_LD237&amp;utm_campaign=Japan.CPA400_Patado_SEA_HuyLG_150225" TargetMode="External"/><Relationship Id="rId1077" Type="http://schemas.openxmlformats.org/officeDocument/2006/relationships/hyperlink" Target="https://patadovietnam.edu.vn/hlg_tattpvn_gt/" TargetMode="External"/><Relationship Id="rId245" Type="http://schemas.openxmlformats.org/officeDocument/2006/relationships/hyperlink" Target="https://patadovietnam.edu.vn/hlg_tattpvn_gt/" TargetMode="External"/><Relationship Id="rId1078" Type="http://schemas.openxmlformats.org/officeDocument/2006/relationships/hyperlink" Target="https://patadovietnam.edu.vn/hlg_gt_sea/?utm_source=Google&amp;utm_medium=SEA&amp;utm_term=!!!&amp;utm_content=!!!&amp;utm_campaign=!!!" TargetMode="External"/><Relationship Id="rId244" Type="http://schemas.openxmlformats.org/officeDocument/2006/relationships/hyperlink" Target="https://patadovietnam.edu.vn/hlg_gt_sea/?utm_source=Google&amp;utm_medium=SEA&amp;utm_term=NON_Japan_none_none_150225&amp;utm_content=KW_Hoctienganh11_PTAGTTD_LD237&amp;utm_campaign=Japan.CPA400_Patado_SEA_HuyLG_150225" TargetMode="External"/><Relationship Id="rId1079" Type="http://schemas.openxmlformats.org/officeDocument/2006/relationships/hyperlink" Target="https://patadovietnam.edu.vn/hlg_tattpvn_gt/" TargetMode="External"/><Relationship Id="rId243" Type="http://schemas.openxmlformats.org/officeDocument/2006/relationships/hyperlink" Target="https://patadovietnam.edu.vn/hlg_tattpvn_gt/" TargetMode="External"/><Relationship Id="rId239" Type="http://schemas.openxmlformats.org/officeDocument/2006/relationships/hyperlink" Target="https://patadovietnam.edu.vn/hlg_tattpvn_gt/" TargetMode="External"/><Relationship Id="rId238" Type="http://schemas.openxmlformats.org/officeDocument/2006/relationships/hyperlink" Target="https://patadovietnam.edu.vn/hlg_gt_sea/?utm_source=Google&amp;utm_medium=SEA&amp;utm_term=NON_Japan_none_none_150225&amp;utm_content=KW_Tienganhvanphong_PTAGTTD_LD237&amp;utm_campaign=Japan.CPA400_Patado_SEA_HuyLG_150225" TargetMode="External"/><Relationship Id="rId237" Type="http://schemas.openxmlformats.org/officeDocument/2006/relationships/hyperlink" Target="https://patadovietnam.edu.vn/hlg_tattpvn_gt/" TargetMode="External"/><Relationship Id="rId236" Type="http://schemas.openxmlformats.org/officeDocument/2006/relationships/hyperlink" Target="https://patadovietnam.edu.vn/hlg_gt_sea/?utm_source=Google&amp;utm_medium=SEA&amp;utm_term=NON_Japan_none_none_150225&amp;utm_content=KW_Tienganhtudau_PTAGTTD_LD237&amp;utm_campaign=Japan.CPA400_Patado_SEA_HuyLG_150225" TargetMode="External"/><Relationship Id="rId1060" Type="http://schemas.openxmlformats.org/officeDocument/2006/relationships/hyperlink" Target="https://patadovietnam.edu.vn/hlg_gt_sea/?utm_source=Google&amp;utm_medium=SEA&amp;utm_term=!!!&amp;utm_content=!!!&amp;utm_campaign=!!!" TargetMode="External"/><Relationship Id="rId1061" Type="http://schemas.openxmlformats.org/officeDocument/2006/relationships/hyperlink" Target="https://patadovietnam.edu.vn/hlg_tattpvn_gt/" TargetMode="External"/><Relationship Id="rId231" Type="http://schemas.openxmlformats.org/officeDocument/2006/relationships/hyperlink" Target="https://patadovietnam.edu.vn/hlg_tattpvn_gt/" TargetMode="External"/><Relationship Id="rId1062" Type="http://schemas.openxmlformats.org/officeDocument/2006/relationships/hyperlink" Target="https://patadovietnam.edu.vn/hlg_gt_sea/?utm_source=Google&amp;utm_medium=SEA&amp;utm_term=!!!&amp;utm_content=!!!&amp;utm_campaign=!!!" TargetMode="External"/><Relationship Id="rId230" Type="http://schemas.openxmlformats.org/officeDocument/2006/relationships/hyperlink" Target="https://patadovietnam.edu.vn/hlg_gt_sea/?utm_source=Google&amp;utm_medium=SEA&amp;utm_term=NON_Japan_none_none_150225&amp;utm_content=KW_Tienganhgiaotieptainha_PTAGTTD_LD237&amp;utm_campaign=Japan.CPA400_Patado_SEA_HuyLG_150225" TargetMode="External"/><Relationship Id="rId1063" Type="http://schemas.openxmlformats.org/officeDocument/2006/relationships/hyperlink" Target="https://patadovietnam.edu.vn/hlg_tattpvn_gt/" TargetMode="External"/><Relationship Id="rId1064" Type="http://schemas.openxmlformats.org/officeDocument/2006/relationships/hyperlink" Target="https://patadovietnam.edu.vn/hlg_gt_sea/?utm_source=Google&amp;utm_medium=SEA&amp;utm_term=!!!&amp;utm_content=!!!&amp;utm_campaign=!!!" TargetMode="External"/><Relationship Id="rId1065" Type="http://schemas.openxmlformats.org/officeDocument/2006/relationships/hyperlink" Target="https://patadovietnam.edu.vn/hlg_tattpvn_gt/" TargetMode="External"/><Relationship Id="rId235" Type="http://schemas.openxmlformats.org/officeDocument/2006/relationships/hyperlink" Target="https://patadovietnam.edu.vn/hlg_tattpvn_gt/" TargetMode="External"/><Relationship Id="rId1066" Type="http://schemas.openxmlformats.org/officeDocument/2006/relationships/hyperlink" Target="https://patadovietnam.edu.vn/hlg_gt_sea/?utm_source=Google&amp;utm_medium=SEA&amp;utm_term=!!!&amp;utm_content=!!!&amp;utm_campaign=!!!" TargetMode="External"/><Relationship Id="rId234" Type="http://schemas.openxmlformats.org/officeDocument/2006/relationships/hyperlink" Target="https://patadovietnam.edu.vn/hlg_gt_sea/?utm_source=Google&amp;utm_medium=SEA&amp;utm_term=NON_Japan_none_none_150225&amp;utm_content=KW_Duhoctienganh_PTAGTTD_LD237&amp;utm_campaign=Japan.CPA400_Patado_SEA_HuyLG_150225" TargetMode="External"/><Relationship Id="rId1067" Type="http://schemas.openxmlformats.org/officeDocument/2006/relationships/hyperlink" Target="https://patadovietnam.edu.vn/hlg_tattpvn_gt/" TargetMode="External"/><Relationship Id="rId233" Type="http://schemas.openxmlformats.org/officeDocument/2006/relationships/hyperlink" Target="https://patadovietnam.edu.vn/hlg_tattpvn_gt/" TargetMode="External"/><Relationship Id="rId1068" Type="http://schemas.openxmlformats.org/officeDocument/2006/relationships/hyperlink" Target="https://patadovietnam.edu.vn/hlg_gt_sea/?utm_source=Google&amp;utm_medium=SEA&amp;utm_term=!!!&amp;utm_content=!!!&amp;utm_campaign=!!!" TargetMode="External"/><Relationship Id="rId232" Type="http://schemas.openxmlformats.org/officeDocument/2006/relationships/hyperlink" Target="https://patadovietnam.edu.vn/hlg_gt_sea/?utm_source=Google&amp;utm_medium=SEA&amp;utm_term=NON_Japan_none_none_150225&amp;utm_content=KW_Hoctienganhtructuyen_PTAGTTD_LD237&amp;utm_campaign=Japan.CPA400_Patado_SEA_HuyLG_150225" TargetMode="External"/><Relationship Id="rId1069" Type="http://schemas.openxmlformats.org/officeDocument/2006/relationships/hyperlink" Target="https://patadovietnam.edu.vn/hlg_tattpvn_gt/" TargetMode="External"/><Relationship Id="rId1015" Type="http://schemas.openxmlformats.org/officeDocument/2006/relationships/hyperlink" Target="https://patadovietnam.edu.vn/hlg_tattpvn_gt/" TargetMode="External"/><Relationship Id="rId1016" Type="http://schemas.openxmlformats.org/officeDocument/2006/relationships/hyperlink" Target="https://patadovietnam.edu.vn/hlg_gt_sea/?utm_source=Google&amp;utm_medium=SEA&amp;utm_term=!!!&amp;utm_content=!!!&amp;utm_campaign=!!!" TargetMode="External"/><Relationship Id="rId1017" Type="http://schemas.openxmlformats.org/officeDocument/2006/relationships/hyperlink" Target="https://patadovietnam.edu.vn/hlg_tattpvn_gt/" TargetMode="External"/><Relationship Id="rId1018" Type="http://schemas.openxmlformats.org/officeDocument/2006/relationships/hyperlink" Target="https://patadovietnam.edu.vn/hlg_gt_sea/?utm_source=Google&amp;utm_medium=SEA&amp;utm_term=!!!&amp;utm_content=!!!&amp;utm_campaign=!!!" TargetMode="External"/><Relationship Id="rId1019" Type="http://schemas.openxmlformats.org/officeDocument/2006/relationships/hyperlink" Target="https://patadovietnam.edu.vn/hlg_tattpvn_gt/" TargetMode="External"/><Relationship Id="rId1010" Type="http://schemas.openxmlformats.org/officeDocument/2006/relationships/hyperlink" Target="https://patadovietnam.edu.vn/hlg_gt_sea/?utm_source=Google&amp;utm_medium=SEA&amp;utm_term=!!!&amp;utm_content=!!!&amp;utm_campaign=!!!" TargetMode="External"/><Relationship Id="rId1011" Type="http://schemas.openxmlformats.org/officeDocument/2006/relationships/hyperlink" Target="https://patadovietnam.edu.vn/hlg_tattpvn_gt/" TargetMode="External"/><Relationship Id="rId1012" Type="http://schemas.openxmlformats.org/officeDocument/2006/relationships/hyperlink" Target="https://patadovietnam.edu.vn/hlg_gt_sea/?utm_source=Google&amp;utm_medium=SEA&amp;utm_term=!!!&amp;utm_content=!!!&amp;utm_campaign=!!!" TargetMode="External"/><Relationship Id="rId1013" Type="http://schemas.openxmlformats.org/officeDocument/2006/relationships/hyperlink" Target="https://patadovietnam.edu.vn/hlg_tattpvn_gt/" TargetMode="External"/><Relationship Id="rId1014" Type="http://schemas.openxmlformats.org/officeDocument/2006/relationships/hyperlink" Target="https://patadovietnam.edu.vn/hlg_gt_sea/?utm_source=Google&amp;utm_medium=SEA&amp;utm_term=!!!&amp;utm_content=!!!&amp;utm_campaign=!!!" TargetMode="External"/><Relationship Id="rId1004" Type="http://schemas.openxmlformats.org/officeDocument/2006/relationships/hyperlink" Target="https://patadovietnam.edu.vn/hlg_gt_sea/?utm_source=Google&amp;utm_medium=SEA&amp;utm_term=!!!&amp;utm_content=!!!&amp;utm_campaign=!!!" TargetMode="External"/><Relationship Id="rId1005" Type="http://schemas.openxmlformats.org/officeDocument/2006/relationships/hyperlink" Target="https://patadovietnam.edu.vn/hlg_tattpvn_gt/" TargetMode="External"/><Relationship Id="rId1006" Type="http://schemas.openxmlformats.org/officeDocument/2006/relationships/hyperlink" Target="https://patadovietnam.edu.vn/hlg_gt_sea/?utm_source=Google&amp;utm_medium=SEA&amp;utm_term=!!!&amp;utm_content=!!!&amp;utm_campaign=!!!" TargetMode="External"/><Relationship Id="rId1007" Type="http://schemas.openxmlformats.org/officeDocument/2006/relationships/hyperlink" Target="https://patadovietnam.edu.vn/hlg_tattpvn_gt/" TargetMode="External"/><Relationship Id="rId1008" Type="http://schemas.openxmlformats.org/officeDocument/2006/relationships/hyperlink" Target="https://patadovietnam.edu.vn/hlg_gt_sea/?utm_source=Google&amp;utm_medium=SEA&amp;utm_term=!!!&amp;utm_content=!!!&amp;utm_campaign=!!!" TargetMode="External"/><Relationship Id="rId1009" Type="http://schemas.openxmlformats.org/officeDocument/2006/relationships/hyperlink" Target="https://patadovietnam.edu.vn/hlg_tattpvn_gt/" TargetMode="External"/><Relationship Id="rId1000" Type="http://schemas.openxmlformats.org/officeDocument/2006/relationships/hyperlink" Target="https://patadovietnam.edu.vn/hlg_gt_sea/?utm_source=Google&amp;utm_medium=SEA&amp;utm_term=!!!&amp;utm_content=!!!&amp;utm_campaign=!!!" TargetMode="External"/><Relationship Id="rId1001" Type="http://schemas.openxmlformats.org/officeDocument/2006/relationships/hyperlink" Target="https://patadovietnam.edu.vn/hlg_tattpvn_gt/" TargetMode="External"/><Relationship Id="rId1002" Type="http://schemas.openxmlformats.org/officeDocument/2006/relationships/hyperlink" Target="https://patadovietnam.edu.vn/hlg_gt_sea/?utm_source=Google&amp;utm_medium=SEA&amp;utm_term=!!!&amp;utm_content=!!!&amp;utm_campaign=!!!" TargetMode="External"/><Relationship Id="rId1003" Type="http://schemas.openxmlformats.org/officeDocument/2006/relationships/hyperlink" Target="https://patadovietnam.edu.vn/hlg_tattpvn_gt/" TargetMode="External"/><Relationship Id="rId1037" Type="http://schemas.openxmlformats.org/officeDocument/2006/relationships/hyperlink" Target="https://patadovietnam.edu.vn/hlg_tattpvn_gt/" TargetMode="External"/><Relationship Id="rId1038" Type="http://schemas.openxmlformats.org/officeDocument/2006/relationships/hyperlink" Target="https://patadovietnam.edu.vn/hlg_gt_sea/?utm_source=Google&amp;utm_medium=SEA&amp;utm_term=!!!&amp;utm_content=!!!&amp;utm_campaign=!!!" TargetMode="External"/><Relationship Id="rId1039" Type="http://schemas.openxmlformats.org/officeDocument/2006/relationships/hyperlink" Target="https://patadovietnam.edu.vn/hlg_tattpvn_gt/" TargetMode="External"/><Relationship Id="rId206" Type="http://schemas.openxmlformats.org/officeDocument/2006/relationships/hyperlink" Target="https://patadovietnam.edu.vn/hlg_gt_sea/?utm_source=Google&amp;utm_medium=SEA&amp;utm_term=NON_Japan_none_none_150225&amp;utm_content=KW_Tienganhtrenmang_PTAGTTD_LD237&amp;utm_campaign=Japan.CPA400_Patado_SEA_HuyLG_150225" TargetMode="External"/><Relationship Id="rId205" Type="http://schemas.openxmlformats.org/officeDocument/2006/relationships/hyperlink" Target="https://patadovietnam.edu.vn/hlg_tattpvn_gt/" TargetMode="External"/><Relationship Id="rId204" Type="http://schemas.openxmlformats.org/officeDocument/2006/relationships/hyperlink" Target="https://patadovietnam.edu.vn/hlg_gt_sea/?utm_source=Google&amp;utm_medium=SEA&amp;utm_term=NON_Japan_none_none_150225&amp;utm_content=KW_HocTiengAnhOnline11_PTAGTTD_LD237&amp;utm_campaign=Japan.CPA400_Patado_SEA_HuyLG_150225" TargetMode="External"/><Relationship Id="rId203" Type="http://schemas.openxmlformats.org/officeDocument/2006/relationships/hyperlink" Target="https://patadovietnam.edu.vn/hlg_tattpvn_gt/" TargetMode="External"/><Relationship Id="rId209" Type="http://schemas.openxmlformats.org/officeDocument/2006/relationships/hyperlink" Target="https://patadovietnam.edu.vn/hlg_tattpvn_gt/" TargetMode="External"/><Relationship Id="rId208" Type="http://schemas.openxmlformats.org/officeDocument/2006/relationships/hyperlink" Target="https://patadovietnam.edu.vn/hlg_gt_sea/?utm_source=Google&amp;utm_medium=SEA&amp;utm_term=NON_Japan_none_none_150225&amp;utm_content=KW_Hoctienganhonline_PTAGTTD_LD237&amp;utm_campaign=Japan.CPA400_Patado_SEA_HuyLG_150225" TargetMode="External"/><Relationship Id="rId207" Type="http://schemas.openxmlformats.org/officeDocument/2006/relationships/hyperlink" Target="https://patadovietnam.edu.vn/hlg_tattpvn_gt/" TargetMode="External"/><Relationship Id="rId1030" Type="http://schemas.openxmlformats.org/officeDocument/2006/relationships/hyperlink" Target="https://patadovietnam.edu.vn/hlg_gt_sea/?utm_source=Google&amp;utm_medium=SEA&amp;utm_term=!!!&amp;utm_content=!!!&amp;utm_campaign=!!!" TargetMode="External"/><Relationship Id="rId1031" Type="http://schemas.openxmlformats.org/officeDocument/2006/relationships/hyperlink" Target="https://patadovietnam.edu.vn/hlg_tattpvn_gt/" TargetMode="External"/><Relationship Id="rId1032" Type="http://schemas.openxmlformats.org/officeDocument/2006/relationships/hyperlink" Target="https://patadovietnam.edu.vn/hlg_gt_sea/?utm_source=Google&amp;utm_medium=SEA&amp;utm_term=!!!&amp;utm_content=!!!&amp;utm_campaign=!!!" TargetMode="External"/><Relationship Id="rId202" Type="http://schemas.openxmlformats.org/officeDocument/2006/relationships/hyperlink" Target="https://patadovietnam.edu.vn/hlg_gt_sea/?utm_source=Google&amp;utm_medium=SEA&amp;utm_term=NON_Japan_none_none_150225&amp;utm_content=KW_KhoaHocIeltsOnline_PTAGTTD_LD237&amp;utm_campaign=Japan.CPA400_Patado_SEA_HuyLG_150225" TargetMode="External"/><Relationship Id="rId1033" Type="http://schemas.openxmlformats.org/officeDocument/2006/relationships/hyperlink" Target="https://patadovietnam.edu.vn/hlg_tattpvn_gt/" TargetMode="External"/><Relationship Id="rId201" Type="http://schemas.openxmlformats.org/officeDocument/2006/relationships/hyperlink" Target="https://patadovietnam.edu.vn/hlg_tattpvn_gt/" TargetMode="External"/><Relationship Id="rId1034" Type="http://schemas.openxmlformats.org/officeDocument/2006/relationships/hyperlink" Target="https://patadovietnam.edu.vn/hlg_gt_sea/?utm_source=Google&amp;utm_medium=SEA&amp;utm_term=!!!&amp;utm_content=!!!&amp;utm_campaign=!!!" TargetMode="External"/><Relationship Id="rId200" Type="http://schemas.openxmlformats.org/officeDocument/2006/relationships/hyperlink" Target="https://patadovietnam.edu.vn/hlg_gt_sea/?utm_source=Google&amp;utm_medium=SEA&amp;utm_term=NON_Japan_none_none_150225&amp;utm_content=KW_Dangkihoctienganh_PTAGTTD_LD237&amp;utm_campaign=Japan.CPA400_Patado_SEA_HuyLG_150225" TargetMode="External"/><Relationship Id="rId1035" Type="http://schemas.openxmlformats.org/officeDocument/2006/relationships/hyperlink" Target="https://patadovietnam.edu.vn/hlg_tattpvn_gt/" TargetMode="External"/><Relationship Id="rId1036" Type="http://schemas.openxmlformats.org/officeDocument/2006/relationships/hyperlink" Target="https://patadovietnam.edu.vn/hlg_gt_sea/?utm_source=Google&amp;utm_medium=SEA&amp;utm_term=!!!&amp;utm_content=!!!&amp;utm_campaign=!!!" TargetMode="External"/><Relationship Id="rId1026" Type="http://schemas.openxmlformats.org/officeDocument/2006/relationships/hyperlink" Target="https://patadovietnam.edu.vn/hlg_gt_sea/?utm_source=Google&amp;utm_medium=SEA&amp;utm_term=!!!&amp;utm_content=!!!&amp;utm_campaign=!!!" TargetMode="External"/><Relationship Id="rId1027" Type="http://schemas.openxmlformats.org/officeDocument/2006/relationships/hyperlink" Target="https://patadovietnam.edu.vn/hlg_tattpvn_gt/" TargetMode="External"/><Relationship Id="rId1028" Type="http://schemas.openxmlformats.org/officeDocument/2006/relationships/hyperlink" Target="https://patadovietnam.edu.vn/hlg_gt_sea/?utm_source=Google&amp;utm_medium=SEA&amp;utm_term=!!!&amp;utm_content=!!!&amp;utm_campaign=!!!" TargetMode="External"/><Relationship Id="rId1029" Type="http://schemas.openxmlformats.org/officeDocument/2006/relationships/hyperlink" Target="https://patadovietnam.edu.vn/hlg_tattpvn_gt/" TargetMode="External"/><Relationship Id="rId1020" Type="http://schemas.openxmlformats.org/officeDocument/2006/relationships/hyperlink" Target="https://patadovietnam.edu.vn/hlg_gt_sea/?utm_source=Google&amp;utm_medium=SEA&amp;utm_term=!!!&amp;utm_content=!!!&amp;utm_campaign=!!!" TargetMode="External"/><Relationship Id="rId1021" Type="http://schemas.openxmlformats.org/officeDocument/2006/relationships/hyperlink" Target="https://patadovietnam.edu.vn/hlg_tattpvn_gt/" TargetMode="External"/><Relationship Id="rId1022" Type="http://schemas.openxmlformats.org/officeDocument/2006/relationships/hyperlink" Target="https://patadovietnam.edu.vn/hlg_gt_sea/?utm_source=Google&amp;utm_medium=SEA&amp;utm_term=!!!&amp;utm_content=!!!&amp;utm_campaign=!!!" TargetMode="External"/><Relationship Id="rId1023" Type="http://schemas.openxmlformats.org/officeDocument/2006/relationships/hyperlink" Target="https://patadovietnam.edu.vn/hlg_tattpvn_gt/" TargetMode="External"/><Relationship Id="rId1024" Type="http://schemas.openxmlformats.org/officeDocument/2006/relationships/hyperlink" Target="https://patadovietnam.edu.vn/hlg_gt_sea/?utm_source=Google&amp;utm_medium=SEA&amp;utm_term=!!!&amp;utm_content=!!!&amp;utm_campaign=!!!" TargetMode="External"/><Relationship Id="rId1025" Type="http://schemas.openxmlformats.org/officeDocument/2006/relationships/hyperlink" Target="https://patadovietnam.edu.vn/hlg_tattpvn_gt/" TargetMode="External"/><Relationship Id="rId1090" Type="http://schemas.openxmlformats.org/officeDocument/2006/relationships/hyperlink" Target="https://patadovietnam.edu.vn/hlg_gt_sea/?utm_source=Google&amp;utm_medium=SEA&amp;utm_term=!!!&amp;utm_content=!!!&amp;utm_campaign=!!!" TargetMode="External"/><Relationship Id="rId1091" Type="http://schemas.openxmlformats.org/officeDocument/2006/relationships/hyperlink" Target="https://patadovietnam.edu.vn/hlg_tattpvn_gt/" TargetMode="External"/><Relationship Id="rId1092" Type="http://schemas.openxmlformats.org/officeDocument/2006/relationships/hyperlink" Target="https://patadovietnam.edu.vn/hlg_gt_sea/?utm_source=Google&amp;utm_medium=SEA&amp;utm_term=!!!&amp;utm_content=!!!&amp;utm_campaign=!!!" TargetMode="External"/><Relationship Id="rId1093" Type="http://schemas.openxmlformats.org/officeDocument/2006/relationships/hyperlink" Target="https://patadovietnam.edu.vn/hlg_tattpvn_gt/" TargetMode="External"/><Relationship Id="rId1094" Type="http://schemas.openxmlformats.org/officeDocument/2006/relationships/hyperlink" Target="https://patadovietnam.edu.vn/hlg_gt_sea/?utm_source=Google&amp;utm_medium=SEA&amp;utm_term=!!!&amp;utm_content=!!!&amp;utm_campaign=!!!" TargetMode="External"/><Relationship Id="rId1095" Type="http://schemas.openxmlformats.org/officeDocument/2006/relationships/hyperlink" Target="https://patadovietnam.edu.vn/hlg_tattpvn_gt/" TargetMode="External"/><Relationship Id="rId1096" Type="http://schemas.openxmlformats.org/officeDocument/2006/relationships/hyperlink" Target="https://patadovietnam.edu.vn/hlg_gt_sea/?utm_source=Google&amp;utm_medium=SEA&amp;utm_term=!!!&amp;utm_content=!!!&amp;utm_campaign=!!!" TargetMode="External"/><Relationship Id="rId1097" Type="http://schemas.openxmlformats.org/officeDocument/2006/relationships/hyperlink" Target="https://patadovietnam.edu.vn/hlg_tattpvn_gt/" TargetMode="External"/><Relationship Id="rId1098" Type="http://schemas.openxmlformats.org/officeDocument/2006/relationships/hyperlink" Target="https://patadovietnam.edu.vn/hlg_gt_sea/?utm_source=Google&amp;utm_medium=SEA&amp;utm_term=!!!&amp;utm_content=!!!&amp;utm_campaign=!!!" TargetMode="External"/><Relationship Id="rId1099" Type="http://schemas.openxmlformats.org/officeDocument/2006/relationships/hyperlink" Target="https://patadovietnam.edu.vn/hlg_tattpvn_gt/" TargetMode="External"/><Relationship Id="rId1080" Type="http://schemas.openxmlformats.org/officeDocument/2006/relationships/hyperlink" Target="https://patadovietnam.edu.vn/hlg_gt_sea/?utm_source=Google&amp;utm_medium=SEA&amp;utm_term=!!!&amp;utm_content=!!!&amp;utm_campaign=!!!" TargetMode="External"/><Relationship Id="rId1081" Type="http://schemas.openxmlformats.org/officeDocument/2006/relationships/hyperlink" Target="https://patadovietnam.edu.vn/hlg_tattpvn_gt/" TargetMode="External"/><Relationship Id="rId1082" Type="http://schemas.openxmlformats.org/officeDocument/2006/relationships/hyperlink" Target="https://patadovietnam.edu.vn/hlg_gt_sea/?utm_source=Google&amp;utm_medium=SEA&amp;utm_term=!!!&amp;utm_content=!!!&amp;utm_campaign=!!!" TargetMode="External"/><Relationship Id="rId1083" Type="http://schemas.openxmlformats.org/officeDocument/2006/relationships/hyperlink" Target="https://patadovietnam.edu.vn/hlg_tattpvn_gt/" TargetMode="External"/><Relationship Id="rId1084" Type="http://schemas.openxmlformats.org/officeDocument/2006/relationships/hyperlink" Target="https://patadovietnam.edu.vn/hlg_gt_sea/?utm_source=Google&amp;utm_medium=SEA&amp;utm_term=!!!&amp;utm_content=!!!&amp;utm_campaign=!!!" TargetMode="External"/><Relationship Id="rId1085" Type="http://schemas.openxmlformats.org/officeDocument/2006/relationships/hyperlink" Target="https://patadovietnam.edu.vn/hlg_tattpvn_gt/" TargetMode="External"/><Relationship Id="rId1086" Type="http://schemas.openxmlformats.org/officeDocument/2006/relationships/hyperlink" Target="https://patadovietnam.edu.vn/hlg_gt_sea/?utm_source=Google&amp;utm_medium=SEA&amp;utm_term=!!!&amp;utm_content=!!!&amp;utm_campaign=!!!" TargetMode="External"/><Relationship Id="rId1087" Type="http://schemas.openxmlformats.org/officeDocument/2006/relationships/hyperlink" Target="https://patadovietnam.edu.vn/hlg_tattpvn_gt/" TargetMode="External"/><Relationship Id="rId1088" Type="http://schemas.openxmlformats.org/officeDocument/2006/relationships/hyperlink" Target="https://patadovietnam.edu.vn/hlg_gt_sea/?utm_source=Google&amp;utm_medium=SEA&amp;utm_term=!!!&amp;utm_content=!!!&amp;utm_campaign=!!!" TargetMode="External"/><Relationship Id="rId1089" Type="http://schemas.openxmlformats.org/officeDocument/2006/relationships/hyperlink" Target="https://patadovietnam.edu.vn/hlg_tattpvn_gt/" TargetMode="External"/><Relationship Id="rId509" Type="http://schemas.openxmlformats.org/officeDocument/2006/relationships/hyperlink" Target="https://patadovietnam.edu.vn/hlg_tattpvn_gt/" TargetMode="External"/><Relationship Id="rId508" Type="http://schemas.openxmlformats.org/officeDocument/2006/relationships/hyperlink" Target="https://patadovietnam.edu.vn/hlg_gt_sea/?utm_source=Google&amp;utm_medium=SEA&amp;utm_term=!!!&amp;utm_content=!!!&amp;utm_campaign=!!!" TargetMode="External"/><Relationship Id="rId503" Type="http://schemas.openxmlformats.org/officeDocument/2006/relationships/hyperlink" Target="https://patadovietnam.edu.vn/hlg_tattpvn_gt/" TargetMode="External"/><Relationship Id="rId502" Type="http://schemas.openxmlformats.org/officeDocument/2006/relationships/hyperlink" Target="https://patadovietnam.edu.vn/hlg_gt_sea/?utm_source=Google&amp;utm_medium=SEA&amp;utm_term=!!!&amp;utm_content=!!!&amp;utm_campaign=!!!" TargetMode="External"/><Relationship Id="rId501" Type="http://schemas.openxmlformats.org/officeDocument/2006/relationships/hyperlink" Target="https://patadovietnam.edu.vn/hlg_tattpvn_gt/" TargetMode="External"/><Relationship Id="rId500" Type="http://schemas.openxmlformats.org/officeDocument/2006/relationships/hyperlink" Target="https://patadovietnam.edu.vn/hlg_gt_sea/?utm_source=Google&amp;utm_medium=SEA&amp;utm_term=!!!&amp;utm_content=!!!&amp;utm_campaign=!!!" TargetMode="External"/><Relationship Id="rId507" Type="http://schemas.openxmlformats.org/officeDocument/2006/relationships/hyperlink" Target="https://patadovietnam.edu.vn/hlg_tattpvn_gt/" TargetMode="External"/><Relationship Id="rId506" Type="http://schemas.openxmlformats.org/officeDocument/2006/relationships/hyperlink" Target="https://patadovietnam.edu.vn/hlg_gt_sea/?utm_source=Google&amp;utm_medium=SEA&amp;utm_term=!!!&amp;utm_content=!!!&amp;utm_campaign=!!!" TargetMode="External"/><Relationship Id="rId505" Type="http://schemas.openxmlformats.org/officeDocument/2006/relationships/hyperlink" Target="https://patadovietnam.edu.vn/hlg_tattpvn_gt/" TargetMode="External"/><Relationship Id="rId504" Type="http://schemas.openxmlformats.org/officeDocument/2006/relationships/hyperlink" Target="https://patadovietnam.edu.vn/hlg_gt_sea/?utm_source=Google&amp;utm_medium=SEA&amp;utm_term=!!!&amp;utm_content=!!!&amp;utm_campaign=!!!" TargetMode="External"/><Relationship Id="rId1114" Type="http://schemas.openxmlformats.org/officeDocument/2006/relationships/hyperlink" Target="https://patadovietnam.edu.vn/hlg_gt_sea/?utm_source=Google&amp;utm_medium=SEA&amp;utm_term=!!!&amp;utm_content=!!!&amp;utm_campaign=!!!" TargetMode="External"/><Relationship Id="rId1115" Type="http://schemas.openxmlformats.org/officeDocument/2006/relationships/hyperlink" Target="https://patadovietnam.edu.vn/hlg_tattpvn_gt/" TargetMode="External"/><Relationship Id="rId1116" Type="http://schemas.openxmlformats.org/officeDocument/2006/relationships/hyperlink" Target="https://patadovietnam.edu.vn/hlg_gt_sea/?utm_source=Google&amp;utm_medium=SEA&amp;utm_term=!!!&amp;utm_content=!!!&amp;utm_campaign=!!!" TargetMode="External"/><Relationship Id="rId1117" Type="http://schemas.openxmlformats.org/officeDocument/2006/relationships/hyperlink" Target="https://patadovietnam.edu.vn/hlg_tattpvn_gt/" TargetMode="External"/><Relationship Id="rId1118" Type="http://schemas.openxmlformats.org/officeDocument/2006/relationships/hyperlink" Target="https://patadovietnam.edu.vn/hlg_gt_sea/?utm_source=Google&amp;utm_medium=SEA&amp;utm_term=!!!&amp;utm_content=!!!&amp;utm_campaign=!!!" TargetMode="External"/><Relationship Id="rId1119" Type="http://schemas.openxmlformats.org/officeDocument/2006/relationships/hyperlink" Target="https://patadovietnam.edu.vn/hlg_tattpvn_gt/" TargetMode="External"/><Relationship Id="rId525" Type="http://schemas.openxmlformats.org/officeDocument/2006/relationships/hyperlink" Target="https://patadovietnam.edu.vn/hlg_tattpvn_gt/" TargetMode="External"/><Relationship Id="rId524" Type="http://schemas.openxmlformats.org/officeDocument/2006/relationships/hyperlink" Target="https://patadovietnam.edu.vn/hlg_gt_sea/?utm_source=Google&amp;utm_medium=SEA&amp;utm_term=!!!&amp;utm_content=!!!&amp;utm_campaign=!!!" TargetMode="External"/><Relationship Id="rId523" Type="http://schemas.openxmlformats.org/officeDocument/2006/relationships/hyperlink" Target="https://patadovietnam.edu.vn/hlg_tattpvn_gt/" TargetMode="External"/><Relationship Id="rId522" Type="http://schemas.openxmlformats.org/officeDocument/2006/relationships/hyperlink" Target="https://patadovietnam.edu.vn/hlg_gt_sea/?utm_source=Google&amp;utm_medium=SEA&amp;utm_term=!!!&amp;utm_content=!!!&amp;utm_campaign=!!!" TargetMode="External"/><Relationship Id="rId529" Type="http://schemas.openxmlformats.org/officeDocument/2006/relationships/hyperlink" Target="https://patadovietnam.edu.vn/hlg_tattpvn_gt/" TargetMode="External"/><Relationship Id="rId528" Type="http://schemas.openxmlformats.org/officeDocument/2006/relationships/hyperlink" Target="https://patadovietnam.edu.vn/hlg_gt_sea/?utm_source=Google&amp;utm_medium=SEA&amp;utm_term=!!!&amp;utm_content=!!!&amp;utm_campaign=!!!" TargetMode="External"/><Relationship Id="rId527" Type="http://schemas.openxmlformats.org/officeDocument/2006/relationships/hyperlink" Target="https://patadovietnam.edu.vn/hlg_tattpvn_gt/" TargetMode="External"/><Relationship Id="rId526" Type="http://schemas.openxmlformats.org/officeDocument/2006/relationships/hyperlink" Target="https://patadovietnam.edu.vn/hlg_gt_sea/?utm_source=Google&amp;utm_medium=SEA&amp;utm_term=!!!&amp;utm_content=!!!&amp;utm_campaign=!!!" TargetMode="External"/><Relationship Id="rId521" Type="http://schemas.openxmlformats.org/officeDocument/2006/relationships/hyperlink" Target="https://patadovietnam.edu.vn/hlg_tattpvn_gt/" TargetMode="External"/><Relationship Id="rId1110" Type="http://schemas.openxmlformats.org/officeDocument/2006/relationships/hyperlink" Target="https://patadovietnam.edu.vn/hlg_gt_sea/?utm_source=Google&amp;utm_medium=SEA&amp;utm_term=!!!&amp;utm_content=!!!&amp;utm_campaign=!!!" TargetMode="External"/><Relationship Id="rId520" Type="http://schemas.openxmlformats.org/officeDocument/2006/relationships/hyperlink" Target="https://patadovietnam.edu.vn/hlg_gt_sea/?utm_source=Google&amp;utm_medium=SEA&amp;utm_term=!!!&amp;utm_content=!!!&amp;utm_campaign=!!!" TargetMode="External"/><Relationship Id="rId1111" Type="http://schemas.openxmlformats.org/officeDocument/2006/relationships/hyperlink" Target="https://patadovietnam.edu.vn/hlg_tattpvn_gt/" TargetMode="External"/><Relationship Id="rId1112" Type="http://schemas.openxmlformats.org/officeDocument/2006/relationships/hyperlink" Target="https://patadovietnam.edu.vn/hlg_gt_sea/?utm_source=Google&amp;utm_medium=SEA&amp;utm_term=!!!&amp;utm_content=!!!&amp;utm_campaign=!!!" TargetMode="External"/><Relationship Id="rId1113" Type="http://schemas.openxmlformats.org/officeDocument/2006/relationships/hyperlink" Target="https://patadovietnam.edu.vn/hlg_tattpvn_gt/" TargetMode="External"/><Relationship Id="rId1103" Type="http://schemas.openxmlformats.org/officeDocument/2006/relationships/hyperlink" Target="https://patadovietnam.edu.vn/hlg_tattpvn_gt/" TargetMode="External"/><Relationship Id="rId1104" Type="http://schemas.openxmlformats.org/officeDocument/2006/relationships/hyperlink" Target="https://patadovietnam.edu.vn/hlg_gt_sea/?utm_source=Google&amp;utm_medium=SEA&amp;utm_term=!!!&amp;utm_content=!!!&amp;utm_campaign=!!!" TargetMode="External"/><Relationship Id="rId1105" Type="http://schemas.openxmlformats.org/officeDocument/2006/relationships/hyperlink" Target="https://patadovietnam.edu.vn/hlg_tattpvn_gt/" TargetMode="External"/><Relationship Id="rId1106" Type="http://schemas.openxmlformats.org/officeDocument/2006/relationships/hyperlink" Target="https://patadovietnam.edu.vn/hlg_gt_sea/?utm_source=Google&amp;utm_medium=SEA&amp;utm_term=!!!&amp;utm_content=!!!&amp;utm_campaign=!!!" TargetMode="External"/><Relationship Id="rId1107" Type="http://schemas.openxmlformats.org/officeDocument/2006/relationships/hyperlink" Target="https://patadovietnam.edu.vn/hlg_tattpvn_gt/" TargetMode="External"/><Relationship Id="rId1108" Type="http://schemas.openxmlformats.org/officeDocument/2006/relationships/hyperlink" Target="https://patadovietnam.edu.vn/hlg_gt_sea/?utm_source=Google&amp;utm_medium=SEA&amp;utm_term=!!!&amp;utm_content=!!!&amp;utm_campaign=!!!" TargetMode="External"/><Relationship Id="rId1109" Type="http://schemas.openxmlformats.org/officeDocument/2006/relationships/hyperlink" Target="https://patadovietnam.edu.vn/hlg_tattpvn_gt/" TargetMode="External"/><Relationship Id="rId519" Type="http://schemas.openxmlformats.org/officeDocument/2006/relationships/hyperlink" Target="https://patadovietnam.edu.vn/hlg_tattpvn_gt/" TargetMode="External"/><Relationship Id="rId514" Type="http://schemas.openxmlformats.org/officeDocument/2006/relationships/hyperlink" Target="https://patadovietnam.edu.vn/hlg_gt_sea/?utm_source=Google&amp;utm_medium=SEA&amp;utm_term=!!!&amp;utm_content=!!!&amp;utm_campaign=!!!" TargetMode="External"/><Relationship Id="rId513" Type="http://schemas.openxmlformats.org/officeDocument/2006/relationships/hyperlink" Target="https://patadovietnam.edu.vn/hlg_tattpvn_gt/" TargetMode="External"/><Relationship Id="rId512" Type="http://schemas.openxmlformats.org/officeDocument/2006/relationships/hyperlink" Target="https://patadovietnam.edu.vn/hlg_gt_sea/?utm_source=Google&amp;utm_medium=SEA&amp;utm_term=!!!&amp;utm_content=!!!&amp;utm_campaign=!!!" TargetMode="External"/><Relationship Id="rId511" Type="http://schemas.openxmlformats.org/officeDocument/2006/relationships/hyperlink" Target="https://patadovietnam.edu.vn/hlg_tattpvn_gt/" TargetMode="External"/><Relationship Id="rId518" Type="http://schemas.openxmlformats.org/officeDocument/2006/relationships/hyperlink" Target="https://patadovietnam.edu.vn/hlg_gt_sea/?utm_source=Google&amp;utm_medium=SEA&amp;utm_term=!!!&amp;utm_content=!!!&amp;utm_campaign=!!!" TargetMode="External"/><Relationship Id="rId517" Type="http://schemas.openxmlformats.org/officeDocument/2006/relationships/hyperlink" Target="https://patadovietnam.edu.vn/hlg_tattpvn_gt/" TargetMode="External"/><Relationship Id="rId516" Type="http://schemas.openxmlformats.org/officeDocument/2006/relationships/hyperlink" Target="https://patadovietnam.edu.vn/hlg_gt_sea/?utm_source=Google&amp;utm_medium=SEA&amp;utm_term=!!!&amp;utm_content=!!!&amp;utm_campaign=!!!" TargetMode="External"/><Relationship Id="rId515" Type="http://schemas.openxmlformats.org/officeDocument/2006/relationships/hyperlink" Target="https://patadovietnam.edu.vn/hlg_tattpvn_gt/" TargetMode="External"/><Relationship Id="rId510" Type="http://schemas.openxmlformats.org/officeDocument/2006/relationships/hyperlink" Target="https://patadovietnam.edu.vn/hlg_gt_sea/?utm_source=Google&amp;utm_medium=SEA&amp;utm_term=!!!&amp;utm_content=!!!&amp;utm_campaign=!!!" TargetMode="External"/><Relationship Id="rId1100" Type="http://schemas.openxmlformats.org/officeDocument/2006/relationships/hyperlink" Target="https://patadovietnam.edu.vn/hlg_gt_sea/?utm_source=Google&amp;utm_medium=SEA&amp;utm_term=!!!&amp;utm_content=!!!&amp;utm_campaign=!!!" TargetMode="External"/><Relationship Id="rId1101" Type="http://schemas.openxmlformats.org/officeDocument/2006/relationships/hyperlink" Target="https://patadovietnam.edu.vn/hlg_tattpvn_gt/" TargetMode="External"/><Relationship Id="rId1102" Type="http://schemas.openxmlformats.org/officeDocument/2006/relationships/hyperlink" Target="https://patadovietnam.edu.vn/hlg_gt_sea/?utm_source=Google&amp;utm_medium=SEA&amp;utm_term=!!!&amp;utm_content=!!!&amp;utm_campaign=!!!" TargetMode="External"/><Relationship Id="rId590" Type="http://schemas.openxmlformats.org/officeDocument/2006/relationships/hyperlink" Target="https://patadovietnam.edu.vn/hlg_gt_sea/?utm_source=Google&amp;utm_medium=SEA&amp;utm_term=!!!&amp;utm_content=!!!&amp;utm_campaign=!!!" TargetMode="External"/><Relationship Id="rId589" Type="http://schemas.openxmlformats.org/officeDocument/2006/relationships/hyperlink" Target="https://patadovietnam.edu.vn/hlg_tattpvn_gt/" TargetMode="External"/><Relationship Id="rId588" Type="http://schemas.openxmlformats.org/officeDocument/2006/relationships/hyperlink" Target="https://patadovietnam.edu.vn/hlg_gt_sea/?utm_source=Google&amp;utm_medium=SEA&amp;utm_term=!!!&amp;utm_content=!!!&amp;utm_campaign=!!!" TargetMode="External"/><Relationship Id="rId1170" Type="http://schemas.openxmlformats.org/officeDocument/2006/relationships/hyperlink" Target="https://patadovietnam.edu.vn/hlg_gt_sea/?utm_source=Google&amp;utm_medium=SEA&amp;utm_term=!!!&amp;utm_content=!!!&amp;utm_campaign=!!!" TargetMode="External"/><Relationship Id="rId1171" Type="http://schemas.openxmlformats.org/officeDocument/2006/relationships/hyperlink" Target="https://patadovietnam.edu.vn/hlg_tattpvn_gt/" TargetMode="External"/><Relationship Id="rId583" Type="http://schemas.openxmlformats.org/officeDocument/2006/relationships/hyperlink" Target="https://patadovietnam.edu.vn/hlg_tattpvn_gt/" TargetMode="External"/><Relationship Id="rId1172" Type="http://schemas.openxmlformats.org/officeDocument/2006/relationships/hyperlink" Target="https://patadovietnam.edu.vn/hlg_gt_sea/?utm_source=Google&amp;utm_medium=SEA&amp;utm_term=!!!&amp;utm_content=!!!&amp;utm_campaign=!!!" TargetMode="External"/><Relationship Id="rId582" Type="http://schemas.openxmlformats.org/officeDocument/2006/relationships/hyperlink" Target="https://patadovietnam.edu.vn/hlg_gt_sea/?utm_source=Google&amp;utm_medium=SEA&amp;utm_term=!!!&amp;utm_content=!!!&amp;utm_campaign=!!!" TargetMode="External"/><Relationship Id="rId1173" Type="http://schemas.openxmlformats.org/officeDocument/2006/relationships/hyperlink" Target="https://patadovietnam.edu.vn/hlg_tattpvn_gt/" TargetMode="External"/><Relationship Id="rId581" Type="http://schemas.openxmlformats.org/officeDocument/2006/relationships/hyperlink" Target="https://patadovietnam.edu.vn/hlg_tattpvn_gt/" TargetMode="External"/><Relationship Id="rId1174" Type="http://schemas.openxmlformats.org/officeDocument/2006/relationships/hyperlink" Target="https://patadovietnam.edu.vn/hlg_gt_sea/?utm_source=Google&amp;utm_medium=SEA&amp;utm_term=!!!&amp;utm_content=!!!&amp;utm_campaign=!!!" TargetMode="External"/><Relationship Id="rId580" Type="http://schemas.openxmlformats.org/officeDocument/2006/relationships/hyperlink" Target="https://patadovietnam.edu.vn/hlg_gt_sea/?utm_source=Google&amp;utm_medium=SEA&amp;utm_term=!!!&amp;utm_content=!!!&amp;utm_campaign=!!!" TargetMode="External"/><Relationship Id="rId1175" Type="http://schemas.openxmlformats.org/officeDocument/2006/relationships/hyperlink" Target="https://patadovietnam.edu.vn/hlg_tattpvn_gt/" TargetMode="External"/><Relationship Id="rId587" Type="http://schemas.openxmlformats.org/officeDocument/2006/relationships/hyperlink" Target="https://patadovietnam.edu.vn/hlg_tattpvn_gt/" TargetMode="External"/><Relationship Id="rId1176" Type="http://schemas.openxmlformats.org/officeDocument/2006/relationships/hyperlink" Target="https://patadovietnam.edu.vn/hlg_gt_sea/?utm_source=Google&amp;utm_medium=SEA&amp;utm_term=!!!&amp;utm_content=!!!&amp;utm_campaign=!!!" TargetMode="External"/><Relationship Id="rId586" Type="http://schemas.openxmlformats.org/officeDocument/2006/relationships/hyperlink" Target="https://patadovietnam.edu.vn/hlg_gt_sea/?utm_source=Google&amp;utm_medium=SEA&amp;utm_term=!!!&amp;utm_content=!!!&amp;utm_campaign=!!!" TargetMode="External"/><Relationship Id="rId1177" Type="http://schemas.openxmlformats.org/officeDocument/2006/relationships/hyperlink" Target="https://patadovietnam.edu.vn/hlg_tattpvn_gt/" TargetMode="External"/><Relationship Id="rId585" Type="http://schemas.openxmlformats.org/officeDocument/2006/relationships/hyperlink" Target="https://patadovietnam.edu.vn/hlg_tattpvn_gt/" TargetMode="External"/><Relationship Id="rId1178" Type="http://schemas.openxmlformats.org/officeDocument/2006/relationships/hyperlink" Target="https://patadovietnam.edu.vn/hlg_gt_sea/?utm_source=Google&amp;utm_medium=SEA&amp;utm_term=!!!&amp;utm_content=!!!&amp;utm_campaign=!!!" TargetMode="External"/><Relationship Id="rId584" Type="http://schemas.openxmlformats.org/officeDocument/2006/relationships/hyperlink" Target="https://patadovietnam.edu.vn/hlg_gt_sea/?utm_source=Google&amp;utm_medium=SEA&amp;utm_term=!!!&amp;utm_content=!!!&amp;utm_campaign=!!!" TargetMode="External"/><Relationship Id="rId1179" Type="http://schemas.openxmlformats.org/officeDocument/2006/relationships/hyperlink" Target="https://patadovietnam.edu.vn/hlg_tattpvn_gt/" TargetMode="External"/><Relationship Id="rId1169" Type="http://schemas.openxmlformats.org/officeDocument/2006/relationships/hyperlink" Target="https://patadovietnam.edu.vn/hlg_tattpvn_gt/" TargetMode="External"/><Relationship Id="rId579" Type="http://schemas.openxmlformats.org/officeDocument/2006/relationships/hyperlink" Target="https://patadovietnam.edu.vn/hlg_tattpvn_gt/" TargetMode="External"/><Relationship Id="rId578" Type="http://schemas.openxmlformats.org/officeDocument/2006/relationships/hyperlink" Target="https://patadovietnam.edu.vn/hlg_gt_sea/?utm_source=Google&amp;utm_medium=SEA&amp;utm_term=!!!&amp;utm_content=!!!&amp;utm_campaign=!!!" TargetMode="External"/><Relationship Id="rId577" Type="http://schemas.openxmlformats.org/officeDocument/2006/relationships/hyperlink" Target="https://patadovietnam.edu.vn/hlg_tattpvn_gt/" TargetMode="External"/><Relationship Id="rId1160" Type="http://schemas.openxmlformats.org/officeDocument/2006/relationships/hyperlink" Target="https://patadovietnam.edu.vn/hlg_gt_sea/?utm_source=Google&amp;utm_medium=SEA&amp;utm_term=!!!&amp;utm_content=!!!&amp;utm_campaign=!!!" TargetMode="External"/><Relationship Id="rId572" Type="http://schemas.openxmlformats.org/officeDocument/2006/relationships/hyperlink" Target="https://patadovietnam.edu.vn/hlg_gt_sea/?utm_source=Google&amp;utm_medium=SEA&amp;utm_term=!!!&amp;utm_content=!!!&amp;utm_campaign=!!!" TargetMode="External"/><Relationship Id="rId1161" Type="http://schemas.openxmlformats.org/officeDocument/2006/relationships/hyperlink" Target="https://patadovietnam.edu.vn/hlg_tattpvn_gt/" TargetMode="External"/><Relationship Id="rId571" Type="http://schemas.openxmlformats.org/officeDocument/2006/relationships/hyperlink" Target="https://patadovietnam.edu.vn/hlg_tattpvn_gt/" TargetMode="External"/><Relationship Id="rId1162" Type="http://schemas.openxmlformats.org/officeDocument/2006/relationships/hyperlink" Target="https://patadovietnam.edu.vn/hlg_gt_sea/?utm_source=Google&amp;utm_medium=SEA&amp;utm_term=!!!&amp;utm_content=!!!&amp;utm_campaign=!!!" TargetMode="External"/><Relationship Id="rId570" Type="http://schemas.openxmlformats.org/officeDocument/2006/relationships/hyperlink" Target="https://patadovietnam.edu.vn/hlg_gt_sea/?utm_source=Google&amp;utm_medium=SEA&amp;utm_term=!!!&amp;utm_content=!!!&amp;utm_campaign=!!!" TargetMode="External"/><Relationship Id="rId1163" Type="http://schemas.openxmlformats.org/officeDocument/2006/relationships/hyperlink" Target="https://patadovietnam.edu.vn/hlg_tattpvn_gt/" TargetMode="External"/><Relationship Id="rId1164" Type="http://schemas.openxmlformats.org/officeDocument/2006/relationships/hyperlink" Target="https://patadovietnam.edu.vn/hlg_gt_sea/?utm_source=Google&amp;utm_medium=SEA&amp;utm_term=!!!&amp;utm_content=!!!&amp;utm_campaign=!!!" TargetMode="External"/><Relationship Id="rId576" Type="http://schemas.openxmlformats.org/officeDocument/2006/relationships/hyperlink" Target="https://patadovietnam.edu.vn/hlg_gt_sea/?utm_source=Google&amp;utm_medium=SEA&amp;utm_term=!!!&amp;utm_content=!!!&amp;utm_campaign=!!!" TargetMode="External"/><Relationship Id="rId1165" Type="http://schemas.openxmlformats.org/officeDocument/2006/relationships/hyperlink" Target="https://patadovietnam.edu.vn/hlg_tattpvn_gt/" TargetMode="External"/><Relationship Id="rId575" Type="http://schemas.openxmlformats.org/officeDocument/2006/relationships/hyperlink" Target="https://patadovietnam.edu.vn/hlg_tattpvn_gt/" TargetMode="External"/><Relationship Id="rId1166" Type="http://schemas.openxmlformats.org/officeDocument/2006/relationships/hyperlink" Target="https://patadovietnam.edu.vn/hlg_gt_sea/?utm_source=Google&amp;utm_medium=SEA&amp;utm_term=!!!&amp;utm_content=!!!&amp;utm_campaign=!!!" TargetMode="External"/><Relationship Id="rId574" Type="http://schemas.openxmlformats.org/officeDocument/2006/relationships/hyperlink" Target="https://patadovietnam.edu.vn/hlg_gt_sea/?utm_source=Google&amp;utm_medium=SEA&amp;utm_term=!!!&amp;utm_content=!!!&amp;utm_campaign=!!!" TargetMode="External"/><Relationship Id="rId1167" Type="http://schemas.openxmlformats.org/officeDocument/2006/relationships/hyperlink" Target="https://patadovietnam.edu.vn/hlg_tattpvn_gt/" TargetMode="External"/><Relationship Id="rId573" Type="http://schemas.openxmlformats.org/officeDocument/2006/relationships/hyperlink" Target="https://patadovietnam.edu.vn/hlg_tattpvn_gt/" TargetMode="External"/><Relationship Id="rId1168" Type="http://schemas.openxmlformats.org/officeDocument/2006/relationships/hyperlink" Target="https://patadovietnam.edu.vn/hlg_gt_sea/?utm_source=Google&amp;utm_medium=SEA&amp;utm_term=!!!&amp;utm_content=!!!&amp;utm_campaign=!!!" TargetMode="External"/><Relationship Id="rId1190" Type="http://schemas.openxmlformats.org/officeDocument/2006/relationships/hyperlink" Target="https://patadovietnam.edu.vn/hlg_gt_sea/?utm_source=Google&amp;utm_medium=SEA&amp;utm_term=!!!&amp;utm_content=!!!&amp;utm_campaign=!!!" TargetMode="External"/><Relationship Id="rId1191" Type="http://schemas.openxmlformats.org/officeDocument/2006/relationships/hyperlink" Target="https://patadovietnam.edu.vn/hlg_tattpvn_gt/" TargetMode="External"/><Relationship Id="rId1192" Type="http://schemas.openxmlformats.org/officeDocument/2006/relationships/hyperlink" Target="https://patadovietnam.edu.vn/hlg_gt_sea/?utm_source=Google&amp;utm_medium=SEA&amp;utm_term=!!!&amp;utm_content=!!!&amp;utm_campaign=!!!" TargetMode="External"/><Relationship Id="rId1193" Type="http://schemas.openxmlformats.org/officeDocument/2006/relationships/hyperlink" Target="https://patadovietnam.edu.vn/hlg_tattpvn_gt/" TargetMode="External"/><Relationship Id="rId1194" Type="http://schemas.openxmlformats.org/officeDocument/2006/relationships/hyperlink" Target="https://patadovietnam.edu.vn/hlg_gt_sea/?utm_source=Google&amp;utm_medium=SEA&amp;utm_term=!!!&amp;utm_content=!!!&amp;utm_campaign=!!!" TargetMode="External"/><Relationship Id="rId1195" Type="http://schemas.openxmlformats.org/officeDocument/2006/relationships/hyperlink" Target="https://patadovietnam.edu.vn/hlg_tattpvn_gt/" TargetMode="External"/><Relationship Id="rId1196" Type="http://schemas.openxmlformats.org/officeDocument/2006/relationships/hyperlink" Target="https://patadovietnam.edu.vn/hlg_gt_sea/?utm_source=Google&amp;utm_medium=SEA&amp;utm_term=!!!&amp;utm_content=!!!&amp;utm_campaign=!!!" TargetMode="External"/><Relationship Id="rId1197" Type="http://schemas.openxmlformats.org/officeDocument/2006/relationships/hyperlink" Target="https://patadovietnam.edu.vn/hlg_tattpvn_gt/" TargetMode="External"/><Relationship Id="rId1198" Type="http://schemas.openxmlformats.org/officeDocument/2006/relationships/hyperlink" Target="https://patadovietnam.edu.vn/hlg_gt_sea/?utm_source=Google&amp;utm_medium=SEA&amp;utm_term=!!!&amp;utm_content=!!!&amp;utm_campaign=!!!" TargetMode="External"/><Relationship Id="rId1199" Type="http://schemas.openxmlformats.org/officeDocument/2006/relationships/hyperlink" Target="https://patadovietnam.edu.vn/hlg_tattpvn_gt/" TargetMode="External"/><Relationship Id="rId599" Type="http://schemas.openxmlformats.org/officeDocument/2006/relationships/hyperlink" Target="https://patadovietnam.edu.vn/hlg_tattpvn_gt/" TargetMode="External"/><Relationship Id="rId1180" Type="http://schemas.openxmlformats.org/officeDocument/2006/relationships/hyperlink" Target="https://patadovietnam.edu.vn/hlg_gt_sea/?utm_source=Google&amp;utm_medium=SEA&amp;utm_term=!!!&amp;utm_content=!!!&amp;utm_campaign=!!!" TargetMode="External"/><Relationship Id="rId1181" Type="http://schemas.openxmlformats.org/officeDocument/2006/relationships/hyperlink" Target="https://patadovietnam.edu.vn/hlg_tattpvn_gt/" TargetMode="External"/><Relationship Id="rId1182" Type="http://schemas.openxmlformats.org/officeDocument/2006/relationships/hyperlink" Target="https://patadovietnam.edu.vn/hlg_gt_sea/?utm_source=Google&amp;utm_medium=SEA&amp;utm_term=!!!&amp;utm_content=!!!&amp;utm_campaign=!!!" TargetMode="External"/><Relationship Id="rId594" Type="http://schemas.openxmlformats.org/officeDocument/2006/relationships/hyperlink" Target="https://patadovietnam.edu.vn/hlg_gt_sea/?utm_source=Google&amp;utm_medium=SEA&amp;utm_term=!!!&amp;utm_content=!!!&amp;utm_campaign=!!!" TargetMode="External"/><Relationship Id="rId1183" Type="http://schemas.openxmlformats.org/officeDocument/2006/relationships/hyperlink" Target="https://patadovietnam.edu.vn/hlg_tattpvn_gt/" TargetMode="External"/><Relationship Id="rId593" Type="http://schemas.openxmlformats.org/officeDocument/2006/relationships/hyperlink" Target="https://patadovietnam.edu.vn/hlg_tattpvn_gt/" TargetMode="External"/><Relationship Id="rId1184" Type="http://schemas.openxmlformats.org/officeDocument/2006/relationships/hyperlink" Target="https://patadovietnam.edu.vn/hlg_gt_sea/?utm_source=Google&amp;utm_medium=SEA&amp;utm_term=!!!&amp;utm_content=!!!&amp;utm_campaign=!!!" TargetMode="External"/><Relationship Id="rId592" Type="http://schemas.openxmlformats.org/officeDocument/2006/relationships/hyperlink" Target="https://patadovietnam.edu.vn/hlg_gt_sea/?utm_source=Google&amp;utm_medium=SEA&amp;utm_term=!!!&amp;utm_content=!!!&amp;utm_campaign=!!!" TargetMode="External"/><Relationship Id="rId1185" Type="http://schemas.openxmlformats.org/officeDocument/2006/relationships/hyperlink" Target="https://patadovietnam.edu.vn/hlg_tattpvn_gt/" TargetMode="External"/><Relationship Id="rId591" Type="http://schemas.openxmlformats.org/officeDocument/2006/relationships/hyperlink" Target="https://patadovietnam.edu.vn/hlg_tattpvn_gt/" TargetMode="External"/><Relationship Id="rId1186" Type="http://schemas.openxmlformats.org/officeDocument/2006/relationships/hyperlink" Target="https://patadovietnam.edu.vn/hlg_gt_sea/?utm_source=Google&amp;utm_medium=SEA&amp;utm_term=!!!&amp;utm_content=!!!&amp;utm_campaign=!!!" TargetMode="External"/><Relationship Id="rId598" Type="http://schemas.openxmlformats.org/officeDocument/2006/relationships/hyperlink" Target="https://patadovietnam.edu.vn/hlg_gt_sea/?utm_source=Google&amp;utm_medium=SEA&amp;utm_term=!!!&amp;utm_content=!!!&amp;utm_campaign=!!!" TargetMode="External"/><Relationship Id="rId1187" Type="http://schemas.openxmlformats.org/officeDocument/2006/relationships/hyperlink" Target="https://patadovietnam.edu.vn/hlg_tattpvn_gt/" TargetMode="External"/><Relationship Id="rId597" Type="http://schemas.openxmlformats.org/officeDocument/2006/relationships/hyperlink" Target="https://patadovietnam.edu.vn/hlg_tattpvn_gt/" TargetMode="External"/><Relationship Id="rId1188" Type="http://schemas.openxmlformats.org/officeDocument/2006/relationships/hyperlink" Target="https://patadovietnam.edu.vn/hlg_gt_sea/?utm_source=Google&amp;utm_medium=SEA&amp;utm_term=!!!&amp;utm_content=!!!&amp;utm_campaign=!!!" TargetMode="External"/><Relationship Id="rId596" Type="http://schemas.openxmlformats.org/officeDocument/2006/relationships/hyperlink" Target="https://patadovietnam.edu.vn/hlg_gt_sea/?utm_source=Google&amp;utm_medium=SEA&amp;utm_term=!!!&amp;utm_content=!!!&amp;utm_campaign=!!!" TargetMode="External"/><Relationship Id="rId1189" Type="http://schemas.openxmlformats.org/officeDocument/2006/relationships/hyperlink" Target="https://patadovietnam.edu.vn/hlg_tattpvn_gt/" TargetMode="External"/><Relationship Id="rId595" Type="http://schemas.openxmlformats.org/officeDocument/2006/relationships/hyperlink" Target="https://patadovietnam.edu.vn/hlg_tattpvn_gt/" TargetMode="External"/><Relationship Id="rId1136" Type="http://schemas.openxmlformats.org/officeDocument/2006/relationships/hyperlink" Target="https://patadovietnam.edu.vn/hlg_gt_sea/?utm_source=Google&amp;utm_medium=SEA&amp;utm_term=!!!&amp;utm_content=!!!&amp;utm_campaign=!!!" TargetMode="External"/><Relationship Id="rId1137" Type="http://schemas.openxmlformats.org/officeDocument/2006/relationships/hyperlink" Target="https://patadovietnam.edu.vn/hlg_tattpvn_gt/" TargetMode="External"/><Relationship Id="rId1138" Type="http://schemas.openxmlformats.org/officeDocument/2006/relationships/hyperlink" Target="https://patadovietnam.edu.vn/hlg_gt_sea/?utm_source=Google&amp;utm_medium=SEA&amp;utm_term=!!!&amp;utm_content=!!!&amp;utm_campaign=!!!" TargetMode="External"/><Relationship Id="rId1139" Type="http://schemas.openxmlformats.org/officeDocument/2006/relationships/hyperlink" Target="https://patadovietnam.edu.vn/hlg_tattpvn_gt/" TargetMode="External"/><Relationship Id="rId547" Type="http://schemas.openxmlformats.org/officeDocument/2006/relationships/hyperlink" Target="https://patadovietnam.edu.vn/hlg_tattpvn_gt/" TargetMode="External"/><Relationship Id="rId546" Type="http://schemas.openxmlformats.org/officeDocument/2006/relationships/hyperlink" Target="https://patadovietnam.edu.vn/hlg_gt_sea/?utm_source=Google&amp;utm_medium=SEA&amp;utm_term=!!!&amp;utm_content=!!!&amp;utm_campaign=!!!" TargetMode="External"/><Relationship Id="rId545" Type="http://schemas.openxmlformats.org/officeDocument/2006/relationships/hyperlink" Target="https://patadovietnam.edu.vn/hlg_tattpvn_gt/" TargetMode="External"/><Relationship Id="rId544" Type="http://schemas.openxmlformats.org/officeDocument/2006/relationships/hyperlink" Target="https://patadovietnam.edu.vn/hlg_gt_sea/?utm_source=Google&amp;utm_medium=SEA&amp;utm_term=!!!&amp;utm_content=!!!&amp;utm_campaign=!!!" TargetMode="External"/><Relationship Id="rId549" Type="http://schemas.openxmlformats.org/officeDocument/2006/relationships/hyperlink" Target="https://patadovietnam.edu.vn/hlg_tattpvn_gt/" TargetMode="External"/><Relationship Id="rId548" Type="http://schemas.openxmlformats.org/officeDocument/2006/relationships/hyperlink" Target="https://patadovietnam.edu.vn/hlg_gt_sea/?utm_source=Google&amp;utm_medium=SEA&amp;utm_term=!!!&amp;utm_content=!!!&amp;utm_campaign=!!!" TargetMode="External"/><Relationship Id="rId1130" Type="http://schemas.openxmlformats.org/officeDocument/2006/relationships/hyperlink" Target="https://patadovietnam.edu.vn/hlg_gt_sea/?utm_source=Google&amp;utm_medium=SEA&amp;utm_term=!!!&amp;utm_content=!!!&amp;utm_campaign=!!!" TargetMode="External"/><Relationship Id="rId1131" Type="http://schemas.openxmlformats.org/officeDocument/2006/relationships/hyperlink" Target="https://patadovietnam.edu.vn/hlg_tattpvn_gt/" TargetMode="External"/><Relationship Id="rId543" Type="http://schemas.openxmlformats.org/officeDocument/2006/relationships/hyperlink" Target="https://patadovietnam.edu.vn/hlg_tattpvn_gt/" TargetMode="External"/><Relationship Id="rId1132" Type="http://schemas.openxmlformats.org/officeDocument/2006/relationships/hyperlink" Target="https://patadovietnam.edu.vn/hlg_gt_sea/?utm_source=Google&amp;utm_medium=SEA&amp;utm_term=!!!&amp;utm_content=!!!&amp;utm_campaign=!!!" TargetMode="External"/><Relationship Id="rId542" Type="http://schemas.openxmlformats.org/officeDocument/2006/relationships/hyperlink" Target="https://patadovietnam.edu.vn/hlg_gt_sea/?utm_source=Google&amp;utm_medium=SEA&amp;utm_term=!!!&amp;utm_content=!!!&amp;utm_campaign=!!!" TargetMode="External"/><Relationship Id="rId1133" Type="http://schemas.openxmlformats.org/officeDocument/2006/relationships/hyperlink" Target="https://patadovietnam.edu.vn/hlg_tattpvn_gt/" TargetMode="External"/><Relationship Id="rId541" Type="http://schemas.openxmlformats.org/officeDocument/2006/relationships/hyperlink" Target="https://patadovietnam.edu.vn/hlg_tattpvn_gt/" TargetMode="External"/><Relationship Id="rId1134" Type="http://schemas.openxmlformats.org/officeDocument/2006/relationships/hyperlink" Target="https://patadovietnam.edu.vn/hlg_gt_sea/?utm_source=Google&amp;utm_medium=SEA&amp;utm_term=!!!&amp;utm_content=!!!&amp;utm_campaign=!!!" TargetMode="External"/><Relationship Id="rId540" Type="http://schemas.openxmlformats.org/officeDocument/2006/relationships/hyperlink" Target="https://patadovietnam.edu.vn/hlg_gt_sea/?utm_source=Google&amp;utm_medium=SEA&amp;utm_term=!!!&amp;utm_content=!!!&amp;utm_campaign=!!!" TargetMode="External"/><Relationship Id="rId1135" Type="http://schemas.openxmlformats.org/officeDocument/2006/relationships/hyperlink" Target="https://patadovietnam.edu.vn/hlg_tattpvn_gt/" TargetMode="External"/><Relationship Id="rId1125" Type="http://schemas.openxmlformats.org/officeDocument/2006/relationships/hyperlink" Target="https://patadovietnam.edu.vn/hlg_tattpvn_gt/" TargetMode="External"/><Relationship Id="rId1126" Type="http://schemas.openxmlformats.org/officeDocument/2006/relationships/hyperlink" Target="https://patadovietnam.edu.vn/hlg_gt_sea/?utm_source=Google&amp;utm_medium=SEA&amp;utm_term=!!!&amp;utm_content=!!!&amp;utm_campaign=!!!" TargetMode="External"/><Relationship Id="rId1127" Type="http://schemas.openxmlformats.org/officeDocument/2006/relationships/hyperlink" Target="https://patadovietnam.edu.vn/hlg_tattpvn_gt/" TargetMode="External"/><Relationship Id="rId1128" Type="http://schemas.openxmlformats.org/officeDocument/2006/relationships/hyperlink" Target="https://patadovietnam.edu.vn/hlg_gt_sea/?utm_source=Google&amp;utm_medium=SEA&amp;utm_term=!!!&amp;utm_content=!!!&amp;utm_campaign=!!!" TargetMode="External"/><Relationship Id="rId1129" Type="http://schemas.openxmlformats.org/officeDocument/2006/relationships/hyperlink" Target="https://patadovietnam.edu.vn/hlg_tattpvn_gt/" TargetMode="External"/><Relationship Id="rId536" Type="http://schemas.openxmlformats.org/officeDocument/2006/relationships/hyperlink" Target="https://patadovietnam.edu.vn/hlg_gt_sea/?utm_source=Google&amp;utm_medium=SEA&amp;utm_term=!!!&amp;utm_content=!!!&amp;utm_campaign=!!!" TargetMode="External"/><Relationship Id="rId535" Type="http://schemas.openxmlformats.org/officeDocument/2006/relationships/hyperlink" Target="https://patadovietnam.edu.vn/hlg_tattpvn_gt/" TargetMode="External"/><Relationship Id="rId534" Type="http://schemas.openxmlformats.org/officeDocument/2006/relationships/hyperlink" Target="https://patadovietnam.edu.vn/hlg_gt_sea/?utm_source=Google&amp;utm_medium=SEA&amp;utm_term=!!!&amp;utm_content=!!!&amp;utm_campaign=!!!" TargetMode="External"/><Relationship Id="rId533" Type="http://schemas.openxmlformats.org/officeDocument/2006/relationships/hyperlink" Target="https://patadovietnam.edu.vn/hlg_tattpvn_gt/" TargetMode="External"/><Relationship Id="rId539" Type="http://schemas.openxmlformats.org/officeDocument/2006/relationships/hyperlink" Target="https://patadovietnam.edu.vn/hlg_tattpvn_gt/" TargetMode="External"/><Relationship Id="rId538" Type="http://schemas.openxmlformats.org/officeDocument/2006/relationships/hyperlink" Target="https://patadovietnam.edu.vn/hlg_gt_sea/?utm_source=Google&amp;utm_medium=SEA&amp;utm_term=!!!&amp;utm_content=!!!&amp;utm_campaign=!!!" TargetMode="External"/><Relationship Id="rId537" Type="http://schemas.openxmlformats.org/officeDocument/2006/relationships/hyperlink" Target="https://patadovietnam.edu.vn/hlg_tattpvn_gt/" TargetMode="External"/><Relationship Id="rId1120" Type="http://schemas.openxmlformats.org/officeDocument/2006/relationships/hyperlink" Target="https://patadovietnam.edu.vn/hlg_gt_sea/?utm_source=Google&amp;utm_medium=SEA&amp;utm_term=!!!&amp;utm_content=!!!&amp;utm_campaign=!!!" TargetMode="External"/><Relationship Id="rId532" Type="http://schemas.openxmlformats.org/officeDocument/2006/relationships/hyperlink" Target="https://patadovietnam.edu.vn/hlg_gt_sea/?utm_source=Google&amp;utm_medium=SEA&amp;utm_term=!!!&amp;utm_content=!!!&amp;utm_campaign=!!!" TargetMode="External"/><Relationship Id="rId1121" Type="http://schemas.openxmlformats.org/officeDocument/2006/relationships/hyperlink" Target="https://patadovietnam.edu.vn/hlg_tattpvn_gt/" TargetMode="External"/><Relationship Id="rId531" Type="http://schemas.openxmlformats.org/officeDocument/2006/relationships/hyperlink" Target="https://patadovietnam.edu.vn/hlg_tattpvn_gt/" TargetMode="External"/><Relationship Id="rId1122" Type="http://schemas.openxmlformats.org/officeDocument/2006/relationships/hyperlink" Target="https://patadovietnam.edu.vn/hlg_gt_sea/?utm_source=Google&amp;utm_medium=SEA&amp;utm_term=!!!&amp;utm_content=!!!&amp;utm_campaign=!!!" TargetMode="External"/><Relationship Id="rId530" Type="http://schemas.openxmlformats.org/officeDocument/2006/relationships/hyperlink" Target="https://patadovietnam.edu.vn/hlg_gt_sea/?utm_source=Google&amp;utm_medium=SEA&amp;utm_term=!!!&amp;utm_content=!!!&amp;utm_campaign=!!!" TargetMode="External"/><Relationship Id="rId1123" Type="http://schemas.openxmlformats.org/officeDocument/2006/relationships/hyperlink" Target="https://patadovietnam.edu.vn/hlg_tattpvn_gt/" TargetMode="External"/><Relationship Id="rId1124" Type="http://schemas.openxmlformats.org/officeDocument/2006/relationships/hyperlink" Target="https://patadovietnam.edu.vn/hlg_gt_sea/?utm_source=Google&amp;utm_medium=SEA&amp;utm_term=!!!&amp;utm_content=!!!&amp;utm_campaign=!!!" TargetMode="External"/><Relationship Id="rId1158" Type="http://schemas.openxmlformats.org/officeDocument/2006/relationships/hyperlink" Target="https://patadovietnam.edu.vn/hlg_gt_sea/?utm_source=Google&amp;utm_medium=SEA&amp;utm_term=!!!&amp;utm_content=!!!&amp;utm_campaign=!!!" TargetMode="External"/><Relationship Id="rId1159" Type="http://schemas.openxmlformats.org/officeDocument/2006/relationships/hyperlink" Target="https://patadovietnam.edu.vn/hlg_tattpvn_gt/" TargetMode="External"/><Relationship Id="rId569" Type="http://schemas.openxmlformats.org/officeDocument/2006/relationships/hyperlink" Target="https://patadovietnam.edu.vn/hlg_tattpvn_gt/" TargetMode="External"/><Relationship Id="rId568" Type="http://schemas.openxmlformats.org/officeDocument/2006/relationships/hyperlink" Target="https://patadovietnam.edu.vn/hlg_gt_sea/?utm_source=Google&amp;utm_medium=SEA&amp;utm_term=!!!&amp;utm_content=!!!&amp;utm_campaign=!!!" TargetMode="External"/><Relationship Id="rId567" Type="http://schemas.openxmlformats.org/officeDocument/2006/relationships/hyperlink" Target="https://patadovietnam.edu.vn/hlg_tattpvn_gt/" TargetMode="External"/><Relationship Id="rId566" Type="http://schemas.openxmlformats.org/officeDocument/2006/relationships/hyperlink" Target="https://patadovietnam.edu.vn/hlg_gt_sea/?utm_source=Google&amp;utm_medium=SEA&amp;utm_term=!!!&amp;utm_content=!!!&amp;utm_campaign=!!!" TargetMode="External"/><Relationship Id="rId561" Type="http://schemas.openxmlformats.org/officeDocument/2006/relationships/hyperlink" Target="https://patadovietnam.edu.vn/hlg_tattpvn_gt/" TargetMode="External"/><Relationship Id="rId1150" Type="http://schemas.openxmlformats.org/officeDocument/2006/relationships/hyperlink" Target="https://patadovietnam.edu.vn/hlg_gt_sea/?utm_source=Google&amp;utm_medium=SEA&amp;utm_term=!!!&amp;utm_content=!!!&amp;utm_campaign=!!!" TargetMode="External"/><Relationship Id="rId560" Type="http://schemas.openxmlformats.org/officeDocument/2006/relationships/hyperlink" Target="https://patadovietnam.edu.vn/hlg_gt_sea/?utm_source=Google&amp;utm_medium=SEA&amp;utm_term=!!!&amp;utm_content=!!!&amp;utm_campaign=!!!" TargetMode="External"/><Relationship Id="rId1151" Type="http://schemas.openxmlformats.org/officeDocument/2006/relationships/hyperlink" Target="https://patadovietnam.edu.vn/hlg_tattpvn_gt/" TargetMode="External"/><Relationship Id="rId1152" Type="http://schemas.openxmlformats.org/officeDocument/2006/relationships/hyperlink" Target="https://patadovietnam.edu.vn/hlg_gt_sea/?utm_source=Google&amp;utm_medium=SEA&amp;utm_term=!!!&amp;utm_content=!!!&amp;utm_campaign=!!!" TargetMode="External"/><Relationship Id="rId1153" Type="http://schemas.openxmlformats.org/officeDocument/2006/relationships/hyperlink" Target="https://patadovietnam.edu.vn/hlg_tattpvn_gt/" TargetMode="External"/><Relationship Id="rId565" Type="http://schemas.openxmlformats.org/officeDocument/2006/relationships/hyperlink" Target="https://patadovietnam.edu.vn/hlg_tattpvn_gt/" TargetMode="External"/><Relationship Id="rId1154" Type="http://schemas.openxmlformats.org/officeDocument/2006/relationships/hyperlink" Target="https://patadovietnam.edu.vn/hlg_gt_sea/?utm_source=Google&amp;utm_medium=SEA&amp;utm_term=!!!&amp;utm_content=!!!&amp;utm_campaign=!!!" TargetMode="External"/><Relationship Id="rId564" Type="http://schemas.openxmlformats.org/officeDocument/2006/relationships/hyperlink" Target="https://patadovietnam.edu.vn/hlg_gt_sea/?utm_source=Google&amp;utm_medium=SEA&amp;utm_term=!!!&amp;utm_content=!!!&amp;utm_campaign=!!!" TargetMode="External"/><Relationship Id="rId1155" Type="http://schemas.openxmlformats.org/officeDocument/2006/relationships/hyperlink" Target="https://patadovietnam.edu.vn/hlg_tattpvn_gt/" TargetMode="External"/><Relationship Id="rId563" Type="http://schemas.openxmlformats.org/officeDocument/2006/relationships/hyperlink" Target="https://patadovietnam.edu.vn/hlg_tattpvn_gt/" TargetMode="External"/><Relationship Id="rId1156" Type="http://schemas.openxmlformats.org/officeDocument/2006/relationships/hyperlink" Target="https://patadovietnam.edu.vn/hlg_gt_sea/?utm_source=Google&amp;utm_medium=SEA&amp;utm_term=!!!&amp;utm_content=!!!&amp;utm_campaign=!!!" TargetMode="External"/><Relationship Id="rId562" Type="http://schemas.openxmlformats.org/officeDocument/2006/relationships/hyperlink" Target="https://patadovietnam.edu.vn/hlg_gt_sea/?utm_source=Google&amp;utm_medium=SEA&amp;utm_term=!!!&amp;utm_content=!!!&amp;utm_campaign=!!!" TargetMode="External"/><Relationship Id="rId1157" Type="http://schemas.openxmlformats.org/officeDocument/2006/relationships/hyperlink" Target="https://patadovietnam.edu.vn/hlg_tattpvn_gt/" TargetMode="External"/><Relationship Id="rId1147" Type="http://schemas.openxmlformats.org/officeDocument/2006/relationships/hyperlink" Target="https://patadovietnam.edu.vn/hlg_tattpvn_gt/" TargetMode="External"/><Relationship Id="rId1148" Type="http://schemas.openxmlformats.org/officeDocument/2006/relationships/hyperlink" Target="https://patadovietnam.edu.vn/hlg_gt_sea/?utm_source=Google&amp;utm_medium=SEA&amp;utm_term=!!!&amp;utm_content=!!!&amp;utm_campaign=!!!" TargetMode="External"/><Relationship Id="rId1149" Type="http://schemas.openxmlformats.org/officeDocument/2006/relationships/hyperlink" Target="https://patadovietnam.edu.vn/hlg_tattpvn_gt/" TargetMode="External"/><Relationship Id="rId558" Type="http://schemas.openxmlformats.org/officeDocument/2006/relationships/hyperlink" Target="https://patadovietnam.edu.vn/hlg_gt_sea/?utm_source=Google&amp;utm_medium=SEA&amp;utm_term=!!!&amp;utm_content=!!!&amp;utm_campaign=!!!" TargetMode="External"/><Relationship Id="rId557" Type="http://schemas.openxmlformats.org/officeDocument/2006/relationships/hyperlink" Target="https://patadovietnam.edu.vn/hlg_tattpvn_gt/" TargetMode="External"/><Relationship Id="rId556" Type="http://schemas.openxmlformats.org/officeDocument/2006/relationships/hyperlink" Target="https://patadovietnam.edu.vn/hlg_gt_sea/?utm_source=Google&amp;utm_medium=SEA&amp;utm_term=!!!&amp;utm_content=!!!&amp;utm_campaign=!!!" TargetMode="External"/><Relationship Id="rId555" Type="http://schemas.openxmlformats.org/officeDocument/2006/relationships/hyperlink" Target="https://patadovietnam.edu.vn/hlg_tattpvn_gt/" TargetMode="External"/><Relationship Id="rId559" Type="http://schemas.openxmlformats.org/officeDocument/2006/relationships/hyperlink" Target="https://patadovietnam.edu.vn/hlg_tattpvn_gt/" TargetMode="External"/><Relationship Id="rId550" Type="http://schemas.openxmlformats.org/officeDocument/2006/relationships/hyperlink" Target="https://patadovietnam.edu.vn/hlg_gt_sea/?utm_source=Google&amp;utm_medium=SEA&amp;utm_term=!!!&amp;utm_content=!!!&amp;utm_campaign=!!!" TargetMode="External"/><Relationship Id="rId1140" Type="http://schemas.openxmlformats.org/officeDocument/2006/relationships/hyperlink" Target="https://patadovietnam.edu.vn/hlg_gt_sea/?utm_source=Google&amp;utm_medium=SEA&amp;utm_term=!!!&amp;utm_content=!!!&amp;utm_campaign=!!!" TargetMode="External"/><Relationship Id="rId1141" Type="http://schemas.openxmlformats.org/officeDocument/2006/relationships/hyperlink" Target="https://patadovietnam.edu.vn/hlg_tattpvn_gt/" TargetMode="External"/><Relationship Id="rId1142" Type="http://schemas.openxmlformats.org/officeDocument/2006/relationships/hyperlink" Target="https://patadovietnam.edu.vn/hlg_gt_sea/?utm_source=Google&amp;utm_medium=SEA&amp;utm_term=!!!&amp;utm_content=!!!&amp;utm_campaign=!!!" TargetMode="External"/><Relationship Id="rId554" Type="http://schemas.openxmlformats.org/officeDocument/2006/relationships/hyperlink" Target="https://patadovietnam.edu.vn/hlg_gt_sea/?utm_source=Google&amp;utm_medium=SEA&amp;utm_term=!!!&amp;utm_content=!!!&amp;utm_campaign=!!!" TargetMode="External"/><Relationship Id="rId1143" Type="http://schemas.openxmlformats.org/officeDocument/2006/relationships/hyperlink" Target="https://patadovietnam.edu.vn/hlg_tattpvn_gt/" TargetMode="External"/><Relationship Id="rId553" Type="http://schemas.openxmlformats.org/officeDocument/2006/relationships/hyperlink" Target="https://patadovietnam.edu.vn/hlg_tattpvn_gt/" TargetMode="External"/><Relationship Id="rId1144" Type="http://schemas.openxmlformats.org/officeDocument/2006/relationships/hyperlink" Target="https://patadovietnam.edu.vn/hlg_gt_sea/?utm_source=Google&amp;utm_medium=SEA&amp;utm_term=!!!&amp;utm_content=!!!&amp;utm_campaign=!!!" TargetMode="External"/><Relationship Id="rId552" Type="http://schemas.openxmlformats.org/officeDocument/2006/relationships/hyperlink" Target="https://patadovietnam.edu.vn/hlg_gt_sea/?utm_source=Google&amp;utm_medium=SEA&amp;utm_term=!!!&amp;utm_content=!!!&amp;utm_campaign=!!!" TargetMode="External"/><Relationship Id="rId1145" Type="http://schemas.openxmlformats.org/officeDocument/2006/relationships/hyperlink" Target="https://patadovietnam.edu.vn/hlg_tattpvn_gt/" TargetMode="External"/><Relationship Id="rId551" Type="http://schemas.openxmlformats.org/officeDocument/2006/relationships/hyperlink" Target="https://patadovietnam.edu.vn/hlg_tattpvn_gt/" TargetMode="External"/><Relationship Id="rId1146" Type="http://schemas.openxmlformats.org/officeDocument/2006/relationships/hyperlink" Target="https://patadovietnam.edu.vn/hlg_gt_sea/?utm_source=Google&amp;utm_medium=SEA&amp;utm_term=!!!&amp;utm_content=!!!&amp;utm_campaign=!!!" TargetMode="External"/><Relationship Id="rId495" Type="http://schemas.openxmlformats.org/officeDocument/2006/relationships/hyperlink" Target="https://patadovietnam.edu.vn/hlg_tattpvn_gt/" TargetMode="External"/><Relationship Id="rId494" Type="http://schemas.openxmlformats.org/officeDocument/2006/relationships/hyperlink" Target="https://patadovietnam.edu.vn/hlg_gt_sea/?utm_source=Google&amp;utm_medium=SEA&amp;utm_term=!!!&amp;utm_content=!!!&amp;utm_campaign=!!!" TargetMode="External"/><Relationship Id="rId493" Type="http://schemas.openxmlformats.org/officeDocument/2006/relationships/hyperlink" Target="https://patadovietnam.edu.vn/hlg_tattpvn_gt/" TargetMode="External"/><Relationship Id="rId492" Type="http://schemas.openxmlformats.org/officeDocument/2006/relationships/hyperlink" Target="https://patadovietnam.edu.vn/hlg_gt_sea/?utm_source=Google&amp;utm_medium=SEA&amp;utm_term=!!!&amp;utm_content=!!!&amp;utm_campaign=!!!" TargetMode="External"/><Relationship Id="rId499" Type="http://schemas.openxmlformats.org/officeDocument/2006/relationships/hyperlink" Target="https://patadovietnam.edu.vn/hlg_tattpvn_gt/" TargetMode="External"/><Relationship Id="rId498" Type="http://schemas.openxmlformats.org/officeDocument/2006/relationships/hyperlink" Target="https://patadovietnam.edu.vn/hlg_gt_sea/?utm_source=Google&amp;utm_medium=SEA&amp;utm_term=!!!&amp;utm_content=!!!&amp;utm_campaign=!!!" TargetMode="External"/><Relationship Id="rId497" Type="http://schemas.openxmlformats.org/officeDocument/2006/relationships/hyperlink" Target="https://patadovietnam.edu.vn/hlg_tattpvn_gt/" TargetMode="External"/><Relationship Id="rId496" Type="http://schemas.openxmlformats.org/officeDocument/2006/relationships/hyperlink" Target="https://patadovietnam.edu.vn/hlg_gt_sea/?utm_source=Google&amp;utm_medium=SEA&amp;utm_term=!!!&amp;utm_content=!!!&amp;utm_campaign=!!!" TargetMode="External"/><Relationship Id="rId1213" Type="http://schemas.openxmlformats.org/officeDocument/2006/relationships/hyperlink" Target="https://patadovietnam.edu.vn/hlg_tattpvn_gt/" TargetMode="External"/><Relationship Id="rId1214" Type="http://schemas.openxmlformats.org/officeDocument/2006/relationships/hyperlink" Target="https://patadovietnam.edu.vn/hlg_gt_sea/?utm_source=Google&amp;utm_medium=SEA&amp;utm_term=!!!&amp;utm_content=!!!&amp;utm_campaign=!!!" TargetMode="External"/><Relationship Id="rId1215" Type="http://schemas.openxmlformats.org/officeDocument/2006/relationships/hyperlink" Target="https://patadovietnam.edu.vn/hlg_tattpvn_gt/" TargetMode="External"/><Relationship Id="rId1216" Type="http://schemas.openxmlformats.org/officeDocument/2006/relationships/hyperlink" Target="https://patadovietnam.edu.vn/hlg_gt_sea/?utm_source=Google&amp;utm_medium=SEA&amp;utm_term=!!!&amp;utm_content=!!!&amp;utm_campaign=!!!" TargetMode="External"/><Relationship Id="rId1217" Type="http://schemas.openxmlformats.org/officeDocument/2006/relationships/hyperlink" Target="https://patadovietnam.edu.vn/hlg_tattpvn_gt/" TargetMode="External"/><Relationship Id="rId1218" Type="http://schemas.openxmlformats.org/officeDocument/2006/relationships/hyperlink" Target="https://patadovietnam.edu.vn/hlg_gt_sea/?utm_source=Google&amp;utm_medium=SEA&amp;utm_term=!!!&amp;utm_content=!!!&amp;utm_campaign=!!!" TargetMode="External"/><Relationship Id="rId1219" Type="http://schemas.openxmlformats.org/officeDocument/2006/relationships/hyperlink" Target="https://patadovietnam.edu.vn/hlg_tattpvn_gt/" TargetMode="External"/><Relationship Id="rId1210" Type="http://schemas.openxmlformats.org/officeDocument/2006/relationships/hyperlink" Target="https://patadovietnam.edu.vn/hlg_gt_sea/?utm_source=Google&amp;utm_medium=SEA&amp;utm_term=!!!&amp;utm_content=!!!&amp;utm_campaign=!!!" TargetMode="External"/><Relationship Id="rId1211" Type="http://schemas.openxmlformats.org/officeDocument/2006/relationships/hyperlink" Target="https://patadovietnam.edu.vn/hlg_tattpvn_gt/" TargetMode="External"/><Relationship Id="rId1212" Type="http://schemas.openxmlformats.org/officeDocument/2006/relationships/hyperlink" Target="https://patadovietnam.edu.vn/hlg_gt_sea/?utm_source=Google&amp;utm_medium=SEA&amp;utm_term=!!!&amp;utm_content=!!!&amp;utm_campaign=!!!" TargetMode="External"/><Relationship Id="rId1202" Type="http://schemas.openxmlformats.org/officeDocument/2006/relationships/hyperlink" Target="https://patadovietnam.edu.vn/hlg_gt_sea/?utm_source=Google&amp;utm_medium=SEA&amp;utm_term=!!!&amp;utm_content=!!!&amp;utm_campaign=!!!" TargetMode="External"/><Relationship Id="rId1203" Type="http://schemas.openxmlformats.org/officeDocument/2006/relationships/hyperlink" Target="https://patadovietnam.edu.vn/hlg_tattpvn_gt/" TargetMode="External"/><Relationship Id="rId1204" Type="http://schemas.openxmlformats.org/officeDocument/2006/relationships/hyperlink" Target="https://patadovietnam.edu.vn/hlg_gt_sea/?utm_source=Google&amp;utm_medium=SEA&amp;utm_term=!!!&amp;utm_content=!!!&amp;utm_campaign=!!!" TargetMode="External"/><Relationship Id="rId1205" Type="http://schemas.openxmlformats.org/officeDocument/2006/relationships/hyperlink" Target="https://patadovietnam.edu.vn/hlg_tattpvn_gt/" TargetMode="External"/><Relationship Id="rId1206" Type="http://schemas.openxmlformats.org/officeDocument/2006/relationships/hyperlink" Target="https://patadovietnam.edu.vn/hlg_gt_sea/?utm_source=Google&amp;utm_medium=SEA&amp;utm_term=!!!&amp;utm_content=!!!&amp;utm_campaign=!!!" TargetMode="External"/><Relationship Id="rId1207" Type="http://schemas.openxmlformats.org/officeDocument/2006/relationships/hyperlink" Target="https://patadovietnam.edu.vn/hlg_tattpvn_gt/" TargetMode="External"/><Relationship Id="rId1208" Type="http://schemas.openxmlformats.org/officeDocument/2006/relationships/hyperlink" Target="https://patadovietnam.edu.vn/hlg_gt_sea/?utm_source=Google&amp;utm_medium=SEA&amp;utm_term=!!!&amp;utm_content=!!!&amp;utm_campaign=!!!" TargetMode="External"/><Relationship Id="rId1209" Type="http://schemas.openxmlformats.org/officeDocument/2006/relationships/hyperlink" Target="https://patadovietnam.edu.vn/hlg_tattpvn_gt/" TargetMode="External"/><Relationship Id="rId1200" Type="http://schemas.openxmlformats.org/officeDocument/2006/relationships/hyperlink" Target="https://patadovietnam.edu.vn/hlg_gt_sea/?utm_source=Google&amp;utm_medium=SEA&amp;utm_term=!!!&amp;utm_content=!!!&amp;utm_campaign=!!!" TargetMode="External"/><Relationship Id="rId1201" Type="http://schemas.openxmlformats.org/officeDocument/2006/relationships/hyperlink" Target="https://patadovietnam.edu.vn/hlg_tattpvn_gt/" TargetMode="External"/><Relationship Id="rId1235" Type="http://schemas.openxmlformats.org/officeDocument/2006/relationships/hyperlink" Target="https://patadovietnam.edu.vn/hlg_tattpvn_gt/" TargetMode="External"/><Relationship Id="rId1236" Type="http://schemas.openxmlformats.org/officeDocument/2006/relationships/hyperlink" Target="https://patadovietnam.edu.vn/hlg_gt_sea/?utm_source=Google&amp;utm_medium=SEA&amp;utm_term=!!!&amp;utm_content=!!!&amp;utm_campaign=!!!" TargetMode="External"/><Relationship Id="rId1237" Type="http://schemas.openxmlformats.org/officeDocument/2006/relationships/hyperlink" Target="https://patadovietnam.edu.vn/hlg_tattpvn_gt/" TargetMode="External"/><Relationship Id="rId1238" Type="http://schemas.openxmlformats.org/officeDocument/2006/relationships/hyperlink" Target="https://patadovietnam.edu.vn/hlg_gt_sea/?utm_source=Google&amp;utm_medium=SEA&amp;utm_term=!!!&amp;utm_content=!!!&amp;utm_campaign=!!!" TargetMode="External"/><Relationship Id="rId1239" Type="http://schemas.openxmlformats.org/officeDocument/2006/relationships/hyperlink" Target="https://patadovietnam.edu.vn/hlg_tattpvn_gt/" TargetMode="External"/><Relationship Id="rId409" Type="http://schemas.openxmlformats.org/officeDocument/2006/relationships/hyperlink" Target="https://patadovietnam.edu.vn/hlg_tattpvn_gt/" TargetMode="External"/><Relationship Id="rId404" Type="http://schemas.openxmlformats.org/officeDocument/2006/relationships/hyperlink" Target="https://patadovietnam.edu.vn/hlg_gt_sea/?utm_source=Google&amp;utm_medium=SEA&amp;utm_term=!!!&amp;utm_content=!!!&amp;utm_campaign=!!!" TargetMode="External"/><Relationship Id="rId403" Type="http://schemas.openxmlformats.org/officeDocument/2006/relationships/hyperlink" Target="https://patadovietnam.edu.vn/hlg_tattpvn_gt/" TargetMode="External"/><Relationship Id="rId402" Type="http://schemas.openxmlformats.org/officeDocument/2006/relationships/hyperlink" Target="https://patadovietnam.edu.vn/hlg_gt_sea/?utm_source=Google&amp;utm_medium=SEA&amp;utm_term=!!!&amp;utm_content=!!!&amp;utm_campaign=!!!" TargetMode="External"/><Relationship Id="rId401" Type="http://schemas.openxmlformats.org/officeDocument/2006/relationships/hyperlink" Target="https://patadovietnam.edu.vn/hlg_tattpvn_gt/" TargetMode="External"/><Relationship Id="rId408" Type="http://schemas.openxmlformats.org/officeDocument/2006/relationships/hyperlink" Target="https://patadovietnam.edu.vn/hlg_gt_sea/?utm_source=Google&amp;utm_medium=SEA&amp;utm_term=!!!&amp;utm_content=!!!&amp;utm_campaign=!!!" TargetMode="External"/><Relationship Id="rId407" Type="http://schemas.openxmlformats.org/officeDocument/2006/relationships/hyperlink" Target="https://patadovietnam.edu.vn/hlg_tattpvn_gt/" TargetMode="External"/><Relationship Id="rId406" Type="http://schemas.openxmlformats.org/officeDocument/2006/relationships/hyperlink" Target="https://patadovietnam.edu.vn/hlg_gt_sea/?utm_source=Google&amp;utm_medium=SEA&amp;utm_term=!!!&amp;utm_content=!!!&amp;utm_campaign=!!!" TargetMode="External"/><Relationship Id="rId405" Type="http://schemas.openxmlformats.org/officeDocument/2006/relationships/hyperlink" Target="https://patadovietnam.edu.vn/hlg_tattpvn_gt/" TargetMode="External"/><Relationship Id="rId1230" Type="http://schemas.openxmlformats.org/officeDocument/2006/relationships/hyperlink" Target="https://patadovietnam.edu.vn/hlg_gt_sea/?utm_source=Google&amp;utm_medium=SEA&amp;utm_term=!!!&amp;utm_content=!!!&amp;utm_campaign=!!!" TargetMode="External"/><Relationship Id="rId400" Type="http://schemas.openxmlformats.org/officeDocument/2006/relationships/hyperlink" Target="https://patadovietnam.edu.vn/hlg_gt_sea/?utm_source=Google&amp;utm_medium=SEA&amp;utm_term=!!!&amp;utm_content=!!!&amp;utm_campaign=!!!" TargetMode="External"/><Relationship Id="rId1231" Type="http://schemas.openxmlformats.org/officeDocument/2006/relationships/hyperlink" Target="https://patadovietnam.edu.vn/hlg_tattpvn_gt/" TargetMode="External"/><Relationship Id="rId1232" Type="http://schemas.openxmlformats.org/officeDocument/2006/relationships/hyperlink" Target="https://patadovietnam.edu.vn/hlg_gt_sea/?utm_source=Google&amp;utm_medium=SEA&amp;utm_term=!!!&amp;utm_content=!!!&amp;utm_campaign=!!!" TargetMode="External"/><Relationship Id="rId1233" Type="http://schemas.openxmlformats.org/officeDocument/2006/relationships/hyperlink" Target="https://patadovietnam.edu.vn/hlg_tattpvn_gt/" TargetMode="External"/><Relationship Id="rId1234" Type="http://schemas.openxmlformats.org/officeDocument/2006/relationships/hyperlink" Target="https://patadovietnam.edu.vn/hlg_gt_sea/?utm_source=Google&amp;utm_medium=SEA&amp;utm_term=!!!&amp;utm_content=!!!&amp;utm_campaign=!!!" TargetMode="External"/><Relationship Id="rId1224" Type="http://schemas.openxmlformats.org/officeDocument/2006/relationships/hyperlink" Target="https://patadovietnam.edu.vn/hlg_gt_sea/?utm_source=Google&amp;utm_medium=SEA&amp;utm_term=!!!&amp;utm_content=!!!&amp;utm_campaign=!!!" TargetMode="External"/><Relationship Id="rId1225" Type="http://schemas.openxmlformats.org/officeDocument/2006/relationships/hyperlink" Target="https://patadovietnam.edu.vn/hlg_tattpvn_gt/" TargetMode="External"/><Relationship Id="rId1226" Type="http://schemas.openxmlformats.org/officeDocument/2006/relationships/hyperlink" Target="https://patadovietnam.edu.vn/hlg_gt_sea/?utm_source=Google&amp;utm_medium=SEA&amp;utm_term=!!!&amp;utm_content=!!!&amp;utm_campaign=!!!" TargetMode="External"/><Relationship Id="rId1227" Type="http://schemas.openxmlformats.org/officeDocument/2006/relationships/hyperlink" Target="https://patadovietnam.edu.vn/hlg_tattpvn_gt/" TargetMode="External"/><Relationship Id="rId1228" Type="http://schemas.openxmlformats.org/officeDocument/2006/relationships/hyperlink" Target="https://patadovietnam.edu.vn/hlg_gt_sea/?utm_source=Google&amp;utm_medium=SEA&amp;utm_term=!!!&amp;utm_content=!!!&amp;utm_campaign=!!!" TargetMode="External"/><Relationship Id="rId1229" Type="http://schemas.openxmlformats.org/officeDocument/2006/relationships/hyperlink" Target="https://patadovietnam.edu.vn/hlg_tattpvn_gt/" TargetMode="External"/><Relationship Id="rId1220" Type="http://schemas.openxmlformats.org/officeDocument/2006/relationships/hyperlink" Target="https://patadovietnam.edu.vn/hlg_gt_sea/?utm_source=Google&amp;utm_medium=SEA&amp;utm_term=!!!&amp;utm_content=!!!&amp;utm_campaign=!!!" TargetMode="External"/><Relationship Id="rId1221" Type="http://schemas.openxmlformats.org/officeDocument/2006/relationships/hyperlink" Target="https://patadovietnam.edu.vn/hlg_tattpvn_gt/" TargetMode="External"/><Relationship Id="rId1222" Type="http://schemas.openxmlformats.org/officeDocument/2006/relationships/hyperlink" Target="https://patadovietnam.edu.vn/hlg_gt_sea/?utm_source=Google&amp;utm_medium=SEA&amp;utm_term=!!!&amp;utm_content=!!!&amp;utm_campaign=!!!" TargetMode="External"/><Relationship Id="rId1223" Type="http://schemas.openxmlformats.org/officeDocument/2006/relationships/hyperlink" Target="https://patadovietnam.edu.vn/hlg_tattpvn_gt/" TargetMode="External"/><Relationship Id="rId469" Type="http://schemas.openxmlformats.org/officeDocument/2006/relationships/hyperlink" Target="https://patadovietnam.edu.vn/hlg_tattpvn_gt/" TargetMode="External"/><Relationship Id="rId468" Type="http://schemas.openxmlformats.org/officeDocument/2006/relationships/hyperlink" Target="https://patadovietnam.edu.vn/hlg_gt_sea/?utm_source=Google&amp;utm_medium=SEA&amp;utm_term=!!!&amp;utm_content=!!!&amp;utm_campaign=!!!" TargetMode="External"/><Relationship Id="rId467" Type="http://schemas.openxmlformats.org/officeDocument/2006/relationships/hyperlink" Target="https://patadovietnam.edu.vn/hlg_tattpvn_gt/" TargetMode="External"/><Relationship Id="rId1290" Type="http://schemas.openxmlformats.org/officeDocument/2006/relationships/hyperlink" Target="https://patadovietnam.edu.vn/hlg_gt_sea/?utm_source=Google&amp;utm_medium=SEA&amp;utm_term=!!!&amp;utm_content=!!!&amp;utm_campaign=!!!" TargetMode="External"/><Relationship Id="rId1291" Type="http://schemas.openxmlformats.org/officeDocument/2006/relationships/hyperlink" Target="https://patadovietnam.edu.vn/hlg_tattpvn_gt/" TargetMode="External"/><Relationship Id="rId1292" Type="http://schemas.openxmlformats.org/officeDocument/2006/relationships/hyperlink" Target="https://patadovietnam.edu.vn/hlg_gt_sea/?utm_source=Google&amp;utm_medium=SEA&amp;utm_term=!!!&amp;utm_content=!!!&amp;utm_campaign=!!!" TargetMode="External"/><Relationship Id="rId462" Type="http://schemas.openxmlformats.org/officeDocument/2006/relationships/hyperlink" Target="https://patadovietnam.edu.vn/hlg_gt_sea/?utm_source=Google&amp;utm_medium=SEA&amp;utm_term=!!!&amp;utm_content=!!!&amp;utm_campaign=!!!" TargetMode="External"/><Relationship Id="rId1293" Type="http://schemas.openxmlformats.org/officeDocument/2006/relationships/drawing" Target="../drawings/drawing16.xml"/><Relationship Id="rId461" Type="http://schemas.openxmlformats.org/officeDocument/2006/relationships/hyperlink" Target="https://patadovietnam.edu.vn/hlg_tattpvn_gt/" TargetMode="External"/><Relationship Id="rId460" Type="http://schemas.openxmlformats.org/officeDocument/2006/relationships/hyperlink" Target="https://patadovietnam.edu.vn/hlg_gt_sea/?utm_source=Google&amp;utm_medium=SEA&amp;utm_term=!!!&amp;utm_content=!!!&amp;utm_campaign=!!!" TargetMode="External"/><Relationship Id="rId466" Type="http://schemas.openxmlformats.org/officeDocument/2006/relationships/hyperlink" Target="https://patadovietnam.edu.vn/hlg_gt_sea/?utm_source=Google&amp;utm_medium=SEA&amp;utm_term=!!!&amp;utm_content=!!!&amp;utm_campaign=!!!" TargetMode="External"/><Relationship Id="rId465" Type="http://schemas.openxmlformats.org/officeDocument/2006/relationships/hyperlink" Target="https://patadovietnam.edu.vn/hlg_tattpvn_gt/" TargetMode="External"/><Relationship Id="rId464" Type="http://schemas.openxmlformats.org/officeDocument/2006/relationships/hyperlink" Target="https://patadovietnam.edu.vn/hlg_gt_sea/?utm_source=Google&amp;utm_medium=SEA&amp;utm_term=!!!&amp;utm_content=!!!&amp;utm_campaign=!!!" TargetMode="External"/><Relationship Id="rId463" Type="http://schemas.openxmlformats.org/officeDocument/2006/relationships/hyperlink" Target="https://patadovietnam.edu.vn/hlg_tattpvn_gt/" TargetMode="External"/><Relationship Id="rId459" Type="http://schemas.openxmlformats.org/officeDocument/2006/relationships/hyperlink" Target="https://patadovietnam.edu.vn/hlg_tattpvn_gt/" TargetMode="External"/><Relationship Id="rId458" Type="http://schemas.openxmlformats.org/officeDocument/2006/relationships/hyperlink" Target="https://patadovietnam.edu.vn/hlg_gt_sea/?utm_source=Google&amp;utm_medium=SEA&amp;utm_term=!!!&amp;utm_content=!!!&amp;utm_campaign=!!!" TargetMode="External"/><Relationship Id="rId457" Type="http://schemas.openxmlformats.org/officeDocument/2006/relationships/hyperlink" Target="https://patadovietnam.edu.vn/hlg_tattpvn_gt/" TargetMode="External"/><Relationship Id="rId456" Type="http://schemas.openxmlformats.org/officeDocument/2006/relationships/hyperlink" Target="https://patadovietnam.edu.vn/hlg_gt_sea/?utm_source=Google&amp;utm_medium=SEA&amp;utm_term=!!!&amp;utm_content=!!!&amp;utm_campaign=!!!" TargetMode="External"/><Relationship Id="rId1280" Type="http://schemas.openxmlformats.org/officeDocument/2006/relationships/hyperlink" Target="https://patadovietnam.edu.vn/hlg_gt_sea/?utm_source=Google&amp;utm_medium=SEA&amp;utm_term=!!!&amp;utm_content=!!!&amp;utm_campaign=!!!" TargetMode="External"/><Relationship Id="rId1281" Type="http://schemas.openxmlformats.org/officeDocument/2006/relationships/hyperlink" Target="https://patadovietnam.edu.vn/hlg_tattpvn_gt/" TargetMode="External"/><Relationship Id="rId451" Type="http://schemas.openxmlformats.org/officeDocument/2006/relationships/hyperlink" Target="https://patadovietnam.edu.vn/hlg_tattpvn_gt/" TargetMode="External"/><Relationship Id="rId1282" Type="http://schemas.openxmlformats.org/officeDocument/2006/relationships/hyperlink" Target="https://patadovietnam.edu.vn/hlg_gt_sea/?utm_source=Google&amp;utm_medium=SEA&amp;utm_term=!!!&amp;utm_content=!!!&amp;utm_campaign=!!!" TargetMode="External"/><Relationship Id="rId450" Type="http://schemas.openxmlformats.org/officeDocument/2006/relationships/hyperlink" Target="https://patadovietnam.edu.vn/hlg_gt_sea/?utm_source=Google&amp;utm_medium=SEA&amp;utm_term=!!!&amp;utm_content=!!!&amp;utm_campaign=!!!" TargetMode="External"/><Relationship Id="rId1283" Type="http://schemas.openxmlformats.org/officeDocument/2006/relationships/hyperlink" Target="https://patadovietnam.edu.vn/hlg_tattpvn_gt/" TargetMode="External"/><Relationship Id="rId1284" Type="http://schemas.openxmlformats.org/officeDocument/2006/relationships/hyperlink" Target="https://patadovietnam.edu.vn/hlg_gt_sea/?utm_source=Google&amp;utm_medium=SEA&amp;utm_term=!!!&amp;utm_content=!!!&amp;utm_campaign=!!!" TargetMode="External"/><Relationship Id="rId1285" Type="http://schemas.openxmlformats.org/officeDocument/2006/relationships/hyperlink" Target="https://patadovietnam.edu.vn/hlg_tattpvn_gt/" TargetMode="External"/><Relationship Id="rId455" Type="http://schemas.openxmlformats.org/officeDocument/2006/relationships/hyperlink" Target="https://patadovietnam.edu.vn/hlg_tattpvn_gt/" TargetMode="External"/><Relationship Id="rId1286" Type="http://schemas.openxmlformats.org/officeDocument/2006/relationships/hyperlink" Target="https://patadovietnam.edu.vn/hlg_gt_sea/?utm_source=Google&amp;utm_medium=SEA&amp;utm_term=!!!&amp;utm_content=!!!&amp;utm_campaign=!!!" TargetMode="External"/><Relationship Id="rId454" Type="http://schemas.openxmlformats.org/officeDocument/2006/relationships/hyperlink" Target="https://patadovietnam.edu.vn/hlg_gt_sea/?utm_source=Google&amp;utm_medium=SEA&amp;utm_term=!!!&amp;utm_content=!!!&amp;utm_campaign=!!!" TargetMode="External"/><Relationship Id="rId1287" Type="http://schemas.openxmlformats.org/officeDocument/2006/relationships/hyperlink" Target="https://patadovietnam.edu.vn/hlg_tattpvn_gt/" TargetMode="External"/><Relationship Id="rId453" Type="http://schemas.openxmlformats.org/officeDocument/2006/relationships/hyperlink" Target="https://patadovietnam.edu.vn/hlg_tattpvn_gt/" TargetMode="External"/><Relationship Id="rId1288" Type="http://schemas.openxmlformats.org/officeDocument/2006/relationships/hyperlink" Target="https://patadovietnam.edu.vn/hlg_gt_sea/?utm_source=Google&amp;utm_medium=SEA&amp;utm_term=!!!&amp;utm_content=!!!&amp;utm_campaign=!!!" TargetMode="External"/><Relationship Id="rId452" Type="http://schemas.openxmlformats.org/officeDocument/2006/relationships/hyperlink" Target="https://patadovietnam.edu.vn/hlg_gt_sea/?utm_source=Google&amp;utm_medium=SEA&amp;utm_term=!!!&amp;utm_content=!!!&amp;utm_campaign=!!!" TargetMode="External"/><Relationship Id="rId1289" Type="http://schemas.openxmlformats.org/officeDocument/2006/relationships/hyperlink" Target="https://patadovietnam.edu.vn/hlg_tattpvn_gt/" TargetMode="External"/><Relationship Id="rId491" Type="http://schemas.openxmlformats.org/officeDocument/2006/relationships/hyperlink" Target="https://patadovietnam.edu.vn/hlg_tattpvn_gt/" TargetMode="External"/><Relationship Id="rId490" Type="http://schemas.openxmlformats.org/officeDocument/2006/relationships/hyperlink" Target="https://patadovietnam.edu.vn/hlg_gt_sea/?utm_source=Google&amp;utm_medium=SEA&amp;utm_term=!!!&amp;utm_content=!!!&amp;utm_campaign=!!!" TargetMode="External"/><Relationship Id="rId489" Type="http://schemas.openxmlformats.org/officeDocument/2006/relationships/hyperlink" Target="https://patadovietnam.edu.vn/hlg_tattpvn_gt/" TargetMode="External"/><Relationship Id="rId484" Type="http://schemas.openxmlformats.org/officeDocument/2006/relationships/hyperlink" Target="https://patadovietnam.edu.vn/hlg_gt_sea/?utm_source=Google&amp;utm_medium=SEA&amp;utm_term=!!!&amp;utm_content=!!!&amp;utm_campaign=!!!" TargetMode="External"/><Relationship Id="rId483" Type="http://schemas.openxmlformats.org/officeDocument/2006/relationships/hyperlink" Target="https://patadovietnam.edu.vn/hlg_tattpvn_gt/" TargetMode="External"/><Relationship Id="rId482" Type="http://schemas.openxmlformats.org/officeDocument/2006/relationships/hyperlink" Target="https://patadovietnam.edu.vn/hlg_gt_sea/?utm_source=Google&amp;utm_medium=SEA&amp;utm_term=!!!&amp;utm_content=!!!&amp;utm_campaign=!!!" TargetMode="External"/><Relationship Id="rId481" Type="http://schemas.openxmlformats.org/officeDocument/2006/relationships/hyperlink" Target="https://patadovietnam.edu.vn/hlg_tattpvn_gt/" TargetMode="External"/><Relationship Id="rId488" Type="http://schemas.openxmlformats.org/officeDocument/2006/relationships/hyperlink" Target="https://patadovietnam.edu.vn/hlg_gt_sea/?utm_source=Google&amp;utm_medium=SEA&amp;utm_term=!!!&amp;utm_content=!!!&amp;utm_campaign=!!!" TargetMode="External"/><Relationship Id="rId487" Type="http://schemas.openxmlformats.org/officeDocument/2006/relationships/hyperlink" Target="https://patadovietnam.edu.vn/hlg_tattpvn_gt/" TargetMode="External"/><Relationship Id="rId486" Type="http://schemas.openxmlformats.org/officeDocument/2006/relationships/hyperlink" Target="https://patadovietnam.edu.vn/hlg_gt_sea/?utm_source=Google&amp;utm_medium=SEA&amp;utm_term=!!!&amp;utm_content=!!!&amp;utm_campaign=!!!" TargetMode="External"/><Relationship Id="rId485" Type="http://schemas.openxmlformats.org/officeDocument/2006/relationships/hyperlink" Target="https://patadovietnam.edu.vn/hlg_tattpvn_gt/" TargetMode="External"/><Relationship Id="rId480" Type="http://schemas.openxmlformats.org/officeDocument/2006/relationships/hyperlink" Target="https://patadovietnam.edu.vn/hlg_gt_sea/?utm_source=Google&amp;utm_medium=SEA&amp;utm_term=!!!&amp;utm_content=!!!&amp;utm_campaign=!!!" TargetMode="External"/><Relationship Id="rId479" Type="http://schemas.openxmlformats.org/officeDocument/2006/relationships/hyperlink" Target="https://patadovietnam.edu.vn/hlg_tattpvn_gt/" TargetMode="External"/><Relationship Id="rId478" Type="http://schemas.openxmlformats.org/officeDocument/2006/relationships/hyperlink" Target="https://patadovietnam.edu.vn/hlg_gt_sea/?utm_source=Google&amp;utm_medium=SEA&amp;utm_term=!!!&amp;utm_content=!!!&amp;utm_campaign=!!!" TargetMode="External"/><Relationship Id="rId473" Type="http://schemas.openxmlformats.org/officeDocument/2006/relationships/hyperlink" Target="https://patadovietnam.edu.vn/hlg_tattpvn_gt/" TargetMode="External"/><Relationship Id="rId472" Type="http://schemas.openxmlformats.org/officeDocument/2006/relationships/hyperlink" Target="https://patadovietnam.edu.vn/hlg_gt_sea/?utm_source=Google&amp;utm_medium=SEA&amp;utm_term=!!!&amp;utm_content=!!!&amp;utm_campaign=!!!" TargetMode="External"/><Relationship Id="rId471" Type="http://schemas.openxmlformats.org/officeDocument/2006/relationships/hyperlink" Target="https://patadovietnam.edu.vn/hlg_tattpvn_gt/" TargetMode="External"/><Relationship Id="rId470" Type="http://schemas.openxmlformats.org/officeDocument/2006/relationships/hyperlink" Target="https://patadovietnam.edu.vn/hlg_gt_sea/?utm_source=Google&amp;utm_medium=SEA&amp;utm_term=!!!&amp;utm_content=!!!&amp;utm_campaign=!!!" TargetMode="External"/><Relationship Id="rId477" Type="http://schemas.openxmlformats.org/officeDocument/2006/relationships/hyperlink" Target="https://patadovietnam.edu.vn/hlg_tattpvn_gt/" TargetMode="External"/><Relationship Id="rId476" Type="http://schemas.openxmlformats.org/officeDocument/2006/relationships/hyperlink" Target="https://patadovietnam.edu.vn/hlg_gt_sea/?utm_source=Google&amp;utm_medium=SEA&amp;utm_term=!!!&amp;utm_content=!!!&amp;utm_campaign=!!!" TargetMode="External"/><Relationship Id="rId475" Type="http://schemas.openxmlformats.org/officeDocument/2006/relationships/hyperlink" Target="https://patadovietnam.edu.vn/hlg_tattpvn_gt/" TargetMode="External"/><Relationship Id="rId474" Type="http://schemas.openxmlformats.org/officeDocument/2006/relationships/hyperlink" Target="https://patadovietnam.edu.vn/hlg_gt_sea/?utm_source=Google&amp;utm_medium=SEA&amp;utm_term=!!!&amp;utm_content=!!!&amp;utm_campaign=!!!" TargetMode="External"/><Relationship Id="rId1257" Type="http://schemas.openxmlformats.org/officeDocument/2006/relationships/hyperlink" Target="https://patadovietnam.edu.vn/hlg_tattpvn_gt/" TargetMode="External"/><Relationship Id="rId1258" Type="http://schemas.openxmlformats.org/officeDocument/2006/relationships/hyperlink" Target="https://patadovietnam.edu.vn/hlg_gt_sea/?utm_source=Google&amp;utm_medium=SEA&amp;utm_term=!!!&amp;utm_content=!!!&amp;utm_campaign=!!!" TargetMode="External"/><Relationship Id="rId1259" Type="http://schemas.openxmlformats.org/officeDocument/2006/relationships/hyperlink" Target="https://patadovietnam.edu.vn/hlg_tattpvn_gt/" TargetMode="External"/><Relationship Id="rId426" Type="http://schemas.openxmlformats.org/officeDocument/2006/relationships/hyperlink" Target="https://patadovietnam.edu.vn/hlg_gt_sea/?utm_source=Google&amp;utm_medium=SEA&amp;utm_term=!!!&amp;utm_content=!!!&amp;utm_campaign=!!!" TargetMode="External"/><Relationship Id="rId425" Type="http://schemas.openxmlformats.org/officeDocument/2006/relationships/hyperlink" Target="https://patadovietnam.edu.vn/hlg_tattpvn_gt/" TargetMode="External"/><Relationship Id="rId424" Type="http://schemas.openxmlformats.org/officeDocument/2006/relationships/hyperlink" Target="https://patadovietnam.edu.vn/hlg_gt_sea/?utm_source=Google&amp;utm_medium=SEA&amp;utm_term=!!!&amp;utm_content=!!!&amp;utm_campaign=!!!" TargetMode="External"/><Relationship Id="rId423" Type="http://schemas.openxmlformats.org/officeDocument/2006/relationships/hyperlink" Target="https://patadovietnam.edu.vn/hlg_tattpvn_gt/" TargetMode="External"/><Relationship Id="rId429" Type="http://schemas.openxmlformats.org/officeDocument/2006/relationships/hyperlink" Target="https://patadovietnam.edu.vn/hlg_tattpvn_gt/" TargetMode="External"/><Relationship Id="rId428" Type="http://schemas.openxmlformats.org/officeDocument/2006/relationships/hyperlink" Target="https://patadovietnam.edu.vn/hlg_gt_sea/?utm_source=Google&amp;utm_medium=SEA&amp;utm_term=!!!&amp;utm_content=!!!&amp;utm_campaign=!!!" TargetMode="External"/><Relationship Id="rId427" Type="http://schemas.openxmlformats.org/officeDocument/2006/relationships/hyperlink" Target="https://patadovietnam.edu.vn/hlg_tattpvn_gt/" TargetMode="External"/><Relationship Id="rId1250" Type="http://schemas.openxmlformats.org/officeDocument/2006/relationships/hyperlink" Target="https://patadovietnam.edu.vn/hlg_gt_sea/?utm_source=Google&amp;utm_medium=SEA&amp;utm_term=!!!&amp;utm_content=!!!&amp;utm_campaign=!!!" TargetMode="External"/><Relationship Id="rId1251" Type="http://schemas.openxmlformats.org/officeDocument/2006/relationships/hyperlink" Target="https://patadovietnam.edu.vn/hlg_tattpvn_gt/" TargetMode="External"/><Relationship Id="rId1252" Type="http://schemas.openxmlformats.org/officeDocument/2006/relationships/hyperlink" Target="https://patadovietnam.edu.vn/hlg_gt_sea/?utm_source=Google&amp;utm_medium=SEA&amp;utm_term=!!!&amp;utm_content=!!!&amp;utm_campaign=!!!" TargetMode="External"/><Relationship Id="rId422" Type="http://schemas.openxmlformats.org/officeDocument/2006/relationships/hyperlink" Target="https://patadovietnam.edu.vn/hlg_gt_sea/?utm_source=Google&amp;utm_medium=SEA&amp;utm_term=!!!&amp;utm_content=!!!&amp;utm_campaign=!!!" TargetMode="External"/><Relationship Id="rId1253" Type="http://schemas.openxmlformats.org/officeDocument/2006/relationships/hyperlink" Target="https://patadovietnam.edu.vn/hlg_tattpvn_gt/" TargetMode="External"/><Relationship Id="rId421" Type="http://schemas.openxmlformats.org/officeDocument/2006/relationships/hyperlink" Target="https://patadovietnam.edu.vn/hlg_tattpvn_gt/" TargetMode="External"/><Relationship Id="rId1254" Type="http://schemas.openxmlformats.org/officeDocument/2006/relationships/hyperlink" Target="https://patadovietnam.edu.vn/hlg_gt_sea/?utm_source=Google&amp;utm_medium=SEA&amp;utm_term=!!!&amp;utm_content=!!!&amp;utm_campaign=!!!" TargetMode="External"/><Relationship Id="rId420" Type="http://schemas.openxmlformats.org/officeDocument/2006/relationships/hyperlink" Target="https://patadovietnam.edu.vn/hlg_gt_sea/?utm_source=Google&amp;utm_medium=SEA&amp;utm_term=!!!&amp;utm_content=!!!&amp;utm_campaign=!!!" TargetMode="External"/><Relationship Id="rId1255" Type="http://schemas.openxmlformats.org/officeDocument/2006/relationships/hyperlink" Target="https://patadovietnam.edu.vn/hlg_tattpvn_gt/" TargetMode="External"/><Relationship Id="rId1256" Type="http://schemas.openxmlformats.org/officeDocument/2006/relationships/hyperlink" Target="https://patadovietnam.edu.vn/hlg_gt_sea/?utm_source=Google&amp;utm_medium=SEA&amp;utm_term=!!!&amp;utm_content=!!!&amp;utm_campaign=!!!" TargetMode="External"/><Relationship Id="rId1246" Type="http://schemas.openxmlformats.org/officeDocument/2006/relationships/hyperlink" Target="https://patadovietnam.edu.vn/hlg_gt_sea/?utm_source=Google&amp;utm_medium=SEA&amp;utm_term=!!!&amp;utm_content=!!!&amp;utm_campaign=!!!" TargetMode="External"/><Relationship Id="rId1247" Type="http://schemas.openxmlformats.org/officeDocument/2006/relationships/hyperlink" Target="https://patadovietnam.edu.vn/hlg_tattpvn_gt/" TargetMode="External"/><Relationship Id="rId1248" Type="http://schemas.openxmlformats.org/officeDocument/2006/relationships/hyperlink" Target="https://patadovietnam.edu.vn/hlg_gt_sea/?utm_source=Google&amp;utm_medium=SEA&amp;utm_term=!!!&amp;utm_content=!!!&amp;utm_campaign=!!!" TargetMode="External"/><Relationship Id="rId1249" Type="http://schemas.openxmlformats.org/officeDocument/2006/relationships/hyperlink" Target="https://patadovietnam.edu.vn/hlg_tattpvn_gt/" TargetMode="External"/><Relationship Id="rId415" Type="http://schemas.openxmlformats.org/officeDocument/2006/relationships/hyperlink" Target="https://patadovietnam.edu.vn/hlg_tattpvn_gt/" TargetMode="External"/><Relationship Id="rId414" Type="http://schemas.openxmlformats.org/officeDocument/2006/relationships/hyperlink" Target="https://patadovietnam.edu.vn/hlg_gt_sea/?utm_source=Google&amp;utm_medium=SEA&amp;utm_term=!!!&amp;utm_content=!!!&amp;utm_campaign=!!!" TargetMode="External"/><Relationship Id="rId413" Type="http://schemas.openxmlformats.org/officeDocument/2006/relationships/hyperlink" Target="https://patadovietnam.edu.vn/hlg_tattpvn_gt/" TargetMode="External"/><Relationship Id="rId412" Type="http://schemas.openxmlformats.org/officeDocument/2006/relationships/hyperlink" Target="https://patadovietnam.edu.vn/hlg_gt_sea/?utm_source=Google&amp;utm_medium=SEA&amp;utm_term=!!!&amp;utm_content=!!!&amp;utm_campaign=!!!" TargetMode="External"/><Relationship Id="rId419" Type="http://schemas.openxmlformats.org/officeDocument/2006/relationships/hyperlink" Target="https://patadovietnam.edu.vn/hlg_tattpvn_gt/" TargetMode="External"/><Relationship Id="rId418" Type="http://schemas.openxmlformats.org/officeDocument/2006/relationships/hyperlink" Target="https://patadovietnam.edu.vn/hlg_gt_sea/?utm_source=Google&amp;utm_medium=SEA&amp;utm_term=!!!&amp;utm_content=!!!&amp;utm_campaign=!!!" TargetMode="External"/><Relationship Id="rId417" Type="http://schemas.openxmlformats.org/officeDocument/2006/relationships/hyperlink" Target="https://patadovietnam.edu.vn/hlg_tattpvn_gt/" TargetMode="External"/><Relationship Id="rId416" Type="http://schemas.openxmlformats.org/officeDocument/2006/relationships/hyperlink" Target="https://patadovietnam.edu.vn/hlg_gt_sea/?utm_source=Google&amp;utm_medium=SEA&amp;utm_term=!!!&amp;utm_content=!!!&amp;utm_campaign=!!!" TargetMode="External"/><Relationship Id="rId1240" Type="http://schemas.openxmlformats.org/officeDocument/2006/relationships/hyperlink" Target="https://patadovietnam.edu.vn/hlg_gt_sea/?utm_source=Google&amp;utm_medium=SEA&amp;utm_term=!!!&amp;utm_content=!!!&amp;utm_campaign=!!!" TargetMode="External"/><Relationship Id="rId1241" Type="http://schemas.openxmlformats.org/officeDocument/2006/relationships/hyperlink" Target="https://patadovietnam.edu.vn/hlg_tattpvn_gt/" TargetMode="External"/><Relationship Id="rId411" Type="http://schemas.openxmlformats.org/officeDocument/2006/relationships/hyperlink" Target="https://patadovietnam.edu.vn/hlg_tattpvn_gt/" TargetMode="External"/><Relationship Id="rId1242" Type="http://schemas.openxmlformats.org/officeDocument/2006/relationships/hyperlink" Target="https://patadovietnam.edu.vn/hlg_gt_sea/?utm_source=Google&amp;utm_medium=SEA&amp;utm_term=!!!&amp;utm_content=!!!&amp;utm_campaign=!!!" TargetMode="External"/><Relationship Id="rId410" Type="http://schemas.openxmlformats.org/officeDocument/2006/relationships/hyperlink" Target="https://patadovietnam.edu.vn/hlg_gt_sea/?utm_source=Google&amp;utm_medium=SEA&amp;utm_term=!!!&amp;utm_content=!!!&amp;utm_campaign=!!!" TargetMode="External"/><Relationship Id="rId1243" Type="http://schemas.openxmlformats.org/officeDocument/2006/relationships/hyperlink" Target="https://patadovietnam.edu.vn/hlg_tattpvn_gt/" TargetMode="External"/><Relationship Id="rId1244" Type="http://schemas.openxmlformats.org/officeDocument/2006/relationships/hyperlink" Target="https://patadovietnam.edu.vn/hlg_gt_sea/?utm_source=Google&amp;utm_medium=SEA&amp;utm_term=!!!&amp;utm_content=!!!&amp;utm_campaign=!!!" TargetMode="External"/><Relationship Id="rId1245" Type="http://schemas.openxmlformats.org/officeDocument/2006/relationships/hyperlink" Target="https://patadovietnam.edu.vn/hlg_tattpvn_gt/" TargetMode="External"/><Relationship Id="rId1279" Type="http://schemas.openxmlformats.org/officeDocument/2006/relationships/hyperlink" Target="https://patadovietnam.edu.vn/hlg_tattpvn_gt/" TargetMode="External"/><Relationship Id="rId448" Type="http://schemas.openxmlformats.org/officeDocument/2006/relationships/hyperlink" Target="https://patadovietnam.edu.vn/hlg_gt_sea/?utm_source=Google&amp;utm_medium=SEA&amp;utm_term=!!!&amp;utm_content=!!!&amp;utm_campaign=!!!" TargetMode="External"/><Relationship Id="rId447" Type="http://schemas.openxmlformats.org/officeDocument/2006/relationships/hyperlink" Target="https://patadovietnam.edu.vn/hlg_tattpvn_gt/" TargetMode="External"/><Relationship Id="rId446" Type="http://schemas.openxmlformats.org/officeDocument/2006/relationships/hyperlink" Target="https://patadovietnam.edu.vn/hlg_gt_sea/?utm_source=Google&amp;utm_medium=SEA&amp;utm_term=!!!&amp;utm_content=!!!&amp;utm_campaign=!!!" TargetMode="External"/><Relationship Id="rId445" Type="http://schemas.openxmlformats.org/officeDocument/2006/relationships/hyperlink" Target="https://patadovietnam.edu.vn/hlg_tattpvn_gt/" TargetMode="External"/><Relationship Id="rId449" Type="http://schemas.openxmlformats.org/officeDocument/2006/relationships/hyperlink" Target="https://patadovietnam.edu.vn/hlg_tattpvn_gt/" TargetMode="External"/><Relationship Id="rId1270" Type="http://schemas.openxmlformats.org/officeDocument/2006/relationships/hyperlink" Target="https://patadovietnam.edu.vn/hlg_gt_sea/?utm_source=Google&amp;utm_medium=SEA&amp;utm_term=!!!&amp;utm_content=!!!&amp;utm_campaign=!!!" TargetMode="External"/><Relationship Id="rId440" Type="http://schemas.openxmlformats.org/officeDocument/2006/relationships/hyperlink" Target="https://patadovietnam.edu.vn/hlg_gt_sea/?utm_source=Google&amp;utm_medium=SEA&amp;utm_term=!!!&amp;utm_content=!!!&amp;utm_campaign=!!!" TargetMode="External"/><Relationship Id="rId1271" Type="http://schemas.openxmlformats.org/officeDocument/2006/relationships/hyperlink" Target="https://patadovietnam.edu.vn/hlg_tattpvn_gt/" TargetMode="External"/><Relationship Id="rId1272" Type="http://schemas.openxmlformats.org/officeDocument/2006/relationships/hyperlink" Target="https://patadovietnam.edu.vn/hlg_gt_sea/?utm_source=Google&amp;utm_medium=SEA&amp;utm_term=!!!&amp;utm_content=!!!&amp;utm_campaign=!!!" TargetMode="External"/><Relationship Id="rId1273" Type="http://schemas.openxmlformats.org/officeDocument/2006/relationships/hyperlink" Target="https://patadovietnam.edu.vn/hlg_tattpvn_gt/" TargetMode="External"/><Relationship Id="rId1274" Type="http://schemas.openxmlformats.org/officeDocument/2006/relationships/hyperlink" Target="https://patadovietnam.edu.vn/hlg_gt_sea/?utm_source=Google&amp;utm_medium=SEA&amp;utm_term=!!!&amp;utm_content=!!!&amp;utm_campaign=!!!" TargetMode="External"/><Relationship Id="rId444" Type="http://schemas.openxmlformats.org/officeDocument/2006/relationships/hyperlink" Target="https://patadovietnam.edu.vn/hlg_gt_sea/?utm_source=Google&amp;utm_medium=SEA&amp;utm_term=!!!&amp;utm_content=!!!&amp;utm_campaign=!!!" TargetMode="External"/><Relationship Id="rId1275" Type="http://schemas.openxmlformats.org/officeDocument/2006/relationships/hyperlink" Target="https://patadovietnam.edu.vn/hlg_tattpvn_gt/" TargetMode="External"/><Relationship Id="rId443" Type="http://schemas.openxmlformats.org/officeDocument/2006/relationships/hyperlink" Target="https://patadovietnam.edu.vn/hlg_tattpvn_gt/" TargetMode="External"/><Relationship Id="rId1276" Type="http://schemas.openxmlformats.org/officeDocument/2006/relationships/hyperlink" Target="https://patadovietnam.edu.vn/hlg_gt_sea/?utm_source=Google&amp;utm_medium=SEA&amp;utm_term=!!!&amp;utm_content=!!!&amp;utm_campaign=!!!" TargetMode="External"/><Relationship Id="rId442" Type="http://schemas.openxmlformats.org/officeDocument/2006/relationships/hyperlink" Target="https://patadovietnam.edu.vn/hlg_gt_sea/?utm_source=Google&amp;utm_medium=SEA&amp;utm_term=!!!&amp;utm_content=!!!&amp;utm_campaign=!!!" TargetMode="External"/><Relationship Id="rId1277" Type="http://schemas.openxmlformats.org/officeDocument/2006/relationships/hyperlink" Target="https://patadovietnam.edu.vn/hlg_tattpvn_gt/" TargetMode="External"/><Relationship Id="rId441" Type="http://schemas.openxmlformats.org/officeDocument/2006/relationships/hyperlink" Target="https://patadovietnam.edu.vn/hlg_tattpvn_gt/" TargetMode="External"/><Relationship Id="rId1278" Type="http://schemas.openxmlformats.org/officeDocument/2006/relationships/hyperlink" Target="https://patadovietnam.edu.vn/hlg_gt_sea/?utm_source=Google&amp;utm_medium=SEA&amp;utm_term=!!!&amp;utm_content=!!!&amp;utm_campaign=!!!" TargetMode="External"/><Relationship Id="rId1268" Type="http://schemas.openxmlformats.org/officeDocument/2006/relationships/hyperlink" Target="https://patadovietnam.edu.vn/hlg_gt_sea/?utm_source=Google&amp;utm_medium=SEA&amp;utm_term=!!!&amp;utm_content=!!!&amp;utm_campaign=!!!" TargetMode="External"/><Relationship Id="rId1269" Type="http://schemas.openxmlformats.org/officeDocument/2006/relationships/hyperlink" Target="https://patadovietnam.edu.vn/hlg_tattpvn_gt/" TargetMode="External"/><Relationship Id="rId437" Type="http://schemas.openxmlformats.org/officeDocument/2006/relationships/hyperlink" Target="https://patadovietnam.edu.vn/hlg_tattpvn_gt/" TargetMode="External"/><Relationship Id="rId436" Type="http://schemas.openxmlformats.org/officeDocument/2006/relationships/hyperlink" Target="https://patadovietnam.edu.vn/hlg_gt_sea/?utm_source=Google&amp;utm_medium=SEA&amp;utm_term=!!!&amp;utm_content=!!!&amp;utm_campaign=!!!" TargetMode="External"/><Relationship Id="rId435" Type="http://schemas.openxmlformats.org/officeDocument/2006/relationships/hyperlink" Target="https://patadovietnam.edu.vn/hlg_tattpvn_gt/" TargetMode="External"/><Relationship Id="rId434" Type="http://schemas.openxmlformats.org/officeDocument/2006/relationships/hyperlink" Target="https://patadovietnam.edu.vn/hlg_gt_sea/?utm_source=Google&amp;utm_medium=SEA&amp;utm_term=!!!&amp;utm_content=!!!&amp;utm_campaign=!!!" TargetMode="External"/><Relationship Id="rId439" Type="http://schemas.openxmlformats.org/officeDocument/2006/relationships/hyperlink" Target="https://patadovietnam.edu.vn/hlg_tattpvn_gt/" TargetMode="External"/><Relationship Id="rId438" Type="http://schemas.openxmlformats.org/officeDocument/2006/relationships/hyperlink" Target="https://patadovietnam.edu.vn/hlg_gt_sea/?utm_source=Google&amp;utm_medium=SEA&amp;utm_term=!!!&amp;utm_content=!!!&amp;utm_campaign=!!!" TargetMode="External"/><Relationship Id="rId1260" Type="http://schemas.openxmlformats.org/officeDocument/2006/relationships/hyperlink" Target="https://patadovietnam.edu.vn/hlg_gt_sea/?utm_source=Google&amp;utm_medium=SEA&amp;utm_term=!!!&amp;utm_content=!!!&amp;utm_campaign=!!!" TargetMode="External"/><Relationship Id="rId1261" Type="http://schemas.openxmlformats.org/officeDocument/2006/relationships/hyperlink" Target="https://patadovietnam.edu.vn/hlg_tattpvn_gt/" TargetMode="External"/><Relationship Id="rId1262" Type="http://schemas.openxmlformats.org/officeDocument/2006/relationships/hyperlink" Target="https://patadovietnam.edu.vn/hlg_gt_sea/?utm_source=Google&amp;utm_medium=SEA&amp;utm_term=!!!&amp;utm_content=!!!&amp;utm_campaign=!!!" TargetMode="External"/><Relationship Id="rId1263" Type="http://schemas.openxmlformats.org/officeDocument/2006/relationships/hyperlink" Target="https://patadovietnam.edu.vn/hlg_tattpvn_gt/" TargetMode="External"/><Relationship Id="rId433" Type="http://schemas.openxmlformats.org/officeDocument/2006/relationships/hyperlink" Target="https://patadovietnam.edu.vn/hlg_tattpvn_gt/" TargetMode="External"/><Relationship Id="rId1264" Type="http://schemas.openxmlformats.org/officeDocument/2006/relationships/hyperlink" Target="https://patadovietnam.edu.vn/hlg_gt_sea/?utm_source=Google&amp;utm_medium=SEA&amp;utm_term=!!!&amp;utm_content=!!!&amp;utm_campaign=!!!" TargetMode="External"/><Relationship Id="rId432" Type="http://schemas.openxmlformats.org/officeDocument/2006/relationships/hyperlink" Target="https://patadovietnam.edu.vn/hlg_gt_sea/?utm_source=Google&amp;utm_medium=SEA&amp;utm_term=!!!&amp;utm_content=!!!&amp;utm_campaign=!!!" TargetMode="External"/><Relationship Id="rId1265" Type="http://schemas.openxmlformats.org/officeDocument/2006/relationships/hyperlink" Target="https://patadovietnam.edu.vn/hlg_tattpvn_gt/" TargetMode="External"/><Relationship Id="rId431" Type="http://schemas.openxmlformats.org/officeDocument/2006/relationships/hyperlink" Target="https://patadovietnam.edu.vn/hlg_tattpvn_gt/" TargetMode="External"/><Relationship Id="rId1266" Type="http://schemas.openxmlformats.org/officeDocument/2006/relationships/hyperlink" Target="https://patadovietnam.edu.vn/hlg_gt_sea/?utm_source=Google&amp;utm_medium=SEA&amp;utm_term=!!!&amp;utm_content=!!!&amp;utm_campaign=!!!" TargetMode="External"/><Relationship Id="rId430" Type="http://schemas.openxmlformats.org/officeDocument/2006/relationships/hyperlink" Target="https://patadovietnam.edu.vn/hlg_gt_sea/?utm_source=Google&amp;utm_medium=SEA&amp;utm_term=!!!&amp;utm_content=!!!&amp;utm_campaign=!!!" TargetMode="External"/><Relationship Id="rId1267" Type="http://schemas.openxmlformats.org/officeDocument/2006/relationships/hyperlink" Target="https://patadovietnam.edu.vn/hlg_tattpvn_gt/" TargetMode="External"/><Relationship Id="rId1" Type="http://schemas.openxmlformats.org/officeDocument/2006/relationships/hyperlink" Target="https://toandien.tienganh24h.net/khoahocgiaotiep/" TargetMode="External"/><Relationship Id="rId2" Type="http://schemas.openxmlformats.org/officeDocument/2006/relationships/hyperlink" Target="https://patadovietnam.edu.vn/tai-tai-lieu/" TargetMode="External"/><Relationship Id="rId3" Type="http://schemas.openxmlformats.org/officeDocument/2006/relationships/hyperlink" Target="https://patadovietnam.edu.vn/khoa-hoc-ielts/" TargetMode="External"/><Relationship Id="rId4" Type="http://schemas.openxmlformats.org/officeDocument/2006/relationships/hyperlink" Target="https://patadovietnam.edu.vn/khoa-hoc-ielts/?utm_source=Google&amp;utm_medium=SEA&amp;utm_term=NEW_ALL_2040_none_130125&amp;utm_content=saletructiep_ALL.IETLS_TATTPVN_LD044&amp;utm_campaign=ALL.IETLS_XuBen.5018_SEA_HuyLG_130125" TargetMode="External"/><Relationship Id="rId9" Type="http://schemas.openxmlformats.org/officeDocument/2006/relationships/hyperlink" Target="https://patadovietnam.edu.vn/hlg_tattpvn_gt/" TargetMode="External"/><Relationship Id="rId5" Type="http://schemas.openxmlformats.org/officeDocument/2006/relationships/hyperlink" Target="https://patadovietnam.edu.vn/hlg_tattpvn_gt/" TargetMode="External"/><Relationship Id="rId6" Type="http://schemas.openxmlformats.org/officeDocument/2006/relationships/hyperlink" Target="https://patadovietnam.edu.vn/hlg_gt_sea/?utm_source=Google&amp;utm_medium=SEA&amp;utm_term=NEW_ALL_2040_none_100225&amp;utm_content=saletructiep_ALL.Giaotiep_TATTPVN_LD237&amp;utm_campaign=ALL.Giaotiep_XuBen.5018_SEA_HuyLG_100225" TargetMode="External"/><Relationship Id="rId7" Type="http://schemas.openxmlformats.org/officeDocument/2006/relationships/hyperlink" Target="https://patadovietnam.edu.vn/khoa-hoc-giao-tiep/" TargetMode="External"/><Relationship Id="rId8" Type="http://schemas.openxmlformats.org/officeDocument/2006/relationships/hyperlink" Target="https://patadovietnam.edu.vn/khoa-hoc-giao-tiep/?utm_source=Google&amp;utm_medium=SEA&amp;utm_term=NEW_ALL_2040_none_130125&amp;utm_content=saletructiep_ALL.Toeic_TATTPVN_LD068&amp;utm_campaign=ALL.Toeic_XuBen.5018_SEA_HuyLG_130125" TargetMode="External"/><Relationship Id="rId808" Type="http://schemas.openxmlformats.org/officeDocument/2006/relationships/hyperlink" Target="https://patadovietnam.edu.vn/hlg_gt_sea/?utm_source=Google&amp;utm_medium=SEA&amp;utm_term=!!!&amp;utm_content=!!!&amp;utm_campaign=!!!" TargetMode="External"/><Relationship Id="rId807" Type="http://schemas.openxmlformats.org/officeDocument/2006/relationships/hyperlink" Target="https://patadovietnam.edu.vn/hlg_tattpvn_gt/" TargetMode="External"/><Relationship Id="rId806" Type="http://schemas.openxmlformats.org/officeDocument/2006/relationships/hyperlink" Target="https://patadovietnam.edu.vn/hlg_gt_sea/?utm_source=Google&amp;utm_medium=SEA&amp;utm_term=!!!&amp;utm_content=!!!&amp;utm_campaign=!!!" TargetMode="External"/><Relationship Id="rId805" Type="http://schemas.openxmlformats.org/officeDocument/2006/relationships/hyperlink" Target="https://patadovietnam.edu.vn/hlg_tattpvn_gt/" TargetMode="External"/><Relationship Id="rId809" Type="http://schemas.openxmlformats.org/officeDocument/2006/relationships/hyperlink" Target="https://patadovietnam.edu.vn/hlg_tattpvn_gt/" TargetMode="External"/><Relationship Id="rId800" Type="http://schemas.openxmlformats.org/officeDocument/2006/relationships/hyperlink" Target="https://patadovietnam.edu.vn/hlg_gt_sea/?utm_source=Google&amp;utm_medium=SEA&amp;utm_term=!!!&amp;utm_content=!!!&amp;utm_campaign=!!!" TargetMode="External"/><Relationship Id="rId804" Type="http://schemas.openxmlformats.org/officeDocument/2006/relationships/hyperlink" Target="https://patadovietnam.edu.vn/hlg_gt_sea/?utm_source=Google&amp;utm_medium=SEA&amp;utm_term=!!!&amp;utm_content=!!!&amp;utm_campaign=!!!" TargetMode="External"/><Relationship Id="rId803" Type="http://schemas.openxmlformats.org/officeDocument/2006/relationships/hyperlink" Target="https://patadovietnam.edu.vn/hlg_tattpvn_gt/" TargetMode="External"/><Relationship Id="rId802" Type="http://schemas.openxmlformats.org/officeDocument/2006/relationships/hyperlink" Target="https://patadovietnam.edu.vn/hlg_gt_sea/?utm_source=Google&amp;utm_medium=SEA&amp;utm_term=!!!&amp;utm_content=!!!&amp;utm_campaign=!!!" TargetMode="External"/><Relationship Id="rId801" Type="http://schemas.openxmlformats.org/officeDocument/2006/relationships/hyperlink" Target="https://patadovietnam.edu.vn/hlg_tattpvn_gt/" TargetMode="External"/><Relationship Id="rId745" Type="http://schemas.openxmlformats.org/officeDocument/2006/relationships/hyperlink" Target="https://patadovietnam.edu.vn/hlg_tattpvn_gt/" TargetMode="External"/><Relationship Id="rId744" Type="http://schemas.openxmlformats.org/officeDocument/2006/relationships/hyperlink" Target="https://patadovietnam.edu.vn/hlg_gt_sea/?utm_source=Google&amp;utm_medium=SEA&amp;utm_term=!!!&amp;utm_content=!!!&amp;utm_campaign=!!!" TargetMode="External"/><Relationship Id="rId743" Type="http://schemas.openxmlformats.org/officeDocument/2006/relationships/hyperlink" Target="https://patadovietnam.edu.vn/hlg_tattpvn_gt/" TargetMode="External"/><Relationship Id="rId742" Type="http://schemas.openxmlformats.org/officeDocument/2006/relationships/hyperlink" Target="https://patadovietnam.edu.vn/hlg_gt_sea/?utm_source=Google&amp;utm_medium=SEA&amp;utm_term=!!!&amp;utm_content=!!!&amp;utm_campaign=!!!" TargetMode="External"/><Relationship Id="rId749" Type="http://schemas.openxmlformats.org/officeDocument/2006/relationships/hyperlink" Target="https://patadovietnam.edu.vn/hlg_tattpvn_gt/" TargetMode="External"/><Relationship Id="rId748" Type="http://schemas.openxmlformats.org/officeDocument/2006/relationships/hyperlink" Target="https://patadovietnam.edu.vn/hlg_gt_sea/?utm_source=Google&amp;utm_medium=SEA&amp;utm_term=!!!&amp;utm_content=!!!&amp;utm_campaign=!!!" TargetMode="External"/><Relationship Id="rId747" Type="http://schemas.openxmlformats.org/officeDocument/2006/relationships/hyperlink" Target="https://patadovietnam.edu.vn/hlg_tattpvn_gt/" TargetMode="External"/><Relationship Id="rId746" Type="http://schemas.openxmlformats.org/officeDocument/2006/relationships/hyperlink" Target="https://patadovietnam.edu.vn/hlg_gt_sea/?utm_source=Google&amp;utm_medium=SEA&amp;utm_term=!!!&amp;utm_content=!!!&amp;utm_campaign=!!!" TargetMode="External"/><Relationship Id="rId741" Type="http://schemas.openxmlformats.org/officeDocument/2006/relationships/hyperlink" Target="https://patadovietnam.edu.vn/hlg_tattpvn_gt/" TargetMode="External"/><Relationship Id="rId740" Type="http://schemas.openxmlformats.org/officeDocument/2006/relationships/hyperlink" Target="https://patadovietnam.edu.vn/hlg_gt_sea/?utm_source=Google&amp;utm_medium=SEA&amp;utm_term=!!!&amp;utm_content=!!!&amp;utm_campaign=!!!" TargetMode="External"/><Relationship Id="rId739" Type="http://schemas.openxmlformats.org/officeDocument/2006/relationships/hyperlink" Target="https://patadovietnam.edu.vn/hlg_tattpvn_gt/" TargetMode="External"/><Relationship Id="rId734" Type="http://schemas.openxmlformats.org/officeDocument/2006/relationships/hyperlink" Target="https://patadovietnam.edu.vn/hlg_gt_sea/?utm_source=Google&amp;utm_medium=SEA&amp;utm_term=!!!&amp;utm_content=!!!&amp;utm_campaign=!!!" TargetMode="External"/><Relationship Id="rId733" Type="http://schemas.openxmlformats.org/officeDocument/2006/relationships/hyperlink" Target="https://patadovietnam.edu.vn/hlg_tattpvn_gt/" TargetMode="External"/><Relationship Id="rId732" Type="http://schemas.openxmlformats.org/officeDocument/2006/relationships/hyperlink" Target="https://patadovietnam.edu.vn/hlg_gt_sea/?utm_source=Google&amp;utm_medium=SEA&amp;utm_term=!!!&amp;utm_content=!!!&amp;utm_campaign=!!!" TargetMode="External"/><Relationship Id="rId731" Type="http://schemas.openxmlformats.org/officeDocument/2006/relationships/hyperlink" Target="https://patadovietnam.edu.vn/hlg_tattpvn_gt/" TargetMode="External"/><Relationship Id="rId738" Type="http://schemas.openxmlformats.org/officeDocument/2006/relationships/hyperlink" Target="https://patadovietnam.edu.vn/hlg_gt_sea/?utm_source=Google&amp;utm_medium=SEA&amp;utm_term=!!!&amp;utm_content=!!!&amp;utm_campaign=!!!" TargetMode="External"/><Relationship Id="rId737" Type="http://schemas.openxmlformats.org/officeDocument/2006/relationships/hyperlink" Target="https://patadovietnam.edu.vn/hlg_tattpvn_gt/" TargetMode="External"/><Relationship Id="rId736" Type="http://schemas.openxmlformats.org/officeDocument/2006/relationships/hyperlink" Target="https://patadovietnam.edu.vn/hlg_gt_sea/?utm_source=Google&amp;utm_medium=SEA&amp;utm_term=!!!&amp;utm_content=!!!&amp;utm_campaign=!!!" TargetMode="External"/><Relationship Id="rId735" Type="http://schemas.openxmlformats.org/officeDocument/2006/relationships/hyperlink" Target="https://patadovietnam.edu.vn/hlg_tattpvn_gt/" TargetMode="External"/><Relationship Id="rId730" Type="http://schemas.openxmlformats.org/officeDocument/2006/relationships/hyperlink" Target="https://patadovietnam.edu.vn/hlg_gt_sea/?utm_source=Google&amp;utm_medium=SEA&amp;utm_term=!!!&amp;utm_content=!!!&amp;utm_campaign=!!!" TargetMode="External"/><Relationship Id="rId767" Type="http://schemas.openxmlformats.org/officeDocument/2006/relationships/hyperlink" Target="https://patadovietnam.edu.vn/hlg_tattpvn_gt/" TargetMode="External"/><Relationship Id="rId766" Type="http://schemas.openxmlformats.org/officeDocument/2006/relationships/hyperlink" Target="https://patadovietnam.edu.vn/hlg_gt_sea/?utm_source=Google&amp;utm_medium=SEA&amp;utm_term=!!!&amp;utm_content=!!!&amp;utm_campaign=!!!" TargetMode="External"/><Relationship Id="rId765" Type="http://schemas.openxmlformats.org/officeDocument/2006/relationships/hyperlink" Target="https://patadovietnam.edu.vn/hlg_tattpvn_gt/" TargetMode="External"/><Relationship Id="rId764" Type="http://schemas.openxmlformats.org/officeDocument/2006/relationships/hyperlink" Target="https://patadovietnam.edu.vn/hlg_gt_sea/?utm_source=Google&amp;utm_medium=SEA&amp;utm_term=!!!&amp;utm_content=!!!&amp;utm_campaign=!!!" TargetMode="External"/><Relationship Id="rId769" Type="http://schemas.openxmlformats.org/officeDocument/2006/relationships/hyperlink" Target="https://patadovietnam.edu.vn/hlg_tattpvn_gt/" TargetMode="External"/><Relationship Id="rId768" Type="http://schemas.openxmlformats.org/officeDocument/2006/relationships/hyperlink" Target="https://patadovietnam.edu.vn/hlg_gt_sea/?utm_source=Google&amp;utm_medium=SEA&amp;utm_term=!!!&amp;utm_content=!!!&amp;utm_campaign=!!!" TargetMode="External"/><Relationship Id="rId763" Type="http://schemas.openxmlformats.org/officeDocument/2006/relationships/hyperlink" Target="https://patadovietnam.edu.vn/hlg_tattpvn_gt/" TargetMode="External"/><Relationship Id="rId762" Type="http://schemas.openxmlformats.org/officeDocument/2006/relationships/hyperlink" Target="https://patadovietnam.edu.vn/hlg_gt_sea/?utm_source=Google&amp;utm_medium=SEA&amp;utm_term=!!!&amp;utm_content=!!!&amp;utm_campaign=!!!" TargetMode="External"/><Relationship Id="rId761" Type="http://schemas.openxmlformats.org/officeDocument/2006/relationships/hyperlink" Target="https://patadovietnam.edu.vn/hlg_tattpvn_gt/" TargetMode="External"/><Relationship Id="rId760" Type="http://schemas.openxmlformats.org/officeDocument/2006/relationships/hyperlink" Target="https://patadovietnam.edu.vn/hlg_gt_sea/?utm_source=Google&amp;utm_medium=SEA&amp;utm_term=!!!&amp;utm_content=!!!&amp;utm_campaign=!!!" TargetMode="External"/><Relationship Id="rId756" Type="http://schemas.openxmlformats.org/officeDocument/2006/relationships/hyperlink" Target="https://patadovietnam.edu.vn/hlg_gt_sea/?utm_source=Google&amp;utm_medium=SEA&amp;utm_term=!!!&amp;utm_content=!!!&amp;utm_campaign=!!!" TargetMode="External"/><Relationship Id="rId755" Type="http://schemas.openxmlformats.org/officeDocument/2006/relationships/hyperlink" Target="https://patadovietnam.edu.vn/hlg_tattpvn_gt/" TargetMode="External"/><Relationship Id="rId754" Type="http://schemas.openxmlformats.org/officeDocument/2006/relationships/hyperlink" Target="https://patadovietnam.edu.vn/hlg_gt_sea/?utm_source=Google&amp;utm_medium=SEA&amp;utm_term=!!!&amp;utm_content=!!!&amp;utm_campaign=!!!" TargetMode="External"/><Relationship Id="rId753" Type="http://schemas.openxmlformats.org/officeDocument/2006/relationships/hyperlink" Target="https://patadovietnam.edu.vn/hlg_tattpvn_gt/" TargetMode="External"/><Relationship Id="rId759" Type="http://schemas.openxmlformats.org/officeDocument/2006/relationships/hyperlink" Target="https://patadovietnam.edu.vn/hlg_tattpvn_gt/" TargetMode="External"/><Relationship Id="rId758" Type="http://schemas.openxmlformats.org/officeDocument/2006/relationships/hyperlink" Target="https://patadovietnam.edu.vn/hlg_gt_sea/?utm_source=Google&amp;utm_medium=SEA&amp;utm_term=!!!&amp;utm_content=!!!&amp;utm_campaign=!!!" TargetMode="External"/><Relationship Id="rId757" Type="http://schemas.openxmlformats.org/officeDocument/2006/relationships/hyperlink" Target="https://patadovietnam.edu.vn/hlg_tattpvn_gt/" TargetMode="External"/><Relationship Id="rId752" Type="http://schemas.openxmlformats.org/officeDocument/2006/relationships/hyperlink" Target="https://patadovietnam.edu.vn/hlg_gt_sea/?utm_source=Google&amp;utm_medium=SEA&amp;utm_term=!!!&amp;utm_content=!!!&amp;utm_campaign=!!!" TargetMode="External"/><Relationship Id="rId751" Type="http://schemas.openxmlformats.org/officeDocument/2006/relationships/hyperlink" Target="https://patadovietnam.edu.vn/hlg_tattpvn_gt/" TargetMode="External"/><Relationship Id="rId750" Type="http://schemas.openxmlformats.org/officeDocument/2006/relationships/hyperlink" Target="https://patadovietnam.edu.vn/hlg_gt_sea/?utm_source=Google&amp;utm_medium=SEA&amp;utm_term=!!!&amp;utm_content=!!!&amp;utm_campaign=!!!" TargetMode="External"/><Relationship Id="rId709" Type="http://schemas.openxmlformats.org/officeDocument/2006/relationships/hyperlink" Target="https://patadovietnam.edu.vn/hlg_tattpvn_gt/" TargetMode="External"/><Relationship Id="rId708" Type="http://schemas.openxmlformats.org/officeDocument/2006/relationships/hyperlink" Target="https://patadovietnam.edu.vn/hlg_gt_sea/?utm_source=Google&amp;utm_medium=SEA&amp;utm_term=!!!&amp;utm_content=!!!&amp;utm_campaign=!!!" TargetMode="External"/><Relationship Id="rId707" Type="http://schemas.openxmlformats.org/officeDocument/2006/relationships/hyperlink" Target="https://patadovietnam.edu.vn/hlg_tattpvn_gt/" TargetMode="External"/><Relationship Id="rId706" Type="http://schemas.openxmlformats.org/officeDocument/2006/relationships/hyperlink" Target="https://patadovietnam.edu.vn/hlg_gt_sea/?utm_source=Google&amp;utm_medium=SEA&amp;utm_term=!!!&amp;utm_content=!!!&amp;utm_campaign=!!!" TargetMode="External"/><Relationship Id="rId701" Type="http://schemas.openxmlformats.org/officeDocument/2006/relationships/hyperlink" Target="https://patadovietnam.edu.vn/hlg_tattpvn_gt/" TargetMode="External"/><Relationship Id="rId700" Type="http://schemas.openxmlformats.org/officeDocument/2006/relationships/hyperlink" Target="https://patadovietnam.edu.vn/hlg_gt_sea/?utm_source=Google&amp;utm_medium=SEA&amp;utm_term=!!!&amp;utm_content=!!!&amp;utm_campaign=!!!" TargetMode="External"/><Relationship Id="rId705" Type="http://schemas.openxmlformats.org/officeDocument/2006/relationships/hyperlink" Target="https://patadovietnam.edu.vn/hlg_tattpvn_gt/" TargetMode="External"/><Relationship Id="rId704" Type="http://schemas.openxmlformats.org/officeDocument/2006/relationships/hyperlink" Target="https://patadovietnam.edu.vn/hlg_gt_sea/?utm_source=Google&amp;utm_medium=SEA&amp;utm_term=!!!&amp;utm_content=!!!&amp;utm_campaign=!!!" TargetMode="External"/><Relationship Id="rId703" Type="http://schemas.openxmlformats.org/officeDocument/2006/relationships/hyperlink" Target="https://patadovietnam.edu.vn/hlg_tattpvn_gt/" TargetMode="External"/><Relationship Id="rId702" Type="http://schemas.openxmlformats.org/officeDocument/2006/relationships/hyperlink" Target="https://patadovietnam.edu.vn/hlg_gt_sea/?utm_source=Google&amp;utm_medium=SEA&amp;utm_term=!!!&amp;utm_content=!!!&amp;utm_campaign=!!!" TargetMode="External"/><Relationship Id="rId729" Type="http://schemas.openxmlformats.org/officeDocument/2006/relationships/hyperlink" Target="https://patadovietnam.edu.vn/hlg_tattpvn_gt/" TargetMode="External"/><Relationship Id="rId728" Type="http://schemas.openxmlformats.org/officeDocument/2006/relationships/hyperlink" Target="https://patadovietnam.edu.vn/hlg_gt_sea/?utm_source=Google&amp;utm_medium=SEA&amp;utm_term=!!!&amp;utm_content=!!!&amp;utm_campaign=!!!" TargetMode="External"/><Relationship Id="rId723" Type="http://schemas.openxmlformats.org/officeDocument/2006/relationships/hyperlink" Target="https://patadovietnam.edu.vn/hlg_tattpvn_gt/" TargetMode="External"/><Relationship Id="rId722" Type="http://schemas.openxmlformats.org/officeDocument/2006/relationships/hyperlink" Target="https://patadovietnam.edu.vn/hlg_gt_sea/?utm_source=Google&amp;utm_medium=SEA&amp;utm_term=!!!&amp;utm_content=!!!&amp;utm_campaign=!!!" TargetMode="External"/><Relationship Id="rId721" Type="http://schemas.openxmlformats.org/officeDocument/2006/relationships/hyperlink" Target="https://patadovietnam.edu.vn/hlg_tattpvn_gt/" TargetMode="External"/><Relationship Id="rId720" Type="http://schemas.openxmlformats.org/officeDocument/2006/relationships/hyperlink" Target="https://patadovietnam.edu.vn/hlg_gt_sea/?utm_source=Google&amp;utm_medium=SEA&amp;utm_term=!!!&amp;utm_content=!!!&amp;utm_campaign=!!!" TargetMode="External"/><Relationship Id="rId727" Type="http://schemas.openxmlformats.org/officeDocument/2006/relationships/hyperlink" Target="https://patadovietnam.edu.vn/hlg_tattpvn_gt/" TargetMode="External"/><Relationship Id="rId726" Type="http://schemas.openxmlformats.org/officeDocument/2006/relationships/hyperlink" Target="https://patadovietnam.edu.vn/hlg_gt_sea/?utm_source=Google&amp;utm_medium=SEA&amp;utm_term=!!!&amp;utm_content=!!!&amp;utm_campaign=!!!" TargetMode="External"/><Relationship Id="rId725" Type="http://schemas.openxmlformats.org/officeDocument/2006/relationships/hyperlink" Target="https://patadovietnam.edu.vn/hlg_tattpvn_gt/" TargetMode="External"/><Relationship Id="rId724" Type="http://schemas.openxmlformats.org/officeDocument/2006/relationships/hyperlink" Target="https://patadovietnam.edu.vn/hlg_gt_sea/?utm_source=Google&amp;utm_medium=SEA&amp;utm_term=!!!&amp;utm_content=!!!&amp;utm_campaign=!!!" TargetMode="External"/><Relationship Id="rId719" Type="http://schemas.openxmlformats.org/officeDocument/2006/relationships/hyperlink" Target="https://patadovietnam.edu.vn/hlg_tattpvn_gt/" TargetMode="External"/><Relationship Id="rId718" Type="http://schemas.openxmlformats.org/officeDocument/2006/relationships/hyperlink" Target="https://patadovietnam.edu.vn/hlg_gt_sea/?utm_source=Google&amp;utm_medium=SEA&amp;utm_term=!!!&amp;utm_content=!!!&amp;utm_campaign=!!!" TargetMode="External"/><Relationship Id="rId717" Type="http://schemas.openxmlformats.org/officeDocument/2006/relationships/hyperlink" Target="https://patadovietnam.edu.vn/hlg_tattpvn_gt/" TargetMode="External"/><Relationship Id="rId712" Type="http://schemas.openxmlformats.org/officeDocument/2006/relationships/hyperlink" Target="https://patadovietnam.edu.vn/hlg_gt_sea/?utm_source=Google&amp;utm_medium=SEA&amp;utm_term=!!!&amp;utm_content=!!!&amp;utm_campaign=!!!" TargetMode="External"/><Relationship Id="rId711" Type="http://schemas.openxmlformats.org/officeDocument/2006/relationships/hyperlink" Target="https://patadovietnam.edu.vn/hlg_tattpvn_gt/" TargetMode="External"/><Relationship Id="rId710" Type="http://schemas.openxmlformats.org/officeDocument/2006/relationships/hyperlink" Target="https://patadovietnam.edu.vn/hlg_gt_sea/?utm_source=Google&amp;utm_medium=SEA&amp;utm_term=!!!&amp;utm_content=!!!&amp;utm_campaign=!!!" TargetMode="External"/><Relationship Id="rId716" Type="http://schemas.openxmlformats.org/officeDocument/2006/relationships/hyperlink" Target="https://patadovietnam.edu.vn/hlg_gt_sea/?utm_source=Google&amp;utm_medium=SEA&amp;utm_term=!!!&amp;utm_content=!!!&amp;utm_campaign=!!!" TargetMode="External"/><Relationship Id="rId715" Type="http://schemas.openxmlformats.org/officeDocument/2006/relationships/hyperlink" Target="https://patadovietnam.edu.vn/hlg_tattpvn_gt/" TargetMode="External"/><Relationship Id="rId714" Type="http://schemas.openxmlformats.org/officeDocument/2006/relationships/hyperlink" Target="https://patadovietnam.edu.vn/hlg_gt_sea/?utm_source=Google&amp;utm_medium=SEA&amp;utm_term=!!!&amp;utm_content=!!!&amp;utm_campaign=!!!" TargetMode="External"/><Relationship Id="rId713" Type="http://schemas.openxmlformats.org/officeDocument/2006/relationships/hyperlink" Target="https://patadovietnam.edu.vn/hlg_tattpvn_gt/" TargetMode="External"/><Relationship Id="rId789" Type="http://schemas.openxmlformats.org/officeDocument/2006/relationships/hyperlink" Target="https://patadovietnam.edu.vn/hlg_tattpvn_gt/" TargetMode="External"/><Relationship Id="rId788" Type="http://schemas.openxmlformats.org/officeDocument/2006/relationships/hyperlink" Target="https://patadovietnam.edu.vn/hlg_gt_sea/?utm_source=Google&amp;utm_medium=SEA&amp;utm_term=!!!&amp;utm_content=!!!&amp;utm_campaign=!!!" TargetMode="External"/><Relationship Id="rId787" Type="http://schemas.openxmlformats.org/officeDocument/2006/relationships/hyperlink" Target="https://patadovietnam.edu.vn/hlg_tattpvn_gt/" TargetMode="External"/><Relationship Id="rId786" Type="http://schemas.openxmlformats.org/officeDocument/2006/relationships/hyperlink" Target="https://patadovietnam.edu.vn/hlg_gt_sea/?utm_source=Google&amp;utm_medium=SEA&amp;utm_term=!!!&amp;utm_content=!!!&amp;utm_campaign=!!!" TargetMode="External"/><Relationship Id="rId781" Type="http://schemas.openxmlformats.org/officeDocument/2006/relationships/hyperlink" Target="https://patadovietnam.edu.vn/hlg_tattpvn_gt/" TargetMode="External"/><Relationship Id="rId780" Type="http://schemas.openxmlformats.org/officeDocument/2006/relationships/hyperlink" Target="https://patadovietnam.edu.vn/hlg_gt_sea/?utm_source=Google&amp;utm_medium=SEA&amp;utm_term=!!!&amp;utm_content=!!!&amp;utm_campaign=!!!" TargetMode="External"/><Relationship Id="rId785" Type="http://schemas.openxmlformats.org/officeDocument/2006/relationships/hyperlink" Target="https://patadovietnam.edu.vn/hlg_tattpvn_gt/" TargetMode="External"/><Relationship Id="rId784" Type="http://schemas.openxmlformats.org/officeDocument/2006/relationships/hyperlink" Target="https://patadovietnam.edu.vn/hlg_gt_sea/?utm_source=Google&amp;utm_medium=SEA&amp;utm_term=!!!&amp;utm_content=!!!&amp;utm_campaign=!!!" TargetMode="External"/><Relationship Id="rId783" Type="http://schemas.openxmlformats.org/officeDocument/2006/relationships/hyperlink" Target="https://patadovietnam.edu.vn/hlg_tattpvn_gt/" TargetMode="External"/><Relationship Id="rId782" Type="http://schemas.openxmlformats.org/officeDocument/2006/relationships/hyperlink" Target="https://patadovietnam.edu.vn/hlg_gt_sea/?utm_source=Google&amp;utm_medium=SEA&amp;utm_term=!!!&amp;utm_content=!!!&amp;utm_campaign=!!!" TargetMode="External"/><Relationship Id="rId778" Type="http://schemas.openxmlformats.org/officeDocument/2006/relationships/hyperlink" Target="https://patadovietnam.edu.vn/hlg_gt_sea/?utm_source=Google&amp;utm_medium=SEA&amp;utm_term=!!!&amp;utm_content=!!!&amp;utm_campaign=!!!" TargetMode="External"/><Relationship Id="rId777" Type="http://schemas.openxmlformats.org/officeDocument/2006/relationships/hyperlink" Target="https://patadovietnam.edu.vn/hlg_tattpvn_gt/" TargetMode="External"/><Relationship Id="rId776" Type="http://schemas.openxmlformats.org/officeDocument/2006/relationships/hyperlink" Target="https://patadovietnam.edu.vn/hlg_gt_sea/?utm_source=Google&amp;utm_medium=SEA&amp;utm_term=!!!&amp;utm_content=!!!&amp;utm_campaign=!!!" TargetMode="External"/><Relationship Id="rId775" Type="http://schemas.openxmlformats.org/officeDocument/2006/relationships/hyperlink" Target="https://patadovietnam.edu.vn/hlg_tattpvn_gt/" TargetMode="External"/><Relationship Id="rId779" Type="http://schemas.openxmlformats.org/officeDocument/2006/relationships/hyperlink" Target="https://patadovietnam.edu.vn/hlg_tattpvn_gt/" TargetMode="External"/><Relationship Id="rId770" Type="http://schemas.openxmlformats.org/officeDocument/2006/relationships/hyperlink" Target="https://patadovietnam.edu.vn/hlg_gt_sea/?utm_source=Google&amp;utm_medium=SEA&amp;utm_term=!!!&amp;utm_content=!!!&amp;utm_campaign=!!!" TargetMode="External"/><Relationship Id="rId774" Type="http://schemas.openxmlformats.org/officeDocument/2006/relationships/hyperlink" Target="https://patadovietnam.edu.vn/hlg_gt_sea/?utm_source=Google&amp;utm_medium=SEA&amp;utm_term=!!!&amp;utm_content=!!!&amp;utm_campaign=!!!" TargetMode="External"/><Relationship Id="rId773" Type="http://schemas.openxmlformats.org/officeDocument/2006/relationships/hyperlink" Target="https://patadovietnam.edu.vn/hlg_tattpvn_gt/" TargetMode="External"/><Relationship Id="rId772" Type="http://schemas.openxmlformats.org/officeDocument/2006/relationships/hyperlink" Target="https://patadovietnam.edu.vn/hlg_gt_sea/?utm_source=Google&amp;utm_medium=SEA&amp;utm_term=!!!&amp;utm_content=!!!&amp;utm_campaign=!!!" TargetMode="External"/><Relationship Id="rId771" Type="http://schemas.openxmlformats.org/officeDocument/2006/relationships/hyperlink" Target="https://patadovietnam.edu.vn/hlg_tattpvn_gt/" TargetMode="External"/><Relationship Id="rId799" Type="http://schemas.openxmlformats.org/officeDocument/2006/relationships/hyperlink" Target="https://patadovietnam.edu.vn/hlg_tattpvn_gt/" TargetMode="External"/><Relationship Id="rId798" Type="http://schemas.openxmlformats.org/officeDocument/2006/relationships/hyperlink" Target="https://patadovietnam.edu.vn/hlg_gt_sea/?utm_source=Google&amp;utm_medium=SEA&amp;utm_term=!!!&amp;utm_content=!!!&amp;utm_campaign=!!!" TargetMode="External"/><Relationship Id="rId797" Type="http://schemas.openxmlformats.org/officeDocument/2006/relationships/hyperlink" Target="https://patadovietnam.edu.vn/hlg_tattpvn_gt/" TargetMode="External"/><Relationship Id="rId792" Type="http://schemas.openxmlformats.org/officeDocument/2006/relationships/hyperlink" Target="https://patadovietnam.edu.vn/hlg_gt_sea/?utm_source=Google&amp;utm_medium=SEA&amp;utm_term=!!!&amp;utm_content=!!!&amp;utm_campaign=!!!" TargetMode="External"/><Relationship Id="rId791" Type="http://schemas.openxmlformats.org/officeDocument/2006/relationships/hyperlink" Target="https://patadovietnam.edu.vn/hlg_tattpvn_gt/" TargetMode="External"/><Relationship Id="rId790" Type="http://schemas.openxmlformats.org/officeDocument/2006/relationships/hyperlink" Target="https://patadovietnam.edu.vn/hlg_gt_sea/?utm_source=Google&amp;utm_medium=SEA&amp;utm_term=!!!&amp;utm_content=!!!&amp;utm_campaign=!!!" TargetMode="External"/><Relationship Id="rId796" Type="http://schemas.openxmlformats.org/officeDocument/2006/relationships/hyperlink" Target="https://patadovietnam.edu.vn/hlg_gt_sea/?utm_source=Google&amp;utm_medium=SEA&amp;utm_term=!!!&amp;utm_content=!!!&amp;utm_campaign=!!!" TargetMode="External"/><Relationship Id="rId795" Type="http://schemas.openxmlformats.org/officeDocument/2006/relationships/hyperlink" Target="https://patadovietnam.edu.vn/hlg_tattpvn_gt/" TargetMode="External"/><Relationship Id="rId794" Type="http://schemas.openxmlformats.org/officeDocument/2006/relationships/hyperlink" Target="https://patadovietnam.edu.vn/hlg_gt_sea/?utm_source=Google&amp;utm_medium=SEA&amp;utm_term=!!!&amp;utm_content=!!!&amp;utm_campaign=!!!" TargetMode="External"/><Relationship Id="rId793" Type="http://schemas.openxmlformats.org/officeDocument/2006/relationships/hyperlink" Target="https://patadovietnam.edu.vn/hlg_tattpvn_gt/" TargetMode="External"/><Relationship Id="rId629" Type="http://schemas.openxmlformats.org/officeDocument/2006/relationships/hyperlink" Target="https://patadovietnam.edu.vn/hlg_tattpvn_gt/" TargetMode="External"/><Relationship Id="rId624" Type="http://schemas.openxmlformats.org/officeDocument/2006/relationships/hyperlink" Target="https://patadovietnam.edu.vn/hlg_gt_sea/?utm_source=Google&amp;utm_medium=SEA&amp;utm_term=!!!&amp;utm_content=!!!&amp;utm_campaign=!!!" TargetMode="External"/><Relationship Id="rId623" Type="http://schemas.openxmlformats.org/officeDocument/2006/relationships/hyperlink" Target="https://patadovietnam.edu.vn/hlg_tattpvn_gt/" TargetMode="External"/><Relationship Id="rId622" Type="http://schemas.openxmlformats.org/officeDocument/2006/relationships/hyperlink" Target="https://patadovietnam.edu.vn/hlg_gt_sea/?utm_source=Google&amp;utm_medium=SEA&amp;utm_term=!!!&amp;utm_content=!!!&amp;utm_campaign=!!!" TargetMode="External"/><Relationship Id="rId621" Type="http://schemas.openxmlformats.org/officeDocument/2006/relationships/hyperlink" Target="https://patadovietnam.edu.vn/hlg_tattpvn_gt/" TargetMode="External"/><Relationship Id="rId628" Type="http://schemas.openxmlformats.org/officeDocument/2006/relationships/hyperlink" Target="https://patadovietnam.edu.vn/hlg_gt_sea/?utm_source=Google&amp;utm_medium=SEA&amp;utm_term=!!!&amp;utm_content=!!!&amp;utm_campaign=!!!" TargetMode="External"/><Relationship Id="rId627" Type="http://schemas.openxmlformats.org/officeDocument/2006/relationships/hyperlink" Target="https://patadovietnam.edu.vn/hlg_tattpvn_gt/" TargetMode="External"/><Relationship Id="rId626" Type="http://schemas.openxmlformats.org/officeDocument/2006/relationships/hyperlink" Target="https://patadovietnam.edu.vn/hlg_gt_sea/?utm_source=Google&amp;utm_medium=SEA&amp;utm_term=!!!&amp;utm_content=!!!&amp;utm_campaign=!!!" TargetMode="External"/><Relationship Id="rId625" Type="http://schemas.openxmlformats.org/officeDocument/2006/relationships/hyperlink" Target="https://patadovietnam.edu.vn/hlg_tattpvn_gt/" TargetMode="External"/><Relationship Id="rId620" Type="http://schemas.openxmlformats.org/officeDocument/2006/relationships/hyperlink" Target="https://patadovietnam.edu.vn/hlg_gt_sea/?utm_source=Google&amp;utm_medium=SEA&amp;utm_term=!!!&amp;utm_content=!!!&amp;utm_campaign=!!!" TargetMode="External"/><Relationship Id="rId619" Type="http://schemas.openxmlformats.org/officeDocument/2006/relationships/hyperlink" Target="https://patadovietnam.edu.vn/hlg_tattpvn_gt/" TargetMode="External"/><Relationship Id="rId618" Type="http://schemas.openxmlformats.org/officeDocument/2006/relationships/hyperlink" Target="https://patadovietnam.edu.vn/hlg_gt_sea/?utm_source=Google&amp;utm_medium=SEA&amp;utm_term=!!!&amp;utm_content=!!!&amp;utm_campaign=!!!" TargetMode="External"/><Relationship Id="rId613" Type="http://schemas.openxmlformats.org/officeDocument/2006/relationships/hyperlink" Target="https://patadovietnam.edu.vn/hlg_tattpvn_gt/" TargetMode="External"/><Relationship Id="rId612" Type="http://schemas.openxmlformats.org/officeDocument/2006/relationships/hyperlink" Target="https://patadovietnam.edu.vn/hlg_gt_sea/?utm_source=Google&amp;utm_medium=SEA&amp;utm_term=!!!&amp;utm_content=!!!&amp;utm_campaign=!!!" TargetMode="External"/><Relationship Id="rId611" Type="http://schemas.openxmlformats.org/officeDocument/2006/relationships/hyperlink" Target="https://patadovietnam.edu.vn/hlg_tattpvn_gt/" TargetMode="External"/><Relationship Id="rId610" Type="http://schemas.openxmlformats.org/officeDocument/2006/relationships/hyperlink" Target="https://patadovietnam.edu.vn/hlg_gt_sea/?utm_source=Google&amp;utm_medium=SEA&amp;utm_term=!!!&amp;utm_content=!!!&amp;utm_campaign=!!!" TargetMode="External"/><Relationship Id="rId617" Type="http://schemas.openxmlformats.org/officeDocument/2006/relationships/hyperlink" Target="https://patadovietnam.edu.vn/hlg_tattpvn_gt/" TargetMode="External"/><Relationship Id="rId616" Type="http://schemas.openxmlformats.org/officeDocument/2006/relationships/hyperlink" Target="https://patadovietnam.edu.vn/hlg_gt_sea/?utm_source=Google&amp;utm_medium=SEA&amp;utm_term=!!!&amp;utm_content=!!!&amp;utm_campaign=!!!" TargetMode="External"/><Relationship Id="rId615" Type="http://schemas.openxmlformats.org/officeDocument/2006/relationships/hyperlink" Target="https://patadovietnam.edu.vn/hlg_tattpvn_gt/" TargetMode="External"/><Relationship Id="rId614" Type="http://schemas.openxmlformats.org/officeDocument/2006/relationships/hyperlink" Target="https://patadovietnam.edu.vn/hlg_gt_sea/?utm_source=Google&amp;utm_medium=SEA&amp;utm_term=!!!&amp;utm_content=!!!&amp;utm_campaign=!!!" TargetMode="External"/><Relationship Id="rId646" Type="http://schemas.openxmlformats.org/officeDocument/2006/relationships/hyperlink" Target="https://patadovietnam.edu.vn/hlg_gt_sea/?utm_source=Google&amp;utm_medium=SEA&amp;utm_term=!!!&amp;utm_content=!!!&amp;utm_campaign=!!!" TargetMode="External"/><Relationship Id="rId645" Type="http://schemas.openxmlformats.org/officeDocument/2006/relationships/hyperlink" Target="https://patadovietnam.edu.vn/hlg_tattpvn_gt/" TargetMode="External"/><Relationship Id="rId644" Type="http://schemas.openxmlformats.org/officeDocument/2006/relationships/hyperlink" Target="https://patadovietnam.edu.vn/hlg_gt_sea/?utm_source=Google&amp;utm_medium=SEA&amp;utm_term=!!!&amp;utm_content=!!!&amp;utm_campaign=!!!" TargetMode="External"/><Relationship Id="rId643" Type="http://schemas.openxmlformats.org/officeDocument/2006/relationships/hyperlink" Target="https://patadovietnam.edu.vn/hlg_tattpvn_gt/" TargetMode="External"/><Relationship Id="rId649" Type="http://schemas.openxmlformats.org/officeDocument/2006/relationships/hyperlink" Target="https://patadovietnam.edu.vn/hlg_tattpvn_gt/" TargetMode="External"/><Relationship Id="rId648" Type="http://schemas.openxmlformats.org/officeDocument/2006/relationships/hyperlink" Target="https://patadovietnam.edu.vn/hlg_gt_sea/?utm_source=Google&amp;utm_medium=SEA&amp;utm_term=!!!&amp;utm_content=!!!&amp;utm_campaign=!!!" TargetMode="External"/><Relationship Id="rId647" Type="http://schemas.openxmlformats.org/officeDocument/2006/relationships/hyperlink" Target="https://patadovietnam.edu.vn/hlg_tattpvn_gt/" TargetMode="External"/><Relationship Id="rId642" Type="http://schemas.openxmlformats.org/officeDocument/2006/relationships/hyperlink" Target="https://patadovietnam.edu.vn/hlg_gt_sea/?utm_source=Google&amp;utm_medium=SEA&amp;utm_term=!!!&amp;utm_content=!!!&amp;utm_campaign=!!!" TargetMode="External"/><Relationship Id="rId641" Type="http://schemas.openxmlformats.org/officeDocument/2006/relationships/hyperlink" Target="https://patadovietnam.edu.vn/hlg_tattpvn_gt/" TargetMode="External"/><Relationship Id="rId640" Type="http://schemas.openxmlformats.org/officeDocument/2006/relationships/hyperlink" Target="https://patadovietnam.edu.vn/hlg_gt_sea/?utm_source=Google&amp;utm_medium=SEA&amp;utm_term=!!!&amp;utm_content=!!!&amp;utm_campaign=!!!" TargetMode="External"/><Relationship Id="rId635" Type="http://schemas.openxmlformats.org/officeDocument/2006/relationships/hyperlink" Target="https://patadovietnam.edu.vn/hlg_tattpvn_gt/" TargetMode="External"/><Relationship Id="rId634" Type="http://schemas.openxmlformats.org/officeDocument/2006/relationships/hyperlink" Target="https://patadovietnam.edu.vn/hlg_gt_sea/?utm_source=Google&amp;utm_medium=SEA&amp;utm_term=!!!&amp;utm_content=!!!&amp;utm_campaign=!!!" TargetMode="External"/><Relationship Id="rId633" Type="http://schemas.openxmlformats.org/officeDocument/2006/relationships/hyperlink" Target="https://patadovietnam.edu.vn/hlg_tattpvn_gt/" TargetMode="External"/><Relationship Id="rId632" Type="http://schemas.openxmlformats.org/officeDocument/2006/relationships/hyperlink" Target="https://patadovietnam.edu.vn/hlg_gt_sea/?utm_source=Google&amp;utm_medium=SEA&amp;utm_term=!!!&amp;utm_content=!!!&amp;utm_campaign=!!!" TargetMode="External"/><Relationship Id="rId639" Type="http://schemas.openxmlformats.org/officeDocument/2006/relationships/hyperlink" Target="https://patadovietnam.edu.vn/hlg_tattpvn_gt/" TargetMode="External"/><Relationship Id="rId638" Type="http://schemas.openxmlformats.org/officeDocument/2006/relationships/hyperlink" Target="https://patadovietnam.edu.vn/hlg_gt_sea/?utm_source=Google&amp;utm_medium=SEA&amp;utm_term=!!!&amp;utm_content=!!!&amp;utm_campaign=!!!" TargetMode="External"/><Relationship Id="rId637" Type="http://schemas.openxmlformats.org/officeDocument/2006/relationships/hyperlink" Target="https://patadovietnam.edu.vn/hlg_tattpvn_gt/" TargetMode="External"/><Relationship Id="rId636" Type="http://schemas.openxmlformats.org/officeDocument/2006/relationships/hyperlink" Target="https://patadovietnam.edu.vn/hlg_gt_sea/?utm_source=Google&amp;utm_medium=SEA&amp;utm_term=!!!&amp;utm_content=!!!&amp;utm_campaign=!!!" TargetMode="External"/><Relationship Id="rId631" Type="http://schemas.openxmlformats.org/officeDocument/2006/relationships/hyperlink" Target="https://patadovietnam.edu.vn/hlg_tattpvn_gt/" TargetMode="External"/><Relationship Id="rId630" Type="http://schemas.openxmlformats.org/officeDocument/2006/relationships/hyperlink" Target="https://patadovietnam.edu.vn/hlg_gt_sea/?utm_source=Google&amp;utm_medium=SEA&amp;utm_term=!!!&amp;utm_content=!!!&amp;utm_campaign=!!!" TargetMode="External"/><Relationship Id="rId609" Type="http://schemas.openxmlformats.org/officeDocument/2006/relationships/hyperlink" Target="https://patadovietnam.edu.vn/hlg_tattpvn_gt/" TargetMode="External"/><Relationship Id="rId608" Type="http://schemas.openxmlformats.org/officeDocument/2006/relationships/hyperlink" Target="https://patadovietnam.edu.vn/hlg_gt_sea/?utm_source=Google&amp;utm_medium=SEA&amp;utm_term=!!!&amp;utm_content=!!!&amp;utm_campaign=!!!" TargetMode="External"/><Relationship Id="rId607" Type="http://schemas.openxmlformats.org/officeDocument/2006/relationships/hyperlink" Target="https://patadovietnam.edu.vn/hlg_tattpvn_gt/" TargetMode="External"/><Relationship Id="rId602" Type="http://schemas.openxmlformats.org/officeDocument/2006/relationships/hyperlink" Target="https://patadovietnam.edu.vn/hlg_gt_sea/?utm_source=Google&amp;utm_medium=SEA&amp;utm_term=!!!&amp;utm_content=!!!&amp;utm_campaign=!!!" TargetMode="External"/><Relationship Id="rId601" Type="http://schemas.openxmlformats.org/officeDocument/2006/relationships/hyperlink" Target="https://patadovietnam.edu.vn/hlg_tattpvn_gt/" TargetMode="External"/><Relationship Id="rId600" Type="http://schemas.openxmlformats.org/officeDocument/2006/relationships/hyperlink" Target="https://patadovietnam.edu.vn/hlg_gt_sea/?utm_source=Google&amp;utm_medium=SEA&amp;utm_term=!!!&amp;utm_content=!!!&amp;utm_campaign=!!!" TargetMode="External"/><Relationship Id="rId606" Type="http://schemas.openxmlformats.org/officeDocument/2006/relationships/hyperlink" Target="https://patadovietnam.edu.vn/hlg_gt_sea/?utm_source=Google&amp;utm_medium=SEA&amp;utm_term=!!!&amp;utm_content=!!!&amp;utm_campaign=!!!" TargetMode="External"/><Relationship Id="rId605" Type="http://schemas.openxmlformats.org/officeDocument/2006/relationships/hyperlink" Target="https://patadovietnam.edu.vn/hlg_tattpvn_gt/" TargetMode="External"/><Relationship Id="rId604" Type="http://schemas.openxmlformats.org/officeDocument/2006/relationships/hyperlink" Target="https://patadovietnam.edu.vn/hlg_gt_sea/?utm_source=Google&amp;utm_medium=SEA&amp;utm_term=!!!&amp;utm_content=!!!&amp;utm_campaign=!!!" TargetMode="External"/><Relationship Id="rId603" Type="http://schemas.openxmlformats.org/officeDocument/2006/relationships/hyperlink" Target="https://patadovietnam.edu.vn/hlg_tattpvn_gt/" TargetMode="External"/><Relationship Id="rId699" Type="http://schemas.openxmlformats.org/officeDocument/2006/relationships/hyperlink" Target="https://patadovietnam.edu.vn/hlg_tattpvn_gt/" TargetMode="External"/><Relationship Id="rId698" Type="http://schemas.openxmlformats.org/officeDocument/2006/relationships/hyperlink" Target="https://patadovietnam.edu.vn/hlg_gt_sea/?utm_source=Google&amp;utm_medium=SEA&amp;utm_term=!!!&amp;utm_content=!!!&amp;utm_campaign=!!!" TargetMode="External"/><Relationship Id="rId693" Type="http://schemas.openxmlformats.org/officeDocument/2006/relationships/hyperlink" Target="https://patadovietnam.edu.vn/hlg_tattpvn_gt/" TargetMode="External"/><Relationship Id="rId692" Type="http://schemas.openxmlformats.org/officeDocument/2006/relationships/hyperlink" Target="https://patadovietnam.edu.vn/hlg_gt_sea/?utm_source=Google&amp;utm_medium=SEA&amp;utm_term=!!!&amp;utm_content=!!!&amp;utm_campaign=!!!" TargetMode="External"/><Relationship Id="rId691" Type="http://schemas.openxmlformats.org/officeDocument/2006/relationships/hyperlink" Target="https://patadovietnam.edu.vn/hlg_tattpvn_gt/" TargetMode="External"/><Relationship Id="rId690" Type="http://schemas.openxmlformats.org/officeDocument/2006/relationships/hyperlink" Target="https://patadovietnam.edu.vn/hlg_gt_sea/?utm_source=Google&amp;utm_medium=SEA&amp;utm_term=!!!&amp;utm_content=!!!&amp;utm_campaign=!!!" TargetMode="External"/><Relationship Id="rId697" Type="http://schemas.openxmlformats.org/officeDocument/2006/relationships/hyperlink" Target="https://patadovietnam.edu.vn/hlg_tattpvn_gt/" TargetMode="External"/><Relationship Id="rId696" Type="http://schemas.openxmlformats.org/officeDocument/2006/relationships/hyperlink" Target="https://patadovietnam.edu.vn/hlg_gt_sea/?utm_source=Google&amp;utm_medium=SEA&amp;utm_term=!!!&amp;utm_content=!!!&amp;utm_campaign=!!!" TargetMode="External"/><Relationship Id="rId695" Type="http://schemas.openxmlformats.org/officeDocument/2006/relationships/hyperlink" Target="https://patadovietnam.edu.vn/hlg_tattpvn_gt/" TargetMode="External"/><Relationship Id="rId694" Type="http://schemas.openxmlformats.org/officeDocument/2006/relationships/hyperlink" Target="https://patadovietnam.edu.vn/hlg_gt_sea/?utm_source=Google&amp;utm_medium=SEA&amp;utm_term=!!!&amp;utm_content=!!!&amp;utm_campaign=!!!" TargetMode="External"/><Relationship Id="rId668" Type="http://schemas.openxmlformats.org/officeDocument/2006/relationships/hyperlink" Target="https://patadovietnam.edu.vn/hlg_gt_sea/?utm_source=Google&amp;utm_medium=SEA&amp;utm_term=!!!&amp;utm_content=!!!&amp;utm_campaign=!!!" TargetMode="External"/><Relationship Id="rId667" Type="http://schemas.openxmlformats.org/officeDocument/2006/relationships/hyperlink" Target="https://patadovietnam.edu.vn/hlg_tattpvn_gt/" TargetMode="External"/><Relationship Id="rId666" Type="http://schemas.openxmlformats.org/officeDocument/2006/relationships/hyperlink" Target="https://patadovietnam.edu.vn/hlg_gt_sea/?utm_source=Google&amp;utm_medium=SEA&amp;utm_term=!!!&amp;utm_content=!!!&amp;utm_campaign=!!!" TargetMode="External"/><Relationship Id="rId665" Type="http://schemas.openxmlformats.org/officeDocument/2006/relationships/hyperlink" Target="https://patadovietnam.edu.vn/hlg_tattpvn_gt/" TargetMode="External"/><Relationship Id="rId669" Type="http://schemas.openxmlformats.org/officeDocument/2006/relationships/hyperlink" Target="https://patadovietnam.edu.vn/hlg_tattpvn_gt/" TargetMode="External"/><Relationship Id="rId660" Type="http://schemas.openxmlformats.org/officeDocument/2006/relationships/hyperlink" Target="https://patadovietnam.edu.vn/hlg_gt_sea/?utm_source=Google&amp;utm_medium=SEA&amp;utm_term=!!!&amp;utm_content=!!!&amp;utm_campaign=!!!" TargetMode="External"/><Relationship Id="rId664" Type="http://schemas.openxmlformats.org/officeDocument/2006/relationships/hyperlink" Target="https://patadovietnam.edu.vn/hlg_gt_sea/?utm_source=Google&amp;utm_medium=SEA&amp;utm_term=!!!&amp;utm_content=!!!&amp;utm_campaign=!!!" TargetMode="External"/><Relationship Id="rId663" Type="http://schemas.openxmlformats.org/officeDocument/2006/relationships/hyperlink" Target="https://patadovietnam.edu.vn/hlg_tattpvn_gt/" TargetMode="External"/><Relationship Id="rId662" Type="http://schemas.openxmlformats.org/officeDocument/2006/relationships/hyperlink" Target="https://patadovietnam.edu.vn/hlg_gt_sea/?utm_source=Google&amp;utm_medium=SEA&amp;utm_term=!!!&amp;utm_content=!!!&amp;utm_campaign=!!!" TargetMode="External"/><Relationship Id="rId661" Type="http://schemas.openxmlformats.org/officeDocument/2006/relationships/hyperlink" Target="https://patadovietnam.edu.vn/hlg_tattpvn_gt/" TargetMode="External"/><Relationship Id="rId657" Type="http://schemas.openxmlformats.org/officeDocument/2006/relationships/hyperlink" Target="https://patadovietnam.edu.vn/hlg_tattpvn_gt/" TargetMode="External"/><Relationship Id="rId656" Type="http://schemas.openxmlformats.org/officeDocument/2006/relationships/hyperlink" Target="https://patadovietnam.edu.vn/hlg_gt_sea/?utm_source=Google&amp;utm_medium=SEA&amp;utm_term=!!!&amp;utm_content=!!!&amp;utm_campaign=!!!" TargetMode="External"/><Relationship Id="rId655" Type="http://schemas.openxmlformats.org/officeDocument/2006/relationships/hyperlink" Target="https://patadovietnam.edu.vn/hlg_tattpvn_gt/" TargetMode="External"/><Relationship Id="rId654" Type="http://schemas.openxmlformats.org/officeDocument/2006/relationships/hyperlink" Target="https://patadovietnam.edu.vn/hlg_gt_sea/?utm_source=Google&amp;utm_medium=SEA&amp;utm_term=!!!&amp;utm_content=!!!&amp;utm_campaign=!!!" TargetMode="External"/><Relationship Id="rId659" Type="http://schemas.openxmlformats.org/officeDocument/2006/relationships/hyperlink" Target="https://patadovietnam.edu.vn/hlg_tattpvn_gt/" TargetMode="External"/><Relationship Id="rId658" Type="http://schemas.openxmlformats.org/officeDocument/2006/relationships/hyperlink" Target="https://patadovietnam.edu.vn/hlg_gt_sea/?utm_source=Google&amp;utm_medium=SEA&amp;utm_term=!!!&amp;utm_content=!!!&amp;utm_campaign=!!!" TargetMode="External"/><Relationship Id="rId653" Type="http://schemas.openxmlformats.org/officeDocument/2006/relationships/hyperlink" Target="https://patadovietnam.edu.vn/hlg_tattpvn_gt/" TargetMode="External"/><Relationship Id="rId652" Type="http://schemas.openxmlformats.org/officeDocument/2006/relationships/hyperlink" Target="https://patadovietnam.edu.vn/hlg_gt_sea/?utm_source=Google&amp;utm_medium=SEA&amp;utm_term=!!!&amp;utm_content=!!!&amp;utm_campaign=!!!" TargetMode="External"/><Relationship Id="rId651" Type="http://schemas.openxmlformats.org/officeDocument/2006/relationships/hyperlink" Target="https://patadovietnam.edu.vn/hlg_tattpvn_gt/" TargetMode="External"/><Relationship Id="rId650" Type="http://schemas.openxmlformats.org/officeDocument/2006/relationships/hyperlink" Target="https://patadovietnam.edu.vn/hlg_gt_sea/?utm_source=Google&amp;utm_medium=SEA&amp;utm_term=!!!&amp;utm_content=!!!&amp;utm_campaign=!!!" TargetMode="External"/><Relationship Id="rId689" Type="http://schemas.openxmlformats.org/officeDocument/2006/relationships/hyperlink" Target="https://patadovietnam.edu.vn/hlg_tattpvn_gt/" TargetMode="External"/><Relationship Id="rId688" Type="http://schemas.openxmlformats.org/officeDocument/2006/relationships/hyperlink" Target="https://patadovietnam.edu.vn/hlg_gt_sea/?utm_source=Google&amp;utm_medium=SEA&amp;utm_term=!!!&amp;utm_content=!!!&amp;utm_campaign=!!!" TargetMode="External"/><Relationship Id="rId687" Type="http://schemas.openxmlformats.org/officeDocument/2006/relationships/hyperlink" Target="https://patadovietnam.edu.vn/hlg_tattpvn_gt/" TargetMode="External"/><Relationship Id="rId682" Type="http://schemas.openxmlformats.org/officeDocument/2006/relationships/hyperlink" Target="https://patadovietnam.edu.vn/hlg_gt_sea/?utm_source=Google&amp;utm_medium=SEA&amp;utm_term=!!!&amp;utm_content=!!!&amp;utm_campaign=!!!" TargetMode="External"/><Relationship Id="rId681" Type="http://schemas.openxmlformats.org/officeDocument/2006/relationships/hyperlink" Target="https://patadovietnam.edu.vn/hlg_tattpvn_gt/" TargetMode="External"/><Relationship Id="rId680" Type="http://schemas.openxmlformats.org/officeDocument/2006/relationships/hyperlink" Target="https://patadovietnam.edu.vn/hlg_gt_sea/?utm_source=Google&amp;utm_medium=SEA&amp;utm_term=!!!&amp;utm_content=!!!&amp;utm_campaign=!!!" TargetMode="External"/><Relationship Id="rId686" Type="http://schemas.openxmlformats.org/officeDocument/2006/relationships/hyperlink" Target="https://patadovietnam.edu.vn/hlg_gt_sea/?utm_source=Google&amp;utm_medium=SEA&amp;utm_term=!!!&amp;utm_content=!!!&amp;utm_campaign=!!!" TargetMode="External"/><Relationship Id="rId685" Type="http://schemas.openxmlformats.org/officeDocument/2006/relationships/hyperlink" Target="https://patadovietnam.edu.vn/hlg_tattpvn_gt/" TargetMode="External"/><Relationship Id="rId684" Type="http://schemas.openxmlformats.org/officeDocument/2006/relationships/hyperlink" Target="https://patadovietnam.edu.vn/hlg_gt_sea/?utm_source=Google&amp;utm_medium=SEA&amp;utm_term=!!!&amp;utm_content=!!!&amp;utm_campaign=!!!" TargetMode="External"/><Relationship Id="rId683" Type="http://schemas.openxmlformats.org/officeDocument/2006/relationships/hyperlink" Target="https://patadovietnam.edu.vn/hlg_tattpvn_gt/" TargetMode="External"/><Relationship Id="rId679" Type="http://schemas.openxmlformats.org/officeDocument/2006/relationships/hyperlink" Target="https://patadovietnam.edu.vn/hlg_tattpvn_gt/" TargetMode="External"/><Relationship Id="rId678" Type="http://schemas.openxmlformats.org/officeDocument/2006/relationships/hyperlink" Target="https://patadovietnam.edu.vn/hlg_gt_sea/?utm_source=Google&amp;utm_medium=SEA&amp;utm_term=!!!&amp;utm_content=!!!&amp;utm_campaign=!!!" TargetMode="External"/><Relationship Id="rId677" Type="http://schemas.openxmlformats.org/officeDocument/2006/relationships/hyperlink" Target="https://patadovietnam.edu.vn/hlg_tattpvn_gt/" TargetMode="External"/><Relationship Id="rId676" Type="http://schemas.openxmlformats.org/officeDocument/2006/relationships/hyperlink" Target="https://patadovietnam.edu.vn/hlg_gt_sea/?utm_source=Google&amp;utm_medium=SEA&amp;utm_term=!!!&amp;utm_content=!!!&amp;utm_campaign=!!!" TargetMode="External"/><Relationship Id="rId671" Type="http://schemas.openxmlformats.org/officeDocument/2006/relationships/hyperlink" Target="https://patadovietnam.edu.vn/hlg_tattpvn_gt/" TargetMode="External"/><Relationship Id="rId670" Type="http://schemas.openxmlformats.org/officeDocument/2006/relationships/hyperlink" Target="https://patadovietnam.edu.vn/hlg_gt_sea/?utm_source=Google&amp;utm_medium=SEA&amp;utm_term=!!!&amp;utm_content=!!!&amp;utm_campaign=!!!" TargetMode="External"/><Relationship Id="rId675" Type="http://schemas.openxmlformats.org/officeDocument/2006/relationships/hyperlink" Target="https://patadovietnam.edu.vn/hlg_tattpvn_gt/" TargetMode="External"/><Relationship Id="rId674" Type="http://schemas.openxmlformats.org/officeDocument/2006/relationships/hyperlink" Target="https://patadovietnam.edu.vn/hlg_gt_sea/?utm_source=Google&amp;utm_medium=SEA&amp;utm_term=!!!&amp;utm_content=!!!&amp;utm_campaign=!!!" TargetMode="External"/><Relationship Id="rId673" Type="http://schemas.openxmlformats.org/officeDocument/2006/relationships/hyperlink" Target="https://patadovietnam.edu.vn/hlg_tattpvn_gt/" TargetMode="External"/><Relationship Id="rId672" Type="http://schemas.openxmlformats.org/officeDocument/2006/relationships/hyperlink" Target="https://patadovietnam.edu.vn/hlg_gt_sea/?utm_source=Google&amp;utm_medium=SEA&amp;utm_term=!!!&amp;utm_content=!!!&amp;utm_campaign=!!!" TargetMode="External"/><Relationship Id="rId190" Type="http://schemas.openxmlformats.org/officeDocument/2006/relationships/hyperlink" Target="https://patadovietnam.edu.vn/hlg_gt_sea/?utm_source=Google&amp;utm_medium=SEA&amp;utm_term=NON_Japan_none_none_150225&amp;utm_content=KW_Tienganhonline_PTAGTTD_LD237&amp;utm_campaign=Japan.CPA400_Patado_SEA_HuyLG_150225" TargetMode="External"/><Relationship Id="rId194" Type="http://schemas.openxmlformats.org/officeDocument/2006/relationships/hyperlink" Target="https://patadovietnam.edu.vn/hlg_gt_sea/?utm_source=Google&amp;utm_medium=SEA&amp;utm_term=NON_Japan_none_none_150225&amp;utm_content=KW_Hoctienganhtructuyen_PTAGTTD_LD237&amp;utm_campaign=Japan.CPA400_Patado_SEA_HuyLG_150225" TargetMode="External"/><Relationship Id="rId193" Type="http://schemas.openxmlformats.org/officeDocument/2006/relationships/hyperlink" Target="https://patadovietnam.edu.vn/hlg_tattpvn_gt/" TargetMode="External"/><Relationship Id="rId192" Type="http://schemas.openxmlformats.org/officeDocument/2006/relationships/hyperlink" Target="https://patadovietnam.edu.vn/hlg_gt_sea/?utm_source=Google&amp;utm_medium=SEA&amp;utm_term=NON_Japan_none_none_150225&amp;utm_content=KW_TiengAnhGiaoTiep_PTAGTTD_LD237&amp;utm_campaign=Japan.CPA400_Patado_SEA_HuyLG_150225" TargetMode="External"/><Relationship Id="rId191" Type="http://schemas.openxmlformats.org/officeDocument/2006/relationships/hyperlink" Target="https://patadovietnam.edu.vn/hlg_tattpvn_gt/" TargetMode="External"/><Relationship Id="rId187" Type="http://schemas.openxmlformats.org/officeDocument/2006/relationships/hyperlink" Target="https://patadovietnam.edu.vn/hlg_tattpvn_gt/" TargetMode="External"/><Relationship Id="rId186" Type="http://schemas.openxmlformats.org/officeDocument/2006/relationships/hyperlink" Target="https://patadovietnam.edu.vn/hlg_gt_sea/?utm_source=Google&amp;utm_medium=SEA&amp;utm_term=NON_Japan_none_none_150225&amp;utm_content=KW_Tienganhonlinetainha_PTAGTTD_LD237&amp;utm_campaign=Japan.CPA400_Patado_SEA_HuyLG_150225" TargetMode="External"/><Relationship Id="rId185" Type="http://schemas.openxmlformats.org/officeDocument/2006/relationships/hyperlink" Target="https://patadovietnam.edu.vn/hlg_tattpvn_gt/" TargetMode="External"/><Relationship Id="rId184" Type="http://schemas.openxmlformats.org/officeDocument/2006/relationships/hyperlink" Target="https://patadovietnam.edu.vn/hlg_gt_sea/?utm_source=Google&amp;utm_medium=SEA&amp;utm_term=NON_Japan_none_none_150225&amp;utm_content=KW_Tienganhtudau_PTAGTTD_LD237&amp;utm_campaign=Japan.CPA400_Patado_SEA_HuyLG_150225" TargetMode="External"/><Relationship Id="rId189" Type="http://schemas.openxmlformats.org/officeDocument/2006/relationships/hyperlink" Target="https://patadovietnam.edu.vn/hlg_tattpvn_gt/" TargetMode="External"/><Relationship Id="rId188" Type="http://schemas.openxmlformats.org/officeDocument/2006/relationships/hyperlink" Target="https://patadovietnam.edu.vn/hlg_gt_sea/?utm_source=Google&amp;utm_medium=SEA&amp;utm_term=NON_Japan_none_none_150225&amp;utm_content=KW_Tienganhcoban_PTAGTTD_LD237&amp;utm_campaign=Japan.CPA400_Patado_SEA_HuyLG_150225" TargetMode="External"/><Relationship Id="rId183" Type="http://schemas.openxmlformats.org/officeDocument/2006/relationships/hyperlink" Target="https://patadovietnam.edu.vn/hlg_tattpvn_gt/" TargetMode="External"/><Relationship Id="rId182" Type="http://schemas.openxmlformats.org/officeDocument/2006/relationships/hyperlink" Target="https://patadovietnam.edu.vn/hlg_gt_sea/?utm_source=Google&amp;utm_medium=SEA&amp;utm_term=NON_UnitedStates_none_none_130225&amp;utm_content=KW_Tienganhchonguoimatgoc_PTAGTTD_LD237&amp;utm_campaign=UnitedStates.CPA600_Patado_SEA_HuyLG_130225" TargetMode="External"/><Relationship Id="rId181" Type="http://schemas.openxmlformats.org/officeDocument/2006/relationships/hyperlink" Target="https://patadovietnam.edu.vn/hlg_tattpvn_gt/" TargetMode="External"/><Relationship Id="rId180" Type="http://schemas.openxmlformats.org/officeDocument/2006/relationships/hyperlink" Target="https://patadovietnam.edu.vn/hlg_gt_sea/?utm_source=Google&amp;utm_medium=SEA&amp;utm_term=NON_UnitedStates_none_none_130225&amp;utm_content=KW_Daytienganhonline_PTAGTTD_LD237&amp;utm_campaign=UnitedStates.CPA600_Patado_SEA_HuyLG_130225" TargetMode="External"/><Relationship Id="rId176" Type="http://schemas.openxmlformats.org/officeDocument/2006/relationships/hyperlink" Target="https://patadovietnam.edu.vn/hlg_gt_sea/?utm_source=Google&amp;utm_medium=SEA&amp;utm_term=NON_UnitedStates_none_none_130225&amp;utm_content=KW_Tienganhgiaotiepcaptoc_PTAGTTD_LD237&amp;utm_campaign=UnitedStates.CPA600_Patado_SEA_HuyLG_130225" TargetMode="External"/><Relationship Id="rId175" Type="http://schemas.openxmlformats.org/officeDocument/2006/relationships/hyperlink" Target="https://patadovietnam.edu.vn/hlg_tattpvn_gt/" TargetMode="External"/><Relationship Id="rId174" Type="http://schemas.openxmlformats.org/officeDocument/2006/relationships/hyperlink" Target="https://patadovietnam.edu.vn/hlg_gt_sea/?utm_source=Google&amp;utm_medium=SEA&amp;utm_term=NON_UnitedStates_none_none_130225&amp;utm_content=KW_Tienganhchonguoimatgoc_PTAGTTD_LD237&amp;utm_campaign=UnitedStates.CPA600_Patado_SEA_HuyLG_130225" TargetMode="External"/><Relationship Id="rId173" Type="http://schemas.openxmlformats.org/officeDocument/2006/relationships/hyperlink" Target="https://patadovietnam.edu.vn/hlg_tattpvn_gt/" TargetMode="External"/><Relationship Id="rId179" Type="http://schemas.openxmlformats.org/officeDocument/2006/relationships/hyperlink" Target="https://patadovietnam.edu.vn/hlg_tattpvn_gt/" TargetMode="External"/><Relationship Id="rId178" Type="http://schemas.openxmlformats.org/officeDocument/2006/relationships/hyperlink" Target="https://patadovietnam.edu.vn/hlg_gt_sea/?utm_source=Google&amp;utm_medium=SEA&amp;utm_term=NON_UnitedStates_none_none_130225&amp;utm_content=KW_Tienganhvanphong_PTAGTTD_LD237&amp;utm_campaign=UnitedStates.CPA600_Patado_SEA_HuyLG_130225" TargetMode="External"/><Relationship Id="rId177" Type="http://schemas.openxmlformats.org/officeDocument/2006/relationships/hyperlink" Target="https://patadovietnam.edu.vn/hlg_tattpvn_gt/" TargetMode="External"/><Relationship Id="rId198" Type="http://schemas.openxmlformats.org/officeDocument/2006/relationships/hyperlink" Target="https://patadovietnam.edu.vn/hlg_gt_sea/?utm_source=Google&amp;utm_medium=SEA&amp;utm_term=NON_Japan_none_none_150225&amp;utm_content=KW_Daytienganhonline_PTAGTTD_LD237&amp;utm_campaign=Japan.CPA400_Patado_SEA_HuyLG_150225" TargetMode="External"/><Relationship Id="rId197" Type="http://schemas.openxmlformats.org/officeDocument/2006/relationships/hyperlink" Target="https://patadovietnam.edu.vn/hlg_tattpvn_gt/" TargetMode="External"/><Relationship Id="rId196" Type="http://schemas.openxmlformats.org/officeDocument/2006/relationships/hyperlink" Target="https://patadovietnam.edu.vn/hlg_gt_sea/?utm_source=Google&amp;utm_medium=SEA&amp;utm_term=NON_Japan_none_none_150225&amp;utm_content=KW_Chuongtrinhhoctienganh_PTAGTTD_LD237&amp;utm_campaign=Japan.CPA400_Patado_SEA_HuyLG_150225" TargetMode="External"/><Relationship Id="rId195" Type="http://schemas.openxmlformats.org/officeDocument/2006/relationships/hyperlink" Target="https://patadovietnam.edu.vn/hlg_tattpvn_gt/" TargetMode="External"/><Relationship Id="rId199" Type="http://schemas.openxmlformats.org/officeDocument/2006/relationships/hyperlink" Target="https://patadovietnam.edu.vn/hlg_tattpvn_gt/" TargetMode="External"/><Relationship Id="rId150" Type="http://schemas.openxmlformats.org/officeDocument/2006/relationships/hyperlink" Target="https://patadovietnam.edu.vn/hlg_gt_sea/?utm_source=Google&amp;utm_medium=SEA&amp;utm_term=NON_UnitedStates_none_none_130225&amp;utm_content=KW_Hoctienganhonline_PTAGTTD_LD237&amp;utm_campaign=UnitedStates.CPA600_Patado_SEA_HuyLG_130225" TargetMode="External"/><Relationship Id="rId149" Type="http://schemas.openxmlformats.org/officeDocument/2006/relationships/hyperlink" Target="https://patadovietnam.edu.vn/hlg_tattpvn_gt/" TargetMode="External"/><Relationship Id="rId148" Type="http://schemas.openxmlformats.org/officeDocument/2006/relationships/hyperlink" Target="https://patadovietnam.edu.vn/hlg_gt_sea/?utm_source=Google&amp;utm_medium=SEA&amp;utm_term=NON_UnitedStates_none_none_130225&amp;utm_content=KW_HocTiengAnhOnlineChoNguoiMatGoc_PTAGTTD_LD237&amp;utm_campaign=UnitedStates.CPA600_Patado_SEA_HuyLG_130225" TargetMode="External"/><Relationship Id="rId143" Type="http://schemas.openxmlformats.org/officeDocument/2006/relationships/hyperlink" Target="https://patadovietnam.edu.vn/hlg_tattpvn_gt/" TargetMode="External"/><Relationship Id="rId142" Type="http://schemas.openxmlformats.org/officeDocument/2006/relationships/hyperlink" Target="https://patadovietnam.edu.vn/hlg_gt_sea/?utm_source=Google&amp;utm_medium=SEA&amp;utm_term=NON_UnitedStates_none_none_130225&amp;utm_content=KW_HocTiengAnhOnlineChoNguoiMatGoc_PTAGTTD_LD237&amp;utm_campaign=UnitedStates.CPA600_Patado_SEA_HuyLG_130225" TargetMode="External"/><Relationship Id="rId141" Type="http://schemas.openxmlformats.org/officeDocument/2006/relationships/hyperlink" Target="https://patadovietnam.edu.vn/hlg_tattpvn_gt/" TargetMode="External"/><Relationship Id="rId140" Type="http://schemas.openxmlformats.org/officeDocument/2006/relationships/hyperlink" Target="https://patadovietnam.edu.vn/hlg_gt_sea/?utm_source=Google&amp;utm_medium=SEA&amp;utm_term=NON_UnitedStates_none_none_130225&amp;utm_content=KW_HocTiengAnhTrucTuyenOnline_PTAGTTD_LD237&amp;utm_campaign=UnitedStates.CPA600_Patado_SEA_HuyLG_130225" TargetMode="External"/><Relationship Id="rId147" Type="http://schemas.openxmlformats.org/officeDocument/2006/relationships/hyperlink" Target="https://patadovietnam.edu.vn/hlg_tattpvn_gt/" TargetMode="External"/><Relationship Id="rId146" Type="http://schemas.openxmlformats.org/officeDocument/2006/relationships/hyperlink" Target="https://patadovietnam.edu.vn/hlg_gt_sea/?utm_source=Google&amp;utm_medium=SEA&amp;utm_term=NON_UnitedStates_none_none_130225&amp;utm_content=KW_Tienganhtudau_PTAGTTD_LD237&amp;utm_campaign=UnitedStates.CPA600_Patado_SEA_HuyLG_130225" TargetMode="External"/><Relationship Id="rId145" Type="http://schemas.openxmlformats.org/officeDocument/2006/relationships/hyperlink" Target="https://patadovietnam.edu.vn/hlg_tattpvn_gt/" TargetMode="External"/><Relationship Id="rId144" Type="http://schemas.openxmlformats.org/officeDocument/2006/relationships/hyperlink" Target="https://patadovietnam.edu.vn/hlg_gt_sea/?utm_source=Google&amp;utm_medium=SEA&amp;utm_term=NON_UnitedStates_none_none_130225&amp;utm_content=KW_Tienganhcoban_PTAGTTD_LD237&amp;utm_campaign=UnitedStates.CPA600_Patado_SEA_HuyLG_130225" TargetMode="External"/><Relationship Id="rId139" Type="http://schemas.openxmlformats.org/officeDocument/2006/relationships/hyperlink" Target="https://patadovietnam.edu.vn/hlg_tattpvn_gt/" TargetMode="External"/><Relationship Id="rId138" Type="http://schemas.openxmlformats.org/officeDocument/2006/relationships/hyperlink" Target="https://patadovietnam.edu.vn/hlg_gt_sea/?utm_source=Google&amp;utm_medium=SEA&amp;utm_term=NON_UnitedStates_none_none_130225&amp;utm_content=KW_Hoctienganhtructuyen_PTAGTTD_LD237&amp;utm_campaign=UnitedStates.CPA600_Patado_SEA_HuyLG_130225" TargetMode="External"/><Relationship Id="rId137" Type="http://schemas.openxmlformats.org/officeDocument/2006/relationships/hyperlink" Target="https://patadovietnam.edu.vn/hlg_tattpvn_gt/" TargetMode="External"/><Relationship Id="rId132" Type="http://schemas.openxmlformats.org/officeDocument/2006/relationships/hyperlink" Target="https://patadovietnam.edu.vn/hlg_gt_sea/?utm_source=Google&amp;utm_medium=SEA&amp;utm_term=NON_UnitedStates_none_none_130225&amp;utm_content=KW_HocTiengAnh_PTAGTTD_LD237&amp;utm_campaign=UnitedStates.CPA600_Patado_SEA_HuyLG_130225" TargetMode="External"/><Relationship Id="rId131" Type="http://schemas.openxmlformats.org/officeDocument/2006/relationships/hyperlink" Target="https://patadovietnam.edu.vn/hlg_tattpvn_gt/" TargetMode="External"/><Relationship Id="rId130" Type="http://schemas.openxmlformats.org/officeDocument/2006/relationships/hyperlink" Target="https://patadovietnam.edu.vn/hlg_gt_sea/?utm_source=Google&amp;utm_medium=SEA&amp;utm_term=NON_UnitedStates_none_none_130225&amp;utm_content=KW_Tienganhquamang_PTAGTTD_LD237&amp;utm_campaign=UnitedStates.CPA600_Patado_SEA_HuyLG_130225" TargetMode="External"/><Relationship Id="rId136" Type="http://schemas.openxmlformats.org/officeDocument/2006/relationships/hyperlink" Target="https://patadovietnam.edu.vn/hlg_gt_sea/?utm_source=Google&amp;utm_medium=SEA&amp;utm_term=NON_UnitedStates_none_none_130225&amp;utm_content=KW_Tienganhonline_PTAGTTD_LD237&amp;utm_campaign=UnitedStates.CPA600_Patado_SEA_HuyLG_130225" TargetMode="External"/><Relationship Id="rId135" Type="http://schemas.openxmlformats.org/officeDocument/2006/relationships/hyperlink" Target="https://patadovietnam.edu.vn/hlg_tattpvn_gt/" TargetMode="External"/><Relationship Id="rId134" Type="http://schemas.openxmlformats.org/officeDocument/2006/relationships/hyperlink" Target="https://patadovietnam.edu.vn/hlg_gt_sea/?utm_source=Google&amp;utm_medium=SEA&amp;utm_term=NON_UnitedStates_none_none_130225&amp;utm_content=KW_Tienganhtrenmang_PTAGTTD_LD237&amp;utm_campaign=UnitedStates.CPA600_Patado_SEA_HuyLG_130225" TargetMode="External"/><Relationship Id="rId133" Type="http://schemas.openxmlformats.org/officeDocument/2006/relationships/hyperlink" Target="https://patadovietnam.edu.vn/hlg_tattpvn_gt/" TargetMode="External"/><Relationship Id="rId172" Type="http://schemas.openxmlformats.org/officeDocument/2006/relationships/hyperlink" Target="https://patadovietnam.edu.vn/hlg_gt_sea/?utm_source=Google&amp;utm_medium=SEA&amp;utm_term=NON_UnitedStates_none_none_130225&amp;utm_content=KW_TiengAnhGiaoTiep_PTAGTTD_LD237&amp;utm_campaign=UnitedStates.CPA600_Patado_SEA_HuyLG_130225" TargetMode="External"/><Relationship Id="rId171" Type="http://schemas.openxmlformats.org/officeDocument/2006/relationships/hyperlink" Target="https://patadovietnam.edu.vn/hlg_tattpvn_gt/" TargetMode="External"/><Relationship Id="rId170" Type="http://schemas.openxmlformats.org/officeDocument/2006/relationships/hyperlink" Target="https://patadovietnam.edu.vn/hlg_gt_sea/?utm_source=Google&amp;utm_medium=SEA&amp;utm_term=NON_UnitedStates_none_none_130225&amp;utm_content=KW_Chuongtrinhhoctienganh_PTAGTTD_LD237&amp;utm_campaign=UnitedStates.CPA600_Patado_SEA_HuyLG_130225" TargetMode="External"/><Relationship Id="rId165" Type="http://schemas.openxmlformats.org/officeDocument/2006/relationships/hyperlink" Target="https://patadovietnam.edu.vn/hlg_tattpvn_gt/" TargetMode="External"/><Relationship Id="rId164" Type="http://schemas.openxmlformats.org/officeDocument/2006/relationships/hyperlink" Target="https://patadovietnam.edu.vn/hlg_gt_sea/?utm_source=Google&amp;utm_medium=SEA&amp;utm_term=NON_UnitedStates_none_none_130225&amp;utm_content=KW_Tienganhmatgoc_PTAGTTD_LD237&amp;utm_campaign=UnitedStates.CPA600_Patado_SEA_HuyLG_130225" TargetMode="External"/><Relationship Id="rId163" Type="http://schemas.openxmlformats.org/officeDocument/2006/relationships/hyperlink" Target="https://patadovietnam.edu.vn/hlg_tattpvn_gt/" TargetMode="External"/><Relationship Id="rId162" Type="http://schemas.openxmlformats.org/officeDocument/2006/relationships/hyperlink" Target="https://patadovietnam.edu.vn/hlg_gt_sea/?utm_source=Google&amp;utm_medium=SEA&amp;utm_term=NON_UnitedStates_none_none_130225&amp;utm_content=KW_Tienganhgiaotieptainha_PTAGTTD_LD237&amp;utm_campaign=UnitedStates.CPA600_Patado_SEA_HuyLG_130225" TargetMode="External"/><Relationship Id="rId169" Type="http://schemas.openxmlformats.org/officeDocument/2006/relationships/hyperlink" Target="https://patadovietnam.edu.vn/hlg_tattpvn_gt/" TargetMode="External"/><Relationship Id="rId168" Type="http://schemas.openxmlformats.org/officeDocument/2006/relationships/hyperlink" Target="https://patadovietnam.edu.vn/hlg_gt_sea/?utm_source=Google&amp;utm_medium=SEA&amp;utm_term=NON_UnitedStates_none_none_130225&amp;utm_content=KW_Dangkihoctienganh_PTAGTTD_LD237&amp;utm_campaign=UnitedStates.CPA600_Patado_SEA_HuyLG_130225" TargetMode="External"/><Relationship Id="rId167" Type="http://schemas.openxmlformats.org/officeDocument/2006/relationships/hyperlink" Target="https://patadovietnam.edu.vn/hlg_tattpvn_gt/" TargetMode="External"/><Relationship Id="rId166" Type="http://schemas.openxmlformats.org/officeDocument/2006/relationships/hyperlink" Target="https://patadovietnam.edu.vn/hlg_gt_sea/?utm_source=Google&amp;utm_medium=SEA&amp;utm_term=NON_UnitedStates_none_none_130225&amp;utm_content=KW_Tienganhonlinetainha_PTAGTTD_LD237&amp;utm_campaign=UnitedStates.CPA600_Patado_SEA_HuyLG_130225" TargetMode="External"/><Relationship Id="rId161" Type="http://schemas.openxmlformats.org/officeDocument/2006/relationships/hyperlink" Target="https://patadovietnam.edu.vn/hlg_tattpvn_gt/" TargetMode="External"/><Relationship Id="rId160" Type="http://schemas.openxmlformats.org/officeDocument/2006/relationships/hyperlink" Target="https://patadovietnam.edu.vn/hlg_gt_sea/?utm_source=Google&amp;utm_medium=SEA&amp;utm_term=NON_UnitedStates_none_none_130225&amp;utm_content=KW_TiengAnhGiaoTiep_PTAGTTD_LD237&amp;utm_campaign=UnitedStates.CPA600_Patado_SEA_HuyLG_130225" TargetMode="External"/><Relationship Id="rId159" Type="http://schemas.openxmlformats.org/officeDocument/2006/relationships/hyperlink" Target="https://patadovietnam.edu.vn/hlg_tattpvn_gt/" TargetMode="External"/><Relationship Id="rId154" Type="http://schemas.openxmlformats.org/officeDocument/2006/relationships/hyperlink" Target="https://patadovietnam.edu.vn/hlg_gt_sea/?utm_source=Google&amp;utm_medium=SEA&amp;utm_term=NON_UnitedStates_none_none_130225&amp;utm_content=KW_HocTiengAnhOnline11_PTAGTTD_LD237&amp;utm_campaign=UnitedStates.CPA600_Patado_SEA_HuyLG_130225" TargetMode="External"/><Relationship Id="rId153" Type="http://schemas.openxmlformats.org/officeDocument/2006/relationships/hyperlink" Target="https://patadovietnam.edu.vn/hlg_tattpvn_gt/" TargetMode="External"/><Relationship Id="rId152" Type="http://schemas.openxmlformats.org/officeDocument/2006/relationships/hyperlink" Target="https://patadovietnam.edu.vn/hlg_gt_sea/?utm_source=Google&amp;utm_medium=SEA&amp;utm_term=NON_UnitedStates_none_none_130225&amp;utm_content=KW_Hoctienganhchung_PTAGTTD_LD237&amp;utm_campaign=UnitedStates.CPA600_Patado_SEA_HuyLG_130225" TargetMode="External"/><Relationship Id="rId151" Type="http://schemas.openxmlformats.org/officeDocument/2006/relationships/hyperlink" Target="https://patadovietnam.edu.vn/hlg_tattpvn_gt/" TargetMode="External"/><Relationship Id="rId158" Type="http://schemas.openxmlformats.org/officeDocument/2006/relationships/hyperlink" Target="https://patadovietnam.edu.vn/hlg_gt_sea/?utm_source=Google&amp;utm_medium=SEA&amp;utm_term=NON_UnitedStates_none_none_130225&amp;utm_content=KW_Duhoctienganh_PTAGTTD_LD237&amp;utm_campaign=UnitedStates.CPA600_Patado_SEA_HuyLG_130225" TargetMode="External"/><Relationship Id="rId157" Type="http://schemas.openxmlformats.org/officeDocument/2006/relationships/hyperlink" Target="https://patadovietnam.edu.vn/hlg_tattpvn_gt/" TargetMode="External"/><Relationship Id="rId156" Type="http://schemas.openxmlformats.org/officeDocument/2006/relationships/hyperlink" Target="https://patadovietnam.edu.vn/hlg_gt_sea/?utm_source=Google&amp;utm_medium=SEA&amp;utm_term=NON_UnitedStates_none_none_130225&amp;utm_content=KW_Tienganhchonguoidilam_PTAGTTD_LD237&amp;utm_campaign=UnitedStates.CPA600_Patado_SEA_HuyLG_130225" TargetMode="External"/><Relationship Id="rId155" Type="http://schemas.openxmlformats.org/officeDocument/2006/relationships/hyperlink" Target="https://patadovietnam.edu.vn/hlg_tattpvn_gt/" TargetMode="External"/><Relationship Id="rId987" Type="http://schemas.openxmlformats.org/officeDocument/2006/relationships/hyperlink" Target="https://patadovietnam.edu.vn/hlg_tattpvn_gt/" TargetMode="External"/><Relationship Id="rId986" Type="http://schemas.openxmlformats.org/officeDocument/2006/relationships/hyperlink" Target="https://patadovietnam.edu.vn/hlg_gt_sea/?utm_source=Google&amp;utm_medium=SEA&amp;utm_term=!!!&amp;utm_content=!!!&amp;utm_campaign=!!!" TargetMode="External"/><Relationship Id="rId985" Type="http://schemas.openxmlformats.org/officeDocument/2006/relationships/hyperlink" Target="https://patadovietnam.edu.vn/hlg_tattpvn_gt/" TargetMode="External"/><Relationship Id="rId984" Type="http://schemas.openxmlformats.org/officeDocument/2006/relationships/hyperlink" Target="https://patadovietnam.edu.vn/hlg_gt_sea/?utm_source=Google&amp;utm_medium=SEA&amp;utm_term=!!!&amp;utm_content=!!!&amp;utm_campaign=!!!" TargetMode="External"/><Relationship Id="rId989" Type="http://schemas.openxmlformats.org/officeDocument/2006/relationships/hyperlink" Target="https://patadovietnam.edu.vn/hlg_tattpvn_gt/" TargetMode="External"/><Relationship Id="rId988" Type="http://schemas.openxmlformats.org/officeDocument/2006/relationships/hyperlink" Target="https://patadovietnam.edu.vn/hlg_gt_sea/?utm_source=Google&amp;utm_medium=SEA&amp;utm_term=!!!&amp;utm_content=!!!&amp;utm_campaign=!!!" TargetMode="External"/><Relationship Id="rId983" Type="http://schemas.openxmlformats.org/officeDocument/2006/relationships/hyperlink" Target="https://patadovietnam.edu.vn/hlg_tattpvn_gt/" TargetMode="External"/><Relationship Id="rId982" Type="http://schemas.openxmlformats.org/officeDocument/2006/relationships/hyperlink" Target="https://patadovietnam.edu.vn/hlg_gt_sea/?utm_source=Google&amp;utm_medium=SEA&amp;utm_term=!!!&amp;utm_content=!!!&amp;utm_campaign=!!!" TargetMode="External"/><Relationship Id="rId981" Type="http://schemas.openxmlformats.org/officeDocument/2006/relationships/hyperlink" Target="https://patadovietnam.edu.vn/hlg_tattpvn_gt/" TargetMode="External"/><Relationship Id="rId980" Type="http://schemas.openxmlformats.org/officeDocument/2006/relationships/hyperlink" Target="https://patadovietnam.edu.vn/hlg_gt_sea/?utm_source=Google&amp;utm_medium=SEA&amp;utm_term=!!!&amp;utm_content=!!!&amp;utm_campaign=!!!" TargetMode="External"/><Relationship Id="rId976" Type="http://schemas.openxmlformats.org/officeDocument/2006/relationships/hyperlink" Target="https://patadovietnam.edu.vn/hlg_gt_sea/?utm_source=Google&amp;utm_medium=SEA&amp;utm_term=!!!&amp;utm_content=!!!&amp;utm_campaign=!!!" TargetMode="External"/><Relationship Id="rId975" Type="http://schemas.openxmlformats.org/officeDocument/2006/relationships/hyperlink" Target="https://patadovietnam.edu.vn/hlg_tattpvn_gt/" TargetMode="External"/><Relationship Id="rId974" Type="http://schemas.openxmlformats.org/officeDocument/2006/relationships/hyperlink" Target="https://patadovietnam.edu.vn/hlg_gt_sea/?utm_source=Google&amp;utm_medium=SEA&amp;utm_term=!!!&amp;utm_content=!!!&amp;utm_campaign=!!!" TargetMode="External"/><Relationship Id="rId973" Type="http://schemas.openxmlformats.org/officeDocument/2006/relationships/hyperlink" Target="https://patadovietnam.edu.vn/hlg_tattpvn_gt/" TargetMode="External"/><Relationship Id="rId979" Type="http://schemas.openxmlformats.org/officeDocument/2006/relationships/hyperlink" Target="https://patadovietnam.edu.vn/hlg_tattpvn_gt/" TargetMode="External"/><Relationship Id="rId978" Type="http://schemas.openxmlformats.org/officeDocument/2006/relationships/hyperlink" Target="https://patadovietnam.edu.vn/hlg_gt_sea/?utm_source=Google&amp;utm_medium=SEA&amp;utm_term=!!!&amp;utm_content=!!!&amp;utm_campaign=!!!" TargetMode="External"/><Relationship Id="rId977" Type="http://schemas.openxmlformats.org/officeDocument/2006/relationships/hyperlink" Target="https://patadovietnam.edu.vn/hlg_tattpvn_gt/" TargetMode="External"/><Relationship Id="rId972" Type="http://schemas.openxmlformats.org/officeDocument/2006/relationships/hyperlink" Target="https://patadovietnam.edu.vn/hlg_gt_sea/?utm_source=Google&amp;utm_medium=SEA&amp;utm_term=!!!&amp;utm_content=!!!&amp;utm_campaign=!!!" TargetMode="External"/><Relationship Id="rId971" Type="http://schemas.openxmlformats.org/officeDocument/2006/relationships/hyperlink" Target="https://patadovietnam.edu.vn/hlg_tattpvn_gt/" TargetMode="External"/><Relationship Id="rId970" Type="http://schemas.openxmlformats.org/officeDocument/2006/relationships/hyperlink" Target="https://patadovietnam.edu.vn/hlg_gt_sea/?utm_source=Google&amp;utm_medium=SEA&amp;utm_term=!!!&amp;utm_content=!!!&amp;utm_campaign=!!!" TargetMode="External"/><Relationship Id="rId998" Type="http://schemas.openxmlformats.org/officeDocument/2006/relationships/hyperlink" Target="https://patadovietnam.edu.vn/hlg_gt_sea/?utm_source=Google&amp;utm_medium=SEA&amp;utm_term=!!!&amp;utm_content=!!!&amp;utm_campaign=!!!" TargetMode="External"/><Relationship Id="rId997" Type="http://schemas.openxmlformats.org/officeDocument/2006/relationships/hyperlink" Target="https://patadovietnam.edu.vn/hlg_tattpvn_gt/" TargetMode="External"/><Relationship Id="rId996" Type="http://schemas.openxmlformats.org/officeDocument/2006/relationships/hyperlink" Target="https://patadovietnam.edu.vn/hlg_gt_sea/?utm_source=Google&amp;utm_medium=SEA&amp;utm_term=!!!&amp;utm_content=!!!&amp;utm_campaign=!!!" TargetMode="External"/><Relationship Id="rId995" Type="http://schemas.openxmlformats.org/officeDocument/2006/relationships/hyperlink" Target="https://patadovietnam.edu.vn/hlg_tattpvn_gt/" TargetMode="External"/><Relationship Id="rId999" Type="http://schemas.openxmlformats.org/officeDocument/2006/relationships/hyperlink" Target="https://patadovietnam.edu.vn/hlg_tattpvn_gt/" TargetMode="External"/><Relationship Id="rId990" Type="http://schemas.openxmlformats.org/officeDocument/2006/relationships/hyperlink" Target="https://patadovietnam.edu.vn/hlg_gt_sea/?utm_source=Google&amp;utm_medium=SEA&amp;utm_term=!!!&amp;utm_content=!!!&amp;utm_campaign=!!!" TargetMode="External"/><Relationship Id="rId994" Type="http://schemas.openxmlformats.org/officeDocument/2006/relationships/hyperlink" Target="https://patadovietnam.edu.vn/hlg_gt_sea/?utm_source=Google&amp;utm_medium=SEA&amp;utm_term=!!!&amp;utm_content=!!!&amp;utm_campaign=!!!" TargetMode="External"/><Relationship Id="rId993" Type="http://schemas.openxmlformats.org/officeDocument/2006/relationships/hyperlink" Target="https://patadovietnam.edu.vn/hlg_tattpvn_gt/" TargetMode="External"/><Relationship Id="rId992" Type="http://schemas.openxmlformats.org/officeDocument/2006/relationships/hyperlink" Target="https://patadovietnam.edu.vn/hlg_gt_sea/?utm_source=Google&amp;utm_medium=SEA&amp;utm_term=!!!&amp;utm_content=!!!&amp;utm_campaign=!!!" TargetMode="External"/><Relationship Id="rId991" Type="http://schemas.openxmlformats.org/officeDocument/2006/relationships/hyperlink" Target="https://patadovietnam.edu.vn/hlg_tattpvn_gt/" TargetMode="External"/><Relationship Id="rId949" Type="http://schemas.openxmlformats.org/officeDocument/2006/relationships/hyperlink" Target="https://patadovietnam.edu.vn/hlg_tattpvn_gt/" TargetMode="External"/><Relationship Id="rId948" Type="http://schemas.openxmlformats.org/officeDocument/2006/relationships/hyperlink" Target="https://patadovietnam.edu.vn/hlg_gt_sea/?utm_source=Google&amp;utm_medium=SEA&amp;utm_term=!!!&amp;utm_content=!!!&amp;utm_campaign=!!!" TargetMode="External"/><Relationship Id="rId943" Type="http://schemas.openxmlformats.org/officeDocument/2006/relationships/hyperlink" Target="https://patadovietnam.edu.vn/hlg_tattpvn_gt/" TargetMode="External"/><Relationship Id="rId942" Type="http://schemas.openxmlformats.org/officeDocument/2006/relationships/hyperlink" Target="https://patadovietnam.edu.vn/hlg_gt_sea/?utm_source=Google&amp;utm_medium=SEA&amp;utm_term=!!!&amp;utm_content=!!!&amp;utm_campaign=!!!" TargetMode="External"/><Relationship Id="rId941" Type="http://schemas.openxmlformats.org/officeDocument/2006/relationships/hyperlink" Target="https://patadovietnam.edu.vn/hlg_tattpvn_gt/" TargetMode="External"/><Relationship Id="rId940" Type="http://schemas.openxmlformats.org/officeDocument/2006/relationships/hyperlink" Target="https://patadovietnam.edu.vn/hlg_gt_sea/?utm_source=Google&amp;utm_medium=SEA&amp;utm_term=!!!&amp;utm_content=!!!&amp;utm_campaign=!!!" TargetMode="External"/><Relationship Id="rId947" Type="http://schemas.openxmlformats.org/officeDocument/2006/relationships/hyperlink" Target="https://patadovietnam.edu.vn/hlg_tattpvn_gt/" TargetMode="External"/><Relationship Id="rId946" Type="http://schemas.openxmlformats.org/officeDocument/2006/relationships/hyperlink" Target="https://patadovietnam.edu.vn/hlg_gt_sea/?utm_source=Google&amp;utm_medium=SEA&amp;utm_term=!!!&amp;utm_content=!!!&amp;utm_campaign=!!!" TargetMode="External"/><Relationship Id="rId945" Type="http://schemas.openxmlformats.org/officeDocument/2006/relationships/hyperlink" Target="https://patadovietnam.edu.vn/hlg_tattpvn_gt/" TargetMode="External"/><Relationship Id="rId944" Type="http://schemas.openxmlformats.org/officeDocument/2006/relationships/hyperlink" Target="https://patadovietnam.edu.vn/hlg_gt_sea/?utm_source=Google&amp;utm_medium=SEA&amp;utm_term=!!!&amp;utm_content=!!!&amp;utm_campaign=!!!" TargetMode="External"/><Relationship Id="rId939" Type="http://schemas.openxmlformats.org/officeDocument/2006/relationships/hyperlink" Target="https://patadovietnam.edu.vn/hlg_tattpvn_gt/" TargetMode="External"/><Relationship Id="rId938" Type="http://schemas.openxmlformats.org/officeDocument/2006/relationships/hyperlink" Target="https://patadovietnam.edu.vn/hlg_gt_sea/?utm_source=Google&amp;utm_medium=SEA&amp;utm_term=!!!&amp;utm_content=!!!&amp;utm_campaign=!!!" TargetMode="External"/><Relationship Id="rId937" Type="http://schemas.openxmlformats.org/officeDocument/2006/relationships/hyperlink" Target="https://patadovietnam.edu.vn/hlg_tattpvn_gt/" TargetMode="External"/><Relationship Id="rId932" Type="http://schemas.openxmlformats.org/officeDocument/2006/relationships/hyperlink" Target="https://patadovietnam.edu.vn/hlg_gt_sea/?utm_source=Google&amp;utm_medium=SEA&amp;utm_term=!!!&amp;utm_content=!!!&amp;utm_campaign=!!!" TargetMode="External"/><Relationship Id="rId931" Type="http://schemas.openxmlformats.org/officeDocument/2006/relationships/hyperlink" Target="https://patadovietnam.edu.vn/hlg_tattpvn_gt/" TargetMode="External"/><Relationship Id="rId930" Type="http://schemas.openxmlformats.org/officeDocument/2006/relationships/hyperlink" Target="https://patadovietnam.edu.vn/hlg_gt_sea/?utm_source=Google&amp;utm_medium=SEA&amp;utm_term=!!!&amp;utm_content=!!!&amp;utm_campaign=!!!" TargetMode="External"/><Relationship Id="rId936" Type="http://schemas.openxmlformats.org/officeDocument/2006/relationships/hyperlink" Target="https://patadovietnam.edu.vn/hlg_gt_sea/?utm_source=Google&amp;utm_medium=SEA&amp;utm_term=!!!&amp;utm_content=!!!&amp;utm_campaign=!!!" TargetMode="External"/><Relationship Id="rId935" Type="http://schemas.openxmlformats.org/officeDocument/2006/relationships/hyperlink" Target="https://patadovietnam.edu.vn/hlg_tattpvn_gt/" TargetMode="External"/><Relationship Id="rId934" Type="http://schemas.openxmlformats.org/officeDocument/2006/relationships/hyperlink" Target="https://patadovietnam.edu.vn/hlg_gt_sea/?utm_source=Google&amp;utm_medium=SEA&amp;utm_term=!!!&amp;utm_content=!!!&amp;utm_campaign=!!!" TargetMode="External"/><Relationship Id="rId933" Type="http://schemas.openxmlformats.org/officeDocument/2006/relationships/hyperlink" Target="https://patadovietnam.edu.vn/hlg_tattpvn_gt/" TargetMode="External"/><Relationship Id="rId965" Type="http://schemas.openxmlformats.org/officeDocument/2006/relationships/hyperlink" Target="https://patadovietnam.edu.vn/hlg_tattpvn_gt/" TargetMode="External"/><Relationship Id="rId964" Type="http://schemas.openxmlformats.org/officeDocument/2006/relationships/hyperlink" Target="https://patadovietnam.edu.vn/hlg_gt_sea/?utm_source=Google&amp;utm_medium=SEA&amp;utm_term=!!!&amp;utm_content=!!!&amp;utm_campaign=!!!" TargetMode="External"/><Relationship Id="rId963" Type="http://schemas.openxmlformats.org/officeDocument/2006/relationships/hyperlink" Target="https://patadovietnam.edu.vn/hlg_tattpvn_gt/" TargetMode="External"/><Relationship Id="rId962" Type="http://schemas.openxmlformats.org/officeDocument/2006/relationships/hyperlink" Target="https://patadovietnam.edu.vn/hlg_gt_sea/?utm_source=Google&amp;utm_medium=SEA&amp;utm_term=!!!&amp;utm_content=!!!&amp;utm_campaign=!!!" TargetMode="External"/><Relationship Id="rId969" Type="http://schemas.openxmlformats.org/officeDocument/2006/relationships/hyperlink" Target="https://patadovietnam.edu.vn/hlg_tattpvn_gt/" TargetMode="External"/><Relationship Id="rId968" Type="http://schemas.openxmlformats.org/officeDocument/2006/relationships/hyperlink" Target="https://patadovietnam.edu.vn/hlg_gt_sea/?utm_source=Google&amp;utm_medium=SEA&amp;utm_term=!!!&amp;utm_content=!!!&amp;utm_campaign=!!!" TargetMode="External"/><Relationship Id="rId967" Type="http://schemas.openxmlformats.org/officeDocument/2006/relationships/hyperlink" Target="https://patadovietnam.edu.vn/hlg_tattpvn_gt/" TargetMode="External"/><Relationship Id="rId966" Type="http://schemas.openxmlformats.org/officeDocument/2006/relationships/hyperlink" Target="https://patadovietnam.edu.vn/hlg_gt_sea/?utm_source=Google&amp;utm_medium=SEA&amp;utm_term=!!!&amp;utm_content=!!!&amp;utm_campaign=!!!" TargetMode="External"/><Relationship Id="rId961" Type="http://schemas.openxmlformats.org/officeDocument/2006/relationships/hyperlink" Target="https://patadovietnam.edu.vn/hlg_tattpvn_gt/" TargetMode="External"/><Relationship Id="rId960" Type="http://schemas.openxmlformats.org/officeDocument/2006/relationships/hyperlink" Target="https://patadovietnam.edu.vn/hlg_gt_sea/?utm_source=Google&amp;utm_medium=SEA&amp;utm_term=!!!&amp;utm_content=!!!&amp;utm_campaign=!!!" TargetMode="External"/><Relationship Id="rId959" Type="http://schemas.openxmlformats.org/officeDocument/2006/relationships/hyperlink" Target="https://patadovietnam.edu.vn/hlg_tattpvn_gt/" TargetMode="External"/><Relationship Id="rId954" Type="http://schemas.openxmlformats.org/officeDocument/2006/relationships/hyperlink" Target="https://patadovietnam.edu.vn/hlg_gt_sea/?utm_source=Google&amp;utm_medium=SEA&amp;utm_term=!!!&amp;utm_content=!!!&amp;utm_campaign=!!!" TargetMode="External"/><Relationship Id="rId953" Type="http://schemas.openxmlformats.org/officeDocument/2006/relationships/hyperlink" Target="https://patadovietnam.edu.vn/hlg_tattpvn_gt/" TargetMode="External"/><Relationship Id="rId952" Type="http://schemas.openxmlformats.org/officeDocument/2006/relationships/hyperlink" Target="https://patadovietnam.edu.vn/hlg_gt_sea/?utm_source=Google&amp;utm_medium=SEA&amp;utm_term=!!!&amp;utm_content=!!!&amp;utm_campaign=!!!" TargetMode="External"/><Relationship Id="rId951" Type="http://schemas.openxmlformats.org/officeDocument/2006/relationships/hyperlink" Target="https://patadovietnam.edu.vn/hlg_tattpvn_gt/" TargetMode="External"/><Relationship Id="rId958" Type="http://schemas.openxmlformats.org/officeDocument/2006/relationships/hyperlink" Target="https://patadovietnam.edu.vn/hlg_gt_sea/?utm_source=Google&amp;utm_medium=SEA&amp;utm_term=!!!&amp;utm_content=!!!&amp;utm_campaign=!!!" TargetMode="External"/><Relationship Id="rId957" Type="http://schemas.openxmlformats.org/officeDocument/2006/relationships/hyperlink" Target="https://patadovietnam.edu.vn/hlg_tattpvn_gt/" TargetMode="External"/><Relationship Id="rId956" Type="http://schemas.openxmlformats.org/officeDocument/2006/relationships/hyperlink" Target="https://patadovietnam.edu.vn/hlg_gt_sea/?utm_source=Google&amp;utm_medium=SEA&amp;utm_term=!!!&amp;utm_content=!!!&amp;utm_campaign=!!!" TargetMode="External"/><Relationship Id="rId955" Type="http://schemas.openxmlformats.org/officeDocument/2006/relationships/hyperlink" Target="https://patadovietnam.edu.vn/hlg_tattpvn_gt/" TargetMode="External"/><Relationship Id="rId950" Type="http://schemas.openxmlformats.org/officeDocument/2006/relationships/hyperlink" Target="https://patadovietnam.edu.vn/hlg_gt_sea/?utm_source=Google&amp;utm_medium=SEA&amp;utm_term=!!!&amp;utm_content=!!!&amp;utm_campaign=!!!" TargetMode="External"/><Relationship Id="rId107" Type="http://schemas.openxmlformats.org/officeDocument/2006/relationships/hyperlink" Target="https://patadovietnam.edu.vn/hlg_tattpvn_gt/" TargetMode="External"/><Relationship Id="rId106" Type="http://schemas.openxmlformats.org/officeDocument/2006/relationships/hyperlink" Target="https://patadovietnam.edu.vn/hlg_gt_sea/?utm_source=Google&amp;utm_medium=SEA&amp;utm_term=NON_UnitedStates_none_none_130225&amp;utm_content=KW_Tienganhonline_PTAGTTD_LD237&amp;utm_campaign=UnitedStates.CPA600_Patado_SEA_HuyLG_130225" TargetMode="External"/><Relationship Id="rId105" Type="http://schemas.openxmlformats.org/officeDocument/2006/relationships/hyperlink" Target="https://patadovietnam.edu.vn/hlg_tattpvn_gt/" TargetMode="External"/><Relationship Id="rId104" Type="http://schemas.openxmlformats.org/officeDocument/2006/relationships/hyperlink" Target="https://patadovietnam.edu.vn/hlg_gt_sea/?utm_source=Google&amp;utm_medium=SEA&amp;utm_term=NON_UnitedStates_none_none_130225&amp;utm_content=KW_Chuongtrinhhoctienganh_PTAGTTD_LD237&amp;utm_campaign=UnitedStates.CPA600_Patado_SEA_HuyLG_130225" TargetMode="External"/><Relationship Id="rId109" Type="http://schemas.openxmlformats.org/officeDocument/2006/relationships/hyperlink" Target="https://patadovietnam.edu.vn/hlg_tattpvn_gt/" TargetMode="External"/><Relationship Id="rId108" Type="http://schemas.openxmlformats.org/officeDocument/2006/relationships/hyperlink" Target="https://patadovietnam.edu.vn/hlg_gt_sea/?utm_source=Google&amp;utm_medium=SEA&amp;utm_term=NON_UnitedStates_none_none_130225&amp;utm_content=KW_Hoctienganhtructuyen_PTAGTTD_LD237&amp;utm_campaign=UnitedStates.CPA600_Patado_SEA_HuyLG_130225" TargetMode="External"/><Relationship Id="rId103" Type="http://schemas.openxmlformats.org/officeDocument/2006/relationships/hyperlink" Target="https://patadovietnam.edu.vn/hlg_tattpvn_gt/" TargetMode="External"/><Relationship Id="rId102" Type="http://schemas.openxmlformats.org/officeDocument/2006/relationships/hyperlink" Target="https://patadovietnam.edu.vn/hlg_gt_sea/?utm_source=Google&amp;utm_medium=SEA&amp;utm_term=NON_UnitedStates_none_none_130225&amp;utm_content=KW_Daytienganhonline_PTAGTTD_LD237&amp;utm_campaign=UnitedStates.CPA600_Patado_SEA_HuyLG_130225" TargetMode="External"/><Relationship Id="rId101" Type="http://schemas.openxmlformats.org/officeDocument/2006/relationships/hyperlink" Target="https://patadovietnam.edu.vn/hlg_tattpvn_gt/" TargetMode="External"/><Relationship Id="rId100" Type="http://schemas.openxmlformats.org/officeDocument/2006/relationships/hyperlink" Target="https://patadovietnam.edu.vn/hlg_gt_sea/?utm_source=Google&amp;utm_medium=SEA&amp;utm_term=NON_UnitedStates_none_none_130225&amp;utm_content=KW_Tienganhonlinetainha_PTAGTTD_LD237&amp;utm_campaign=UnitedStates.CPA600_Patado_SEA_HuyLG_130225" TargetMode="External"/><Relationship Id="rId129" Type="http://schemas.openxmlformats.org/officeDocument/2006/relationships/hyperlink" Target="https://patadovietnam.edu.vn/hlg_tattpvn_gt/" TargetMode="External"/><Relationship Id="rId128" Type="http://schemas.openxmlformats.org/officeDocument/2006/relationships/hyperlink" Target="https://patadovietnam.edu.vn/hlg_gt_sea/?utm_source=Google&amp;utm_medium=SEA&amp;utm_term=NON_UnitedStates_none_none_130225&amp;utm_content=KW_Hoctienganhchonguoimoibatdau_PTAGTTD_LD237&amp;utm_campaign=UnitedStates.CPA600_Patado_SEA_HuyLG_130225" TargetMode="External"/><Relationship Id="rId127" Type="http://schemas.openxmlformats.org/officeDocument/2006/relationships/hyperlink" Target="https://patadovietnam.edu.vn/hlg_tattpvn_gt/" TargetMode="External"/><Relationship Id="rId126" Type="http://schemas.openxmlformats.org/officeDocument/2006/relationships/hyperlink" Target="https://patadovietnam.edu.vn/hlg_gt_sea/?utm_source=Google&amp;utm_medium=SEA&amp;utm_term=NON_UnitedStates_none_none_130225&amp;utm_content=KW_KhoaHocIeltsOnline_PTAGTTD_LD237&amp;utm_campaign=UnitedStates.CPA600_Patado_SEA_HuyLG_130225" TargetMode="External"/><Relationship Id="rId121" Type="http://schemas.openxmlformats.org/officeDocument/2006/relationships/hyperlink" Target="https://patadovietnam.edu.vn/hlg_tattpvn_gt/" TargetMode="External"/><Relationship Id="rId120" Type="http://schemas.openxmlformats.org/officeDocument/2006/relationships/hyperlink" Target="https://patadovietnam.edu.vn/hlg_gt_sea/?utm_source=Google&amp;utm_medium=SEA&amp;utm_term=NON_UnitedStates_none_none_130225&amp;utm_content=KW_Duhoctienganh_PTAGTTD_LD237&amp;utm_campaign=UnitedStates.CPA600_Patado_SEA_HuyLG_130225" TargetMode="External"/><Relationship Id="rId125" Type="http://schemas.openxmlformats.org/officeDocument/2006/relationships/hyperlink" Target="https://patadovietnam.edu.vn/hlg_tattpvn_gt/" TargetMode="External"/><Relationship Id="rId124" Type="http://schemas.openxmlformats.org/officeDocument/2006/relationships/hyperlink" Target="https://patadovietnam.edu.vn/hlg_gt_sea/?utm_source=Google&amp;utm_medium=SEA&amp;utm_term=NON_UnitedStates_none_none_130225&amp;utm_content=KW_Hoctienganhchung_PTAGTTD_LD237&amp;utm_campaign=UnitedStates.CPA600_Patado_SEA_HuyLG_130225" TargetMode="External"/><Relationship Id="rId123" Type="http://schemas.openxmlformats.org/officeDocument/2006/relationships/hyperlink" Target="https://patadovietnam.edu.vn/hlg_tattpvn_gt/" TargetMode="External"/><Relationship Id="rId122" Type="http://schemas.openxmlformats.org/officeDocument/2006/relationships/hyperlink" Target="https://patadovietnam.edu.vn/hlg_gt_sea/?utm_source=Google&amp;utm_medium=SEA&amp;utm_term=NON_UnitedStates_none_none_130225&amp;utm_content=KW_HocTiengAnhOnline11_PTAGTTD_LD237&amp;utm_campaign=UnitedStates.CPA600_Patado_SEA_HuyLG_130225" TargetMode="External"/><Relationship Id="rId118" Type="http://schemas.openxmlformats.org/officeDocument/2006/relationships/hyperlink" Target="https://patadovietnam.edu.vn/hlg_gt_sea/?utm_source=Google&amp;utm_medium=SEA&amp;utm_term=NON_UnitedStates_none_none_130225&amp;utm_content=KW_Tienganhquamang_PTAGTTD_LD237&amp;utm_campaign=UnitedStates.CPA600_Patado_SEA_HuyLG_130225" TargetMode="External"/><Relationship Id="rId117" Type="http://schemas.openxmlformats.org/officeDocument/2006/relationships/hyperlink" Target="https://patadovietnam.edu.vn/hlg_tattpvn_gt/" TargetMode="External"/><Relationship Id="rId116" Type="http://schemas.openxmlformats.org/officeDocument/2006/relationships/hyperlink" Target="https://patadovietnam.edu.vn/hlg_gt_sea/?utm_source=Google&amp;utm_medium=SEA&amp;utm_term=NON_UnitedStates_none_none_130225&amp;utm_content=KW_Hoctienganhonline_PTAGTTD_LD237&amp;utm_campaign=UnitedStates.CPA600_Patado_SEA_HuyLG_130225" TargetMode="External"/><Relationship Id="rId115" Type="http://schemas.openxmlformats.org/officeDocument/2006/relationships/hyperlink" Target="https://patadovietnam.edu.vn/hlg_tattpvn_gt/" TargetMode="External"/><Relationship Id="rId119" Type="http://schemas.openxmlformats.org/officeDocument/2006/relationships/hyperlink" Target="https://patadovietnam.edu.vn/hlg_tattpvn_gt/" TargetMode="External"/><Relationship Id="rId110" Type="http://schemas.openxmlformats.org/officeDocument/2006/relationships/hyperlink" Target="https://patadovietnam.edu.vn/hlg_gt_sea/?utm_source=Google&amp;utm_medium=SEA&amp;utm_term=NON_UnitedStates_none_none_130225&amp;utm_content=KW_Dangkihoctienganh_PTAGTTD_LD237&amp;utm_campaign=UnitedStates.CPA600_Patado_SEA_HuyLG_130225" TargetMode="External"/><Relationship Id="rId114" Type="http://schemas.openxmlformats.org/officeDocument/2006/relationships/hyperlink" Target="https://patadovietnam.edu.vn/hlg_gt_sea/?utm_source=Google&amp;utm_medium=SEA&amp;utm_term=NON_UnitedStates_none_none_130225&amp;utm_content=KW_Tienganhtenmang_PTAGTTD_LD237&amp;utm_campaign=UnitedStates.CPA600_Patado_SEA_HuyLG_130225" TargetMode="External"/><Relationship Id="rId113" Type="http://schemas.openxmlformats.org/officeDocument/2006/relationships/hyperlink" Target="https://patadovietnam.edu.vn/hlg_tattpvn_gt/" TargetMode="External"/><Relationship Id="rId112" Type="http://schemas.openxmlformats.org/officeDocument/2006/relationships/hyperlink" Target="https://patadovietnam.edu.vn/hlg_gt_sea/?utm_source=Google&amp;utm_medium=SEA&amp;utm_term=NON_UnitedStates_none_none_130225&amp;utm_content=KW_Tienganhvanphong_PTAGTTD_LD237&amp;utm_campaign=UnitedStates.CPA600_Patado_SEA_HuyLG_130225" TargetMode="External"/><Relationship Id="rId111" Type="http://schemas.openxmlformats.org/officeDocument/2006/relationships/hyperlink" Target="https://patadovietnam.edu.vn/hlg_tattpvn_gt/" TargetMode="External"/><Relationship Id="rId907" Type="http://schemas.openxmlformats.org/officeDocument/2006/relationships/hyperlink" Target="https://patadovietnam.edu.vn/hlg_tattpvn_gt/" TargetMode="External"/><Relationship Id="rId906" Type="http://schemas.openxmlformats.org/officeDocument/2006/relationships/hyperlink" Target="https://patadovietnam.edu.vn/hlg_gt_sea/?utm_source=Google&amp;utm_medium=SEA&amp;utm_term=!!!&amp;utm_content=!!!&amp;utm_campaign=!!!" TargetMode="External"/><Relationship Id="rId905" Type="http://schemas.openxmlformats.org/officeDocument/2006/relationships/hyperlink" Target="https://patadovietnam.edu.vn/hlg_tattpvn_gt/" TargetMode="External"/><Relationship Id="rId904" Type="http://schemas.openxmlformats.org/officeDocument/2006/relationships/hyperlink" Target="https://patadovietnam.edu.vn/hlg_gt_sea/?utm_source=Google&amp;utm_medium=SEA&amp;utm_term=!!!&amp;utm_content=!!!&amp;utm_campaign=!!!" TargetMode="External"/><Relationship Id="rId909" Type="http://schemas.openxmlformats.org/officeDocument/2006/relationships/hyperlink" Target="https://patadovietnam.edu.vn/hlg_tattpvn_gt/" TargetMode="External"/><Relationship Id="rId908" Type="http://schemas.openxmlformats.org/officeDocument/2006/relationships/hyperlink" Target="https://patadovietnam.edu.vn/hlg_gt_sea/?utm_source=Google&amp;utm_medium=SEA&amp;utm_term=!!!&amp;utm_content=!!!&amp;utm_campaign=!!!" TargetMode="External"/><Relationship Id="rId903" Type="http://schemas.openxmlformats.org/officeDocument/2006/relationships/hyperlink" Target="https://patadovietnam.edu.vn/hlg_tattpvn_gt/" TargetMode="External"/><Relationship Id="rId902" Type="http://schemas.openxmlformats.org/officeDocument/2006/relationships/hyperlink" Target="https://patadovietnam.edu.vn/hlg_gt_sea/?utm_source=Google&amp;utm_medium=SEA&amp;utm_term=!!!&amp;utm_content=!!!&amp;utm_campaign=!!!" TargetMode="External"/><Relationship Id="rId901" Type="http://schemas.openxmlformats.org/officeDocument/2006/relationships/hyperlink" Target="https://patadovietnam.edu.vn/hlg_tattpvn_gt/" TargetMode="External"/><Relationship Id="rId900" Type="http://schemas.openxmlformats.org/officeDocument/2006/relationships/hyperlink" Target="https://patadovietnam.edu.vn/hlg_gt_sea/?utm_source=Google&amp;utm_medium=SEA&amp;utm_term=!!!&amp;utm_content=!!!&amp;utm_campaign=!!!" TargetMode="External"/><Relationship Id="rId929" Type="http://schemas.openxmlformats.org/officeDocument/2006/relationships/hyperlink" Target="https://patadovietnam.edu.vn/hlg_tattpvn_gt/" TargetMode="External"/><Relationship Id="rId928" Type="http://schemas.openxmlformats.org/officeDocument/2006/relationships/hyperlink" Target="https://patadovietnam.edu.vn/hlg_gt_sea/?utm_source=Google&amp;utm_medium=SEA&amp;utm_term=!!!&amp;utm_content=!!!&amp;utm_campaign=!!!" TargetMode="External"/><Relationship Id="rId927" Type="http://schemas.openxmlformats.org/officeDocument/2006/relationships/hyperlink" Target="https://patadovietnam.edu.vn/hlg_tattpvn_gt/" TargetMode="External"/><Relationship Id="rId926" Type="http://schemas.openxmlformats.org/officeDocument/2006/relationships/hyperlink" Target="https://patadovietnam.edu.vn/hlg_gt_sea/?utm_source=Google&amp;utm_medium=SEA&amp;utm_term=!!!&amp;utm_content=!!!&amp;utm_campaign=!!!" TargetMode="External"/><Relationship Id="rId921" Type="http://schemas.openxmlformats.org/officeDocument/2006/relationships/hyperlink" Target="https://patadovietnam.edu.vn/hlg_tattpvn_gt/" TargetMode="External"/><Relationship Id="rId920" Type="http://schemas.openxmlformats.org/officeDocument/2006/relationships/hyperlink" Target="https://patadovietnam.edu.vn/hlg_gt_sea/?utm_source=Google&amp;utm_medium=SEA&amp;utm_term=!!!&amp;utm_content=!!!&amp;utm_campaign=!!!" TargetMode="External"/><Relationship Id="rId925" Type="http://schemas.openxmlformats.org/officeDocument/2006/relationships/hyperlink" Target="https://patadovietnam.edu.vn/hlg_tattpvn_gt/" TargetMode="External"/><Relationship Id="rId924" Type="http://schemas.openxmlformats.org/officeDocument/2006/relationships/hyperlink" Target="https://patadovietnam.edu.vn/hlg_gt_sea/?utm_source=Google&amp;utm_medium=SEA&amp;utm_term=!!!&amp;utm_content=!!!&amp;utm_campaign=!!!" TargetMode="External"/><Relationship Id="rId923" Type="http://schemas.openxmlformats.org/officeDocument/2006/relationships/hyperlink" Target="https://patadovietnam.edu.vn/hlg_tattpvn_gt/" TargetMode="External"/><Relationship Id="rId922" Type="http://schemas.openxmlformats.org/officeDocument/2006/relationships/hyperlink" Target="https://patadovietnam.edu.vn/hlg_gt_sea/?utm_source=Google&amp;utm_medium=SEA&amp;utm_term=!!!&amp;utm_content=!!!&amp;utm_campaign=!!!" TargetMode="External"/><Relationship Id="rId918" Type="http://schemas.openxmlformats.org/officeDocument/2006/relationships/hyperlink" Target="https://patadovietnam.edu.vn/hlg_gt_sea/?utm_source=Google&amp;utm_medium=SEA&amp;utm_term=!!!&amp;utm_content=!!!&amp;utm_campaign=!!!" TargetMode="External"/><Relationship Id="rId917" Type="http://schemas.openxmlformats.org/officeDocument/2006/relationships/hyperlink" Target="https://patadovietnam.edu.vn/hlg_tattpvn_gt/" TargetMode="External"/><Relationship Id="rId916" Type="http://schemas.openxmlformats.org/officeDocument/2006/relationships/hyperlink" Target="https://patadovietnam.edu.vn/hlg_gt_sea/?utm_source=Google&amp;utm_medium=SEA&amp;utm_term=!!!&amp;utm_content=!!!&amp;utm_campaign=!!!" TargetMode="External"/><Relationship Id="rId915" Type="http://schemas.openxmlformats.org/officeDocument/2006/relationships/hyperlink" Target="https://patadovietnam.edu.vn/hlg_tattpvn_gt/" TargetMode="External"/><Relationship Id="rId919" Type="http://schemas.openxmlformats.org/officeDocument/2006/relationships/hyperlink" Target="https://patadovietnam.edu.vn/hlg_tattpvn_gt/" TargetMode="External"/><Relationship Id="rId910" Type="http://schemas.openxmlformats.org/officeDocument/2006/relationships/hyperlink" Target="https://patadovietnam.edu.vn/hlg_gt_sea/?utm_source=Google&amp;utm_medium=SEA&amp;utm_term=!!!&amp;utm_content=!!!&amp;utm_campaign=!!!" TargetMode="External"/><Relationship Id="rId914" Type="http://schemas.openxmlformats.org/officeDocument/2006/relationships/hyperlink" Target="https://patadovietnam.edu.vn/hlg_gt_sea/?utm_source=Google&amp;utm_medium=SEA&amp;utm_term=!!!&amp;utm_content=!!!&amp;utm_campaign=!!!" TargetMode="External"/><Relationship Id="rId913" Type="http://schemas.openxmlformats.org/officeDocument/2006/relationships/hyperlink" Target="https://patadovietnam.edu.vn/hlg_tattpvn_gt/" TargetMode="External"/><Relationship Id="rId912" Type="http://schemas.openxmlformats.org/officeDocument/2006/relationships/hyperlink" Target="https://patadovietnam.edu.vn/hlg_gt_sea/?utm_source=Google&amp;utm_medium=SEA&amp;utm_term=!!!&amp;utm_content=!!!&amp;utm_campaign=!!!" TargetMode="External"/><Relationship Id="rId911" Type="http://schemas.openxmlformats.org/officeDocument/2006/relationships/hyperlink" Target="https://patadovietnam.edu.vn/hlg_tattpvn_gt/" TargetMode="External"/><Relationship Id="rId866" Type="http://schemas.openxmlformats.org/officeDocument/2006/relationships/hyperlink" Target="https://patadovietnam.edu.vn/hlg_gt_sea/?utm_source=Google&amp;utm_medium=SEA&amp;utm_term=!!!&amp;utm_content=!!!&amp;utm_campaign=!!!" TargetMode="External"/><Relationship Id="rId865" Type="http://schemas.openxmlformats.org/officeDocument/2006/relationships/hyperlink" Target="https://patadovietnam.edu.vn/hlg_tattpvn_gt/" TargetMode="External"/><Relationship Id="rId864" Type="http://schemas.openxmlformats.org/officeDocument/2006/relationships/hyperlink" Target="https://patadovietnam.edu.vn/hlg_gt_sea/?utm_source=Google&amp;utm_medium=SEA&amp;utm_term=!!!&amp;utm_content=!!!&amp;utm_campaign=!!!" TargetMode="External"/><Relationship Id="rId863" Type="http://schemas.openxmlformats.org/officeDocument/2006/relationships/hyperlink" Target="https://patadovietnam.edu.vn/hlg_tattpvn_gt/" TargetMode="External"/><Relationship Id="rId869" Type="http://schemas.openxmlformats.org/officeDocument/2006/relationships/hyperlink" Target="https://patadovietnam.edu.vn/hlg_tattpvn_gt/" TargetMode="External"/><Relationship Id="rId868" Type="http://schemas.openxmlformats.org/officeDocument/2006/relationships/hyperlink" Target="https://patadovietnam.edu.vn/hlg_gt_sea/?utm_source=Google&amp;utm_medium=SEA&amp;utm_term=!!!&amp;utm_content=!!!&amp;utm_campaign=!!!" TargetMode="External"/><Relationship Id="rId867" Type="http://schemas.openxmlformats.org/officeDocument/2006/relationships/hyperlink" Target="https://patadovietnam.edu.vn/hlg_tattpvn_gt/" TargetMode="External"/><Relationship Id="rId862" Type="http://schemas.openxmlformats.org/officeDocument/2006/relationships/hyperlink" Target="https://patadovietnam.edu.vn/hlg_gt_sea/?utm_source=Google&amp;utm_medium=SEA&amp;utm_term=!!!&amp;utm_content=!!!&amp;utm_campaign=!!!" TargetMode="External"/><Relationship Id="rId861" Type="http://schemas.openxmlformats.org/officeDocument/2006/relationships/hyperlink" Target="https://patadovietnam.edu.vn/hlg_tattpvn_gt/" TargetMode="External"/><Relationship Id="rId860" Type="http://schemas.openxmlformats.org/officeDocument/2006/relationships/hyperlink" Target="https://patadovietnam.edu.vn/hlg_gt_sea/?utm_source=Google&amp;utm_medium=SEA&amp;utm_term=!!!&amp;utm_content=!!!&amp;utm_campaign=!!!" TargetMode="External"/><Relationship Id="rId855" Type="http://schemas.openxmlformats.org/officeDocument/2006/relationships/hyperlink" Target="https://patadovietnam.edu.vn/hlg_tattpvn_gt/" TargetMode="External"/><Relationship Id="rId854" Type="http://schemas.openxmlformats.org/officeDocument/2006/relationships/hyperlink" Target="https://patadovietnam.edu.vn/hlg_gt_sea/?utm_source=Google&amp;utm_medium=SEA&amp;utm_term=!!!&amp;utm_content=!!!&amp;utm_campaign=!!!" TargetMode="External"/><Relationship Id="rId853" Type="http://schemas.openxmlformats.org/officeDocument/2006/relationships/hyperlink" Target="https://patadovietnam.edu.vn/hlg_tattpvn_gt/" TargetMode="External"/><Relationship Id="rId852" Type="http://schemas.openxmlformats.org/officeDocument/2006/relationships/hyperlink" Target="https://patadovietnam.edu.vn/hlg_gt_sea/?utm_source=Google&amp;utm_medium=SEA&amp;utm_term=!!!&amp;utm_content=!!!&amp;utm_campaign=!!!" TargetMode="External"/><Relationship Id="rId859" Type="http://schemas.openxmlformats.org/officeDocument/2006/relationships/hyperlink" Target="https://patadovietnam.edu.vn/hlg_tattpvn_gt/" TargetMode="External"/><Relationship Id="rId858" Type="http://schemas.openxmlformats.org/officeDocument/2006/relationships/hyperlink" Target="https://patadovietnam.edu.vn/hlg_gt_sea/?utm_source=Google&amp;utm_medium=SEA&amp;utm_term=!!!&amp;utm_content=!!!&amp;utm_campaign=!!!" TargetMode="External"/><Relationship Id="rId857" Type="http://schemas.openxmlformats.org/officeDocument/2006/relationships/hyperlink" Target="https://patadovietnam.edu.vn/hlg_tattpvn_gt/" TargetMode="External"/><Relationship Id="rId856" Type="http://schemas.openxmlformats.org/officeDocument/2006/relationships/hyperlink" Target="https://patadovietnam.edu.vn/hlg_gt_sea/?utm_source=Google&amp;utm_medium=SEA&amp;utm_term=!!!&amp;utm_content=!!!&amp;utm_campaign=!!!" TargetMode="External"/><Relationship Id="rId851" Type="http://schemas.openxmlformats.org/officeDocument/2006/relationships/hyperlink" Target="https://patadovietnam.edu.vn/hlg_tattpvn_gt/" TargetMode="External"/><Relationship Id="rId850" Type="http://schemas.openxmlformats.org/officeDocument/2006/relationships/hyperlink" Target="https://patadovietnam.edu.vn/hlg_gt_sea/?utm_source=Google&amp;utm_medium=SEA&amp;utm_term=!!!&amp;utm_content=!!!&amp;utm_campaign=!!!" TargetMode="External"/><Relationship Id="rId888" Type="http://schemas.openxmlformats.org/officeDocument/2006/relationships/hyperlink" Target="https://patadovietnam.edu.vn/hlg_gt_sea/?utm_source=Google&amp;utm_medium=SEA&amp;utm_term=!!!&amp;utm_content=!!!&amp;utm_campaign=!!!" TargetMode="External"/><Relationship Id="rId887" Type="http://schemas.openxmlformats.org/officeDocument/2006/relationships/hyperlink" Target="https://patadovietnam.edu.vn/hlg_tattpvn_gt/" TargetMode="External"/><Relationship Id="rId886" Type="http://schemas.openxmlformats.org/officeDocument/2006/relationships/hyperlink" Target="https://patadovietnam.edu.vn/hlg_gt_sea/?utm_source=Google&amp;utm_medium=SEA&amp;utm_term=!!!&amp;utm_content=!!!&amp;utm_campaign=!!!" TargetMode="External"/><Relationship Id="rId885" Type="http://schemas.openxmlformats.org/officeDocument/2006/relationships/hyperlink" Target="https://patadovietnam.edu.vn/hlg_tattpvn_gt/" TargetMode="External"/><Relationship Id="rId889" Type="http://schemas.openxmlformats.org/officeDocument/2006/relationships/hyperlink" Target="https://patadovietnam.edu.vn/hlg_tattpvn_gt/" TargetMode="External"/><Relationship Id="rId880" Type="http://schemas.openxmlformats.org/officeDocument/2006/relationships/hyperlink" Target="https://patadovietnam.edu.vn/hlg_gt_sea/?utm_source=Google&amp;utm_medium=SEA&amp;utm_term=!!!&amp;utm_content=!!!&amp;utm_campaign=!!!" TargetMode="External"/><Relationship Id="rId884" Type="http://schemas.openxmlformats.org/officeDocument/2006/relationships/hyperlink" Target="https://patadovietnam.edu.vn/hlg_gt_sea/?utm_source=Google&amp;utm_medium=SEA&amp;utm_term=!!!&amp;utm_content=!!!&amp;utm_campaign=!!!" TargetMode="External"/><Relationship Id="rId883" Type="http://schemas.openxmlformats.org/officeDocument/2006/relationships/hyperlink" Target="https://patadovietnam.edu.vn/hlg_tattpvn_gt/" TargetMode="External"/><Relationship Id="rId882" Type="http://schemas.openxmlformats.org/officeDocument/2006/relationships/hyperlink" Target="https://patadovietnam.edu.vn/hlg_gt_sea/?utm_source=Google&amp;utm_medium=SEA&amp;utm_term=!!!&amp;utm_content=!!!&amp;utm_campaign=!!!" TargetMode="External"/><Relationship Id="rId881" Type="http://schemas.openxmlformats.org/officeDocument/2006/relationships/hyperlink" Target="https://patadovietnam.edu.vn/hlg_tattpvn_gt/" TargetMode="External"/><Relationship Id="rId877" Type="http://schemas.openxmlformats.org/officeDocument/2006/relationships/hyperlink" Target="https://patadovietnam.edu.vn/hlg_tattpvn_gt/" TargetMode="External"/><Relationship Id="rId876" Type="http://schemas.openxmlformats.org/officeDocument/2006/relationships/hyperlink" Target="https://patadovietnam.edu.vn/hlg_gt_sea/?utm_source=Google&amp;utm_medium=SEA&amp;utm_term=!!!&amp;utm_content=!!!&amp;utm_campaign=!!!" TargetMode="External"/><Relationship Id="rId875" Type="http://schemas.openxmlformats.org/officeDocument/2006/relationships/hyperlink" Target="https://patadovietnam.edu.vn/hlg_tattpvn_gt/" TargetMode="External"/><Relationship Id="rId874" Type="http://schemas.openxmlformats.org/officeDocument/2006/relationships/hyperlink" Target="https://patadovietnam.edu.vn/hlg_gt_sea/?utm_source=Google&amp;utm_medium=SEA&amp;utm_term=!!!&amp;utm_content=!!!&amp;utm_campaign=!!!" TargetMode="External"/><Relationship Id="rId879" Type="http://schemas.openxmlformats.org/officeDocument/2006/relationships/hyperlink" Target="https://patadovietnam.edu.vn/hlg_tattpvn_gt/" TargetMode="External"/><Relationship Id="rId878" Type="http://schemas.openxmlformats.org/officeDocument/2006/relationships/hyperlink" Target="https://patadovietnam.edu.vn/hlg_gt_sea/?utm_source=Google&amp;utm_medium=SEA&amp;utm_term=!!!&amp;utm_content=!!!&amp;utm_campaign=!!!" TargetMode="External"/><Relationship Id="rId873" Type="http://schemas.openxmlformats.org/officeDocument/2006/relationships/hyperlink" Target="https://patadovietnam.edu.vn/hlg_tattpvn_gt/" TargetMode="External"/><Relationship Id="rId872" Type="http://schemas.openxmlformats.org/officeDocument/2006/relationships/hyperlink" Target="https://patadovietnam.edu.vn/hlg_gt_sea/?utm_source=Google&amp;utm_medium=SEA&amp;utm_term=!!!&amp;utm_content=!!!&amp;utm_campaign=!!!" TargetMode="External"/><Relationship Id="rId871" Type="http://schemas.openxmlformats.org/officeDocument/2006/relationships/hyperlink" Target="https://patadovietnam.edu.vn/hlg_tattpvn_gt/" TargetMode="External"/><Relationship Id="rId870" Type="http://schemas.openxmlformats.org/officeDocument/2006/relationships/hyperlink" Target="https://patadovietnam.edu.vn/hlg_gt_sea/?utm_source=Google&amp;utm_medium=SEA&amp;utm_term=!!!&amp;utm_content=!!!&amp;utm_campaign=!!!" TargetMode="External"/><Relationship Id="rId829" Type="http://schemas.openxmlformats.org/officeDocument/2006/relationships/hyperlink" Target="https://patadovietnam.edu.vn/hlg_tattpvn_gt/" TargetMode="External"/><Relationship Id="rId828" Type="http://schemas.openxmlformats.org/officeDocument/2006/relationships/hyperlink" Target="https://patadovietnam.edu.vn/hlg_gt_sea/?utm_source=Google&amp;utm_medium=SEA&amp;utm_term=!!!&amp;utm_content=!!!&amp;utm_campaign=!!!" TargetMode="External"/><Relationship Id="rId827" Type="http://schemas.openxmlformats.org/officeDocument/2006/relationships/hyperlink" Target="https://patadovietnam.edu.vn/hlg_tattpvn_gt/" TargetMode="External"/><Relationship Id="rId822" Type="http://schemas.openxmlformats.org/officeDocument/2006/relationships/hyperlink" Target="https://patadovietnam.edu.vn/hlg_gt_sea/?utm_source=Google&amp;utm_medium=SEA&amp;utm_term=!!!&amp;utm_content=!!!&amp;utm_campaign=!!!" TargetMode="External"/><Relationship Id="rId821" Type="http://schemas.openxmlformats.org/officeDocument/2006/relationships/hyperlink" Target="https://patadovietnam.edu.vn/hlg_tattpvn_gt/" TargetMode="External"/><Relationship Id="rId820" Type="http://schemas.openxmlformats.org/officeDocument/2006/relationships/hyperlink" Target="https://patadovietnam.edu.vn/hlg_gt_sea/?utm_source=Google&amp;utm_medium=SEA&amp;utm_term=!!!&amp;utm_content=!!!&amp;utm_campaign=!!!" TargetMode="External"/><Relationship Id="rId826" Type="http://schemas.openxmlformats.org/officeDocument/2006/relationships/hyperlink" Target="https://patadovietnam.edu.vn/hlg_gt_sea/?utm_source=Google&amp;utm_medium=SEA&amp;utm_term=!!!&amp;utm_content=!!!&amp;utm_campaign=!!!" TargetMode="External"/><Relationship Id="rId825" Type="http://schemas.openxmlformats.org/officeDocument/2006/relationships/hyperlink" Target="https://patadovietnam.edu.vn/hlg_tattpvn_gt/" TargetMode="External"/><Relationship Id="rId824" Type="http://schemas.openxmlformats.org/officeDocument/2006/relationships/hyperlink" Target="https://patadovietnam.edu.vn/hlg_gt_sea/?utm_source=Google&amp;utm_medium=SEA&amp;utm_term=!!!&amp;utm_content=!!!&amp;utm_campaign=!!!" TargetMode="External"/><Relationship Id="rId823" Type="http://schemas.openxmlformats.org/officeDocument/2006/relationships/hyperlink" Target="https://patadovietnam.edu.vn/hlg_tattpvn_gt/" TargetMode="External"/><Relationship Id="rId819" Type="http://schemas.openxmlformats.org/officeDocument/2006/relationships/hyperlink" Target="https://patadovietnam.edu.vn/hlg_tattpvn_gt/" TargetMode="External"/><Relationship Id="rId818" Type="http://schemas.openxmlformats.org/officeDocument/2006/relationships/hyperlink" Target="https://patadovietnam.edu.vn/hlg_gt_sea/?utm_source=Google&amp;utm_medium=SEA&amp;utm_term=!!!&amp;utm_content=!!!&amp;utm_campaign=!!!" TargetMode="External"/><Relationship Id="rId817" Type="http://schemas.openxmlformats.org/officeDocument/2006/relationships/hyperlink" Target="https://patadovietnam.edu.vn/hlg_tattpvn_gt/" TargetMode="External"/><Relationship Id="rId816" Type="http://schemas.openxmlformats.org/officeDocument/2006/relationships/hyperlink" Target="https://patadovietnam.edu.vn/hlg_gt_sea/?utm_source=Google&amp;utm_medium=SEA&amp;utm_term=!!!&amp;utm_content=!!!&amp;utm_campaign=!!!" TargetMode="External"/><Relationship Id="rId811" Type="http://schemas.openxmlformats.org/officeDocument/2006/relationships/hyperlink" Target="https://patadovietnam.edu.vn/hlg_tattpvn_gt/" TargetMode="External"/><Relationship Id="rId810" Type="http://schemas.openxmlformats.org/officeDocument/2006/relationships/hyperlink" Target="https://patadovietnam.edu.vn/hlg_gt_sea/?utm_source=Google&amp;utm_medium=SEA&amp;utm_term=!!!&amp;utm_content=!!!&amp;utm_campaign=!!!" TargetMode="External"/><Relationship Id="rId815" Type="http://schemas.openxmlformats.org/officeDocument/2006/relationships/hyperlink" Target="https://patadovietnam.edu.vn/hlg_tattpvn_gt/" TargetMode="External"/><Relationship Id="rId814" Type="http://schemas.openxmlformats.org/officeDocument/2006/relationships/hyperlink" Target="https://patadovietnam.edu.vn/hlg_gt_sea/?utm_source=Google&amp;utm_medium=SEA&amp;utm_term=!!!&amp;utm_content=!!!&amp;utm_campaign=!!!" TargetMode="External"/><Relationship Id="rId813" Type="http://schemas.openxmlformats.org/officeDocument/2006/relationships/hyperlink" Target="https://patadovietnam.edu.vn/hlg_tattpvn_gt/" TargetMode="External"/><Relationship Id="rId812" Type="http://schemas.openxmlformats.org/officeDocument/2006/relationships/hyperlink" Target="https://patadovietnam.edu.vn/hlg_gt_sea/?utm_source=Google&amp;utm_medium=SEA&amp;utm_term=!!!&amp;utm_content=!!!&amp;utm_campaign=!!!" TargetMode="External"/><Relationship Id="rId849" Type="http://schemas.openxmlformats.org/officeDocument/2006/relationships/hyperlink" Target="https://patadovietnam.edu.vn/hlg_tattpvn_gt/" TargetMode="External"/><Relationship Id="rId844" Type="http://schemas.openxmlformats.org/officeDocument/2006/relationships/hyperlink" Target="https://patadovietnam.edu.vn/hlg_gt_sea/?utm_source=Google&amp;utm_medium=SEA&amp;utm_term=!!!&amp;utm_content=!!!&amp;utm_campaign=!!!" TargetMode="External"/><Relationship Id="rId843" Type="http://schemas.openxmlformats.org/officeDocument/2006/relationships/hyperlink" Target="https://patadovietnam.edu.vn/hlg_tattpvn_gt/" TargetMode="External"/><Relationship Id="rId842" Type="http://schemas.openxmlformats.org/officeDocument/2006/relationships/hyperlink" Target="https://patadovietnam.edu.vn/hlg_gt_sea/?utm_source=Google&amp;utm_medium=SEA&amp;utm_term=!!!&amp;utm_content=!!!&amp;utm_campaign=!!!" TargetMode="External"/><Relationship Id="rId841" Type="http://schemas.openxmlformats.org/officeDocument/2006/relationships/hyperlink" Target="https://patadovietnam.edu.vn/hlg_tattpvn_gt/" TargetMode="External"/><Relationship Id="rId848" Type="http://schemas.openxmlformats.org/officeDocument/2006/relationships/hyperlink" Target="https://patadovietnam.edu.vn/hlg_gt_sea/?utm_source=Google&amp;utm_medium=SEA&amp;utm_term=!!!&amp;utm_content=!!!&amp;utm_campaign=!!!" TargetMode="External"/><Relationship Id="rId847" Type="http://schemas.openxmlformats.org/officeDocument/2006/relationships/hyperlink" Target="https://patadovietnam.edu.vn/hlg_tattpvn_gt/" TargetMode="External"/><Relationship Id="rId846" Type="http://schemas.openxmlformats.org/officeDocument/2006/relationships/hyperlink" Target="https://patadovietnam.edu.vn/hlg_gt_sea/?utm_source=Google&amp;utm_medium=SEA&amp;utm_term=!!!&amp;utm_content=!!!&amp;utm_campaign=!!!" TargetMode="External"/><Relationship Id="rId845" Type="http://schemas.openxmlformats.org/officeDocument/2006/relationships/hyperlink" Target="https://patadovietnam.edu.vn/hlg_tattpvn_gt/" TargetMode="External"/><Relationship Id="rId840" Type="http://schemas.openxmlformats.org/officeDocument/2006/relationships/hyperlink" Target="https://patadovietnam.edu.vn/hlg_gt_sea/?utm_source=Google&amp;utm_medium=SEA&amp;utm_term=!!!&amp;utm_content=!!!&amp;utm_campaign=!!!" TargetMode="External"/><Relationship Id="rId839" Type="http://schemas.openxmlformats.org/officeDocument/2006/relationships/hyperlink" Target="https://patadovietnam.edu.vn/hlg_tattpvn_gt/" TargetMode="External"/><Relationship Id="rId838" Type="http://schemas.openxmlformats.org/officeDocument/2006/relationships/hyperlink" Target="https://patadovietnam.edu.vn/hlg_gt_sea/?utm_source=Google&amp;utm_medium=SEA&amp;utm_term=!!!&amp;utm_content=!!!&amp;utm_campaign=!!!" TargetMode="External"/><Relationship Id="rId833" Type="http://schemas.openxmlformats.org/officeDocument/2006/relationships/hyperlink" Target="https://patadovietnam.edu.vn/hlg_tattpvn_gt/" TargetMode="External"/><Relationship Id="rId832" Type="http://schemas.openxmlformats.org/officeDocument/2006/relationships/hyperlink" Target="https://patadovietnam.edu.vn/hlg_gt_sea/?utm_source=Google&amp;utm_medium=SEA&amp;utm_term=!!!&amp;utm_content=!!!&amp;utm_campaign=!!!" TargetMode="External"/><Relationship Id="rId831" Type="http://schemas.openxmlformats.org/officeDocument/2006/relationships/hyperlink" Target="https://patadovietnam.edu.vn/hlg_tattpvn_gt/" TargetMode="External"/><Relationship Id="rId830" Type="http://schemas.openxmlformats.org/officeDocument/2006/relationships/hyperlink" Target="https://patadovietnam.edu.vn/hlg_gt_sea/?utm_source=Google&amp;utm_medium=SEA&amp;utm_term=!!!&amp;utm_content=!!!&amp;utm_campaign=!!!" TargetMode="External"/><Relationship Id="rId837" Type="http://schemas.openxmlformats.org/officeDocument/2006/relationships/hyperlink" Target="https://patadovietnam.edu.vn/hlg_tattpvn_gt/" TargetMode="External"/><Relationship Id="rId836" Type="http://schemas.openxmlformats.org/officeDocument/2006/relationships/hyperlink" Target="https://patadovietnam.edu.vn/hlg_gt_sea/?utm_source=Google&amp;utm_medium=SEA&amp;utm_term=!!!&amp;utm_content=!!!&amp;utm_campaign=!!!" TargetMode="External"/><Relationship Id="rId835" Type="http://schemas.openxmlformats.org/officeDocument/2006/relationships/hyperlink" Target="https://patadovietnam.edu.vn/hlg_tattpvn_gt/" TargetMode="External"/><Relationship Id="rId834" Type="http://schemas.openxmlformats.org/officeDocument/2006/relationships/hyperlink" Target="https://patadovietnam.edu.vn/hlg_gt_sea/?utm_source=Google&amp;utm_medium=SEA&amp;utm_term=!!!&amp;utm_content=!!!&amp;utm_campaign=!!!" TargetMode="External"/><Relationship Id="rId899" Type="http://schemas.openxmlformats.org/officeDocument/2006/relationships/hyperlink" Target="https://patadovietnam.edu.vn/hlg_tattpvn_gt/" TargetMode="External"/><Relationship Id="rId898" Type="http://schemas.openxmlformats.org/officeDocument/2006/relationships/hyperlink" Target="https://patadovietnam.edu.vn/hlg_gt_sea/?utm_source=Google&amp;utm_medium=SEA&amp;utm_term=!!!&amp;utm_content=!!!&amp;utm_campaign=!!!" TargetMode="External"/><Relationship Id="rId897" Type="http://schemas.openxmlformats.org/officeDocument/2006/relationships/hyperlink" Target="https://patadovietnam.edu.vn/hlg_tattpvn_gt/" TargetMode="External"/><Relationship Id="rId896" Type="http://schemas.openxmlformats.org/officeDocument/2006/relationships/hyperlink" Target="https://patadovietnam.edu.vn/hlg_gt_sea/?utm_source=Google&amp;utm_medium=SEA&amp;utm_term=!!!&amp;utm_content=!!!&amp;utm_campaign=!!!" TargetMode="External"/><Relationship Id="rId891" Type="http://schemas.openxmlformats.org/officeDocument/2006/relationships/hyperlink" Target="https://patadovietnam.edu.vn/hlg_tattpvn_gt/" TargetMode="External"/><Relationship Id="rId890" Type="http://schemas.openxmlformats.org/officeDocument/2006/relationships/hyperlink" Target="https://patadovietnam.edu.vn/hlg_gt_sea/?utm_source=Google&amp;utm_medium=SEA&amp;utm_term=!!!&amp;utm_content=!!!&amp;utm_campaign=!!!" TargetMode="External"/><Relationship Id="rId895" Type="http://schemas.openxmlformats.org/officeDocument/2006/relationships/hyperlink" Target="https://patadovietnam.edu.vn/hlg_tattpvn_gt/" TargetMode="External"/><Relationship Id="rId894" Type="http://schemas.openxmlformats.org/officeDocument/2006/relationships/hyperlink" Target="https://patadovietnam.edu.vn/hlg_gt_sea/?utm_source=Google&amp;utm_medium=SEA&amp;utm_term=!!!&amp;utm_content=!!!&amp;utm_campaign=!!!" TargetMode="External"/><Relationship Id="rId893" Type="http://schemas.openxmlformats.org/officeDocument/2006/relationships/hyperlink" Target="https://patadovietnam.edu.vn/hlg_tattpvn_gt/" TargetMode="External"/><Relationship Id="rId892" Type="http://schemas.openxmlformats.org/officeDocument/2006/relationships/hyperlink" Target="https://patadovietnam.edu.vn/hlg_gt_sea/?utm_source=Google&amp;utm_medium=SEA&amp;utm_term=!!!&amp;utm_content=!!!&amp;utm_campaign=!!!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patadovietnam.edu.vn/blog/ielts-reading/de-thi-ielts-reading-thu/" TargetMode="External"/><Relationship Id="rId42" Type="http://schemas.openxmlformats.org/officeDocument/2006/relationships/hyperlink" Target="https://patadovietnam.edu.vn/blog/ielts-speaking/patado-tong-hop-de-thi-ielts-speaking-2020/" TargetMode="External"/><Relationship Id="rId41" Type="http://schemas.openxmlformats.org/officeDocument/2006/relationships/hyperlink" Target="https://patadovietnam.edu.vn/blog/ielts-listening/lo-trinh-hoc-ielts-listening/" TargetMode="External"/><Relationship Id="rId44" Type="http://schemas.openxmlformats.org/officeDocument/2006/relationships/hyperlink" Target="https://patadovietnam.edu.vn/tai-lieu/3000-tu-vung-tieng-anh/" TargetMode="External"/><Relationship Id="rId43" Type="http://schemas.openxmlformats.org/officeDocument/2006/relationships/hyperlink" Target="https://patadovietnam.edu.vn/blog/vocab-grammar/chuc-tet-tieng-anh/" TargetMode="External"/><Relationship Id="rId46" Type="http://schemas.openxmlformats.org/officeDocument/2006/relationships/hyperlink" Target="https://patadovietnam.edu.vn/blog/vocab-grammar/3000-tu-vung-ielts-thong-dung-nhat/" TargetMode="External"/><Relationship Id="rId45" Type="http://schemas.openxmlformats.org/officeDocument/2006/relationships/hyperlink" Target="https://patadovietnam.edu.vn/cam-nhan-hoc-vien/" TargetMode="External"/><Relationship Id="rId48" Type="http://schemas.openxmlformats.org/officeDocument/2006/relationships/hyperlink" Target="https://patadovietnam.edu.vn/khoa-hoc-ielts/" TargetMode="External"/><Relationship Id="rId47" Type="http://schemas.openxmlformats.org/officeDocument/2006/relationships/hyperlink" Target="https://patadovietnam.edu.vn/blog/kinh-nghiem-thi/ielts/" TargetMode="External"/><Relationship Id="rId49" Type="http://schemas.openxmlformats.org/officeDocument/2006/relationships/hyperlink" Target="https://patadovietnam.edu.vn/test-trinh-do/kiem-tra-trinh-do-tu-vung-tieng-anh-01/" TargetMode="External"/><Relationship Id="rId31" Type="http://schemas.openxmlformats.org/officeDocument/2006/relationships/hyperlink" Target="https://patadovietnam.edu.vn/tai-lieu/english-grammar-in-use/" TargetMode="External"/><Relationship Id="rId30" Type="http://schemas.openxmlformats.org/officeDocument/2006/relationships/hyperlink" Target="https://patadovietnam.edu.vn/tai-lieu/tu-vung-co-ban-english-vocabulary-in-use-elementary/" TargetMode="External"/><Relationship Id="rId33" Type="http://schemas.openxmlformats.org/officeDocument/2006/relationships/hyperlink" Target="https://patadovietnam.edu.vn/blog/tieng-anh-giao-tiep/10-website-luyen-nghe-online/" TargetMode="External"/><Relationship Id="rId32" Type="http://schemas.openxmlformats.org/officeDocument/2006/relationships/hyperlink" Target="https://patadovietnam.edu.vn/blog/tieng-anh-giao-tiep/phat-am-tieng-anh-chuan/" TargetMode="External"/><Relationship Id="rId35" Type="http://schemas.openxmlformats.org/officeDocument/2006/relationships/hyperlink" Target="https://patadovietnam.edu.vn/blog/tieng-anh-giao-tiep/phan-mem-hoc-tieng-anh-mien-phi/" TargetMode="External"/><Relationship Id="rId34" Type="http://schemas.openxmlformats.org/officeDocument/2006/relationships/hyperlink" Target="http://tintuc.vn" TargetMode="External"/><Relationship Id="rId37" Type="http://schemas.openxmlformats.org/officeDocument/2006/relationships/hyperlink" Target="https://patadovietnam.edu.vn/blog/sach-luyen-thi-ielts/" TargetMode="External"/><Relationship Id="rId36" Type="http://schemas.openxmlformats.org/officeDocument/2006/relationships/hyperlink" Target="https://patadovietnam.edu.vn/blog/ielts-writting/" TargetMode="External"/><Relationship Id="rId39" Type="http://schemas.openxmlformats.org/officeDocument/2006/relationships/hyperlink" Target="https://patadovietnam.edu.vn/blog/vocab-grammar/tu-vung-chu-de-tet-nguyen-dan/" TargetMode="External"/><Relationship Id="rId38" Type="http://schemas.openxmlformats.org/officeDocument/2006/relationships/hyperlink" Target="https://patadovietnam.edu.vn/blog/vocab-grammar/16-thi-trong-tieng-anh/" TargetMode="External"/><Relationship Id="rId20" Type="http://schemas.openxmlformats.org/officeDocument/2006/relationships/hyperlink" Target="https://patadovietnam.edu.vn/tai-lieu/tips-for-ielts-meo-hoc-ielts/" TargetMode="External"/><Relationship Id="rId22" Type="http://schemas.openxmlformats.org/officeDocument/2006/relationships/hyperlink" Target="https://patadovietnam.edu.vn/tai-lieu/reading-strategies-for-the-ielts-test/" TargetMode="External"/><Relationship Id="rId21" Type="http://schemas.openxmlformats.org/officeDocument/2006/relationships/hyperlink" Target="https://patadovietnam.edu.vn/tai-lieu/destination-b1-b2-va-c1c2/" TargetMode="External"/><Relationship Id="rId24" Type="http://schemas.openxmlformats.org/officeDocument/2006/relationships/hyperlink" Target="https://patadovietnam.edu.vn/tai-lieu/listening-strategies-for-the-ielts-test/" TargetMode="External"/><Relationship Id="rId23" Type="http://schemas.openxmlformats.org/officeDocument/2006/relationships/hyperlink" Target="http://blogtamsu.vn" TargetMode="External"/><Relationship Id="rId26" Type="http://schemas.openxmlformats.org/officeDocument/2006/relationships/hyperlink" Target="https://patadovietnam.edu.vn/tai-lieu/full-bo-check-your-english-vocabulary/" TargetMode="External"/><Relationship Id="rId25" Type="http://schemas.openxmlformats.org/officeDocument/2006/relationships/hyperlink" Target="https://patadovietnam.edu.vn/tai-lieu/top-tips-for-ielts-academic/" TargetMode="External"/><Relationship Id="rId28" Type="http://schemas.openxmlformats.org/officeDocument/2006/relationships/hyperlink" Target="http://24h.com.vn" TargetMode="External"/><Relationship Id="rId27" Type="http://schemas.openxmlformats.org/officeDocument/2006/relationships/hyperlink" Target="https://patadovietnam.edu.vn/tai-lieu/hoc-tieng-anh-cho-nguoi-di-lam-voi-cuon-sach-market-leader/" TargetMode="External"/><Relationship Id="rId29" Type="http://schemas.openxmlformats.org/officeDocument/2006/relationships/hyperlink" Target="https://patadovietnam.edu.vn/tai-lieu/doi-thoai-hang-ngay-everyday-conversations/" TargetMode="External"/><Relationship Id="rId11" Type="http://schemas.openxmlformats.org/officeDocument/2006/relationships/hyperlink" Target="https://www.patado.net/hoc-tieng-anh-giao-tiep" TargetMode="External"/><Relationship Id="rId10" Type="http://schemas.openxmlformats.org/officeDocument/2006/relationships/hyperlink" Target="https://www.patado.net/anhtuanchik" TargetMode="External"/><Relationship Id="rId13" Type="http://schemas.openxmlformats.org/officeDocument/2006/relationships/hyperlink" Target="https://patadovietnam.edu.vn/blog/" TargetMode="External"/><Relationship Id="rId12" Type="http://schemas.openxmlformats.org/officeDocument/2006/relationships/hyperlink" Target="https://patadovietnam.edu.vn/tai-tai-lieu/" TargetMode="External"/><Relationship Id="rId15" Type="http://schemas.openxmlformats.org/officeDocument/2006/relationships/hyperlink" Target="https://patadovietnam.edu.vn/tai-lieu/chinh-phuc-ielts-writing-course/" TargetMode="External"/><Relationship Id="rId14" Type="http://schemas.openxmlformats.org/officeDocument/2006/relationships/hyperlink" Target="https://patadovietnam.edu.vn/test-trinh-do/" TargetMode="External"/><Relationship Id="rId17" Type="http://schemas.openxmlformats.org/officeDocument/2006/relationships/hyperlink" Target="https://patadovietnam.edu.vn/tai-lieu/focus-on-academic-skills-for-ielts/" TargetMode="External"/><Relationship Id="rId16" Type="http://schemas.openxmlformats.org/officeDocument/2006/relationships/hyperlink" Target="https://patadovietnam.edu.vn/tai-lieu/cambridge-instant-ielts/" TargetMode="External"/><Relationship Id="rId19" Type="http://schemas.openxmlformats.org/officeDocument/2006/relationships/hyperlink" Target="https://patadovietnam.edu.vn/tai-lieu/cambridge-grammar-for-ielts/" TargetMode="External"/><Relationship Id="rId18" Type="http://schemas.openxmlformats.org/officeDocument/2006/relationships/hyperlink" Target="https://patadovietnam.edu.vn/tai-lieu/basic-ielts-full-pdf/" TargetMode="External"/><Relationship Id="rId84" Type="http://schemas.openxmlformats.org/officeDocument/2006/relationships/hyperlink" Target="https://patadovietnam.edu.vn/blog/sach-luyen-thi-ielts/ielts-cambridge/" TargetMode="External"/><Relationship Id="rId83" Type="http://schemas.openxmlformats.org/officeDocument/2006/relationships/hyperlink" Target="https://patadovietnam.edu.vn/tai-lieu/hoc-tieng-anh-cho-nguoi-di-lam-voi-cuon-sach-market-leader/" TargetMode="External"/><Relationship Id="rId86" Type="http://schemas.openxmlformats.org/officeDocument/2006/relationships/hyperlink" Target="https://patadovietnam.edu.vn/tai-lieu/ielts-listening-actual-test/" TargetMode="External"/><Relationship Id="rId85" Type="http://schemas.openxmlformats.org/officeDocument/2006/relationships/hyperlink" Target="https://patadovietnam.edu.vn/tai-lieu/ielts-advantage-speaking-listening-skills/" TargetMode="External"/><Relationship Id="rId88" Type="http://schemas.openxmlformats.org/officeDocument/2006/relationships/hyperlink" Target="https://patadovietnam.edu.vn/tai-lieu/a-book-for-ielts/" TargetMode="External"/><Relationship Id="rId87" Type="http://schemas.openxmlformats.org/officeDocument/2006/relationships/hyperlink" Target="https://patadovietnam.edu.vn/tai-lieu/barrons-ielts-practice-exams/" TargetMode="External"/><Relationship Id="rId89" Type="http://schemas.openxmlformats.org/officeDocument/2006/relationships/hyperlink" Target="https://forms.gle/YZ7FebbSC6Upf7yu9" TargetMode="External"/><Relationship Id="rId80" Type="http://schemas.openxmlformats.org/officeDocument/2006/relationships/hyperlink" Target="https://patadovietnam.edu.vn/blog/vocab-grammar/tu-vung-ielts-chu-de/" TargetMode="External"/><Relationship Id="rId82" Type="http://schemas.openxmlformats.org/officeDocument/2006/relationships/hyperlink" Target="https://patadovietnam.edu.vn/tai-lieu/bo-sach-chuyen-nganh-oxford-business-english/" TargetMode="External"/><Relationship Id="rId81" Type="http://schemas.openxmlformats.org/officeDocument/2006/relationships/hyperlink" Target="https://patadovietnam.edu.vn/merrychristmast/" TargetMode="External"/><Relationship Id="rId73" Type="http://schemas.openxmlformats.org/officeDocument/2006/relationships/hyperlink" Target="https://patadovietnam.edu.vn/nailspatado/" TargetMode="External"/><Relationship Id="rId72" Type="http://schemas.openxmlformats.org/officeDocument/2006/relationships/hyperlink" Target="https://patadovietnam.edu.vn/khoa-hoc-giao-tiep/" TargetMode="External"/><Relationship Id="rId75" Type="http://schemas.openxmlformats.org/officeDocument/2006/relationships/hyperlink" Target="https://www.patado.net/tieng-anh-giao-tiep-nuoc-ngoai/" TargetMode="External"/><Relationship Id="rId74" Type="http://schemas.openxmlformats.org/officeDocument/2006/relationships/hyperlink" Target="https://patadovietnam.edu.vn/blog/kinh-nghiem-thi/tat-tan-tat-ve-tu-vung-ielts/" TargetMode="External"/><Relationship Id="rId77" Type="http://schemas.openxmlformats.org/officeDocument/2006/relationships/hyperlink" Target="https://patadovietnam.edu.vn/lop-luyen-thi-quoc-tich-my/" TargetMode="External"/><Relationship Id="rId76" Type="http://schemas.openxmlformats.org/officeDocument/2006/relationships/hyperlink" Target="https://patadovietnam.edu.vn/tieng-anh-nail/" TargetMode="External"/><Relationship Id="rId79" Type="http://schemas.openxmlformats.org/officeDocument/2006/relationships/hyperlink" Target="https://patadovietnam.edu.vn/test-trinh-do/ielts-reading-level-4-5-test/" TargetMode="External"/><Relationship Id="rId78" Type="http://schemas.openxmlformats.org/officeDocument/2006/relationships/hyperlink" Target="https://patadovietnam.edu.vn/ielts_patado/" TargetMode="External"/><Relationship Id="rId71" Type="http://schemas.openxmlformats.org/officeDocument/2006/relationships/hyperlink" Target="https://patadovietnam.edu.vn/luyenthiquoctichmy/" TargetMode="External"/><Relationship Id="rId70" Type="http://schemas.openxmlformats.org/officeDocument/2006/relationships/hyperlink" Target="https://patadovietnam.edu.vn/tai-lieu/ielts-vocabulary-booster/" TargetMode="External"/><Relationship Id="rId62" Type="http://schemas.openxmlformats.org/officeDocument/2006/relationships/hyperlink" Target="https://patadovietnam.edu.vn/tai-lieu/bo-complete-ielts/" TargetMode="External"/><Relationship Id="rId61" Type="http://schemas.openxmlformats.org/officeDocument/2006/relationships/hyperlink" Target="https://patadovietnam.edu.vn/test-trinh-do/grammar-level-test-01/" TargetMode="External"/><Relationship Id="rId64" Type="http://schemas.openxmlformats.org/officeDocument/2006/relationships/hyperlink" Target="https://www.patado.net/tettansuu" TargetMode="External"/><Relationship Id="rId63" Type="http://schemas.openxmlformats.org/officeDocument/2006/relationships/hyperlink" Target="https://patadovietnam.edu.vn/tai-lieu/oxford-word-skills-basic/" TargetMode="External"/><Relationship Id="rId66" Type="http://schemas.openxmlformats.org/officeDocument/2006/relationships/hyperlink" Target="https://patadovietnam.edu.vn/tai-lieu/basic-ielts-full-pdf/" TargetMode="External"/><Relationship Id="rId65" Type="http://schemas.openxmlformats.org/officeDocument/2006/relationships/hyperlink" Target="https://patadovietnam.edu.vn/tai-lieu/tron-bo-practical-ielts-strategies/" TargetMode="External"/><Relationship Id="rId68" Type="http://schemas.openxmlformats.org/officeDocument/2006/relationships/hyperlink" Target="https://www.patado.net/tieng-anh-giao-tiep-online" TargetMode="External"/><Relationship Id="rId67" Type="http://schemas.openxmlformats.org/officeDocument/2006/relationships/hyperlink" Target="https://patadovietnam.edu.vn/blog/tin-tuc-tieng-anh/idioms-ielts-speaking/" TargetMode="External"/><Relationship Id="rId60" Type="http://schemas.openxmlformats.org/officeDocument/2006/relationships/hyperlink" Target="https://patadovietnam.edu.vn/blog/vocab-grammar/bang-dong-tu-bat-quy-tac/" TargetMode="External"/><Relationship Id="rId69" Type="http://schemas.openxmlformats.org/officeDocument/2006/relationships/hyperlink" Target="https://www.patado.net/tienganhgiaotiepnails" TargetMode="External"/><Relationship Id="rId51" Type="http://schemas.openxmlformats.org/officeDocument/2006/relationships/hyperlink" Target="https://patadovietnam.edu.vn/tai-lieu-giao-tiep/" TargetMode="External"/><Relationship Id="rId50" Type="http://schemas.openxmlformats.org/officeDocument/2006/relationships/hyperlink" Target="http://patadovietnam.edu.vn/?fbclid=IwAR24TnNCr9dgFOwxguPyue_y4qt5bekmfRf1AmeKkz2Ke8gko5cTiCUhEds" TargetMode="External"/><Relationship Id="rId53" Type="http://schemas.openxmlformats.org/officeDocument/2006/relationships/hyperlink" Target="https://patadovietnam.edu.vn/tai-lieu/cambridge-instant-ielts/" TargetMode="External"/><Relationship Id="rId52" Type="http://schemas.openxmlformats.org/officeDocument/2006/relationships/hyperlink" Target="https://patadovietnam.edu.vn/blog/kinh-nghiem-thi/hinh-thuc-thi-ielts/" TargetMode="External"/><Relationship Id="rId55" Type="http://schemas.openxmlformats.org/officeDocument/2006/relationships/hyperlink" Target="https://patadovietnam.edu.vn/blog/ielts-writting/cau-truc-bai-thi-ielts-academic-writing/" TargetMode="External"/><Relationship Id="rId54" Type="http://schemas.openxmlformats.org/officeDocument/2006/relationships/hyperlink" Target="https://patadovietnam.edu.vn/khoa-hoc-ielts/" TargetMode="External"/><Relationship Id="rId57" Type="http://schemas.openxmlformats.org/officeDocument/2006/relationships/hyperlink" Target="https://patadovietnam.edu.vn/tai-lieu-ielts/" TargetMode="External"/><Relationship Id="rId56" Type="http://schemas.openxmlformats.org/officeDocument/2006/relationships/hyperlink" Target="https://patadovietnam.edu.vn/tai-lieu/chinh-phuc-ielts-writing-course/" TargetMode="External"/><Relationship Id="rId59" Type="http://schemas.openxmlformats.org/officeDocument/2006/relationships/hyperlink" Target="https://patadovietnam.edu.vn/blog/vocab-grammar/tu-loai/" TargetMode="External"/><Relationship Id="rId58" Type="http://schemas.openxmlformats.org/officeDocument/2006/relationships/hyperlink" Target="https://patadovietnam.edu.vn/tai-lieu/ielts-vocabulary-booster/" TargetMode="External"/><Relationship Id="rId95" Type="http://schemas.openxmlformats.org/officeDocument/2006/relationships/hyperlink" Target="https://patadovietnam.edu.vn/tai-lieu/tron-bo-collins-for-ielts/" TargetMode="External"/><Relationship Id="rId94" Type="http://schemas.openxmlformats.org/officeDocument/2006/relationships/hyperlink" Target="https://patadovietnam.edu.vn/tai-lieu/bo-improve-your-ielts-4-ky-nang/" TargetMode="External"/><Relationship Id="rId97" Type="http://schemas.openxmlformats.org/officeDocument/2006/relationships/hyperlink" Target="https://patadovietnam.edu.vn/tai-lieu/academic-writing-practice-for-ielts/" TargetMode="External"/><Relationship Id="rId96" Type="http://schemas.openxmlformats.org/officeDocument/2006/relationships/hyperlink" Target="https://patadovietnam.edu.vn/tai-lieu/tron-bo-mindset-for-ielts-ban-pdf/" TargetMode="External"/><Relationship Id="rId99" Type="http://schemas.openxmlformats.org/officeDocument/2006/relationships/hyperlink" Target="https://patadovietnam.edu.vn/tai-lieu/marvellous-techniques-for-ielts-writing/" TargetMode="External"/><Relationship Id="rId98" Type="http://schemas.openxmlformats.org/officeDocument/2006/relationships/hyperlink" Target="https://patadovietnam.edu.vn/tai-lieu/tron-bo-intensive-ielts/" TargetMode="External"/><Relationship Id="rId91" Type="http://schemas.openxmlformats.org/officeDocument/2006/relationships/hyperlink" Target="https://patadovietnam.edu.vn/tai-lieu/tron-bo-english-vocabulary-in-use/" TargetMode="External"/><Relationship Id="rId90" Type="http://schemas.openxmlformats.org/officeDocument/2006/relationships/hyperlink" Target="https://patadovietnam.edu.vn/tai-lieu/academic-vocabulary-in-use/" TargetMode="External"/><Relationship Id="rId93" Type="http://schemas.openxmlformats.org/officeDocument/2006/relationships/hyperlink" Target="https://patadovietnam.edu.vn/tetnhamdan/" TargetMode="External"/><Relationship Id="rId92" Type="http://schemas.openxmlformats.org/officeDocument/2006/relationships/hyperlink" Target="https://patadovietnam.edu.vn/tai-lieu/ielts-advantage-speaking-listening-skills/" TargetMode="External"/><Relationship Id="rId296" Type="http://schemas.openxmlformats.org/officeDocument/2006/relationships/vmlDrawing" Target="../drawings/vmlDrawing1.vml"/><Relationship Id="rId295" Type="http://schemas.openxmlformats.org/officeDocument/2006/relationships/drawing" Target="../drawings/drawing19.xml"/><Relationship Id="rId294" Type="http://schemas.openxmlformats.org/officeDocument/2006/relationships/hyperlink" Target="https://patado.edu.vn/tieng-anh-giao-tiep-cho-nguoi-viet-tai-nhat-sbd-htt" TargetMode="External"/><Relationship Id="rId271" Type="http://schemas.openxmlformats.org/officeDocument/2006/relationships/hyperlink" Target="https://patado.edu.vn/gtjapan_nhn3/" TargetMode="External"/><Relationship Id="rId270" Type="http://schemas.openxmlformats.org/officeDocument/2006/relationships/hyperlink" Target="https://patado.edu.vn/khoa-tieng-anh-giao-tiep-o-nhat-ban" TargetMode="External"/><Relationship Id="rId269" Type="http://schemas.openxmlformats.org/officeDocument/2006/relationships/hyperlink" Target="https://patado.edu.vn/khoa-giao-tiep-tieng-anh-online-all" TargetMode="External"/><Relationship Id="rId264" Type="http://schemas.openxmlformats.org/officeDocument/2006/relationships/hyperlink" Target="https://patadovietnam.edu.vn/khoa-hoc-ielts-patado/" TargetMode="External"/><Relationship Id="rId263" Type="http://schemas.openxmlformats.org/officeDocument/2006/relationships/hyperlink" Target="https://patadovietnam.edu.vn/khoa-tieng-anh-giao-tiep-o-nhat-ban/" TargetMode="External"/><Relationship Id="rId262" Type="http://schemas.openxmlformats.org/officeDocument/2006/relationships/hyperlink" Target="https://patadovietnam.edu.vn/khoa-giao-tiep-tieng-anh-online-all/" TargetMode="External"/><Relationship Id="rId261" Type="http://schemas.openxmlformats.org/officeDocument/2006/relationships/hyperlink" Target="https://patadovietnam.edu.vn/khoa-giao-tiep-unitedstates/" TargetMode="External"/><Relationship Id="rId268" Type="http://schemas.openxmlformats.org/officeDocument/2006/relationships/hyperlink" Target="https://patadovietnam.edu.vn/khoa-hoc-tieng-anh-giao-tiep-tai-uc/" TargetMode="External"/><Relationship Id="rId267" Type="http://schemas.openxmlformats.org/officeDocument/2006/relationships/hyperlink" Target="https://patadovietnam.edu.vn/khoa-tieng-anh-giao-tiep-chau-au/" TargetMode="External"/><Relationship Id="rId266" Type="http://schemas.openxmlformats.org/officeDocument/2006/relationships/hyperlink" Target="https://patadovietnam.edu.vn/khoa-tieng-anh-giao-tiep-dai-loan/" TargetMode="External"/><Relationship Id="rId265" Type="http://schemas.openxmlformats.org/officeDocument/2006/relationships/hyperlink" Target="https://patadovietnam.edu.vn/khoa-giao-tiep-cho-nguoi-viet-tai-han-quoc/" TargetMode="External"/><Relationship Id="rId260" Type="http://schemas.openxmlformats.org/officeDocument/2006/relationships/hyperlink" Target="https://patadovietnam.edu.vn/tieng-anh-giao-tiep-toan-dien-all/" TargetMode="External"/><Relationship Id="rId259" Type="http://schemas.openxmlformats.org/officeDocument/2006/relationships/hyperlink" Target="https://patadovietnam.edu.vn/tieng-anh-giao-tiep-united-states/" TargetMode="External"/><Relationship Id="rId258" Type="http://schemas.openxmlformats.org/officeDocument/2006/relationships/hyperlink" Target="https://patadovietnam.edu.vn/tieng-anh-giao-tiep-japan/" TargetMode="External"/><Relationship Id="rId253" Type="http://schemas.openxmlformats.org/officeDocument/2006/relationships/hyperlink" Target="https://patadovietnam.edu.vn/hlg1908" TargetMode="External"/><Relationship Id="rId252" Type="http://schemas.openxmlformats.org/officeDocument/2006/relationships/hyperlink" Target="https://patadovietnam.edu.vn/gt_nhn/" TargetMode="External"/><Relationship Id="rId251" Type="http://schemas.openxmlformats.org/officeDocument/2006/relationships/hyperlink" Target="https://patadovietnam.edu.vn/hlg1907" TargetMode="External"/><Relationship Id="rId250" Type="http://schemas.openxmlformats.org/officeDocument/2006/relationships/hyperlink" Target="https://patadovietnam.edu.vn/hlg1807" TargetMode="External"/><Relationship Id="rId257" Type="http://schemas.openxmlformats.org/officeDocument/2006/relationships/hyperlink" Target="https://patadovietnam.edu.vn/tienganhgt_nnh/" TargetMode="External"/><Relationship Id="rId256" Type="http://schemas.openxmlformats.org/officeDocument/2006/relationships/hyperlink" Target="https://patadovietnam.edu.vn/gtnhn220925" TargetMode="External"/><Relationship Id="rId255" Type="http://schemas.openxmlformats.org/officeDocument/2006/relationships/hyperlink" Target="https://patadovietnam.edu.vn/hlg1709" TargetMode="External"/><Relationship Id="rId254" Type="http://schemas.openxmlformats.org/officeDocument/2006/relationships/hyperlink" Target="https://patadovietnam.edu.vn/gtnhn_198" TargetMode="External"/><Relationship Id="rId293" Type="http://schemas.openxmlformats.org/officeDocument/2006/relationships/hyperlink" Target="https://patado.edu.vn/tieng-anh-giao-tiep-eu-sbd-htt/" TargetMode="External"/><Relationship Id="rId292" Type="http://schemas.openxmlformats.org/officeDocument/2006/relationships/hyperlink" Target="https://patado.edu.vn/khoa-hoc-tieng-anh-giao-tiep-all-sbd-htt" TargetMode="External"/><Relationship Id="rId291" Type="http://schemas.openxmlformats.org/officeDocument/2006/relationships/hyperlink" Target="https://patado.edu.vn/tieng-anh-giao-tiep-eu-sbd-htt" TargetMode="External"/><Relationship Id="rId290" Type="http://schemas.openxmlformats.org/officeDocument/2006/relationships/hyperlink" Target="https://patado.edu.vn/ptd_hongtt/" TargetMode="External"/><Relationship Id="rId286" Type="http://schemas.openxmlformats.org/officeDocument/2006/relationships/hyperlink" Target="https://patado.edu.vn/trung-tam-tieng-anh-patado/" TargetMode="External"/><Relationship Id="rId285" Type="http://schemas.openxmlformats.org/officeDocument/2006/relationships/hyperlink" Target="https://patado.edu.vn/hlg_tattp_gt" TargetMode="External"/><Relationship Id="rId284" Type="http://schemas.openxmlformats.org/officeDocument/2006/relationships/hyperlink" Target="https://patado.edu.vn/khoa-hoc-cambridge-cho-tre" TargetMode="External"/><Relationship Id="rId283" Type="http://schemas.openxmlformats.org/officeDocument/2006/relationships/hyperlink" Target="https://patado.edu.vn/khoa-ielts-patado/" TargetMode="External"/><Relationship Id="rId289" Type="http://schemas.openxmlformats.org/officeDocument/2006/relationships/hyperlink" Target="https://patado.edu.vn/tieng-anh-giao-tiep-us-sbd-htt/" TargetMode="External"/><Relationship Id="rId288" Type="http://schemas.openxmlformats.org/officeDocument/2006/relationships/hyperlink" Target="https://patado.edu.vn/nhn_jp0106" TargetMode="External"/><Relationship Id="rId287" Type="http://schemas.openxmlformats.org/officeDocument/2006/relationships/hyperlink" Target="https://patado.edu.vn/patadoenglisht/" TargetMode="External"/><Relationship Id="rId282" Type="http://schemas.openxmlformats.org/officeDocument/2006/relationships/hyperlink" Target="https://patado.edu.vn/khoa-giao-tiep-unitedstates/" TargetMode="External"/><Relationship Id="rId281" Type="http://schemas.openxmlformats.org/officeDocument/2006/relationships/hyperlink" Target="https://patado.edu.vn/khoa-tieng-anh-giao-tiep-chau-au" TargetMode="External"/><Relationship Id="rId280" Type="http://schemas.openxmlformats.org/officeDocument/2006/relationships/hyperlink" Target="https://patado.edu.vn/hlg_pgpgtta_gt/" TargetMode="External"/><Relationship Id="rId275" Type="http://schemas.openxmlformats.org/officeDocument/2006/relationships/hyperlink" Target="https://patado.edu.vn/khoa-tieng-anh-giao-tiep-dai-loan" TargetMode="External"/><Relationship Id="rId274" Type="http://schemas.openxmlformats.org/officeDocument/2006/relationships/hyperlink" Target="https://patado.edu.vn/khoa-hoc-tieng-anh-giao-tiep-tai-uc" TargetMode="External"/><Relationship Id="rId273" Type="http://schemas.openxmlformats.org/officeDocument/2006/relationships/hyperlink" Target="https://patado.edu.vn/tienganhgiaotiep1_hn/" TargetMode="External"/><Relationship Id="rId272" Type="http://schemas.openxmlformats.org/officeDocument/2006/relationships/hyperlink" Target="https://patado.edu.vn/gtusa1_nhn/" TargetMode="External"/><Relationship Id="rId279" Type="http://schemas.openxmlformats.org/officeDocument/2006/relationships/hyperlink" Target="https://patado.edu.vn/hlg1908" TargetMode="External"/><Relationship Id="rId278" Type="http://schemas.openxmlformats.org/officeDocument/2006/relationships/hyperlink" Target="https://patado.edu.vn/japan_hlg" TargetMode="External"/><Relationship Id="rId277" Type="http://schemas.openxmlformats.org/officeDocument/2006/relationships/hyperlink" Target="https://patadovietnam.edu.vn/japancvs/" TargetMode="External"/><Relationship Id="rId276" Type="http://schemas.openxmlformats.org/officeDocument/2006/relationships/hyperlink" Target="https://patado.edu.vn/khoa-giao-tiep-unitedstates" TargetMode="External"/><Relationship Id="rId228" Type="http://schemas.openxmlformats.org/officeDocument/2006/relationships/hyperlink" Target="https://patadovietnam.edu.vn/giaotiepchung_hn/" TargetMode="External"/><Relationship Id="rId227" Type="http://schemas.openxmlformats.org/officeDocument/2006/relationships/hyperlink" Target="https://patadovietnam.edu.vn/japan_hn/" TargetMode="External"/><Relationship Id="rId226" Type="http://schemas.openxmlformats.org/officeDocument/2006/relationships/hyperlink" Target="https://patadovietnam.edu.vn/giaotiepanhngu_adp/" TargetMode="External"/><Relationship Id="rId225" Type="http://schemas.openxmlformats.org/officeDocument/2006/relationships/hyperlink" Target="https://patadovietnam.edu.vn/tienganhgiaotiep_adp/" TargetMode="External"/><Relationship Id="rId229" Type="http://schemas.openxmlformats.org/officeDocument/2006/relationships/hyperlink" Target="https://patadovietnam.edu.vn/be_hlg/" TargetMode="External"/><Relationship Id="rId220" Type="http://schemas.openxmlformats.org/officeDocument/2006/relationships/hyperlink" Target="https://patadovietnam.edu.vn/khoaieltscaptoc_dnt" TargetMode="External"/><Relationship Id="rId224" Type="http://schemas.openxmlformats.org/officeDocument/2006/relationships/hyperlink" Target="https://patadovietnam.edu.vn/tienganhtoandienpatado_ptattndlscb" TargetMode="External"/><Relationship Id="rId223" Type="http://schemas.openxmlformats.org/officeDocument/2006/relationships/hyperlink" Target="https://www.anhngupatado.edu.vn/vqmm" TargetMode="External"/><Relationship Id="rId222" Type="http://schemas.openxmlformats.org/officeDocument/2006/relationships/hyperlink" Target="https://www.anhngupatado.edu.vn/giaotiepall_hn" TargetMode="External"/><Relationship Id="rId221" Type="http://schemas.openxmlformats.org/officeDocument/2006/relationships/hyperlink" Target="https://patadovietnam.edu.vn/vongquay_namnh" TargetMode="External"/><Relationship Id="rId217" Type="http://schemas.openxmlformats.org/officeDocument/2006/relationships/hyperlink" Target="https://patadovietnam.edu.vn/ielts26923" TargetMode="External"/><Relationship Id="rId216" Type="http://schemas.openxmlformats.org/officeDocument/2006/relationships/hyperlink" Target="https://patadovietnam.edu.vn/tienganhtoandienpatado_ptattndl" TargetMode="External"/><Relationship Id="rId215" Type="http://schemas.openxmlformats.org/officeDocument/2006/relationships/hyperlink" Target="https://patadovietnam.edu.vn/hlg_eu_tattpvn" TargetMode="External"/><Relationship Id="rId214" Type="http://schemas.openxmlformats.org/officeDocument/2006/relationships/hyperlink" Target="https://patadovietnam.edu.vn/hlg_us_tattpvn" TargetMode="External"/><Relationship Id="rId219" Type="http://schemas.openxmlformats.org/officeDocument/2006/relationships/hyperlink" Target="https://patadovietnam.edu.vn/phong_van_doc_quyen_vicky_thao_dnguyen_phi" TargetMode="External"/><Relationship Id="rId218" Type="http://schemas.openxmlformats.org/officeDocument/2006/relationships/hyperlink" Target="https://patadovietnam.edu.vn/khoagiaotiep_all/" TargetMode="External"/><Relationship Id="rId213" Type="http://schemas.openxmlformats.org/officeDocument/2006/relationships/hyperlink" Target="https://patadovietnam.edu.vn/phong_van_doc_quyen_vicky_thao_dnguyen_dai" TargetMode="External"/><Relationship Id="rId212" Type="http://schemas.openxmlformats.org/officeDocument/2006/relationships/hyperlink" Target="https://patadovietnam.edu.vn/phong_van_doc_quyen_vicky_thao_dnguyen_nhat" TargetMode="External"/><Relationship Id="rId211" Type="http://schemas.openxmlformats.org/officeDocument/2006/relationships/hyperlink" Target="https://patadovietnam.edu.vn/hlg_kr_tattpvn" TargetMode="External"/><Relationship Id="rId210" Type="http://schemas.openxmlformats.org/officeDocument/2006/relationships/hyperlink" Target="https://patadovietnam.edu.vn/hlg_jp_tattpvn" TargetMode="External"/><Relationship Id="rId249" Type="http://schemas.openxmlformats.org/officeDocument/2006/relationships/hyperlink" Target="https://patadovietnam.edu.vn/tienganhgiaotiep1_hn/" TargetMode="External"/><Relationship Id="rId248" Type="http://schemas.openxmlformats.org/officeDocument/2006/relationships/hyperlink" Target="https://patadovietnam.edu.vn/gtusa2_nhn" TargetMode="External"/><Relationship Id="rId247" Type="http://schemas.openxmlformats.org/officeDocument/2006/relationships/hyperlink" Target="https://patadovietnam.edu.vn/gtjapan_nhn5" TargetMode="External"/><Relationship Id="rId242" Type="http://schemas.openxmlformats.org/officeDocument/2006/relationships/hyperlink" Target="https://duhocpatado.edu.vn/tienganhgiaotiep_hn/" TargetMode="External"/><Relationship Id="rId241" Type="http://schemas.openxmlformats.org/officeDocument/2006/relationships/hyperlink" Target="https://duhocpatado.edu.vn/gtusa1_nhn/" TargetMode="External"/><Relationship Id="rId240" Type="http://schemas.openxmlformats.org/officeDocument/2006/relationships/hyperlink" Target="https://duhocpatado.edu.vn/gtjapan_nhn3/" TargetMode="External"/><Relationship Id="rId246" Type="http://schemas.openxmlformats.org/officeDocument/2006/relationships/hyperlink" Target="https://patadovietnam.edu.vn/career_hlg/" TargetMode="External"/><Relationship Id="rId245" Type="http://schemas.openxmlformats.org/officeDocument/2006/relationships/hyperlink" Target="https://patadovietnam.edu.vn/careereng_nhn/" TargetMode="External"/><Relationship Id="rId244" Type="http://schemas.openxmlformats.org/officeDocument/2006/relationships/hyperlink" Target="https://docs.google.com/forms/d/1wRJnnBOBTN51U0XoSEyKqoDPYT8P2J7xUkXLirEY-X8/" TargetMode="External"/><Relationship Id="rId243" Type="http://schemas.openxmlformats.org/officeDocument/2006/relationships/hyperlink" Target="https://patadovietnam.edu.vn/hlg_gt_sea/" TargetMode="External"/><Relationship Id="rId239" Type="http://schemas.openxmlformats.org/officeDocument/2006/relationships/hyperlink" Target="https://patadovietnam.edu.vn/hlg_tattp_gt/" TargetMode="External"/><Relationship Id="rId238" Type="http://schemas.openxmlformats.org/officeDocument/2006/relationships/hyperlink" Target="https://docs.google.com/forms/d/1zaOdpSo0gx4FjBK5SGbcqd3eeGvvZUTUst3QjANn3qI/edit" TargetMode="External"/><Relationship Id="rId237" Type="http://schemas.openxmlformats.org/officeDocument/2006/relationships/hyperlink" Target="https://patadovietnam.edu.vn/patadoxlead" TargetMode="External"/><Relationship Id="rId236" Type="http://schemas.openxmlformats.org/officeDocument/2006/relationships/hyperlink" Target="https://patadovietnam.edu.vn/vqmm_be/" TargetMode="External"/><Relationship Id="rId231" Type="http://schemas.openxmlformats.org/officeDocument/2006/relationships/hyperlink" Target="https://patadovietnam.edu.vn/tienganhcongso_hn/" TargetMode="External"/><Relationship Id="rId230" Type="http://schemas.openxmlformats.org/officeDocument/2006/relationships/hyperlink" Target="https://patadovietnam.edu.vn/tienganhdoanhnghiep_hn" TargetMode="External"/><Relationship Id="rId235" Type="http://schemas.openxmlformats.org/officeDocument/2006/relationships/hyperlink" Target="https://patadovietnam.edu.vn/hlg_tattpvn_gt/" TargetMode="External"/><Relationship Id="rId234" Type="http://schemas.openxmlformats.org/officeDocument/2006/relationships/hyperlink" Target="https://patadovietnam.edu.vn/giaotiep_usa/" TargetMode="External"/><Relationship Id="rId233" Type="http://schemas.openxmlformats.org/officeDocument/2006/relationships/hyperlink" Target="https://patadovietnam.edu.vn/giaotiep_japan/" TargetMode="External"/><Relationship Id="rId232" Type="http://schemas.openxmlformats.org/officeDocument/2006/relationships/hyperlink" Target="https://patadovietnam.edu.vn/hlg_pgpgtta_gt" TargetMode="External"/><Relationship Id="rId206" Type="http://schemas.openxmlformats.org/officeDocument/2006/relationships/hyperlink" Target="https://patadovietnam.edu.vn/jpfb2910" TargetMode="External"/><Relationship Id="rId205" Type="http://schemas.openxmlformats.org/officeDocument/2006/relationships/hyperlink" Target="https://patadovietnam.edu.vn/hkfb2910" TargetMode="External"/><Relationship Id="rId204" Type="http://schemas.openxmlformats.org/officeDocument/2006/relationships/hyperlink" Target="https://patadovietnam.edu.vn/altiktok21923/" TargetMode="External"/><Relationship Id="rId203" Type="http://schemas.openxmlformats.org/officeDocument/2006/relationships/hyperlink" Target="https://patadovietnam.edu.vn/allfb91123" TargetMode="External"/><Relationship Id="rId209" Type="http://schemas.openxmlformats.org/officeDocument/2006/relationships/hyperlink" Target="https://patadovietnam.edu.vn/tienganhtoandienpatado" TargetMode="External"/><Relationship Id="rId208" Type="http://schemas.openxmlformats.org/officeDocument/2006/relationships/hyperlink" Target="https://www.anhngupatado.edu.vn/patado_nhan_tai_lieu_mien_phi" TargetMode="External"/><Relationship Id="rId207" Type="http://schemas.openxmlformats.org/officeDocument/2006/relationships/hyperlink" Target="https://patadovietnam.edu.vn/hqfb2910" TargetMode="External"/><Relationship Id="rId202" Type="http://schemas.openxmlformats.org/officeDocument/2006/relationships/hyperlink" Target="https://www.anhngupatado.edu.vn/seahn" TargetMode="External"/><Relationship Id="rId201" Type="http://schemas.openxmlformats.org/officeDocument/2006/relationships/hyperlink" Target="https://patadovietnam.edu.vn/uctt249/" TargetMode="External"/><Relationship Id="rId200" Type="http://schemas.openxmlformats.org/officeDocument/2006/relationships/hyperlink" Target="https://patadovietnam.edu.vn/catt249/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patado.net/" TargetMode="External"/><Relationship Id="rId3" Type="http://schemas.openxmlformats.org/officeDocument/2006/relationships/hyperlink" Target="https://patadovietnam.edu.vn/giaotiepsea121022" TargetMode="External"/><Relationship Id="rId4" Type="http://schemas.openxmlformats.org/officeDocument/2006/relationships/hyperlink" Target="https://www.patado.net/mainpage" TargetMode="External"/><Relationship Id="rId9" Type="http://schemas.openxmlformats.org/officeDocument/2006/relationships/hyperlink" Target="https://patadovietnam.edu.vn/" TargetMode="External"/><Relationship Id="rId5" Type="http://schemas.openxmlformats.org/officeDocument/2006/relationships/hyperlink" Target="https://www.patado.net/tieng-anh-giao-tiep" TargetMode="External"/><Relationship Id="rId6" Type="http://schemas.openxmlformats.org/officeDocument/2006/relationships/hyperlink" Target="https://www.patado.net/tieng-anh-giao-tiep-nuoc-ngoai" TargetMode="External"/><Relationship Id="rId7" Type="http://schemas.openxmlformats.org/officeDocument/2006/relationships/hyperlink" Target="https://www.patado.net/englishfornails" TargetMode="External"/><Relationship Id="rId8" Type="http://schemas.openxmlformats.org/officeDocument/2006/relationships/hyperlink" Target="https://www.patado.net/mainpage2" TargetMode="External"/><Relationship Id="rId190" Type="http://schemas.openxmlformats.org/officeDocument/2006/relationships/hyperlink" Target="https://patadovietnam.edu.vn/tienganhnguoidilam_ptatdndl" TargetMode="External"/><Relationship Id="rId194" Type="http://schemas.openxmlformats.org/officeDocument/2006/relationships/hyperlink" Target="https://patadovietnam.edu.vn/altiktok21923" TargetMode="External"/><Relationship Id="rId193" Type="http://schemas.openxmlformats.org/officeDocument/2006/relationships/hyperlink" Target="https://patadovietnam.edu.vn/tatoandien_namnh" TargetMode="External"/><Relationship Id="rId192" Type="http://schemas.openxmlformats.org/officeDocument/2006/relationships/hyperlink" Target="https://patadovietnam.edu.vn/tienganheurope_ptatdndl" TargetMode="External"/><Relationship Id="rId191" Type="http://schemas.openxmlformats.org/officeDocument/2006/relationships/hyperlink" Target="https://patadovietnam.edu.vn/tienganhhoaky_ptatdndl" TargetMode="External"/><Relationship Id="rId187" Type="http://schemas.openxmlformats.org/officeDocument/2006/relationships/hyperlink" Target="https://patadovietnam.edu.vn/tienganhnguoidilamkoreaa" TargetMode="External"/><Relationship Id="rId186" Type="http://schemas.openxmlformats.org/officeDocument/2006/relationships/hyperlink" Target="https://patadovietnam.edu.vn/algdn17823/" TargetMode="External"/><Relationship Id="rId185" Type="http://schemas.openxmlformats.org/officeDocument/2006/relationships/hyperlink" Target="https://patadovietnam.edu.vn/hqgdn17823/" TargetMode="External"/><Relationship Id="rId184" Type="http://schemas.openxmlformats.org/officeDocument/2006/relationships/hyperlink" Target="https://patadovietnam.edu.vn/jpgdn17823/" TargetMode="External"/><Relationship Id="rId189" Type="http://schemas.openxmlformats.org/officeDocument/2006/relationships/hyperlink" Target="https://patadovietnam.edu.vn/tienganhpatado_ptatdndl" TargetMode="External"/><Relationship Id="rId188" Type="http://schemas.openxmlformats.org/officeDocument/2006/relationships/hyperlink" Target="https://patadovietnam.edu.vn/tienganhnguoidilamjapann" TargetMode="External"/><Relationship Id="rId183" Type="http://schemas.openxmlformats.org/officeDocument/2006/relationships/hyperlink" Target="https://patadovietnam.edu.vn/hktt168" TargetMode="External"/><Relationship Id="rId182" Type="http://schemas.openxmlformats.org/officeDocument/2006/relationships/hyperlink" Target="https://patadovietnam.edu.vn/tienganhnguoidilamjapan" TargetMode="External"/><Relationship Id="rId181" Type="http://schemas.openxmlformats.org/officeDocument/2006/relationships/hyperlink" Target="https://www.aecenglishkids.edu.vn/tienganhtreemchauau" TargetMode="External"/><Relationship Id="rId180" Type="http://schemas.openxmlformats.org/officeDocument/2006/relationships/hyperlink" Target="https://patadovietnam.edu.vn/tienganhnguoidilamkorea" TargetMode="External"/><Relationship Id="rId176" Type="http://schemas.openxmlformats.org/officeDocument/2006/relationships/hyperlink" Target="https://patadovietnam.edu.vn/allcvs_hn" TargetMode="External"/><Relationship Id="rId175" Type="http://schemas.openxmlformats.org/officeDocument/2006/relationships/hyperlink" Target="https://patadovietnam.edu.vn/gtall_namnh" TargetMode="External"/><Relationship Id="rId174" Type="http://schemas.openxmlformats.org/officeDocument/2006/relationships/hyperlink" Target="https://pu.englishcoach.vn/tienganhkidsaec" TargetMode="External"/><Relationship Id="rId173" Type="http://schemas.openxmlformats.org/officeDocument/2006/relationships/hyperlink" Target="https://patadovietnam.edu.vn/tienganhnguoidilam_dnt" TargetMode="External"/><Relationship Id="rId179" Type="http://schemas.openxmlformats.org/officeDocument/2006/relationships/hyperlink" Target="https://patadovietnam.edu.vn/gtusa2_hn" TargetMode="External"/><Relationship Id="rId178" Type="http://schemas.openxmlformats.org/officeDocument/2006/relationships/hyperlink" Target="https://patadovietnam.edu.vn/japanall_nhn" TargetMode="External"/><Relationship Id="rId177" Type="http://schemas.openxmlformats.org/officeDocument/2006/relationships/hyperlink" Target="https://www.aecenglishkids.edu.vn/" TargetMode="External"/><Relationship Id="rId198" Type="http://schemas.openxmlformats.org/officeDocument/2006/relationships/hyperlink" Target="https://patadovietnam.edu.vn/twtt249/" TargetMode="External"/><Relationship Id="rId197" Type="http://schemas.openxmlformats.org/officeDocument/2006/relationships/hyperlink" Target="https://patadovietnam.edu.vn/jptt249/" TargetMode="External"/><Relationship Id="rId196" Type="http://schemas.openxmlformats.org/officeDocument/2006/relationships/hyperlink" Target="https://patadovietnam.edu.vn/hqtt249/" TargetMode="External"/><Relationship Id="rId195" Type="http://schemas.openxmlformats.org/officeDocument/2006/relationships/hyperlink" Target="https://patadovietnam.edu.vn/hktt249/" TargetMode="External"/><Relationship Id="rId199" Type="http://schemas.openxmlformats.org/officeDocument/2006/relationships/hyperlink" Target="https://patadovietnam.edu.vn/eutt249/" TargetMode="External"/><Relationship Id="rId150" Type="http://schemas.openxmlformats.org/officeDocument/2006/relationships/hyperlink" Target="https://patadovietnam.edu.vn/tienganhpatado_d1" TargetMode="External"/><Relationship Id="rId149" Type="http://schemas.openxmlformats.org/officeDocument/2006/relationships/hyperlink" Target="https://patadovietnam.edu.vn/tienganhaustralia_d1" TargetMode="External"/><Relationship Id="rId148" Type="http://schemas.openxmlformats.org/officeDocument/2006/relationships/hyperlink" Target="https://patadovietnam.edu.vn/giaotieppatado2123" TargetMode="External"/><Relationship Id="rId143" Type="http://schemas.openxmlformats.org/officeDocument/2006/relationships/hyperlink" Target="https://patadovietnam.edu.vn/hoctienganhhalann" TargetMode="External"/><Relationship Id="rId142" Type="http://schemas.openxmlformats.org/officeDocument/2006/relationships/hyperlink" Target="https://patadovietnam.edu.vn/tienganhnauy" TargetMode="External"/><Relationship Id="rId141" Type="http://schemas.openxmlformats.org/officeDocument/2006/relationships/hyperlink" Target="https://patadovietnam.edu.vn/tienganhnewzealandd" TargetMode="External"/><Relationship Id="rId140" Type="http://schemas.openxmlformats.org/officeDocument/2006/relationships/hyperlink" Target="http://ldp.to/2Jf0m" TargetMode="External"/><Relationship Id="rId147" Type="http://schemas.openxmlformats.org/officeDocument/2006/relationships/hyperlink" Target="https://patadovietnam.edu.vn/ieltsfb" TargetMode="External"/><Relationship Id="rId146" Type="http://schemas.openxmlformats.org/officeDocument/2006/relationships/hyperlink" Target="https://patadovietnam.edu.vn/giaotiep30922/" TargetMode="External"/><Relationship Id="rId145" Type="http://schemas.openxmlformats.org/officeDocument/2006/relationships/hyperlink" Target="https://patadovietnam.edu.vn/tienganhdanmach" TargetMode="External"/><Relationship Id="rId144" Type="http://schemas.openxmlformats.org/officeDocument/2006/relationships/hyperlink" Target="https://patadovietnam.edu.vn/tienganhthuydien" TargetMode="External"/><Relationship Id="rId139" Type="http://schemas.openxmlformats.org/officeDocument/2006/relationships/hyperlink" Target="https://patadovietnam.edu.vn/tienganhforkids" TargetMode="External"/><Relationship Id="rId138" Type="http://schemas.openxmlformats.org/officeDocument/2006/relationships/hyperlink" Target="http://ldp.to/9uYk9" TargetMode="External"/><Relationship Id="rId137" Type="http://schemas.openxmlformats.org/officeDocument/2006/relationships/hyperlink" Target="http://ldp.page/637c3e4fe009dc0050223a84" TargetMode="External"/><Relationship Id="rId132" Type="http://schemas.openxmlformats.org/officeDocument/2006/relationships/hyperlink" Target="https://patadovietnam.edu.vn/gthanquoccvs91122/" TargetMode="External"/><Relationship Id="rId131" Type="http://schemas.openxmlformats.org/officeDocument/2006/relationships/hyperlink" Target="https://patadovietnam.edu.vn/dungnt10_ielts_cvs" TargetMode="External"/><Relationship Id="rId130" Type="http://schemas.openxmlformats.org/officeDocument/2006/relationships/hyperlink" Target="https://patadovietnam.edu.vn/dungnt10_giaotiep" TargetMode="External"/><Relationship Id="rId136" Type="http://schemas.openxmlformats.org/officeDocument/2006/relationships/hyperlink" Target="https://patadovietnam.edu.vn/dungnt4giaotiep" TargetMode="External"/><Relationship Id="rId135" Type="http://schemas.openxmlformats.org/officeDocument/2006/relationships/hyperlink" Target="http://ldp.page/dungnt3giaotiep" TargetMode="External"/><Relationship Id="rId134" Type="http://schemas.openxmlformats.org/officeDocument/2006/relationships/hyperlink" Target="https://patadovietnam.edu.vn/hq_cvs_hpm/" TargetMode="External"/><Relationship Id="rId133" Type="http://schemas.openxmlformats.org/officeDocument/2006/relationships/hyperlink" Target="http://ldp.page/Us_dungnt" TargetMode="External"/><Relationship Id="rId172" Type="http://schemas.openxmlformats.org/officeDocument/2006/relationships/hyperlink" Target="https://patadovietnam.edu.vn/gtkorea_nhn" TargetMode="External"/><Relationship Id="rId171" Type="http://schemas.openxmlformats.org/officeDocument/2006/relationships/hyperlink" Target="https://patadovietnam.edu.vn/gtchauau_nhn" TargetMode="External"/><Relationship Id="rId170" Type="http://schemas.openxmlformats.org/officeDocument/2006/relationships/hyperlink" Target="https://patadovietnam.edu.vn/gtjapan_nhn3" TargetMode="External"/><Relationship Id="rId165" Type="http://schemas.openxmlformats.org/officeDocument/2006/relationships/hyperlink" Target="https://patadovietnam.edu.vn/tagiaotiep_nhn" TargetMode="External"/><Relationship Id="rId164" Type="http://schemas.openxmlformats.org/officeDocument/2006/relationships/hyperlink" Target="https://patadovietnam.edu.vn/gtusa_namnh" TargetMode="External"/><Relationship Id="rId163" Type="http://schemas.openxmlformats.org/officeDocument/2006/relationships/hyperlink" Target="https://patadovietnam.edu.vn/gtjapan_namnh1" TargetMode="External"/><Relationship Id="rId162" Type="http://schemas.openxmlformats.org/officeDocument/2006/relationships/hyperlink" Target="https://patadovietnam.edu.vn/gtjapan_namnh" TargetMode="External"/><Relationship Id="rId169" Type="http://schemas.openxmlformats.org/officeDocument/2006/relationships/hyperlink" Target="https://patadovietnam.edu.vn/gtjapan_nhn2" TargetMode="External"/><Relationship Id="rId168" Type="http://schemas.openxmlformats.org/officeDocument/2006/relationships/hyperlink" Target="https://patadovietnam.edu.vn/gteurope_nhn" TargetMode="External"/><Relationship Id="rId167" Type="http://schemas.openxmlformats.org/officeDocument/2006/relationships/hyperlink" Target="https://patadovietnam.edu.vn/gtusa1_nhn" TargetMode="External"/><Relationship Id="rId166" Type="http://schemas.openxmlformats.org/officeDocument/2006/relationships/hyperlink" Target="https://patadovietnam.edu.vn/gtjapannm_nhn" TargetMode="External"/><Relationship Id="rId161" Type="http://schemas.openxmlformats.org/officeDocument/2006/relationships/hyperlink" Target="https://patadovietnam.edu.vn/tienganhgiaotiepkorea_nhn" TargetMode="External"/><Relationship Id="rId160" Type="http://schemas.openxmlformats.org/officeDocument/2006/relationships/hyperlink" Target="https://patadovietnam.edu.vn/eu_hlg/" TargetMode="External"/><Relationship Id="rId159" Type="http://schemas.openxmlformats.org/officeDocument/2006/relationships/hyperlink" Target="https://patadovietnam.edu.vn/tienganhgiaotiep_hn/" TargetMode="External"/><Relationship Id="rId154" Type="http://schemas.openxmlformats.org/officeDocument/2006/relationships/hyperlink" Target="https://patadovietnam.edu.vn/tienganhkorea_dnt/" TargetMode="External"/><Relationship Id="rId153" Type="http://schemas.openxmlformats.org/officeDocument/2006/relationships/hyperlink" Target="https://patadovietnam.edu.vn/tienganhusa270123" TargetMode="External"/><Relationship Id="rId152" Type="http://schemas.openxmlformats.org/officeDocument/2006/relationships/hyperlink" Target="https://patadovietnam.edu.vn/tienganhireland" TargetMode="External"/><Relationship Id="rId151" Type="http://schemas.openxmlformats.org/officeDocument/2006/relationships/hyperlink" Target="https://patadovietnam.edu.vn/tienganhjapan_d1" TargetMode="External"/><Relationship Id="rId158" Type="http://schemas.openxmlformats.org/officeDocument/2006/relationships/hyperlink" Target="https://patadovietnam.edu.vn/tienganhpatado_d2" TargetMode="External"/><Relationship Id="rId157" Type="http://schemas.openxmlformats.org/officeDocument/2006/relationships/hyperlink" Target="https://patadovietnam.edu.vn/tienganheurope_dnt" TargetMode="External"/><Relationship Id="rId156" Type="http://schemas.openxmlformats.org/officeDocument/2006/relationships/hyperlink" Target="https://patadovietnam.edu.vn/tienganhusa_dntt" TargetMode="External"/><Relationship Id="rId155" Type="http://schemas.openxmlformats.org/officeDocument/2006/relationships/hyperlink" Target="https://patadovietnam.edu.vn/tienganhjapan_dnt/" TargetMode="External"/><Relationship Id="rId107" Type="http://schemas.openxmlformats.org/officeDocument/2006/relationships/hyperlink" Target="https://patadovietnam.edu.vn/tai-lieu/focus-on-ielts-foundation/" TargetMode="External"/><Relationship Id="rId106" Type="http://schemas.openxmlformats.org/officeDocument/2006/relationships/hyperlink" Target="https://patadovietnam.edu.vn/tai-lieu/the-official-cambridge-guide-to-ielts/" TargetMode="External"/><Relationship Id="rId105" Type="http://schemas.openxmlformats.org/officeDocument/2006/relationships/hyperlink" Target="https://patadovietnam.edu.vn/tai-lieu/tron-bo-barrons-ielts/" TargetMode="External"/><Relationship Id="rId104" Type="http://schemas.openxmlformats.org/officeDocument/2006/relationships/hyperlink" Target="https://patadovietnam.edu.vn/tai-lieu/tron-bo-cambridge-ielts-1-15/" TargetMode="External"/><Relationship Id="rId109" Type="http://schemas.openxmlformats.org/officeDocument/2006/relationships/hyperlink" Target="https://patadovietnam.edu.vn/tai-lieu/bridge-to-ielts-pre-intermediate/" TargetMode="External"/><Relationship Id="rId108" Type="http://schemas.openxmlformats.org/officeDocument/2006/relationships/hyperlink" Target="https://patadovietnam.edu.vn/tai-lieu/essential-phonetics-for-ielts/" TargetMode="External"/><Relationship Id="rId103" Type="http://schemas.openxmlformats.org/officeDocument/2006/relationships/hyperlink" Target="https://patadovietnam.edu.vn/tai-lieu/english-collocations-in-use/" TargetMode="External"/><Relationship Id="rId102" Type="http://schemas.openxmlformats.org/officeDocument/2006/relationships/hyperlink" Target="https://patadovietnam.edu.vn/tai-lieu/english-made-easy/" TargetMode="External"/><Relationship Id="rId101" Type="http://schemas.openxmlformats.org/officeDocument/2006/relationships/hyperlink" Target="https://patadovietnam.edu.vn/tai-lieu/bo-4000-essential-english-words/" TargetMode="External"/><Relationship Id="rId100" Type="http://schemas.openxmlformats.org/officeDocument/2006/relationships/hyperlink" Target="https://patadovietnam.edu.vn/tai-lieu/doi-thoai-hang-ngay-everyday-conversations/?utm_source=Facebook&amp;utm_medium=CTW&amp;utm_term=NON_NONE_none_none_291221&amp;utm_content=Document_tailieu_NON_LD026&amp;utm_campaign=tailieu_NON_NON_DuyenNTM_291221&amp;fbclid=IwAR39dzE7c2WP3eKQXoUfl7sKRXEpvA4dKoBCeEBs-i_tIumHeRr5ToZQlFY" TargetMode="External"/><Relationship Id="rId129" Type="http://schemas.openxmlformats.org/officeDocument/2006/relationships/hyperlink" Target="https://patadovietnam.edu.vn/japan_hlg/" TargetMode="External"/><Relationship Id="rId128" Type="http://schemas.openxmlformats.org/officeDocument/2006/relationships/hyperlink" Target="https://patadovietnam.edu.vn/giaotiepjp41122/" TargetMode="External"/><Relationship Id="rId127" Type="http://schemas.openxmlformats.org/officeDocument/2006/relationships/hyperlink" Target="https://patadovietnam.edu.vn/giaotiep30922" TargetMode="External"/><Relationship Id="rId126" Type="http://schemas.openxmlformats.org/officeDocument/2006/relationships/hyperlink" Target="https://patadovietnam.edu.vn/ielts30922/" TargetMode="External"/><Relationship Id="rId121" Type="http://schemas.openxmlformats.org/officeDocument/2006/relationships/hyperlink" Target="https://patadovietnam.edu.vn/korea_cvs/" TargetMode="External"/><Relationship Id="rId120" Type="http://schemas.openxmlformats.org/officeDocument/2006/relationships/hyperlink" Target="https://patadovietnam.edu.vn/hoaky_cvs/" TargetMode="External"/><Relationship Id="rId125" Type="http://schemas.openxmlformats.org/officeDocument/2006/relationships/hyperlink" Target="https://patadovietnam.edu.vn/gtcvs29822/" TargetMode="External"/><Relationship Id="rId124" Type="http://schemas.openxmlformats.org/officeDocument/2006/relationships/hyperlink" Target="https://patadovietnam.edu.vn/kids_hlg/" TargetMode="External"/><Relationship Id="rId123" Type="http://schemas.openxmlformats.org/officeDocument/2006/relationships/hyperlink" Target="https://patadovietnam.edu.vn/ieltsfb/" TargetMode="External"/><Relationship Id="rId122" Type="http://schemas.openxmlformats.org/officeDocument/2006/relationships/hyperlink" Target="https://patadovietnam.edu.vn/hoaky_hpm/" TargetMode="External"/><Relationship Id="rId118" Type="http://schemas.openxmlformats.org/officeDocument/2006/relationships/hyperlink" Target="https://patadovietnam.edu.vn/ielts_cvs/" TargetMode="External"/><Relationship Id="rId117" Type="http://schemas.openxmlformats.org/officeDocument/2006/relationships/hyperlink" Target="https://patadovietnam.edu.vn/lop-ielts-cap-toc/" TargetMode="External"/><Relationship Id="rId116" Type="http://schemas.openxmlformats.org/officeDocument/2006/relationships/hyperlink" Target="https://patadovietnam.edu.vn/allielts259" TargetMode="External"/><Relationship Id="rId115" Type="http://schemas.openxmlformats.org/officeDocument/2006/relationships/hyperlink" Target="https://patadovietnam.edu.vn/all_cvs_hieupm/" TargetMode="External"/><Relationship Id="rId119" Type="http://schemas.openxmlformats.org/officeDocument/2006/relationships/hyperlink" Target="https://patadovietnam.edu.vn/japancvs/" TargetMode="External"/><Relationship Id="rId110" Type="http://schemas.openxmlformats.org/officeDocument/2006/relationships/hyperlink" Target="https://patadovietnam.edu.vn/japan/" TargetMode="External"/><Relationship Id="rId114" Type="http://schemas.openxmlformats.org/officeDocument/2006/relationships/hyperlink" Target="https://patadovietnam.edu.vn/nhatban_cvs_hieupm/" TargetMode="External"/><Relationship Id="rId113" Type="http://schemas.openxmlformats.org/officeDocument/2006/relationships/hyperlink" Target="https://patadovietnam.edu.vn/hoaky_cvs/" TargetMode="External"/><Relationship Id="rId112" Type="http://schemas.openxmlformats.org/officeDocument/2006/relationships/hyperlink" Target="https://patadovietnam.edu.vn/korean/" TargetMode="External"/><Relationship Id="rId111" Type="http://schemas.openxmlformats.org/officeDocument/2006/relationships/hyperlink" Target="https://patadovietnam.edu.vn/tieng-anh-cho-nguoi-vi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63"/>
    <col customWidth="1" min="5" max="5" width="13.88"/>
    <col customWidth="1" min="9" max="9" width="31.88"/>
    <col customWidth="1" min="17" max="17" width="28.75"/>
    <col customWidth="1" min="18" max="18" width="26.0"/>
    <col customWidth="1" min="20" max="20" width="25.63"/>
  </cols>
  <sheetData>
    <row r="1">
      <c r="A1" s="4" t="s">
        <v>0</v>
      </c>
      <c r="B1" s="6" t="s">
        <v>8</v>
      </c>
      <c r="C1" s="6" t="s">
        <v>10</v>
      </c>
      <c r="D1" s="6" t="s">
        <v>1</v>
      </c>
      <c r="E1" s="6" t="s">
        <v>2</v>
      </c>
      <c r="F1" s="6" t="s">
        <v>4</v>
      </c>
      <c r="G1" s="9" t="s">
        <v>11</v>
      </c>
      <c r="H1" s="6" t="s">
        <v>13</v>
      </c>
      <c r="I1" s="6" t="s">
        <v>14</v>
      </c>
      <c r="J1" s="6" t="s">
        <v>15</v>
      </c>
      <c r="K1" s="9" t="s">
        <v>18</v>
      </c>
      <c r="L1" s="6" t="s">
        <v>19</v>
      </c>
      <c r="M1" s="6" t="s">
        <v>20</v>
      </c>
      <c r="N1" s="6" t="s">
        <v>21</v>
      </c>
      <c r="O1" s="9" t="s">
        <v>23</v>
      </c>
      <c r="P1" s="6" t="s">
        <v>25</v>
      </c>
      <c r="Q1" s="6" t="s">
        <v>26</v>
      </c>
      <c r="R1" s="6" t="s">
        <v>27</v>
      </c>
      <c r="S1" s="9" t="s">
        <v>28</v>
      </c>
      <c r="T1" s="6" t="s">
        <v>30</v>
      </c>
      <c r="U1" s="6"/>
    </row>
    <row r="2">
      <c r="A2" s="15" t="s">
        <v>33</v>
      </c>
      <c r="B2" s="17" t="s">
        <v>34</v>
      </c>
      <c r="C2" s="18" t="str">
        <f>IFERROR(__xludf.DUMMYFUNCTION("{""Vlook up file để lấy mã tự động từ file landing page khác"";
FILTER(VLOOKUP(B3:B992,Data!A:B,2,FALSE),B3:B992&lt;&gt;"""")}"),"Vlook up file để lấy mã tự động từ file landing page khác")</f>
        <v>Vlook up file để lấy mã tự động từ file landing page khác</v>
      </c>
      <c r="D2" s="19" t="s">
        <v>36</v>
      </c>
      <c r="E2" s="21" t="s">
        <v>36</v>
      </c>
      <c r="F2" s="19" t="s">
        <v>36</v>
      </c>
      <c r="G2" s="19"/>
      <c r="H2" s="19" t="s">
        <v>36</v>
      </c>
      <c r="I2" s="23" t="s">
        <v>38</v>
      </c>
      <c r="J2" s="25" t="s">
        <v>44</v>
      </c>
      <c r="K2" s="23" t="s">
        <v>38</v>
      </c>
      <c r="L2" s="19" t="s">
        <v>36</v>
      </c>
      <c r="M2" s="19" t="s">
        <v>36</v>
      </c>
      <c r="N2" s="19" t="s">
        <v>36</v>
      </c>
      <c r="O2" s="19" t="s">
        <v>36</v>
      </c>
      <c r="P2" s="19" t="s">
        <v>36</v>
      </c>
      <c r="Q2" s="27" t="str">
        <f>IFERROR(__xludf.DUMMYFUNCTION("{""Tên campain_Mã tài khoản_Mã hình thức chạy_Mã agent_ddmmyy"";
FILTER(IF( A3:A992&lt;&gt;"""",IF(H3:H992&lt;&gt;"""",IF(I3:I992&lt;&gt;"""",IF(L3:L992&lt;&gt;"""",IF(N3:N992&lt;&gt;"""",I3:I992&amp;""_""&amp;L3:L992&amp;""_""&amp;N3:N992&amp;""_""&amp;H3:H992&amp;""_""&amp;TRIM(A3:A992),""!!!""),""!!!""),""!!!""),"&amp;"""!!!""),""!!!""),B3:B992&lt;&gt;"""")}"),"Tên campain_Mã tài khoản_Mã hình thức chạy_Mã agent_ddmmyy")</f>
        <v>Tên campain_Mã tài khoản_Mã hình thức chạy_Mã agent_ddmmyy</v>
      </c>
      <c r="R2" s="27" t="str">
        <f>IFERROR(__xludf.DUMMYFUNCTION("{""Mã Target_Location_tuổi_tệp loại trừ_ngày lên adset(ddmmyy)"";
FILTER(IF( A3:A992&lt;&gt;"""",IF(P3:P992&lt;&gt;"""",IF(F3:F992&lt;&gt;"""",IF(G3:G992&lt;&gt;"""",IF(K3:K992&lt;&gt;"""",P3:P992&amp;""_""&amp;F3:F992&amp;""_""&amp;G3:G992&amp;""_""&amp;K3:K992&amp;""_""&amp;TRIM(A3:A992),""!!!""),""!!!""),""!!!"")"&amp;",""!!!""),""!!!""),B3:B992&lt;&gt;"""")}"),"Mã Target_Location_tuổi_tệp loại trừ_ngày lên adset(ddmmyy)")</f>
        <v>Mã Target_Location_tuổi_tệp loại trừ_ngày lên adset(ddmmyy)</v>
      </c>
      <c r="S2" s="29" t="str">
        <f>IFERROR(__xludf.DUMMYFUNCTION("{""Mã content_têncontent_mã fanpage_mã LDP"";
FILTER(IF( M3:M992&lt;&gt;"""",IF(J3:J992&lt;&gt;"""",IF(O3:O992&lt;&gt;"""",IF(C3:C992&lt;&gt;"""",M3:M992&amp;""_""&amp;J3:J992&amp;""_""&amp;O3:O992&amp;""_""&amp;C3:C992,""!!!""),""!!!""),""!!!""),""!!!""),B3:B992&lt;&gt;"""")}"),"Mã content_têncontent_mã fanpage_mã LDP")</f>
        <v>Mã content_têncontent_mã fanpage_mã LDP</v>
      </c>
      <c r="T2" s="31" t="str">
        <f>IFERROR(__xludf.DUMMYFUNCTION("{""KQ"";
FILTER(B3:B992&amp;if(right(B3:B992,1)=""/"",""?"",""/?"")&amp;""utm_source=""&amp;D3:D992&amp;""&amp;utm_medium=""&amp;E3:E992&amp;""&amp;utm_term=""&amp;R3:R992&amp;""&amp;utm_content=""&amp;S3:S992&amp;""&amp;utm_campaign=""&amp;Q3:Q992,B3:B992&lt;&gt;"""")}"),"KQ")</f>
        <v>KQ</v>
      </c>
      <c r="U2" s="33"/>
    </row>
    <row r="3">
      <c r="A3" s="34">
        <v>250521.0</v>
      </c>
      <c r="B3" s="43" t="s">
        <v>52</v>
      </c>
      <c r="C3" s="40" t="str">
        <f>IFERROR(__xludf.DUMMYFUNCTION("""COMPUTED_VALUE"""),"LD070")</f>
        <v>LD070</v>
      </c>
      <c r="D3" s="44" t="s">
        <v>42</v>
      </c>
      <c r="E3" s="44" t="s">
        <v>53</v>
      </c>
      <c r="F3" s="44" t="s">
        <v>60</v>
      </c>
      <c r="G3" s="44" t="s">
        <v>61</v>
      </c>
      <c r="H3" s="44" t="s">
        <v>65</v>
      </c>
      <c r="I3" s="44">
        <v>233.0</v>
      </c>
      <c r="J3" s="44">
        <v>232.0</v>
      </c>
      <c r="K3" s="44" t="s">
        <v>61</v>
      </c>
      <c r="L3" s="44" t="s">
        <v>70</v>
      </c>
      <c r="M3" s="44" t="s">
        <v>68</v>
      </c>
      <c r="N3" s="44" t="s">
        <v>70</v>
      </c>
      <c r="O3" s="44" t="s">
        <v>70</v>
      </c>
      <c r="P3" s="44" t="s">
        <v>70</v>
      </c>
      <c r="Q3" s="40" t="str">
        <f>IFERROR(__xludf.DUMMYFUNCTION("""COMPUTED_VALUE"""),"233_NON_NON_HuyTC_250521")</f>
        <v>233_NON_NON_HuyTC_250521</v>
      </c>
      <c r="R3" s="40" t="str">
        <f>IFERROR(__xludf.DUMMYFUNCTION("""COMPUTED_VALUE"""),"NON_NONE_none_none_250521")</f>
        <v>NON_NONE_none_none_250521</v>
      </c>
      <c r="S3" s="40" t="str">
        <f>IFERROR(__xludf.DUMMYFUNCTION("""COMPUTED_VALUE"""),"h4hocvien_232_NON_LD070")</f>
        <v>h4hocvien_232_NON_LD070</v>
      </c>
      <c r="T3" s="59" t="str">
        <f>IFERROR(__xludf.DUMMYFUNCTION("""COMPUTED_VALUE"""),"https://patadovietnam.edu.vn/blog/kinh-nghiem-thi/tat-tan-tat-ve-tu-vung-ielts/?utm_source=Facebook&amp;utm_medium=SEE&amp;utm_term=NON_NONE_none_none_250521&amp;utm_content=h4hocvien_232_NON_LD070&amp;utm_campaign=233_NON_NON_HuyTC_250521")</f>
        <v>https://patadovietnam.edu.vn/blog/kinh-nghiem-thi/tat-tan-tat-ve-tu-vung-ielts/?utm_source=Facebook&amp;utm_medium=SEE&amp;utm_term=NON_NONE_none_none_250521&amp;utm_content=h4hocvien_232_NON_LD070&amp;utm_campaign=233_NON_NON_HuyTC_250521</v>
      </c>
      <c r="U3" s="52"/>
    </row>
    <row r="4">
      <c r="A4" s="53" t="s">
        <v>82</v>
      </c>
      <c r="B4" s="43" t="s">
        <v>83</v>
      </c>
      <c r="C4" s="54" t="str">
        <f>IFERROR(__xludf.DUMMYFUNCTION("""COMPUTED_VALUE"""),"LD008")</f>
        <v>LD008</v>
      </c>
      <c r="D4" s="55" t="s">
        <v>42</v>
      </c>
      <c r="E4" s="55" t="s">
        <v>53</v>
      </c>
      <c r="F4" s="55" t="s">
        <v>60</v>
      </c>
      <c r="G4" s="55" t="s">
        <v>61</v>
      </c>
      <c r="H4" s="55" t="s">
        <v>91</v>
      </c>
      <c r="I4" s="55" t="s">
        <v>92</v>
      </c>
      <c r="J4" s="55" t="s">
        <v>94</v>
      </c>
      <c r="K4" s="55" t="s">
        <v>61</v>
      </c>
      <c r="L4" s="55" t="s">
        <v>70</v>
      </c>
      <c r="M4" s="55" t="s">
        <v>95</v>
      </c>
      <c r="N4" s="55" t="s">
        <v>70</v>
      </c>
      <c r="O4" s="55" t="s">
        <v>70</v>
      </c>
      <c r="P4" s="55" t="s">
        <v>70</v>
      </c>
      <c r="Q4" s="54" t="str">
        <f>IFERROR(__xludf.DUMMYFUNCTION("""COMPUTED_VALUE"""),"Momphuong_NON_NON_DuyenNTM_020621")</f>
        <v>Momphuong_NON_NON_DuyenNTM_020621</v>
      </c>
      <c r="R4" s="54" t="str">
        <f>IFERROR(__xludf.DUMMYFUNCTION("""COMPUTED_VALUE"""),"NON_NONE_none_none_020621")</f>
        <v>NON_NONE_none_none_020621</v>
      </c>
      <c r="S4" s="54" t="str">
        <f>IFERROR(__xludf.DUMMYFUNCTION("""COMPUTED_VALUE"""),"KOL_kol_NON_LD008")</f>
        <v>KOL_kol_NON_LD008</v>
      </c>
      <c r="T4" s="63" t="str">
        <f>IFERROR(__xludf.DUMMYFUNCTION("""COMPUTED_VALUE"""),"https://patadovietnam.edu.vn/?utm_source=Facebook&amp;utm_medium=SEE&amp;utm_term=NON_NONE_none_none_020621&amp;utm_content=KOL_kol_NON_LD008&amp;utm_campaign=Momphuong_NON_NON_DuyenNTM_020621")</f>
        <v>https://patadovietnam.edu.vn/?utm_source=Facebook&amp;utm_medium=SEE&amp;utm_term=NON_NONE_none_none_020621&amp;utm_content=KOL_kol_NON_LD008&amp;utm_campaign=Momphuong_NON_NON_DuyenNTM_020621</v>
      </c>
      <c r="U4" s="56"/>
    </row>
    <row r="5">
      <c r="A5" s="64" t="s">
        <v>82</v>
      </c>
      <c r="B5" s="61" t="s">
        <v>90</v>
      </c>
      <c r="C5" s="54" t="str">
        <f>IFERROR(__xludf.DUMMYFUNCTION("""COMPUTED_VALUE"""),"LD011")</f>
        <v>LD011</v>
      </c>
      <c r="D5" s="55" t="s">
        <v>42</v>
      </c>
      <c r="E5" s="55" t="s">
        <v>53</v>
      </c>
      <c r="F5" s="55" t="s">
        <v>60</v>
      </c>
      <c r="G5" s="55" t="s">
        <v>61</v>
      </c>
      <c r="H5" s="55" t="s">
        <v>91</v>
      </c>
      <c r="I5" s="55" t="s">
        <v>101</v>
      </c>
      <c r="J5" s="55" t="s">
        <v>101</v>
      </c>
      <c r="K5" s="55" t="s">
        <v>61</v>
      </c>
      <c r="L5" s="55" t="s">
        <v>70</v>
      </c>
      <c r="M5" s="55" t="s">
        <v>103</v>
      </c>
      <c r="N5" s="55" t="s">
        <v>70</v>
      </c>
      <c r="O5" s="55" t="s">
        <v>70</v>
      </c>
      <c r="P5" s="55" t="s">
        <v>70</v>
      </c>
      <c r="Q5" s="54" t="str">
        <f>IFERROR(__xludf.DUMMYFUNCTION("""COMPUTED_VALUE"""),"tailieu_NON_NON_DuyenNTM_020621")</f>
        <v>tailieu_NON_NON_DuyenNTM_020621</v>
      </c>
      <c r="R5" s="54" t="str">
        <f>IFERROR(__xludf.DUMMYFUNCTION("""COMPUTED_VALUE"""),"NON_NONE_none_none_020621")</f>
        <v>NON_NONE_none_none_020621</v>
      </c>
      <c r="S5" s="54" t="str">
        <f>IFERROR(__xludf.DUMMYFUNCTION("""COMPUTED_VALUE"""),"kienthuc_tailieu_NON_LD011")</f>
        <v>kienthuc_tailieu_NON_LD011</v>
      </c>
      <c r="T5" s="63" t="str">
        <f>IFERROR(__xludf.DUMMYFUNCTION("""COMPUTED_VALUE"""),"https://patadovietnam.edu.vn/tai-tai-lieu/?utm_source=Facebook&amp;utm_medium=SEE&amp;utm_term=NON_NONE_none_none_020621&amp;utm_content=kienthuc_tailieu_NON_LD011&amp;utm_campaign=tailieu_NON_NON_DuyenNTM_020621")</f>
        <v>https://patadovietnam.edu.vn/tai-tai-lieu/?utm_source=Facebook&amp;utm_medium=SEE&amp;utm_term=NON_NONE_none_none_020621&amp;utm_content=kienthuc_tailieu_NON_LD011&amp;utm_campaign=tailieu_NON_NON_DuyenNTM_020621</v>
      </c>
      <c r="U5" s="56"/>
    </row>
    <row r="6">
      <c r="A6" s="66">
        <v>90921.0</v>
      </c>
      <c r="B6" s="61" t="s">
        <v>111</v>
      </c>
      <c r="C6" s="54" t="str">
        <f>IFERROR(__xludf.DUMMYFUNCTION("""COMPUTED_VALUE"""),"LD013")</f>
        <v>LD013</v>
      </c>
      <c r="D6" s="55" t="s">
        <v>42</v>
      </c>
      <c r="E6" s="55" t="s">
        <v>53</v>
      </c>
      <c r="F6" s="55" t="s">
        <v>60</v>
      </c>
      <c r="G6" s="55" t="s">
        <v>61</v>
      </c>
      <c r="H6" s="55" t="s">
        <v>91</v>
      </c>
      <c r="I6" s="55" t="s">
        <v>117</v>
      </c>
      <c r="J6" s="55" t="s">
        <v>117</v>
      </c>
      <c r="K6" s="55" t="s">
        <v>61</v>
      </c>
      <c r="L6" s="55" t="s">
        <v>70</v>
      </c>
      <c r="M6" s="55" t="s">
        <v>118</v>
      </c>
      <c r="N6" s="55" t="s">
        <v>70</v>
      </c>
      <c r="O6" s="55" t="s">
        <v>70</v>
      </c>
      <c r="P6" s="55" t="s">
        <v>70</v>
      </c>
      <c r="Q6" s="54" t="str">
        <f>IFERROR(__xludf.DUMMYFUNCTION("""COMPUTED_VALUE"""),"testtrinhdo_NON_NON_DuyenNTM_90921")</f>
        <v>testtrinhdo_NON_NON_DuyenNTM_90921</v>
      </c>
      <c r="R6" s="54" t="str">
        <f>IFERROR(__xludf.DUMMYFUNCTION("""COMPUTED_VALUE"""),"NON_NONE_none_none_90921")</f>
        <v>NON_NONE_none_none_90921</v>
      </c>
      <c r="S6" s="54" t="str">
        <f>IFERROR(__xludf.DUMMYFUNCTION("""COMPUTED_VALUE"""),"test_testtrinhdo_NON_LD013")</f>
        <v>test_testtrinhdo_NON_LD013</v>
      </c>
      <c r="T6" s="63" t="str">
        <f>IFERROR(__xludf.DUMMYFUNCTION("""COMPUTED_VALUE"""),"https://patadovietnam.edu.vn/test-trinh-do/?utm_source=Facebook&amp;utm_medium=SEE&amp;utm_term=NON_NONE_none_none_90921&amp;utm_content=test_testtrinhdo_NON_LD013&amp;utm_campaign=testtrinhdo_NON_NON_DuyenNTM_90921")</f>
        <v>https://patadovietnam.edu.vn/test-trinh-do/?utm_source=Facebook&amp;utm_medium=SEE&amp;utm_term=NON_NONE_none_none_90921&amp;utm_content=test_testtrinhdo_NON_LD013&amp;utm_campaign=testtrinhdo_NON_NON_DuyenNTM_90921</v>
      </c>
      <c r="U6" s="56"/>
    </row>
    <row r="7">
      <c r="A7" s="66">
        <v>291221.0</v>
      </c>
      <c r="B7" s="61" t="s">
        <v>122</v>
      </c>
      <c r="C7" s="54" t="str">
        <f>IFERROR(__xludf.DUMMYFUNCTION("""COMPUTED_VALUE"""),"LD026")</f>
        <v>LD026</v>
      </c>
      <c r="D7" s="55" t="s">
        <v>42</v>
      </c>
      <c r="E7" s="55" t="s">
        <v>125</v>
      </c>
      <c r="F7" s="55" t="s">
        <v>60</v>
      </c>
      <c r="G7" s="55" t="s">
        <v>61</v>
      </c>
      <c r="H7" s="55" t="s">
        <v>91</v>
      </c>
      <c r="I7" s="55" t="s">
        <v>101</v>
      </c>
      <c r="J7" s="55" t="s">
        <v>101</v>
      </c>
      <c r="K7" s="55" t="s">
        <v>61</v>
      </c>
      <c r="L7" s="55" t="s">
        <v>70</v>
      </c>
      <c r="M7" s="55" t="s">
        <v>126</v>
      </c>
      <c r="N7" s="55" t="s">
        <v>70</v>
      </c>
      <c r="O7" s="55" t="s">
        <v>70</v>
      </c>
      <c r="P7" s="55" t="s">
        <v>70</v>
      </c>
      <c r="Q7" s="54" t="str">
        <f>IFERROR(__xludf.DUMMYFUNCTION("""COMPUTED_VALUE"""),"tailieu_NON_NON_DuyenNTM_291221")</f>
        <v>tailieu_NON_NON_DuyenNTM_291221</v>
      </c>
      <c r="R7" s="54" t="str">
        <f>IFERROR(__xludf.DUMMYFUNCTION("""COMPUTED_VALUE"""),"NON_NONE_none_none_291221")</f>
        <v>NON_NONE_none_none_291221</v>
      </c>
      <c r="S7" s="54" t="str">
        <f>IFERROR(__xludf.DUMMYFUNCTION("""COMPUTED_VALUE"""),"Document_tailieu_NON_LD026")</f>
        <v>Document_tailieu_NON_LD026</v>
      </c>
      <c r="T7" s="63" t="str">
        <f>IFERROR(__xludf.DUMMYFUNCTION("""COMPUTED_VALUE"""),"https://patadovietnam.edu.vn/tai-lieu/doi-thoai-hang-ngay-everyday-conversations/?utm_source=Facebook&amp;utm_medium=CTW&amp;utm_term=NON_NONE_none_none_291221&amp;utm_content=Document_tailieu_NON_LD026&amp;utm_campaign=tailieu_NON_NON_DuyenNTM_291221")</f>
        <v>https://patadovietnam.edu.vn/tai-lieu/doi-thoai-hang-ngay-everyday-conversations/?utm_source=Facebook&amp;utm_medium=CTW&amp;utm_term=NON_NONE_none_none_291221&amp;utm_content=Document_tailieu_NON_LD026&amp;utm_campaign=tailieu_NON_NON_DuyenNTM_291221</v>
      </c>
      <c r="U7" s="56"/>
    </row>
    <row r="8">
      <c r="A8" s="66">
        <v>311221.0</v>
      </c>
      <c r="B8" s="61" t="s">
        <v>131</v>
      </c>
      <c r="C8" s="54" t="str">
        <f>IFERROR(__xludf.DUMMYFUNCTION("""COMPUTED_VALUE"""),"LD071")</f>
        <v>LD071</v>
      </c>
      <c r="D8" s="55" t="s">
        <v>42</v>
      </c>
      <c r="E8" s="55" t="s">
        <v>72</v>
      </c>
      <c r="F8" s="55" t="s">
        <v>60</v>
      </c>
      <c r="G8" s="55" t="s">
        <v>61</v>
      </c>
      <c r="H8" s="55" t="s">
        <v>91</v>
      </c>
      <c r="I8" s="55" t="s">
        <v>134</v>
      </c>
      <c r="J8" s="55" t="s">
        <v>134</v>
      </c>
      <c r="K8" s="55" t="s">
        <v>134</v>
      </c>
      <c r="L8" s="55" t="s">
        <v>134</v>
      </c>
      <c r="M8" s="55" t="s">
        <v>136</v>
      </c>
      <c r="N8" s="55" t="s">
        <v>70</v>
      </c>
      <c r="O8" s="55" t="s">
        <v>70</v>
      </c>
      <c r="P8" s="55" t="s">
        <v>70</v>
      </c>
      <c r="Q8" s="54" t="str">
        <f>IFERROR(__xludf.DUMMYFUNCTION("""COMPUTED_VALUE"""),"chatbotuudai30_chatbotuudai30_NON_DuyenNTM_311221")</f>
        <v>chatbotuudai30_chatbotuudai30_NON_DuyenNTM_311221</v>
      </c>
      <c r="R8" s="54" t="str">
        <f>IFERROR(__xludf.DUMMYFUNCTION("""COMPUTED_VALUE"""),"NON_NONE_none_chatbotuudai30_311221")</f>
        <v>NON_NONE_none_chatbotuudai30_311221</v>
      </c>
      <c r="S8" s="54" t="str">
        <f>IFERROR(__xludf.DUMMYFUNCTION("""COMPUTED_VALUE"""),"quatanguudai_chatbotuudai30_NON_LD071")</f>
        <v>quatanguudai_chatbotuudai30_NON_LD071</v>
      </c>
      <c r="T8" s="63" t="str">
        <f>IFERROR(__xludf.DUMMYFUNCTION("""COMPUTED_VALUE"""),"https://www.patado.net/tieng-anh-giao-tiep-nuoc-ngoai/?utm_source=Facebook&amp;utm_medium=RMK&amp;utm_term=NON_NONE_none_chatbotuudai30_311221&amp;utm_content=quatanguudai_chatbotuudai30_NON_LD071&amp;utm_campaign=chatbotuudai30_chatbotuudai30_NON_DuyenNTM_311221")</f>
        <v>https://www.patado.net/tieng-anh-giao-tiep-nuoc-ngoai/?utm_source=Facebook&amp;utm_medium=RMK&amp;utm_term=NON_NONE_none_chatbotuudai30_311221&amp;utm_content=quatanguudai_chatbotuudai30_NON_LD071&amp;utm_campaign=chatbotuudai30_chatbotuudai30_NON_DuyenNTM_311221</v>
      </c>
      <c r="U8" s="56"/>
    </row>
    <row r="9">
      <c r="A9" s="66">
        <v>260122.0</v>
      </c>
      <c r="B9" s="61" t="s">
        <v>143</v>
      </c>
      <c r="C9" s="54" t="str">
        <f>IFERROR(__xludf.DUMMYFUNCTION("""COMPUTED_VALUE"""),"LD098")</f>
        <v>LD098</v>
      </c>
      <c r="D9" s="55" t="s">
        <v>42</v>
      </c>
      <c r="E9" s="55" t="s">
        <v>125</v>
      </c>
      <c r="F9" s="55" t="s">
        <v>60</v>
      </c>
      <c r="G9" s="55" t="s">
        <v>61</v>
      </c>
      <c r="H9" s="55" t="s">
        <v>91</v>
      </c>
      <c r="I9" s="55" t="s">
        <v>101</v>
      </c>
      <c r="J9" s="55" t="s">
        <v>101</v>
      </c>
      <c r="K9" s="55" t="s">
        <v>61</v>
      </c>
      <c r="L9" s="55" t="s">
        <v>70</v>
      </c>
      <c r="M9" s="55" t="s">
        <v>126</v>
      </c>
      <c r="N9" s="55" t="s">
        <v>70</v>
      </c>
      <c r="O9" s="55" t="s">
        <v>70</v>
      </c>
      <c r="P9" s="55" t="s">
        <v>70</v>
      </c>
      <c r="Q9" s="54" t="str">
        <f>IFERROR(__xludf.DUMMYFUNCTION("""COMPUTED_VALUE"""),"tailieu_NON_NON_DuyenNTM_260122")</f>
        <v>tailieu_NON_NON_DuyenNTM_260122</v>
      </c>
      <c r="R9" s="54" t="str">
        <f>IFERROR(__xludf.DUMMYFUNCTION("""COMPUTED_VALUE"""),"NON_NONE_none_none_260122")</f>
        <v>NON_NONE_none_none_260122</v>
      </c>
      <c r="S9" s="54" t="str">
        <f>IFERROR(__xludf.DUMMYFUNCTION("""COMPUTED_VALUE"""),"Document_tailieu_NON_LD098")</f>
        <v>Document_tailieu_NON_LD098</v>
      </c>
      <c r="T9" s="63" t="str">
        <f>IFERROR(__xludf.DUMMYFUNCTION("""COMPUTED_VALUE"""),"https://patadovietnam.edu.vn/tai-lieu/english-made-easy/?utm_source=Facebook&amp;utm_medium=CTW&amp;utm_term=NON_NONE_none_none_260122&amp;utm_content=Document_tailieu_NON_LD098&amp;utm_campaign=tailieu_NON_NON_DuyenNTM_260122")</f>
        <v>https://patadovietnam.edu.vn/tai-lieu/english-made-easy/?utm_source=Facebook&amp;utm_medium=CTW&amp;utm_term=NON_NONE_none_none_260122&amp;utm_content=Document_tailieu_NON_LD098&amp;utm_campaign=tailieu_NON_NON_DuyenNTM_260122</v>
      </c>
      <c r="U9" s="56"/>
    </row>
    <row r="10">
      <c r="A10" s="57"/>
      <c r="B10" s="71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4"/>
      <c r="R10" s="54"/>
      <c r="S10" s="54"/>
      <c r="T10" s="54"/>
      <c r="U10" s="56"/>
    </row>
    <row r="11">
      <c r="A11" s="57"/>
      <c r="B11" s="71"/>
      <c r="C11" s="54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4"/>
      <c r="R11" s="54"/>
      <c r="S11" s="54"/>
      <c r="T11" s="54"/>
      <c r="U11" s="56"/>
    </row>
    <row r="12">
      <c r="A12" s="57"/>
      <c r="B12" s="71"/>
      <c r="C12" s="54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4"/>
      <c r="R12" s="54"/>
      <c r="S12" s="54"/>
      <c r="T12" s="54"/>
      <c r="U12" s="56"/>
    </row>
    <row r="13">
      <c r="A13" s="57"/>
      <c r="B13" s="71"/>
      <c r="C13" s="54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4"/>
      <c r="R13" s="54"/>
      <c r="S13" s="54"/>
      <c r="T13" s="54"/>
      <c r="U13" s="56"/>
    </row>
    <row r="14">
      <c r="A14" s="57"/>
      <c r="B14" s="71"/>
      <c r="C14" s="54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4"/>
      <c r="R14" s="54"/>
      <c r="S14" s="54"/>
      <c r="T14" s="54"/>
      <c r="U14" s="56"/>
    </row>
    <row r="15">
      <c r="A15" s="57"/>
      <c r="B15" s="71"/>
      <c r="C15" s="54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4"/>
      <c r="R15" s="54"/>
      <c r="S15" s="54"/>
      <c r="T15" s="54"/>
      <c r="U15" s="56"/>
    </row>
    <row r="16">
      <c r="A16" s="57"/>
      <c r="B16" s="71"/>
      <c r="C16" s="54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4"/>
      <c r="R16" s="54"/>
      <c r="S16" s="54"/>
      <c r="T16" s="54"/>
      <c r="U16" s="56"/>
    </row>
    <row r="17">
      <c r="A17" s="57"/>
      <c r="B17" s="71"/>
      <c r="C17" s="54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4"/>
      <c r="R17" s="54"/>
      <c r="S17" s="54"/>
      <c r="T17" s="54"/>
      <c r="U17" s="56"/>
    </row>
    <row r="18">
      <c r="A18" s="57"/>
      <c r="B18" s="71"/>
      <c r="C18" s="54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4"/>
      <c r="R18" s="54"/>
      <c r="S18" s="54"/>
      <c r="T18" s="54"/>
      <c r="U18" s="56"/>
    </row>
    <row r="19">
      <c r="A19" s="57"/>
      <c r="B19" s="71"/>
      <c r="C19" s="54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4"/>
      <c r="R19" s="54"/>
      <c r="S19" s="54"/>
      <c r="T19" s="54"/>
      <c r="U19" s="56"/>
    </row>
    <row r="20">
      <c r="A20" s="57"/>
      <c r="B20" s="71"/>
      <c r="C20" s="54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4"/>
      <c r="R20" s="54"/>
      <c r="S20" s="54"/>
      <c r="T20" s="54"/>
      <c r="U20" s="56"/>
    </row>
    <row r="21">
      <c r="A21" s="57"/>
      <c r="B21" s="71"/>
      <c r="C21" s="54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4"/>
      <c r="R21" s="54"/>
      <c r="S21" s="54"/>
      <c r="T21" s="54"/>
      <c r="U21" s="56"/>
    </row>
    <row r="22">
      <c r="A22" s="57"/>
      <c r="B22" s="71"/>
      <c r="C22" s="54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4"/>
      <c r="R22" s="54"/>
      <c r="S22" s="54"/>
      <c r="T22" s="54"/>
      <c r="U22" s="56"/>
    </row>
    <row r="23">
      <c r="A23" s="57"/>
      <c r="B23" s="71"/>
      <c r="C23" s="54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4"/>
      <c r="R23" s="54"/>
      <c r="S23" s="54"/>
      <c r="T23" s="54"/>
      <c r="U23" s="56"/>
    </row>
    <row r="24">
      <c r="A24" s="57"/>
      <c r="B24" s="71"/>
      <c r="C24" s="54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4"/>
      <c r="R24" s="54"/>
      <c r="S24" s="54"/>
      <c r="T24" s="54"/>
      <c r="U24" s="56"/>
    </row>
    <row r="25">
      <c r="A25" s="57"/>
      <c r="B25" s="71"/>
      <c r="C25" s="54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4"/>
      <c r="R25" s="54"/>
      <c r="S25" s="54"/>
      <c r="T25" s="54"/>
      <c r="U25" s="56"/>
    </row>
    <row r="26">
      <c r="A26" s="57"/>
      <c r="B26" s="71"/>
      <c r="C26" s="54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4"/>
      <c r="R26" s="54"/>
      <c r="S26" s="54"/>
      <c r="T26" s="54"/>
      <c r="U26" s="56"/>
    </row>
    <row r="27">
      <c r="A27" s="57"/>
      <c r="B27" s="71"/>
      <c r="C27" s="54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4"/>
      <c r="R27" s="54"/>
      <c r="S27" s="54"/>
      <c r="T27" s="54"/>
      <c r="U27" s="56"/>
    </row>
    <row r="28">
      <c r="A28" s="57"/>
      <c r="B28" s="71"/>
      <c r="C28" s="54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4"/>
      <c r="R28" s="54"/>
      <c r="S28" s="54"/>
      <c r="T28" s="54"/>
      <c r="U28" s="56"/>
    </row>
    <row r="29">
      <c r="A29" s="57"/>
      <c r="B29" s="71"/>
      <c r="C29" s="54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4"/>
      <c r="R29" s="54"/>
      <c r="S29" s="54"/>
      <c r="T29" s="54"/>
      <c r="U29" s="56"/>
    </row>
    <row r="30">
      <c r="A30" s="57"/>
      <c r="B30" s="71"/>
      <c r="C30" s="54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4"/>
      <c r="R30" s="54"/>
      <c r="S30" s="54"/>
      <c r="T30" s="54"/>
      <c r="U30" s="56"/>
    </row>
    <row r="31">
      <c r="A31" s="57"/>
      <c r="B31" s="71"/>
      <c r="C31" s="54"/>
      <c r="D31" s="55"/>
      <c r="E31" s="55"/>
      <c r="F31" s="55"/>
      <c r="G31" s="55"/>
      <c r="H31" s="55"/>
      <c r="I31" s="55"/>
      <c r="J31" s="55"/>
      <c r="K31" s="73"/>
      <c r="L31" s="55"/>
      <c r="M31" s="55"/>
      <c r="N31" s="55"/>
      <c r="O31" s="55"/>
      <c r="P31" s="55"/>
      <c r="Q31" s="54"/>
      <c r="R31" s="54"/>
      <c r="S31" s="54"/>
      <c r="T31" s="54"/>
      <c r="U31" s="56"/>
    </row>
    <row r="32">
      <c r="A32" s="57"/>
      <c r="B32" s="71"/>
      <c r="C32" s="54"/>
      <c r="D32" s="55"/>
      <c r="E32" s="55"/>
      <c r="F32" s="55"/>
      <c r="G32" s="55"/>
      <c r="H32" s="55"/>
      <c r="I32" s="55"/>
      <c r="J32" s="55"/>
      <c r="K32" s="73"/>
      <c r="L32" s="55"/>
      <c r="M32" s="55"/>
      <c r="N32" s="55"/>
      <c r="O32" s="55"/>
      <c r="P32" s="55"/>
      <c r="Q32" s="54"/>
      <c r="R32" s="54"/>
      <c r="S32" s="54"/>
      <c r="T32" s="54"/>
      <c r="U32" s="56"/>
    </row>
    <row r="33">
      <c r="A33" s="57"/>
      <c r="B33" s="71"/>
      <c r="C33" s="54"/>
      <c r="D33" s="55"/>
      <c r="E33" s="55"/>
      <c r="F33" s="55"/>
      <c r="G33" s="55"/>
      <c r="H33" s="55"/>
      <c r="I33" s="55"/>
      <c r="J33" s="73"/>
      <c r="K33" s="73"/>
      <c r="L33" s="55"/>
      <c r="M33" s="55"/>
      <c r="N33" s="55"/>
      <c r="O33" s="55"/>
      <c r="P33" s="55"/>
      <c r="Q33" s="54"/>
      <c r="R33" s="54"/>
      <c r="S33" s="54"/>
      <c r="T33" s="54"/>
      <c r="U33" s="56"/>
    </row>
    <row r="34">
      <c r="A34" s="57"/>
      <c r="B34" s="71"/>
      <c r="C34" s="54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4"/>
      <c r="R34" s="54"/>
      <c r="S34" s="54"/>
      <c r="T34" s="54"/>
      <c r="U34" s="56"/>
    </row>
    <row r="35">
      <c r="A35" s="57"/>
      <c r="B35" s="71"/>
      <c r="C35" s="54"/>
      <c r="D35" s="55"/>
      <c r="E35" s="55"/>
      <c r="F35" s="55"/>
      <c r="G35" s="55"/>
      <c r="H35" s="55"/>
      <c r="I35" s="55"/>
      <c r="J35" s="55"/>
      <c r="K35" s="73"/>
      <c r="L35" s="55"/>
      <c r="M35" s="55"/>
      <c r="N35" s="55"/>
      <c r="O35" s="55"/>
      <c r="P35" s="55"/>
      <c r="Q35" s="54"/>
      <c r="R35" s="54"/>
      <c r="S35" s="54"/>
      <c r="T35" s="54"/>
      <c r="U35" s="56"/>
    </row>
    <row r="36">
      <c r="A36" s="57"/>
      <c r="B36" s="71"/>
      <c r="C36" s="54"/>
      <c r="D36" s="55"/>
      <c r="E36" s="55"/>
      <c r="F36" s="55"/>
      <c r="G36" s="55"/>
      <c r="H36" s="55"/>
      <c r="I36" s="55"/>
      <c r="J36" s="73"/>
      <c r="K36" s="73"/>
      <c r="L36" s="55"/>
      <c r="M36" s="55"/>
      <c r="N36" s="55"/>
      <c r="O36" s="55"/>
      <c r="P36" s="55"/>
      <c r="Q36" s="54"/>
      <c r="R36" s="54"/>
      <c r="S36" s="54"/>
      <c r="T36" s="54"/>
      <c r="U36" s="56"/>
    </row>
    <row r="37">
      <c r="A37" s="57"/>
      <c r="B37" s="71"/>
      <c r="C37" s="54"/>
      <c r="D37" s="55"/>
      <c r="E37" s="55"/>
      <c r="F37" s="55"/>
      <c r="G37" s="55"/>
      <c r="H37" s="55"/>
      <c r="I37" s="55"/>
      <c r="J37" s="55"/>
      <c r="K37" s="73"/>
      <c r="L37" s="55"/>
      <c r="M37" s="55"/>
      <c r="N37" s="55"/>
      <c r="O37" s="55"/>
      <c r="P37" s="55"/>
      <c r="Q37" s="54"/>
      <c r="R37" s="54"/>
      <c r="S37" s="54"/>
      <c r="T37" s="54"/>
      <c r="U37" s="56"/>
    </row>
    <row r="38">
      <c r="A38" s="57"/>
      <c r="B38" s="71"/>
      <c r="C38" s="54"/>
      <c r="D38" s="55"/>
      <c r="E38" s="55"/>
      <c r="F38" s="55"/>
      <c r="G38" s="55"/>
      <c r="H38" s="55"/>
      <c r="I38" s="55"/>
      <c r="J38" s="55"/>
      <c r="K38" s="73"/>
      <c r="L38" s="55"/>
      <c r="M38" s="55"/>
      <c r="N38" s="55"/>
      <c r="O38" s="55"/>
      <c r="P38" s="55"/>
      <c r="Q38" s="54"/>
      <c r="R38" s="54"/>
      <c r="S38" s="54"/>
      <c r="T38" s="54"/>
      <c r="U38" s="56"/>
    </row>
    <row r="39">
      <c r="A39" s="57"/>
      <c r="B39" s="71"/>
      <c r="C39" s="54"/>
      <c r="D39" s="55"/>
      <c r="E39" s="55"/>
      <c r="F39" s="55"/>
      <c r="G39" s="55"/>
      <c r="H39" s="55"/>
      <c r="I39" s="55"/>
      <c r="J39" s="55"/>
      <c r="K39" s="73"/>
      <c r="L39" s="55"/>
      <c r="M39" s="55"/>
      <c r="N39" s="55"/>
      <c r="O39" s="55"/>
      <c r="P39" s="55"/>
      <c r="Q39" s="54"/>
      <c r="R39" s="54"/>
      <c r="S39" s="54"/>
      <c r="T39" s="54"/>
      <c r="U39" s="56"/>
    </row>
    <row r="40">
      <c r="A40" s="57"/>
      <c r="B40" s="71"/>
      <c r="C40" s="54"/>
      <c r="D40" s="55"/>
      <c r="E40" s="55"/>
      <c r="F40" s="55"/>
      <c r="G40" s="55"/>
      <c r="H40" s="55"/>
      <c r="I40" s="55"/>
      <c r="J40" s="55"/>
      <c r="K40" s="73"/>
      <c r="L40" s="55"/>
      <c r="M40" s="55"/>
      <c r="N40" s="55"/>
      <c r="O40" s="55"/>
      <c r="P40" s="55"/>
      <c r="Q40" s="54"/>
      <c r="R40" s="54"/>
      <c r="S40" s="54"/>
      <c r="T40" s="54"/>
      <c r="U40" s="56"/>
    </row>
    <row r="41">
      <c r="A41" s="57"/>
      <c r="B41" s="71"/>
      <c r="C41" s="54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4"/>
      <c r="R41" s="54"/>
      <c r="S41" s="54"/>
      <c r="T41" s="54"/>
      <c r="U41" s="56"/>
    </row>
    <row r="42">
      <c r="A42" s="57"/>
      <c r="B42" s="71"/>
      <c r="C42" s="54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4"/>
      <c r="R42" s="54"/>
      <c r="S42" s="54"/>
      <c r="T42" s="71"/>
      <c r="U42" s="56"/>
    </row>
    <row r="43">
      <c r="A43" s="57"/>
      <c r="B43" s="71"/>
      <c r="C43" s="54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4"/>
      <c r="R43" s="54"/>
      <c r="S43" s="54"/>
      <c r="T43" s="54"/>
      <c r="U43" s="56"/>
    </row>
    <row r="44">
      <c r="A44" s="57"/>
      <c r="B44" s="71"/>
      <c r="C44" s="54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4"/>
      <c r="R44" s="54"/>
      <c r="S44" s="54"/>
      <c r="T44" s="54"/>
      <c r="U44" s="56"/>
    </row>
    <row r="45">
      <c r="A45" s="57"/>
      <c r="B45" s="71"/>
      <c r="C45" s="54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4"/>
      <c r="R45" s="54"/>
      <c r="S45" s="54"/>
      <c r="T45" s="54"/>
      <c r="U45" s="56"/>
    </row>
    <row r="46">
      <c r="A46" s="57"/>
      <c r="B46" s="71"/>
      <c r="C46" s="54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4"/>
      <c r="R46" s="54"/>
      <c r="S46" s="54"/>
      <c r="T46" s="54"/>
      <c r="U46" s="56"/>
    </row>
    <row r="47">
      <c r="A47" s="57"/>
      <c r="B47" s="71"/>
      <c r="C47" s="54"/>
      <c r="D47" s="55"/>
      <c r="E47" s="55"/>
      <c r="F47" s="55"/>
      <c r="G47" s="55"/>
      <c r="H47" s="55"/>
      <c r="I47" s="55"/>
      <c r="J47" s="55"/>
      <c r="K47" s="55"/>
      <c r="L47" s="73"/>
      <c r="M47" s="55"/>
      <c r="N47" s="55"/>
      <c r="O47" s="55"/>
      <c r="P47" s="55"/>
      <c r="Q47" s="55"/>
      <c r="R47" s="54"/>
      <c r="S47" s="54"/>
      <c r="T47" s="54"/>
      <c r="U47" s="56"/>
    </row>
    <row r="48">
      <c r="A48" s="57"/>
      <c r="B48" s="71"/>
      <c r="C48" s="73"/>
      <c r="D48" s="55"/>
      <c r="E48" s="55"/>
      <c r="F48" s="55"/>
      <c r="G48" s="55"/>
      <c r="H48" s="55"/>
      <c r="I48" s="55"/>
      <c r="J48" s="55"/>
      <c r="K48" s="55"/>
      <c r="L48" s="73"/>
      <c r="M48" s="55"/>
      <c r="N48" s="55"/>
      <c r="O48" s="55"/>
      <c r="P48" s="55"/>
      <c r="Q48" s="54"/>
      <c r="R48" s="54"/>
      <c r="S48" s="54"/>
      <c r="T48" s="54"/>
      <c r="U48" s="56"/>
    </row>
    <row r="49">
      <c r="A49" s="57"/>
      <c r="B49" s="71"/>
      <c r="C49" s="54"/>
      <c r="D49" s="55"/>
      <c r="E49" s="55"/>
      <c r="F49" s="55"/>
      <c r="G49" s="55"/>
      <c r="H49" s="55"/>
      <c r="I49" s="55"/>
      <c r="J49" s="55"/>
      <c r="K49" s="55"/>
      <c r="L49" s="73"/>
      <c r="M49" s="55"/>
      <c r="N49" s="55"/>
      <c r="O49" s="55"/>
      <c r="P49" s="55"/>
      <c r="Q49" s="54"/>
      <c r="R49" s="54"/>
      <c r="S49" s="54"/>
      <c r="T49" s="54"/>
      <c r="U49" s="56"/>
    </row>
    <row r="50">
      <c r="A50" s="57"/>
      <c r="B50" s="71"/>
      <c r="C50" s="73"/>
      <c r="D50" s="55"/>
      <c r="E50" s="55"/>
      <c r="F50" s="55"/>
      <c r="G50" s="55"/>
      <c r="H50" s="55"/>
      <c r="I50" s="55"/>
      <c r="J50" s="55"/>
      <c r="K50" s="55"/>
      <c r="L50" s="73"/>
      <c r="M50" s="55"/>
      <c r="N50" s="55"/>
      <c r="O50" s="55"/>
      <c r="P50" s="55"/>
      <c r="Q50" s="54"/>
      <c r="R50" s="54"/>
      <c r="S50" s="54"/>
      <c r="T50" s="54"/>
      <c r="U50" s="56"/>
    </row>
    <row r="51">
      <c r="A51" s="57"/>
      <c r="B51" s="71"/>
      <c r="C51" s="54"/>
      <c r="D51" s="55"/>
      <c r="E51" s="55"/>
      <c r="F51" s="55"/>
      <c r="G51" s="55"/>
      <c r="H51" s="55"/>
      <c r="I51" s="55"/>
      <c r="J51" s="55"/>
      <c r="K51" s="55"/>
      <c r="L51" s="73"/>
      <c r="M51" s="55"/>
      <c r="N51" s="55"/>
      <c r="O51" s="55"/>
      <c r="P51" s="55"/>
      <c r="Q51" s="54"/>
      <c r="R51" s="54"/>
      <c r="S51" s="54"/>
      <c r="T51" s="54"/>
      <c r="U51" s="56"/>
    </row>
    <row r="52">
      <c r="A52" s="57"/>
      <c r="B52" s="71"/>
      <c r="C52" s="54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4"/>
      <c r="R52" s="54"/>
      <c r="S52" s="54"/>
      <c r="T52" s="54"/>
      <c r="U52" s="56"/>
    </row>
    <row r="53">
      <c r="A53" s="57"/>
      <c r="B53" s="71"/>
      <c r="C53" s="54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4"/>
      <c r="R53" s="54"/>
      <c r="S53" s="54"/>
      <c r="T53" s="54"/>
      <c r="U53" s="56"/>
    </row>
    <row r="54">
      <c r="A54" s="57"/>
      <c r="B54" s="71"/>
      <c r="C54" s="54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4"/>
      <c r="R54" s="54"/>
      <c r="S54" s="54"/>
      <c r="T54" s="54"/>
      <c r="U54" s="56"/>
    </row>
    <row r="55">
      <c r="A55" s="57"/>
      <c r="B55" s="71"/>
      <c r="C55" s="54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4"/>
      <c r="R55" s="54"/>
      <c r="S55" s="54"/>
      <c r="T55" s="54"/>
      <c r="U55" s="56"/>
    </row>
    <row r="56">
      <c r="A56" s="57"/>
      <c r="B56" s="71"/>
      <c r="C56" s="54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4"/>
      <c r="R56" s="54"/>
      <c r="S56" s="54"/>
      <c r="T56" s="54"/>
      <c r="U56" s="56"/>
    </row>
    <row r="57">
      <c r="A57" s="57"/>
      <c r="B57" s="71"/>
      <c r="C57" s="54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4"/>
      <c r="R57" s="54"/>
      <c r="S57" s="54"/>
      <c r="T57" s="54"/>
      <c r="U57" s="56"/>
    </row>
    <row r="58">
      <c r="A58" s="57"/>
      <c r="B58" s="71"/>
      <c r="C58" s="54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4"/>
      <c r="R58" s="54"/>
      <c r="S58" s="54"/>
      <c r="T58" s="54"/>
      <c r="U58" s="56"/>
    </row>
    <row r="59">
      <c r="A59" s="57"/>
      <c r="B59" s="71"/>
      <c r="C59" s="54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4"/>
      <c r="R59" s="54"/>
      <c r="S59" s="54"/>
      <c r="T59" s="54"/>
      <c r="U59" s="56"/>
    </row>
    <row r="60">
      <c r="A60" s="57"/>
      <c r="B60" s="71"/>
      <c r="C60" s="54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4"/>
      <c r="R60" s="54"/>
      <c r="S60" s="54"/>
      <c r="T60" s="54"/>
      <c r="U60" s="56"/>
    </row>
    <row r="61">
      <c r="A61" s="57"/>
      <c r="B61" s="71"/>
      <c r="C61" s="54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4"/>
      <c r="R61" s="54"/>
      <c r="S61" s="54"/>
      <c r="T61" s="54"/>
      <c r="U61" s="56"/>
    </row>
    <row r="62">
      <c r="A62" s="57"/>
      <c r="B62" s="71"/>
      <c r="C62" s="54"/>
      <c r="D62" s="55"/>
      <c r="E62" s="55"/>
      <c r="F62" s="55"/>
      <c r="G62" s="55"/>
      <c r="H62" s="55"/>
      <c r="I62" s="55"/>
      <c r="J62" s="55"/>
      <c r="K62" s="55"/>
      <c r="L62" s="73"/>
      <c r="M62" s="55"/>
      <c r="N62" s="55"/>
      <c r="O62" s="55"/>
      <c r="P62" s="55"/>
      <c r="Q62" s="54"/>
      <c r="R62" s="54"/>
      <c r="S62" s="54"/>
      <c r="T62" s="54"/>
      <c r="U62" s="56"/>
    </row>
    <row r="63">
      <c r="A63" s="57"/>
      <c r="B63" s="71"/>
      <c r="C63" s="54"/>
      <c r="D63" s="55"/>
      <c r="E63" s="55"/>
      <c r="F63" s="55"/>
      <c r="G63" s="55"/>
      <c r="H63" s="55"/>
      <c r="I63" s="55"/>
      <c r="J63" s="55"/>
      <c r="K63" s="55"/>
      <c r="L63" s="73"/>
      <c r="M63" s="55"/>
      <c r="N63" s="55"/>
      <c r="O63" s="55"/>
      <c r="P63" s="55"/>
      <c r="Q63" s="54"/>
      <c r="R63" s="54"/>
      <c r="S63" s="54"/>
      <c r="T63" s="54"/>
      <c r="U63" s="56"/>
    </row>
    <row r="64">
      <c r="A64" s="57"/>
      <c r="B64" s="71"/>
      <c r="C64" s="54"/>
      <c r="D64" s="55"/>
      <c r="E64" s="55"/>
      <c r="F64" s="55"/>
      <c r="G64" s="55"/>
      <c r="H64" s="55"/>
      <c r="I64" s="55"/>
      <c r="J64" s="55"/>
      <c r="K64" s="55"/>
      <c r="L64" s="73"/>
      <c r="M64" s="55"/>
      <c r="N64" s="55"/>
      <c r="O64" s="55"/>
      <c r="P64" s="55"/>
      <c r="Q64" s="54"/>
      <c r="R64" s="54"/>
      <c r="S64" s="54"/>
      <c r="T64" s="54"/>
      <c r="U64" s="56"/>
    </row>
    <row r="65">
      <c r="A65" s="57"/>
      <c r="B65" s="71"/>
      <c r="C65" s="54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4"/>
      <c r="R65" s="54"/>
      <c r="S65" s="54"/>
      <c r="T65" s="54"/>
      <c r="U65" s="56"/>
    </row>
    <row r="66">
      <c r="A66" s="57"/>
      <c r="B66" s="71"/>
      <c r="C66" s="54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4"/>
      <c r="R66" s="54"/>
      <c r="S66" s="54"/>
      <c r="T66" s="54"/>
      <c r="U66" s="56"/>
    </row>
    <row r="67">
      <c r="A67" s="57"/>
      <c r="B67" s="71"/>
      <c r="C67" s="54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4"/>
      <c r="R67" s="54"/>
      <c r="S67" s="54"/>
      <c r="T67" s="54"/>
      <c r="U67" s="56"/>
    </row>
    <row r="68">
      <c r="A68" s="57"/>
      <c r="B68" s="71"/>
      <c r="C68" s="54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4"/>
      <c r="R68" s="54"/>
      <c r="S68" s="54"/>
      <c r="T68" s="54"/>
      <c r="U68" s="56"/>
    </row>
    <row r="69">
      <c r="A69" s="57"/>
      <c r="B69" s="71"/>
      <c r="C69" s="54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4"/>
      <c r="R69" s="54"/>
      <c r="S69" s="54"/>
      <c r="T69" s="54"/>
      <c r="U69" s="56"/>
    </row>
    <row r="70">
      <c r="A70" s="57"/>
      <c r="B70" s="71"/>
      <c r="C70" s="54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4"/>
      <c r="R70" s="54"/>
      <c r="S70" s="54"/>
      <c r="T70" s="54"/>
      <c r="U70" s="56"/>
    </row>
    <row r="71">
      <c r="A71" s="57"/>
      <c r="B71" s="71"/>
      <c r="C71" s="54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4"/>
      <c r="R71" s="54"/>
      <c r="S71" s="54"/>
      <c r="T71" s="54"/>
      <c r="U71" s="56"/>
    </row>
    <row r="72">
      <c r="A72" s="57"/>
      <c r="B72" s="71"/>
      <c r="C72" s="54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4"/>
      <c r="R72" s="54"/>
      <c r="S72" s="54"/>
      <c r="T72" s="54"/>
      <c r="U72" s="56"/>
    </row>
    <row r="73">
      <c r="A73" s="57"/>
      <c r="B73" s="71"/>
      <c r="C73" s="54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4"/>
      <c r="R73" s="54"/>
      <c r="S73" s="54"/>
      <c r="T73" s="54"/>
      <c r="U73" s="56"/>
    </row>
    <row r="74">
      <c r="A74" s="57"/>
      <c r="B74" s="71"/>
      <c r="C74" s="54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4"/>
      <c r="R74" s="54"/>
      <c r="S74" s="54"/>
      <c r="T74" s="54"/>
      <c r="U74" s="56"/>
    </row>
    <row r="75">
      <c r="A75" s="57"/>
      <c r="B75" s="71"/>
      <c r="C75" s="54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4"/>
      <c r="R75" s="54"/>
      <c r="S75" s="54"/>
      <c r="T75" s="54"/>
      <c r="U75" s="56"/>
    </row>
    <row r="76">
      <c r="A76" s="57"/>
      <c r="B76" s="71"/>
      <c r="C76" s="54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4"/>
      <c r="R76" s="54"/>
      <c r="S76" s="54"/>
      <c r="T76" s="54"/>
      <c r="U76" s="56"/>
    </row>
    <row r="77">
      <c r="A77" s="57"/>
      <c r="B77" s="71"/>
      <c r="C77" s="54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4"/>
      <c r="R77" s="54"/>
      <c r="S77" s="54"/>
      <c r="T77" s="54"/>
      <c r="U77" s="56"/>
    </row>
    <row r="78">
      <c r="A78" s="57"/>
      <c r="B78" s="71"/>
      <c r="C78" s="54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4"/>
      <c r="R78" s="54"/>
      <c r="S78" s="54"/>
      <c r="T78" s="54"/>
      <c r="U78" s="56"/>
    </row>
    <row r="79">
      <c r="A79" s="57"/>
      <c r="B79" s="71"/>
      <c r="C79" s="54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4"/>
      <c r="R79" s="54"/>
      <c r="S79" s="54"/>
      <c r="T79" s="54"/>
      <c r="U79" s="56"/>
    </row>
    <row r="80">
      <c r="A80" s="57"/>
      <c r="B80" s="71"/>
      <c r="C80" s="54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4"/>
      <c r="R80" s="54"/>
      <c r="S80" s="54"/>
      <c r="T80" s="54"/>
      <c r="U80" s="56"/>
    </row>
    <row r="81">
      <c r="A81" s="57"/>
      <c r="B81" s="71"/>
      <c r="C81" s="54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4"/>
      <c r="R81" s="54"/>
      <c r="S81" s="54"/>
      <c r="T81" s="54"/>
      <c r="U81" s="56"/>
    </row>
    <row r="82">
      <c r="A82" s="57"/>
      <c r="B82" s="71"/>
      <c r="C82" s="54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4"/>
      <c r="R82" s="54"/>
      <c r="S82" s="54"/>
      <c r="T82" s="54"/>
      <c r="U82" s="56"/>
    </row>
    <row r="83">
      <c r="A83" s="57"/>
      <c r="B83" s="71"/>
      <c r="C83" s="54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4"/>
      <c r="R83" s="54"/>
      <c r="S83" s="54"/>
      <c r="T83" s="54"/>
      <c r="U83" s="56"/>
    </row>
    <row r="84">
      <c r="A84" s="57"/>
      <c r="B84" s="71"/>
      <c r="C84" s="54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4"/>
      <c r="R84" s="54"/>
      <c r="S84" s="54"/>
      <c r="T84" s="54"/>
      <c r="U84" s="56"/>
    </row>
    <row r="85">
      <c r="A85" s="57"/>
      <c r="B85" s="71"/>
      <c r="C85" s="54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4"/>
      <c r="R85" s="54"/>
      <c r="S85" s="54"/>
      <c r="T85" s="54"/>
      <c r="U85" s="56"/>
    </row>
    <row r="86">
      <c r="A86" s="57"/>
      <c r="B86" s="71"/>
      <c r="C86" s="54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4"/>
      <c r="R86" s="54"/>
      <c r="S86" s="54"/>
      <c r="T86" s="54"/>
      <c r="U86" s="56"/>
    </row>
    <row r="87">
      <c r="A87" s="57"/>
      <c r="B87" s="71"/>
      <c r="C87" s="54"/>
      <c r="D87" s="55"/>
      <c r="E87" s="55"/>
      <c r="F87" s="55"/>
      <c r="G87" s="55"/>
      <c r="H87" s="55"/>
      <c r="I87" s="55"/>
      <c r="J87" s="55"/>
      <c r="K87" s="55"/>
      <c r="L87" s="74"/>
      <c r="M87" s="55"/>
      <c r="N87" s="55"/>
      <c r="O87" s="55"/>
      <c r="P87" s="55"/>
      <c r="Q87" s="54"/>
      <c r="R87" s="54"/>
      <c r="S87" s="54"/>
      <c r="T87" s="54"/>
      <c r="U87" s="56"/>
    </row>
    <row r="88">
      <c r="A88" s="57"/>
      <c r="B88" s="71"/>
      <c r="C88" s="54"/>
      <c r="D88" s="55"/>
      <c r="E88" s="55"/>
      <c r="F88" s="55"/>
      <c r="G88" s="55"/>
      <c r="H88" s="55"/>
      <c r="I88" s="55"/>
      <c r="J88" s="55"/>
      <c r="K88" s="55"/>
      <c r="L88" s="74"/>
      <c r="M88" s="55"/>
      <c r="N88" s="55"/>
      <c r="O88" s="55"/>
      <c r="P88" s="55"/>
      <c r="Q88" s="54"/>
      <c r="R88" s="54"/>
      <c r="S88" s="54"/>
      <c r="T88" s="54"/>
      <c r="U88" s="56"/>
    </row>
    <row r="89">
      <c r="A89" s="57"/>
      <c r="B89" s="71"/>
      <c r="C89" s="54"/>
      <c r="D89" s="55"/>
      <c r="E89" s="55"/>
      <c r="F89" s="55"/>
      <c r="G89" s="55"/>
      <c r="H89" s="55"/>
      <c r="I89" s="55"/>
      <c r="J89" s="55"/>
      <c r="K89" s="55"/>
      <c r="L89" s="74"/>
      <c r="M89" s="55"/>
      <c r="N89" s="55"/>
      <c r="O89" s="55"/>
      <c r="P89" s="55"/>
      <c r="Q89" s="54"/>
      <c r="R89" s="54"/>
      <c r="S89" s="54"/>
      <c r="T89" s="54"/>
      <c r="U89" s="56"/>
    </row>
    <row r="90">
      <c r="A90" s="57"/>
      <c r="B90" s="71"/>
      <c r="C90" s="54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4"/>
      <c r="R90" s="54"/>
      <c r="S90" s="54"/>
      <c r="T90" s="54"/>
      <c r="U90" s="56"/>
    </row>
    <row r="91">
      <c r="A91" s="57"/>
      <c r="B91" s="71"/>
      <c r="C91" s="54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4"/>
      <c r="R91" s="54"/>
      <c r="S91" s="54"/>
      <c r="T91" s="54"/>
      <c r="U91" s="56"/>
    </row>
    <row r="92">
      <c r="A92" s="57"/>
      <c r="B92" s="71"/>
      <c r="C92" s="54"/>
      <c r="D92" s="55"/>
      <c r="E92" s="55"/>
      <c r="F92" s="55"/>
      <c r="G92" s="55"/>
      <c r="H92" s="55"/>
      <c r="I92" s="55"/>
      <c r="J92" s="55"/>
      <c r="K92" s="55"/>
      <c r="L92" s="74"/>
      <c r="M92" s="55"/>
      <c r="N92" s="55"/>
      <c r="O92" s="55"/>
      <c r="P92" s="55"/>
      <c r="Q92" s="54"/>
      <c r="R92" s="54"/>
      <c r="S92" s="54"/>
      <c r="T92" s="54"/>
      <c r="U92" s="56"/>
    </row>
    <row r="93">
      <c r="A93" s="57"/>
      <c r="B93" s="71"/>
      <c r="C93" s="54"/>
      <c r="D93" s="55"/>
      <c r="E93" s="55"/>
      <c r="F93" s="55"/>
      <c r="G93" s="55"/>
      <c r="H93" s="55"/>
      <c r="I93" s="55"/>
      <c r="J93" s="73"/>
      <c r="K93" s="73"/>
      <c r="L93" s="55"/>
      <c r="M93" s="55"/>
      <c r="N93" s="55"/>
      <c r="O93" s="73"/>
      <c r="P93" s="55"/>
      <c r="Q93" s="54"/>
      <c r="R93" s="54"/>
      <c r="S93" s="54"/>
      <c r="T93" s="54"/>
      <c r="U93" s="56"/>
    </row>
    <row r="94">
      <c r="A94" s="57"/>
      <c r="B94" s="55"/>
      <c r="C94" s="54"/>
      <c r="D94" s="55"/>
      <c r="E94" s="55"/>
      <c r="F94" s="73"/>
      <c r="G94" s="73"/>
      <c r="H94" s="73"/>
      <c r="I94" s="55"/>
      <c r="J94" s="73"/>
      <c r="K94" s="73"/>
      <c r="L94" s="73"/>
      <c r="M94" s="55"/>
      <c r="N94" s="55"/>
      <c r="O94" s="55"/>
      <c r="P94" s="55"/>
      <c r="Q94" s="54"/>
      <c r="R94" s="54"/>
      <c r="S94" s="54"/>
      <c r="T94" s="54"/>
      <c r="U94" s="56"/>
    </row>
    <row r="95">
      <c r="A95" s="57"/>
      <c r="B95" s="55"/>
      <c r="C95" s="54"/>
      <c r="D95" s="55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54"/>
      <c r="R95" s="54"/>
      <c r="S95" s="54"/>
      <c r="T95" s="54"/>
      <c r="U95" s="56"/>
    </row>
    <row r="96">
      <c r="A96" s="57"/>
      <c r="B96" s="55"/>
      <c r="C96" s="55"/>
      <c r="D96" s="55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54"/>
      <c r="R96" s="54"/>
      <c r="S96" s="54"/>
      <c r="T96" s="54"/>
      <c r="U96" s="56"/>
    </row>
    <row r="97">
      <c r="A97" s="57"/>
      <c r="B97" s="55"/>
      <c r="C97" s="54"/>
      <c r="D97" s="55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54"/>
      <c r="R97" s="54"/>
      <c r="S97" s="54"/>
      <c r="T97" s="54"/>
      <c r="U97" s="56"/>
    </row>
    <row r="98">
      <c r="A98" s="57"/>
      <c r="B98" s="55"/>
      <c r="C98" s="54"/>
      <c r="D98" s="55"/>
      <c r="E98" s="73"/>
      <c r="F98" s="55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54"/>
      <c r="R98" s="54"/>
      <c r="S98" s="54"/>
      <c r="T98" s="54"/>
      <c r="U98" s="56"/>
    </row>
    <row r="99">
      <c r="A99" s="57"/>
      <c r="B99" s="55"/>
      <c r="C99" s="54"/>
      <c r="D99" s="55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54"/>
      <c r="R99" s="54"/>
      <c r="S99" s="54"/>
      <c r="T99" s="54"/>
      <c r="U99" s="56"/>
    </row>
    <row r="100">
      <c r="A100" s="57"/>
      <c r="B100" s="55"/>
      <c r="C100" s="54"/>
      <c r="D100" s="55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54"/>
      <c r="R100" s="54"/>
      <c r="S100" s="54"/>
      <c r="T100" s="54"/>
      <c r="U100" s="56"/>
    </row>
    <row r="101">
      <c r="A101" s="57"/>
      <c r="B101" s="55"/>
      <c r="C101" s="54"/>
      <c r="D101" s="55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54"/>
      <c r="R101" s="54"/>
      <c r="S101" s="54"/>
      <c r="T101" s="54"/>
      <c r="U101" s="56"/>
    </row>
    <row r="102">
      <c r="A102" s="57"/>
      <c r="B102" s="55"/>
      <c r="C102" s="54"/>
      <c r="D102" s="55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54"/>
      <c r="R102" s="54"/>
      <c r="S102" s="54"/>
      <c r="T102" s="54"/>
      <c r="U102" s="56"/>
    </row>
    <row r="103">
      <c r="A103" s="57"/>
      <c r="B103" s="55"/>
      <c r="C103" s="54"/>
      <c r="D103" s="55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54"/>
      <c r="R103" s="54"/>
      <c r="S103" s="54"/>
      <c r="T103" s="54"/>
      <c r="U103" s="56"/>
    </row>
    <row r="104">
      <c r="A104" s="57"/>
      <c r="B104" s="55"/>
      <c r="C104" s="54"/>
      <c r="D104" s="55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54"/>
      <c r="R104" s="54"/>
      <c r="S104" s="54"/>
      <c r="T104" s="54"/>
      <c r="U104" s="56"/>
    </row>
    <row r="105">
      <c r="A105" s="57"/>
      <c r="B105" s="55"/>
      <c r="C105" s="54"/>
      <c r="D105" s="55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54"/>
      <c r="R105" s="54"/>
      <c r="S105" s="54"/>
      <c r="T105" s="54"/>
      <c r="U105" s="56"/>
    </row>
    <row r="106">
      <c r="A106" s="57"/>
      <c r="B106" s="55"/>
      <c r="C106" s="54"/>
      <c r="D106" s="55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54"/>
      <c r="R106" s="54"/>
      <c r="S106" s="54"/>
      <c r="T106" s="54"/>
      <c r="U106" s="56"/>
    </row>
    <row r="107">
      <c r="A107" s="57"/>
      <c r="B107" s="55"/>
      <c r="C107" s="54"/>
      <c r="D107" s="55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54"/>
      <c r="R107" s="54"/>
      <c r="S107" s="54"/>
      <c r="T107" s="54"/>
      <c r="U107" s="56"/>
    </row>
    <row r="108">
      <c r="A108" s="57"/>
      <c r="B108" s="55"/>
      <c r="C108" s="54"/>
      <c r="D108" s="55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54"/>
      <c r="R108" s="54"/>
      <c r="S108" s="54"/>
      <c r="T108" s="54"/>
      <c r="U108" s="56"/>
    </row>
    <row r="109">
      <c r="A109" s="57"/>
      <c r="B109" s="55"/>
      <c r="C109" s="54"/>
      <c r="D109" s="55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54"/>
      <c r="R109" s="54"/>
      <c r="S109" s="54"/>
      <c r="T109" s="54"/>
      <c r="U109" s="56"/>
    </row>
    <row r="110">
      <c r="A110" s="57"/>
      <c r="B110" s="55"/>
      <c r="C110" s="54"/>
      <c r="D110" s="55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54"/>
      <c r="R110" s="54"/>
      <c r="S110" s="54"/>
      <c r="T110" s="54"/>
      <c r="U110" s="56"/>
    </row>
    <row r="111">
      <c r="A111" s="57"/>
      <c r="B111" s="55"/>
      <c r="C111" s="54"/>
      <c r="D111" s="55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54"/>
      <c r="R111" s="54"/>
      <c r="S111" s="54"/>
      <c r="T111" s="54"/>
      <c r="U111" s="56"/>
    </row>
    <row r="112">
      <c r="A112" s="57"/>
      <c r="B112" s="71"/>
      <c r="C112" s="54"/>
      <c r="D112" s="55"/>
      <c r="E112" s="55"/>
      <c r="F112" s="55"/>
      <c r="G112" s="55"/>
      <c r="H112" s="55"/>
      <c r="I112" s="55"/>
      <c r="J112" s="55"/>
      <c r="K112" s="73"/>
      <c r="L112" s="55"/>
      <c r="M112" s="55"/>
      <c r="N112" s="55"/>
      <c r="O112" s="73"/>
      <c r="P112" s="73"/>
      <c r="Q112" s="54"/>
      <c r="R112" s="54"/>
      <c r="S112" s="54"/>
      <c r="T112" s="54"/>
      <c r="U112" s="56"/>
    </row>
    <row r="113">
      <c r="A113" s="57"/>
      <c r="B113" s="71"/>
      <c r="C113" s="54"/>
      <c r="D113" s="55"/>
      <c r="E113" s="55"/>
      <c r="F113" s="55"/>
      <c r="G113" s="55"/>
      <c r="H113" s="55"/>
      <c r="I113" s="55"/>
      <c r="J113" s="55"/>
      <c r="K113" s="73"/>
      <c r="L113" s="55"/>
      <c r="M113" s="55"/>
      <c r="N113" s="55"/>
      <c r="O113" s="73"/>
      <c r="P113" s="73"/>
      <c r="Q113" s="54"/>
      <c r="R113" s="54"/>
      <c r="S113" s="54"/>
      <c r="T113" s="54"/>
      <c r="U113" s="56"/>
    </row>
    <row r="114">
      <c r="A114" s="57"/>
      <c r="B114" s="71"/>
      <c r="C114" s="54"/>
      <c r="D114" s="55"/>
      <c r="E114" s="55"/>
      <c r="F114" s="55"/>
      <c r="G114" s="55"/>
      <c r="H114" s="55"/>
      <c r="I114" s="55"/>
      <c r="J114" s="73"/>
      <c r="K114" s="73"/>
      <c r="L114" s="55"/>
      <c r="M114" s="55"/>
      <c r="N114" s="55"/>
      <c r="O114" s="73"/>
      <c r="P114" s="55"/>
      <c r="Q114" s="54"/>
      <c r="R114" s="54"/>
      <c r="S114" s="54"/>
      <c r="T114" s="54"/>
      <c r="U114" s="56"/>
    </row>
    <row r="115">
      <c r="A115" s="57"/>
      <c r="B115" s="71"/>
      <c r="C115" s="54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4"/>
      <c r="R115" s="54"/>
      <c r="S115" s="54"/>
      <c r="T115" s="54"/>
      <c r="U115" s="56"/>
    </row>
    <row r="116">
      <c r="A116" s="66"/>
      <c r="B116" s="55"/>
      <c r="C116" s="54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73"/>
      <c r="Q116" s="54"/>
      <c r="R116" s="54"/>
      <c r="S116" s="54"/>
      <c r="T116" s="54"/>
      <c r="U116" s="56"/>
    </row>
    <row r="117">
      <c r="A117" s="66"/>
      <c r="B117" s="55"/>
      <c r="C117" s="54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73"/>
      <c r="Q117" s="54"/>
      <c r="R117" s="54"/>
      <c r="S117" s="54"/>
      <c r="T117" s="54"/>
      <c r="U117" s="56"/>
    </row>
    <row r="118">
      <c r="A118" s="66"/>
      <c r="B118" s="55"/>
      <c r="C118" s="54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73"/>
      <c r="Q118" s="54"/>
      <c r="R118" s="54"/>
      <c r="S118" s="54"/>
      <c r="T118" s="54"/>
      <c r="U118" s="56"/>
    </row>
    <row r="119">
      <c r="A119" s="66"/>
      <c r="B119" s="55"/>
      <c r="C119" s="54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73"/>
      <c r="Q119" s="54"/>
      <c r="R119" s="54"/>
      <c r="S119" s="54"/>
      <c r="T119" s="54"/>
      <c r="U119" s="56"/>
    </row>
    <row r="120">
      <c r="A120" s="66"/>
      <c r="B120" s="55"/>
      <c r="C120" s="54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73"/>
      <c r="Q120" s="54"/>
      <c r="R120" s="54"/>
      <c r="S120" s="54"/>
      <c r="T120" s="54"/>
      <c r="U120" s="56"/>
    </row>
    <row r="121">
      <c r="A121" s="66"/>
      <c r="B121" s="71"/>
      <c r="C121" s="54"/>
      <c r="D121" s="55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54"/>
      <c r="R121" s="54"/>
      <c r="S121" s="54"/>
      <c r="T121" s="54"/>
      <c r="U121" s="56"/>
    </row>
    <row r="122">
      <c r="A122" s="66"/>
      <c r="B122" s="71"/>
      <c r="C122" s="54"/>
      <c r="D122" s="55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54"/>
      <c r="R122" s="54"/>
      <c r="S122" s="54"/>
      <c r="T122" s="54"/>
      <c r="U122" s="56"/>
    </row>
    <row r="123">
      <c r="A123" s="66"/>
      <c r="B123" s="71"/>
      <c r="C123" s="54"/>
      <c r="D123" s="55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54"/>
      <c r="R123" s="54"/>
      <c r="S123" s="54"/>
      <c r="T123" s="54"/>
      <c r="U123" s="56"/>
    </row>
    <row r="124">
      <c r="A124" s="66"/>
      <c r="B124" s="71"/>
      <c r="C124" s="54"/>
      <c r="D124" s="55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54"/>
      <c r="R124" s="54"/>
      <c r="S124" s="54"/>
      <c r="T124" s="54"/>
      <c r="U124" s="56"/>
    </row>
    <row r="125">
      <c r="A125" s="66"/>
      <c r="B125" s="55"/>
      <c r="C125" s="54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73"/>
      <c r="Q125" s="54"/>
      <c r="R125" s="54"/>
      <c r="S125" s="54"/>
      <c r="T125" s="54"/>
      <c r="U125" s="56"/>
    </row>
    <row r="126">
      <c r="A126" s="66"/>
      <c r="B126" s="55"/>
      <c r="C126" s="54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73"/>
      <c r="Q126" s="54"/>
      <c r="R126" s="54"/>
      <c r="S126" s="54"/>
      <c r="T126" s="54"/>
      <c r="U126" s="56"/>
    </row>
    <row r="127">
      <c r="A127" s="77"/>
      <c r="B127" s="71"/>
      <c r="C127" s="54"/>
      <c r="D127" s="73"/>
      <c r="E127" s="73"/>
      <c r="F127" s="55"/>
      <c r="G127" s="73"/>
      <c r="H127" s="73"/>
      <c r="I127" s="55"/>
      <c r="J127" s="55"/>
      <c r="K127" s="73"/>
      <c r="L127" s="73"/>
      <c r="M127" s="73"/>
      <c r="N127" s="73"/>
      <c r="O127" s="73"/>
      <c r="P127" s="73"/>
      <c r="Q127" s="54"/>
      <c r="R127" s="54"/>
      <c r="S127" s="54"/>
      <c r="T127" s="54"/>
      <c r="U127" s="56"/>
    </row>
    <row r="128">
      <c r="A128" s="66"/>
      <c r="B128" s="71"/>
      <c r="C128" s="54"/>
      <c r="D128" s="73"/>
      <c r="E128" s="73"/>
      <c r="F128" s="55"/>
      <c r="G128" s="73"/>
      <c r="H128" s="73"/>
      <c r="I128" s="55"/>
      <c r="J128" s="55"/>
      <c r="K128" s="73"/>
      <c r="L128" s="73"/>
      <c r="M128" s="73"/>
      <c r="N128" s="73"/>
      <c r="O128" s="73"/>
      <c r="P128" s="73"/>
      <c r="Q128" s="54"/>
      <c r="R128" s="54"/>
      <c r="S128" s="54"/>
      <c r="T128" s="54"/>
      <c r="U128" s="56"/>
    </row>
    <row r="129">
      <c r="A129" s="66"/>
      <c r="B129" s="71"/>
      <c r="C129" s="54"/>
      <c r="D129" s="73"/>
      <c r="E129" s="73"/>
      <c r="F129" s="55"/>
      <c r="G129" s="55"/>
      <c r="H129" s="55"/>
      <c r="I129" s="55"/>
      <c r="J129" s="55"/>
      <c r="K129" s="73"/>
      <c r="L129" s="55"/>
      <c r="M129" s="55"/>
      <c r="N129" s="55"/>
      <c r="O129" s="55"/>
      <c r="P129" s="73"/>
      <c r="Q129" s="54"/>
      <c r="R129" s="54"/>
      <c r="S129" s="54"/>
      <c r="T129" s="54"/>
      <c r="U129" s="56"/>
    </row>
    <row r="130">
      <c r="A130" s="66"/>
      <c r="B130" s="71"/>
      <c r="C130" s="54"/>
      <c r="D130" s="73"/>
      <c r="E130" s="73"/>
      <c r="F130" s="55"/>
      <c r="G130" s="55"/>
      <c r="H130" s="55"/>
      <c r="I130" s="55"/>
      <c r="J130" s="55"/>
      <c r="K130" s="73"/>
      <c r="L130" s="55"/>
      <c r="M130" s="55"/>
      <c r="N130" s="55"/>
      <c r="O130" s="55"/>
      <c r="P130" s="73"/>
      <c r="Q130" s="54"/>
      <c r="R130" s="54"/>
      <c r="S130" s="54"/>
      <c r="T130" s="54"/>
      <c r="U130" s="56"/>
    </row>
    <row r="131">
      <c r="A131" s="66"/>
      <c r="B131" s="71"/>
      <c r="C131" s="54"/>
      <c r="D131" s="73"/>
      <c r="E131" s="73"/>
      <c r="F131" s="55"/>
      <c r="G131" s="55"/>
      <c r="H131" s="55"/>
      <c r="I131" s="55"/>
      <c r="J131" s="55"/>
      <c r="K131" s="73"/>
      <c r="L131" s="55"/>
      <c r="M131" s="55"/>
      <c r="N131" s="55"/>
      <c r="O131" s="55"/>
      <c r="P131" s="73"/>
      <c r="Q131" s="54"/>
      <c r="R131" s="54"/>
      <c r="S131" s="54"/>
      <c r="T131" s="54"/>
      <c r="U131" s="56"/>
    </row>
    <row r="132">
      <c r="A132" s="66"/>
      <c r="B132" s="71"/>
      <c r="C132" s="54"/>
      <c r="D132" s="73"/>
      <c r="E132" s="73"/>
      <c r="F132" s="55"/>
      <c r="G132" s="55"/>
      <c r="H132" s="55"/>
      <c r="I132" s="55"/>
      <c r="J132" s="55"/>
      <c r="K132" s="73"/>
      <c r="L132" s="55"/>
      <c r="M132" s="55"/>
      <c r="N132" s="55"/>
      <c r="O132" s="55"/>
      <c r="P132" s="73"/>
      <c r="Q132" s="54"/>
      <c r="R132" s="54"/>
      <c r="S132" s="54"/>
      <c r="T132" s="54"/>
      <c r="U132" s="56"/>
    </row>
    <row r="133">
      <c r="A133" s="66"/>
      <c r="B133" s="71"/>
      <c r="C133" s="54"/>
      <c r="D133" s="73"/>
      <c r="E133" s="73"/>
      <c r="F133" s="55"/>
      <c r="G133" s="55"/>
      <c r="H133" s="55"/>
      <c r="I133" s="55"/>
      <c r="J133" s="55"/>
      <c r="K133" s="73"/>
      <c r="L133" s="55"/>
      <c r="M133" s="55"/>
      <c r="N133" s="55"/>
      <c r="O133" s="55"/>
      <c r="P133" s="73"/>
      <c r="Q133" s="54"/>
      <c r="R133" s="54"/>
      <c r="S133" s="54"/>
      <c r="T133" s="54"/>
      <c r="U133" s="56"/>
    </row>
    <row r="134">
      <c r="A134" s="66"/>
      <c r="B134" s="71"/>
      <c r="C134" s="54"/>
      <c r="D134" s="55"/>
      <c r="E134" s="73"/>
      <c r="F134" s="55"/>
      <c r="G134" s="55"/>
      <c r="H134" s="55"/>
      <c r="I134" s="55"/>
      <c r="J134" s="55"/>
      <c r="K134" s="73"/>
      <c r="L134" s="55"/>
      <c r="M134" s="55"/>
      <c r="N134" s="55"/>
      <c r="O134" s="55"/>
      <c r="P134" s="73"/>
      <c r="Q134" s="54"/>
      <c r="R134" s="54"/>
      <c r="S134" s="54"/>
      <c r="T134" s="54"/>
      <c r="U134" s="56"/>
    </row>
    <row r="135">
      <c r="A135" s="66"/>
      <c r="B135" s="71"/>
      <c r="C135" s="54"/>
      <c r="D135" s="55"/>
      <c r="E135" s="73"/>
      <c r="F135" s="55"/>
      <c r="G135" s="55"/>
      <c r="H135" s="55"/>
      <c r="I135" s="55"/>
      <c r="J135" s="55"/>
      <c r="K135" s="73"/>
      <c r="L135" s="55"/>
      <c r="M135" s="55"/>
      <c r="N135" s="55"/>
      <c r="O135" s="73"/>
      <c r="P135" s="73"/>
      <c r="Q135" s="54"/>
      <c r="R135" s="54"/>
      <c r="S135" s="54"/>
      <c r="T135" s="54"/>
      <c r="U135" s="56"/>
    </row>
    <row r="136">
      <c r="A136" s="66"/>
      <c r="B136" s="71"/>
      <c r="C136" s="54"/>
      <c r="D136" s="55"/>
      <c r="E136" s="73"/>
      <c r="F136" s="55"/>
      <c r="G136" s="55"/>
      <c r="H136" s="55"/>
      <c r="I136" s="55"/>
      <c r="J136" s="55"/>
      <c r="K136" s="73"/>
      <c r="L136" s="55"/>
      <c r="M136" s="55"/>
      <c r="N136" s="55"/>
      <c r="O136" s="73"/>
      <c r="P136" s="73"/>
      <c r="Q136" s="54"/>
      <c r="R136" s="54"/>
      <c r="S136" s="54"/>
      <c r="T136" s="54"/>
      <c r="U136" s="56"/>
    </row>
    <row r="137">
      <c r="A137" s="66"/>
      <c r="B137" s="71"/>
      <c r="C137" s="54"/>
      <c r="D137" s="55"/>
      <c r="E137" s="73"/>
      <c r="F137" s="55"/>
      <c r="G137" s="55"/>
      <c r="H137" s="55"/>
      <c r="I137" s="55"/>
      <c r="J137" s="55"/>
      <c r="K137" s="73"/>
      <c r="L137" s="55"/>
      <c r="M137" s="55"/>
      <c r="N137" s="55"/>
      <c r="O137" s="55"/>
      <c r="P137" s="73"/>
      <c r="Q137" s="54"/>
      <c r="R137" s="54"/>
      <c r="S137" s="54"/>
      <c r="T137" s="54"/>
      <c r="U137" s="56"/>
    </row>
    <row r="138">
      <c r="A138" s="66"/>
      <c r="B138" s="71"/>
      <c r="C138" s="54"/>
      <c r="D138" s="55"/>
      <c r="E138" s="73"/>
      <c r="F138" s="55"/>
      <c r="G138" s="55"/>
      <c r="H138" s="55"/>
      <c r="I138" s="55"/>
      <c r="J138" s="55"/>
      <c r="K138" s="73"/>
      <c r="L138" s="55"/>
      <c r="M138" s="55"/>
      <c r="N138" s="55"/>
      <c r="O138" s="55"/>
      <c r="P138" s="73"/>
      <c r="Q138" s="54"/>
      <c r="R138" s="54"/>
      <c r="S138" s="54"/>
      <c r="T138" s="54"/>
      <c r="U138" s="56"/>
    </row>
    <row r="139">
      <c r="A139" s="66"/>
      <c r="B139" s="71"/>
      <c r="C139" s="54"/>
      <c r="D139" s="55"/>
      <c r="E139" s="73"/>
      <c r="F139" s="55"/>
      <c r="G139" s="55"/>
      <c r="H139" s="55"/>
      <c r="I139" s="55"/>
      <c r="J139" s="55"/>
      <c r="K139" s="73"/>
      <c r="L139" s="55"/>
      <c r="M139" s="55"/>
      <c r="N139" s="55"/>
      <c r="O139" s="55"/>
      <c r="P139" s="73"/>
      <c r="Q139" s="54"/>
      <c r="R139" s="54"/>
      <c r="S139" s="54"/>
      <c r="T139" s="54"/>
      <c r="U139" s="56"/>
    </row>
    <row r="140">
      <c r="A140" s="66"/>
      <c r="B140" s="71"/>
      <c r="C140" s="54"/>
      <c r="D140" s="55"/>
      <c r="E140" s="73"/>
      <c r="F140" s="55"/>
      <c r="G140" s="55"/>
      <c r="H140" s="55"/>
      <c r="I140" s="55"/>
      <c r="J140" s="55"/>
      <c r="K140" s="73"/>
      <c r="L140" s="55"/>
      <c r="M140" s="55"/>
      <c r="N140" s="55"/>
      <c r="O140" s="55"/>
      <c r="P140" s="73"/>
      <c r="Q140" s="54"/>
      <c r="R140" s="54"/>
      <c r="S140" s="54"/>
      <c r="T140" s="54"/>
      <c r="U140" s="56"/>
    </row>
    <row r="141">
      <c r="A141" s="66"/>
      <c r="B141" s="71"/>
      <c r="C141" s="54"/>
      <c r="D141" s="55"/>
      <c r="E141" s="73"/>
      <c r="F141" s="55"/>
      <c r="G141" s="55"/>
      <c r="H141" s="55"/>
      <c r="I141" s="55"/>
      <c r="J141" s="55"/>
      <c r="K141" s="73"/>
      <c r="L141" s="55"/>
      <c r="M141" s="55"/>
      <c r="N141" s="55"/>
      <c r="O141" s="55"/>
      <c r="P141" s="73"/>
      <c r="Q141" s="54"/>
      <c r="R141" s="54"/>
      <c r="S141" s="54"/>
      <c r="T141" s="54"/>
      <c r="U141" s="56"/>
    </row>
    <row r="142">
      <c r="A142" s="66"/>
      <c r="B142" s="71"/>
      <c r="C142" s="54"/>
      <c r="D142" s="55"/>
      <c r="E142" s="73"/>
      <c r="F142" s="55"/>
      <c r="G142" s="55"/>
      <c r="H142" s="55"/>
      <c r="I142" s="55"/>
      <c r="J142" s="55"/>
      <c r="K142" s="73"/>
      <c r="L142" s="55"/>
      <c r="M142" s="55"/>
      <c r="N142" s="55"/>
      <c r="O142" s="73"/>
      <c r="P142" s="73"/>
      <c r="Q142" s="54"/>
      <c r="R142" s="54"/>
      <c r="S142" s="54"/>
      <c r="T142" s="54"/>
      <c r="U142" s="56"/>
    </row>
    <row r="143">
      <c r="A143" s="66"/>
      <c r="B143" s="71"/>
      <c r="C143" s="54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4"/>
      <c r="R143" s="54"/>
      <c r="S143" s="54"/>
      <c r="T143" s="54"/>
      <c r="U143" s="56"/>
    </row>
    <row r="144">
      <c r="A144" s="77"/>
      <c r="B144" s="71"/>
      <c r="C144" s="54"/>
      <c r="D144" s="73"/>
      <c r="E144" s="73"/>
      <c r="F144" s="73"/>
      <c r="G144" s="73"/>
      <c r="H144" s="73"/>
      <c r="I144" s="73"/>
      <c r="J144" s="55"/>
      <c r="K144" s="55"/>
      <c r="L144" s="55"/>
      <c r="M144" s="73"/>
      <c r="N144" s="73"/>
      <c r="O144" s="73"/>
      <c r="P144" s="73"/>
      <c r="Q144" s="54"/>
      <c r="R144" s="54"/>
      <c r="S144" s="54"/>
      <c r="T144" s="54"/>
      <c r="U144" s="56"/>
    </row>
    <row r="145">
      <c r="A145" s="66"/>
      <c r="B145" s="71"/>
      <c r="C145" s="54"/>
      <c r="D145" s="73"/>
      <c r="E145" s="73"/>
      <c r="F145" s="55"/>
      <c r="G145" s="73"/>
      <c r="H145" s="73"/>
      <c r="I145" s="55"/>
      <c r="J145" s="73"/>
      <c r="K145" s="55"/>
      <c r="L145" s="55"/>
      <c r="M145" s="73"/>
      <c r="N145" s="73"/>
      <c r="O145" s="73"/>
      <c r="P145" s="73"/>
      <c r="Q145" s="54"/>
      <c r="R145" s="54"/>
      <c r="S145" s="54"/>
      <c r="T145" s="54"/>
      <c r="U145" s="56"/>
    </row>
    <row r="146">
      <c r="A146" s="66"/>
      <c r="B146" s="71"/>
      <c r="C146" s="54"/>
      <c r="D146" s="73"/>
      <c r="E146" s="73"/>
      <c r="F146" s="55"/>
      <c r="G146" s="73"/>
      <c r="H146" s="73"/>
      <c r="I146" s="55"/>
      <c r="J146" s="55"/>
      <c r="K146" s="55"/>
      <c r="L146" s="73"/>
      <c r="M146" s="73"/>
      <c r="N146" s="73"/>
      <c r="O146" s="73"/>
      <c r="P146" s="73"/>
      <c r="Q146" s="54"/>
      <c r="R146" s="54"/>
      <c r="S146" s="54"/>
      <c r="T146" s="54"/>
      <c r="U146" s="56"/>
    </row>
    <row r="147">
      <c r="A147" s="66"/>
      <c r="B147" s="71"/>
      <c r="C147" s="54"/>
      <c r="D147" s="73"/>
      <c r="E147" s="73"/>
      <c r="F147" s="55"/>
      <c r="G147" s="73"/>
      <c r="H147" s="73"/>
      <c r="I147" s="55"/>
      <c r="J147" s="73"/>
      <c r="K147" s="73"/>
      <c r="L147" s="73"/>
      <c r="M147" s="73"/>
      <c r="N147" s="73"/>
      <c r="O147" s="73"/>
      <c r="P147" s="73"/>
      <c r="Q147" s="54"/>
      <c r="R147" s="54"/>
      <c r="S147" s="54"/>
      <c r="T147" s="54"/>
      <c r="U147" s="56"/>
    </row>
    <row r="148">
      <c r="A148" s="66"/>
      <c r="B148" s="71"/>
      <c r="C148" s="54"/>
      <c r="D148" s="73"/>
      <c r="E148" s="73"/>
      <c r="F148" s="55"/>
      <c r="G148" s="73"/>
      <c r="H148" s="73"/>
      <c r="I148" s="55"/>
      <c r="J148" s="55"/>
      <c r="K148" s="73"/>
      <c r="L148" s="73"/>
      <c r="M148" s="73"/>
      <c r="N148" s="73"/>
      <c r="O148" s="73"/>
      <c r="P148" s="73"/>
      <c r="Q148" s="54"/>
      <c r="R148" s="54"/>
      <c r="S148" s="54"/>
      <c r="T148" s="54"/>
      <c r="U148" s="56"/>
    </row>
    <row r="149">
      <c r="A149" s="66"/>
      <c r="B149" s="71"/>
      <c r="C149" s="54"/>
      <c r="D149" s="73"/>
      <c r="E149" s="73"/>
      <c r="F149" s="55"/>
      <c r="G149" s="73"/>
      <c r="H149" s="73"/>
      <c r="I149" s="55"/>
      <c r="J149" s="55"/>
      <c r="K149" s="73"/>
      <c r="L149" s="73"/>
      <c r="M149" s="73"/>
      <c r="N149" s="73"/>
      <c r="O149" s="73"/>
      <c r="P149" s="73"/>
      <c r="Q149" s="54"/>
      <c r="R149" s="54"/>
      <c r="S149" s="54"/>
      <c r="T149" s="54"/>
      <c r="U149" s="56"/>
    </row>
    <row r="150">
      <c r="A150" s="57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63"/>
      <c r="U150" s="56"/>
    </row>
    <row r="151">
      <c r="A151" s="57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63"/>
      <c r="U151" s="56"/>
    </row>
    <row r="152">
      <c r="A152" s="57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63"/>
      <c r="U152" s="56"/>
    </row>
    <row r="153">
      <c r="A153" s="57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63"/>
      <c r="U153" s="56"/>
    </row>
    <row r="154">
      <c r="A154" s="57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63"/>
      <c r="U154" s="56"/>
    </row>
    <row r="155">
      <c r="A155" s="57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63"/>
      <c r="U155" s="56"/>
    </row>
    <row r="156">
      <c r="A156" s="57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63"/>
      <c r="U156" s="56"/>
    </row>
    <row r="157">
      <c r="A157" s="57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63"/>
      <c r="U157" s="56"/>
    </row>
    <row r="158">
      <c r="A158" s="57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63"/>
      <c r="U158" s="56"/>
    </row>
    <row r="159">
      <c r="A159" s="57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63"/>
      <c r="U159" s="56"/>
    </row>
    <row r="160">
      <c r="A160" s="57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63"/>
      <c r="U160" s="56"/>
    </row>
    <row r="161">
      <c r="A161" s="57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63"/>
      <c r="U161" s="56"/>
    </row>
    <row r="162">
      <c r="A162" s="57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63"/>
      <c r="U162" s="56"/>
    </row>
    <row r="163">
      <c r="A163" s="57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63"/>
      <c r="U163" s="56"/>
    </row>
    <row r="164">
      <c r="A164" s="57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63"/>
      <c r="U164" s="56"/>
    </row>
    <row r="165">
      <c r="A165" s="57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63"/>
      <c r="U165" s="56"/>
    </row>
    <row r="166">
      <c r="A166" s="57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63"/>
      <c r="U166" s="56"/>
    </row>
    <row r="167">
      <c r="A167" s="57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63"/>
      <c r="U167" s="56"/>
    </row>
    <row r="168">
      <c r="A168" s="57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63"/>
      <c r="U168" s="56"/>
    </row>
    <row r="169">
      <c r="A169" s="57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63"/>
      <c r="U169" s="56"/>
    </row>
    <row r="170">
      <c r="A170" s="57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63"/>
      <c r="U170" s="56"/>
    </row>
    <row r="171">
      <c r="A171" s="57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63"/>
      <c r="U171" s="56"/>
    </row>
    <row r="172">
      <c r="A172" s="57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63"/>
      <c r="U172" s="56"/>
    </row>
    <row r="173">
      <c r="A173" s="57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63"/>
      <c r="U173" s="56"/>
    </row>
    <row r="174">
      <c r="A174" s="57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63"/>
      <c r="U174" s="56"/>
    </row>
    <row r="175">
      <c r="A175" s="57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63"/>
      <c r="U175" s="56"/>
    </row>
    <row r="176">
      <c r="A176" s="57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63"/>
      <c r="U176" s="56"/>
    </row>
    <row r="177">
      <c r="A177" s="57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63"/>
      <c r="U177" s="56"/>
    </row>
    <row r="178">
      <c r="A178" s="57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63"/>
      <c r="U178" s="56"/>
    </row>
    <row r="179">
      <c r="A179" s="57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63"/>
      <c r="U179" s="56"/>
    </row>
    <row r="180">
      <c r="A180" s="57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63"/>
      <c r="U180" s="56"/>
    </row>
    <row r="181">
      <c r="A181" s="57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63"/>
      <c r="U181" s="56"/>
    </row>
    <row r="182">
      <c r="A182" s="57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63"/>
      <c r="U182" s="56"/>
    </row>
    <row r="183">
      <c r="A183" s="57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63"/>
      <c r="U183" s="56"/>
    </row>
    <row r="184">
      <c r="A184" s="57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63"/>
      <c r="U184" s="56"/>
    </row>
    <row r="185">
      <c r="A185" s="57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63"/>
      <c r="U185" s="56"/>
    </row>
    <row r="186">
      <c r="A186" s="57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63"/>
      <c r="U186" s="56"/>
    </row>
    <row r="187">
      <c r="A187" s="57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63"/>
      <c r="U187" s="56"/>
    </row>
    <row r="188">
      <c r="A188" s="57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63"/>
      <c r="U188" s="56"/>
    </row>
    <row r="189">
      <c r="A189" s="57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63"/>
      <c r="U189" s="56"/>
    </row>
    <row r="190">
      <c r="A190" s="57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63"/>
      <c r="U190" s="56"/>
    </row>
    <row r="191">
      <c r="A191" s="57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63"/>
      <c r="U191" s="56"/>
    </row>
    <row r="192">
      <c r="A192" s="57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63"/>
      <c r="U192" s="56"/>
    </row>
    <row r="193">
      <c r="A193" s="57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63"/>
      <c r="U193" s="56"/>
    </row>
    <row r="194">
      <c r="A194" s="57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63"/>
      <c r="U194" s="56"/>
    </row>
    <row r="195">
      <c r="A195" s="57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63"/>
      <c r="U195" s="56"/>
    </row>
    <row r="196">
      <c r="A196" s="57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63"/>
      <c r="U196" s="56"/>
    </row>
    <row r="197">
      <c r="A197" s="57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63"/>
      <c r="U197" s="56"/>
    </row>
    <row r="198">
      <c r="A198" s="57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63"/>
      <c r="U198" s="56"/>
    </row>
    <row r="199">
      <c r="A199" s="57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63"/>
      <c r="U199" s="56"/>
    </row>
    <row r="200">
      <c r="A200" s="57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63"/>
      <c r="U200" s="56"/>
    </row>
    <row r="201">
      <c r="A201" s="57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63"/>
      <c r="U201" s="56"/>
    </row>
    <row r="202">
      <c r="A202" s="57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63"/>
      <c r="U202" s="56"/>
    </row>
    <row r="203">
      <c r="A203" s="57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63"/>
      <c r="U203" s="56"/>
    </row>
    <row r="204">
      <c r="A204" s="57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63"/>
      <c r="U204" s="56"/>
    </row>
    <row r="205">
      <c r="A205" s="57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63"/>
      <c r="U205" s="56"/>
    </row>
    <row r="206">
      <c r="A206" s="57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63"/>
      <c r="U206" s="56"/>
    </row>
    <row r="207">
      <c r="A207" s="57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63"/>
      <c r="U207" s="56"/>
    </row>
    <row r="208">
      <c r="A208" s="57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63"/>
      <c r="U208" s="56"/>
    </row>
    <row r="209">
      <c r="A209" s="57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63"/>
      <c r="U209" s="56"/>
    </row>
    <row r="210">
      <c r="A210" s="57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63"/>
      <c r="U210" s="56"/>
    </row>
    <row r="211">
      <c r="A211" s="57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63"/>
      <c r="U211" s="56"/>
    </row>
    <row r="212">
      <c r="A212" s="57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63"/>
      <c r="U212" s="56"/>
    </row>
    <row r="213">
      <c r="A213" s="57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63"/>
      <c r="U213" s="56"/>
    </row>
    <row r="214">
      <c r="A214" s="57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63"/>
      <c r="U214" s="56"/>
    </row>
    <row r="215">
      <c r="A215" s="57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63"/>
      <c r="U215" s="56"/>
    </row>
    <row r="216">
      <c r="A216" s="57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63"/>
      <c r="U216" s="56"/>
    </row>
    <row r="217">
      <c r="A217" s="57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63"/>
      <c r="U217" s="56"/>
    </row>
    <row r="218">
      <c r="A218" s="57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63"/>
      <c r="U218" s="56"/>
    </row>
    <row r="219">
      <c r="A219" s="57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63"/>
      <c r="U219" s="56"/>
    </row>
    <row r="220">
      <c r="A220" s="57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63"/>
      <c r="U220" s="56"/>
    </row>
    <row r="221">
      <c r="A221" s="57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63"/>
      <c r="U221" s="56"/>
    </row>
    <row r="222">
      <c r="A222" s="57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63"/>
      <c r="U222" s="56"/>
    </row>
    <row r="223">
      <c r="A223" s="57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63"/>
      <c r="U223" s="56"/>
    </row>
    <row r="224">
      <c r="A224" s="57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63"/>
      <c r="U224" s="56"/>
    </row>
    <row r="225">
      <c r="A225" s="57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63"/>
      <c r="U225" s="56"/>
    </row>
    <row r="226">
      <c r="A226" s="57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63"/>
      <c r="U226" s="56"/>
    </row>
    <row r="227">
      <c r="A227" s="57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63"/>
      <c r="U227" s="56"/>
    </row>
    <row r="228">
      <c r="A228" s="57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63"/>
      <c r="U228" s="56"/>
    </row>
    <row r="229">
      <c r="A229" s="57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63"/>
      <c r="U229" s="56"/>
    </row>
    <row r="230">
      <c r="A230" s="57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63"/>
      <c r="U230" s="56"/>
    </row>
    <row r="231">
      <c r="A231" s="57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63"/>
      <c r="U231" s="56"/>
    </row>
    <row r="232">
      <c r="A232" s="57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63"/>
      <c r="U232" s="56"/>
    </row>
    <row r="233">
      <c r="A233" s="57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63"/>
      <c r="U233" s="56"/>
    </row>
    <row r="234">
      <c r="A234" s="57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63"/>
      <c r="U234" s="56"/>
    </row>
    <row r="235">
      <c r="A235" s="57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63"/>
      <c r="U235" s="56"/>
    </row>
    <row r="236">
      <c r="A236" s="57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63"/>
      <c r="U236" s="56"/>
    </row>
    <row r="237">
      <c r="A237" s="57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63"/>
      <c r="U237" s="56"/>
    </row>
    <row r="238">
      <c r="A238" s="57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63"/>
      <c r="U238" s="56"/>
    </row>
    <row r="239">
      <c r="A239" s="57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63"/>
      <c r="U239" s="56"/>
    </row>
    <row r="240">
      <c r="A240" s="57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63"/>
      <c r="U240" s="56"/>
    </row>
    <row r="241">
      <c r="A241" s="57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63"/>
      <c r="U241" s="56"/>
    </row>
    <row r="242">
      <c r="A242" s="57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63"/>
      <c r="U242" s="56"/>
    </row>
    <row r="243">
      <c r="A243" s="57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63"/>
      <c r="U243" s="56"/>
    </row>
    <row r="244">
      <c r="A244" s="57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63"/>
      <c r="U244" s="56"/>
    </row>
    <row r="245">
      <c r="A245" s="57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63"/>
      <c r="U245" s="56"/>
    </row>
    <row r="246">
      <c r="A246" s="57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63"/>
      <c r="U246" s="56"/>
    </row>
    <row r="247">
      <c r="A247" s="57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63"/>
      <c r="U247" s="56"/>
    </row>
    <row r="248">
      <c r="A248" s="57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63"/>
      <c r="U248" s="56"/>
    </row>
    <row r="249">
      <c r="A249" s="57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63"/>
      <c r="U249" s="56"/>
    </row>
    <row r="250">
      <c r="A250" s="57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63"/>
      <c r="U250" s="56"/>
    </row>
    <row r="251">
      <c r="A251" s="57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63"/>
      <c r="U251" s="56"/>
    </row>
    <row r="252">
      <c r="A252" s="57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63"/>
      <c r="U252" s="56"/>
    </row>
    <row r="253">
      <c r="A253" s="57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63"/>
      <c r="U253" s="56"/>
    </row>
    <row r="254">
      <c r="A254" s="57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63"/>
      <c r="U254" s="56"/>
    </row>
    <row r="255">
      <c r="A255" s="57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63"/>
      <c r="U255" s="56"/>
    </row>
    <row r="256">
      <c r="A256" s="57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63"/>
      <c r="U256" s="56"/>
    </row>
    <row r="257">
      <c r="A257" s="57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63"/>
      <c r="U257" s="56"/>
    </row>
    <row r="258">
      <c r="A258" s="57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63"/>
      <c r="U258" s="56"/>
    </row>
    <row r="259">
      <c r="A259" s="57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63"/>
      <c r="U259" s="56"/>
    </row>
    <row r="260">
      <c r="A260" s="57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63"/>
      <c r="U260" s="56"/>
    </row>
    <row r="261">
      <c r="A261" s="57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63"/>
      <c r="U261" s="56"/>
    </row>
    <row r="262">
      <c r="A262" s="57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63"/>
      <c r="U262" s="56"/>
    </row>
    <row r="263">
      <c r="A263" s="57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63"/>
      <c r="U263" s="56"/>
    </row>
    <row r="264">
      <c r="A264" s="57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63"/>
      <c r="U264" s="56"/>
    </row>
    <row r="265">
      <c r="A265" s="57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63"/>
      <c r="U265" s="56"/>
    </row>
    <row r="266">
      <c r="A266" s="57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63"/>
      <c r="U266" s="56"/>
    </row>
    <row r="267">
      <c r="A267" s="57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63"/>
      <c r="U267" s="56"/>
    </row>
    <row r="268">
      <c r="A268" s="57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63"/>
      <c r="U268" s="56"/>
    </row>
    <row r="269">
      <c r="A269" s="57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63"/>
      <c r="U269" s="56"/>
    </row>
    <row r="270">
      <c r="A270" s="57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63"/>
      <c r="U270" s="56"/>
    </row>
    <row r="271">
      <c r="A271" s="57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63"/>
      <c r="U271" s="56"/>
    </row>
    <row r="272">
      <c r="A272" s="57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63"/>
      <c r="U272" s="56"/>
    </row>
    <row r="273">
      <c r="A273" s="57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63"/>
      <c r="U273" s="56"/>
    </row>
    <row r="274">
      <c r="A274" s="57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63"/>
      <c r="U274" s="56"/>
    </row>
    <row r="275">
      <c r="A275" s="57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63"/>
      <c r="U275" s="56"/>
    </row>
    <row r="276">
      <c r="A276" s="57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63"/>
      <c r="U276" s="56"/>
    </row>
    <row r="277">
      <c r="A277" s="57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63"/>
      <c r="U277" s="56"/>
    </row>
    <row r="278">
      <c r="A278" s="57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63"/>
      <c r="U278" s="56"/>
    </row>
    <row r="279">
      <c r="A279" s="57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63"/>
      <c r="U279" s="56"/>
    </row>
    <row r="280">
      <c r="A280" s="57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63"/>
      <c r="U280" s="56"/>
    </row>
    <row r="281">
      <c r="A281" s="57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63"/>
      <c r="U281" s="56"/>
    </row>
    <row r="282">
      <c r="A282" s="57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63"/>
      <c r="U282" s="56"/>
    </row>
    <row r="283">
      <c r="A283" s="57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63"/>
      <c r="U283" s="56"/>
    </row>
    <row r="284">
      <c r="A284" s="57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63"/>
      <c r="U284" s="56"/>
    </row>
    <row r="285">
      <c r="A285" s="57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63"/>
      <c r="U285" s="56"/>
    </row>
    <row r="286">
      <c r="A286" s="57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63"/>
      <c r="U286" s="56"/>
    </row>
    <row r="287">
      <c r="A287" s="57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63"/>
      <c r="U287" s="56"/>
    </row>
    <row r="288">
      <c r="A288" s="57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63"/>
      <c r="U288" s="56"/>
    </row>
    <row r="289">
      <c r="A289" s="57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63"/>
      <c r="U289" s="56"/>
    </row>
    <row r="290">
      <c r="A290" s="57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63"/>
      <c r="U290" s="56"/>
    </row>
    <row r="291">
      <c r="A291" s="57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63"/>
      <c r="U291" s="56"/>
    </row>
    <row r="292">
      <c r="A292" s="57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63"/>
      <c r="U292" s="56"/>
    </row>
    <row r="293">
      <c r="A293" s="57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63"/>
      <c r="U293" s="56"/>
    </row>
    <row r="294">
      <c r="A294" s="57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63"/>
      <c r="U294" s="56"/>
    </row>
    <row r="295">
      <c r="A295" s="57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63"/>
      <c r="U295" s="56"/>
    </row>
    <row r="296">
      <c r="A296" s="57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63"/>
      <c r="U296" s="56"/>
    </row>
    <row r="297">
      <c r="A297" s="57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63"/>
      <c r="U297" s="56"/>
    </row>
    <row r="298">
      <c r="A298" s="57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63"/>
      <c r="U298" s="56"/>
    </row>
    <row r="299">
      <c r="A299" s="57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63"/>
      <c r="U299" s="56"/>
    </row>
    <row r="300">
      <c r="A300" s="57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63"/>
      <c r="U300" s="56"/>
    </row>
    <row r="301">
      <c r="A301" s="57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63"/>
      <c r="U301" s="56"/>
    </row>
    <row r="302">
      <c r="A302" s="57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63"/>
      <c r="U302" s="56"/>
    </row>
    <row r="303">
      <c r="A303" s="57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63"/>
      <c r="U303" s="56"/>
    </row>
    <row r="304">
      <c r="A304" s="57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63"/>
      <c r="U304" s="56"/>
    </row>
    <row r="305">
      <c r="A305" s="57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63"/>
      <c r="U305" s="56"/>
    </row>
    <row r="306">
      <c r="A306" s="57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63"/>
      <c r="U306" s="56"/>
    </row>
    <row r="307">
      <c r="A307" s="57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63"/>
      <c r="U307" s="56"/>
    </row>
    <row r="308">
      <c r="A308" s="57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63"/>
      <c r="U308" s="56"/>
    </row>
    <row r="309">
      <c r="A309" s="57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63"/>
      <c r="U309" s="56"/>
    </row>
    <row r="310">
      <c r="A310" s="57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63"/>
      <c r="U310" s="56"/>
    </row>
    <row r="311">
      <c r="A311" s="57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63"/>
      <c r="U311" s="56"/>
    </row>
    <row r="312">
      <c r="A312" s="57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63"/>
      <c r="U312" s="56"/>
    </row>
    <row r="313">
      <c r="A313" s="57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63"/>
      <c r="U313" s="56"/>
    </row>
    <row r="314">
      <c r="A314" s="57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63"/>
      <c r="U314" s="56"/>
    </row>
    <row r="315">
      <c r="A315" s="57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63"/>
      <c r="U315" s="56"/>
    </row>
    <row r="316">
      <c r="A316" s="57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63"/>
      <c r="U316" s="56"/>
    </row>
    <row r="317">
      <c r="A317" s="57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63"/>
      <c r="U317" s="56"/>
    </row>
    <row r="318">
      <c r="A318" s="57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63"/>
      <c r="U318" s="56"/>
    </row>
    <row r="319">
      <c r="A319" s="57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63"/>
      <c r="U319" s="56"/>
    </row>
    <row r="320">
      <c r="A320" s="57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63"/>
      <c r="U320" s="56"/>
    </row>
    <row r="321">
      <c r="A321" s="57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63"/>
      <c r="U321" s="56"/>
    </row>
    <row r="322">
      <c r="A322" s="57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63"/>
      <c r="U322" s="56"/>
    </row>
    <row r="323">
      <c r="A323" s="57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63"/>
      <c r="U323" s="56"/>
    </row>
    <row r="324">
      <c r="A324" s="57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63"/>
      <c r="U324" s="56"/>
    </row>
    <row r="325">
      <c r="A325" s="57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63"/>
      <c r="U325" s="56"/>
    </row>
    <row r="326">
      <c r="A326" s="57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63"/>
      <c r="U326" s="56"/>
    </row>
    <row r="327">
      <c r="A327" s="57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63"/>
      <c r="U327" s="56"/>
    </row>
    <row r="328">
      <c r="A328" s="57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63"/>
      <c r="U328" s="56"/>
    </row>
    <row r="329">
      <c r="A329" s="57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63"/>
      <c r="U329" s="56"/>
    </row>
    <row r="330">
      <c r="A330" s="57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63"/>
      <c r="U330" s="56"/>
    </row>
    <row r="331">
      <c r="A331" s="57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63"/>
      <c r="U331" s="56"/>
    </row>
    <row r="332">
      <c r="A332" s="57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63"/>
      <c r="U332" s="56"/>
    </row>
    <row r="333">
      <c r="A333" s="57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63"/>
      <c r="U333" s="56"/>
    </row>
    <row r="334">
      <c r="A334" s="57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63"/>
      <c r="U334" s="56"/>
    </row>
    <row r="335">
      <c r="A335" s="57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63"/>
      <c r="U335" s="56"/>
    </row>
    <row r="336">
      <c r="A336" s="57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63"/>
      <c r="U336" s="56"/>
    </row>
    <row r="337">
      <c r="A337" s="57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63"/>
      <c r="U337" s="56"/>
    </row>
    <row r="338">
      <c r="A338" s="57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63"/>
      <c r="U338" s="56"/>
    </row>
    <row r="339">
      <c r="A339" s="57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63"/>
      <c r="U339" s="56"/>
    </row>
    <row r="340">
      <c r="A340" s="57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63"/>
      <c r="U340" s="56"/>
    </row>
    <row r="341">
      <c r="A341" s="57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63"/>
      <c r="U341" s="56"/>
    </row>
    <row r="342">
      <c r="A342" s="57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63"/>
      <c r="U342" s="56"/>
    </row>
    <row r="343">
      <c r="A343" s="57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63"/>
      <c r="U343" s="56"/>
    </row>
    <row r="344">
      <c r="A344" s="57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63"/>
      <c r="U344" s="56"/>
    </row>
    <row r="345">
      <c r="A345" s="57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63"/>
      <c r="U345" s="56"/>
    </row>
    <row r="346">
      <c r="A346" s="57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63"/>
      <c r="U346" s="56"/>
    </row>
    <row r="347">
      <c r="A347" s="57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63"/>
      <c r="U347" s="56"/>
    </row>
    <row r="348">
      <c r="A348" s="57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63"/>
      <c r="U348" s="56"/>
    </row>
    <row r="349">
      <c r="A349" s="57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63"/>
      <c r="U349" s="56"/>
    </row>
    <row r="350">
      <c r="A350" s="57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63"/>
      <c r="U350" s="56"/>
    </row>
    <row r="351">
      <c r="A351" s="57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63"/>
      <c r="U351" s="56"/>
    </row>
    <row r="352">
      <c r="A352" s="57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63"/>
      <c r="U352" s="56"/>
    </row>
    <row r="353">
      <c r="A353" s="57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63"/>
      <c r="U353" s="56"/>
    </row>
    <row r="354">
      <c r="A354" s="57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63"/>
      <c r="U354" s="56"/>
    </row>
    <row r="355">
      <c r="A355" s="57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63"/>
      <c r="U355" s="56"/>
    </row>
    <row r="356">
      <c r="A356" s="57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63"/>
      <c r="U356" s="56"/>
    </row>
    <row r="357">
      <c r="A357" s="57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63"/>
      <c r="U357" s="56"/>
    </row>
    <row r="358">
      <c r="A358" s="57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63"/>
      <c r="U358" s="56"/>
    </row>
    <row r="359">
      <c r="A359" s="57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63"/>
      <c r="U359" s="56"/>
    </row>
    <row r="360">
      <c r="A360" s="57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63"/>
      <c r="U360" s="56"/>
    </row>
    <row r="361">
      <c r="A361" s="57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63"/>
      <c r="U361" s="56"/>
    </row>
    <row r="362">
      <c r="A362" s="57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63"/>
      <c r="U362" s="56"/>
    </row>
    <row r="363">
      <c r="A363" s="57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63"/>
      <c r="U363" s="56"/>
    </row>
    <row r="364">
      <c r="A364" s="57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63"/>
      <c r="U364" s="56"/>
    </row>
    <row r="365">
      <c r="A365" s="57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63"/>
      <c r="U365" s="56"/>
    </row>
    <row r="366">
      <c r="A366" s="57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63"/>
      <c r="U366" s="56"/>
    </row>
    <row r="367">
      <c r="A367" s="57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63"/>
      <c r="U367" s="56"/>
    </row>
    <row r="368">
      <c r="A368" s="57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63"/>
      <c r="U368" s="56"/>
    </row>
    <row r="369">
      <c r="A369" s="57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63"/>
      <c r="U369" s="56"/>
    </row>
    <row r="370">
      <c r="A370" s="57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63"/>
      <c r="U370" s="56"/>
    </row>
    <row r="371">
      <c r="A371" s="57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63"/>
      <c r="U371" s="56"/>
    </row>
    <row r="372">
      <c r="A372" s="57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63"/>
      <c r="U372" s="56"/>
    </row>
    <row r="373">
      <c r="A373" s="57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63"/>
      <c r="U373" s="56"/>
    </row>
    <row r="374">
      <c r="A374" s="57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63"/>
      <c r="U374" s="56"/>
    </row>
    <row r="375">
      <c r="A375" s="57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63"/>
      <c r="U375" s="56"/>
    </row>
    <row r="376">
      <c r="A376" s="57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63"/>
      <c r="U376" s="56"/>
    </row>
    <row r="377">
      <c r="A377" s="57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63"/>
      <c r="U377" s="56"/>
    </row>
    <row r="378">
      <c r="A378" s="57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63"/>
      <c r="U378" s="56"/>
    </row>
    <row r="379">
      <c r="A379" s="57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63"/>
      <c r="U379" s="56"/>
    </row>
    <row r="380">
      <c r="A380" s="57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63"/>
      <c r="U380" s="56"/>
    </row>
    <row r="381">
      <c r="A381" s="57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63"/>
      <c r="U381" s="56"/>
    </row>
    <row r="382">
      <c r="A382" s="57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63"/>
      <c r="U382" s="56"/>
    </row>
    <row r="383">
      <c r="A383" s="57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63"/>
      <c r="U383" s="56"/>
    </row>
    <row r="384">
      <c r="A384" s="57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63"/>
      <c r="U384" s="56"/>
    </row>
    <row r="385">
      <c r="A385" s="57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63"/>
      <c r="U385" s="56"/>
    </row>
    <row r="386">
      <c r="A386" s="57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63"/>
      <c r="U386" s="56"/>
    </row>
    <row r="387">
      <c r="A387" s="57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63"/>
      <c r="U387" s="56"/>
    </row>
    <row r="388">
      <c r="A388" s="57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63"/>
      <c r="U388" s="56"/>
    </row>
    <row r="389">
      <c r="A389" s="57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63"/>
      <c r="U389" s="56"/>
    </row>
    <row r="390">
      <c r="A390" s="57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63"/>
      <c r="U390" s="56"/>
    </row>
    <row r="391">
      <c r="A391" s="57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63"/>
      <c r="U391" s="56"/>
    </row>
    <row r="392">
      <c r="A392" s="57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63"/>
      <c r="U392" s="56"/>
    </row>
    <row r="393">
      <c r="A393" s="57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63"/>
      <c r="U393" s="56"/>
    </row>
    <row r="394">
      <c r="A394" s="57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63"/>
      <c r="U394" s="56"/>
    </row>
    <row r="395">
      <c r="A395" s="57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63"/>
      <c r="U395" s="56"/>
    </row>
    <row r="396">
      <c r="A396" s="57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63"/>
      <c r="U396" s="56"/>
    </row>
    <row r="397">
      <c r="A397" s="57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63"/>
      <c r="U397" s="56"/>
    </row>
    <row r="398">
      <c r="A398" s="57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63"/>
      <c r="U398" s="56"/>
    </row>
    <row r="399">
      <c r="A399" s="57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63"/>
      <c r="U399" s="56"/>
    </row>
    <row r="400">
      <c r="A400" s="57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63"/>
      <c r="U400" s="56"/>
    </row>
    <row r="401">
      <c r="A401" s="57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63"/>
      <c r="U401" s="56"/>
    </row>
    <row r="402">
      <c r="A402" s="57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63"/>
      <c r="U402" s="56"/>
    </row>
    <row r="403">
      <c r="A403" s="57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63"/>
      <c r="U403" s="56"/>
    </row>
    <row r="404">
      <c r="A404" s="57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63"/>
      <c r="U404" s="56"/>
    </row>
    <row r="405">
      <c r="A405" s="57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63"/>
      <c r="U405" s="56"/>
    </row>
    <row r="406">
      <c r="A406" s="57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63"/>
      <c r="U406" s="56"/>
    </row>
    <row r="407">
      <c r="A407" s="57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63"/>
      <c r="U407" s="56"/>
    </row>
    <row r="408">
      <c r="A408" s="57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63"/>
      <c r="U408" s="56"/>
    </row>
    <row r="409">
      <c r="A409" s="57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63"/>
      <c r="U409" s="56"/>
    </row>
    <row r="410">
      <c r="A410" s="57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63"/>
      <c r="U410" s="56"/>
    </row>
    <row r="411">
      <c r="A411" s="57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63"/>
      <c r="U411" s="56"/>
    </row>
    <row r="412">
      <c r="A412" s="57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63"/>
      <c r="U412" s="56"/>
    </row>
    <row r="413">
      <c r="A413" s="57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63"/>
      <c r="U413" s="56"/>
    </row>
    <row r="414">
      <c r="A414" s="57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63"/>
      <c r="U414" s="56"/>
    </row>
    <row r="415">
      <c r="A415" s="57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63"/>
      <c r="U415" s="56"/>
    </row>
    <row r="416">
      <c r="A416" s="57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63"/>
      <c r="U416" s="56"/>
    </row>
    <row r="417">
      <c r="A417" s="57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63"/>
      <c r="U417" s="56"/>
    </row>
    <row r="418">
      <c r="A418" s="57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63"/>
      <c r="U418" s="56"/>
    </row>
    <row r="419">
      <c r="A419" s="57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63"/>
      <c r="U419" s="56"/>
    </row>
    <row r="420">
      <c r="A420" s="57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63"/>
      <c r="U420" s="56"/>
    </row>
    <row r="421">
      <c r="A421" s="57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63"/>
      <c r="U421" s="56"/>
    </row>
    <row r="422">
      <c r="A422" s="57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63"/>
      <c r="U422" s="56"/>
    </row>
    <row r="423">
      <c r="A423" s="57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63"/>
      <c r="U423" s="56"/>
    </row>
    <row r="424">
      <c r="A424" s="57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63"/>
      <c r="U424" s="56"/>
    </row>
    <row r="425">
      <c r="A425" s="57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63"/>
      <c r="U425" s="56"/>
    </row>
    <row r="426">
      <c r="A426" s="57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63"/>
      <c r="U426" s="56"/>
    </row>
    <row r="427">
      <c r="A427" s="57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63"/>
      <c r="U427" s="56"/>
    </row>
    <row r="428">
      <c r="A428" s="57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63"/>
      <c r="U428" s="56"/>
    </row>
    <row r="429">
      <c r="A429" s="57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63"/>
      <c r="U429" s="56"/>
    </row>
    <row r="430">
      <c r="A430" s="57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63"/>
      <c r="U430" s="56"/>
    </row>
    <row r="431">
      <c r="A431" s="57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63"/>
      <c r="U431" s="56"/>
    </row>
    <row r="432">
      <c r="A432" s="57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63"/>
      <c r="U432" s="56"/>
    </row>
    <row r="433">
      <c r="A433" s="57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63"/>
      <c r="U433" s="56"/>
    </row>
    <row r="434">
      <c r="A434" s="57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63"/>
      <c r="U434" s="56"/>
    </row>
    <row r="435">
      <c r="A435" s="57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63"/>
      <c r="U435" s="56"/>
    </row>
    <row r="436">
      <c r="A436" s="57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63"/>
      <c r="U436" s="56"/>
    </row>
    <row r="437">
      <c r="A437" s="57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63"/>
      <c r="U437" s="56"/>
    </row>
    <row r="438">
      <c r="A438" s="57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63"/>
      <c r="U438" s="56"/>
    </row>
    <row r="439">
      <c r="A439" s="57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63"/>
      <c r="U439" s="56"/>
    </row>
    <row r="440">
      <c r="A440" s="57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63"/>
      <c r="U440" s="56"/>
    </row>
    <row r="441">
      <c r="A441" s="57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63"/>
      <c r="U441" s="56"/>
    </row>
    <row r="442">
      <c r="A442" s="57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63"/>
      <c r="U442" s="56"/>
    </row>
    <row r="443">
      <c r="A443" s="57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63"/>
      <c r="U443" s="56"/>
    </row>
    <row r="444">
      <c r="A444" s="57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63"/>
      <c r="U444" s="56"/>
    </row>
    <row r="445">
      <c r="A445" s="57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63"/>
      <c r="U445" s="56"/>
    </row>
    <row r="446">
      <c r="A446" s="57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63"/>
      <c r="U446" s="56"/>
    </row>
    <row r="447">
      <c r="A447" s="57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63"/>
      <c r="U447" s="56"/>
    </row>
    <row r="448">
      <c r="A448" s="57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63"/>
      <c r="U448" s="56"/>
    </row>
    <row r="449">
      <c r="A449" s="57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63"/>
      <c r="U449" s="56"/>
    </row>
    <row r="450">
      <c r="A450" s="57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63"/>
      <c r="U450" s="56"/>
    </row>
    <row r="451">
      <c r="A451" s="57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63"/>
      <c r="U451" s="56"/>
    </row>
    <row r="452">
      <c r="A452" s="57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63"/>
      <c r="U452" s="56"/>
    </row>
    <row r="453">
      <c r="A453" s="57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63"/>
      <c r="U453" s="56"/>
    </row>
    <row r="454">
      <c r="A454" s="57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63"/>
      <c r="U454" s="56"/>
    </row>
    <row r="455">
      <c r="A455" s="57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63"/>
      <c r="U455" s="56"/>
    </row>
    <row r="456">
      <c r="A456" s="57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63"/>
      <c r="U456" s="56"/>
    </row>
    <row r="457">
      <c r="A457" s="57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63"/>
      <c r="U457" s="56"/>
    </row>
    <row r="458">
      <c r="A458" s="57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63"/>
      <c r="U458" s="56"/>
    </row>
    <row r="459">
      <c r="A459" s="57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63"/>
      <c r="U459" s="56"/>
    </row>
    <row r="460">
      <c r="A460" s="57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63"/>
      <c r="U460" s="56"/>
    </row>
    <row r="461">
      <c r="A461" s="57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63"/>
      <c r="U461" s="56"/>
    </row>
    <row r="462">
      <c r="A462" s="57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63"/>
      <c r="U462" s="56"/>
    </row>
    <row r="463">
      <c r="A463" s="57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63"/>
      <c r="U463" s="56"/>
    </row>
    <row r="464">
      <c r="A464" s="57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63"/>
      <c r="U464" s="56"/>
    </row>
    <row r="465">
      <c r="A465" s="57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63"/>
      <c r="U465" s="56"/>
    </row>
    <row r="466">
      <c r="A466" s="57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63"/>
      <c r="U466" s="56"/>
    </row>
    <row r="467">
      <c r="A467" s="57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63"/>
      <c r="U467" s="56"/>
    </row>
    <row r="468">
      <c r="A468" s="57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63"/>
      <c r="U468" s="56"/>
    </row>
    <row r="469">
      <c r="A469" s="57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63"/>
      <c r="U469" s="56"/>
    </row>
    <row r="470">
      <c r="A470" s="57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63"/>
      <c r="U470" s="56"/>
    </row>
    <row r="471">
      <c r="A471" s="57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63"/>
      <c r="U471" s="56"/>
    </row>
    <row r="472">
      <c r="A472" s="57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63"/>
      <c r="U472" s="56"/>
    </row>
    <row r="473">
      <c r="A473" s="57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63"/>
      <c r="U473" s="56"/>
    </row>
    <row r="474">
      <c r="A474" s="57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63"/>
      <c r="U474" s="56"/>
    </row>
    <row r="475">
      <c r="A475" s="57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63"/>
      <c r="U475" s="56"/>
    </row>
    <row r="476">
      <c r="A476" s="57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63"/>
      <c r="U476" s="56"/>
    </row>
    <row r="477">
      <c r="A477" s="57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63"/>
      <c r="U477" s="56"/>
    </row>
    <row r="478">
      <c r="A478" s="57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63"/>
      <c r="U478" s="56"/>
    </row>
    <row r="479">
      <c r="A479" s="57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63"/>
      <c r="U479" s="56"/>
    </row>
    <row r="480">
      <c r="A480" s="57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63"/>
      <c r="U480" s="56"/>
    </row>
    <row r="481">
      <c r="A481" s="57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63"/>
      <c r="U481" s="56"/>
    </row>
    <row r="482">
      <c r="A482" s="57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63"/>
      <c r="U482" s="56"/>
    </row>
    <row r="483">
      <c r="A483" s="57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63"/>
      <c r="U483" s="56"/>
    </row>
    <row r="484">
      <c r="A484" s="57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63"/>
      <c r="U484" s="56"/>
    </row>
    <row r="485">
      <c r="A485" s="57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63"/>
      <c r="U485" s="56"/>
    </row>
    <row r="486">
      <c r="A486" s="57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63"/>
      <c r="U486" s="56"/>
    </row>
    <row r="487">
      <c r="A487" s="57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63"/>
      <c r="U487" s="56"/>
    </row>
    <row r="488">
      <c r="A488" s="57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63"/>
      <c r="U488" s="56"/>
    </row>
    <row r="489">
      <c r="A489" s="57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63"/>
      <c r="U489" s="56"/>
    </row>
    <row r="490">
      <c r="A490" s="57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63"/>
      <c r="U490" s="56"/>
    </row>
    <row r="491">
      <c r="A491" s="57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63"/>
      <c r="U491" s="56"/>
    </row>
    <row r="492">
      <c r="A492" s="57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63"/>
      <c r="U492" s="56"/>
    </row>
    <row r="493">
      <c r="A493" s="57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63"/>
      <c r="U493" s="56"/>
    </row>
    <row r="494">
      <c r="A494" s="57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63"/>
      <c r="U494" s="56"/>
    </row>
    <row r="495">
      <c r="A495" s="57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63"/>
      <c r="U495" s="56"/>
    </row>
    <row r="496">
      <c r="A496" s="57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63"/>
      <c r="U496" s="56"/>
    </row>
    <row r="497">
      <c r="A497" s="57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63"/>
      <c r="U497" s="56"/>
    </row>
    <row r="498">
      <c r="A498" s="57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63"/>
      <c r="U498" s="56"/>
    </row>
    <row r="499">
      <c r="A499" s="57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63"/>
      <c r="U499" s="56"/>
    </row>
    <row r="500">
      <c r="A500" s="57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63"/>
      <c r="U500" s="56"/>
    </row>
    <row r="501">
      <c r="A501" s="57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63"/>
      <c r="U501" s="56"/>
    </row>
    <row r="502">
      <c r="A502" s="57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63"/>
      <c r="U502" s="56"/>
    </row>
    <row r="503">
      <c r="A503" s="57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63"/>
      <c r="U503" s="56"/>
    </row>
    <row r="504">
      <c r="A504" s="57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63"/>
      <c r="U504" s="56"/>
    </row>
    <row r="505">
      <c r="A505" s="57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63"/>
      <c r="U505" s="56"/>
    </row>
    <row r="506">
      <c r="A506" s="57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63"/>
      <c r="U506" s="56"/>
    </row>
    <row r="507">
      <c r="A507" s="57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63"/>
      <c r="U507" s="56"/>
    </row>
    <row r="508">
      <c r="A508" s="57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63"/>
      <c r="U508" s="56"/>
    </row>
    <row r="509">
      <c r="A509" s="57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63"/>
      <c r="U509" s="56"/>
    </row>
    <row r="510">
      <c r="A510" s="57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63"/>
      <c r="U510" s="56"/>
    </row>
    <row r="511">
      <c r="A511" s="57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63"/>
      <c r="U511" s="56"/>
    </row>
    <row r="512">
      <c r="A512" s="57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63"/>
      <c r="U512" s="56"/>
    </row>
    <row r="513">
      <c r="A513" s="57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63"/>
      <c r="U513" s="56"/>
    </row>
    <row r="514">
      <c r="A514" s="57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63"/>
      <c r="U514" s="56"/>
    </row>
    <row r="515">
      <c r="A515" s="57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63"/>
      <c r="U515" s="56"/>
    </row>
    <row r="516">
      <c r="A516" s="57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63"/>
      <c r="U516" s="56"/>
    </row>
    <row r="517">
      <c r="A517" s="57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63"/>
      <c r="U517" s="56"/>
    </row>
    <row r="518">
      <c r="A518" s="57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63"/>
      <c r="U518" s="56"/>
    </row>
    <row r="519">
      <c r="A519" s="57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63"/>
      <c r="U519" s="56"/>
    </row>
    <row r="520">
      <c r="A520" s="57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63"/>
      <c r="U520" s="56"/>
    </row>
    <row r="521">
      <c r="A521" s="57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63"/>
      <c r="U521" s="56"/>
    </row>
    <row r="522">
      <c r="A522" s="57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63"/>
      <c r="U522" s="56"/>
    </row>
    <row r="523">
      <c r="A523" s="57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63"/>
      <c r="U523" s="56"/>
    </row>
    <row r="524">
      <c r="A524" s="57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63"/>
      <c r="U524" s="56"/>
    </row>
    <row r="525">
      <c r="A525" s="57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63"/>
      <c r="U525" s="56"/>
    </row>
    <row r="526">
      <c r="A526" s="57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63"/>
      <c r="U526" s="56"/>
    </row>
    <row r="527">
      <c r="A527" s="57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63"/>
      <c r="U527" s="56"/>
    </row>
    <row r="528">
      <c r="A528" s="57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63"/>
      <c r="U528" s="56"/>
    </row>
    <row r="529">
      <c r="A529" s="57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63"/>
      <c r="U529" s="56"/>
    </row>
    <row r="530">
      <c r="A530" s="57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63"/>
      <c r="U530" s="56"/>
    </row>
    <row r="531">
      <c r="A531" s="57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63"/>
      <c r="U531" s="56"/>
    </row>
    <row r="532">
      <c r="A532" s="57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63"/>
      <c r="U532" s="56"/>
    </row>
    <row r="533">
      <c r="A533" s="57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63"/>
      <c r="U533" s="56"/>
    </row>
    <row r="534">
      <c r="A534" s="57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63"/>
      <c r="U534" s="56"/>
    </row>
    <row r="535">
      <c r="A535" s="57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63"/>
      <c r="U535" s="56"/>
    </row>
    <row r="536">
      <c r="A536" s="57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63"/>
      <c r="U536" s="56"/>
    </row>
    <row r="537">
      <c r="A537" s="57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63"/>
      <c r="U537" s="56"/>
    </row>
    <row r="538">
      <c r="A538" s="57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63"/>
      <c r="U538" s="56"/>
    </row>
    <row r="539">
      <c r="A539" s="57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63"/>
      <c r="U539" s="56"/>
    </row>
    <row r="540">
      <c r="A540" s="57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63"/>
      <c r="U540" s="56"/>
    </row>
    <row r="541">
      <c r="A541" s="57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63"/>
      <c r="U541" s="56"/>
    </row>
    <row r="542">
      <c r="A542" s="57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63"/>
      <c r="U542" s="56"/>
    </row>
    <row r="543">
      <c r="A543" s="57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63"/>
      <c r="U543" s="56"/>
    </row>
    <row r="544">
      <c r="A544" s="57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63"/>
      <c r="U544" s="56"/>
    </row>
    <row r="545">
      <c r="A545" s="57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63"/>
      <c r="U545" s="56"/>
    </row>
    <row r="546">
      <c r="A546" s="57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63"/>
      <c r="U546" s="56"/>
    </row>
    <row r="547">
      <c r="A547" s="57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63"/>
      <c r="U547" s="56"/>
    </row>
    <row r="548">
      <c r="A548" s="57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63"/>
      <c r="U548" s="56"/>
    </row>
    <row r="549">
      <c r="A549" s="57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63"/>
      <c r="U549" s="56"/>
    </row>
    <row r="550">
      <c r="A550" s="57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63"/>
      <c r="U550" s="56"/>
    </row>
    <row r="551">
      <c r="A551" s="57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63"/>
      <c r="U551" s="56"/>
    </row>
    <row r="552">
      <c r="A552" s="57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63"/>
      <c r="U552" s="56"/>
    </row>
    <row r="553">
      <c r="A553" s="57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63"/>
      <c r="U553" s="56"/>
    </row>
    <row r="554">
      <c r="A554" s="57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63"/>
      <c r="U554" s="56"/>
    </row>
    <row r="555">
      <c r="A555" s="57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63"/>
      <c r="U555" s="56"/>
    </row>
    <row r="556">
      <c r="A556" s="57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63"/>
      <c r="U556" s="56"/>
    </row>
    <row r="557">
      <c r="A557" s="57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63"/>
      <c r="U557" s="56"/>
    </row>
    <row r="558">
      <c r="A558" s="57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63"/>
      <c r="U558" s="56"/>
    </row>
    <row r="559">
      <c r="A559" s="57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63"/>
      <c r="U559" s="56"/>
    </row>
    <row r="560">
      <c r="A560" s="57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63"/>
      <c r="U560" s="56"/>
    </row>
    <row r="561">
      <c r="A561" s="57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63"/>
      <c r="U561" s="56"/>
    </row>
    <row r="562">
      <c r="A562" s="57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63"/>
      <c r="U562" s="56"/>
    </row>
    <row r="563">
      <c r="A563" s="57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63"/>
      <c r="U563" s="56"/>
    </row>
    <row r="564">
      <c r="A564" s="57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63"/>
      <c r="U564" s="56"/>
    </row>
    <row r="565">
      <c r="A565" s="57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63"/>
      <c r="U565" s="56"/>
    </row>
    <row r="566">
      <c r="A566" s="57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63"/>
      <c r="U566" s="56"/>
    </row>
    <row r="567">
      <c r="A567" s="57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63"/>
      <c r="U567" s="56"/>
    </row>
    <row r="568">
      <c r="A568" s="57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63"/>
      <c r="U568" s="56"/>
    </row>
    <row r="569">
      <c r="A569" s="57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63"/>
      <c r="U569" s="56"/>
    </row>
    <row r="570">
      <c r="A570" s="57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63"/>
      <c r="U570" s="56"/>
    </row>
    <row r="571">
      <c r="A571" s="57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63"/>
      <c r="U571" s="56"/>
    </row>
    <row r="572">
      <c r="A572" s="57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63"/>
      <c r="U572" s="56"/>
    </row>
    <row r="573">
      <c r="A573" s="57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63"/>
      <c r="U573" s="56"/>
    </row>
    <row r="574">
      <c r="A574" s="57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63"/>
      <c r="U574" s="56"/>
    </row>
    <row r="575">
      <c r="A575" s="57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63"/>
      <c r="U575" s="56"/>
    </row>
    <row r="576">
      <c r="A576" s="57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63"/>
      <c r="U576" s="56"/>
    </row>
    <row r="577">
      <c r="A577" s="57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63"/>
      <c r="U577" s="56"/>
    </row>
    <row r="578">
      <c r="A578" s="57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63"/>
      <c r="U578" s="56"/>
    </row>
    <row r="579">
      <c r="A579" s="57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63"/>
      <c r="U579" s="56"/>
    </row>
    <row r="580">
      <c r="A580" s="57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63"/>
      <c r="U580" s="56"/>
    </row>
    <row r="581">
      <c r="A581" s="57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63"/>
      <c r="U581" s="56"/>
    </row>
    <row r="582">
      <c r="A582" s="57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63"/>
      <c r="U582" s="56"/>
    </row>
    <row r="583">
      <c r="A583" s="57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63"/>
      <c r="U583" s="56"/>
    </row>
    <row r="584">
      <c r="A584" s="57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63"/>
      <c r="U584" s="56"/>
    </row>
    <row r="585">
      <c r="A585" s="57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63"/>
      <c r="U585" s="56"/>
    </row>
    <row r="586">
      <c r="A586" s="57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63"/>
      <c r="U586" s="56"/>
    </row>
    <row r="587">
      <c r="A587" s="57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63"/>
      <c r="U587" s="56"/>
    </row>
    <row r="588">
      <c r="A588" s="57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63"/>
      <c r="U588" s="56"/>
    </row>
    <row r="589">
      <c r="A589" s="57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63"/>
      <c r="U589" s="56"/>
    </row>
    <row r="590">
      <c r="A590" s="57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63"/>
      <c r="U590" s="56"/>
    </row>
    <row r="591">
      <c r="A591" s="57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63"/>
      <c r="U591" s="56"/>
    </row>
    <row r="592">
      <c r="A592" s="57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63"/>
      <c r="U592" s="56"/>
    </row>
    <row r="593">
      <c r="A593" s="57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63"/>
      <c r="U593" s="56"/>
    </row>
    <row r="594">
      <c r="A594" s="57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63"/>
      <c r="U594" s="56"/>
    </row>
    <row r="595">
      <c r="A595" s="57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63"/>
      <c r="U595" s="56"/>
    </row>
    <row r="596">
      <c r="A596" s="57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63"/>
      <c r="U596" s="56"/>
    </row>
    <row r="597">
      <c r="A597" s="57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63"/>
      <c r="U597" s="56"/>
    </row>
    <row r="598">
      <c r="A598" s="57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63"/>
      <c r="U598" s="56"/>
    </row>
    <row r="599">
      <c r="A599" s="57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63"/>
      <c r="U599" s="56"/>
    </row>
    <row r="600">
      <c r="A600" s="57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63"/>
      <c r="U600" s="56"/>
    </row>
    <row r="601">
      <c r="A601" s="57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63"/>
      <c r="U601" s="56"/>
    </row>
    <row r="602">
      <c r="A602" s="57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63"/>
      <c r="U602" s="56"/>
    </row>
    <row r="603">
      <c r="A603" s="57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63"/>
      <c r="U603" s="56"/>
    </row>
    <row r="604">
      <c r="A604" s="57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63"/>
      <c r="U604" s="56"/>
    </row>
    <row r="605">
      <c r="A605" s="57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63"/>
      <c r="U605" s="56"/>
    </row>
    <row r="606">
      <c r="A606" s="57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63"/>
      <c r="U606" s="56"/>
    </row>
    <row r="607">
      <c r="A607" s="57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63"/>
      <c r="U607" s="56"/>
    </row>
    <row r="608">
      <c r="A608" s="57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63"/>
      <c r="U608" s="56"/>
    </row>
    <row r="609">
      <c r="A609" s="57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63"/>
      <c r="U609" s="56"/>
    </row>
    <row r="610">
      <c r="A610" s="57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63"/>
      <c r="U610" s="56"/>
    </row>
    <row r="611">
      <c r="A611" s="57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63"/>
      <c r="U611" s="56"/>
    </row>
    <row r="612">
      <c r="A612" s="57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63"/>
      <c r="U612" s="56"/>
    </row>
    <row r="613">
      <c r="A613" s="57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63"/>
      <c r="U613" s="56"/>
    </row>
    <row r="614">
      <c r="A614" s="57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63"/>
      <c r="U614" s="56"/>
    </row>
    <row r="615">
      <c r="A615" s="57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63"/>
      <c r="U615" s="56"/>
    </row>
    <row r="616">
      <c r="A616" s="57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63"/>
      <c r="U616" s="56"/>
    </row>
    <row r="617">
      <c r="A617" s="57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63"/>
      <c r="U617" s="56"/>
    </row>
    <row r="618">
      <c r="A618" s="57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63"/>
      <c r="U618" s="56"/>
    </row>
    <row r="619">
      <c r="A619" s="57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63"/>
      <c r="U619" s="56"/>
    </row>
    <row r="620">
      <c r="A620" s="57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63"/>
      <c r="U620" s="56"/>
    </row>
    <row r="621">
      <c r="A621" s="57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63"/>
      <c r="U621" s="56"/>
    </row>
    <row r="622">
      <c r="A622" s="57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63"/>
      <c r="U622" s="56"/>
    </row>
    <row r="623">
      <c r="A623" s="57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63"/>
      <c r="U623" s="56"/>
    </row>
    <row r="624">
      <c r="A624" s="57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63"/>
      <c r="U624" s="56"/>
    </row>
    <row r="625">
      <c r="A625" s="57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63"/>
      <c r="U625" s="56"/>
    </row>
    <row r="626">
      <c r="A626" s="57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63"/>
      <c r="U626" s="56"/>
    </row>
    <row r="627">
      <c r="A627" s="57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63"/>
      <c r="U627" s="56"/>
    </row>
    <row r="628">
      <c r="A628" s="57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63"/>
      <c r="U628" s="56"/>
    </row>
    <row r="629">
      <c r="A629" s="57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63"/>
      <c r="U629" s="56"/>
    </row>
    <row r="630">
      <c r="A630" s="57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63"/>
      <c r="U630" s="56"/>
    </row>
    <row r="631">
      <c r="A631" s="57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63"/>
      <c r="U631" s="56"/>
    </row>
    <row r="632">
      <c r="A632" s="57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63"/>
      <c r="U632" s="56"/>
    </row>
    <row r="633">
      <c r="A633" s="57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63"/>
      <c r="U633" s="56"/>
    </row>
    <row r="634">
      <c r="A634" s="57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63"/>
      <c r="U634" s="56"/>
    </row>
    <row r="635">
      <c r="A635" s="57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63"/>
      <c r="U635" s="56"/>
    </row>
    <row r="636">
      <c r="A636" s="57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63"/>
      <c r="U636" s="56"/>
    </row>
    <row r="637">
      <c r="A637" s="57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63"/>
      <c r="U637" s="56"/>
    </row>
    <row r="638">
      <c r="A638" s="57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63"/>
      <c r="U638" s="56"/>
    </row>
    <row r="639">
      <c r="A639" s="57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63"/>
      <c r="U639" s="56"/>
    </row>
    <row r="640">
      <c r="A640" s="57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63"/>
      <c r="U640" s="56"/>
    </row>
    <row r="641">
      <c r="A641" s="57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63"/>
      <c r="U641" s="56"/>
    </row>
    <row r="642">
      <c r="A642" s="57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63"/>
      <c r="U642" s="56"/>
    </row>
    <row r="643">
      <c r="A643" s="57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63"/>
      <c r="U643" s="56"/>
    </row>
    <row r="644">
      <c r="A644" s="57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63"/>
      <c r="U644" s="56"/>
    </row>
    <row r="645">
      <c r="A645" s="57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63"/>
      <c r="U645" s="56"/>
    </row>
    <row r="646">
      <c r="A646" s="57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63"/>
      <c r="U646" s="56"/>
    </row>
    <row r="647">
      <c r="A647" s="57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63"/>
      <c r="U647" s="56"/>
    </row>
    <row r="648">
      <c r="A648" s="57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63"/>
      <c r="U648" s="56"/>
    </row>
    <row r="649">
      <c r="A649" s="57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63"/>
      <c r="U649" s="56"/>
    </row>
    <row r="650">
      <c r="A650" s="57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63"/>
      <c r="U650" s="56"/>
    </row>
    <row r="651">
      <c r="A651" s="57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63"/>
      <c r="U651" s="56"/>
    </row>
    <row r="652">
      <c r="A652" s="57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63"/>
      <c r="U652" s="56"/>
    </row>
    <row r="653">
      <c r="A653" s="57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63"/>
      <c r="U653" s="56"/>
    </row>
    <row r="654">
      <c r="A654" s="57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63"/>
      <c r="U654" s="56"/>
    </row>
    <row r="655">
      <c r="A655" s="57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63"/>
      <c r="U655" s="56"/>
    </row>
    <row r="656">
      <c r="A656" s="57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63"/>
      <c r="U656" s="56"/>
    </row>
    <row r="657">
      <c r="A657" s="57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63"/>
      <c r="U657" s="56"/>
    </row>
    <row r="658">
      <c r="A658" s="57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63"/>
      <c r="U658" s="56"/>
    </row>
    <row r="659">
      <c r="A659" s="57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63"/>
      <c r="U659" s="56"/>
    </row>
    <row r="660">
      <c r="A660" s="57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63"/>
      <c r="U660" s="56"/>
    </row>
    <row r="661">
      <c r="A661" s="57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63"/>
      <c r="U661" s="56"/>
    </row>
    <row r="662">
      <c r="A662" s="57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63"/>
      <c r="U662" s="56"/>
    </row>
    <row r="663">
      <c r="A663" s="57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63"/>
      <c r="U663" s="56"/>
    </row>
    <row r="664">
      <c r="A664" s="57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63"/>
      <c r="U664" s="56"/>
    </row>
    <row r="665">
      <c r="A665" s="57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63"/>
      <c r="U665" s="56"/>
    </row>
    <row r="666">
      <c r="A666" s="57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63"/>
      <c r="U666" s="56"/>
    </row>
    <row r="667">
      <c r="A667" s="57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63"/>
      <c r="U667" s="56"/>
    </row>
    <row r="668">
      <c r="A668" s="57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63"/>
      <c r="U668" s="56"/>
    </row>
    <row r="669">
      <c r="A669" s="57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63"/>
      <c r="U669" s="56"/>
    </row>
    <row r="670">
      <c r="A670" s="57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63"/>
      <c r="U670" s="56"/>
    </row>
    <row r="671">
      <c r="A671" s="57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63"/>
      <c r="U671" s="56"/>
    </row>
    <row r="672">
      <c r="A672" s="57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63"/>
      <c r="U672" s="56"/>
    </row>
    <row r="673">
      <c r="A673" s="57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63"/>
      <c r="U673" s="56"/>
    </row>
    <row r="674">
      <c r="A674" s="57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63"/>
      <c r="U674" s="56"/>
    </row>
    <row r="675">
      <c r="A675" s="57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63"/>
      <c r="U675" s="56"/>
    </row>
    <row r="676">
      <c r="A676" s="57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63"/>
      <c r="U676" s="56"/>
    </row>
    <row r="677">
      <c r="A677" s="57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63"/>
      <c r="U677" s="56"/>
    </row>
    <row r="678">
      <c r="A678" s="57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63"/>
      <c r="U678" s="56"/>
    </row>
    <row r="679">
      <c r="A679" s="57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63"/>
      <c r="U679" s="56"/>
    </row>
    <row r="680">
      <c r="A680" s="57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63"/>
      <c r="U680" s="56"/>
    </row>
    <row r="681">
      <c r="A681" s="57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63"/>
      <c r="U681" s="56"/>
    </row>
    <row r="682">
      <c r="A682" s="57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63"/>
      <c r="U682" s="56"/>
    </row>
    <row r="683">
      <c r="A683" s="57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63"/>
      <c r="U683" s="56"/>
    </row>
    <row r="684">
      <c r="A684" s="57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63"/>
      <c r="U684" s="56"/>
    </row>
    <row r="685">
      <c r="A685" s="57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63"/>
      <c r="U685" s="56"/>
    </row>
    <row r="686">
      <c r="A686" s="57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63"/>
      <c r="U686" s="56"/>
    </row>
    <row r="687">
      <c r="A687" s="57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63"/>
      <c r="U687" s="56"/>
    </row>
    <row r="688">
      <c r="A688" s="57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63"/>
      <c r="U688" s="56"/>
    </row>
    <row r="689">
      <c r="A689" s="57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63"/>
      <c r="U689" s="56"/>
    </row>
    <row r="690">
      <c r="A690" s="57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63"/>
      <c r="U690" s="56"/>
    </row>
    <row r="691">
      <c r="A691" s="57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63"/>
      <c r="U691" s="56"/>
    </row>
    <row r="692">
      <c r="A692" s="57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63"/>
      <c r="U692" s="56"/>
    </row>
    <row r="693">
      <c r="A693" s="57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63"/>
      <c r="U693" s="56"/>
    </row>
    <row r="694">
      <c r="A694" s="57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63"/>
      <c r="U694" s="56"/>
    </row>
    <row r="695">
      <c r="A695" s="57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63"/>
      <c r="U695" s="56"/>
    </row>
    <row r="696">
      <c r="A696" s="57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63"/>
      <c r="U696" s="56"/>
    </row>
    <row r="697">
      <c r="A697" s="57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63"/>
      <c r="U697" s="56"/>
    </row>
    <row r="698">
      <c r="A698" s="57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63"/>
      <c r="U698" s="56"/>
    </row>
    <row r="699">
      <c r="A699" s="57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63"/>
      <c r="U699" s="56"/>
    </row>
    <row r="700">
      <c r="A700" s="57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63"/>
      <c r="U700" s="56"/>
    </row>
    <row r="701">
      <c r="A701" s="57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63"/>
      <c r="U701" s="56"/>
    </row>
    <row r="702">
      <c r="A702" s="57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63"/>
      <c r="U702" s="56"/>
    </row>
    <row r="703">
      <c r="A703" s="57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63"/>
      <c r="U703" s="56"/>
    </row>
    <row r="704">
      <c r="A704" s="57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63"/>
      <c r="U704" s="56"/>
    </row>
    <row r="705">
      <c r="A705" s="57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63"/>
      <c r="U705" s="56"/>
    </row>
    <row r="706">
      <c r="A706" s="57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63"/>
      <c r="U706" s="56"/>
    </row>
    <row r="707">
      <c r="A707" s="57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63"/>
      <c r="U707" s="56"/>
    </row>
    <row r="708">
      <c r="A708" s="57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63"/>
      <c r="U708" s="56"/>
    </row>
    <row r="709">
      <c r="A709" s="57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63"/>
      <c r="U709" s="56"/>
    </row>
    <row r="710">
      <c r="A710" s="57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63"/>
      <c r="U710" s="56"/>
    </row>
    <row r="711">
      <c r="A711" s="57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63"/>
      <c r="U711" s="56"/>
    </row>
    <row r="712">
      <c r="A712" s="57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63"/>
      <c r="U712" s="56"/>
    </row>
    <row r="713">
      <c r="A713" s="57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63"/>
      <c r="U713" s="56"/>
    </row>
    <row r="714">
      <c r="A714" s="57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63"/>
      <c r="U714" s="56"/>
    </row>
    <row r="715">
      <c r="A715" s="57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63"/>
      <c r="U715" s="56"/>
    </row>
    <row r="716">
      <c r="A716" s="57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63"/>
      <c r="U716" s="56"/>
    </row>
    <row r="717">
      <c r="A717" s="57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63"/>
      <c r="U717" s="56"/>
    </row>
    <row r="718">
      <c r="A718" s="57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63"/>
      <c r="U718" s="56"/>
    </row>
    <row r="719">
      <c r="A719" s="57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63"/>
      <c r="U719" s="56"/>
    </row>
    <row r="720">
      <c r="A720" s="57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63"/>
      <c r="U720" s="56"/>
    </row>
    <row r="721">
      <c r="A721" s="57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63"/>
      <c r="U721" s="56"/>
    </row>
    <row r="722">
      <c r="A722" s="57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63"/>
      <c r="U722" s="56"/>
    </row>
    <row r="723">
      <c r="A723" s="57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63"/>
      <c r="U723" s="56"/>
    </row>
    <row r="724">
      <c r="A724" s="57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63"/>
      <c r="U724" s="56"/>
    </row>
    <row r="725">
      <c r="A725" s="57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63"/>
      <c r="U725" s="56"/>
    </row>
    <row r="726">
      <c r="A726" s="57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63"/>
      <c r="U726" s="56"/>
    </row>
    <row r="727">
      <c r="A727" s="57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63"/>
      <c r="U727" s="56"/>
    </row>
    <row r="728">
      <c r="A728" s="57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63"/>
      <c r="U728" s="56"/>
    </row>
    <row r="729">
      <c r="A729" s="57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63"/>
      <c r="U729" s="56"/>
    </row>
    <row r="730">
      <c r="A730" s="57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63"/>
      <c r="U730" s="56"/>
    </row>
    <row r="731">
      <c r="A731" s="57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63"/>
      <c r="U731" s="56"/>
    </row>
    <row r="732">
      <c r="A732" s="57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63"/>
      <c r="U732" s="56"/>
    </row>
    <row r="733">
      <c r="A733" s="57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63"/>
      <c r="U733" s="56"/>
    </row>
    <row r="734">
      <c r="A734" s="57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63"/>
      <c r="U734" s="56"/>
    </row>
    <row r="735">
      <c r="A735" s="57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63"/>
      <c r="U735" s="56"/>
    </row>
    <row r="736">
      <c r="A736" s="57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63"/>
      <c r="U736" s="56"/>
    </row>
    <row r="737">
      <c r="A737" s="57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63"/>
      <c r="U737" s="56"/>
    </row>
    <row r="738">
      <c r="A738" s="57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63"/>
      <c r="U738" s="56"/>
    </row>
    <row r="739">
      <c r="A739" s="57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63"/>
      <c r="U739" s="56"/>
    </row>
    <row r="740">
      <c r="A740" s="57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63"/>
      <c r="U740" s="56"/>
    </row>
    <row r="741">
      <c r="A741" s="57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63"/>
      <c r="U741" s="56"/>
    </row>
    <row r="742">
      <c r="A742" s="57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63"/>
      <c r="U742" s="56"/>
    </row>
    <row r="743">
      <c r="A743" s="57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63"/>
      <c r="U743" s="56"/>
    </row>
    <row r="744">
      <c r="A744" s="57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63"/>
      <c r="U744" s="56"/>
    </row>
    <row r="745">
      <c r="A745" s="57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63"/>
      <c r="U745" s="56"/>
    </row>
    <row r="746">
      <c r="A746" s="57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63"/>
      <c r="U746" s="56"/>
    </row>
    <row r="747">
      <c r="A747" s="57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63"/>
      <c r="U747" s="56"/>
    </row>
    <row r="748">
      <c r="A748" s="57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63"/>
      <c r="U748" s="56"/>
    </row>
    <row r="749">
      <c r="A749" s="57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63"/>
      <c r="U749" s="56"/>
    </row>
    <row r="750">
      <c r="A750" s="57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63"/>
      <c r="U750" s="56"/>
    </row>
    <row r="751">
      <c r="A751" s="57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63"/>
      <c r="U751" s="56"/>
    </row>
    <row r="752">
      <c r="A752" s="57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63"/>
      <c r="U752" s="56"/>
    </row>
    <row r="753">
      <c r="A753" s="57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63"/>
      <c r="U753" s="56"/>
    </row>
    <row r="754">
      <c r="A754" s="57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63"/>
      <c r="U754" s="56"/>
    </row>
    <row r="755">
      <c r="A755" s="57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63"/>
      <c r="U755" s="56"/>
    </row>
    <row r="756">
      <c r="A756" s="57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63"/>
      <c r="U756" s="56"/>
    </row>
    <row r="757">
      <c r="A757" s="57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63"/>
      <c r="U757" s="56"/>
    </row>
    <row r="758">
      <c r="A758" s="57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63"/>
      <c r="U758" s="56"/>
    </row>
    <row r="759">
      <c r="A759" s="57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63"/>
      <c r="U759" s="56"/>
    </row>
    <row r="760">
      <c r="A760" s="57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63"/>
      <c r="U760" s="56"/>
    </row>
    <row r="761">
      <c r="A761" s="57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63"/>
      <c r="U761" s="56"/>
    </row>
    <row r="762">
      <c r="A762" s="57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63"/>
      <c r="U762" s="56"/>
    </row>
    <row r="763">
      <c r="A763" s="57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63"/>
      <c r="U763" s="56"/>
    </row>
    <row r="764">
      <c r="A764" s="57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63"/>
      <c r="U764" s="56"/>
    </row>
    <row r="765">
      <c r="A765" s="57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63"/>
      <c r="U765" s="56"/>
    </row>
    <row r="766">
      <c r="A766" s="57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63"/>
      <c r="U766" s="56"/>
    </row>
    <row r="767">
      <c r="A767" s="57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63"/>
      <c r="U767" s="56"/>
    </row>
    <row r="768">
      <c r="A768" s="57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63"/>
      <c r="U768" s="56"/>
    </row>
    <row r="769">
      <c r="A769" s="57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63"/>
      <c r="U769" s="56"/>
    </row>
    <row r="770">
      <c r="A770" s="57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63"/>
      <c r="U770" s="56"/>
    </row>
    <row r="771">
      <c r="A771" s="57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63"/>
      <c r="U771" s="56"/>
    </row>
    <row r="772">
      <c r="A772" s="57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63"/>
      <c r="U772" s="56"/>
    </row>
    <row r="773">
      <c r="A773" s="57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63"/>
      <c r="U773" s="56"/>
    </row>
    <row r="774">
      <c r="A774" s="57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63"/>
      <c r="U774" s="56"/>
    </row>
    <row r="775">
      <c r="A775" s="57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63"/>
      <c r="U775" s="56"/>
    </row>
    <row r="776">
      <c r="A776" s="57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63"/>
      <c r="U776" s="56"/>
    </row>
    <row r="777">
      <c r="A777" s="57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63"/>
      <c r="U777" s="56"/>
    </row>
    <row r="778">
      <c r="A778" s="57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63"/>
      <c r="U778" s="56"/>
    </row>
    <row r="779">
      <c r="A779" s="57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63"/>
      <c r="U779" s="56"/>
    </row>
    <row r="780">
      <c r="A780" s="57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63"/>
      <c r="U780" s="56"/>
    </row>
    <row r="781">
      <c r="A781" s="57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63"/>
      <c r="U781" s="56"/>
    </row>
    <row r="782">
      <c r="A782" s="57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63"/>
      <c r="U782" s="56"/>
    </row>
    <row r="783">
      <c r="A783" s="57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63"/>
      <c r="U783" s="56"/>
    </row>
    <row r="784">
      <c r="A784" s="57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63"/>
      <c r="U784" s="56"/>
    </row>
    <row r="785">
      <c r="A785" s="57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63"/>
      <c r="U785" s="56"/>
    </row>
    <row r="786">
      <c r="A786" s="57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63"/>
      <c r="U786" s="56"/>
    </row>
    <row r="787">
      <c r="A787" s="57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63"/>
      <c r="U787" s="56"/>
    </row>
    <row r="788">
      <c r="A788" s="57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63"/>
      <c r="U788" s="56"/>
    </row>
    <row r="789">
      <c r="A789" s="57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63"/>
      <c r="U789" s="56"/>
    </row>
    <row r="790">
      <c r="A790" s="57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63"/>
      <c r="U790" s="56"/>
    </row>
    <row r="791">
      <c r="A791" s="57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63"/>
      <c r="U791" s="56"/>
    </row>
    <row r="792">
      <c r="A792" s="57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63"/>
      <c r="U792" s="56"/>
    </row>
    <row r="793">
      <c r="A793" s="57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63"/>
      <c r="U793" s="56"/>
    </row>
    <row r="794">
      <c r="A794" s="57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63"/>
      <c r="U794" s="56"/>
    </row>
    <row r="795">
      <c r="A795" s="57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63"/>
      <c r="U795" s="56"/>
    </row>
    <row r="796">
      <c r="A796" s="57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63"/>
      <c r="U796" s="56"/>
    </row>
    <row r="797">
      <c r="A797" s="57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63"/>
      <c r="U797" s="56"/>
    </row>
    <row r="798">
      <c r="A798" s="57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63"/>
      <c r="U798" s="56"/>
    </row>
    <row r="799">
      <c r="A799" s="57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63"/>
      <c r="U799" s="56"/>
    </row>
    <row r="800">
      <c r="A800" s="57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63"/>
      <c r="U800" s="56"/>
    </row>
    <row r="801">
      <c r="A801" s="57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63"/>
      <c r="U801" s="56"/>
    </row>
    <row r="802">
      <c r="A802" s="57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63"/>
      <c r="U802" s="56"/>
    </row>
    <row r="803">
      <c r="A803" s="57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63"/>
      <c r="U803" s="56"/>
    </row>
    <row r="804">
      <c r="A804" s="57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63"/>
      <c r="U804" s="56"/>
    </row>
    <row r="805">
      <c r="A805" s="57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63"/>
      <c r="U805" s="56"/>
    </row>
    <row r="806">
      <c r="A806" s="57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63"/>
      <c r="U806" s="56"/>
    </row>
    <row r="807">
      <c r="A807" s="57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63"/>
      <c r="U807" s="56"/>
    </row>
    <row r="808">
      <c r="A808" s="57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63"/>
      <c r="U808" s="56"/>
    </row>
    <row r="809">
      <c r="A809" s="57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63"/>
      <c r="U809" s="56"/>
    </row>
    <row r="810">
      <c r="A810" s="57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63"/>
      <c r="U810" s="56"/>
    </row>
    <row r="811">
      <c r="A811" s="57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63"/>
      <c r="U811" s="56"/>
    </row>
    <row r="812">
      <c r="A812" s="57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63"/>
      <c r="U812" s="56"/>
    </row>
    <row r="813">
      <c r="A813" s="57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63"/>
      <c r="U813" s="56"/>
    </row>
    <row r="814">
      <c r="A814" s="57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63"/>
      <c r="U814" s="56"/>
    </row>
    <row r="815">
      <c r="A815" s="57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63"/>
      <c r="U815" s="56"/>
    </row>
    <row r="816">
      <c r="A816" s="57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63"/>
      <c r="U816" s="56"/>
    </row>
    <row r="817">
      <c r="A817" s="57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63"/>
      <c r="U817" s="56"/>
    </row>
    <row r="818">
      <c r="A818" s="57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63"/>
      <c r="U818" s="56"/>
    </row>
    <row r="819">
      <c r="A819" s="57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63"/>
      <c r="U819" s="56"/>
    </row>
    <row r="820">
      <c r="A820" s="57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63"/>
      <c r="U820" s="56"/>
    </row>
    <row r="821">
      <c r="A821" s="57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63"/>
      <c r="U821" s="56"/>
    </row>
    <row r="822">
      <c r="A822" s="57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63"/>
      <c r="U822" s="56"/>
    </row>
    <row r="823">
      <c r="A823" s="57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63"/>
      <c r="U823" s="56"/>
    </row>
    <row r="824">
      <c r="A824" s="57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63"/>
      <c r="U824" s="56"/>
    </row>
    <row r="825">
      <c r="A825" s="57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63"/>
      <c r="U825" s="56"/>
    </row>
    <row r="826">
      <c r="A826" s="57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63"/>
      <c r="U826" s="56"/>
    </row>
    <row r="827">
      <c r="A827" s="57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63"/>
      <c r="U827" s="56"/>
    </row>
    <row r="828">
      <c r="A828" s="57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63"/>
      <c r="U828" s="56"/>
    </row>
    <row r="829">
      <c r="A829" s="57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63"/>
      <c r="U829" s="56"/>
    </row>
    <row r="830">
      <c r="A830" s="57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63"/>
      <c r="U830" s="56"/>
    </row>
    <row r="831">
      <c r="A831" s="57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63"/>
      <c r="U831" s="56"/>
    </row>
    <row r="832">
      <c r="A832" s="57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63"/>
      <c r="U832" s="56"/>
    </row>
    <row r="833">
      <c r="A833" s="57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63"/>
      <c r="U833" s="56"/>
    </row>
    <row r="834">
      <c r="A834" s="57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63"/>
      <c r="U834" s="56"/>
    </row>
    <row r="835">
      <c r="A835" s="57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63"/>
      <c r="U835" s="56"/>
    </row>
    <row r="836">
      <c r="A836" s="57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63"/>
      <c r="U836" s="56"/>
    </row>
    <row r="837">
      <c r="A837" s="57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63"/>
      <c r="U837" s="56"/>
    </row>
    <row r="838">
      <c r="A838" s="57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63"/>
      <c r="U838" s="56"/>
    </row>
    <row r="839">
      <c r="A839" s="57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63"/>
      <c r="U839" s="56"/>
    </row>
    <row r="840">
      <c r="A840" s="57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63"/>
      <c r="U840" s="56"/>
    </row>
    <row r="841">
      <c r="A841" s="57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63"/>
      <c r="U841" s="56"/>
    </row>
    <row r="842">
      <c r="A842" s="57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63"/>
      <c r="U842" s="56"/>
    </row>
    <row r="843">
      <c r="A843" s="57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63"/>
      <c r="U843" s="56"/>
    </row>
    <row r="844">
      <c r="A844" s="57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63"/>
      <c r="U844" s="56"/>
    </row>
    <row r="845">
      <c r="A845" s="57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63"/>
      <c r="U845" s="56"/>
    </row>
    <row r="846">
      <c r="A846" s="57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63"/>
      <c r="U846" s="56"/>
    </row>
    <row r="847">
      <c r="A847" s="57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63"/>
      <c r="U847" s="56"/>
    </row>
    <row r="848">
      <c r="A848" s="57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63"/>
      <c r="U848" s="56"/>
    </row>
    <row r="849">
      <c r="A849" s="57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63"/>
      <c r="U849" s="56"/>
    </row>
    <row r="850">
      <c r="A850" s="57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63"/>
      <c r="U850" s="56"/>
    </row>
    <row r="851">
      <c r="A851" s="57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63"/>
      <c r="U851" s="56"/>
    </row>
    <row r="852">
      <c r="A852" s="57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63"/>
      <c r="U852" s="56"/>
    </row>
    <row r="853">
      <c r="A853" s="57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63"/>
      <c r="U853" s="56"/>
    </row>
    <row r="854">
      <c r="A854" s="57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63"/>
      <c r="U854" s="56"/>
    </row>
    <row r="855">
      <c r="A855" s="57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63"/>
      <c r="U855" s="56"/>
    </row>
    <row r="856">
      <c r="A856" s="57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63"/>
      <c r="U856" s="56"/>
    </row>
    <row r="857">
      <c r="A857" s="57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63"/>
      <c r="U857" s="56"/>
    </row>
    <row r="858">
      <c r="A858" s="57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63"/>
      <c r="U858" s="56"/>
    </row>
    <row r="859">
      <c r="A859" s="57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63"/>
      <c r="U859" s="56"/>
    </row>
    <row r="860">
      <c r="A860" s="57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63"/>
      <c r="U860" s="56"/>
    </row>
    <row r="861">
      <c r="A861" s="57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63"/>
      <c r="U861" s="56"/>
    </row>
    <row r="862">
      <c r="A862" s="57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63"/>
      <c r="U862" s="56"/>
    </row>
    <row r="863">
      <c r="A863" s="57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63"/>
      <c r="U863" s="56"/>
    </row>
    <row r="864">
      <c r="A864" s="57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63"/>
      <c r="U864" s="56"/>
    </row>
    <row r="865">
      <c r="A865" s="57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63"/>
      <c r="U865" s="56"/>
    </row>
    <row r="866">
      <c r="A866" s="57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63"/>
      <c r="U866" s="56"/>
    </row>
    <row r="867">
      <c r="A867" s="57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63"/>
      <c r="U867" s="56"/>
    </row>
    <row r="868">
      <c r="A868" s="57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63"/>
      <c r="U868" s="56"/>
    </row>
    <row r="869">
      <c r="A869" s="57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63"/>
      <c r="U869" s="56"/>
    </row>
    <row r="870">
      <c r="A870" s="57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63"/>
      <c r="U870" s="56"/>
    </row>
    <row r="871">
      <c r="A871" s="57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63"/>
      <c r="U871" s="56"/>
    </row>
    <row r="872">
      <c r="A872" s="57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63"/>
      <c r="U872" s="56"/>
    </row>
    <row r="873">
      <c r="A873" s="57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63"/>
      <c r="U873" s="56"/>
    </row>
    <row r="874">
      <c r="A874" s="57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63"/>
      <c r="U874" s="56"/>
    </row>
    <row r="875">
      <c r="A875" s="57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63"/>
      <c r="U875" s="56"/>
    </row>
    <row r="876">
      <c r="A876" s="57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63"/>
      <c r="U876" s="56"/>
    </row>
    <row r="877">
      <c r="A877" s="57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63"/>
      <c r="U877" s="56"/>
    </row>
    <row r="878">
      <c r="A878" s="57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63"/>
      <c r="U878" s="56"/>
    </row>
    <row r="879">
      <c r="A879" s="57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63"/>
      <c r="U879" s="56"/>
    </row>
    <row r="880">
      <c r="A880" s="57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63"/>
      <c r="U880" s="56"/>
    </row>
    <row r="881">
      <c r="A881" s="57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63"/>
      <c r="U881" s="56"/>
    </row>
    <row r="882">
      <c r="A882" s="57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63"/>
      <c r="U882" s="56"/>
    </row>
    <row r="883">
      <c r="A883" s="57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63"/>
      <c r="U883" s="56"/>
    </row>
    <row r="884">
      <c r="A884" s="57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63"/>
      <c r="U884" s="56"/>
    </row>
    <row r="885">
      <c r="A885" s="57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63"/>
      <c r="U885" s="56"/>
    </row>
    <row r="886">
      <c r="A886" s="57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63"/>
      <c r="U886" s="56"/>
    </row>
    <row r="887">
      <c r="A887" s="57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63"/>
      <c r="U887" s="56"/>
    </row>
    <row r="888">
      <c r="A888" s="57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63"/>
      <c r="U888" s="56"/>
    </row>
    <row r="889">
      <c r="A889" s="57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63"/>
      <c r="U889" s="56"/>
    </row>
    <row r="890">
      <c r="A890" s="57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63"/>
      <c r="U890" s="56"/>
    </row>
    <row r="891">
      <c r="A891" s="57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63"/>
      <c r="U891" s="56"/>
    </row>
    <row r="892">
      <c r="A892" s="57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63"/>
      <c r="U892" s="56"/>
    </row>
    <row r="893">
      <c r="A893" s="57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63"/>
      <c r="U893" s="56"/>
    </row>
    <row r="894">
      <c r="A894" s="57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63"/>
      <c r="U894" s="56"/>
    </row>
    <row r="895">
      <c r="A895" s="57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63"/>
      <c r="U895" s="56"/>
    </row>
    <row r="896">
      <c r="A896" s="57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63"/>
      <c r="U896" s="56"/>
    </row>
    <row r="897">
      <c r="A897" s="57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63"/>
      <c r="U897" s="56"/>
    </row>
    <row r="898">
      <c r="A898" s="57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63"/>
      <c r="U898" s="56"/>
    </row>
    <row r="899">
      <c r="A899" s="57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63"/>
      <c r="U899" s="56"/>
    </row>
    <row r="900">
      <c r="A900" s="57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63"/>
      <c r="U900" s="56"/>
    </row>
    <row r="901">
      <c r="A901" s="57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63"/>
      <c r="U901" s="56"/>
    </row>
    <row r="902">
      <c r="A902" s="57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63"/>
      <c r="U902" s="56"/>
    </row>
    <row r="903">
      <c r="A903" s="57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63"/>
      <c r="U903" s="56"/>
    </row>
    <row r="904">
      <c r="A904" s="57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63"/>
      <c r="U904" s="56"/>
    </row>
    <row r="905">
      <c r="A905" s="57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63"/>
      <c r="U905" s="56"/>
    </row>
    <row r="906">
      <c r="A906" s="57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63"/>
      <c r="U906" s="56"/>
    </row>
    <row r="907">
      <c r="A907" s="57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63"/>
      <c r="U907" s="56"/>
    </row>
    <row r="908">
      <c r="A908" s="57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63"/>
      <c r="U908" s="56"/>
    </row>
    <row r="909">
      <c r="A909" s="57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63"/>
      <c r="U909" s="56"/>
    </row>
    <row r="910">
      <c r="A910" s="57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63"/>
      <c r="U910" s="56"/>
    </row>
    <row r="911">
      <c r="A911" s="57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63"/>
      <c r="U911" s="56"/>
    </row>
    <row r="912">
      <c r="A912" s="57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63"/>
      <c r="U912" s="56"/>
    </row>
    <row r="913">
      <c r="A913" s="57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63"/>
      <c r="U913" s="56"/>
    </row>
    <row r="914">
      <c r="A914" s="57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63"/>
      <c r="U914" s="56"/>
    </row>
    <row r="915">
      <c r="A915" s="57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63"/>
      <c r="U915" s="56"/>
    </row>
    <row r="916">
      <c r="A916" s="57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63"/>
      <c r="U916" s="56"/>
    </row>
    <row r="917">
      <c r="A917" s="57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63"/>
      <c r="U917" s="56"/>
    </row>
    <row r="918">
      <c r="A918" s="57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63"/>
      <c r="U918" s="56"/>
    </row>
    <row r="919">
      <c r="A919" s="57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63"/>
      <c r="U919" s="56"/>
    </row>
    <row r="920">
      <c r="A920" s="57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63"/>
      <c r="U920" s="56"/>
    </row>
    <row r="921">
      <c r="A921" s="57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63"/>
      <c r="U921" s="56"/>
    </row>
    <row r="922">
      <c r="A922" s="57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63"/>
      <c r="U922" s="56"/>
    </row>
    <row r="923">
      <c r="A923" s="57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63"/>
      <c r="U923" s="56"/>
    </row>
    <row r="924">
      <c r="A924" s="57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63"/>
      <c r="U924" s="56"/>
    </row>
    <row r="925">
      <c r="A925" s="57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63"/>
      <c r="U925" s="56"/>
    </row>
    <row r="926">
      <c r="A926" s="57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63"/>
      <c r="U926" s="56"/>
    </row>
    <row r="927">
      <c r="A927" s="57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63"/>
      <c r="U927" s="56"/>
    </row>
    <row r="928">
      <c r="A928" s="57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63"/>
      <c r="U928" s="56"/>
    </row>
    <row r="929">
      <c r="A929" s="57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63"/>
      <c r="U929" s="56"/>
    </row>
    <row r="930">
      <c r="A930" s="57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63"/>
      <c r="U930" s="56"/>
    </row>
    <row r="931">
      <c r="A931" s="57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63"/>
      <c r="U931" s="56"/>
    </row>
    <row r="932">
      <c r="A932" s="57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63"/>
      <c r="U932" s="56"/>
    </row>
    <row r="933">
      <c r="A933" s="57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63"/>
      <c r="U933" s="56"/>
    </row>
    <row r="934">
      <c r="A934" s="57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63"/>
      <c r="U934" s="56"/>
    </row>
    <row r="935">
      <c r="A935" s="57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63"/>
      <c r="U935" s="56"/>
    </row>
    <row r="936">
      <c r="A936" s="57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63"/>
      <c r="U936" s="56"/>
    </row>
    <row r="937">
      <c r="A937" s="57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63"/>
      <c r="U937" s="56"/>
    </row>
    <row r="938">
      <c r="A938" s="57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63"/>
      <c r="U938" s="56"/>
    </row>
    <row r="939">
      <c r="A939" s="57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63"/>
      <c r="U939" s="56"/>
    </row>
    <row r="940">
      <c r="A940" s="57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63"/>
      <c r="U940" s="56"/>
    </row>
    <row r="941">
      <c r="A941" s="57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63"/>
      <c r="U941" s="56"/>
    </row>
    <row r="942">
      <c r="A942" s="57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63"/>
      <c r="U942" s="56"/>
    </row>
    <row r="943">
      <c r="A943" s="57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63"/>
      <c r="U943" s="56"/>
    </row>
    <row r="944">
      <c r="A944" s="57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63"/>
      <c r="U944" s="56"/>
    </row>
    <row r="945">
      <c r="A945" s="57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63"/>
      <c r="U945" s="56"/>
    </row>
    <row r="946">
      <c r="A946" s="57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63"/>
      <c r="U946" s="56"/>
    </row>
    <row r="947">
      <c r="A947" s="57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63"/>
      <c r="U947" s="56"/>
    </row>
    <row r="948">
      <c r="A948" s="57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63"/>
      <c r="U948" s="56"/>
    </row>
    <row r="949">
      <c r="A949" s="57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63"/>
      <c r="U949" s="56"/>
    </row>
    <row r="950">
      <c r="A950" s="57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63"/>
      <c r="U950" s="56"/>
    </row>
    <row r="951">
      <c r="A951" s="57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63"/>
      <c r="U951" s="56"/>
    </row>
    <row r="952">
      <c r="A952" s="57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63"/>
      <c r="U952" s="56"/>
    </row>
    <row r="953">
      <c r="A953" s="57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63"/>
      <c r="U953" s="56"/>
    </row>
    <row r="954">
      <c r="A954" s="57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63"/>
      <c r="U954" s="56"/>
    </row>
    <row r="955">
      <c r="A955" s="57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63"/>
      <c r="U955" s="56"/>
    </row>
    <row r="956">
      <c r="A956" s="57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63"/>
      <c r="U956" s="56"/>
    </row>
    <row r="957">
      <c r="A957" s="57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63"/>
      <c r="U957" s="56"/>
    </row>
    <row r="958">
      <c r="A958" s="57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63"/>
      <c r="U958" s="56"/>
    </row>
    <row r="959">
      <c r="A959" s="57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63"/>
      <c r="U959" s="56"/>
    </row>
    <row r="960">
      <c r="A960" s="57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63"/>
      <c r="U960" s="56"/>
    </row>
    <row r="961">
      <c r="A961" s="57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63"/>
      <c r="U961" s="56"/>
    </row>
    <row r="962">
      <c r="A962" s="57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63"/>
      <c r="U962" s="56"/>
    </row>
    <row r="963">
      <c r="A963" s="57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63"/>
      <c r="U963" s="56"/>
    </row>
    <row r="964">
      <c r="A964" s="57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63"/>
      <c r="U964" s="56"/>
    </row>
    <row r="965">
      <c r="A965" s="57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63"/>
      <c r="U965" s="56"/>
    </row>
    <row r="966">
      <c r="A966" s="57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63"/>
      <c r="U966" s="56"/>
    </row>
    <row r="967">
      <c r="A967" s="57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63"/>
      <c r="U967" s="56"/>
    </row>
    <row r="968">
      <c r="A968" s="57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63"/>
      <c r="U968" s="56"/>
    </row>
    <row r="969">
      <c r="A969" s="57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63"/>
      <c r="U969" s="56"/>
    </row>
    <row r="970">
      <c r="A970" s="57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63"/>
      <c r="U970" s="56"/>
    </row>
    <row r="971">
      <c r="A971" s="57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63"/>
      <c r="U971" s="56"/>
    </row>
    <row r="972">
      <c r="A972" s="57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63"/>
      <c r="U972" s="56"/>
    </row>
    <row r="973">
      <c r="A973" s="57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63"/>
      <c r="U973" s="56"/>
    </row>
    <row r="974">
      <c r="A974" s="57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63"/>
      <c r="U974" s="56"/>
    </row>
    <row r="975">
      <c r="A975" s="57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63"/>
      <c r="U975" s="56"/>
    </row>
    <row r="976">
      <c r="A976" s="57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63"/>
      <c r="U976" s="56"/>
    </row>
    <row r="977">
      <c r="A977" s="57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63"/>
      <c r="U977" s="56"/>
    </row>
    <row r="978">
      <c r="A978" s="57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63"/>
      <c r="U978" s="56"/>
    </row>
    <row r="979">
      <c r="A979" s="57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63"/>
      <c r="U979" s="56"/>
    </row>
    <row r="980">
      <c r="A980" s="57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63"/>
      <c r="U980" s="56"/>
    </row>
    <row r="981">
      <c r="A981" s="57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63"/>
      <c r="U981" s="56"/>
    </row>
    <row r="982">
      <c r="A982" s="57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63"/>
      <c r="U982" s="56"/>
    </row>
    <row r="983">
      <c r="A983" s="57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63"/>
      <c r="U983" s="56"/>
    </row>
    <row r="984">
      <c r="A984" s="57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63"/>
      <c r="U984" s="56"/>
    </row>
    <row r="985">
      <c r="A985" s="57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63"/>
      <c r="U985" s="56"/>
    </row>
    <row r="986">
      <c r="A986" s="57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63"/>
      <c r="U986" s="56"/>
    </row>
    <row r="987">
      <c r="A987" s="57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63"/>
      <c r="U987" s="56"/>
    </row>
    <row r="988">
      <c r="A988" s="57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63"/>
      <c r="U988" s="56"/>
    </row>
    <row r="989">
      <c r="A989" s="57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63"/>
      <c r="U989" s="56"/>
    </row>
    <row r="990">
      <c r="A990" s="57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63"/>
      <c r="U990" s="56"/>
    </row>
    <row r="991">
      <c r="A991" s="57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63"/>
      <c r="U991" s="56"/>
    </row>
    <row r="992">
      <c r="A992" s="57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63"/>
      <c r="U992" s="56"/>
    </row>
  </sheetData>
  <dataValidations>
    <dataValidation type="list" allowBlank="1" showErrorMessage="1" sqref="D3:D992">
      <formula1>Data!$C$2:$C992</formula1>
    </dataValidation>
    <dataValidation type="list" allowBlank="1" showErrorMessage="1" sqref="E3:E992">
      <formula1>Data!$D$2:$D992</formula1>
    </dataValidation>
    <dataValidation type="list" allowBlank="1" showErrorMessage="1" sqref="N3:N992">
      <formula1>Data!$K$3:$K992</formula1>
    </dataValidation>
    <dataValidation type="list" allowBlank="1" showErrorMessage="1" sqref="B3:B992">
      <formula1>Data!$A$2:$A992</formula1>
    </dataValidation>
    <dataValidation type="list" allowBlank="1" showErrorMessage="1" sqref="O3:O41 O43:O992">
      <formula1>Data!$O$2:$O992</formula1>
    </dataValidation>
    <dataValidation type="list" allowBlank="1" showErrorMessage="1" sqref="M3:M41 M43:M992">
      <formula1>Data!$P$2:$P992</formula1>
    </dataValidation>
    <dataValidation type="custom" allowBlank="1" showDropDown="1" sqref="A4:A992">
      <formula1>OR(NOT(ISERROR(DATEVALUE(A4))), AND(ISNUMBER(A4), LEFT(CELL("format", A4))="D"))</formula1>
    </dataValidation>
    <dataValidation type="list" allowBlank="1" showErrorMessage="1" sqref="L3:L7 L9:L41 L43:L86 L90:L91 L93:L992">
      <formula1>Data!$I$2:$I992</formula1>
    </dataValidation>
    <dataValidation type="list" allowBlank="1" showErrorMessage="1" sqref="F3:F41 F43:F992">
      <formula1>Data!$F$2:$F992</formula1>
    </dataValidation>
    <dataValidation type="list" allowBlank="1" showErrorMessage="1" sqref="H3:H992">
      <formula1>Data!$H$2:$H992</formula1>
    </dataValidation>
    <dataValidation type="list" allowBlank="1" showErrorMessage="1" sqref="P3:P41 P43:P992">
      <formula1>Data!$M$2:$M992</formula1>
    </dataValidation>
  </dataValidations>
  <hyperlinks>
    <hyperlink r:id="rId1" ref="B3"/>
    <hyperlink r:id="rId2" ref="T3"/>
    <hyperlink r:id="rId3" ref="B4"/>
    <hyperlink r:id="rId4" ref="T4"/>
    <hyperlink r:id="rId5" ref="B5"/>
    <hyperlink r:id="rId6" ref="T5"/>
    <hyperlink r:id="rId7" ref="B6"/>
    <hyperlink r:id="rId8" ref="T6"/>
    <hyperlink r:id="rId9" ref="B7"/>
    <hyperlink r:id="rId10" ref="T7"/>
    <hyperlink r:id="rId11" ref="B8"/>
    <hyperlink r:id="rId12" ref="T8"/>
    <hyperlink r:id="rId13" ref="B9"/>
    <hyperlink r:id="rId14" ref="T9"/>
    <hyperlink r:id="rId15" ref="T150"/>
    <hyperlink r:id="rId16" ref="T151"/>
    <hyperlink r:id="rId17" ref="T152"/>
    <hyperlink r:id="rId18" ref="T153"/>
    <hyperlink r:id="rId19" ref="T154"/>
    <hyperlink r:id="rId20" ref="T155"/>
    <hyperlink r:id="rId21" ref="T156"/>
    <hyperlink r:id="rId22" ref="T157"/>
    <hyperlink r:id="rId23" ref="T158"/>
    <hyperlink r:id="rId24" ref="T159"/>
    <hyperlink r:id="rId25" ref="T160"/>
    <hyperlink r:id="rId26" ref="T161"/>
    <hyperlink r:id="rId27" ref="T162"/>
    <hyperlink r:id="rId28" ref="T163"/>
    <hyperlink r:id="rId29" ref="T164"/>
    <hyperlink r:id="rId30" ref="T165"/>
    <hyperlink r:id="rId31" ref="T166"/>
    <hyperlink r:id="rId32" ref="T167"/>
    <hyperlink r:id="rId33" ref="T168"/>
    <hyperlink r:id="rId34" ref="T169"/>
    <hyperlink r:id="rId35" ref="T170"/>
    <hyperlink r:id="rId36" ref="T171"/>
    <hyperlink r:id="rId37" ref="T172"/>
    <hyperlink r:id="rId38" ref="T173"/>
    <hyperlink r:id="rId39" ref="T174"/>
    <hyperlink r:id="rId40" ref="T175"/>
    <hyperlink r:id="rId41" ref="T176"/>
    <hyperlink r:id="rId42" ref="T177"/>
    <hyperlink r:id="rId43" ref="T178"/>
    <hyperlink r:id="rId44" ref="T179"/>
    <hyperlink r:id="rId45" ref="T180"/>
    <hyperlink r:id="rId46" ref="T181"/>
    <hyperlink r:id="rId47" ref="T182"/>
    <hyperlink r:id="rId48" ref="T183"/>
    <hyperlink r:id="rId49" ref="T184"/>
    <hyperlink r:id="rId50" ref="T185"/>
    <hyperlink r:id="rId51" ref="T186"/>
    <hyperlink r:id="rId52" ref="T187"/>
    <hyperlink r:id="rId53" ref="T188"/>
    <hyperlink r:id="rId54" ref="T189"/>
    <hyperlink r:id="rId55" ref="T190"/>
    <hyperlink r:id="rId56" ref="T191"/>
    <hyperlink r:id="rId57" ref="T192"/>
    <hyperlink r:id="rId58" ref="T193"/>
    <hyperlink r:id="rId59" ref="T194"/>
    <hyperlink r:id="rId60" ref="T195"/>
    <hyperlink r:id="rId61" ref="T196"/>
    <hyperlink r:id="rId62" ref="T197"/>
    <hyperlink r:id="rId63" ref="T198"/>
    <hyperlink r:id="rId64" ref="T199"/>
    <hyperlink r:id="rId65" ref="T200"/>
    <hyperlink r:id="rId66" ref="T201"/>
    <hyperlink r:id="rId67" ref="T202"/>
    <hyperlink r:id="rId68" ref="T203"/>
    <hyperlink r:id="rId69" ref="T204"/>
    <hyperlink r:id="rId70" ref="T205"/>
    <hyperlink r:id="rId71" ref="T206"/>
    <hyperlink r:id="rId72" ref="T207"/>
    <hyperlink r:id="rId73" ref="T208"/>
    <hyperlink r:id="rId74" ref="T209"/>
    <hyperlink r:id="rId75" ref="T210"/>
    <hyperlink r:id="rId76" ref="T211"/>
    <hyperlink r:id="rId77" ref="T212"/>
    <hyperlink r:id="rId78" ref="T213"/>
    <hyperlink r:id="rId79" ref="T214"/>
    <hyperlink r:id="rId80" ref="T215"/>
    <hyperlink r:id="rId81" ref="T216"/>
    <hyperlink r:id="rId82" ref="T217"/>
    <hyperlink r:id="rId83" ref="T218"/>
    <hyperlink r:id="rId84" ref="T219"/>
    <hyperlink r:id="rId85" ref="T220"/>
    <hyperlink r:id="rId86" ref="T221"/>
    <hyperlink r:id="rId87" ref="T222"/>
    <hyperlink r:id="rId88" ref="T223"/>
    <hyperlink r:id="rId89" ref="T224"/>
    <hyperlink r:id="rId90" ref="T225"/>
    <hyperlink r:id="rId91" ref="T226"/>
    <hyperlink r:id="rId92" ref="T227"/>
    <hyperlink r:id="rId93" ref="T228"/>
    <hyperlink r:id="rId94" ref="T229"/>
    <hyperlink r:id="rId95" ref="T230"/>
    <hyperlink r:id="rId96" ref="T231"/>
    <hyperlink r:id="rId97" ref="T232"/>
    <hyperlink r:id="rId98" ref="T233"/>
    <hyperlink r:id="rId99" ref="T234"/>
    <hyperlink r:id="rId100" ref="T235"/>
    <hyperlink r:id="rId101" ref="T236"/>
    <hyperlink r:id="rId102" ref="T237"/>
    <hyperlink r:id="rId103" ref="T238"/>
    <hyperlink r:id="rId104" ref="T239"/>
    <hyperlink r:id="rId105" ref="T240"/>
    <hyperlink r:id="rId106" ref="T241"/>
    <hyperlink r:id="rId107" ref="T242"/>
    <hyperlink r:id="rId108" ref="T243"/>
    <hyperlink r:id="rId109" ref="T244"/>
    <hyperlink r:id="rId110" ref="T245"/>
    <hyperlink r:id="rId111" ref="T246"/>
    <hyperlink r:id="rId112" ref="T247"/>
    <hyperlink r:id="rId113" ref="T248"/>
    <hyperlink r:id="rId114" ref="T249"/>
    <hyperlink r:id="rId115" ref="T250"/>
    <hyperlink r:id="rId116" ref="T251"/>
    <hyperlink r:id="rId117" ref="T252"/>
    <hyperlink r:id="rId118" ref="T253"/>
    <hyperlink r:id="rId119" ref="T254"/>
    <hyperlink r:id="rId120" ref="T255"/>
    <hyperlink r:id="rId121" ref="T256"/>
    <hyperlink r:id="rId122" ref="T257"/>
    <hyperlink r:id="rId123" ref="T258"/>
    <hyperlink r:id="rId124" ref="T259"/>
    <hyperlink r:id="rId125" ref="T260"/>
    <hyperlink r:id="rId126" ref="T261"/>
    <hyperlink r:id="rId127" ref="T262"/>
    <hyperlink r:id="rId128" ref="T263"/>
    <hyperlink r:id="rId129" ref="T264"/>
    <hyperlink r:id="rId130" ref="T265"/>
    <hyperlink r:id="rId131" ref="T266"/>
    <hyperlink r:id="rId132" ref="T267"/>
    <hyperlink r:id="rId133" ref="T268"/>
    <hyperlink r:id="rId134" ref="T269"/>
    <hyperlink r:id="rId135" ref="T270"/>
    <hyperlink r:id="rId136" ref="T271"/>
    <hyperlink r:id="rId137" ref="T272"/>
    <hyperlink r:id="rId138" ref="T273"/>
    <hyperlink r:id="rId139" ref="T274"/>
    <hyperlink r:id="rId140" ref="T275"/>
    <hyperlink r:id="rId141" ref="T276"/>
    <hyperlink r:id="rId142" ref="T277"/>
    <hyperlink r:id="rId143" ref="T278"/>
    <hyperlink r:id="rId144" ref="T279"/>
    <hyperlink r:id="rId145" ref="T280"/>
    <hyperlink r:id="rId146" ref="T281"/>
    <hyperlink r:id="rId147" ref="T282"/>
    <hyperlink r:id="rId148" ref="T283"/>
    <hyperlink r:id="rId149" ref="T284"/>
    <hyperlink r:id="rId150" ref="T285"/>
    <hyperlink r:id="rId151" ref="T286"/>
    <hyperlink r:id="rId152" ref="T287"/>
    <hyperlink r:id="rId153" ref="T288"/>
    <hyperlink r:id="rId154" ref="T289"/>
    <hyperlink r:id="rId155" ref="T290"/>
    <hyperlink r:id="rId156" ref="T291"/>
    <hyperlink r:id="rId157" ref="T292"/>
    <hyperlink r:id="rId158" ref="T293"/>
    <hyperlink r:id="rId159" ref="T294"/>
    <hyperlink r:id="rId160" ref="T295"/>
    <hyperlink r:id="rId161" ref="T296"/>
    <hyperlink r:id="rId162" ref="T297"/>
    <hyperlink r:id="rId163" ref="T298"/>
    <hyperlink r:id="rId164" ref="T299"/>
    <hyperlink r:id="rId165" ref="T300"/>
    <hyperlink r:id="rId166" ref="T301"/>
    <hyperlink r:id="rId167" ref="T302"/>
    <hyperlink r:id="rId168" ref="T303"/>
    <hyperlink r:id="rId169" ref="T304"/>
    <hyperlink r:id="rId170" ref="T305"/>
    <hyperlink r:id="rId171" ref="T306"/>
    <hyperlink r:id="rId172" ref="T307"/>
    <hyperlink r:id="rId173" ref="T308"/>
    <hyperlink r:id="rId174" ref="T309"/>
    <hyperlink r:id="rId175" ref="T310"/>
    <hyperlink r:id="rId176" ref="T311"/>
    <hyperlink r:id="rId177" ref="T312"/>
    <hyperlink r:id="rId178" ref="T313"/>
    <hyperlink r:id="rId179" ref="T314"/>
    <hyperlink r:id="rId180" ref="T315"/>
    <hyperlink r:id="rId181" ref="T316"/>
    <hyperlink r:id="rId182" ref="T317"/>
    <hyperlink r:id="rId183" ref="T318"/>
    <hyperlink r:id="rId184" ref="T319"/>
    <hyperlink r:id="rId185" ref="T320"/>
    <hyperlink r:id="rId186" ref="T321"/>
    <hyperlink r:id="rId187" ref="T322"/>
    <hyperlink r:id="rId188" ref="T323"/>
    <hyperlink r:id="rId189" ref="T324"/>
    <hyperlink r:id="rId190" ref="T325"/>
    <hyperlink r:id="rId191" ref="T326"/>
    <hyperlink r:id="rId192" ref="T327"/>
    <hyperlink r:id="rId193" ref="T328"/>
    <hyperlink r:id="rId194" ref="T329"/>
    <hyperlink r:id="rId195" ref="T330"/>
    <hyperlink r:id="rId196" ref="T331"/>
    <hyperlink r:id="rId197" ref="T332"/>
    <hyperlink r:id="rId198" ref="T333"/>
    <hyperlink r:id="rId199" ref="T334"/>
    <hyperlink r:id="rId200" ref="T335"/>
    <hyperlink r:id="rId201" ref="T336"/>
    <hyperlink r:id="rId202" ref="T337"/>
    <hyperlink r:id="rId203" ref="T338"/>
    <hyperlink r:id="rId204" ref="T339"/>
    <hyperlink r:id="rId205" ref="T340"/>
    <hyperlink r:id="rId206" ref="T341"/>
    <hyperlink r:id="rId207" ref="T342"/>
    <hyperlink r:id="rId208" ref="T343"/>
    <hyperlink r:id="rId209" ref="T344"/>
    <hyperlink r:id="rId210" ref="T345"/>
    <hyperlink r:id="rId211" ref="T346"/>
    <hyperlink r:id="rId212" ref="T347"/>
    <hyperlink r:id="rId213" ref="T348"/>
    <hyperlink r:id="rId214" ref="T349"/>
    <hyperlink r:id="rId215" ref="T350"/>
    <hyperlink r:id="rId216" ref="T351"/>
    <hyperlink r:id="rId217" ref="T352"/>
    <hyperlink r:id="rId218" ref="T353"/>
    <hyperlink r:id="rId219" ref="T354"/>
    <hyperlink r:id="rId220" ref="T355"/>
    <hyperlink r:id="rId221" ref="T356"/>
    <hyperlink r:id="rId222" ref="T357"/>
    <hyperlink r:id="rId223" ref="T358"/>
    <hyperlink r:id="rId224" ref="T359"/>
    <hyperlink r:id="rId225" ref="T360"/>
    <hyperlink r:id="rId226" ref="T361"/>
    <hyperlink r:id="rId227" ref="T362"/>
    <hyperlink r:id="rId228" ref="T363"/>
    <hyperlink r:id="rId229" ref="T364"/>
    <hyperlink r:id="rId230" ref="T365"/>
    <hyperlink r:id="rId231" ref="T366"/>
    <hyperlink r:id="rId232" ref="T367"/>
    <hyperlink r:id="rId233" ref="T368"/>
    <hyperlink r:id="rId234" ref="T369"/>
    <hyperlink r:id="rId235" ref="T370"/>
    <hyperlink r:id="rId236" ref="T371"/>
    <hyperlink r:id="rId237" ref="T372"/>
    <hyperlink r:id="rId238" ref="T373"/>
    <hyperlink r:id="rId239" ref="T374"/>
    <hyperlink r:id="rId240" ref="T375"/>
    <hyperlink r:id="rId241" ref="T376"/>
    <hyperlink r:id="rId242" ref="T377"/>
    <hyperlink r:id="rId243" ref="T378"/>
    <hyperlink r:id="rId244" ref="T379"/>
    <hyperlink r:id="rId245" ref="T380"/>
    <hyperlink r:id="rId246" ref="T381"/>
    <hyperlink r:id="rId247" ref="T382"/>
    <hyperlink r:id="rId248" ref="T383"/>
    <hyperlink r:id="rId249" ref="T384"/>
    <hyperlink r:id="rId250" ref="T385"/>
    <hyperlink r:id="rId251" ref="T386"/>
    <hyperlink r:id="rId252" ref="T387"/>
    <hyperlink r:id="rId253" ref="T388"/>
    <hyperlink r:id="rId254" ref="T389"/>
    <hyperlink r:id="rId255" ref="T390"/>
    <hyperlink r:id="rId256" ref="T391"/>
    <hyperlink r:id="rId257" ref="T392"/>
    <hyperlink r:id="rId258" ref="T393"/>
    <hyperlink r:id="rId259" ref="T394"/>
    <hyperlink r:id="rId260" ref="T395"/>
    <hyperlink r:id="rId261" ref="T396"/>
    <hyperlink r:id="rId262" ref="T397"/>
    <hyperlink r:id="rId263" ref="T398"/>
    <hyperlink r:id="rId264" ref="T399"/>
    <hyperlink r:id="rId265" ref="T400"/>
    <hyperlink r:id="rId266" ref="T401"/>
    <hyperlink r:id="rId267" ref="T402"/>
    <hyperlink r:id="rId268" ref="T403"/>
    <hyperlink r:id="rId269" ref="T404"/>
    <hyperlink r:id="rId270" ref="T405"/>
    <hyperlink r:id="rId271" ref="T406"/>
    <hyperlink r:id="rId272" ref="T407"/>
    <hyperlink r:id="rId273" ref="T408"/>
    <hyperlink r:id="rId274" ref="T409"/>
    <hyperlink r:id="rId275" ref="T410"/>
    <hyperlink r:id="rId276" ref="T411"/>
    <hyperlink r:id="rId277" ref="T412"/>
    <hyperlink r:id="rId278" ref="T413"/>
    <hyperlink r:id="rId279" ref="T414"/>
    <hyperlink r:id="rId280" ref="T415"/>
    <hyperlink r:id="rId281" ref="T416"/>
    <hyperlink r:id="rId282" ref="T417"/>
    <hyperlink r:id="rId283" ref="T418"/>
    <hyperlink r:id="rId284" ref="T419"/>
    <hyperlink r:id="rId285" ref="T420"/>
    <hyperlink r:id="rId286" ref="T421"/>
    <hyperlink r:id="rId287" ref="T422"/>
    <hyperlink r:id="rId288" ref="T423"/>
    <hyperlink r:id="rId289" ref="T424"/>
    <hyperlink r:id="rId290" ref="T425"/>
    <hyperlink r:id="rId291" ref="T426"/>
    <hyperlink r:id="rId292" ref="T427"/>
    <hyperlink r:id="rId293" ref="T428"/>
    <hyperlink r:id="rId294" ref="T429"/>
    <hyperlink r:id="rId295" ref="T430"/>
    <hyperlink r:id="rId296" ref="T431"/>
    <hyperlink r:id="rId297" ref="T432"/>
    <hyperlink r:id="rId298" ref="T433"/>
    <hyperlink r:id="rId299" ref="T434"/>
    <hyperlink r:id="rId300" ref="T435"/>
    <hyperlink r:id="rId301" ref="T436"/>
    <hyperlink r:id="rId302" ref="T437"/>
    <hyperlink r:id="rId303" ref="T438"/>
    <hyperlink r:id="rId304" ref="T439"/>
    <hyperlink r:id="rId305" ref="T440"/>
    <hyperlink r:id="rId306" ref="T441"/>
    <hyperlink r:id="rId307" ref="T442"/>
    <hyperlink r:id="rId308" ref="T443"/>
    <hyperlink r:id="rId309" ref="T444"/>
    <hyperlink r:id="rId310" ref="T445"/>
    <hyperlink r:id="rId311" ref="T446"/>
    <hyperlink r:id="rId312" ref="T447"/>
    <hyperlink r:id="rId313" ref="T448"/>
    <hyperlink r:id="rId314" ref="T449"/>
    <hyperlink r:id="rId315" ref="T450"/>
    <hyperlink r:id="rId316" ref="T451"/>
    <hyperlink r:id="rId317" ref="T452"/>
    <hyperlink r:id="rId318" ref="T453"/>
    <hyperlink r:id="rId319" ref="T454"/>
    <hyperlink r:id="rId320" ref="T455"/>
    <hyperlink r:id="rId321" ref="T456"/>
    <hyperlink r:id="rId322" ref="T457"/>
    <hyperlink r:id="rId323" ref="T458"/>
    <hyperlink r:id="rId324" ref="T459"/>
    <hyperlink r:id="rId325" ref="T460"/>
    <hyperlink r:id="rId326" ref="T461"/>
    <hyperlink r:id="rId327" ref="T462"/>
    <hyperlink r:id="rId328" ref="T463"/>
    <hyperlink r:id="rId329" ref="T464"/>
    <hyperlink r:id="rId330" ref="T465"/>
    <hyperlink r:id="rId331" ref="T466"/>
    <hyperlink r:id="rId332" ref="T467"/>
    <hyperlink r:id="rId333" ref="T468"/>
    <hyperlink r:id="rId334" ref="T469"/>
    <hyperlink r:id="rId335" ref="T470"/>
    <hyperlink r:id="rId336" ref="T471"/>
    <hyperlink r:id="rId337" ref="T472"/>
    <hyperlink r:id="rId338" ref="T473"/>
    <hyperlink r:id="rId339" ref="T474"/>
    <hyperlink r:id="rId340" ref="T475"/>
    <hyperlink r:id="rId341" ref="T476"/>
    <hyperlink r:id="rId342" ref="T477"/>
    <hyperlink r:id="rId343" ref="T478"/>
    <hyperlink r:id="rId344" ref="T479"/>
    <hyperlink r:id="rId345" ref="T480"/>
    <hyperlink r:id="rId346" ref="T481"/>
    <hyperlink r:id="rId347" ref="T482"/>
    <hyperlink r:id="rId348" ref="T483"/>
    <hyperlink r:id="rId349" ref="T484"/>
    <hyperlink r:id="rId350" ref="T485"/>
    <hyperlink r:id="rId351" ref="T486"/>
    <hyperlink r:id="rId352" ref="T487"/>
    <hyperlink r:id="rId353" ref="T488"/>
    <hyperlink r:id="rId354" ref="T489"/>
    <hyperlink r:id="rId355" ref="T490"/>
    <hyperlink r:id="rId356" ref="T491"/>
    <hyperlink r:id="rId357" ref="T492"/>
    <hyperlink r:id="rId358" ref="T493"/>
    <hyperlink r:id="rId359" ref="T494"/>
    <hyperlink r:id="rId360" ref="T495"/>
    <hyperlink r:id="rId361" ref="T496"/>
    <hyperlink r:id="rId362" ref="T497"/>
    <hyperlink r:id="rId363" ref="T498"/>
    <hyperlink r:id="rId364" ref="T499"/>
    <hyperlink r:id="rId365" ref="T500"/>
    <hyperlink r:id="rId366" ref="T501"/>
    <hyperlink r:id="rId367" ref="T502"/>
    <hyperlink r:id="rId368" ref="T503"/>
    <hyperlink r:id="rId369" ref="T504"/>
    <hyperlink r:id="rId370" ref="T505"/>
    <hyperlink r:id="rId371" ref="T506"/>
    <hyperlink r:id="rId372" ref="T507"/>
    <hyperlink r:id="rId373" ref="T508"/>
    <hyperlink r:id="rId374" ref="T509"/>
    <hyperlink r:id="rId375" ref="T510"/>
    <hyperlink r:id="rId376" ref="T511"/>
    <hyperlink r:id="rId377" ref="T512"/>
    <hyperlink r:id="rId378" ref="T513"/>
    <hyperlink r:id="rId379" ref="T514"/>
    <hyperlink r:id="rId380" ref="T515"/>
    <hyperlink r:id="rId381" ref="T516"/>
    <hyperlink r:id="rId382" ref="T517"/>
    <hyperlink r:id="rId383" ref="T518"/>
    <hyperlink r:id="rId384" ref="T519"/>
    <hyperlink r:id="rId385" ref="T520"/>
    <hyperlink r:id="rId386" ref="T521"/>
    <hyperlink r:id="rId387" ref="T522"/>
    <hyperlink r:id="rId388" ref="T523"/>
    <hyperlink r:id="rId389" ref="T524"/>
    <hyperlink r:id="rId390" ref="T525"/>
    <hyperlink r:id="rId391" ref="T526"/>
    <hyperlink r:id="rId392" ref="T527"/>
    <hyperlink r:id="rId393" ref="T528"/>
    <hyperlink r:id="rId394" ref="T529"/>
    <hyperlink r:id="rId395" ref="T530"/>
    <hyperlink r:id="rId396" ref="T531"/>
    <hyperlink r:id="rId397" ref="T532"/>
    <hyperlink r:id="rId398" ref="T533"/>
    <hyperlink r:id="rId399" ref="T534"/>
    <hyperlink r:id="rId400" ref="T535"/>
    <hyperlink r:id="rId401" ref="T536"/>
    <hyperlink r:id="rId402" ref="T537"/>
    <hyperlink r:id="rId403" ref="T538"/>
    <hyperlink r:id="rId404" ref="T539"/>
    <hyperlink r:id="rId405" ref="T540"/>
    <hyperlink r:id="rId406" ref="T541"/>
    <hyperlink r:id="rId407" ref="T542"/>
    <hyperlink r:id="rId408" ref="T543"/>
    <hyperlink r:id="rId409" ref="T544"/>
    <hyperlink r:id="rId410" ref="T545"/>
    <hyperlink r:id="rId411" ref="T546"/>
    <hyperlink r:id="rId412" ref="T547"/>
    <hyperlink r:id="rId413" ref="T548"/>
    <hyperlink r:id="rId414" ref="T549"/>
    <hyperlink r:id="rId415" ref="T550"/>
    <hyperlink r:id="rId416" ref="T551"/>
    <hyperlink r:id="rId417" ref="T552"/>
    <hyperlink r:id="rId418" ref="T553"/>
    <hyperlink r:id="rId419" ref="T554"/>
    <hyperlink r:id="rId420" ref="T555"/>
    <hyperlink r:id="rId421" ref="T556"/>
    <hyperlink r:id="rId422" ref="T557"/>
    <hyperlink r:id="rId423" ref="T558"/>
    <hyperlink r:id="rId424" ref="T559"/>
    <hyperlink r:id="rId425" ref="T560"/>
    <hyperlink r:id="rId426" ref="T561"/>
    <hyperlink r:id="rId427" ref="T562"/>
    <hyperlink r:id="rId428" ref="T563"/>
    <hyperlink r:id="rId429" ref="T564"/>
    <hyperlink r:id="rId430" ref="T565"/>
    <hyperlink r:id="rId431" ref="T566"/>
    <hyperlink r:id="rId432" ref="T567"/>
    <hyperlink r:id="rId433" ref="T568"/>
    <hyperlink r:id="rId434" ref="T569"/>
    <hyperlink r:id="rId435" ref="T570"/>
    <hyperlink r:id="rId436" ref="T571"/>
    <hyperlink r:id="rId437" ref="T572"/>
    <hyperlink r:id="rId438" ref="T573"/>
    <hyperlink r:id="rId439" ref="T574"/>
    <hyperlink r:id="rId440" ref="T575"/>
    <hyperlink r:id="rId441" ref="T576"/>
    <hyperlink r:id="rId442" ref="T577"/>
    <hyperlink r:id="rId443" ref="T578"/>
    <hyperlink r:id="rId444" ref="T579"/>
    <hyperlink r:id="rId445" ref="T580"/>
    <hyperlink r:id="rId446" ref="T581"/>
    <hyperlink r:id="rId447" ref="T582"/>
    <hyperlink r:id="rId448" ref="T583"/>
    <hyperlink r:id="rId449" ref="T584"/>
    <hyperlink r:id="rId450" ref="T585"/>
    <hyperlink r:id="rId451" ref="T586"/>
    <hyperlink r:id="rId452" ref="T587"/>
    <hyperlink r:id="rId453" ref="T588"/>
    <hyperlink r:id="rId454" ref="T589"/>
    <hyperlink r:id="rId455" ref="T590"/>
    <hyperlink r:id="rId456" ref="T591"/>
    <hyperlink r:id="rId457" ref="T592"/>
    <hyperlink r:id="rId458" ref="T593"/>
    <hyperlink r:id="rId459" ref="T594"/>
    <hyperlink r:id="rId460" ref="T595"/>
    <hyperlink r:id="rId461" ref="T596"/>
    <hyperlink r:id="rId462" ref="T597"/>
    <hyperlink r:id="rId463" ref="T598"/>
    <hyperlink r:id="rId464" ref="T599"/>
    <hyperlink r:id="rId465" ref="T600"/>
    <hyperlink r:id="rId466" ref="T601"/>
    <hyperlink r:id="rId467" ref="T602"/>
    <hyperlink r:id="rId468" ref="T603"/>
    <hyperlink r:id="rId469" ref="T604"/>
    <hyperlink r:id="rId470" ref="T605"/>
    <hyperlink r:id="rId471" ref="T606"/>
    <hyperlink r:id="rId472" ref="T607"/>
    <hyperlink r:id="rId473" ref="T608"/>
    <hyperlink r:id="rId474" ref="T609"/>
    <hyperlink r:id="rId475" ref="T610"/>
    <hyperlink r:id="rId476" ref="T611"/>
    <hyperlink r:id="rId477" ref="T612"/>
    <hyperlink r:id="rId478" ref="T613"/>
    <hyperlink r:id="rId479" ref="T614"/>
    <hyperlink r:id="rId480" ref="T615"/>
    <hyperlink r:id="rId481" ref="T616"/>
    <hyperlink r:id="rId482" ref="T617"/>
    <hyperlink r:id="rId483" ref="T618"/>
    <hyperlink r:id="rId484" ref="T619"/>
    <hyperlink r:id="rId485" ref="T620"/>
    <hyperlink r:id="rId486" ref="T621"/>
    <hyperlink r:id="rId487" ref="T622"/>
    <hyperlink r:id="rId488" ref="T623"/>
    <hyperlink r:id="rId489" ref="T624"/>
    <hyperlink r:id="rId490" ref="T625"/>
    <hyperlink r:id="rId491" ref="T626"/>
    <hyperlink r:id="rId492" ref="T627"/>
    <hyperlink r:id="rId493" ref="T628"/>
    <hyperlink r:id="rId494" ref="T629"/>
    <hyperlink r:id="rId495" ref="T630"/>
    <hyperlink r:id="rId496" ref="T631"/>
    <hyperlink r:id="rId497" ref="T632"/>
    <hyperlink r:id="rId498" ref="T633"/>
    <hyperlink r:id="rId499" ref="T634"/>
    <hyperlink r:id="rId500" ref="T635"/>
    <hyperlink r:id="rId501" ref="T636"/>
    <hyperlink r:id="rId502" ref="T637"/>
    <hyperlink r:id="rId503" ref="T638"/>
    <hyperlink r:id="rId504" ref="T639"/>
    <hyperlink r:id="rId505" ref="T640"/>
    <hyperlink r:id="rId506" ref="T641"/>
    <hyperlink r:id="rId507" ref="T642"/>
    <hyperlink r:id="rId508" ref="T643"/>
    <hyperlink r:id="rId509" ref="T644"/>
    <hyperlink r:id="rId510" ref="T645"/>
    <hyperlink r:id="rId511" ref="T646"/>
    <hyperlink r:id="rId512" ref="T647"/>
    <hyperlink r:id="rId513" ref="T648"/>
    <hyperlink r:id="rId514" ref="T649"/>
    <hyperlink r:id="rId515" ref="T650"/>
    <hyperlink r:id="rId516" ref="T651"/>
    <hyperlink r:id="rId517" ref="T652"/>
    <hyperlink r:id="rId518" ref="T653"/>
    <hyperlink r:id="rId519" ref="T654"/>
    <hyperlink r:id="rId520" ref="T655"/>
    <hyperlink r:id="rId521" ref="T656"/>
    <hyperlink r:id="rId522" ref="T657"/>
    <hyperlink r:id="rId523" ref="T658"/>
    <hyperlink r:id="rId524" ref="T659"/>
    <hyperlink r:id="rId525" ref="T660"/>
    <hyperlink r:id="rId526" ref="T661"/>
    <hyperlink r:id="rId527" ref="T662"/>
    <hyperlink r:id="rId528" ref="T663"/>
    <hyperlink r:id="rId529" ref="T664"/>
    <hyperlink r:id="rId530" ref="T665"/>
    <hyperlink r:id="rId531" ref="T666"/>
    <hyperlink r:id="rId532" ref="T667"/>
    <hyperlink r:id="rId533" ref="T668"/>
    <hyperlink r:id="rId534" ref="T669"/>
    <hyperlink r:id="rId535" ref="T670"/>
    <hyperlink r:id="rId536" ref="T671"/>
    <hyperlink r:id="rId537" ref="T672"/>
    <hyperlink r:id="rId538" ref="T673"/>
    <hyperlink r:id="rId539" ref="T674"/>
    <hyperlink r:id="rId540" ref="T675"/>
    <hyperlink r:id="rId541" ref="T676"/>
    <hyperlink r:id="rId542" ref="T677"/>
    <hyperlink r:id="rId543" ref="T678"/>
    <hyperlink r:id="rId544" ref="T679"/>
    <hyperlink r:id="rId545" ref="T680"/>
    <hyperlink r:id="rId546" ref="T681"/>
    <hyperlink r:id="rId547" ref="T682"/>
    <hyperlink r:id="rId548" ref="T683"/>
    <hyperlink r:id="rId549" ref="T684"/>
    <hyperlink r:id="rId550" ref="T685"/>
    <hyperlink r:id="rId551" ref="T686"/>
    <hyperlink r:id="rId552" ref="T687"/>
    <hyperlink r:id="rId553" ref="T688"/>
    <hyperlink r:id="rId554" ref="T689"/>
    <hyperlink r:id="rId555" ref="T690"/>
    <hyperlink r:id="rId556" ref="T691"/>
    <hyperlink r:id="rId557" ref="T692"/>
    <hyperlink r:id="rId558" ref="T693"/>
    <hyperlink r:id="rId559" ref="T694"/>
    <hyperlink r:id="rId560" ref="T695"/>
    <hyperlink r:id="rId561" ref="T696"/>
    <hyperlink r:id="rId562" ref="T697"/>
    <hyperlink r:id="rId563" ref="T698"/>
    <hyperlink r:id="rId564" ref="T699"/>
    <hyperlink r:id="rId565" ref="T700"/>
    <hyperlink r:id="rId566" ref="T701"/>
    <hyperlink r:id="rId567" ref="T702"/>
    <hyperlink r:id="rId568" ref="T703"/>
    <hyperlink r:id="rId569" ref="T704"/>
    <hyperlink r:id="rId570" ref="T705"/>
    <hyperlink r:id="rId571" ref="T706"/>
    <hyperlink r:id="rId572" ref="T707"/>
    <hyperlink r:id="rId573" ref="T708"/>
    <hyperlink r:id="rId574" ref="T709"/>
    <hyperlink r:id="rId575" ref="T710"/>
    <hyperlink r:id="rId576" ref="T711"/>
    <hyperlink r:id="rId577" ref="T712"/>
    <hyperlink r:id="rId578" ref="T713"/>
    <hyperlink r:id="rId579" ref="T714"/>
    <hyperlink r:id="rId580" ref="T715"/>
    <hyperlink r:id="rId581" ref="T716"/>
    <hyperlink r:id="rId582" ref="T717"/>
    <hyperlink r:id="rId583" ref="T718"/>
    <hyperlink r:id="rId584" ref="T719"/>
    <hyperlink r:id="rId585" ref="T720"/>
    <hyperlink r:id="rId586" ref="T721"/>
    <hyperlink r:id="rId587" ref="T722"/>
    <hyperlink r:id="rId588" ref="T723"/>
    <hyperlink r:id="rId589" ref="T724"/>
    <hyperlink r:id="rId590" ref="T725"/>
    <hyperlink r:id="rId591" ref="T726"/>
    <hyperlink r:id="rId592" ref="T727"/>
    <hyperlink r:id="rId593" ref="T728"/>
    <hyperlink r:id="rId594" ref="T729"/>
    <hyperlink r:id="rId595" ref="T730"/>
    <hyperlink r:id="rId596" ref="T731"/>
    <hyperlink r:id="rId597" ref="T732"/>
    <hyperlink r:id="rId598" ref="T733"/>
    <hyperlink r:id="rId599" ref="T734"/>
    <hyperlink r:id="rId600" ref="T735"/>
    <hyperlink r:id="rId601" ref="T736"/>
    <hyperlink r:id="rId602" ref="T737"/>
    <hyperlink r:id="rId603" ref="T738"/>
    <hyperlink r:id="rId604" ref="T739"/>
    <hyperlink r:id="rId605" ref="T740"/>
    <hyperlink r:id="rId606" ref="T741"/>
    <hyperlink r:id="rId607" ref="T742"/>
    <hyperlink r:id="rId608" ref="T743"/>
    <hyperlink r:id="rId609" ref="T744"/>
    <hyperlink r:id="rId610" ref="T745"/>
    <hyperlink r:id="rId611" ref="T746"/>
    <hyperlink r:id="rId612" ref="T747"/>
    <hyperlink r:id="rId613" ref="T748"/>
    <hyperlink r:id="rId614" ref="T749"/>
    <hyperlink r:id="rId615" ref="T750"/>
    <hyperlink r:id="rId616" ref="T751"/>
    <hyperlink r:id="rId617" ref="T752"/>
    <hyperlink r:id="rId618" ref="T753"/>
    <hyperlink r:id="rId619" ref="T754"/>
    <hyperlink r:id="rId620" ref="T755"/>
    <hyperlink r:id="rId621" ref="T756"/>
    <hyperlink r:id="rId622" ref="T757"/>
    <hyperlink r:id="rId623" ref="T758"/>
    <hyperlink r:id="rId624" ref="T759"/>
    <hyperlink r:id="rId625" ref="T760"/>
    <hyperlink r:id="rId626" ref="T761"/>
    <hyperlink r:id="rId627" ref="T762"/>
    <hyperlink r:id="rId628" ref="T763"/>
    <hyperlink r:id="rId629" ref="T764"/>
    <hyperlink r:id="rId630" ref="T765"/>
    <hyperlink r:id="rId631" ref="T766"/>
    <hyperlink r:id="rId632" ref="T767"/>
    <hyperlink r:id="rId633" ref="T768"/>
    <hyperlink r:id="rId634" ref="T769"/>
    <hyperlink r:id="rId635" ref="T770"/>
    <hyperlink r:id="rId636" ref="T771"/>
    <hyperlink r:id="rId637" ref="T772"/>
    <hyperlink r:id="rId638" ref="T773"/>
    <hyperlink r:id="rId639" ref="T774"/>
    <hyperlink r:id="rId640" ref="T775"/>
    <hyperlink r:id="rId641" ref="T776"/>
    <hyperlink r:id="rId642" ref="T777"/>
    <hyperlink r:id="rId643" ref="T778"/>
    <hyperlink r:id="rId644" ref="T779"/>
    <hyperlink r:id="rId645" ref="T780"/>
    <hyperlink r:id="rId646" ref="T781"/>
    <hyperlink r:id="rId647" ref="T782"/>
    <hyperlink r:id="rId648" ref="T783"/>
    <hyperlink r:id="rId649" ref="T784"/>
    <hyperlink r:id="rId650" ref="T785"/>
    <hyperlink r:id="rId651" ref="T786"/>
    <hyperlink r:id="rId652" ref="T787"/>
    <hyperlink r:id="rId653" ref="T788"/>
    <hyperlink r:id="rId654" ref="T789"/>
    <hyperlink r:id="rId655" ref="T790"/>
    <hyperlink r:id="rId656" ref="T791"/>
    <hyperlink r:id="rId657" ref="T792"/>
    <hyperlink r:id="rId658" ref="T793"/>
    <hyperlink r:id="rId659" ref="T794"/>
    <hyperlink r:id="rId660" ref="T795"/>
    <hyperlink r:id="rId661" ref="T796"/>
    <hyperlink r:id="rId662" ref="T797"/>
    <hyperlink r:id="rId663" ref="T798"/>
    <hyperlink r:id="rId664" ref="T799"/>
    <hyperlink r:id="rId665" ref="T800"/>
    <hyperlink r:id="rId666" ref="T801"/>
    <hyperlink r:id="rId667" ref="T802"/>
    <hyperlink r:id="rId668" ref="T803"/>
    <hyperlink r:id="rId669" ref="T804"/>
    <hyperlink r:id="rId670" ref="T805"/>
    <hyperlink r:id="rId671" ref="T806"/>
    <hyperlink r:id="rId672" ref="T807"/>
    <hyperlink r:id="rId673" ref="T808"/>
    <hyperlink r:id="rId674" ref="T809"/>
    <hyperlink r:id="rId675" ref="T810"/>
    <hyperlink r:id="rId676" ref="T811"/>
    <hyperlink r:id="rId677" ref="T812"/>
    <hyperlink r:id="rId678" ref="T813"/>
    <hyperlink r:id="rId679" ref="T814"/>
    <hyperlink r:id="rId680" ref="T815"/>
    <hyperlink r:id="rId681" ref="T816"/>
    <hyperlink r:id="rId682" ref="T817"/>
    <hyperlink r:id="rId683" ref="T818"/>
    <hyperlink r:id="rId684" ref="T819"/>
    <hyperlink r:id="rId685" ref="T820"/>
    <hyperlink r:id="rId686" ref="T821"/>
    <hyperlink r:id="rId687" ref="T822"/>
    <hyperlink r:id="rId688" ref="T823"/>
    <hyperlink r:id="rId689" ref="T824"/>
    <hyperlink r:id="rId690" ref="T825"/>
    <hyperlink r:id="rId691" ref="T826"/>
    <hyperlink r:id="rId692" ref="T827"/>
    <hyperlink r:id="rId693" ref="T828"/>
    <hyperlink r:id="rId694" ref="T829"/>
    <hyperlink r:id="rId695" ref="T830"/>
    <hyperlink r:id="rId696" ref="T831"/>
    <hyperlink r:id="rId697" ref="T832"/>
    <hyperlink r:id="rId698" ref="T833"/>
    <hyperlink r:id="rId699" ref="T834"/>
    <hyperlink r:id="rId700" ref="T835"/>
    <hyperlink r:id="rId701" ref="T836"/>
    <hyperlink r:id="rId702" ref="T837"/>
    <hyperlink r:id="rId703" ref="T838"/>
    <hyperlink r:id="rId704" ref="T839"/>
    <hyperlink r:id="rId705" ref="T840"/>
    <hyperlink r:id="rId706" ref="T841"/>
    <hyperlink r:id="rId707" ref="T842"/>
    <hyperlink r:id="rId708" ref="T843"/>
    <hyperlink r:id="rId709" ref="T844"/>
    <hyperlink r:id="rId710" ref="T845"/>
    <hyperlink r:id="rId711" ref="T846"/>
    <hyperlink r:id="rId712" ref="T847"/>
    <hyperlink r:id="rId713" ref="T848"/>
    <hyperlink r:id="rId714" ref="T849"/>
    <hyperlink r:id="rId715" ref="T850"/>
    <hyperlink r:id="rId716" ref="T851"/>
    <hyperlink r:id="rId717" ref="T852"/>
    <hyperlink r:id="rId718" ref="T853"/>
    <hyperlink r:id="rId719" ref="T854"/>
    <hyperlink r:id="rId720" ref="T855"/>
    <hyperlink r:id="rId721" ref="T856"/>
    <hyperlink r:id="rId722" ref="T857"/>
    <hyperlink r:id="rId723" ref="T858"/>
    <hyperlink r:id="rId724" ref="T859"/>
    <hyperlink r:id="rId725" ref="T860"/>
    <hyperlink r:id="rId726" ref="T861"/>
    <hyperlink r:id="rId727" ref="T862"/>
    <hyperlink r:id="rId728" ref="T863"/>
    <hyperlink r:id="rId729" ref="T864"/>
    <hyperlink r:id="rId730" ref="T865"/>
    <hyperlink r:id="rId731" ref="T866"/>
    <hyperlink r:id="rId732" ref="T867"/>
    <hyperlink r:id="rId733" ref="T868"/>
    <hyperlink r:id="rId734" ref="T869"/>
    <hyperlink r:id="rId735" ref="T870"/>
    <hyperlink r:id="rId736" ref="T871"/>
    <hyperlink r:id="rId737" ref="T872"/>
    <hyperlink r:id="rId738" ref="T873"/>
    <hyperlink r:id="rId739" ref="T874"/>
    <hyperlink r:id="rId740" ref="T875"/>
    <hyperlink r:id="rId741" ref="T876"/>
    <hyperlink r:id="rId742" ref="T877"/>
    <hyperlink r:id="rId743" ref="T878"/>
    <hyperlink r:id="rId744" ref="T879"/>
    <hyperlink r:id="rId745" ref="T880"/>
    <hyperlink r:id="rId746" ref="T881"/>
    <hyperlink r:id="rId747" ref="T882"/>
    <hyperlink r:id="rId748" ref="T883"/>
    <hyperlink r:id="rId749" ref="T884"/>
    <hyperlink r:id="rId750" ref="T885"/>
    <hyperlink r:id="rId751" ref="T886"/>
    <hyperlink r:id="rId752" ref="T887"/>
    <hyperlink r:id="rId753" ref="T888"/>
    <hyperlink r:id="rId754" ref="T889"/>
    <hyperlink r:id="rId755" ref="T890"/>
    <hyperlink r:id="rId756" ref="T891"/>
    <hyperlink r:id="rId757" ref="T892"/>
    <hyperlink r:id="rId758" ref="T893"/>
    <hyperlink r:id="rId759" ref="T894"/>
    <hyperlink r:id="rId760" ref="T895"/>
    <hyperlink r:id="rId761" ref="T896"/>
    <hyperlink r:id="rId762" ref="T897"/>
    <hyperlink r:id="rId763" ref="T898"/>
    <hyperlink r:id="rId764" ref="T899"/>
    <hyperlink r:id="rId765" ref="T900"/>
    <hyperlink r:id="rId766" ref="T901"/>
    <hyperlink r:id="rId767" ref="T902"/>
    <hyperlink r:id="rId768" ref="T903"/>
    <hyperlink r:id="rId769" ref="T904"/>
    <hyperlink r:id="rId770" ref="T905"/>
    <hyperlink r:id="rId771" ref="T906"/>
    <hyperlink r:id="rId772" ref="T907"/>
    <hyperlink r:id="rId773" ref="T908"/>
    <hyperlink r:id="rId774" ref="T909"/>
    <hyperlink r:id="rId775" ref="T910"/>
    <hyperlink r:id="rId776" ref="T911"/>
    <hyperlink r:id="rId777" ref="T912"/>
    <hyperlink r:id="rId778" ref="T913"/>
    <hyperlink r:id="rId779" ref="T914"/>
    <hyperlink r:id="rId780" ref="T915"/>
    <hyperlink r:id="rId781" ref="T916"/>
    <hyperlink r:id="rId782" ref="T917"/>
    <hyperlink r:id="rId783" ref="T918"/>
    <hyperlink r:id="rId784" ref="T919"/>
    <hyperlink r:id="rId785" ref="T920"/>
    <hyperlink r:id="rId786" ref="T921"/>
    <hyperlink r:id="rId787" ref="T922"/>
    <hyperlink r:id="rId788" ref="T923"/>
    <hyperlink r:id="rId789" ref="T924"/>
    <hyperlink r:id="rId790" ref="T925"/>
    <hyperlink r:id="rId791" ref="T926"/>
    <hyperlink r:id="rId792" ref="T927"/>
    <hyperlink r:id="rId793" ref="T928"/>
    <hyperlink r:id="rId794" ref="T929"/>
    <hyperlink r:id="rId795" ref="T930"/>
    <hyperlink r:id="rId796" ref="T931"/>
    <hyperlink r:id="rId797" ref="T932"/>
    <hyperlink r:id="rId798" ref="T933"/>
    <hyperlink r:id="rId799" ref="T934"/>
    <hyperlink r:id="rId800" ref="T935"/>
    <hyperlink r:id="rId801" ref="T936"/>
    <hyperlink r:id="rId802" ref="T937"/>
    <hyperlink r:id="rId803" ref="T938"/>
    <hyperlink r:id="rId804" ref="T939"/>
    <hyperlink r:id="rId805" ref="T940"/>
    <hyperlink r:id="rId806" ref="T941"/>
    <hyperlink r:id="rId807" ref="T942"/>
    <hyperlink r:id="rId808" ref="T943"/>
    <hyperlink r:id="rId809" ref="T944"/>
    <hyperlink r:id="rId810" ref="T945"/>
    <hyperlink r:id="rId811" ref="T946"/>
    <hyperlink r:id="rId812" ref="T947"/>
    <hyperlink r:id="rId813" ref="T948"/>
    <hyperlink r:id="rId814" ref="T949"/>
    <hyperlink r:id="rId815" ref="T950"/>
    <hyperlink r:id="rId816" ref="T951"/>
    <hyperlink r:id="rId817" ref="T952"/>
    <hyperlink r:id="rId818" ref="T953"/>
    <hyperlink r:id="rId819" ref="T954"/>
    <hyperlink r:id="rId820" ref="T955"/>
    <hyperlink r:id="rId821" ref="T956"/>
    <hyperlink r:id="rId822" ref="T957"/>
    <hyperlink r:id="rId823" ref="T958"/>
    <hyperlink r:id="rId824" ref="T959"/>
    <hyperlink r:id="rId825" ref="T960"/>
    <hyperlink r:id="rId826" ref="T961"/>
    <hyperlink r:id="rId827" ref="T962"/>
    <hyperlink r:id="rId828" ref="T963"/>
    <hyperlink r:id="rId829" ref="T964"/>
    <hyperlink r:id="rId830" ref="T965"/>
    <hyperlink r:id="rId831" ref="T966"/>
    <hyperlink r:id="rId832" ref="T967"/>
    <hyperlink r:id="rId833" ref="T968"/>
    <hyperlink r:id="rId834" ref="T969"/>
    <hyperlink r:id="rId835" ref="T970"/>
    <hyperlink r:id="rId836" ref="T971"/>
    <hyperlink r:id="rId837" ref="T972"/>
    <hyperlink r:id="rId838" ref="T973"/>
    <hyperlink r:id="rId839" ref="T974"/>
    <hyperlink r:id="rId840" ref="T975"/>
    <hyperlink r:id="rId841" ref="T976"/>
    <hyperlink r:id="rId842" ref="T977"/>
    <hyperlink r:id="rId843" ref="T978"/>
    <hyperlink r:id="rId844" ref="T979"/>
    <hyperlink r:id="rId845" ref="T980"/>
    <hyperlink r:id="rId846" ref="T981"/>
    <hyperlink r:id="rId847" ref="T982"/>
    <hyperlink r:id="rId848" ref="T983"/>
    <hyperlink r:id="rId849" ref="T984"/>
    <hyperlink r:id="rId850" ref="T985"/>
    <hyperlink r:id="rId851" ref="T986"/>
    <hyperlink r:id="rId852" ref="T987"/>
    <hyperlink r:id="rId853" ref="T988"/>
    <hyperlink r:id="rId854" ref="T989"/>
    <hyperlink r:id="rId855" ref="T990"/>
    <hyperlink r:id="rId856" ref="T991"/>
    <hyperlink r:id="rId857" ref="T992"/>
  </hyperlinks>
  <drawing r:id="rId85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63"/>
    <col customWidth="1" min="5" max="5" width="13.88"/>
    <col customWidth="1" min="9" max="9" width="31.88"/>
    <col customWidth="1" min="17" max="17" width="28.75"/>
    <col customWidth="1" min="18" max="18" width="26.0"/>
    <col customWidth="1" min="20" max="20" width="25.63"/>
  </cols>
  <sheetData>
    <row r="1">
      <c r="A1" s="4" t="s">
        <v>0</v>
      </c>
      <c r="B1" s="6" t="s">
        <v>8</v>
      </c>
      <c r="C1" s="6" t="s">
        <v>10</v>
      </c>
      <c r="D1" s="6" t="s">
        <v>1</v>
      </c>
      <c r="E1" s="6" t="s">
        <v>2</v>
      </c>
      <c r="F1" s="6" t="s">
        <v>4</v>
      </c>
      <c r="G1" s="9" t="s">
        <v>11</v>
      </c>
      <c r="H1" s="6" t="s">
        <v>13</v>
      </c>
      <c r="I1" s="6" t="s">
        <v>14</v>
      </c>
      <c r="J1" s="6" t="s">
        <v>15</v>
      </c>
      <c r="K1" s="9" t="s">
        <v>18</v>
      </c>
      <c r="L1" s="6" t="s">
        <v>19</v>
      </c>
      <c r="M1" s="6" t="s">
        <v>20</v>
      </c>
      <c r="N1" s="6" t="s">
        <v>21</v>
      </c>
      <c r="O1" s="9" t="s">
        <v>23</v>
      </c>
      <c r="P1" s="6" t="s">
        <v>25</v>
      </c>
      <c r="Q1" s="6" t="s">
        <v>26</v>
      </c>
      <c r="R1" s="6" t="s">
        <v>27</v>
      </c>
      <c r="S1" s="9" t="s">
        <v>28</v>
      </c>
      <c r="T1" s="6" t="s">
        <v>30</v>
      </c>
      <c r="U1" s="6"/>
    </row>
    <row r="2">
      <c r="A2" s="15" t="s">
        <v>33</v>
      </c>
      <c r="B2" s="17" t="s">
        <v>34</v>
      </c>
      <c r="C2" s="18" t="str">
        <f>IFERROR(__xludf.DUMMYFUNCTION("{""Vlook up file để lấy mã tự động từ file landing page khác"";
FILTER(VLOOKUP(B3:B992,Data!A:B,2,FALSE),B3:B992&lt;&gt;"""")}"),"Vlook up file để lấy mã tự động từ file landing page khác")</f>
        <v>Vlook up file để lấy mã tự động từ file landing page khác</v>
      </c>
      <c r="D2" s="19" t="s">
        <v>36</v>
      </c>
      <c r="E2" s="21" t="s">
        <v>36</v>
      </c>
      <c r="F2" s="19" t="s">
        <v>36</v>
      </c>
      <c r="G2" s="19"/>
      <c r="H2" s="19" t="s">
        <v>36</v>
      </c>
      <c r="I2" s="23" t="s">
        <v>38</v>
      </c>
      <c r="J2" s="25" t="s">
        <v>44</v>
      </c>
      <c r="K2" s="23" t="s">
        <v>38</v>
      </c>
      <c r="L2" s="19" t="s">
        <v>36</v>
      </c>
      <c r="M2" s="19" t="s">
        <v>36</v>
      </c>
      <c r="N2" s="19" t="s">
        <v>36</v>
      </c>
      <c r="O2" s="19" t="s">
        <v>36</v>
      </c>
      <c r="P2" s="19" t="s">
        <v>36</v>
      </c>
      <c r="Q2" s="27" t="str">
        <f>IFERROR(__xludf.DUMMYFUNCTION("{""Tên campain_Mã tài khoản_Mã hình thức chạy_Mã agent_ddmmyy"";
FILTER(IF( A3:A992&lt;&gt;"""",IF(H3:H992&lt;&gt;"""",IF(I3:I992&lt;&gt;"""",IF(L3:L992&lt;&gt;"""",IF(N3:N992&lt;&gt;"""",I3:I992&amp;""_""&amp;L3:L992&amp;""_""&amp;N3:N992&amp;""_""&amp;H3:H992&amp;""_""&amp;TRIM(A3:A992),""!!!""),""!!!""),""!!!""),"&amp;"""!!!""),""!!!""),B3:B992&lt;&gt;"""")}"),"Tên campain_Mã tài khoản_Mã hình thức chạy_Mã agent_ddmmyy")</f>
        <v>Tên campain_Mã tài khoản_Mã hình thức chạy_Mã agent_ddmmyy</v>
      </c>
      <c r="R2" s="27" t="str">
        <f>IFERROR(__xludf.DUMMYFUNCTION("{""Mã Target_Location_tuổi_tệp loại trừ_ngày lên adset(ddmmyy)"";
FILTER(IF( A3:A992&lt;&gt;"""",IF(P3:P992&lt;&gt;"""",IF(F3:F992&lt;&gt;"""",IF(G3:G992&lt;&gt;"""",IF(K3:K992&lt;&gt;"""",P3:P992&amp;""_""&amp;F3:F992&amp;""_""&amp;G3:G992&amp;""_""&amp;K3:K992&amp;""_""&amp;TRIM(A3:A992),""!!!""),""!!!""),""!!!"")"&amp;",""!!!""),""!!!""),B3:B992&lt;&gt;"""")}"),"Mã Target_Location_tuổi_tệp loại trừ_ngày lên adset(ddmmyy)")</f>
        <v>Mã Target_Location_tuổi_tệp loại trừ_ngày lên adset(ddmmyy)</v>
      </c>
      <c r="S2" s="29" t="str">
        <f>IFERROR(__xludf.DUMMYFUNCTION("{""Mã content_têncontent_mã fanpage_mã LDP"";
FILTER(IF( M3:M992&lt;&gt;"""",IF(J3:J992&lt;&gt;"""",IF(O3:O992&lt;&gt;"""",IF(C3:C992&lt;&gt;"""",M3:M992&amp;""_""&amp;J3:J992&amp;""_""&amp;O3:O992&amp;""_""&amp;C3:C992,""!!!""),""!!!""),""!!!""),""!!!""),B3:B992&lt;&gt;"""")}"),"Mã content_têncontent_mã fanpage_mã LDP")</f>
        <v>Mã content_têncontent_mã fanpage_mã LDP</v>
      </c>
      <c r="T2" s="31" t="str">
        <f>IFERROR(__xludf.DUMMYFUNCTION("{""KQ"";
FILTER(B3:B992&amp;if(right(B3:B992,1)=""/"",""?"",""/?"")&amp;""utm_source=""&amp;D3:D992&amp;""&amp;utm_medium=""&amp;E3:E992&amp;""&amp;utm_term=""&amp;R3:R992&amp;""&amp;utm_content=""&amp;S3:S992&amp;""&amp;utm_campaign=""&amp;Q3:Q992,B3:B992&lt;&gt;"""")}"),"KQ")</f>
        <v>KQ</v>
      </c>
      <c r="U2" s="33"/>
    </row>
    <row r="3">
      <c r="A3" s="34">
        <v>250521.0</v>
      </c>
      <c r="B3" s="43" t="s">
        <v>52</v>
      </c>
      <c r="C3" s="40" t="str">
        <f>IFERROR(__xludf.DUMMYFUNCTION("""COMPUTED_VALUE"""),"LD070")</f>
        <v>LD070</v>
      </c>
      <c r="D3" s="44" t="s">
        <v>42</v>
      </c>
      <c r="E3" s="44" t="s">
        <v>53</v>
      </c>
      <c r="F3" s="44" t="s">
        <v>60</v>
      </c>
      <c r="G3" s="44" t="s">
        <v>61</v>
      </c>
      <c r="H3" s="44" t="s">
        <v>65</v>
      </c>
      <c r="I3" s="44">
        <v>233.0</v>
      </c>
      <c r="J3" s="44">
        <v>232.0</v>
      </c>
      <c r="K3" s="44" t="s">
        <v>61</v>
      </c>
      <c r="L3" s="44" t="s">
        <v>70</v>
      </c>
      <c r="M3" s="44" t="s">
        <v>68</v>
      </c>
      <c r="N3" s="44" t="s">
        <v>70</v>
      </c>
      <c r="O3" s="44" t="s">
        <v>70</v>
      </c>
      <c r="P3" s="44" t="s">
        <v>70</v>
      </c>
      <c r="Q3" s="40" t="str">
        <f>IFERROR(__xludf.DUMMYFUNCTION("""COMPUTED_VALUE"""),"233_NON_NON_HuyTC_250521")</f>
        <v>233_NON_NON_HuyTC_250521</v>
      </c>
      <c r="R3" s="40" t="str">
        <f>IFERROR(__xludf.DUMMYFUNCTION("""COMPUTED_VALUE"""),"NON_NONE_none_none_250521")</f>
        <v>NON_NONE_none_none_250521</v>
      </c>
      <c r="S3" s="40" t="str">
        <f>IFERROR(__xludf.DUMMYFUNCTION("""COMPUTED_VALUE"""),"h4hocvien_232_NON_LD070")</f>
        <v>h4hocvien_232_NON_LD070</v>
      </c>
      <c r="T3" s="59" t="str">
        <f>IFERROR(__xludf.DUMMYFUNCTION("""COMPUTED_VALUE"""),"https://patadovietnam.edu.vn/blog/kinh-nghiem-thi/tat-tan-tat-ve-tu-vung-ielts/?utm_source=Facebook&amp;utm_medium=SEE&amp;utm_term=NON_NONE_none_none_250521&amp;utm_content=h4hocvien_232_NON_LD070&amp;utm_campaign=233_NON_NON_HuyTC_250521")</f>
        <v>https://patadovietnam.edu.vn/blog/kinh-nghiem-thi/tat-tan-tat-ve-tu-vung-ielts/?utm_source=Facebook&amp;utm_medium=SEE&amp;utm_term=NON_NONE_none_none_250521&amp;utm_content=h4hocvien_232_NON_LD070&amp;utm_campaign=233_NON_NON_HuyTC_250521</v>
      </c>
      <c r="U3" s="52"/>
    </row>
    <row r="4">
      <c r="A4" s="53" t="s">
        <v>89</v>
      </c>
      <c r="B4" s="43" t="s">
        <v>90</v>
      </c>
      <c r="C4" s="54" t="str">
        <f>IFERROR(__xludf.DUMMYFUNCTION("""COMPUTED_VALUE"""),"LD011")</f>
        <v>LD011</v>
      </c>
      <c r="D4" s="55" t="s">
        <v>42</v>
      </c>
      <c r="E4" s="55" t="s">
        <v>53</v>
      </c>
      <c r="F4" s="55" t="s">
        <v>60</v>
      </c>
      <c r="G4" s="55" t="s">
        <v>61</v>
      </c>
      <c r="H4" s="55" t="s">
        <v>65</v>
      </c>
      <c r="I4" s="55" t="s">
        <v>100</v>
      </c>
      <c r="J4" s="55" t="s">
        <v>101</v>
      </c>
      <c r="K4" s="55" t="s">
        <v>61</v>
      </c>
      <c r="L4" s="55" t="s">
        <v>70</v>
      </c>
      <c r="M4" s="55" t="s">
        <v>68</v>
      </c>
      <c r="N4" s="55" t="s">
        <v>70</v>
      </c>
      <c r="O4" s="55" t="s">
        <v>70</v>
      </c>
      <c r="P4" s="55" t="s">
        <v>70</v>
      </c>
      <c r="Q4" s="54" t="str">
        <f>IFERROR(__xludf.DUMMYFUNCTION("""COMPUTED_VALUE"""),"ielts_NON_NON_HuyTC_260521")</f>
        <v>ielts_NON_NON_HuyTC_260521</v>
      </c>
      <c r="R4" s="54" t="str">
        <f>IFERROR(__xludf.DUMMYFUNCTION("""COMPUTED_VALUE"""),"NON_NONE_none_none_260521")</f>
        <v>NON_NONE_none_none_260521</v>
      </c>
      <c r="S4" s="54" t="str">
        <f>IFERROR(__xludf.DUMMYFUNCTION("""COMPUTED_VALUE"""),"h4hocvien_tailieu_NON_LD011")</f>
        <v>h4hocvien_tailieu_NON_LD011</v>
      </c>
      <c r="T4" s="63" t="str">
        <f>IFERROR(__xludf.DUMMYFUNCTION("""COMPUTED_VALUE"""),"https://patadovietnam.edu.vn/tai-tai-lieu/?utm_source=Facebook&amp;utm_medium=SEE&amp;utm_term=NON_NONE_none_none_260521&amp;utm_content=h4hocvien_tailieu_NON_LD011&amp;utm_campaign=ielts_NON_NON_HuyTC_260521")</f>
        <v>https://patadovietnam.edu.vn/tai-tai-lieu/?utm_source=Facebook&amp;utm_medium=SEE&amp;utm_term=NON_NONE_none_none_260521&amp;utm_content=h4hocvien_tailieu_NON_LD011&amp;utm_campaign=ielts_NON_NON_HuyTC_260521</v>
      </c>
      <c r="U4" s="56"/>
    </row>
    <row r="5">
      <c r="A5" s="66">
        <v>260521.0</v>
      </c>
      <c r="B5" s="61" t="s">
        <v>106</v>
      </c>
      <c r="C5" s="54" t="str">
        <f>IFERROR(__xludf.DUMMYFUNCTION("""COMPUTED_VALUE"""),"LD063")</f>
        <v>LD063</v>
      </c>
      <c r="D5" s="55" t="s">
        <v>42</v>
      </c>
      <c r="E5" s="55" t="s">
        <v>53</v>
      </c>
      <c r="F5" s="55" t="s">
        <v>60</v>
      </c>
      <c r="G5" s="55" t="s">
        <v>61</v>
      </c>
      <c r="H5" s="55" t="s">
        <v>65</v>
      </c>
      <c r="I5" s="55" t="s">
        <v>100</v>
      </c>
      <c r="J5" s="55" t="s">
        <v>114</v>
      </c>
      <c r="K5" s="55" t="s">
        <v>61</v>
      </c>
      <c r="L5" s="55" t="s">
        <v>70</v>
      </c>
      <c r="M5" s="55" t="s">
        <v>68</v>
      </c>
      <c r="N5" s="55" t="s">
        <v>70</v>
      </c>
      <c r="O5" s="55" t="s">
        <v>70</v>
      </c>
      <c r="P5" s="55" t="s">
        <v>70</v>
      </c>
      <c r="Q5" s="54" t="str">
        <f>IFERROR(__xludf.DUMMYFUNCTION("""COMPUTED_VALUE"""),"ielts_NON_NON_HuyTC_260521")</f>
        <v>ielts_NON_NON_HuyTC_260521</v>
      </c>
      <c r="R5" s="54" t="str">
        <f>IFERROR(__xludf.DUMMYFUNCTION("""COMPUTED_VALUE"""),"NON_NONE_none_none_260521")</f>
        <v>NON_NONE_none_none_260521</v>
      </c>
      <c r="S5" s="54" t="str">
        <f>IFERROR(__xludf.DUMMYFUNCTION("""COMPUTED_VALUE"""),"h4hocvien_idioms_NON_LD063")</f>
        <v>h4hocvien_idioms_NON_LD063</v>
      </c>
      <c r="T5" s="63" t="str">
        <f>IFERROR(__xludf.DUMMYFUNCTION("""COMPUTED_VALUE"""),"https://patadovietnam.edu.vn/blog/tin-tuc-tieng-anh/idioms-ielts-speaking/?utm_source=Facebook&amp;utm_medium=SEE&amp;utm_term=NON_NONE_none_none_260521&amp;utm_content=h4hocvien_idioms_NON_LD063&amp;utm_campaign=ielts_NON_NON_HuyTC_260521")</f>
        <v>https://patadovietnam.edu.vn/blog/tin-tuc-tieng-anh/idioms-ielts-speaking/?utm_source=Facebook&amp;utm_medium=SEE&amp;utm_term=NON_NONE_none_none_260521&amp;utm_content=h4hocvien_idioms_NON_LD063&amp;utm_campaign=ielts_NON_NON_HuyTC_260521</v>
      </c>
      <c r="U5" s="56"/>
    </row>
    <row r="6">
      <c r="A6" s="66">
        <v>310521.0</v>
      </c>
      <c r="B6" s="61" t="s">
        <v>83</v>
      </c>
      <c r="C6" s="54" t="str">
        <f>IFERROR(__xludf.DUMMYFUNCTION("""COMPUTED_VALUE"""),"LD008")</f>
        <v>LD008</v>
      </c>
      <c r="D6" s="55" t="s">
        <v>42</v>
      </c>
      <c r="E6" s="55" t="s">
        <v>53</v>
      </c>
      <c r="F6" s="55" t="s">
        <v>60</v>
      </c>
      <c r="G6" s="55" t="s">
        <v>61</v>
      </c>
      <c r="H6" s="55" t="s">
        <v>65</v>
      </c>
      <c r="I6" s="55" t="s">
        <v>95</v>
      </c>
      <c r="J6" s="55" t="s">
        <v>127</v>
      </c>
      <c r="K6" s="55" t="s">
        <v>61</v>
      </c>
      <c r="L6" s="55" t="s">
        <v>70</v>
      </c>
      <c r="M6" s="55" t="s">
        <v>68</v>
      </c>
      <c r="N6" s="55" t="s">
        <v>70</v>
      </c>
      <c r="O6" s="55" t="s">
        <v>70</v>
      </c>
      <c r="P6" s="55" t="s">
        <v>70</v>
      </c>
      <c r="Q6" s="54" t="str">
        <f>IFERROR(__xludf.DUMMYFUNCTION("""COMPUTED_VALUE"""),"KOL_NON_NON_HuyTC_310521")</f>
        <v>KOL_NON_NON_HuyTC_310521</v>
      </c>
      <c r="R6" s="54" t="str">
        <f>IFERROR(__xludf.DUMMYFUNCTION("""COMPUTED_VALUE"""),"NON_NONE_none_none_310521")</f>
        <v>NON_NONE_none_none_310521</v>
      </c>
      <c r="S6" s="54" t="str">
        <f>IFERROR(__xludf.DUMMYFUNCTION("""COMPUTED_VALUE"""),"h4hocvien_clip_NON_LD008")</f>
        <v>h4hocvien_clip_NON_LD008</v>
      </c>
      <c r="T6" s="63" t="str">
        <f>IFERROR(__xludf.DUMMYFUNCTION("""COMPUTED_VALUE"""),"https://patadovietnam.edu.vn/?utm_source=Facebook&amp;utm_medium=SEE&amp;utm_term=NON_NONE_none_none_310521&amp;utm_content=h4hocvien_clip_NON_LD008&amp;utm_campaign=KOL_NON_NON_HuyTC_310521")</f>
        <v>https://patadovietnam.edu.vn/?utm_source=Facebook&amp;utm_medium=SEE&amp;utm_term=NON_NONE_none_none_310521&amp;utm_content=h4hocvien_clip_NON_LD008&amp;utm_campaign=KOL_NON_NON_HuyTC_310521</v>
      </c>
      <c r="U6" s="56"/>
    </row>
    <row r="7">
      <c r="A7" s="69">
        <v>44355.0</v>
      </c>
      <c r="B7" s="61" t="s">
        <v>111</v>
      </c>
      <c r="C7" s="54" t="str">
        <f>IFERROR(__xludf.DUMMYFUNCTION("""COMPUTED_VALUE"""),"LD013")</f>
        <v>LD013</v>
      </c>
      <c r="D7" s="55" t="s">
        <v>42</v>
      </c>
      <c r="E7" s="55" t="s">
        <v>53</v>
      </c>
      <c r="F7" s="55" t="s">
        <v>60</v>
      </c>
      <c r="G7" s="55" t="s">
        <v>61</v>
      </c>
      <c r="H7" s="55" t="s">
        <v>65</v>
      </c>
      <c r="I7" s="55" t="s">
        <v>144</v>
      </c>
      <c r="J7" s="55" t="s">
        <v>118</v>
      </c>
      <c r="K7" s="55" t="s">
        <v>61</v>
      </c>
      <c r="L7" s="55" t="s">
        <v>70</v>
      </c>
      <c r="M7" s="55" t="s">
        <v>68</v>
      </c>
      <c r="N7" s="55" t="s">
        <v>70</v>
      </c>
      <c r="O7" s="55" t="s">
        <v>70</v>
      </c>
      <c r="P7" s="55" t="s">
        <v>70</v>
      </c>
      <c r="Q7" s="54" t="str">
        <f>IFERROR(__xludf.DUMMYFUNCTION("""COMPUTED_VALUE"""),"tienganh_NON_NON_HuyTC_2021-06-08")</f>
        <v>tienganh_NON_NON_HuyTC_2021-06-08</v>
      </c>
      <c r="R7" s="54" t="str">
        <f>IFERROR(__xludf.DUMMYFUNCTION("""COMPUTED_VALUE"""),"NON_NONE_none_none_2021-06-08")</f>
        <v>NON_NONE_none_none_2021-06-08</v>
      </c>
      <c r="S7" s="54" t="str">
        <f>IFERROR(__xludf.DUMMYFUNCTION("""COMPUTED_VALUE"""),"h4hocvien_test_NON_LD013")</f>
        <v>h4hocvien_test_NON_LD013</v>
      </c>
      <c r="T7" s="63" t="str">
        <f>IFERROR(__xludf.DUMMYFUNCTION("""COMPUTED_VALUE"""),"https://patadovietnam.edu.vn/test-trinh-do/?utm_source=Facebook&amp;utm_medium=SEE&amp;utm_term=NON_NONE_none_none_2021-06-08&amp;utm_content=h4hocvien_test_NON_LD013&amp;utm_campaign=tienganh_NON_NON_HuyTC_2021-06-08")</f>
        <v>https://patadovietnam.edu.vn/test-trinh-do/?utm_source=Facebook&amp;utm_medium=SEE&amp;utm_term=NON_NONE_none_none_2021-06-08&amp;utm_content=h4hocvien_test_NON_LD013&amp;utm_campaign=tienganh_NON_NON_HuyTC_2021-06-08</v>
      </c>
      <c r="U7" s="56"/>
    </row>
    <row r="8">
      <c r="A8" s="57"/>
      <c r="B8" s="71"/>
      <c r="C8" s="54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4"/>
      <c r="R8" s="54"/>
      <c r="S8" s="54"/>
      <c r="T8" s="54"/>
      <c r="U8" s="56"/>
    </row>
    <row r="9">
      <c r="A9" s="57"/>
      <c r="B9" s="71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4"/>
      <c r="R9" s="54"/>
      <c r="S9" s="54"/>
      <c r="T9" s="54"/>
      <c r="U9" s="56"/>
    </row>
    <row r="10">
      <c r="A10" s="57"/>
      <c r="B10" s="71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4"/>
      <c r="R10" s="54"/>
      <c r="S10" s="54"/>
      <c r="T10" s="54"/>
      <c r="U10" s="56"/>
    </row>
    <row r="11">
      <c r="A11" s="57"/>
      <c r="B11" s="71"/>
      <c r="C11" s="54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4"/>
      <c r="R11" s="54"/>
      <c r="S11" s="54"/>
      <c r="T11" s="54"/>
      <c r="U11" s="56"/>
    </row>
    <row r="12">
      <c r="A12" s="57"/>
      <c r="B12" s="71"/>
      <c r="C12" s="54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4"/>
      <c r="R12" s="54"/>
      <c r="S12" s="54"/>
      <c r="T12" s="54"/>
      <c r="U12" s="56"/>
    </row>
    <row r="13">
      <c r="A13" s="57"/>
      <c r="B13" s="71"/>
      <c r="C13" s="54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4"/>
      <c r="R13" s="54"/>
      <c r="S13" s="54"/>
      <c r="T13" s="54"/>
      <c r="U13" s="56"/>
    </row>
    <row r="14">
      <c r="A14" s="57"/>
      <c r="B14" s="71"/>
      <c r="C14" s="54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4"/>
      <c r="R14" s="54"/>
      <c r="S14" s="54"/>
      <c r="T14" s="54"/>
      <c r="U14" s="56"/>
    </row>
    <row r="15">
      <c r="A15" s="57"/>
      <c r="B15" s="71"/>
      <c r="C15" s="54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4"/>
      <c r="R15" s="54"/>
      <c r="S15" s="54"/>
      <c r="T15" s="54"/>
      <c r="U15" s="56"/>
    </row>
    <row r="16">
      <c r="A16" s="57"/>
      <c r="B16" s="71"/>
      <c r="C16" s="54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4"/>
      <c r="R16" s="54"/>
      <c r="S16" s="54"/>
      <c r="T16" s="54"/>
      <c r="U16" s="56"/>
    </row>
    <row r="17">
      <c r="A17" s="57"/>
      <c r="B17" s="71"/>
      <c r="C17" s="54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4"/>
      <c r="R17" s="54"/>
      <c r="S17" s="54"/>
      <c r="T17" s="54"/>
      <c r="U17" s="56"/>
    </row>
    <row r="18">
      <c r="A18" s="57"/>
      <c r="B18" s="71"/>
      <c r="C18" s="54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4"/>
      <c r="R18" s="54"/>
      <c r="S18" s="54"/>
      <c r="T18" s="54"/>
      <c r="U18" s="56"/>
    </row>
    <row r="19">
      <c r="A19" s="57"/>
      <c r="B19" s="71"/>
      <c r="C19" s="54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4"/>
      <c r="R19" s="54"/>
      <c r="S19" s="54"/>
      <c r="T19" s="54"/>
      <c r="U19" s="56"/>
    </row>
    <row r="20">
      <c r="A20" s="57"/>
      <c r="B20" s="71"/>
      <c r="C20" s="54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4"/>
      <c r="R20" s="54"/>
      <c r="S20" s="54"/>
      <c r="T20" s="54"/>
      <c r="U20" s="56"/>
    </row>
    <row r="21">
      <c r="A21" s="57"/>
      <c r="B21" s="71"/>
      <c r="C21" s="54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4"/>
      <c r="R21" s="54"/>
      <c r="S21" s="54"/>
      <c r="T21" s="54"/>
      <c r="U21" s="56"/>
    </row>
    <row r="22">
      <c r="A22" s="57"/>
      <c r="B22" s="71"/>
      <c r="C22" s="54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4"/>
      <c r="R22" s="54"/>
      <c r="S22" s="54"/>
      <c r="T22" s="54"/>
      <c r="U22" s="56"/>
    </row>
    <row r="23">
      <c r="A23" s="57"/>
      <c r="B23" s="71"/>
      <c r="C23" s="54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4"/>
      <c r="R23" s="54"/>
      <c r="S23" s="54"/>
      <c r="T23" s="54"/>
      <c r="U23" s="56"/>
    </row>
    <row r="24">
      <c r="A24" s="57"/>
      <c r="B24" s="71"/>
      <c r="C24" s="54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4"/>
      <c r="R24" s="54"/>
      <c r="S24" s="54"/>
      <c r="T24" s="54"/>
      <c r="U24" s="56"/>
    </row>
    <row r="25">
      <c r="A25" s="57"/>
      <c r="B25" s="71"/>
      <c r="C25" s="54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4"/>
      <c r="R25" s="54"/>
      <c r="S25" s="54"/>
      <c r="T25" s="54"/>
      <c r="U25" s="56"/>
    </row>
    <row r="26">
      <c r="A26" s="57"/>
      <c r="B26" s="71"/>
      <c r="C26" s="54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4"/>
      <c r="R26" s="54"/>
      <c r="S26" s="54"/>
      <c r="T26" s="54"/>
      <c r="U26" s="56"/>
    </row>
    <row r="27">
      <c r="A27" s="57"/>
      <c r="B27" s="71"/>
      <c r="C27" s="54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4"/>
      <c r="R27" s="54"/>
      <c r="S27" s="54"/>
      <c r="T27" s="54"/>
      <c r="U27" s="56"/>
    </row>
    <row r="28">
      <c r="A28" s="57"/>
      <c r="B28" s="71"/>
      <c r="C28" s="54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4"/>
      <c r="R28" s="54"/>
      <c r="S28" s="54"/>
      <c r="T28" s="54"/>
      <c r="U28" s="56"/>
    </row>
    <row r="29">
      <c r="A29" s="57"/>
      <c r="B29" s="71"/>
      <c r="C29" s="54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4"/>
      <c r="R29" s="54"/>
      <c r="S29" s="54"/>
      <c r="T29" s="54"/>
      <c r="U29" s="56"/>
    </row>
    <row r="30">
      <c r="A30" s="57"/>
      <c r="B30" s="71"/>
      <c r="C30" s="54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4"/>
      <c r="R30" s="54"/>
      <c r="S30" s="54"/>
      <c r="T30" s="54"/>
      <c r="U30" s="56"/>
    </row>
    <row r="31">
      <c r="A31" s="57"/>
      <c r="B31" s="71"/>
      <c r="C31" s="54"/>
      <c r="D31" s="55"/>
      <c r="E31" s="55"/>
      <c r="F31" s="55"/>
      <c r="G31" s="55"/>
      <c r="H31" s="55"/>
      <c r="I31" s="55"/>
      <c r="J31" s="55"/>
      <c r="K31" s="73"/>
      <c r="L31" s="55"/>
      <c r="M31" s="55"/>
      <c r="N31" s="55"/>
      <c r="O31" s="55"/>
      <c r="P31" s="55"/>
      <c r="Q31" s="54"/>
      <c r="R31" s="54"/>
      <c r="S31" s="54"/>
      <c r="T31" s="54"/>
      <c r="U31" s="56"/>
    </row>
    <row r="32">
      <c r="A32" s="57"/>
      <c r="B32" s="71"/>
      <c r="C32" s="54"/>
      <c r="D32" s="55"/>
      <c r="E32" s="55"/>
      <c r="F32" s="55"/>
      <c r="G32" s="55"/>
      <c r="H32" s="55"/>
      <c r="I32" s="55"/>
      <c r="J32" s="55"/>
      <c r="K32" s="73"/>
      <c r="L32" s="55"/>
      <c r="M32" s="55"/>
      <c r="N32" s="55"/>
      <c r="O32" s="55"/>
      <c r="P32" s="55"/>
      <c r="Q32" s="54"/>
      <c r="R32" s="54"/>
      <c r="S32" s="54"/>
      <c r="T32" s="54"/>
      <c r="U32" s="56"/>
    </row>
    <row r="33">
      <c r="A33" s="57"/>
      <c r="B33" s="71"/>
      <c r="C33" s="54"/>
      <c r="D33" s="55"/>
      <c r="E33" s="55"/>
      <c r="F33" s="55"/>
      <c r="G33" s="55"/>
      <c r="H33" s="55"/>
      <c r="I33" s="55"/>
      <c r="J33" s="73"/>
      <c r="K33" s="73"/>
      <c r="L33" s="55"/>
      <c r="M33" s="55"/>
      <c r="N33" s="55"/>
      <c r="O33" s="55"/>
      <c r="P33" s="55"/>
      <c r="Q33" s="54"/>
      <c r="R33" s="54"/>
      <c r="S33" s="54"/>
      <c r="T33" s="54"/>
      <c r="U33" s="56"/>
    </row>
    <row r="34">
      <c r="A34" s="57"/>
      <c r="B34" s="71"/>
      <c r="C34" s="54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4"/>
      <c r="R34" s="54"/>
      <c r="S34" s="54"/>
      <c r="T34" s="54"/>
      <c r="U34" s="56"/>
    </row>
    <row r="35">
      <c r="A35" s="57"/>
      <c r="B35" s="71"/>
      <c r="C35" s="54"/>
      <c r="D35" s="55"/>
      <c r="E35" s="55"/>
      <c r="F35" s="55"/>
      <c r="G35" s="55"/>
      <c r="H35" s="55"/>
      <c r="I35" s="55"/>
      <c r="J35" s="55"/>
      <c r="K35" s="73"/>
      <c r="L35" s="55"/>
      <c r="M35" s="55"/>
      <c r="N35" s="55"/>
      <c r="O35" s="55"/>
      <c r="P35" s="55"/>
      <c r="Q35" s="54"/>
      <c r="R35" s="54"/>
      <c r="S35" s="54"/>
      <c r="T35" s="54"/>
      <c r="U35" s="56"/>
    </row>
    <row r="36">
      <c r="A36" s="57"/>
      <c r="B36" s="71"/>
      <c r="C36" s="54"/>
      <c r="D36" s="55"/>
      <c r="E36" s="55"/>
      <c r="F36" s="55"/>
      <c r="G36" s="55"/>
      <c r="H36" s="55"/>
      <c r="I36" s="55"/>
      <c r="J36" s="73"/>
      <c r="K36" s="73"/>
      <c r="L36" s="55"/>
      <c r="M36" s="55"/>
      <c r="N36" s="55"/>
      <c r="O36" s="55"/>
      <c r="P36" s="55"/>
      <c r="Q36" s="54"/>
      <c r="R36" s="54"/>
      <c r="S36" s="54"/>
      <c r="T36" s="54"/>
      <c r="U36" s="56"/>
    </row>
    <row r="37">
      <c r="A37" s="57"/>
      <c r="B37" s="71"/>
      <c r="C37" s="54"/>
      <c r="D37" s="55"/>
      <c r="E37" s="55"/>
      <c r="F37" s="55"/>
      <c r="G37" s="55"/>
      <c r="H37" s="55"/>
      <c r="I37" s="55"/>
      <c r="J37" s="55"/>
      <c r="K37" s="73"/>
      <c r="L37" s="55"/>
      <c r="M37" s="55"/>
      <c r="N37" s="55"/>
      <c r="O37" s="55"/>
      <c r="P37" s="55"/>
      <c r="Q37" s="54"/>
      <c r="R37" s="54"/>
      <c r="S37" s="54"/>
      <c r="T37" s="54"/>
      <c r="U37" s="56"/>
    </row>
    <row r="38">
      <c r="A38" s="57"/>
      <c r="B38" s="71"/>
      <c r="C38" s="54"/>
      <c r="D38" s="55"/>
      <c r="E38" s="55"/>
      <c r="F38" s="55"/>
      <c r="G38" s="55"/>
      <c r="H38" s="55"/>
      <c r="I38" s="55"/>
      <c r="J38" s="55"/>
      <c r="K38" s="73"/>
      <c r="L38" s="55"/>
      <c r="M38" s="55"/>
      <c r="N38" s="55"/>
      <c r="O38" s="55"/>
      <c r="P38" s="55"/>
      <c r="Q38" s="54"/>
      <c r="R38" s="54"/>
      <c r="S38" s="54"/>
      <c r="T38" s="54"/>
      <c r="U38" s="56"/>
    </row>
    <row r="39">
      <c r="A39" s="57"/>
      <c r="B39" s="71"/>
      <c r="C39" s="54"/>
      <c r="D39" s="55"/>
      <c r="E39" s="55"/>
      <c r="F39" s="55"/>
      <c r="G39" s="55"/>
      <c r="H39" s="55"/>
      <c r="I39" s="55"/>
      <c r="J39" s="55"/>
      <c r="K39" s="73"/>
      <c r="L39" s="55"/>
      <c r="M39" s="55"/>
      <c r="N39" s="55"/>
      <c r="O39" s="55"/>
      <c r="P39" s="55"/>
      <c r="Q39" s="54"/>
      <c r="R39" s="54"/>
      <c r="S39" s="54"/>
      <c r="T39" s="54"/>
      <c r="U39" s="56"/>
    </row>
    <row r="40">
      <c r="A40" s="57"/>
      <c r="B40" s="71"/>
      <c r="C40" s="54"/>
      <c r="D40" s="55"/>
      <c r="E40" s="55"/>
      <c r="F40" s="55"/>
      <c r="G40" s="55"/>
      <c r="H40" s="55"/>
      <c r="I40" s="55"/>
      <c r="J40" s="55"/>
      <c r="K40" s="73"/>
      <c r="L40" s="55"/>
      <c r="M40" s="55"/>
      <c r="N40" s="55"/>
      <c r="O40" s="55"/>
      <c r="P40" s="55"/>
      <c r="Q40" s="54"/>
      <c r="R40" s="54"/>
      <c r="S40" s="54"/>
      <c r="T40" s="54"/>
      <c r="U40" s="56"/>
    </row>
    <row r="41">
      <c r="A41" s="57"/>
      <c r="B41" s="71"/>
      <c r="C41" s="54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4"/>
      <c r="R41" s="54"/>
      <c r="S41" s="54"/>
      <c r="T41" s="54"/>
      <c r="U41" s="56"/>
    </row>
    <row r="42">
      <c r="A42" s="57"/>
      <c r="B42" s="71"/>
      <c r="C42" s="54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4"/>
      <c r="R42" s="54"/>
      <c r="S42" s="54"/>
      <c r="T42" s="71"/>
      <c r="U42" s="56"/>
    </row>
    <row r="43">
      <c r="A43" s="57"/>
      <c r="B43" s="71"/>
      <c r="C43" s="54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4"/>
      <c r="R43" s="54"/>
      <c r="S43" s="54"/>
      <c r="T43" s="54"/>
      <c r="U43" s="56"/>
    </row>
    <row r="44">
      <c r="A44" s="57"/>
      <c r="B44" s="71"/>
      <c r="C44" s="54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4"/>
      <c r="R44" s="54"/>
      <c r="S44" s="54"/>
      <c r="T44" s="54"/>
      <c r="U44" s="56"/>
    </row>
    <row r="45">
      <c r="A45" s="57"/>
      <c r="B45" s="71"/>
      <c r="C45" s="54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4"/>
      <c r="R45" s="54"/>
      <c r="S45" s="54"/>
      <c r="T45" s="54"/>
      <c r="U45" s="56"/>
    </row>
    <row r="46">
      <c r="A46" s="57"/>
      <c r="B46" s="71"/>
      <c r="C46" s="54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4"/>
      <c r="R46" s="54"/>
      <c r="S46" s="54"/>
      <c r="T46" s="54"/>
      <c r="U46" s="56"/>
    </row>
    <row r="47">
      <c r="A47" s="57"/>
      <c r="B47" s="71"/>
      <c r="C47" s="54"/>
      <c r="D47" s="55"/>
      <c r="E47" s="55"/>
      <c r="F47" s="55"/>
      <c r="G47" s="55"/>
      <c r="H47" s="55"/>
      <c r="I47" s="55"/>
      <c r="J47" s="55"/>
      <c r="K47" s="55"/>
      <c r="L47" s="73"/>
      <c r="M47" s="55"/>
      <c r="N47" s="55"/>
      <c r="O47" s="55"/>
      <c r="P47" s="55"/>
      <c r="Q47" s="55"/>
      <c r="R47" s="54"/>
      <c r="S47" s="54"/>
      <c r="T47" s="54"/>
      <c r="U47" s="56"/>
    </row>
    <row r="48">
      <c r="A48" s="57"/>
      <c r="B48" s="71"/>
      <c r="C48" s="73"/>
      <c r="D48" s="55"/>
      <c r="E48" s="55"/>
      <c r="F48" s="55"/>
      <c r="G48" s="55"/>
      <c r="H48" s="55"/>
      <c r="I48" s="55"/>
      <c r="J48" s="55"/>
      <c r="K48" s="55"/>
      <c r="L48" s="73"/>
      <c r="M48" s="55"/>
      <c r="N48" s="55"/>
      <c r="O48" s="55"/>
      <c r="P48" s="55"/>
      <c r="Q48" s="54"/>
      <c r="R48" s="54"/>
      <c r="S48" s="54"/>
      <c r="T48" s="54"/>
      <c r="U48" s="56"/>
    </row>
    <row r="49">
      <c r="A49" s="57"/>
      <c r="B49" s="71"/>
      <c r="C49" s="54"/>
      <c r="D49" s="55"/>
      <c r="E49" s="55"/>
      <c r="F49" s="55"/>
      <c r="G49" s="55"/>
      <c r="H49" s="55"/>
      <c r="I49" s="55"/>
      <c r="J49" s="55"/>
      <c r="K49" s="55"/>
      <c r="L49" s="73"/>
      <c r="M49" s="55"/>
      <c r="N49" s="55"/>
      <c r="O49" s="55"/>
      <c r="P49" s="55"/>
      <c r="Q49" s="54"/>
      <c r="R49" s="54"/>
      <c r="S49" s="54"/>
      <c r="T49" s="54"/>
      <c r="U49" s="56"/>
    </row>
    <row r="50">
      <c r="A50" s="57"/>
      <c r="B50" s="71"/>
      <c r="C50" s="73"/>
      <c r="D50" s="55"/>
      <c r="E50" s="55"/>
      <c r="F50" s="55"/>
      <c r="G50" s="55"/>
      <c r="H50" s="55"/>
      <c r="I50" s="55"/>
      <c r="J50" s="55"/>
      <c r="K50" s="55"/>
      <c r="L50" s="73"/>
      <c r="M50" s="55"/>
      <c r="N50" s="55"/>
      <c r="O50" s="55"/>
      <c r="P50" s="55"/>
      <c r="Q50" s="54"/>
      <c r="R50" s="54"/>
      <c r="S50" s="54"/>
      <c r="T50" s="54"/>
      <c r="U50" s="56"/>
    </row>
    <row r="51">
      <c r="A51" s="57"/>
      <c r="B51" s="71"/>
      <c r="C51" s="54"/>
      <c r="D51" s="55"/>
      <c r="E51" s="55"/>
      <c r="F51" s="55"/>
      <c r="G51" s="55"/>
      <c r="H51" s="55"/>
      <c r="I51" s="55"/>
      <c r="J51" s="55"/>
      <c r="K51" s="55"/>
      <c r="L51" s="73"/>
      <c r="M51" s="55"/>
      <c r="N51" s="55"/>
      <c r="O51" s="55"/>
      <c r="P51" s="55"/>
      <c r="Q51" s="54"/>
      <c r="R51" s="54"/>
      <c r="S51" s="54"/>
      <c r="T51" s="54"/>
      <c r="U51" s="56"/>
    </row>
    <row r="52">
      <c r="A52" s="57"/>
      <c r="B52" s="71"/>
      <c r="C52" s="54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4"/>
      <c r="R52" s="54"/>
      <c r="S52" s="54"/>
      <c r="T52" s="54"/>
      <c r="U52" s="56"/>
    </row>
    <row r="53">
      <c r="A53" s="57"/>
      <c r="B53" s="71"/>
      <c r="C53" s="54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4"/>
      <c r="R53" s="54"/>
      <c r="S53" s="54"/>
      <c r="T53" s="54"/>
      <c r="U53" s="56"/>
    </row>
    <row r="54">
      <c r="A54" s="57"/>
      <c r="B54" s="71"/>
      <c r="C54" s="54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4"/>
      <c r="R54" s="54"/>
      <c r="S54" s="54"/>
      <c r="T54" s="54"/>
      <c r="U54" s="56"/>
    </row>
    <row r="55">
      <c r="A55" s="57"/>
      <c r="B55" s="71"/>
      <c r="C55" s="54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4"/>
      <c r="R55" s="54"/>
      <c r="S55" s="54"/>
      <c r="T55" s="54"/>
      <c r="U55" s="56"/>
    </row>
    <row r="56">
      <c r="A56" s="57"/>
      <c r="B56" s="71"/>
      <c r="C56" s="54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4"/>
      <c r="R56" s="54"/>
      <c r="S56" s="54"/>
      <c r="T56" s="54"/>
      <c r="U56" s="56"/>
    </row>
    <row r="57">
      <c r="A57" s="57"/>
      <c r="B57" s="71"/>
      <c r="C57" s="54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4"/>
      <c r="R57" s="54"/>
      <c r="S57" s="54"/>
      <c r="T57" s="54"/>
      <c r="U57" s="56"/>
    </row>
    <row r="58">
      <c r="A58" s="57"/>
      <c r="B58" s="71"/>
      <c r="C58" s="54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4"/>
      <c r="R58" s="54"/>
      <c r="S58" s="54"/>
      <c r="T58" s="54"/>
      <c r="U58" s="56"/>
    </row>
    <row r="59">
      <c r="A59" s="57"/>
      <c r="B59" s="71"/>
      <c r="C59" s="54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4"/>
      <c r="R59" s="54"/>
      <c r="S59" s="54"/>
      <c r="T59" s="54"/>
      <c r="U59" s="56"/>
    </row>
    <row r="60">
      <c r="A60" s="57"/>
      <c r="B60" s="71"/>
      <c r="C60" s="54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4"/>
      <c r="R60" s="54"/>
      <c r="S60" s="54"/>
      <c r="T60" s="54"/>
      <c r="U60" s="56"/>
    </row>
    <row r="61">
      <c r="A61" s="57"/>
      <c r="B61" s="71"/>
      <c r="C61" s="54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4"/>
      <c r="R61" s="54"/>
      <c r="S61" s="54"/>
      <c r="T61" s="54"/>
      <c r="U61" s="56"/>
    </row>
    <row r="62">
      <c r="A62" s="57"/>
      <c r="B62" s="71"/>
      <c r="C62" s="54"/>
      <c r="D62" s="55"/>
      <c r="E62" s="55"/>
      <c r="F62" s="55"/>
      <c r="G62" s="55"/>
      <c r="H62" s="55"/>
      <c r="I62" s="55"/>
      <c r="J62" s="55"/>
      <c r="K62" s="55"/>
      <c r="L62" s="73"/>
      <c r="M62" s="55"/>
      <c r="N62" s="55"/>
      <c r="O62" s="55"/>
      <c r="P62" s="55"/>
      <c r="Q62" s="54"/>
      <c r="R62" s="54"/>
      <c r="S62" s="54"/>
      <c r="T62" s="54"/>
      <c r="U62" s="56"/>
    </row>
    <row r="63">
      <c r="A63" s="57"/>
      <c r="B63" s="71"/>
      <c r="C63" s="54"/>
      <c r="D63" s="55"/>
      <c r="E63" s="55"/>
      <c r="F63" s="55"/>
      <c r="G63" s="55"/>
      <c r="H63" s="55"/>
      <c r="I63" s="55"/>
      <c r="J63" s="55"/>
      <c r="K63" s="55"/>
      <c r="L63" s="73"/>
      <c r="M63" s="55"/>
      <c r="N63" s="55"/>
      <c r="O63" s="55"/>
      <c r="P63" s="55"/>
      <c r="Q63" s="54"/>
      <c r="R63" s="54"/>
      <c r="S63" s="54"/>
      <c r="T63" s="54"/>
      <c r="U63" s="56"/>
    </row>
    <row r="64">
      <c r="A64" s="57"/>
      <c r="B64" s="71"/>
      <c r="C64" s="54"/>
      <c r="D64" s="55"/>
      <c r="E64" s="55"/>
      <c r="F64" s="55"/>
      <c r="G64" s="55"/>
      <c r="H64" s="55"/>
      <c r="I64" s="55"/>
      <c r="J64" s="55"/>
      <c r="K64" s="55"/>
      <c r="L64" s="73"/>
      <c r="M64" s="55"/>
      <c r="N64" s="55"/>
      <c r="O64" s="55"/>
      <c r="P64" s="55"/>
      <c r="Q64" s="54"/>
      <c r="R64" s="54"/>
      <c r="S64" s="54"/>
      <c r="T64" s="54"/>
      <c r="U64" s="56"/>
    </row>
    <row r="65">
      <c r="A65" s="57"/>
      <c r="B65" s="71"/>
      <c r="C65" s="54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4"/>
      <c r="R65" s="54"/>
      <c r="S65" s="54"/>
      <c r="T65" s="54"/>
      <c r="U65" s="56"/>
    </row>
    <row r="66">
      <c r="A66" s="57"/>
      <c r="B66" s="71"/>
      <c r="C66" s="54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4"/>
      <c r="R66" s="54"/>
      <c r="S66" s="54"/>
      <c r="T66" s="54"/>
      <c r="U66" s="56"/>
    </row>
    <row r="67">
      <c r="A67" s="57"/>
      <c r="B67" s="71"/>
      <c r="C67" s="54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4"/>
      <c r="R67" s="54"/>
      <c r="S67" s="54"/>
      <c r="T67" s="54"/>
      <c r="U67" s="56"/>
    </row>
    <row r="68">
      <c r="A68" s="57"/>
      <c r="B68" s="71"/>
      <c r="C68" s="54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4"/>
      <c r="R68" s="54"/>
      <c r="S68" s="54"/>
      <c r="T68" s="54"/>
      <c r="U68" s="56"/>
    </row>
    <row r="69">
      <c r="A69" s="57"/>
      <c r="B69" s="71"/>
      <c r="C69" s="54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4"/>
      <c r="R69" s="54"/>
      <c r="S69" s="54"/>
      <c r="T69" s="54"/>
      <c r="U69" s="56"/>
    </row>
    <row r="70">
      <c r="A70" s="57"/>
      <c r="B70" s="71"/>
      <c r="C70" s="54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4"/>
      <c r="R70" s="54"/>
      <c r="S70" s="54"/>
      <c r="T70" s="54"/>
      <c r="U70" s="56"/>
    </row>
    <row r="71">
      <c r="A71" s="57"/>
      <c r="B71" s="71"/>
      <c r="C71" s="54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4"/>
      <c r="R71" s="54"/>
      <c r="S71" s="54"/>
      <c r="T71" s="54"/>
      <c r="U71" s="56"/>
    </row>
    <row r="72">
      <c r="A72" s="57"/>
      <c r="B72" s="71"/>
      <c r="C72" s="54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4"/>
      <c r="R72" s="54"/>
      <c r="S72" s="54"/>
      <c r="T72" s="54"/>
      <c r="U72" s="56"/>
    </row>
    <row r="73">
      <c r="A73" s="57"/>
      <c r="B73" s="71"/>
      <c r="C73" s="54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4"/>
      <c r="R73" s="54"/>
      <c r="S73" s="54"/>
      <c r="T73" s="54"/>
      <c r="U73" s="56"/>
    </row>
    <row r="74">
      <c r="A74" s="57"/>
      <c r="B74" s="71"/>
      <c r="C74" s="54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4"/>
      <c r="R74" s="54"/>
      <c r="S74" s="54"/>
      <c r="T74" s="54"/>
      <c r="U74" s="56"/>
    </row>
    <row r="75">
      <c r="A75" s="57"/>
      <c r="B75" s="71"/>
      <c r="C75" s="54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4"/>
      <c r="R75" s="54"/>
      <c r="S75" s="54"/>
      <c r="T75" s="54"/>
      <c r="U75" s="56"/>
    </row>
    <row r="76">
      <c r="A76" s="57"/>
      <c r="B76" s="71"/>
      <c r="C76" s="54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4"/>
      <c r="R76" s="54"/>
      <c r="S76" s="54"/>
      <c r="T76" s="54"/>
      <c r="U76" s="56"/>
    </row>
    <row r="77">
      <c r="A77" s="57"/>
      <c r="B77" s="71"/>
      <c r="C77" s="54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4"/>
      <c r="R77" s="54"/>
      <c r="S77" s="54"/>
      <c r="T77" s="54"/>
      <c r="U77" s="56"/>
    </row>
    <row r="78">
      <c r="A78" s="57"/>
      <c r="B78" s="71"/>
      <c r="C78" s="54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4"/>
      <c r="R78" s="54"/>
      <c r="S78" s="54"/>
      <c r="T78" s="54"/>
      <c r="U78" s="56"/>
    </row>
    <row r="79">
      <c r="A79" s="57"/>
      <c r="B79" s="71"/>
      <c r="C79" s="54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4"/>
      <c r="R79" s="54"/>
      <c r="S79" s="54"/>
      <c r="T79" s="54"/>
      <c r="U79" s="56"/>
    </row>
    <row r="80">
      <c r="A80" s="57"/>
      <c r="B80" s="71"/>
      <c r="C80" s="54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4"/>
      <c r="R80" s="54"/>
      <c r="S80" s="54"/>
      <c r="T80" s="54"/>
      <c r="U80" s="56"/>
    </row>
    <row r="81">
      <c r="A81" s="57"/>
      <c r="B81" s="71"/>
      <c r="C81" s="54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4"/>
      <c r="R81" s="54"/>
      <c r="S81" s="54"/>
      <c r="T81" s="54"/>
      <c r="U81" s="56"/>
    </row>
    <row r="82">
      <c r="A82" s="57"/>
      <c r="B82" s="71"/>
      <c r="C82" s="54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4"/>
      <c r="R82" s="54"/>
      <c r="S82" s="54"/>
      <c r="T82" s="54"/>
      <c r="U82" s="56"/>
    </row>
    <row r="83">
      <c r="A83" s="57"/>
      <c r="B83" s="71"/>
      <c r="C83" s="54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4"/>
      <c r="R83" s="54"/>
      <c r="S83" s="54"/>
      <c r="T83" s="54"/>
      <c r="U83" s="56"/>
    </row>
    <row r="84">
      <c r="A84" s="57"/>
      <c r="B84" s="71"/>
      <c r="C84" s="54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4"/>
      <c r="R84" s="54"/>
      <c r="S84" s="54"/>
      <c r="T84" s="54"/>
      <c r="U84" s="56"/>
    </row>
    <row r="85">
      <c r="A85" s="57"/>
      <c r="B85" s="71"/>
      <c r="C85" s="54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4"/>
      <c r="R85" s="54"/>
      <c r="S85" s="54"/>
      <c r="T85" s="54"/>
      <c r="U85" s="56"/>
    </row>
    <row r="86">
      <c r="A86" s="57"/>
      <c r="B86" s="71"/>
      <c r="C86" s="54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4"/>
      <c r="R86" s="54"/>
      <c r="S86" s="54"/>
      <c r="T86" s="54"/>
      <c r="U86" s="56"/>
    </row>
    <row r="87">
      <c r="A87" s="57"/>
      <c r="B87" s="71"/>
      <c r="C87" s="54"/>
      <c r="D87" s="55"/>
      <c r="E87" s="55"/>
      <c r="F87" s="55"/>
      <c r="G87" s="55"/>
      <c r="H87" s="55"/>
      <c r="I87" s="55"/>
      <c r="J87" s="55"/>
      <c r="K87" s="55"/>
      <c r="L87" s="74"/>
      <c r="M87" s="55"/>
      <c r="N87" s="55"/>
      <c r="O87" s="55"/>
      <c r="P87" s="55"/>
      <c r="Q87" s="54"/>
      <c r="R87" s="54"/>
      <c r="S87" s="54"/>
      <c r="T87" s="54"/>
      <c r="U87" s="56"/>
    </row>
    <row r="88">
      <c r="A88" s="57"/>
      <c r="B88" s="71"/>
      <c r="C88" s="54"/>
      <c r="D88" s="55"/>
      <c r="E88" s="55"/>
      <c r="F88" s="55"/>
      <c r="G88" s="55"/>
      <c r="H88" s="55"/>
      <c r="I88" s="55"/>
      <c r="J88" s="55"/>
      <c r="K88" s="55"/>
      <c r="L88" s="74"/>
      <c r="M88" s="55"/>
      <c r="N88" s="55"/>
      <c r="O88" s="55"/>
      <c r="P88" s="55"/>
      <c r="Q88" s="54"/>
      <c r="R88" s="54"/>
      <c r="S88" s="54"/>
      <c r="T88" s="54"/>
      <c r="U88" s="56"/>
    </row>
    <row r="89">
      <c r="A89" s="57"/>
      <c r="B89" s="71"/>
      <c r="C89" s="54"/>
      <c r="D89" s="55"/>
      <c r="E89" s="55"/>
      <c r="F89" s="55"/>
      <c r="G89" s="55"/>
      <c r="H89" s="55"/>
      <c r="I89" s="55"/>
      <c r="J89" s="55"/>
      <c r="K89" s="55"/>
      <c r="L89" s="74"/>
      <c r="M89" s="55"/>
      <c r="N89" s="55"/>
      <c r="O89" s="55"/>
      <c r="P89" s="55"/>
      <c r="Q89" s="54"/>
      <c r="R89" s="54"/>
      <c r="S89" s="54"/>
      <c r="T89" s="54"/>
      <c r="U89" s="56"/>
    </row>
    <row r="90">
      <c r="A90" s="57"/>
      <c r="B90" s="71"/>
      <c r="C90" s="54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4"/>
      <c r="R90" s="54"/>
      <c r="S90" s="54"/>
      <c r="T90" s="54"/>
      <c r="U90" s="56"/>
    </row>
    <row r="91">
      <c r="A91" s="57"/>
      <c r="B91" s="71"/>
      <c r="C91" s="54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4"/>
      <c r="R91" s="54"/>
      <c r="S91" s="54"/>
      <c r="T91" s="54"/>
      <c r="U91" s="56"/>
    </row>
    <row r="92">
      <c r="A92" s="57"/>
      <c r="B92" s="71"/>
      <c r="C92" s="54"/>
      <c r="D92" s="55"/>
      <c r="E92" s="55"/>
      <c r="F92" s="55"/>
      <c r="G92" s="55"/>
      <c r="H92" s="55"/>
      <c r="I92" s="55"/>
      <c r="J92" s="55"/>
      <c r="K92" s="55"/>
      <c r="L92" s="74"/>
      <c r="M92" s="55"/>
      <c r="N92" s="55"/>
      <c r="O92" s="55"/>
      <c r="P92" s="55"/>
      <c r="Q92" s="54"/>
      <c r="R92" s="54"/>
      <c r="S92" s="54"/>
      <c r="T92" s="54"/>
      <c r="U92" s="56"/>
    </row>
    <row r="93">
      <c r="A93" s="57"/>
      <c r="B93" s="71"/>
      <c r="C93" s="54"/>
      <c r="D93" s="55"/>
      <c r="E93" s="55"/>
      <c r="F93" s="55"/>
      <c r="G93" s="55"/>
      <c r="H93" s="55"/>
      <c r="I93" s="55"/>
      <c r="J93" s="73"/>
      <c r="K93" s="73"/>
      <c r="L93" s="55"/>
      <c r="M93" s="55"/>
      <c r="N93" s="55"/>
      <c r="O93" s="73"/>
      <c r="P93" s="55"/>
      <c r="Q93" s="54"/>
      <c r="R93" s="54"/>
      <c r="S93" s="54"/>
      <c r="T93" s="54"/>
      <c r="U93" s="56"/>
    </row>
    <row r="94">
      <c r="A94" s="57"/>
      <c r="B94" s="55"/>
      <c r="C94" s="54"/>
      <c r="D94" s="55"/>
      <c r="E94" s="55"/>
      <c r="F94" s="73"/>
      <c r="G94" s="73"/>
      <c r="H94" s="73"/>
      <c r="I94" s="55"/>
      <c r="J94" s="73"/>
      <c r="K94" s="73"/>
      <c r="L94" s="73"/>
      <c r="M94" s="55"/>
      <c r="N94" s="55"/>
      <c r="O94" s="55"/>
      <c r="P94" s="55"/>
      <c r="Q94" s="54"/>
      <c r="R94" s="54"/>
      <c r="S94" s="54"/>
      <c r="T94" s="54"/>
      <c r="U94" s="56"/>
    </row>
    <row r="95">
      <c r="A95" s="57"/>
      <c r="B95" s="55"/>
      <c r="C95" s="54"/>
      <c r="D95" s="55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54"/>
      <c r="R95" s="54"/>
      <c r="S95" s="54"/>
      <c r="T95" s="54"/>
      <c r="U95" s="56"/>
    </row>
    <row r="96">
      <c r="A96" s="57"/>
      <c r="B96" s="55"/>
      <c r="C96" s="55"/>
      <c r="D96" s="55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54"/>
      <c r="R96" s="54"/>
      <c r="S96" s="54"/>
      <c r="T96" s="54"/>
      <c r="U96" s="56"/>
    </row>
    <row r="97">
      <c r="A97" s="57"/>
      <c r="B97" s="55"/>
      <c r="C97" s="54"/>
      <c r="D97" s="55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54"/>
      <c r="R97" s="54"/>
      <c r="S97" s="54"/>
      <c r="T97" s="54"/>
      <c r="U97" s="56"/>
    </row>
    <row r="98">
      <c r="A98" s="57"/>
      <c r="B98" s="55"/>
      <c r="C98" s="54"/>
      <c r="D98" s="55"/>
      <c r="E98" s="73"/>
      <c r="F98" s="55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54"/>
      <c r="R98" s="54"/>
      <c r="S98" s="54"/>
      <c r="T98" s="54"/>
      <c r="U98" s="56"/>
    </row>
    <row r="99">
      <c r="A99" s="57"/>
      <c r="B99" s="55"/>
      <c r="C99" s="54"/>
      <c r="D99" s="55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54"/>
      <c r="R99" s="54"/>
      <c r="S99" s="54"/>
      <c r="T99" s="54"/>
      <c r="U99" s="56"/>
    </row>
    <row r="100">
      <c r="A100" s="57"/>
      <c r="B100" s="55"/>
      <c r="C100" s="54"/>
      <c r="D100" s="55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54"/>
      <c r="R100" s="54"/>
      <c r="S100" s="54"/>
      <c r="T100" s="54"/>
      <c r="U100" s="56"/>
    </row>
    <row r="101">
      <c r="A101" s="57"/>
      <c r="B101" s="55"/>
      <c r="C101" s="54"/>
      <c r="D101" s="55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54"/>
      <c r="R101" s="54"/>
      <c r="S101" s="54"/>
      <c r="T101" s="54"/>
      <c r="U101" s="56"/>
    </row>
    <row r="102">
      <c r="A102" s="57"/>
      <c r="B102" s="55"/>
      <c r="C102" s="54"/>
      <c r="D102" s="55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54"/>
      <c r="R102" s="54"/>
      <c r="S102" s="54"/>
      <c r="T102" s="54"/>
      <c r="U102" s="56"/>
    </row>
    <row r="103">
      <c r="A103" s="57"/>
      <c r="B103" s="55"/>
      <c r="C103" s="54"/>
      <c r="D103" s="55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54"/>
      <c r="R103" s="54"/>
      <c r="S103" s="54"/>
      <c r="T103" s="54"/>
      <c r="U103" s="56"/>
    </row>
    <row r="104">
      <c r="A104" s="57"/>
      <c r="B104" s="55"/>
      <c r="C104" s="54"/>
      <c r="D104" s="55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54"/>
      <c r="R104" s="54"/>
      <c r="S104" s="54"/>
      <c r="T104" s="54"/>
      <c r="U104" s="56"/>
    </row>
    <row r="105">
      <c r="A105" s="57"/>
      <c r="B105" s="55"/>
      <c r="C105" s="54"/>
      <c r="D105" s="55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54"/>
      <c r="R105" s="54"/>
      <c r="S105" s="54"/>
      <c r="T105" s="54"/>
      <c r="U105" s="56"/>
    </row>
    <row r="106">
      <c r="A106" s="57"/>
      <c r="B106" s="55"/>
      <c r="C106" s="54"/>
      <c r="D106" s="55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54"/>
      <c r="R106" s="54"/>
      <c r="S106" s="54"/>
      <c r="T106" s="54"/>
      <c r="U106" s="56"/>
    </row>
    <row r="107">
      <c r="A107" s="57"/>
      <c r="B107" s="55"/>
      <c r="C107" s="54"/>
      <c r="D107" s="55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54"/>
      <c r="R107" s="54"/>
      <c r="S107" s="54"/>
      <c r="T107" s="54"/>
      <c r="U107" s="56"/>
    </row>
    <row r="108">
      <c r="A108" s="57"/>
      <c r="B108" s="55"/>
      <c r="C108" s="54"/>
      <c r="D108" s="55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54"/>
      <c r="R108" s="54"/>
      <c r="S108" s="54"/>
      <c r="T108" s="54"/>
      <c r="U108" s="56"/>
    </row>
    <row r="109">
      <c r="A109" s="57"/>
      <c r="B109" s="55"/>
      <c r="C109" s="54"/>
      <c r="D109" s="55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54"/>
      <c r="R109" s="54"/>
      <c r="S109" s="54"/>
      <c r="T109" s="54"/>
      <c r="U109" s="56"/>
    </row>
    <row r="110">
      <c r="A110" s="57"/>
      <c r="B110" s="55"/>
      <c r="C110" s="54"/>
      <c r="D110" s="55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54"/>
      <c r="R110" s="54"/>
      <c r="S110" s="54"/>
      <c r="T110" s="54"/>
      <c r="U110" s="56"/>
    </row>
    <row r="111">
      <c r="A111" s="57"/>
      <c r="B111" s="55"/>
      <c r="C111" s="54"/>
      <c r="D111" s="55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54"/>
      <c r="R111" s="54"/>
      <c r="S111" s="54"/>
      <c r="T111" s="54"/>
      <c r="U111" s="56"/>
    </row>
    <row r="112">
      <c r="A112" s="57"/>
      <c r="B112" s="71"/>
      <c r="C112" s="54"/>
      <c r="D112" s="55"/>
      <c r="E112" s="55"/>
      <c r="F112" s="55"/>
      <c r="G112" s="55"/>
      <c r="H112" s="55"/>
      <c r="I112" s="55"/>
      <c r="J112" s="55"/>
      <c r="K112" s="73"/>
      <c r="L112" s="55"/>
      <c r="M112" s="55"/>
      <c r="N112" s="55"/>
      <c r="O112" s="73"/>
      <c r="P112" s="73"/>
      <c r="Q112" s="54"/>
      <c r="R112" s="54"/>
      <c r="S112" s="54"/>
      <c r="T112" s="54"/>
      <c r="U112" s="56"/>
    </row>
    <row r="113">
      <c r="A113" s="57"/>
      <c r="B113" s="71"/>
      <c r="C113" s="54"/>
      <c r="D113" s="55"/>
      <c r="E113" s="55"/>
      <c r="F113" s="55"/>
      <c r="G113" s="55"/>
      <c r="H113" s="55"/>
      <c r="I113" s="55"/>
      <c r="J113" s="55"/>
      <c r="K113" s="73"/>
      <c r="L113" s="55"/>
      <c r="M113" s="55"/>
      <c r="N113" s="55"/>
      <c r="O113" s="73"/>
      <c r="P113" s="73"/>
      <c r="Q113" s="54"/>
      <c r="R113" s="54"/>
      <c r="S113" s="54"/>
      <c r="T113" s="54"/>
      <c r="U113" s="56"/>
    </row>
    <row r="114">
      <c r="A114" s="57"/>
      <c r="B114" s="71"/>
      <c r="C114" s="54"/>
      <c r="D114" s="55"/>
      <c r="E114" s="55"/>
      <c r="F114" s="55"/>
      <c r="G114" s="55"/>
      <c r="H114" s="55"/>
      <c r="I114" s="55"/>
      <c r="J114" s="73"/>
      <c r="K114" s="73"/>
      <c r="L114" s="55"/>
      <c r="M114" s="55"/>
      <c r="N114" s="55"/>
      <c r="O114" s="73"/>
      <c r="P114" s="55"/>
      <c r="Q114" s="54"/>
      <c r="R114" s="54"/>
      <c r="S114" s="54"/>
      <c r="T114" s="54"/>
      <c r="U114" s="56"/>
    </row>
    <row r="115">
      <c r="A115" s="57"/>
      <c r="B115" s="71"/>
      <c r="C115" s="54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4"/>
      <c r="R115" s="54"/>
      <c r="S115" s="54"/>
      <c r="T115" s="54"/>
      <c r="U115" s="56"/>
    </row>
    <row r="116">
      <c r="A116" s="66"/>
      <c r="B116" s="55"/>
      <c r="C116" s="54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73"/>
      <c r="Q116" s="54"/>
      <c r="R116" s="54"/>
      <c r="S116" s="54"/>
      <c r="T116" s="54"/>
      <c r="U116" s="56"/>
    </row>
    <row r="117">
      <c r="A117" s="66"/>
      <c r="B117" s="55"/>
      <c r="C117" s="54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73"/>
      <c r="Q117" s="54"/>
      <c r="R117" s="54"/>
      <c r="S117" s="54"/>
      <c r="T117" s="54"/>
      <c r="U117" s="56"/>
    </row>
    <row r="118">
      <c r="A118" s="66"/>
      <c r="B118" s="55"/>
      <c r="C118" s="54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73"/>
      <c r="Q118" s="54"/>
      <c r="R118" s="54"/>
      <c r="S118" s="54"/>
      <c r="T118" s="54"/>
      <c r="U118" s="56"/>
    </row>
    <row r="119">
      <c r="A119" s="66"/>
      <c r="B119" s="55"/>
      <c r="C119" s="54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73"/>
      <c r="Q119" s="54"/>
      <c r="R119" s="54"/>
      <c r="S119" s="54"/>
      <c r="T119" s="54"/>
      <c r="U119" s="56"/>
    </row>
    <row r="120">
      <c r="A120" s="66"/>
      <c r="B120" s="55"/>
      <c r="C120" s="54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73"/>
      <c r="Q120" s="54"/>
      <c r="R120" s="54"/>
      <c r="S120" s="54"/>
      <c r="T120" s="54"/>
      <c r="U120" s="56"/>
    </row>
    <row r="121">
      <c r="A121" s="66"/>
      <c r="B121" s="71"/>
      <c r="C121" s="54"/>
      <c r="D121" s="55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54"/>
      <c r="R121" s="54"/>
      <c r="S121" s="54"/>
      <c r="T121" s="54"/>
      <c r="U121" s="56"/>
    </row>
    <row r="122">
      <c r="A122" s="66"/>
      <c r="B122" s="71"/>
      <c r="C122" s="54"/>
      <c r="D122" s="55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54"/>
      <c r="R122" s="54"/>
      <c r="S122" s="54"/>
      <c r="T122" s="54"/>
      <c r="U122" s="56"/>
    </row>
    <row r="123">
      <c r="A123" s="66"/>
      <c r="B123" s="71"/>
      <c r="C123" s="54"/>
      <c r="D123" s="55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54"/>
      <c r="R123" s="54"/>
      <c r="S123" s="54"/>
      <c r="T123" s="54"/>
      <c r="U123" s="56"/>
    </row>
    <row r="124">
      <c r="A124" s="66"/>
      <c r="B124" s="71"/>
      <c r="C124" s="54"/>
      <c r="D124" s="55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54"/>
      <c r="R124" s="54"/>
      <c r="S124" s="54"/>
      <c r="T124" s="54"/>
      <c r="U124" s="56"/>
    </row>
    <row r="125">
      <c r="A125" s="66"/>
      <c r="B125" s="55"/>
      <c r="C125" s="54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73"/>
      <c r="Q125" s="54"/>
      <c r="R125" s="54"/>
      <c r="S125" s="54"/>
      <c r="T125" s="54"/>
      <c r="U125" s="56"/>
    </row>
    <row r="126">
      <c r="A126" s="66"/>
      <c r="B126" s="55"/>
      <c r="C126" s="54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73"/>
      <c r="Q126" s="54"/>
      <c r="R126" s="54"/>
      <c r="S126" s="54"/>
      <c r="T126" s="54"/>
      <c r="U126" s="56"/>
    </row>
    <row r="127">
      <c r="A127" s="77"/>
      <c r="B127" s="71"/>
      <c r="C127" s="54"/>
      <c r="D127" s="73"/>
      <c r="E127" s="73"/>
      <c r="F127" s="55"/>
      <c r="G127" s="73"/>
      <c r="H127" s="73"/>
      <c r="I127" s="55"/>
      <c r="J127" s="55"/>
      <c r="K127" s="73"/>
      <c r="L127" s="73"/>
      <c r="M127" s="73"/>
      <c r="N127" s="73"/>
      <c r="O127" s="73"/>
      <c r="P127" s="73"/>
      <c r="Q127" s="54"/>
      <c r="R127" s="54"/>
      <c r="S127" s="54"/>
      <c r="T127" s="54"/>
      <c r="U127" s="56"/>
    </row>
    <row r="128">
      <c r="A128" s="66"/>
      <c r="B128" s="71"/>
      <c r="C128" s="54"/>
      <c r="D128" s="73"/>
      <c r="E128" s="73"/>
      <c r="F128" s="55"/>
      <c r="G128" s="73"/>
      <c r="H128" s="73"/>
      <c r="I128" s="55"/>
      <c r="J128" s="55"/>
      <c r="K128" s="73"/>
      <c r="L128" s="73"/>
      <c r="M128" s="73"/>
      <c r="N128" s="73"/>
      <c r="O128" s="73"/>
      <c r="P128" s="73"/>
      <c r="Q128" s="54"/>
      <c r="R128" s="54"/>
      <c r="S128" s="54"/>
      <c r="T128" s="54"/>
      <c r="U128" s="56"/>
    </row>
    <row r="129">
      <c r="A129" s="66"/>
      <c r="B129" s="71"/>
      <c r="C129" s="54"/>
      <c r="D129" s="73"/>
      <c r="E129" s="73"/>
      <c r="F129" s="55"/>
      <c r="G129" s="55"/>
      <c r="H129" s="55"/>
      <c r="I129" s="55"/>
      <c r="J129" s="55"/>
      <c r="K129" s="73"/>
      <c r="L129" s="55"/>
      <c r="M129" s="55"/>
      <c r="N129" s="55"/>
      <c r="O129" s="55"/>
      <c r="P129" s="73"/>
      <c r="Q129" s="54"/>
      <c r="R129" s="54"/>
      <c r="S129" s="54"/>
      <c r="T129" s="54"/>
      <c r="U129" s="56"/>
    </row>
    <row r="130">
      <c r="A130" s="66"/>
      <c r="B130" s="71"/>
      <c r="C130" s="54"/>
      <c r="D130" s="73"/>
      <c r="E130" s="73"/>
      <c r="F130" s="55"/>
      <c r="G130" s="55"/>
      <c r="H130" s="55"/>
      <c r="I130" s="55"/>
      <c r="J130" s="55"/>
      <c r="K130" s="73"/>
      <c r="L130" s="55"/>
      <c r="M130" s="55"/>
      <c r="N130" s="55"/>
      <c r="O130" s="55"/>
      <c r="P130" s="73"/>
      <c r="Q130" s="54"/>
      <c r="R130" s="54"/>
      <c r="S130" s="54"/>
      <c r="T130" s="54"/>
      <c r="U130" s="56"/>
    </row>
    <row r="131">
      <c r="A131" s="66"/>
      <c r="B131" s="71"/>
      <c r="C131" s="54"/>
      <c r="D131" s="73"/>
      <c r="E131" s="73"/>
      <c r="F131" s="55"/>
      <c r="G131" s="55"/>
      <c r="H131" s="55"/>
      <c r="I131" s="55"/>
      <c r="J131" s="55"/>
      <c r="K131" s="73"/>
      <c r="L131" s="55"/>
      <c r="M131" s="55"/>
      <c r="N131" s="55"/>
      <c r="O131" s="55"/>
      <c r="P131" s="73"/>
      <c r="Q131" s="54"/>
      <c r="R131" s="54"/>
      <c r="S131" s="54"/>
      <c r="T131" s="54"/>
      <c r="U131" s="56"/>
    </row>
    <row r="132">
      <c r="A132" s="66"/>
      <c r="B132" s="71"/>
      <c r="C132" s="54"/>
      <c r="D132" s="73"/>
      <c r="E132" s="73"/>
      <c r="F132" s="55"/>
      <c r="G132" s="55"/>
      <c r="H132" s="55"/>
      <c r="I132" s="55"/>
      <c r="J132" s="55"/>
      <c r="K132" s="73"/>
      <c r="L132" s="55"/>
      <c r="M132" s="55"/>
      <c r="N132" s="55"/>
      <c r="O132" s="55"/>
      <c r="P132" s="73"/>
      <c r="Q132" s="54"/>
      <c r="R132" s="54"/>
      <c r="S132" s="54"/>
      <c r="T132" s="54"/>
      <c r="U132" s="56"/>
    </row>
    <row r="133">
      <c r="A133" s="66"/>
      <c r="B133" s="71"/>
      <c r="C133" s="54"/>
      <c r="D133" s="73"/>
      <c r="E133" s="73"/>
      <c r="F133" s="55"/>
      <c r="G133" s="55"/>
      <c r="H133" s="55"/>
      <c r="I133" s="55"/>
      <c r="J133" s="55"/>
      <c r="K133" s="73"/>
      <c r="L133" s="55"/>
      <c r="M133" s="55"/>
      <c r="N133" s="55"/>
      <c r="O133" s="55"/>
      <c r="P133" s="73"/>
      <c r="Q133" s="54"/>
      <c r="R133" s="54"/>
      <c r="S133" s="54"/>
      <c r="T133" s="54"/>
      <c r="U133" s="56"/>
    </row>
    <row r="134">
      <c r="A134" s="66"/>
      <c r="B134" s="71"/>
      <c r="C134" s="54"/>
      <c r="D134" s="55"/>
      <c r="E134" s="73"/>
      <c r="F134" s="55"/>
      <c r="G134" s="55"/>
      <c r="H134" s="55"/>
      <c r="I134" s="55"/>
      <c r="J134" s="55"/>
      <c r="K134" s="73"/>
      <c r="L134" s="55"/>
      <c r="M134" s="55"/>
      <c r="N134" s="55"/>
      <c r="O134" s="55"/>
      <c r="P134" s="73"/>
      <c r="Q134" s="54"/>
      <c r="R134" s="54"/>
      <c r="S134" s="54"/>
      <c r="T134" s="54"/>
      <c r="U134" s="56"/>
    </row>
    <row r="135">
      <c r="A135" s="66"/>
      <c r="B135" s="71"/>
      <c r="C135" s="54"/>
      <c r="D135" s="55"/>
      <c r="E135" s="73"/>
      <c r="F135" s="55"/>
      <c r="G135" s="55"/>
      <c r="H135" s="55"/>
      <c r="I135" s="55"/>
      <c r="J135" s="55"/>
      <c r="K135" s="73"/>
      <c r="L135" s="55"/>
      <c r="M135" s="55"/>
      <c r="N135" s="55"/>
      <c r="O135" s="73"/>
      <c r="P135" s="73"/>
      <c r="Q135" s="54"/>
      <c r="R135" s="54"/>
      <c r="S135" s="54"/>
      <c r="T135" s="54"/>
      <c r="U135" s="56"/>
    </row>
    <row r="136">
      <c r="A136" s="66"/>
      <c r="B136" s="71"/>
      <c r="C136" s="54"/>
      <c r="D136" s="55"/>
      <c r="E136" s="73"/>
      <c r="F136" s="55"/>
      <c r="G136" s="55"/>
      <c r="H136" s="55"/>
      <c r="I136" s="55"/>
      <c r="J136" s="55"/>
      <c r="K136" s="73"/>
      <c r="L136" s="55"/>
      <c r="M136" s="55"/>
      <c r="N136" s="55"/>
      <c r="O136" s="73"/>
      <c r="P136" s="73"/>
      <c r="Q136" s="54"/>
      <c r="R136" s="54"/>
      <c r="S136" s="54"/>
      <c r="T136" s="54"/>
      <c r="U136" s="56"/>
    </row>
    <row r="137">
      <c r="A137" s="66"/>
      <c r="B137" s="71"/>
      <c r="C137" s="54"/>
      <c r="D137" s="55"/>
      <c r="E137" s="73"/>
      <c r="F137" s="55"/>
      <c r="G137" s="55"/>
      <c r="H137" s="55"/>
      <c r="I137" s="55"/>
      <c r="J137" s="55"/>
      <c r="K137" s="73"/>
      <c r="L137" s="55"/>
      <c r="M137" s="55"/>
      <c r="N137" s="55"/>
      <c r="O137" s="55"/>
      <c r="P137" s="73"/>
      <c r="Q137" s="54"/>
      <c r="R137" s="54"/>
      <c r="S137" s="54"/>
      <c r="T137" s="54"/>
      <c r="U137" s="56"/>
    </row>
    <row r="138">
      <c r="A138" s="66"/>
      <c r="B138" s="71"/>
      <c r="C138" s="54"/>
      <c r="D138" s="55"/>
      <c r="E138" s="73"/>
      <c r="F138" s="55"/>
      <c r="G138" s="55"/>
      <c r="H138" s="55"/>
      <c r="I138" s="55"/>
      <c r="J138" s="55"/>
      <c r="K138" s="73"/>
      <c r="L138" s="55"/>
      <c r="M138" s="55"/>
      <c r="N138" s="55"/>
      <c r="O138" s="55"/>
      <c r="P138" s="73"/>
      <c r="Q138" s="54"/>
      <c r="R138" s="54"/>
      <c r="S138" s="54"/>
      <c r="T138" s="54"/>
      <c r="U138" s="56"/>
    </row>
    <row r="139">
      <c r="A139" s="66"/>
      <c r="B139" s="71"/>
      <c r="C139" s="54"/>
      <c r="D139" s="55"/>
      <c r="E139" s="73"/>
      <c r="F139" s="55"/>
      <c r="G139" s="55"/>
      <c r="H139" s="55"/>
      <c r="I139" s="55"/>
      <c r="J139" s="55"/>
      <c r="K139" s="73"/>
      <c r="L139" s="55"/>
      <c r="M139" s="55"/>
      <c r="N139" s="55"/>
      <c r="O139" s="55"/>
      <c r="P139" s="73"/>
      <c r="Q139" s="54"/>
      <c r="R139" s="54"/>
      <c r="S139" s="54"/>
      <c r="T139" s="54"/>
      <c r="U139" s="56"/>
    </row>
    <row r="140">
      <c r="A140" s="66"/>
      <c r="B140" s="71"/>
      <c r="C140" s="54"/>
      <c r="D140" s="55"/>
      <c r="E140" s="73"/>
      <c r="F140" s="55"/>
      <c r="G140" s="55"/>
      <c r="H140" s="55"/>
      <c r="I140" s="55"/>
      <c r="J140" s="55"/>
      <c r="K140" s="73"/>
      <c r="L140" s="55"/>
      <c r="M140" s="55"/>
      <c r="N140" s="55"/>
      <c r="O140" s="55"/>
      <c r="P140" s="73"/>
      <c r="Q140" s="54"/>
      <c r="R140" s="54"/>
      <c r="S140" s="54"/>
      <c r="T140" s="54"/>
      <c r="U140" s="56"/>
    </row>
    <row r="141">
      <c r="A141" s="66"/>
      <c r="B141" s="71"/>
      <c r="C141" s="54"/>
      <c r="D141" s="55"/>
      <c r="E141" s="73"/>
      <c r="F141" s="55"/>
      <c r="G141" s="55"/>
      <c r="H141" s="55"/>
      <c r="I141" s="55"/>
      <c r="J141" s="55"/>
      <c r="K141" s="73"/>
      <c r="L141" s="55"/>
      <c r="M141" s="55"/>
      <c r="N141" s="55"/>
      <c r="O141" s="55"/>
      <c r="P141" s="73"/>
      <c r="Q141" s="54"/>
      <c r="R141" s="54"/>
      <c r="S141" s="54"/>
      <c r="T141" s="54"/>
      <c r="U141" s="56"/>
    </row>
    <row r="142">
      <c r="A142" s="66"/>
      <c r="B142" s="71"/>
      <c r="C142" s="54"/>
      <c r="D142" s="55"/>
      <c r="E142" s="73"/>
      <c r="F142" s="55"/>
      <c r="G142" s="55"/>
      <c r="H142" s="55"/>
      <c r="I142" s="55"/>
      <c r="J142" s="55"/>
      <c r="K142" s="73"/>
      <c r="L142" s="55"/>
      <c r="M142" s="55"/>
      <c r="N142" s="55"/>
      <c r="O142" s="73"/>
      <c r="P142" s="73"/>
      <c r="Q142" s="54"/>
      <c r="R142" s="54"/>
      <c r="S142" s="54"/>
      <c r="T142" s="54"/>
      <c r="U142" s="56"/>
    </row>
    <row r="143">
      <c r="A143" s="66"/>
      <c r="B143" s="71"/>
      <c r="C143" s="54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4"/>
      <c r="R143" s="54"/>
      <c r="S143" s="54"/>
      <c r="T143" s="54"/>
      <c r="U143" s="56"/>
    </row>
    <row r="144">
      <c r="A144" s="77"/>
      <c r="B144" s="71"/>
      <c r="C144" s="54"/>
      <c r="D144" s="73"/>
      <c r="E144" s="73"/>
      <c r="F144" s="73"/>
      <c r="G144" s="73"/>
      <c r="H144" s="73"/>
      <c r="I144" s="73"/>
      <c r="J144" s="55"/>
      <c r="K144" s="55"/>
      <c r="L144" s="55"/>
      <c r="M144" s="73"/>
      <c r="N144" s="73"/>
      <c r="O144" s="73"/>
      <c r="P144" s="73"/>
      <c r="Q144" s="54"/>
      <c r="R144" s="54"/>
      <c r="S144" s="54"/>
      <c r="T144" s="54"/>
      <c r="U144" s="56"/>
    </row>
    <row r="145">
      <c r="A145" s="66"/>
      <c r="B145" s="71"/>
      <c r="C145" s="54"/>
      <c r="D145" s="73"/>
      <c r="E145" s="73"/>
      <c r="F145" s="55"/>
      <c r="G145" s="73"/>
      <c r="H145" s="73"/>
      <c r="I145" s="55"/>
      <c r="J145" s="73"/>
      <c r="K145" s="55"/>
      <c r="L145" s="55"/>
      <c r="M145" s="73"/>
      <c r="N145" s="73"/>
      <c r="O145" s="73"/>
      <c r="P145" s="73"/>
      <c r="Q145" s="54"/>
      <c r="R145" s="54"/>
      <c r="S145" s="54"/>
      <c r="T145" s="54"/>
      <c r="U145" s="56"/>
    </row>
    <row r="146">
      <c r="A146" s="66"/>
      <c r="B146" s="71"/>
      <c r="C146" s="54"/>
      <c r="D146" s="73"/>
      <c r="E146" s="73"/>
      <c r="F146" s="55"/>
      <c r="G146" s="73"/>
      <c r="H146" s="73"/>
      <c r="I146" s="55"/>
      <c r="J146" s="55"/>
      <c r="K146" s="55"/>
      <c r="L146" s="73"/>
      <c r="M146" s="73"/>
      <c r="N146" s="73"/>
      <c r="O146" s="73"/>
      <c r="P146" s="73"/>
      <c r="Q146" s="54"/>
      <c r="R146" s="54"/>
      <c r="S146" s="54"/>
      <c r="T146" s="54"/>
      <c r="U146" s="56"/>
    </row>
    <row r="147">
      <c r="A147" s="66"/>
      <c r="B147" s="71"/>
      <c r="C147" s="54"/>
      <c r="D147" s="73"/>
      <c r="E147" s="73"/>
      <c r="F147" s="55"/>
      <c r="G147" s="73"/>
      <c r="H147" s="73"/>
      <c r="I147" s="55"/>
      <c r="J147" s="73"/>
      <c r="K147" s="73"/>
      <c r="L147" s="73"/>
      <c r="M147" s="73"/>
      <c r="N147" s="73"/>
      <c r="O147" s="73"/>
      <c r="P147" s="73"/>
      <c r="Q147" s="54"/>
      <c r="R147" s="54"/>
      <c r="S147" s="54"/>
      <c r="T147" s="54"/>
      <c r="U147" s="56"/>
    </row>
    <row r="148">
      <c r="A148" s="66"/>
      <c r="B148" s="71"/>
      <c r="C148" s="54"/>
      <c r="D148" s="73"/>
      <c r="E148" s="73"/>
      <c r="F148" s="55"/>
      <c r="G148" s="73"/>
      <c r="H148" s="73"/>
      <c r="I148" s="55"/>
      <c r="J148" s="55"/>
      <c r="K148" s="73"/>
      <c r="L148" s="73"/>
      <c r="M148" s="73"/>
      <c r="N148" s="73"/>
      <c r="O148" s="73"/>
      <c r="P148" s="73"/>
      <c r="Q148" s="54"/>
      <c r="R148" s="54"/>
      <c r="S148" s="54"/>
      <c r="T148" s="54"/>
      <c r="U148" s="56"/>
    </row>
    <row r="149">
      <c r="A149" s="66"/>
      <c r="B149" s="71"/>
      <c r="C149" s="54"/>
      <c r="D149" s="73"/>
      <c r="E149" s="73"/>
      <c r="F149" s="55"/>
      <c r="G149" s="73"/>
      <c r="H149" s="73"/>
      <c r="I149" s="55"/>
      <c r="J149" s="55"/>
      <c r="K149" s="73"/>
      <c r="L149" s="73"/>
      <c r="M149" s="73"/>
      <c r="N149" s="73"/>
      <c r="O149" s="73"/>
      <c r="P149" s="73"/>
      <c r="Q149" s="54"/>
      <c r="R149" s="54"/>
      <c r="S149" s="54"/>
      <c r="T149" s="54"/>
      <c r="U149" s="56"/>
    </row>
    <row r="150">
      <c r="A150" s="57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63"/>
      <c r="U150" s="56"/>
    </row>
    <row r="151">
      <c r="A151" s="57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63"/>
      <c r="U151" s="56"/>
    </row>
    <row r="152">
      <c r="A152" s="57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63"/>
      <c r="U152" s="56"/>
    </row>
    <row r="153">
      <c r="A153" s="57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63"/>
      <c r="U153" s="56"/>
    </row>
    <row r="154">
      <c r="A154" s="57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63"/>
      <c r="U154" s="56"/>
    </row>
    <row r="155">
      <c r="A155" s="57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63"/>
      <c r="U155" s="56"/>
    </row>
    <row r="156">
      <c r="A156" s="57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63"/>
      <c r="U156" s="56"/>
    </row>
    <row r="157">
      <c r="A157" s="57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63"/>
      <c r="U157" s="56"/>
    </row>
    <row r="158">
      <c r="A158" s="57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63"/>
      <c r="U158" s="56"/>
    </row>
    <row r="159">
      <c r="A159" s="57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63"/>
      <c r="U159" s="56"/>
    </row>
    <row r="160">
      <c r="A160" s="57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63"/>
      <c r="U160" s="56"/>
    </row>
    <row r="161">
      <c r="A161" s="57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63"/>
      <c r="U161" s="56"/>
    </row>
    <row r="162">
      <c r="A162" s="57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63"/>
      <c r="U162" s="56"/>
    </row>
    <row r="163">
      <c r="A163" s="57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63"/>
      <c r="U163" s="56"/>
    </row>
    <row r="164">
      <c r="A164" s="57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63"/>
      <c r="U164" s="56"/>
    </row>
    <row r="165">
      <c r="A165" s="57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63"/>
      <c r="U165" s="56"/>
    </row>
    <row r="166">
      <c r="A166" s="57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63"/>
      <c r="U166" s="56"/>
    </row>
    <row r="167">
      <c r="A167" s="57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63"/>
      <c r="U167" s="56"/>
    </row>
    <row r="168">
      <c r="A168" s="57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63"/>
      <c r="U168" s="56"/>
    </row>
    <row r="169">
      <c r="A169" s="57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63"/>
      <c r="U169" s="56"/>
    </row>
    <row r="170">
      <c r="A170" s="57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63"/>
      <c r="U170" s="56"/>
    </row>
    <row r="171">
      <c r="A171" s="57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63"/>
      <c r="U171" s="56"/>
    </row>
    <row r="172">
      <c r="A172" s="57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63"/>
      <c r="U172" s="56"/>
    </row>
    <row r="173">
      <c r="A173" s="57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63"/>
      <c r="U173" s="56"/>
    </row>
    <row r="174">
      <c r="A174" s="57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63"/>
      <c r="U174" s="56"/>
    </row>
    <row r="175">
      <c r="A175" s="57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63"/>
      <c r="U175" s="56"/>
    </row>
    <row r="176">
      <c r="A176" s="57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63"/>
      <c r="U176" s="56"/>
    </row>
    <row r="177">
      <c r="A177" s="57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63"/>
      <c r="U177" s="56"/>
    </row>
    <row r="178">
      <c r="A178" s="57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63"/>
      <c r="U178" s="56"/>
    </row>
    <row r="179">
      <c r="A179" s="57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63"/>
      <c r="U179" s="56"/>
    </row>
    <row r="180">
      <c r="A180" s="57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63"/>
      <c r="U180" s="56"/>
    </row>
    <row r="181">
      <c r="A181" s="57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63"/>
      <c r="U181" s="56"/>
    </row>
    <row r="182">
      <c r="A182" s="57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63"/>
      <c r="U182" s="56"/>
    </row>
    <row r="183">
      <c r="A183" s="57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63"/>
      <c r="U183" s="56"/>
    </row>
    <row r="184">
      <c r="A184" s="57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63"/>
      <c r="U184" s="56"/>
    </row>
    <row r="185">
      <c r="A185" s="57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63"/>
      <c r="U185" s="56"/>
    </row>
    <row r="186">
      <c r="A186" s="57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63"/>
      <c r="U186" s="56"/>
    </row>
    <row r="187">
      <c r="A187" s="57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63"/>
      <c r="U187" s="56"/>
    </row>
    <row r="188">
      <c r="A188" s="57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63"/>
      <c r="U188" s="56"/>
    </row>
    <row r="189">
      <c r="A189" s="57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63"/>
      <c r="U189" s="56"/>
    </row>
    <row r="190">
      <c r="A190" s="57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63"/>
      <c r="U190" s="56"/>
    </row>
    <row r="191">
      <c r="A191" s="57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63"/>
      <c r="U191" s="56"/>
    </row>
    <row r="192">
      <c r="A192" s="57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63"/>
      <c r="U192" s="56"/>
    </row>
    <row r="193">
      <c r="A193" s="57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63"/>
      <c r="U193" s="56"/>
    </row>
    <row r="194">
      <c r="A194" s="57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63"/>
      <c r="U194" s="56"/>
    </row>
    <row r="195">
      <c r="A195" s="57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63"/>
      <c r="U195" s="56"/>
    </row>
    <row r="196">
      <c r="A196" s="57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63"/>
      <c r="U196" s="56"/>
    </row>
    <row r="197">
      <c r="A197" s="57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63"/>
      <c r="U197" s="56"/>
    </row>
    <row r="198">
      <c r="A198" s="57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63"/>
      <c r="U198" s="56"/>
    </row>
    <row r="199">
      <c r="A199" s="57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63"/>
      <c r="U199" s="56"/>
    </row>
    <row r="200">
      <c r="A200" s="57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63"/>
      <c r="U200" s="56"/>
    </row>
    <row r="201">
      <c r="A201" s="57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63"/>
      <c r="U201" s="56"/>
    </row>
    <row r="202">
      <c r="A202" s="57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63"/>
      <c r="U202" s="56"/>
    </row>
    <row r="203">
      <c r="A203" s="57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63"/>
      <c r="U203" s="56"/>
    </row>
    <row r="204">
      <c r="A204" s="57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63"/>
      <c r="U204" s="56"/>
    </row>
    <row r="205">
      <c r="A205" s="57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63"/>
      <c r="U205" s="56"/>
    </row>
    <row r="206">
      <c r="A206" s="57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63"/>
      <c r="U206" s="56"/>
    </row>
    <row r="207">
      <c r="A207" s="57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63"/>
      <c r="U207" s="56"/>
    </row>
    <row r="208">
      <c r="A208" s="57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63"/>
      <c r="U208" s="56"/>
    </row>
    <row r="209">
      <c r="A209" s="57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63"/>
      <c r="U209" s="56"/>
    </row>
    <row r="210">
      <c r="A210" s="57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63"/>
      <c r="U210" s="56"/>
    </row>
    <row r="211">
      <c r="A211" s="57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63"/>
      <c r="U211" s="56"/>
    </row>
    <row r="212">
      <c r="A212" s="57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63"/>
      <c r="U212" s="56"/>
    </row>
    <row r="213">
      <c r="A213" s="57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63"/>
      <c r="U213" s="56"/>
    </row>
    <row r="214">
      <c r="A214" s="57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63"/>
      <c r="U214" s="56"/>
    </row>
    <row r="215">
      <c r="A215" s="57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63"/>
      <c r="U215" s="56"/>
    </row>
    <row r="216">
      <c r="A216" s="57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63"/>
      <c r="U216" s="56"/>
    </row>
    <row r="217">
      <c r="A217" s="57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63"/>
      <c r="U217" s="56"/>
    </row>
    <row r="218">
      <c r="A218" s="57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63"/>
      <c r="U218" s="56"/>
    </row>
    <row r="219">
      <c r="A219" s="57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63"/>
      <c r="U219" s="56"/>
    </row>
    <row r="220">
      <c r="A220" s="57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63"/>
      <c r="U220" s="56"/>
    </row>
    <row r="221">
      <c r="A221" s="57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63"/>
      <c r="U221" s="56"/>
    </row>
    <row r="222">
      <c r="A222" s="57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63"/>
      <c r="U222" s="56"/>
    </row>
    <row r="223">
      <c r="A223" s="57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63"/>
      <c r="U223" s="56"/>
    </row>
    <row r="224">
      <c r="A224" s="57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63"/>
      <c r="U224" s="56"/>
    </row>
    <row r="225">
      <c r="A225" s="57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63"/>
      <c r="U225" s="56"/>
    </row>
    <row r="226">
      <c r="A226" s="57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63"/>
      <c r="U226" s="56"/>
    </row>
    <row r="227">
      <c r="A227" s="57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63"/>
      <c r="U227" s="56"/>
    </row>
    <row r="228">
      <c r="A228" s="57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63"/>
      <c r="U228" s="56"/>
    </row>
    <row r="229">
      <c r="A229" s="57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63"/>
      <c r="U229" s="56"/>
    </row>
    <row r="230">
      <c r="A230" s="57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63"/>
      <c r="U230" s="56"/>
    </row>
    <row r="231">
      <c r="A231" s="57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63"/>
      <c r="U231" s="56"/>
    </row>
    <row r="232">
      <c r="A232" s="57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63"/>
      <c r="U232" s="56"/>
    </row>
    <row r="233">
      <c r="A233" s="57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63"/>
      <c r="U233" s="56"/>
    </row>
    <row r="234">
      <c r="A234" s="57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63"/>
      <c r="U234" s="56"/>
    </row>
    <row r="235">
      <c r="A235" s="57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63"/>
      <c r="U235" s="56"/>
    </row>
    <row r="236">
      <c r="A236" s="57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63"/>
      <c r="U236" s="56"/>
    </row>
    <row r="237">
      <c r="A237" s="57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63"/>
      <c r="U237" s="56"/>
    </row>
    <row r="238">
      <c r="A238" s="57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63"/>
      <c r="U238" s="56"/>
    </row>
    <row r="239">
      <c r="A239" s="57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63"/>
      <c r="U239" s="56"/>
    </row>
    <row r="240">
      <c r="A240" s="57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63"/>
      <c r="U240" s="56"/>
    </row>
    <row r="241">
      <c r="A241" s="57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63"/>
      <c r="U241" s="56"/>
    </row>
    <row r="242">
      <c r="A242" s="57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63"/>
      <c r="U242" s="56"/>
    </row>
    <row r="243">
      <c r="A243" s="57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63"/>
      <c r="U243" s="56"/>
    </row>
    <row r="244">
      <c r="A244" s="57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63"/>
      <c r="U244" s="56"/>
    </row>
    <row r="245">
      <c r="A245" s="57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63"/>
      <c r="U245" s="56"/>
    </row>
    <row r="246">
      <c r="A246" s="57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63"/>
      <c r="U246" s="56"/>
    </row>
    <row r="247">
      <c r="A247" s="57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63"/>
      <c r="U247" s="56"/>
    </row>
    <row r="248">
      <c r="A248" s="57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63"/>
      <c r="U248" s="56"/>
    </row>
    <row r="249">
      <c r="A249" s="57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63"/>
      <c r="U249" s="56"/>
    </row>
    <row r="250">
      <c r="A250" s="57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63"/>
      <c r="U250" s="56"/>
    </row>
    <row r="251">
      <c r="A251" s="57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63"/>
      <c r="U251" s="56"/>
    </row>
    <row r="252">
      <c r="A252" s="57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63"/>
      <c r="U252" s="56"/>
    </row>
    <row r="253">
      <c r="A253" s="57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63"/>
      <c r="U253" s="56"/>
    </row>
    <row r="254">
      <c r="A254" s="57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63"/>
      <c r="U254" s="56"/>
    </row>
    <row r="255">
      <c r="A255" s="57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63"/>
      <c r="U255" s="56"/>
    </row>
    <row r="256">
      <c r="A256" s="57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63"/>
      <c r="U256" s="56"/>
    </row>
    <row r="257">
      <c r="A257" s="57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63"/>
      <c r="U257" s="56"/>
    </row>
    <row r="258">
      <c r="A258" s="57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63"/>
      <c r="U258" s="56"/>
    </row>
    <row r="259">
      <c r="A259" s="57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63"/>
      <c r="U259" s="56"/>
    </row>
    <row r="260">
      <c r="A260" s="57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63"/>
      <c r="U260" s="56"/>
    </row>
    <row r="261">
      <c r="A261" s="57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63"/>
      <c r="U261" s="56"/>
    </row>
    <row r="262">
      <c r="A262" s="57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63"/>
      <c r="U262" s="56"/>
    </row>
    <row r="263">
      <c r="A263" s="57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63"/>
      <c r="U263" s="56"/>
    </row>
    <row r="264">
      <c r="A264" s="57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63"/>
      <c r="U264" s="56"/>
    </row>
    <row r="265">
      <c r="A265" s="57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63"/>
      <c r="U265" s="56"/>
    </row>
    <row r="266">
      <c r="A266" s="57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63"/>
      <c r="U266" s="56"/>
    </row>
    <row r="267">
      <c r="A267" s="57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63"/>
      <c r="U267" s="56"/>
    </row>
    <row r="268">
      <c r="A268" s="57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63"/>
      <c r="U268" s="56"/>
    </row>
    <row r="269">
      <c r="A269" s="57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63"/>
      <c r="U269" s="56"/>
    </row>
    <row r="270">
      <c r="A270" s="57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63"/>
      <c r="U270" s="56"/>
    </row>
    <row r="271">
      <c r="A271" s="57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63"/>
      <c r="U271" s="56"/>
    </row>
    <row r="272">
      <c r="A272" s="57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63"/>
      <c r="U272" s="56"/>
    </row>
    <row r="273">
      <c r="A273" s="57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63"/>
      <c r="U273" s="56"/>
    </row>
    <row r="274">
      <c r="A274" s="57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63"/>
      <c r="U274" s="56"/>
    </row>
    <row r="275">
      <c r="A275" s="57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63"/>
      <c r="U275" s="56"/>
    </row>
    <row r="276">
      <c r="A276" s="57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63"/>
      <c r="U276" s="56"/>
    </row>
    <row r="277">
      <c r="A277" s="57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63"/>
      <c r="U277" s="56"/>
    </row>
    <row r="278">
      <c r="A278" s="57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63"/>
      <c r="U278" s="56"/>
    </row>
    <row r="279">
      <c r="A279" s="57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63"/>
      <c r="U279" s="56"/>
    </row>
    <row r="280">
      <c r="A280" s="57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63"/>
      <c r="U280" s="56"/>
    </row>
    <row r="281">
      <c r="A281" s="57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63"/>
      <c r="U281" s="56"/>
    </row>
    <row r="282">
      <c r="A282" s="57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63"/>
      <c r="U282" s="56"/>
    </row>
    <row r="283">
      <c r="A283" s="57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63"/>
      <c r="U283" s="56"/>
    </row>
    <row r="284">
      <c r="A284" s="57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63"/>
      <c r="U284" s="56"/>
    </row>
    <row r="285">
      <c r="A285" s="57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63"/>
      <c r="U285" s="56"/>
    </row>
    <row r="286">
      <c r="A286" s="57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63"/>
      <c r="U286" s="56"/>
    </row>
    <row r="287">
      <c r="A287" s="57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63"/>
      <c r="U287" s="56"/>
    </row>
    <row r="288">
      <c r="A288" s="57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63"/>
      <c r="U288" s="56"/>
    </row>
    <row r="289">
      <c r="A289" s="57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63"/>
      <c r="U289" s="56"/>
    </row>
    <row r="290">
      <c r="A290" s="57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63"/>
      <c r="U290" s="56"/>
    </row>
    <row r="291">
      <c r="A291" s="57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63"/>
      <c r="U291" s="56"/>
    </row>
    <row r="292">
      <c r="A292" s="57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63"/>
      <c r="U292" s="56"/>
    </row>
    <row r="293">
      <c r="A293" s="57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63"/>
      <c r="U293" s="56"/>
    </row>
    <row r="294">
      <c r="A294" s="57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63"/>
      <c r="U294" s="56"/>
    </row>
    <row r="295">
      <c r="A295" s="57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63"/>
      <c r="U295" s="56"/>
    </row>
    <row r="296">
      <c r="A296" s="57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63"/>
      <c r="U296" s="56"/>
    </row>
    <row r="297">
      <c r="A297" s="57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63"/>
      <c r="U297" s="56"/>
    </row>
    <row r="298">
      <c r="A298" s="57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63"/>
      <c r="U298" s="56"/>
    </row>
    <row r="299">
      <c r="A299" s="57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63"/>
      <c r="U299" s="56"/>
    </row>
    <row r="300">
      <c r="A300" s="57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63"/>
      <c r="U300" s="56"/>
    </row>
    <row r="301">
      <c r="A301" s="57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63"/>
      <c r="U301" s="56"/>
    </row>
    <row r="302">
      <c r="A302" s="57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63"/>
      <c r="U302" s="56"/>
    </row>
    <row r="303">
      <c r="A303" s="57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63"/>
      <c r="U303" s="56"/>
    </row>
    <row r="304">
      <c r="A304" s="57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63"/>
      <c r="U304" s="56"/>
    </row>
    <row r="305">
      <c r="A305" s="57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63"/>
      <c r="U305" s="56"/>
    </row>
    <row r="306">
      <c r="A306" s="57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63"/>
      <c r="U306" s="56"/>
    </row>
    <row r="307">
      <c r="A307" s="57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63"/>
      <c r="U307" s="56"/>
    </row>
    <row r="308">
      <c r="A308" s="57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63"/>
      <c r="U308" s="56"/>
    </row>
    <row r="309">
      <c r="A309" s="57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63"/>
      <c r="U309" s="56"/>
    </row>
    <row r="310">
      <c r="A310" s="57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63"/>
      <c r="U310" s="56"/>
    </row>
    <row r="311">
      <c r="A311" s="57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63"/>
      <c r="U311" s="56"/>
    </row>
    <row r="312">
      <c r="A312" s="57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63"/>
      <c r="U312" s="56"/>
    </row>
    <row r="313">
      <c r="A313" s="57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63"/>
      <c r="U313" s="56"/>
    </row>
    <row r="314">
      <c r="A314" s="57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63"/>
      <c r="U314" s="56"/>
    </row>
    <row r="315">
      <c r="A315" s="57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63"/>
      <c r="U315" s="56"/>
    </row>
    <row r="316">
      <c r="A316" s="57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63"/>
      <c r="U316" s="56"/>
    </row>
    <row r="317">
      <c r="A317" s="57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63"/>
      <c r="U317" s="56"/>
    </row>
    <row r="318">
      <c r="A318" s="57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63"/>
      <c r="U318" s="56"/>
    </row>
    <row r="319">
      <c r="A319" s="57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63"/>
      <c r="U319" s="56"/>
    </row>
    <row r="320">
      <c r="A320" s="57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63"/>
      <c r="U320" s="56"/>
    </row>
    <row r="321">
      <c r="A321" s="57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63"/>
      <c r="U321" s="56"/>
    </row>
    <row r="322">
      <c r="A322" s="57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63"/>
      <c r="U322" s="56"/>
    </row>
    <row r="323">
      <c r="A323" s="57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63"/>
      <c r="U323" s="56"/>
    </row>
    <row r="324">
      <c r="A324" s="57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63"/>
      <c r="U324" s="56"/>
    </row>
    <row r="325">
      <c r="A325" s="57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63"/>
      <c r="U325" s="56"/>
    </row>
    <row r="326">
      <c r="A326" s="57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63"/>
      <c r="U326" s="56"/>
    </row>
    <row r="327">
      <c r="A327" s="57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63"/>
      <c r="U327" s="56"/>
    </row>
    <row r="328">
      <c r="A328" s="57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63"/>
      <c r="U328" s="56"/>
    </row>
    <row r="329">
      <c r="A329" s="57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63"/>
      <c r="U329" s="56"/>
    </row>
    <row r="330">
      <c r="A330" s="57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63"/>
      <c r="U330" s="56"/>
    </row>
    <row r="331">
      <c r="A331" s="57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63"/>
      <c r="U331" s="56"/>
    </row>
    <row r="332">
      <c r="A332" s="57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63"/>
      <c r="U332" s="56"/>
    </row>
    <row r="333">
      <c r="A333" s="57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63"/>
      <c r="U333" s="56"/>
    </row>
    <row r="334">
      <c r="A334" s="57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63"/>
      <c r="U334" s="56"/>
    </row>
    <row r="335">
      <c r="A335" s="57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63"/>
      <c r="U335" s="56"/>
    </row>
    <row r="336">
      <c r="A336" s="57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63"/>
      <c r="U336" s="56"/>
    </row>
    <row r="337">
      <c r="A337" s="57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63"/>
      <c r="U337" s="56"/>
    </row>
    <row r="338">
      <c r="A338" s="57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63"/>
      <c r="U338" s="56"/>
    </row>
    <row r="339">
      <c r="A339" s="57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63"/>
      <c r="U339" s="56"/>
    </row>
    <row r="340">
      <c r="A340" s="57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63"/>
      <c r="U340" s="56"/>
    </row>
    <row r="341">
      <c r="A341" s="57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63"/>
      <c r="U341" s="56"/>
    </row>
    <row r="342">
      <c r="A342" s="57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63"/>
      <c r="U342" s="56"/>
    </row>
    <row r="343">
      <c r="A343" s="57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63"/>
      <c r="U343" s="56"/>
    </row>
    <row r="344">
      <c r="A344" s="57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63"/>
      <c r="U344" s="56"/>
    </row>
    <row r="345">
      <c r="A345" s="57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63"/>
      <c r="U345" s="56"/>
    </row>
    <row r="346">
      <c r="A346" s="57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63"/>
      <c r="U346" s="56"/>
    </row>
    <row r="347">
      <c r="A347" s="57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63"/>
      <c r="U347" s="56"/>
    </row>
    <row r="348">
      <c r="A348" s="57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63"/>
      <c r="U348" s="56"/>
    </row>
    <row r="349">
      <c r="A349" s="57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63"/>
      <c r="U349" s="56"/>
    </row>
    <row r="350">
      <c r="A350" s="57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63"/>
      <c r="U350" s="56"/>
    </row>
    <row r="351">
      <c r="A351" s="57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63"/>
      <c r="U351" s="56"/>
    </row>
    <row r="352">
      <c r="A352" s="57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63"/>
      <c r="U352" s="56"/>
    </row>
    <row r="353">
      <c r="A353" s="57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63"/>
      <c r="U353" s="56"/>
    </row>
    <row r="354">
      <c r="A354" s="57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63"/>
      <c r="U354" s="56"/>
    </row>
    <row r="355">
      <c r="A355" s="57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63"/>
      <c r="U355" s="56"/>
    </row>
    <row r="356">
      <c r="A356" s="57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63"/>
      <c r="U356" s="56"/>
    </row>
    <row r="357">
      <c r="A357" s="57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63"/>
      <c r="U357" s="56"/>
    </row>
    <row r="358">
      <c r="A358" s="57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63"/>
      <c r="U358" s="56"/>
    </row>
    <row r="359">
      <c r="A359" s="57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63"/>
      <c r="U359" s="56"/>
    </row>
    <row r="360">
      <c r="A360" s="57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63"/>
      <c r="U360" s="56"/>
    </row>
    <row r="361">
      <c r="A361" s="57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63"/>
      <c r="U361" s="56"/>
    </row>
    <row r="362">
      <c r="A362" s="57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63"/>
      <c r="U362" s="56"/>
    </row>
    <row r="363">
      <c r="A363" s="57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63"/>
      <c r="U363" s="56"/>
    </row>
    <row r="364">
      <c r="A364" s="57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63"/>
      <c r="U364" s="56"/>
    </row>
    <row r="365">
      <c r="A365" s="57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63"/>
      <c r="U365" s="56"/>
    </row>
    <row r="366">
      <c r="A366" s="57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63"/>
      <c r="U366" s="56"/>
    </row>
    <row r="367">
      <c r="A367" s="57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63"/>
      <c r="U367" s="56"/>
    </row>
    <row r="368">
      <c r="A368" s="57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63"/>
      <c r="U368" s="56"/>
    </row>
    <row r="369">
      <c r="A369" s="57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63"/>
      <c r="U369" s="56"/>
    </row>
    <row r="370">
      <c r="A370" s="57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63"/>
      <c r="U370" s="56"/>
    </row>
    <row r="371">
      <c r="A371" s="57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63"/>
      <c r="U371" s="56"/>
    </row>
    <row r="372">
      <c r="A372" s="57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63"/>
      <c r="U372" s="56"/>
    </row>
    <row r="373">
      <c r="A373" s="57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63"/>
      <c r="U373" s="56"/>
    </row>
    <row r="374">
      <c r="A374" s="57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63"/>
      <c r="U374" s="56"/>
    </row>
    <row r="375">
      <c r="A375" s="57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63"/>
      <c r="U375" s="56"/>
    </row>
    <row r="376">
      <c r="A376" s="57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63"/>
      <c r="U376" s="56"/>
    </row>
    <row r="377">
      <c r="A377" s="57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63"/>
      <c r="U377" s="56"/>
    </row>
    <row r="378">
      <c r="A378" s="57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63"/>
      <c r="U378" s="56"/>
    </row>
    <row r="379">
      <c r="A379" s="57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63"/>
      <c r="U379" s="56"/>
    </row>
    <row r="380">
      <c r="A380" s="57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63"/>
      <c r="U380" s="56"/>
    </row>
    <row r="381">
      <c r="A381" s="57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63"/>
      <c r="U381" s="56"/>
    </row>
    <row r="382">
      <c r="A382" s="57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63"/>
      <c r="U382" s="56"/>
    </row>
    <row r="383">
      <c r="A383" s="57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63"/>
      <c r="U383" s="56"/>
    </row>
    <row r="384">
      <c r="A384" s="57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63"/>
      <c r="U384" s="56"/>
    </row>
    <row r="385">
      <c r="A385" s="57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63"/>
      <c r="U385" s="56"/>
    </row>
    <row r="386">
      <c r="A386" s="57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63"/>
      <c r="U386" s="56"/>
    </row>
    <row r="387">
      <c r="A387" s="57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63"/>
      <c r="U387" s="56"/>
    </row>
    <row r="388">
      <c r="A388" s="57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63"/>
      <c r="U388" s="56"/>
    </row>
    <row r="389">
      <c r="A389" s="57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63"/>
      <c r="U389" s="56"/>
    </row>
    <row r="390">
      <c r="A390" s="57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63"/>
      <c r="U390" s="56"/>
    </row>
    <row r="391">
      <c r="A391" s="57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63"/>
      <c r="U391" s="56"/>
    </row>
    <row r="392">
      <c r="A392" s="57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63"/>
      <c r="U392" s="56"/>
    </row>
    <row r="393">
      <c r="A393" s="57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63"/>
      <c r="U393" s="56"/>
    </row>
    <row r="394">
      <c r="A394" s="57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63"/>
      <c r="U394" s="56"/>
    </row>
    <row r="395">
      <c r="A395" s="57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63"/>
      <c r="U395" s="56"/>
    </row>
    <row r="396">
      <c r="A396" s="57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63"/>
      <c r="U396" s="56"/>
    </row>
    <row r="397">
      <c r="A397" s="57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63"/>
      <c r="U397" s="56"/>
    </row>
    <row r="398">
      <c r="A398" s="57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63"/>
      <c r="U398" s="56"/>
    </row>
    <row r="399">
      <c r="A399" s="57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63"/>
      <c r="U399" s="56"/>
    </row>
    <row r="400">
      <c r="A400" s="57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63"/>
      <c r="U400" s="56"/>
    </row>
    <row r="401">
      <c r="A401" s="57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63"/>
      <c r="U401" s="56"/>
    </row>
    <row r="402">
      <c r="A402" s="57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63"/>
      <c r="U402" s="56"/>
    </row>
    <row r="403">
      <c r="A403" s="57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63"/>
      <c r="U403" s="56"/>
    </row>
    <row r="404">
      <c r="A404" s="57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63"/>
      <c r="U404" s="56"/>
    </row>
    <row r="405">
      <c r="A405" s="57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63"/>
      <c r="U405" s="56"/>
    </row>
    <row r="406">
      <c r="A406" s="57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63"/>
      <c r="U406" s="56"/>
    </row>
    <row r="407">
      <c r="A407" s="57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63"/>
      <c r="U407" s="56"/>
    </row>
    <row r="408">
      <c r="A408" s="57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63"/>
      <c r="U408" s="56"/>
    </row>
    <row r="409">
      <c r="A409" s="57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63"/>
      <c r="U409" s="56"/>
    </row>
    <row r="410">
      <c r="A410" s="57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63"/>
      <c r="U410" s="56"/>
    </row>
    <row r="411">
      <c r="A411" s="57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63"/>
      <c r="U411" s="56"/>
    </row>
    <row r="412">
      <c r="A412" s="57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63"/>
      <c r="U412" s="56"/>
    </row>
    <row r="413">
      <c r="A413" s="57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63"/>
      <c r="U413" s="56"/>
    </row>
    <row r="414">
      <c r="A414" s="57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63"/>
      <c r="U414" s="56"/>
    </row>
    <row r="415">
      <c r="A415" s="57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63"/>
      <c r="U415" s="56"/>
    </row>
    <row r="416">
      <c r="A416" s="57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63"/>
      <c r="U416" s="56"/>
    </row>
    <row r="417">
      <c r="A417" s="57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63"/>
      <c r="U417" s="56"/>
    </row>
    <row r="418">
      <c r="A418" s="57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63"/>
      <c r="U418" s="56"/>
    </row>
    <row r="419">
      <c r="A419" s="57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63"/>
      <c r="U419" s="56"/>
    </row>
    <row r="420">
      <c r="A420" s="57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63"/>
      <c r="U420" s="56"/>
    </row>
    <row r="421">
      <c r="A421" s="57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63"/>
      <c r="U421" s="56"/>
    </row>
    <row r="422">
      <c r="A422" s="57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63"/>
      <c r="U422" s="56"/>
    </row>
    <row r="423">
      <c r="A423" s="57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63"/>
      <c r="U423" s="56"/>
    </row>
    <row r="424">
      <c r="A424" s="57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63"/>
      <c r="U424" s="56"/>
    </row>
    <row r="425">
      <c r="A425" s="57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63"/>
      <c r="U425" s="56"/>
    </row>
    <row r="426">
      <c r="A426" s="57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63"/>
      <c r="U426" s="56"/>
    </row>
    <row r="427">
      <c r="A427" s="57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63"/>
      <c r="U427" s="56"/>
    </row>
    <row r="428">
      <c r="A428" s="57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63"/>
      <c r="U428" s="56"/>
    </row>
    <row r="429">
      <c r="A429" s="57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63"/>
      <c r="U429" s="56"/>
    </row>
    <row r="430">
      <c r="A430" s="57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63"/>
      <c r="U430" s="56"/>
    </row>
    <row r="431">
      <c r="A431" s="57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63"/>
      <c r="U431" s="56"/>
    </row>
    <row r="432">
      <c r="A432" s="57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63"/>
      <c r="U432" s="56"/>
    </row>
    <row r="433">
      <c r="A433" s="57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63"/>
      <c r="U433" s="56"/>
    </row>
    <row r="434">
      <c r="A434" s="57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63"/>
      <c r="U434" s="56"/>
    </row>
    <row r="435">
      <c r="A435" s="57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63"/>
      <c r="U435" s="56"/>
    </row>
    <row r="436">
      <c r="A436" s="57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63"/>
      <c r="U436" s="56"/>
    </row>
    <row r="437">
      <c r="A437" s="57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63"/>
      <c r="U437" s="56"/>
    </row>
    <row r="438">
      <c r="A438" s="57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63"/>
      <c r="U438" s="56"/>
    </row>
    <row r="439">
      <c r="A439" s="57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63"/>
      <c r="U439" s="56"/>
    </row>
    <row r="440">
      <c r="A440" s="57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63"/>
      <c r="U440" s="56"/>
    </row>
    <row r="441">
      <c r="A441" s="57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63"/>
      <c r="U441" s="56"/>
    </row>
    <row r="442">
      <c r="A442" s="57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63"/>
      <c r="U442" s="56"/>
    </row>
    <row r="443">
      <c r="A443" s="57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63"/>
      <c r="U443" s="56"/>
    </row>
    <row r="444">
      <c r="A444" s="57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63"/>
      <c r="U444" s="56"/>
    </row>
    <row r="445">
      <c r="A445" s="57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63"/>
      <c r="U445" s="56"/>
    </row>
    <row r="446">
      <c r="A446" s="57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63"/>
      <c r="U446" s="56"/>
    </row>
    <row r="447">
      <c r="A447" s="57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63"/>
      <c r="U447" s="56"/>
    </row>
    <row r="448">
      <c r="A448" s="57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63"/>
      <c r="U448" s="56"/>
    </row>
    <row r="449">
      <c r="A449" s="57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63"/>
      <c r="U449" s="56"/>
    </row>
    <row r="450">
      <c r="A450" s="57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63"/>
      <c r="U450" s="56"/>
    </row>
    <row r="451">
      <c r="A451" s="57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63"/>
      <c r="U451" s="56"/>
    </row>
    <row r="452">
      <c r="A452" s="57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63"/>
      <c r="U452" s="56"/>
    </row>
    <row r="453">
      <c r="A453" s="57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63"/>
      <c r="U453" s="56"/>
    </row>
    <row r="454">
      <c r="A454" s="57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63"/>
      <c r="U454" s="56"/>
    </row>
    <row r="455">
      <c r="A455" s="57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63"/>
      <c r="U455" s="56"/>
    </row>
    <row r="456">
      <c r="A456" s="57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63"/>
      <c r="U456" s="56"/>
    </row>
    <row r="457">
      <c r="A457" s="57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63"/>
      <c r="U457" s="56"/>
    </row>
    <row r="458">
      <c r="A458" s="57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63"/>
      <c r="U458" s="56"/>
    </row>
    <row r="459">
      <c r="A459" s="57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63"/>
      <c r="U459" s="56"/>
    </row>
    <row r="460">
      <c r="A460" s="57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63"/>
      <c r="U460" s="56"/>
    </row>
    <row r="461">
      <c r="A461" s="57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63"/>
      <c r="U461" s="56"/>
    </row>
    <row r="462">
      <c r="A462" s="57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63"/>
      <c r="U462" s="56"/>
    </row>
    <row r="463">
      <c r="A463" s="57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63"/>
      <c r="U463" s="56"/>
    </row>
    <row r="464">
      <c r="A464" s="57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63"/>
      <c r="U464" s="56"/>
    </row>
    <row r="465">
      <c r="A465" s="57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63"/>
      <c r="U465" s="56"/>
    </row>
    <row r="466">
      <c r="A466" s="57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63"/>
      <c r="U466" s="56"/>
    </row>
    <row r="467">
      <c r="A467" s="57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63"/>
      <c r="U467" s="56"/>
    </row>
    <row r="468">
      <c r="A468" s="57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63"/>
      <c r="U468" s="56"/>
    </row>
    <row r="469">
      <c r="A469" s="57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63"/>
      <c r="U469" s="56"/>
    </row>
    <row r="470">
      <c r="A470" s="57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63"/>
      <c r="U470" s="56"/>
    </row>
    <row r="471">
      <c r="A471" s="57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63"/>
      <c r="U471" s="56"/>
    </row>
    <row r="472">
      <c r="A472" s="57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63"/>
      <c r="U472" s="56"/>
    </row>
    <row r="473">
      <c r="A473" s="57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63"/>
      <c r="U473" s="56"/>
    </row>
    <row r="474">
      <c r="A474" s="57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63"/>
      <c r="U474" s="56"/>
    </row>
    <row r="475">
      <c r="A475" s="57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63"/>
      <c r="U475" s="56"/>
    </row>
    <row r="476">
      <c r="A476" s="57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63"/>
      <c r="U476" s="56"/>
    </row>
    <row r="477">
      <c r="A477" s="57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63"/>
      <c r="U477" s="56"/>
    </row>
    <row r="478">
      <c r="A478" s="57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63"/>
      <c r="U478" s="56"/>
    </row>
    <row r="479">
      <c r="A479" s="57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63"/>
      <c r="U479" s="56"/>
    </row>
    <row r="480">
      <c r="A480" s="57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63"/>
      <c r="U480" s="56"/>
    </row>
    <row r="481">
      <c r="A481" s="57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63"/>
      <c r="U481" s="56"/>
    </row>
    <row r="482">
      <c r="A482" s="57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63"/>
      <c r="U482" s="56"/>
    </row>
    <row r="483">
      <c r="A483" s="57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63"/>
      <c r="U483" s="56"/>
    </row>
    <row r="484">
      <c r="A484" s="57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63"/>
      <c r="U484" s="56"/>
    </row>
    <row r="485">
      <c r="A485" s="57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63"/>
      <c r="U485" s="56"/>
    </row>
    <row r="486">
      <c r="A486" s="57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63"/>
      <c r="U486" s="56"/>
    </row>
    <row r="487">
      <c r="A487" s="57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63"/>
      <c r="U487" s="56"/>
    </row>
    <row r="488">
      <c r="A488" s="57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63"/>
      <c r="U488" s="56"/>
    </row>
    <row r="489">
      <c r="A489" s="57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63"/>
      <c r="U489" s="56"/>
    </row>
    <row r="490">
      <c r="A490" s="57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63"/>
      <c r="U490" s="56"/>
    </row>
    <row r="491">
      <c r="A491" s="57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63"/>
      <c r="U491" s="56"/>
    </row>
    <row r="492">
      <c r="A492" s="57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63"/>
      <c r="U492" s="56"/>
    </row>
    <row r="493">
      <c r="A493" s="57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63"/>
      <c r="U493" s="56"/>
    </row>
    <row r="494">
      <c r="A494" s="57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63"/>
      <c r="U494" s="56"/>
    </row>
    <row r="495">
      <c r="A495" s="57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63"/>
      <c r="U495" s="56"/>
    </row>
    <row r="496">
      <c r="A496" s="57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63"/>
      <c r="U496" s="56"/>
    </row>
    <row r="497">
      <c r="A497" s="57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63"/>
      <c r="U497" s="56"/>
    </row>
    <row r="498">
      <c r="A498" s="57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63"/>
      <c r="U498" s="56"/>
    </row>
    <row r="499">
      <c r="A499" s="57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63"/>
      <c r="U499" s="56"/>
    </row>
    <row r="500">
      <c r="A500" s="57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63"/>
      <c r="U500" s="56"/>
    </row>
    <row r="501">
      <c r="A501" s="57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63"/>
      <c r="U501" s="56"/>
    </row>
    <row r="502">
      <c r="A502" s="57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63"/>
      <c r="U502" s="56"/>
    </row>
    <row r="503">
      <c r="A503" s="57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63"/>
      <c r="U503" s="56"/>
    </row>
    <row r="504">
      <c r="A504" s="57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63"/>
      <c r="U504" s="56"/>
    </row>
    <row r="505">
      <c r="A505" s="57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63"/>
      <c r="U505" s="56"/>
    </row>
    <row r="506">
      <c r="A506" s="57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63"/>
      <c r="U506" s="56"/>
    </row>
    <row r="507">
      <c r="A507" s="57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63"/>
      <c r="U507" s="56"/>
    </row>
    <row r="508">
      <c r="A508" s="57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63"/>
      <c r="U508" s="56"/>
    </row>
    <row r="509">
      <c r="A509" s="57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63"/>
      <c r="U509" s="56"/>
    </row>
    <row r="510">
      <c r="A510" s="57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63"/>
      <c r="U510" s="56"/>
    </row>
    <row r="511">
      <c r="A511" s="57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63"/>
      <c r="U511" s="56"/>
    </row>
    <row r="512">
      <c r="A512" s="57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63"/>
      <c r="U512" s="56"/>
    </row>
    <row r="513">
      <c r="A513" s="57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63"/>
      <c r="U513" s="56"/>
    </row>
    <row r="514">
      <c r="A514" s="57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63"/>
      <c r="U514" s="56"/>
    </row>
    <row r="515">
      <c r="A515" s="57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63"/>
      <c r="U515" s="56"/>
    </row>
    <row r="516">
      <c r="A516" s="57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63"/>
      <c r="U516" s="56"/>
    </row>
    <row r="517">
      <c r="A517" s="57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63"/>
      <c r="U517" s="56"/>
    </row>
    <row r="518">
      <c r="A518" s="57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63"/>
      <c r="U518" s="56"/>
    </row>
    <row r="519">
      <c r="A519" s="57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63"/>
      <c r="U519" s="56"/>
    </row>
    <row r="520">
      <c r="A520" s="57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63"/>
      <c r="U520" s="56"/>
    </row>
    <row r="521">
      <c r="A521" s="57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63"/>
      <c r="U521" s="56"/>
    </row>
    <row r="522">
      <c r="A522" s="57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63"/>
      <c r="U522" s="56"/>
    </row>
    <row r="523">
      <c r="A523" s="57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63"/>
      <c r="U523" s="56"/>
    </row>
    <row r="524">
      <c r="A524" s="57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63"/>
      <c r="U524" s="56"/>
    </row>
    <row r="525">
      <c r="A525" s="57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63"/>
      <c r="U525" s="56"/>
    </row>
    <row r="526">
      <c r="A526" s="57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63"/>
      <c r="U526" s="56"/>
    </row>
    <row r="527">
      <c r="A527" s="57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63"/>
      <c r="U527" s="56"/>
    </row>
    <row r="528">
      <c r="A528" s="57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63"/>
      <c r="U528" s="56"/>
    </row>
    <row r="529">
      <c r="A529" s="57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63"/>
      <c r="U529" s="56"/>
    </row>
    <row r="530">
      <c r="A530" s="57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63"/>
      <c r="U530" s="56"/>
    </row>
    <row r="531">
      <c r="A531" s="57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63"/>
      <c r="U531" s="56"/>
    </row>
    <row r="532">
      <c r="A532" s="57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63"/>
      <c r="U532" s="56"/>
    </row>
    <row r="533">
      <c r="A533" s="57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63"/>
      <c r="U533" s="56"/>
    </row>
    <row r="534">
      <c r="A534" s="57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63"/>
      <c r="U534" s="56"/>
    </row>
    <row r="535">
      <c r="A535" s="57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63"/>
      <c r="U535" s="56"/>
    </row>
    <row r="536">
      <c r="A536" s="57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63"/>
      <c r="U536" s="56"/>
    </row>
    <row r="537">
      <c r="A537" s="57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63"/>
      <c r="U537" s="56"/>
    </row>
    <row r="538">
      <c r="A538" s="57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63"/>
      <c r="U538" s="56"/>
    </row>
    <row r="539">
      <c r="A539" s="57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63"/>
      <c r="U539" s="56"/>
    </row>
    <row r="540">
      <c r="A540" s="57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63"/>
      <c r="U540" s="56"/>
    </row>
    <row r="541">
      <c r="A541" s="57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63"/>
      <c r="U541" s="56"/>
    </row>
    <row r="542">
      <c r="A542" s="57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63"/>
      <c r="U542" s="56"/>
    </row>
    <row r="543">
      <c r="A543" s="57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63"/>
      <c r="U543" s="56"/>
    </row>
    <row r="544">
      <c r="A544" s="57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63"/>
      <c r="U544" s="56"/>
    </row>
    <row r="545">
      <c r="A545" s="57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63"/>
      <c r="U545" s="56"/>
    </row>
    <row r="546">
      <c r="A546" s="57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63"/>
      <c r="U546" s="56"/>
    </row>
    <row r="547">
      <c r="A547" s="57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63"/>
      <c r="U547" s="56"/>
    </row>
    <row r="548">
      <c r="A548" s="57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63"/>
      <c r="U548" s="56"/>
    </row>
    <row r="549">
      <c r="A549" s="57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63"/>
      <c r="U549" s="56"/>
    </row>
    <row r="550">
      <c r="A550" s="57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63"/>
      <c r="U550" s="56"/>
    </row>
    <row r="551">
      <c r="A551" s="57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63"/>
      <c r="U551" s="56"/>
    </row>
    <row r="552">
      <c r="A552" s="57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63"/>
      <c r="U552" s="56"/>
    </row>
    <row r="553">
      <c r="A553" s="57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63"/>
      <c r="U553" s="56"/>
    </row>
    <row r="554">
      <c r="A554" s="57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63"/>
      <c r="U554" s="56"/>
    </row>
    <row r="555">
      <c r="A555" s="57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63"/>
      <c r="U555" s="56"/>
    </row>
    <row r="556">
      <c r="A556" s="57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63"/>
      <c r="U556" s="56"/>
    </row>
    <row r="557">
      <c r="A557" s="57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63"/>
      <c r="U557" s="56"/>
    </row>
    <row r="558">
      <c r="A558" s="57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63"/>
      <c r="U558" s="56"/>
    </row>
    <row r="559">
      <c r="A559" s="57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63"/>
      <c r="U559" s="56"/>
    </row>
    <row r="560">
      <c r="A560" s="57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63"/>
      <c r="U560" s="56"/>
    </row>
    <row r="561">
      <c r="A561" s="57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63"/>
      <c r="U561" s="56"/>
    </row>
    <row r="562">
      <c r="A562" s="57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63"/>
      <c r="U562" s="56"/>
    </row>
    <row r="563">
      <c r="A563" s="57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63"/>
      <c r="U563" s="56"/>
    </row>
    <row r="564">
      <c r="A564" s="57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63"/>
      <c r="U564" s="56"/>
    </row>
    <row r="565">
      <c r="A565" s="57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63"/>
      <c r="U565" s="56"/>
    </row>
    <row r="566">
      <c r="A566" s="57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63"/>
      <c r="U566" s="56"/>
    </row>
    <row r="567">
      <c r="A567" s="57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63"/>
      <c r="U567" s="56"/>
    </row>
    <row r="568">
      <c r="A568" s="57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63"/>
      <c r="U568" s="56"/>
    </row>
    <row r="569">
      <c r="A569" s="57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63"/>
      <c r="U569" s="56"/>
    </row>
    <row r="570">
      <c r="A570" s="57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63"/>
      <c r="U570" s="56"/>
    </row>
    <row r="571">
      <c r="A571" s="57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63"/>
      <c r="U571" s="56"/>
    </row>
    <row r="572">
      <c r="A572" s="57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63"/>
      <c r="U572" s="56"/>
    </row>
    <row r="573">
      <c r="A573" s="57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63"/>
      <c r="U573" s="56"/>
    </row>
    <row r="574">
      <c r="A574" s="57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63"/>
      <c r="U574" s="56"/>
    </row>
    <row r="575">
      <c r="A575" s="57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63"/>
      <c r="U575" s="56"/>
    </row>
    <row r="576">
      <c r="A576" s="57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63"/>
      <c r="U576" s="56"/>
    </row>
    <row r="577">
      <c r="A577" s="57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63"/>
      <c r="U577" s="56"/>
    </row>
    <row r="578">
      <c r="A578" s="57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63"/>
      <c r="U578" s="56"/>
    </row>
    <row r="579">
      <c r="A579" s="57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63"/>
      <c r="U579" s="56"/>
    </row>
    <row r="580">
      <c r="A580" s="57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63"/>
      <c r="U580" s="56"/>
    </row>
    <row r="581">
      <c r="A581" s="57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63"/>
      <c r="U581" s="56"/>
    </row>
    <row r="582">
      <c r="A582" s="57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63"/>
      <c r="U582" s="56"/>
    </row>
    <row r="583">
      <c r="A583" s="57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63"/>
      <c r="U583" s="56"/>
    </row>
    <row r="584">
      <c r="A584" s="57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63"/>
      <c r="U584" s="56"/>
    </row>
    <row r="585">
      <c r="A585" s="57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63"/>
      <c r="U585" s="56"/>
    </row>
    <row r="586">
      <c r="A586" s="57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63"/>
      <c r="U586" s="56"/>
    </row>
    <row r="587">
      <c r="A587" s="57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63"/>
      <c r="U587" s="56"/>
    </row>
    <row r="588">
      <c r="A588" s="57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63"/>
      <c r="U588" s="56"/>
    </row>
    <row r="589">
      <c r="A589" s="57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63"/>
      <c r="U589" s="56"/>
    </row>
    <row r="590">
      <c r="A590" s="57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63"/>
      <c r="U590" s="56"/>
    </row>
    <row r="591">
      <c r="A591" s="57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63"/>
      <c r="U591" s="56"/>
    </row>
    <row r="592">
      <c r="A592" s="57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63"/>
      <c r="U592" s="56"/>
    </row>
    <row r="593">
      <c r="A593" s="57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63"/>
      <c r="U593" s="56"/>
    </row>
    <row r="594">
      <c r="A594" s="57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63"/>
      <c r="U594" s="56"/>
    </row>
    <row r="595">
      <c r="A595" s="57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63"/>
      <c r="U595" s="56"/>
    </row>
    <row r="596">
      <c r="A596" s="57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63"/>
      <c r="U596" s="56"/>
    </row>
    <row r="597">
      <c r="A597" s="57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63"/>
      <c r="U597" s="56"/>
    </row>
    <row r="598">
      <c r="A598" s="57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63"/>
      <c r="U598" s="56"/>
    </row>
    <row r="599">
      <c r="A599" s="57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63"/>
      <c r="U599" s="56"/>
    </row>
    <row r="600">
      <c r="A600" s="57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63"/>
      <c r="U600" s="56"/>
    </row>
    <row r="601">
      <c r="A601" s="57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63"/>
      <c r="U601" s="56"/>
    </row>
    <row r="602">
      <c r="A602" s="57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63"/>
      <c r="U602" s="56"/>
    </row>
    <row r="603">
      <c r="A603" s="57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63"/>
      <c r="U603" s="56"/>
    </row>
    <row r="604">
      <c r="A604" s="57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63"/>
      <c r="U604" s="56"/>
    </row>
    <row r="605">
      <c r="A605" s="57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63"/>
      <c r="U605" s="56"/>
    </row>
    <row r="606">
      <c r="A606" s="57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63"/>
      <c r="U606" s="56"/>
    </row>
    <row r="607">
      <c r="A607" s="57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63"/>
      <c r="U607" s="56"/>
    </row>
    <row r="608">
      <c r="A608" s="57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63"/>
      <c r="U608" s="56"/>
    </row>
    <row r="609">
      <c r="A609" s="57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63"/>
      <c r="U609" s="56"/>
    </row>
    <row r="610">
      <c r="A610" s="57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63"/>
      <c r="U610" s="56"/>
    </row>
    <row r="611">
      <c r="A611" s="57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63"/>
      <c r="U611" s="56"/>
    </row>
    <row r="612">
      <c r="A612" s="57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63"/>
      <c r="U612" s="56"/>
    </row>
    <row r="613">
      <c r="A613" s="57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63"/>
      <c r="U613" s="56"/>
    </row>
    <row r="614">
      <c r="A614" s="57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63"/>
      <c r="U614" s="56"/>
    </row>
    <row r="615">
      <c r="A615" s="57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63"/>
      <c r="U615" s="56"/>
    </row>
    <row r="616">
      <c r="A616" s="57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63"/>
      <c r="U616" s="56"/>
    </row>
    <row r="617">
      <c r="A617" s="57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63"/>
      <c r="U617" s="56"/>
    </row>
    <row r="618">
      <c r="A618" s="57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63"/>
      <c r="U618" s="56"/>
    </row>
    <row r="619">
      <c r="A619" s="57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63"/>
      <c r="U619" s="56"/>
    </row>
    <row r="620">
      <c r="A620" s="57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63"/>
      <c r="U620" s="56"/>
    </row>
    <row r="621">
      <c r="A621" s="57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63"/>
      <c r="U621" s="56"/>
    </row>
    <row r="622">
      <c r="A622" s="57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63"/>
      <c r="U622" s="56"/>
    </row>
    <row r="623">
      <c r="A623" s="57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63"/>
      <c r="U623" s="56"/>
    </row>
    <row r="624">
      <c r="A624" s="57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63"/>
      <c r="U624" s="56"/>
    </row>
    <row r="625">
      <c r="A625" s="57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63"/>
      <c r="U625" s="56"/>
    </row>
    <row r="626">
      <c r="A626" s="57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63"/>
      <c r="U626" s="56"/>
    </row>
    <row r="627">
      <c r="A627" s="57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63"/>
      <c r="U627" s="56"/>
    </row>
    <row r="628">
      <c r="A628" s="57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63"/>
      <c r="U628" s="56"/>
    </row>
    <row r="629">
      <c r="A629" s="57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63"/>
      <c r="U629" s="56"/>
    </row>
    <row r="630">
      <c r="A630" s="57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63"/>
      <c r="U630" s="56"/>
    </row>
    <row r="631">
      <c r="A631" s="57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63"/>
      <c r="U631" s="56"/>
    </row>
    <row r="632">
      <c r="A632" s="57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63"/>
      <c r="U632" s="56"/>
    </row>
    <row r="633">
      <c r="A633" s="57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63"/>
      <c r="U633" s="56"/>
    </row>
    <row r="634">
      <c r="A634" s="57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63"/>
      <c r="U634" s="56"/>
    </row>
    <row r="635">
      <c r="A635" s="57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63"/>
      <c r="U635" s="56"/>
    </row>
    <row r="636">
      <c r="A636" s="57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63"/>
      <c r="U636" s="56"/>
    </row>
    <row r="637">
      <c r="A637" s="57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63"/>
      <c r="U637" s="56"/>
    </row>
    <row r="638">
      <c r="A638" s="57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63"/>
      <c r="U638" s="56"/>
    </row>
    <row r="639">
      <c r="A639" s="57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63"/>
      <c r="U639" s="56"/>
    </row>
    <row r="640">
      <c r="A640" s="57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63"/>
      <c r="U640" s="56"/>
    </row>
    <row r="641">
      <c r="A641" s="57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63"/>
      <c r="U641" s="56"/>
    </row>
    <row r="642">
      <c r="A642" s="57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63"/>
      <c r="U642" s="56"/>
    </row>
    <row r="643">
      <c r="A643" s="57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63"/>
      <c r="U643" s="56"/>
    </row>
    <row r="644">
      <c r="A644" s="57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63"/>
      <c r="U644" s="56"/>
    </row>
    <row r="645">
      <c r="A645" s="57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63"/>
      <c r="U645" s="56"/>
    </row>
    <row r="646">
      <c r="A646" s="57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63"/>
      <c r="U646" s="56"/>
    </row>
    <row r="647">
      <c r="A647" s="57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63"/>
      <c r="U647" s="56"/>
    </row>
    <row r="648">
      <c r="A648" s="57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63"/>
      <c r="U648" s="56"/>
    </row>
    <row r="649">
      <c r="A649" s="57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63"/>
      <c r="U649" s="56"/>
    </row>
    <row r="650">
      <c r="A650" s="57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63"/>
      <c r="U650" s="56"/>
    </row>
    <row r="651">
      <c r="A651" s="57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63"/>
      <c r="U651" s="56"/>
    </row>
    <row r="652">
      <c r="A652" s="57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63"/>
      <c r="U652" s="56"/>
    </row>
    <row r="653">
      <c r="A653" s="57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63"/>
      <c r="U653" s="56"/>
    </row>
    <row r="654">
      <c r="A654" s="57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63"/>
      <c r="U654" s="56"/>
    </row>
    <row r="655">
      <c r="A655" s="57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63"/>
      <c r="U655" s="56"/>
    </row>
    <row r="656">
      <c r="A656" s="57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63"/>
      <c r="U656" s="56"/>
    </row>
    <row r="657">
      <c r="A657" s="57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63"/>
      <c r="U657" s="56"/>
    </row>
    <row r="658">
      <c r="A658" s="57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63"/>
      <c r="U658" s="56"/>
    </row>
    <row r="659">
      <c r="A659" s="57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63"/>
      <c r="U659" s="56"/>
    </row>
    <row r="660">
      <c r="A660" s="57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63"/>
      <c r="U660" s="56"/>
    </row>
    <row r="661">
      <c r="A661" s="57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63"/>
      <c r="U661" s="56"/>
    </row>
    <row r="662">
      <c r="A662" s="57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63"/>
      <c r="U662" s="56"/>
    </row>
    <row r="663">
      <c r="A663" s="57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63"/>
      <c r="U663" s="56"/>
    </row>
    <row r="664">
      <c r="A664" s="57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63"/>
      <c r="U664" s="56"/>
    </row>
    <row r="665">
      <c r="A665" s="57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63"/>
      <c r="U665" s="56"/>
    </row>
    <row r="666">
      <c r="A666" s="57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63"/>
      <c r="U666" s="56"/>
    </row>
    <row r="667">
      <c r="A667" s="57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63"/>
      <c r="U667" s="56"/>
    </row>
    <row r="668">
      <c r="A668" s="57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63"/>
      <c r="U668" s="56"/>
    </row>
    <row r="669">
      <c r="A669" s="57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63"/>
      <c r="U669" s="56"/>
    </row>
    <row r="670">
      <c r="A670" s="57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63"/>
      <c r="U670" s="56"/>
    </row>
    <row r="671">
      <c r="A671" s="57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63"/>
      <c r="U671" s="56"/>
    </row>
    <row r="672">
      <c r="A672" s="57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63"/>
      <c r="U672" s="56"/>
    </row>
    <row r="673">
      <c r="A673" s="57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63"/>
      <c r="U673" s="56"/>
    </row>
    <row r="674">
      <c r="A674" s="57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63"/>
      <c r="U674" s="56"/>
    </row>
    <row r="675">
      <c r="A675" s="57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63"/>
      <c r="U675" s="56"/>
    </row>
    <row r="676">
      <c r="A676" s="57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63"/>
      <c r="U676" s="56"/>
    </row>
    <row r="677">
      <c r="A677" s="57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63"/>
      <c r="U677" s="56"/>
    </row>
    <row r="678">
      <c r="A678" s="57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63"/>
      <c r="U678" s="56"/>
    </row>
    <row r="679">
      <c r="A679" s="57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63"/>
      <c r="U679" s="56"/>
    </row>
    <row r="680">
      <c r="A680" s="57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63"/>
      <c r="U680" s="56"/>
    </row>
    <row r="681">
      <c r="A681" s="57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63"/>
      <c r="U681" s="56"/>
    </row>
    <row r="682">
      <c r="A682" s="57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63"/>
      <c r="U682" s="56"/>
    </row>
    <row r="683">
      <c r="A683" s="57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63"/>
      <c r="U683" s="56"/>
    </row>
    <row r="684">
      <c r="A684" s="57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63"/>
      <c r="U684" s="56"/>
    </row>
    <row r="685">
      <c r="A685" s="57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63"/>
      <c r="U685" s="56"/>
    </row>
    <row r="686">
      <c r="A686" s="57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63"/>
      <c r="U686" s="56"/>
    </row>
    <row r="687">
      <c r="A687" s="57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63"/>
      <c r="U687" s="56"/>
    </row>
    <row r="688">
      <c r="A688" s="57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63"/>
      <c r="U688" s="56"/>
    </row>
    <row r="689">
      <c r="A689" s="57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63"/>
      <c r="U689" s="56"/>
    </row>
    <row r="690">
      <c r="A690" s="57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63"/>
      <c r="U690" s="56"/>
    </row>
    <row r="691">
      <c r="A691" s="57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63"/>
      <c r="U691" s="56"/>
    </row>
    <row r="692">
      <c r="A692" s="57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63"/>
      <c r="U692" s="56"/>
    </row>
    <row r="693">
      <c r="A693" s="57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63"/>
      <c r="U693" s="56"/>
    </row>
    <row r="694">
      <c r="A694" s="57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63"/>
      <c r="U694" s="56"/>
    </row>
    <row r="695">
      <c r="A695" s="57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63"/>
      <c r="U695" s="56"/>
    </row>
    <row r="696">
      <c r="A696" s="57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63"/>
      <c r="U696" s="56"/>
    </row>
    <row r="697">
      <c r="A697" s="57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63"/>
      <c r="U697" s="56"/>
    </row>
    <row r="698">
      <c r="A698" s="57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63"/>
      <c r="U698" s="56"/>
    </row>
    <row r="699">
      <c r="A699" s="57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63"/>
      <c r="U699" s="56"/>
    </row>
    <row r="700">
      <c r="A700" s="57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63"/>
      <c r="U700" s="56"/>
    </row>
    <row r="701">
      <c r="A701" s="57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63"/>
      <c r="U701" s="56"/>
    </row>
    <row r="702">
      <c r="A702" s="57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63"/>
      <c r="U702" s="56"/>
    </row>
    <row r="703">
      <c r="A703" s="57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63"/>
      <c r="U703" s="56"/>
    </row>
    <row r="704">
      <c r="A704" s="57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63"/>
      <c r="U704" s="56"/>
    </row>
    <row r="705">
      <c r="A705" s="57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63"/>
      <c r="U705" s="56"/>
    </row>
    <row r="706">
      <c r="A706" s="57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63"/>
      <c r="U706" s="56"/>
    </row>
    <row r="707">
      <c r="A707" s="57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63"/>
      <c r="U707" s="56"/>
    </row>
    <row r="708">
      <c r="A708" s="57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63"/>
      <c r="U708" s="56"/>
    </row>
    <row r="709">
      <c r="A709" s="57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63"/>
      <c r="U709" s="56"/>
    </row>
    <row r="710">
      <c r="A710" s="57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63"/>
      <c r="U710" s="56"/>
    </row>
    <row r="711">
      <c r="A711" s="57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63"/>
      <c r="U711" s="56"/>
    </row>
    <row r="712">
      <c r="A712" s="57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63"/>
      <c r="U712" s="56"/>
    </row>
    <row r="713">
      <c r="A713" s="57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63"/>
      <c r="U713" s="56"/>
    </row>
    <row r="714">
      <c r="A714" s="57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63"/>
      <c r="U714" s="56"/>
    </row>
    <row r="715">
      <c r="A715" s="57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63"/>
      <c r="U715" s="56"/>
    </row>
    <row r="716">
      <c r="A716" s="57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63"/>
      <c r="U716" s="56"/>
    </row>
    <row r="717">
      <c r="A717" s="57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63"/>
      <c r="U717" s="56"/>
    </row>
    <row r="718">
      <c r="A718" s="57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63"/>
      <c r="U718" s="56"/>
    </row>
    <row r="719">
      <c r="A719" s="57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63"/>
      <c r="U719" s="56"/>
    </row>
    <row r="720">
      <c r="A720" s="57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63"/>
      <c r="U720" s="56"/>
    </row>
    <row r="721">
      <c r="A721" s="57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63"/>
      <c r="U721" s="56"/>
    </row>
    <row r="722">
      <c r="A722" s="57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63"/>
      <c r="U722" s="56"/>
    </row>
    <row r="723">
      <c r="A723" s="57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63"/>
      <c r="U723" s="56"/>
    </row>
    <row r="724">
      <c r="A724" s="57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63"/>
      <c r="U724" s="56"/>
    </row>
    <row r="725">
      <c r="A725" s="57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63"/>
      <c r="U725" s="56"/>
    </row>
    <row r="726">
      <c r="A726" s="57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63"/>
      <c r="U726" s="56"/>
    </row>
    <row r="727">
      <c r="A727" s="57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63"/>
      <c r="U727" s="56"/>
    </row>
    <row r="728">
      <c r="A728" s="57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63"/>
      <c r="U728" s="56"/>
    </row>
    <row r="729">
      <c r="A729" s="57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63"/>
      <c r="U729" s="56"/>
    </row>
    <row r="730">
      <c r="A730" s="57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63"/>
      <c r="U730" s="56"/>
    </row>
    <row r="731">
      <c r="A731" s="57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63"/>
      <c r="U731" s="56"/>
    </row>
    <row r="732">
      <c r="A732" s="57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63"/>
      <c r="U732" s="56"/>
    </row>
    <row r="733">
      <c r="A733" s="57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63"/>
      <c r="U733" s="56"/>
    </row>
    <row r="734">
      <c r="A734" s="57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63"/>
      <c r="U734" s="56"/>
    </row>
    <row r="735">
      <c r="A735" s="57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63"/>
      <c r="U735" s="56"/>
    </row>
    <row r="736">
      <c r="A736" s="57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63"/>
      <c r="U736" s="56"/>
    </row>
    <row r="737">
      <c r="A737" s="57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63"/>
      <c r="U737" s="56"/>
    </row>
    <row r="738">
      <c r="A738" s="57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63"/>
      <c r="U738" s="56"/>
    </row>
    <row r="739">
      <c r="A739" s="57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63"/>
      <c r="U739" s="56"/>
    </row>
    <row r="740">
      <c r="A740" s="57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63"/>
      <c r="U740" s="56"/>
    </row>
    <row r="741">
      <c r="A741" s="57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63"/>
      <c r="U741" s="56"/>
    </row>
    <row r="742">
      <c r="A742" s="57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63"/>
      <c r="U742" s="56"/>
    </row>
    <row r="743">
      <c r="A743" s="57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63"/>
      <c r="U743" s="56"/>
    </row>
    <row r="744">
      <c r="A744" s="57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63"/>
      <c r="U744" s="56"/>
    </row>
    <row r="745">
      <c r="A745" s="57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63"/>
      <c r="U745" s="56"/>
    </row>
    <row r="746">
      <c r="A746" s="57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63"/>
      <c r="U746" s="56"/>
    </row>
    <row r="747">
      <c r="A747" s="57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63"/>
      <c r="U747" s="56"/>
    </row>
    <row r="748">
      <c r="A748" s="57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63"/>
      <c r="U748" s="56"/>
    </row>
    <row r="749">
      <c r="A749" s="57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63"/>
      <c r="U749" s="56"/>
    </row>
    <row r="750">
      <c r="A750" s="57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63"/>
      <c r="U750" s="56"/>
    </row>
    <row r="751">
      <c r="A751" s="57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63"/>
      <c r="U751" s="56"/>
    </row>
    <row r="752">
      <c r="A752" s="57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63"/>
      <c r="U752" s="56"/>
    </row>
    <row r="753">
      <c r="A753" s="57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63"/>
      <c r="U753" s="56"/>
    </row>
    <row r="754">
      <c r="A754" s="57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63"/>
      <c r="U754" s="56"/>
    </row>
    <row r="755">
      <c r="A755" s="57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63"/>
      <c r="U755" s="56"/>
    </row>
    <row r="756">
      <c r="A756" s="57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63"/>
      <c r="U756" s="56"/>
    </row>
    <row r="757">
      <c r="A757" s="57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63"/>
      <c r="U757" s="56"/>
    </row>
    <row r="758">
      <c r="A758" s="57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63"/>
      <c r="U758" s="56"/>
    </row>
    <row r="759">
      <c r="A759" s="57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63"/>
      <c r="U759" s="56"/>
    </row>
    <row r="760">
      <c r="A760" s="57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63"/>
      <c r="U760" s="56"/>
    </row>
    <row r="761">
      <c r="A761" s="57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63"/>
      <c r="U761" s="56"/>
    </row>
    <row r="762">
      <c r="A762" s="57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63"/>
      <c r="U762" s="56"/>
    </row>
    <row r="763">
      <c r="A763" s="57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63"/>
      <c r="U763" s="56"/>
    </row>
    <row r="764">
      <c r="A764" s="57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63"/>
      <c r="U764" s="56"/>
    </row>
    <row r="765">
      <c r="A765" s="57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63"/>
      <c r="U765" s="56"/>
    </row>
    <row r="766">
      <c r="A766" s="57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63"/>
      <c r="U766" s="56"/>
    </row>
    <row r="767">
      <c r="A767" s="57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63"/>
      <c r="U767" s="56"/>
    </row>
    <row r="768">
      <c r="A768" s="57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63"/>
      <c r="U768" s="56"/>
    </row>
    <row r="769">
      <c r="A769" s="57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63"/>
      <c r="U769" s="56"/>
    </row>
    <row r="770">
      <c r="A770" s="57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63"/>
      <c r="U770" s="56"/>
    </row>
    <row r="771">
      <c r="A771" s="57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63"/>
      <c r="U771" s="56"/>
    </row>
    <row r="772">
      <c r="A772" s="57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63"/>
      <c r="U772" s="56"/>
    </row>
    <row r="773">
      <c r="A773" s="57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63"/>
      <c r="U773" s="56"/>
    </row>
    <row r="774">
      <c r="A774" s="57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63"/>
      <c r="U774" s="56"/>
    </row>
    <row r="775">
      <c r="A775" s="57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63"/>
      <c r="U775" s="56"/>
    </row>
    <row r="776">
      <c r="A776" s="57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63"/>
      <c r="U776" s="56"/>
    </row>
    <row r="777">
      <c r="A777" s="57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63"/>
      <c r="U777" s="56"/>
    </row>
    <row r="778">
      <c r="A778" s="57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63"/>
      <c r="U778" s="56"/>
    </row>
    <row r="779">
      <c r="A779" s="57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63"/>
      <c r="U779" s="56"/>
    </row>
    <row r="780">
      <c r="A780" s="57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63"/>
      <c r="U780" s="56"/>
    </row>
    <row r="781">
      <c r="A781" s="57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63"/>
      <c r="U781" s="56"/>
    </row>
    <row r="782">
      <c r="A782" s="57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63"/>
      <c r="U782" s="56"/>
    </row>
    <row r="783">
      <c r="A783" s="57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63"/>
      <c r="U783" s="56"/>
    </row>
    <row r="784">
      <c r="A784" s="57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63"/>
      <c r="U784" s="56"/>
    </row>
    <row r="785">
      <c r="A785" s="57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63"/>
      <c r="U785" s="56"/>
    </row>
    <row r="786">
      <c r="A786" s="57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63"/>
      <c r="U786" s="56"/>
    </row>
    <row r="787">
      <c r="A787" s="57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63"/>
      <c r="U787" s="56"/>
    </row>
    <row r="788">
      <c r="A788" s="57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63"/>
      <c r="U788" s="56"/>
    </row>
    <row r="789">
      <c r="A789" s="57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63"/>
      <c r="U789" s="56"/>
    </row>
    <row r="790">
      <c r="A790" s="57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63"/>
      <c r="U790" s="56"/>
    </row>
    <row r="791">
      <c r="A791" s="57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63"/>
      <c r="U791" s="56"/>
    </row>
    <row r="792">
      <c r="A792" s="57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63"/>
      <c r="U792" s="56"/>
    </row>
    <row r="793">
      <c r="A793" s="57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63"/>
      <c r="U793" s="56"/>
    </row>
    <row r="794">
      <c r="A794" s="57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63"/>
      <c r="U794" s="56"/>
    </row>
    <row r="795">
      <c r="A795" s="57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63"/>
      <c r="U795" s="56"/>
    </row>
    <row r="796">
      <c r="A796" s="57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63"/>
      <c r="U796" s="56"/>
    </row>
    <row r="797">
      <c r="A797" s="57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63"/>
      <c r="U797" s="56"/>
    </row>
    <row r="798">
      <c r="A798" s="57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63"/>
      <c r="U798" s="56"/>
    </row>
    <row r="799">
      <c r="A799" s="57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63"/>
      <c r="U799" s="56"/>
    </row>
    <row r="800">
      <c r="A800" s="57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63"/>
      <c r="U800" s="56"/>
    </row>
    <row r="801">
      <c r="A801" s="57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63"/>
      <c r="U801" s="56"/>
    </row>
    <row r="802">
      <c r="A802" s="57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63"/>
      <c r="U802" s="56"/>
    </row>
    <row r="803">
      <c r="A803" s="57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63"/>
      <c r="U803" s="56"/>
    </row>
    <row r="804">
      <c r="A804" s="57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63"/>
      <c r="U804" s="56"/>
    </row>
    <row r="805">
      <c r="A805" s="57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63"/>
      <c r="U805" s="56"/>
    </row>
    <row r="806">
      <c r="A806" s="57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63"/>
      <c r="U806" s="56"/>
    </row>
    <row r="807">
      <c r="A807" s="57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63"/>
      <c r="U807" s="56"/>
    </row>
    <row r="808">
      <c r="A808" s="57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63"/>
      <c r="U808" s="56"/>
    </row>
    <row r="809">
      <c r="A809" s="57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63"/>
      <c r="U809" s="56"/>
    </row>
    <row r="810">
      <c r="A810" s="57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63"/>
      <c r="U810" s="56"/>
    </row>
    <row r="811">
      <c r="A811" s="57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63"/>
      <c r="U811" s="56"/>
    </row>
    <row r="812">
      <c r="A812" s="57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63"/>
      <c r="U812" s="56"/>
    </row>
    <row r="813">
      <c r="A813" s="57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63"/>
      <c r="U813" s="56"/>
    </row>
    <row r="814">
      <c r="A814" s="57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63"/>
      <c r="U814" s="56"/>
    </row>
    <row r="815">
      <c r="A815" s="57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63"/>
      <c r="U815" s="56"/>
    </row>
    <row r="816">
      <c r="A816" s="57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63"/>
      <c r="U816" s="56"/>
    </row>
    <row r="817">
      <c r="A817" s="57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63"/>
      <c r="U817" s="56"/>
    </row>
    <row r="818">
      <c r="A818" s="57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63"/>
      <c r="U818" s="56"/>
    </row>
    <row r="819">
      <c r="A819" s="57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63"/>
      <c r="U819" s="56"/>
    </row>
    <row r="820">
      <c r="A820" s="57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63"/>
      <c r="U820" s="56"/>
    </row>
    <row r="821">
      <c r="A821" s="57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63"/>
      <c r="U821" s="56"/>
    </row>
    <row r="822">
      <c r="A822" s="57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63"/>
      <c r="U822" s="56"/>
    </row>
    <row r="823">
      <c r="A823" s="57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63"/>
      <c r="U823" s="56"/>
    </row>
    <row r="824">
      <c r="A824" s="57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63"/>
      <c r="U824" s="56"/>
    </row>
    <row r="825">
      <c r="A825" s="57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63"/>
      <c r="U825" s="56"/>
    </row>
    <row r="826">
      <c r="A826" s="57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63"/>
      <c r="U826" s="56"/>
    </row>
    <row r="827">
      <c r="A827" s="57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63"/>
      <c r="U827" s="56"/>
    </row>
    <row r="828">
      <c r="A828" s="57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63"/>
      <c r="U828" s="56"/>
    </row>
    <row r="829">
      <c r="A829" s="57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63"/>
      <c r="U829" s="56"/>
    </row>
    <row r="830">
      <c r="A830" s="57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63"/>
      <c r="U830" s="56"/>
    </row>
    <row r="831">
      <c r="A831" s="57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63"/>
      <c r="U831" s="56"/>
    </row>
    <row r="832">
      <c r="A832" s="57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63"/>
      <c r="U832" s="56"/>
    </row>
    <row r="833">
      <c r="A833" s="57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63"/>
      <c r="U833" s="56"/>
    </row>
    <row r="834">
      <c r="A834" s="57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63"/>
      <c r="U834" s="56"/>
    </row>
    <row r="835">
      <c r="A835" s="57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63"/>
      <c r="U835" s="56"/>
    </row>
    <row r="836">
      <c r="A836" s="57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63"/>
      <c r="U836" s="56"/>
    </row>
    <row r="837">
      <c r="A837" s="57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63"/>
      <c r="U837" s="56"/>
    </row>
    <row r="838">
      <c r="A838" s="57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63"/>
      <c r="U838" s="56"/>
    </row>
    <row r="839">
      <c r="A839" s="57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63"/>
      <c r="U839" s="56"/>
    </row>
    <row r="840">
      <c r="A840" s="57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63"/>
      <c r="U840" s="56"/>
    </row>
    <row r="841">
      <c r="A841" s="57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63"/>
      <c r="U841" s="56"/>
    </row>
    <row r="842">
      <c r="A842" s="57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63"/>
      <c r="U842" s="56"/>
    </row>
    <row r="843">
      <c r="A843" s="57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63"/>
      <c r="U843" s="56"/>
    </row>
    <row r="844">
      <c r="A844" s="57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63"/>
      <c r="U844" s="56"/>
    </row>
    <row r="845">
      <c r="A845" s="57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63"/>
      <c r="U845" s="56"/>
    </row>
    <row r="846">
      <c r="A846" s="57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63"/>
      <c r="U846" s="56"/>
    </row>
    <row r="847">
      <c r="A847" s="57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63"/>
      <c r="U847" s="56"/>
    </row>
    <row r="848">
      <c r="A848" s="57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63"/>
      <c r="U848" s="56"/>
    </row>
    <row r="849">
      <c r="A849" s="57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63"/>
      <c r="U849" s="56"/>
    </row>
    <row r="850">
      <c r="A850" s="57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63"/>
      <c r="U850" s="56"/>
    </row>
    <row r="851">
      <c r="A851" s="57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63"/>
      <c r="U851" s="56"/>
    </row>
    <row r="852">
      <c r="A852" s="57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63"/>
      <c r="U852" s="56"/>
    </row>
    <row r="853">
      <c r="A853" s="57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63"/>
      <c r="U853" s="56"/>
    </row>
    <row r="854">
      <c r="A854" s="57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63"/>
      <c r="U854" s="56"/>
    </row>
    <row r="855">
      <c r="A855" s="57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63"/>
      <c r="U855" s="56"/>
    </row>
    <row r="856">
      <c r="A856" s="57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63"/>
      <c r="U856" s="56"/>
    </row>
    <row r="857">
      <c r="A857" s="57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63"/>
      <c r="U857" s="56"/>
    </row>
    <row r="858">
      <c r="A858" s="57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63"/>
      <c r="U858" s="56"/>
    </row>
    <row r="859">
      <c r="A859" s="57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63"/>
      <c r="U859" s="56"/>
    </row>
    <row r="860">
      <c r="A860" s="57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63"/>
      <c r="U860" s="56"/>
    </row>
    <row r="861">
      <c r="A861" s="57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63"/>
      <c r="U861" s="56"/>
    </row>
    <row r="862">
      <c r="A862" s="57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63"/>
      <c r="U862" s="56"/>
    </row>
    <row r="863">
      <c r="A863" s="57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63"/>
      <c r="U863" s="56"/>
    </row>
    <row r="864">
      <c r="A864" s="57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63"/>
      <c r="U864" s="56"/>
    </row>
    <row r="865">
      <c r="A865" s="57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63"/>
      <c r="U865" s="56"/>
    </row>
    <row r="866">
      <c r="A866" s="57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63"/>
      <c r="U866" s="56"/>
    </row>
    <row r="867">
      <c r="A867" s="57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63"/>
      <c r="U867" s="56"/>
    </row>
    <row r="868">
      <c r="A868" s="57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63"/>
      <c r="U868" s="56"/>
    </row>
    <row r="869">
      <c r="A869" s="57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63"/>
      <c r="U869" s="56"/>
    </row>
    <row r="870">
      <c r="A870" s="57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63"/>
      <c r="U870" s="56"/>
    </row>
    <row r="871">
      <c r="A871" s="57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63"/>
      <c r="U871" s="56"/>
    </row>
    <row r="872">
      <c r="A872" s="57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63"/>
      <c r="U872" s="56"/>
    </row>
    <row r="873">
      <c r="A873" s="57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63"/>
      <c r="U873" s="56"/>
    </row>
    <row r="874">
      <c r="A874" s="57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63"/>
      <c r="U874" s="56"/>
    </row>
    <row r="875">
      <c r="A875" s="57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63"/>
      <c r="U875" s="56"/>
    </row>
    <row r="876">
      <c r="A876" s="57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63"/>
      <c r="U876" s="56"/>
    </row>
    <row r="877">
      <c r="A877" s="57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63"/>
      <c r="U877" s="56"/>
    </row>
    <row r="878">
      <c r="A878" s="57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63"/>
      <c r="U878" s="56"/>
    </row>
    <row r="879">
      <c r="A879" s="57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63"/>
      <c r="U879" s="56"/>
    </row>
    <row r="880">
      <c r="A880" s="57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63"/>
      <c r="U880" s="56"/>
    </row>
    <row r="881">
      <c r="A881" s="57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63"/>
      <c r="U881" s="56"/>
    </row>
    <row r="882">
      <c r="A882" s="57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63"/>
      <c r="U882" s="56"/>
    </row>
    <row r="883">
      <c r="A883" s="57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63"/>
      <c r="U883" s="56"/>
    </row>
    <row r="884">
      <c r="A884" s="57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63"/>
      <c r="U884" s="56"/>
    </row>
    <row r="885">
      <c r="A885" s="57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63"/>
      <c r="U885" s="56"/>
    </row>
    <row r="886">
      <c r="A886" s="57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63"/>
      <c r="U886" s="56"/>
    </row>
    <row r="887">
      <c r="A887" s="57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63"/>
      <c r="U887" s="56"/>
    </row>
    <row r="888">
      <c r="A888" s="57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63"/>
      <c r="U888" s="56"/>
    </row>
    <row r="889">
      <c r="A889" s="57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63"/>
      <c r="U889" s="56"/>
    </row>
    <row r="890">
      <c r="A890" s="57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63"/>
      <c r="U890" s="56"/>
    </row>
    <row r="891">
      <c r="A891" s="57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63"/>
      <c r="U891" s="56"/>
    </row>
    <row r="892">
      <c r="A892" s="57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63"/>
      <c r="U892" s="56"/>
    </row>
    <row r="893">
      <c r="A893" s="57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63"/>
      <c r="U893" s="56"/>
    </row>
    <row r="894">
      <c r="A894" s="57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63"/>
      <c r="U894" s="56"/>
    </row>
    <row r="895">
      <c r="A895" s="57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63"/>
      <c r="U895" s="56"/>
    </row>
    <row r="896">
      <c r="A896" s="57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63"/>
      <c r="U896" s="56"/>
    </row>
    <row r="897">
      <c r="A897" s="57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63"/>
      <c r="U897" s="56"/>
    </row>
    <row r="898">
      <c r="A898" s="57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63"/>
      <c r="U898" s="56"/>
    </row>
    <row r="899">
      <c r="A899" s="57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63"/>
      <c r="U899" s="56"/>
    </row>
    <row r="900">
      <c r="A900" s="57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63"/>
      <c r="U900" s="56"/>
    </row>
    <row r="901">
      <c r="A901" s="57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63"/>
      <c r="U901" s="56"/>
    </row>
    <row r="902">
      <c r="A902" s="57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63"/>
      <c r="U902" s="56"/>
    </row>
    <row r="903">
      <c r="A903" s="57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63"/>
      <c r="U903" s="56"/>
    </row>
    <row r="904">
      <c r="A904" s="57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63"/>
      <c r="U904" s="56"/>
    </row>
    <row r="905">
      <c r="A905" s="57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63"/>
      <c r="U905" s="56"/>
    </row>
    <row r="906">
      <c r="A906" s="57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63"/>
      <c r="U906" s="56"/>
    </row>
    <row r="907">
      <c r="A907" s="57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63"/>
      <c r="U907" s="56"/>
    </row>
    <row r="908">
      <c r="A908" s="57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63"/>
      <c r="U908" s="56"/>
    </row>
    <row r="909">
      <c r="A909" s="57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63"/>
      <c r="U909" s="56"/>
    </row>
    <row r="910">
      <c r="A910" s="57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63"/>
      <c r="U910" s="56"/>
    </row>
    <row r="911">
      <c r="A911" s="57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63"/>
      <c r="U911" s="56"/>
    </row>
    <row r="912">
      <c r="A912" s="57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63"/>
      <c r="U912" s="56"/>
    </row>
    <row r="913">
      <c r="A913" s="57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63"/>
      <c r="U913" s="56"/>
    </row>
    <row r="914">
      <c r="A914" s="57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63"/>
      <c r="U914" s="56"/>
    </row>
    <row r="915">
      <c r="A915" s="57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63"/>
      <c r="U915" s="56"/>
    </row>
    <row r="916">
      <c r="A916" s="57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63"/>
      <c r="U916" s="56"/>
    </row>
    <row r="917">
      <c r="A917" s="57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63"/>
      <c r="U917" s="56"/>
    </row>
    <row r="918">
      <c r="A918" s="57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63"/>
      <c r="U918" s="56"/>
    </row>
    <row r="919">
      <c r="A919" s="57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63"/>
      <c r="U919" s="56"/>
    </row>
    <row r="920">
      <c r="A920" s="57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63"/>
      <c r="U920" s="56"/>
    </row>
    <row r="921">
      <c r="A921" s="57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63"/>
      <c r="U921" s="56"/>
    </row>
    <row r="922">
      <c r="A922" s="57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63"/>
      <c r="U922" s="56"/>
    </row>
    <row r="923">
      <c r="A923" s="57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63"/>
      <c r="U923" s="56"/>
    </row>
    <row r="924">
      <c r="A924" s="57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63"/>
      <c r="U924" s="56"/>
    </row>
    <row r="925">
      <c r="A925" s="57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63"/>
      <c r="U925" s="56"/>
    </row>
    <row r="926">
      <c r="A926" s="57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63"/>
      <c r="U926" s="56"/>
    </row>
    <row r="927">
      <c r="A927" s="57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63"/>
      <c r="U927" s="56"/>
    </row>
    <row r="928">
      <c r="A928" s="57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63"/>
      <c r="U928" s="56"/>
    </row>
    <row r="929">
      <c r="A929" s="57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63"/>
      <c r="U929" s="56"/>
    </row>
    <row r="930">
      <c r="A930" s="57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63"/>
      <c r="U930" s="56"/>
    </row>
    <row r="931">
      <c r="A931" s="57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63"/>
      <c r="U931" s="56"/>
    </row>
    <row r="932">
      <c r="A932" s="57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63"/>
      <c r="U932" s="56"/>
    </row>
    <row r="933">
      <c r="A933" s="57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63"/>
      <c r="U933" s="56"/>
    </row>
    <row r="934">
      <c r="A934" s="57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63"/>
      <c r="U934" s="56"/>
    </row>
    <row r="935">
      <c r="A935" s="57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63"/>
      <c r="U935" s="56"/>
    </row>
    <row r="936">
      <c r="A936" s="57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63"/>
      <c r="U936" s="56"/>
    </row>
    <row r="937">
      <c r="A937" s="57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63"/>
      <c r="U937" s="56"/>
    </row>
    <row r="938">
      <c r="A938" s="57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63"/>
      <c r="U938" s="56"/>
    </row>
    <row r="939">
      <c r="A939" s="57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63"/>
      <c r="U939" s="56"/>
    </row>
    <row r="940">
      <c r="A940" s="57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63"/>
      <c r="U940" s="56"/>
    </row>
    <row r="941">
      <c r="A941" s="57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63"/>
      <c r="U941" s="56"/>
    </row>
    <row r="942">
      <c r="A942" s="57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63"/>
      <c r="U942" s="56"/>
    </row>
    <row r="943">
      <c r="A943" s="57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63"/>
      <c r="U943" s="56"/>
    </row>
    <row r="944">
      <c r="A944" s="57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63"/>
      <c r="U944" s="56"/>
    </row>
    <row r="945">
      <c r="A945" s="57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63"/>
      <c r="U945" s="56"/>
    </row>
    <row r="946">
      <c r="A946" s="57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63"/>
      <c r="U946" s="56"/>
    </row>
    <row r="947">
      <c r="A947" s="57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63"/>
      <c r="U947" s="56"/>
    </row>
    <row r="948">
      <c r="A948" s="57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63"/>
      <c r="U948" s="56"/>
    </row>
    <row r="949">
      <c r="A949" s="57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63"/>
      <c r="U949" s="56"/>
    </row>
    <row r="950">
      <c r="A950" s="57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63"/>
      <c r="U950" s="56"/>
    </row>
    <row r="951">
      <c r="A951" s="57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63"/>
      <c r="U951" s="56"/>
    </row>
    <row r="952">
      <c r="A952" s="57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63"/>
      <c r="U952" s="56"/>
    </row>
    <row r="953">
      <c r="A953" s="57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63"/>
      <c r="U953" s="56"/>
    </row>
    <row r="954">
      <c r="A954" s="57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63"/>
      <c r="U954" s="56"/>
    </row>
    <row r="955">
      <c r="A955" s="57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63"/>
      <c r="U955" s="56"/>
    </row>
    <row r="956">
      <c r="A956" s="57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63"/>
      <c r="U956" s="56"/>
    </row>
    <row r="957">
      <c r="A957" s="57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63"/>
      <c r="U957" s="56"/>
    </row>
    <row r="958">
      <c r="A958" s="57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63"/>
      <c r="U958" s="56"/>
    </row>
    <row r="959">
      <c r="A959" s="57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63"/>
      <c r="U959" s="56"/>
    </row>
    <row r="960">
      <c r="A960" s="57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63"/>
      <c r="U960" s="56"/>
    </row>
    <row r="961">
      <c r="A961" s="57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63"/>
      <c r="U961" s="56"/>
    </row>
    <row r="962">
      <c r="A962" s="57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63"/>
      <c r="U962" s="56"/>
    </row>
    <row r="963">
      <c r="A963" s="57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63"/>
      <c r="U963" s="56"/>
    </row>
    <row r="964">
      <c r="A964" s="57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63"/>
      <c r="U964" s="56"/>
    </row>
    <row r="965">
      <c r="A965" s="57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63"/>
      <c r="U965" s="56"/>
    </row>
    <row r="966">
      <c r="A966" s="57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63"/>
      <c r="U966" s="56"/>
    </row>
    <row r="967">
      <c r="A967" s="57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63"/>
      <c r="U967" s="56"/>
    </row>
    <row r="968">
      <c r="A968" s="57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63"/>
      <c r="U968" s="56"/>
    </row>
    <row r="969">
      <c r="A969" s="57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63"/>
      <c r="U969" s="56"/>
    </row>
    <row r="970">
      <c r="A970" s="57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63"/>
      <c r="U970" s="56"/>
    </row>
    <row r="971">
      <c r="A971" s="57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63"/>
      <c r="U971" s="56"/>
    </row>
    <row r="972">
      <c r="A972" s="57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63"/>
      <c r="U972" s="56"/>
    </row>
    <row r="973">
      <c r="A973" s="57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63"/>
      <c r="U973" s="56"/>
    </row>
    <row r="974">
      <c r="A974" s="57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63"/>
      <c r="U974" s="56"/>
    </row>
    <row r="975">
      <c r="A975" s="57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63"/>
      <c r="U975" s="56"/>
    </row>
    <row r="976">
      <c r="A976" s="57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63"/>
      <c r="U976" s="56"/>
    </row>
    <row r="977">
      <c r="A977" s="57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63"/>
      <c r="U977" s="56"/>
    </row>
    <row r="978">
      <c r="A978" s="57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63"/>
      <c r="U978" s="56"/>
    </row>
    <row r="979">
      <c r="A979" s="57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63"/>
      <c r="U979" s="56"/>
    </row>
    <row r="980">
      <c r="A980" s="57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63"/>
      <c r="U980" s="56"/>
    </row>
    <row r="981">
      <c r="A981" s="57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63"/>
      <c r="U981" s="56"/>
    </row>
    <row r="982">
      <c r="A982" s="57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63"/>
      <c r="U982" s="56"/>
    </row>
    <row r="983">
      <c r="A983" s="57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63"/>
      <c r="U983" s="56"/>
    </row>
    <row r="984">
      <c r="A984" s="57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63"/>
      <c r="U984" s="56"/>
    </row>
    <row r="985">
      <c r="A985" s="57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63"/>
      <c r="U985" s="56"/>
    </row>
    <row r="986">
      <c r="A986" s="57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63"/>
      <c r="U986" s="56"/>
    </row>
    <row r="987">
      <c r="A987" s="57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63"/>
      <c r="U987" s="56"/>
    </row>
    <row r="988">
      <c r="A988" s="57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63"/>
      <c r="U988" s="56"/>
    </row>
    <row r="989">
      <c r="A989" s="57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63"/>
      <c r="U989" s="56"/>
    </row>
    <row r="990">
      <c r="A990" s="57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63"/>
      <c r="U990" s="56"/>
    </row>
    <row r="991">
      <c r="A991" s="57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63"/>
      <c r="U991" s="56"/>
    </row>
    <row r="992">
      <c r="A992" s="57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63"/>
      <c r="U992" s="56"/>
    </row>
  </sheetData>
  <dataValidations>
    <dataValidation type="list" allowBlank="1" showErrorMessage="1" sqref="D3:D992">
      <formula1>Data!$C$2:$C992</formula1>
    </dataValidation>
    <dataValidation type="list" allowBlank="1" showErrorMessage="1" sqref="E3:E992">
      <formula1>Data!$D$2:$D992</formula1>
    </dataValidation>
    <dataValidation type="list" allowBlank="1" showErrorMessage="1" sqref="N3:N992">
      <formula1>Data!$K$3:$K992</formula1>
    </dataValidation>
    <dataValidation type="list" allowBlank="1" showErrorMessage="1" sqref="B3:B992">
      <formula1>Data!$A$2:$A992</formula1>
    </dataValidation>
    <dataValidation type="list" allowBlank="1" showErrorMessage="1" sqref="O3:O41 O43:O992">
      <formula1>Data!$O$2:$O992</formula1>
    </dataValidation>
    <dataValidation type="list" allowBlank="1" showErrorMessage="1" sqref="M3:M41 M43:M992">
      <formula1>Data!$P$2:$P992</formula1>
    </dataValidation>
    <dataValidation type="custom" allowBlank="1" showDropDown="1" sqref="A4:A992">
      <formula1>OR(NOT(ISERROR(DATEVALUE(A4))), AND(ISNUMBER(A4), LEFT(CELL("format", A4))="D"))</formula1>
    </dataValidation>
    <dataValidation type="list" allowBlank="1" showErrorMessage="1" sqref="L3:L41 L43:L86 L90:L91 L93:L992">
      <formula1>Data!$I$2:$I992</formula1>
    </dataValidation>
    <dataValidation type="list" allowBlank="1" showErrorMessage="1" sqref="F3:F41 F43:F992">
      <formula1>Data!$F$2:$F992</formula1>
    </dataValidation>
    <dataValidation type="list" allowBlank="1" showErrorMessage="1" sqref="H3:H992">
      <formula1>Data!$H$2:$H992</formula1>
    </dataValidation>
    <dataValidation type="list" allowBlank="1" showErrorMessage="1" sqref="P3:P41 P43:P992">
      <formula1>Data!$M$2:$M992</formula1>
    </dataValidation>
  </dataValidations>
  <hyperlinks>
    <hyperlink r:id="rId1" ref="B3"/>
    <hyperlink r:id="rId2" ref="T3"/>
    <hyperlink r:id="rId3" ref="B4"/>
    <hyperlink r:id="rId4" ref="T4"/>
    <hyperlink r:id="rId5" ref="B5"/>
    <hyperlink r:id="rId6" ref="T5"/>
    <hyperlink r:id="rId7" ref="B6"/>
    <hyperlink r:id="rId8" ref="T6"/>
    <hyperlink r:id="rId9" ref="B7"/>
    <hyperlink r:id="rId10" ref="T7"/>
    <hyperlink r:id="rId11" ref="T150"/>
    <hyperlink r:id="rId12" ref="T151"/>
    <hyperlink r:id="rId13" ref="T152"/>
    <hyperlink r:id="rId14" ref="T153"/>
    <hyperlink r:id="rId15" ref="T154"/>
    <hyperlink r:id="rId16" ref="T155"/>
    <hyperlink r:id="rId17" ref="T156"/>
    <hyperlink r:id="rId18" ref="T157"/>
    <hyperlink r:id="rId19" ref="T158"/>
    <hyperlink r:id="rId20" ref="T159"/>
    <hyperlink r:id="rId21" ref="T160"/>
    <hyperlink r:id="rId22" ref="T161"/>
    <hyperlink r:id="rId23" ref="T162"/>
    <hyperlink r:id="rId24" ref="T163"/>
    <hyperlink r:id="rId25" ref="T164"/>
    <hyperlink r:id="rId26" ref="T165"/>
    <hyperlink r:id="rId27" ref="T166"/>
    <hyperlink r:id="rId28" ref="T167"/>
    <hyperlink r:id="rId29" ref="T168"/>
    <hyperlink r:id="rId30" ref="T169"/>
    <hyperlink r:id="rId31" ref="T170"/>
    <hyperlink r:id="rId32" ref="T171"/>
    <hyperlink r:id="rId33" ref="T172"/>
    <hyperlink r:id="rId34" ref="T173"/>
    <hyperlink r:id="rId35" ref="T174"/>
    <hyperlink r:id="rId36" ref="T175"/>
    <hyperlink r:id="rId37" ref="T176"/>
    <hyperlink r:id="rId38" ref="T177"/>
    <hyperlink r:id="rId39" ref="T178"/>
    <hyperlink r:id="rId40" ref="T179"/>
    <hyperlink r:id="rId41" ref="T180"/>
    <hyperlink r:id="rId42" ref="T181"/>
    <hyperlink r:id="rId43" ref="T182"/>
    <hyperlink r:id="rId44" ref="T183"/>
    <hyperlink r:id="rId45" ref="T184"/>
    <hyperlink r:id="rId46" ref="T185"/>
    <hyperlink r:id="rId47" ref="T186"/>
    <hyperlink r:id="rId48" ref="T187"/>
    <hyperlink r:id="rId49" ref="T188"/>
    <hyperlink r:id="rId50" ref="T189"/>
    <hyperlink r:id="rId51" ref="T190"/>
    <hyperlink r:id="rId52" ref="T191"/>
    <hyperlink r:id="rId53" ref="T192"/>
    <hyperlink r:id="rId54" ref="T193"/>
    <hyperlink r:id="rId55" ref="T194"/>
    <hyperlink r:id="rId56" ref="T195"/>
    <hyperlink r:id="rId57" ref="T196"/>
    <hyperlink r:id="rId58" ref="T197"/>
    <hyperlink r:id="rId59" ref="T198"/>
    <hyperlink r:id="rId60" ref="T199"/>
    <hyperlink r:id="rId61" ref="T200"/>
    <hyperlink r:id="rId62" ref="T201"/>
    <hyperlink r:id="rId63" ref="T202"/>
    <hyperlink r:id="rId64" ref="T203"/>
    <hyperlink r:id="rId65" ref="T204"/>
    <hyperlink r:id="rId66" ref="T205"/>
    <hyperlink r:id="rId67" ref="T206"/>
    <hyperlink r:id="rId68" ref="T207"/>
    <hyperlink r:id="rId69" ref="T208"/>
    <hyperlink r:id="rId70" ref="T209"/>
    <hyperlink r:id="rId71" ref="T210"/>
    <hyperlink r:id="rId72" ref="T211"/>
    <hyperlink r:id="rId73" ref="T212"/>
    <hyperlink r:id="rId74" ref="T213"/>
    <hyperlink r:id="rId75" ref="T214"/>
    <hyperlink r:id="rId76" ref="T215"/>
    <hyperlink r:id="rId77" ref="T216"/>
    <hyperlink r:id="rId78" ref="T217"/>
    <hyperlink r:id="rId79" ref="T218"/>
    <hyperlink r:id="rId80" ref="T219"/>
    <hyperlink r:id="rId81" ref="T220"/>
    <hyperlink r:id="rId82" ref="T221"/>
    <hyperlink r:id="rId83" ref="T222"/>
    <hyperlink r:id="rId84" ref="T223"/>
    <hyperlink r:id="rId85" ref="T224"/>
    <hyperlink r:id="rId86" ref="T225"/>
    <hyperlink r:id="rId87" ref="T226"/>
    <hyperlink r:id="rId88" ref="T227"/>
    <hyperlink r:id="rId89" ref="T228"/>
    <hyperlink r:id="rId90" ref="T229"/>
    <hyperlink r:id="rId91" ref="T230"/>
    <hyperlink r:id="rId92" ref="T231"/>
    <hyperlink r:id="rId93" ref="T232"/>
    <hyperlink r:id="rId94" ref="T233"/>
    <hyperlink r:id="rId95" ref="T234"/>
    <hyperlink r:id="rId96" ref="T235"/>
    <hyperlink r:id="rId97" ref="T236"/>
    <hyperlink r:id="rId98" ref="T237"/>
    <hyperlink r:id="rId99" ref="T238"/>
    <hyperlink r:id="rId100" ref="T239"/>
    <hyperlink r:id="rId101" ref="T240"/>
    <hyperlink r:id="rId102" ref="T241"/>
    <hyperlink r:id="rId103" ref="T242"/>
    <hyperlink r:id="rId104" ref="T243"/>
    <hyperlink r:id="rId105" ref="T244"/>
    <hyperlink r:id="rId106" ref="T245"/>
    <hyperlink r:id="rId107" ref="T246"/>
    <hyperlink r:id="rId108" ref="T247"/>
    <hyperlink r:id="rId109" ref="T248"/>
    <hyperlink r:id="rId110" ref="T249"/>
    <hyperlink r:id="rId111" ref="T250"/>
    <hyperlink r:id="rId112" ref="T251"/>
    <hyperlink r:id="rId113" ref="T252"/>
    <hyperlink r:id="rId114" ref="T253"/>
    <hyperlink r:id="rId115" ref="T254"/>
    <hyperlink r:id="rId116" ref="T255"/>
    <hyperlink r:id="rId117" ref="T256"/>
    <hyperlink r:id="rId118" ref="T257"/>
    <hyperlink r:id="rId119" ref="T258"/>
    <hyperlink r:id="rId120" ref="T259"/>
    <hyperlink r:id="rId121" ref="T260"/>
    <hyperlink r:id="rId122" ref="T261"/>
    <hyperlink r:id="rId123" ref="T262"/>
    <hyperlink r:id="rId124" ref="T263"/>
    <hyperlink r:id="rId125" ref="T264"/>
    <hyperlink r:id="rId126" ref="T265"/>
    <hyperlink r:id="rId127" ref="T266"/>
    <hyperlink r:id="rId128" ref="T267"/>
    <hyperlink r:id="rId129" ref="T268"/>
    <hyperlink r:id="rId130" ref="T269"/>
    <hyperlink r:id="rId131" ref="T270"/>
    <hyperlink r:id="rId132" ref="T271"/>
    <hyperlink r:id="rId133" ref="T272"/>
    <hyperlink r:id="rId134" ref="T273"/>
    <hyperlink r:id="rId135" ref="T274"/>
    <hyperlink r:id="rId136" ref="T275"/>
    <hyperlink r:id="rId137" ref="T276"/>
    <hyperlink r:id="rId138" ref="T277"/>
    <hyperlink r:id="rId139" ref="T278"/>
    <hyperlink r:id="rId140" ref="T279"/>
    <hyperlink r:id="rId141" ref="T280"/>
    <hyperlink r:id="rId142" ref="T281"/>
    <hyperlink r:id="rId143" ref="T282"/>
    <hyperlink r:id="rId144" ref="T283"/>
    <hyperlink r:id="rId145" ref="T284"/>
    <hyperlink r:id="rId146" ref="T285"/>
    <hyperlink r:id="rId147" ref="T286"/>
    <hyperlink r:id="rId148" ref="T287"/>
    <hyperlink r:id="rId149" ref="T288"/>
    <hyperlink r:id="rId150" ref="T289"/>
    <hyperlink r:id="rId151" ref="T290"/>
    <hyperlink r:id="rId152" ref="T291"/>
    <hyperlink r:id="rId153" ref="T292"/>
    <hyperlink r:id="rId154" ref="T293"/>
    <hyperlink r:id="rId155" ref="T294"/>
    <hyperlink r:id="rId156" ref="T295"/>
    <hyperlink r:id="rId157" ref="T296"/>
    <hyperlink r:id="rId158" ref="T297"/>
    <hyperlink r:id="rId159" ref="T298"/>
    <hyperlink r:id="rId160" ref="T299"/>
    <hyperlink r:id="rId161" ref="T300"/>
    <hyperlink r:id="rId162" ref="T301"/>
    <hyperlink r:id="rId163" ref="T302"/>
    <hyperlink r:id="rId164" ref="T303"/>
    <hyperlink r:id="rId165" ref="T304"/>
    <hyperlink r:id="rId166" ref="T305"/>
    <hyperlink r:id="rId167" ref="T306"/>
    <hyperlink r:id="rId168" ref="T307"/>
    <hyperlink r:id="rId169" ref="T308"/>
    <hyperlink r:id="rId170" ref="T309"/>
    <hyperlink r:id="rId171" ref="T310"/>
    <hyperlink r:id="rId172" ref="T311"/>
    <hyperlink r:id="rId173" ref="T312"/>
    <hyperlink r:id="rId174" ref="T313"/>
    <hyperlink r:id="rId175" ref="T314"/>
    <hyperlink r:id="rId176" ref="T315"/>
    <hyperlink r:id="rId177" ref="T316"/>
    <hyperlink r:id="rId178" ref="T317"/>
    <hyperlink r:id="rId179" ref="T318"/>
    <hyperlink r:id="rId180" ref="T319"/>
    <hyperlink r:id="rId181" ref="T320"/>
    <hyperlink r:id="rId182" ref="T321"/>
    <hyperlink r:id="rId183" ref="T322"/>
    <hyperlink r:id="rId184" ref="T323"/>
    <hyperlink r:id="rId185" ref="T324"/>
    <hyperlink r:id="rId186" ref="T325"/>
    <hyperlink r:id="rId187" ref="T326"/>
    <hyperlink r:id="rId188" ref="T327"/>
    <hyperlink r:id="rId189" ref="T328"/>
    <hyperlink r:id="rId190" ref="T329"/>
    <hyperlink r:id="rId191" ref="T330"/>
    <hyperlink r:id="rId192" ref="T331"/>
    <hyperlink r:id="rId193" ref="T332"/>
    <hyperlink r:id="rId194" ref="T333"/>
    <hyperlink r:id="rId195" ref="T334"/>
    <hyperlink r:id="rId196" ref="T335"/>
    <hyperlink r:id="rId197" ref="T336"/>
    <hyperlink r:id="rId198" ref="T337"/>
    <hyperlink r:id="rId199" ref="T338"/>
    <hyperlink r:id="rId200" ref="T339"/>
    <hyperlink r:id="rId201" ref="T340"/>
    <hyperlink r:id="rId202" ref="T341"/>
    <hyperlink r:id="rId203" ref="T342"/>
    <hyperlink r:id="rId204" ref="T343"/>
    <hyperlink r:id="rId205" ref="T344"/>
    <hyperlink r:id="rId206" ref="T345"/>
    <hyperlink r:id="rId207" ref="T346"/>
    <hyperlink r:id="rId208" ref="T347"/>
    <hyperlink r:id="rId209" ref="T348"/>
    <hyperlink r:id="rId210" ref="T349"/>
    <hyperlink r:id="rId211" ref="T350"/>
    <hyperlink r:id="rId212" ref="T351"/>
    <hyperlink r:id="rId213" ref="T352"/>
    <hyperlink r:id="rId214" ref="T353"/>
    <hyperlink r:id="rId215" ref="T354"/>
    <hyperlink r:id="rId216" ref="T355"/>
    <hyperlink r:id="rId217" ref="T356"/>
    <hyperlink r:id="rId218" ref="T357"/>
    <hyperlink r:id="rId219" ref="T358"/>
    <hyperlink r:id="rId220" ref="T359"/>
    <hyperlink r:id="rId221" ref="T360"/>
    <hyperlink r:id="rId222" ref="T361"/>
    <hyperlink r:id="rId223" ref="T362"/>
    <hyperlink r:id="rId224" ref="T363"/>
    <hyperlink r:id="rId225" ref="T364"/>
    <hyperlink r:id="rId226" ref="T365"/>
    <hyperlink r:id="rId227" ref="T366"/>
    <hyperlink r:id="rId228" ref="T367"/>
    <hyperlink r:id="rId229" ref="T368"/>
    <hyperlink r:id="rId230" ref="T369"/>
    <hyperlink r:id="rId231" ref="T370"/>
    <hyperlink r:id="rId232" ref="T371"/>
    <hyperlink r:id="rId233" ref="T372"/>
    <hyperlink r:id="rId234" ref="T373"/>
    <hyperlink r:id="rId235" ref="T374"/>
    <hyperlink r:id="rId236" ref="T375"/>
    <hyperlink r:id="rId237" ref="T376"/>
    <hyperlink r:id="rId238" ref="T377"/>
    <hyperlink r:id="rId239" ref="T378"/>
    <hyperlink r:id="rId240" ref="T379"/>
    <hyperlink r:id="rId241" ref="T380"/>
    <hyperlink r:id="rId242" ref="T381"/>
    <hyperlink r:id="rId243" ref="T382"/>
    <hyperlink r:id="rId244" ref="T383"/>
    <hyperlink r:id="rId245" ref="T384"/>
    <hyperlink r:id="rId246" ref="T385"/>
    <hyperlink r:id="rId247" ref="T386"/>
    <hyperlink r:id="rId248" ref="T387"/>
    <hyperlink r:id="rId249" ref="T388"/>
    <hyperlink r:id="rId250" ref="T389"/>
    <hyperlink r:id="rId251" ref="T390"/>
    <hyperlink r:id="rId252" ref="T391"/>
    <hyperlink r:id="rId253" ref="T392"/>
    <hyperlink r:id="rId254" ref="T393"/>
    <hyperlink r:id="rId255" ref="T394"/>
    <hyperlink r:id="rId256" ref="T395"/>
    <hyperlink r:id="rId257" ref="T396"/>
    <hyperlink r:id="rId258" ref="T397"/>
    <hyperlink r:id="rId259" ref="T398"/>
    <hyperlink r:id="rId260" ref="T399"/>
    <hyperlink r:id="rId261" ref="T400"/>
    <hyperlink r:id="rId262" ref="T401"/>
    <hyperlink r:id="rId263" ref="T402"/>
    <hyperlink r:id="rId264" ref="T403"/>
    <hyperlink r:id="rId265" ref="T404"/>
    <hyperlink r:id="rId266" ref="T405"/>
    <hyperlink r:id="rId267" ref="T406"/>
    <hyperlink r:id="rId268" ref="T407"/>
    <hyperlink r:id="rId269" ref="T408"/>
    <hyperlink r:id="rId270" ref="T409"/>
    <hyperlink r:id="rId271" ref="T410"/>
    <hyperlink r:id="rId272" ref="T411"/>
    <hyperlink r:id="rId273" ref="T412"/>
    <hyperlink r:id="rId274" ref="T413"/>
    <hyperlink r:id="rId275" ref="T414"/>
    <hyperlink r:id="rId276" ref="T415"/>
    <hyperlink r:id="rId277" ref="T416"/>
    <hyperlink r:id="rId278" ref="T417"/>
    <hyperlink r:id="rId279" ref="T418"/>
    <hyperlink r:id="rId280" ref="T419"/>
    <hyperlink r:id="rId281" ref="T420"/>
    <hyperlink r:id="rId282" ref="T421"/>
    <hyperlink r:id="rId283" ref="T422"/>
    <hyperlink r:id="rId284" ref="T423"/>
    <hyperlink r:id="rId285" ref="T424"/>
    <hyperlink r:id="rId286" ref="T425"/>
    <hyperlink r:id="rId287" ref="T426"/>
    <hyperlink r:id="rId288" ref="T427"/>
    <hyperlink r:id="rId289" ref="T428"/>
    <hyperlink r:id="rId290" ref="T429"/>
    <hyperlink r:id="rId291" ref="T430"/>
    <hyperlink r:id="rId292" ref="T431"/>
    <hyperlink r:id="rId293" ref="T432"/>
    <hyperlink r:id="rId294" ref="T433"/>
    <hyperlink r:id="rId295" ref="T434"/>
    <hyperlink r:id="rId296" ref="T435"/>
    <hyperlink r:id="rId297" ref="T436"/>
    <hyperlink r:id="rId298" ref="T437"/>
    <hyperlink r:id="rId299" ref="T438"/>
    <hyperlink r:id="rId300" ref="T439"/>
    <hyperlink r:id="rId301" ref="T440"/>
    <hyperlink r:id="rId302" ref="T441"/>
    <hyperlink r:id="rId303" ref="T442"/>
    <hyperlink r:id="rId304" ref="T443"/>
    <hyperlink r:id="rId305" ref="T444"/>
    <hyperlink r:id="rId306" ref="T445"/>
    <hyperlink r:id="rId307" ref="T446"/>
    <hyperlink r:id="rId308" ref="T447"/>
    <hyperlink r:id="rId309" ref="T448"/>
    <hyperlink r:id="rId310" ref="T449"/>
    <hyperlink r:id="rId311" ref="T450"/>
    <hyperlink r:id="rId312" ref="T451"/>
    <hyperlink r:id="rId313" ref="T452"/>
    <hyperlink r:id="rId314" ref="T453"/>
    <hyperlink r:id="rId315" ref="T454"/>
    <hyperlink r:id="rId316" ref="T455"/>
    <hyperlink r:id="rId317" ref="T456"/>
    <hyperlink r:id="rId318" ref="T457"/>
    <hyperlink r:id="rId319" ref="T458"/>
    <hyperlink r:id="rId320" ref="T459"/>
    <hyperlink r:id="rId321" ref="T460"/>
    <hyperlink r:id="rId322" ref="T461"/>
    <hyperlink r:id="rId323" ref="T462"/>
    <hyperlink r:id="rId324" ref="T463"/>
    <hyperlink r:id="rId325" ref="T464"/>
    <hyperlink r:id="rId326" ref="T465"/>
    <hyperlink r:id="rId327" ref="T466"/>
    <hyperlink r:id="rId328" ref="T467"/>
    <hyperlink r:id="rId329" ref="T468"/>
    <hyperlink r:id="rId330" ref="T469"/>
    <hyperlink r:id="rId331" ref="T470"/>
    <hyperlink r:id="rId332" ref="T471"/>
    <hyperlink r:id="rId333" ref="T472"/>
    <hyperlink r:id="rId334" ref="T473"/>
    <hyperlink r:id="rId335" ref="T474"/>
    <hyperlink r:id="rId336" ref="T475"/>
    <hyperlink r:id="rId337" ref="T476"/>
    <hyperlink r:id="rId338" ref="T477"/>
    <hyperlink r:id="rId339" ref="T478"/>
    <hyperlink r:id="rId340" ref="T479"/>
    <hyperlink r:id="rId341" ref="T480"/>
    <hyperlink r:id="rId342" ref="T481"/>
    <hyperlink r:id="rId343" ref="T482"/>
    <hyperlink r:id="rId344" ref="T483"/>
    <hyperlink r:id="rId345" ref="T484"/>
    <hyperlink r:id="rId346" ref="T485"/>
    <hyperlink r:id="rId347" ref="T486"/>
    <hyperlink r:id="rId348" ref="T487"/>
    <hyperlink r:id="rId349" ref="T488"/>
    <hyperlink r:id="rId350" ref="T489"/>
    <hyperlink r:id="rId351" ref="T490"/>
    <hyperlink r:id="rId352" ref="T491"/>
    <hyperlink r:id="rId353" ref="T492"/>
    <hyperlink r:id="rId354" ref="T493"/>
    <hyperlink r:id="rId355" ref="T494"/>
    <hyperlink r:id="rId356" ref="T495"/>
    <hyperlink r:id="rId357" ref="T496"/>
    <hyperlink r:id="rId358" ref="T497"/>
    <hyperlink r:id="rId359" ref="T498"/>
    <hyperlink r:id="rId360" ref="T499"/>
    <hyperlink r:id="rId361" ref="T500"/>
    <hyperlink r:id="rId362" ref="T501"/>
    <hyperlink r:id="rId363" ref="T502"/>
    <hyperlink r:id="rId364" ref="T503"/>
    <hyperlink r:id="rId365" ref="T504"/>
    <hyperlink r:id="rId366" ref="T505"/>
    <hyperlink r:id="rId367" ref="T506"/>
    <hyperlink r:id="rId368" ref="T507"/>
    <hyperlink r:id="rId369" ref="T508"/>
    <hyperlink r:id="rId370" ref="T509"/>
    <hyperlink r:id="rId371" ref="T510"/>
    <hyperlink r:id="rId372" ref="T511"/>
    <hyperlink r:id="rId373" ref="T512"/>
    <hyperlink r:id="rId374" ref="T513"/>
    <hyperlink r:id="rId375" ref="T514"/>
    <hyperlink r:id="rId376" ref="T515"/>
    <hyperlink r:id="rId377" ref="T516"/>
    <hyperlink r:id="rId378" ref="T517"/>
    <hyperlink r:id="rId379" ref="T518"/>
    <hyperlink r:id="rId380" ref="T519"/>
    <hyperlink r:id="rId381" ref="T520"/>
    <hyperlink r:id="rId382" ref="T521"/>
    <hyperlink r:id="rId383" ref="T522"/>
    <hyperlink r:id="rId384" ref="T523"/>
    <hyperlink r:id="rId385" ref="T524"/>
    <hyperlink r:id="rId386" ref="T525"/>
    <hyperlink r:id="rId387" ref="T526"/>
    <hyperlink r:id="rId388" ref="T527"/>
    <hyperlink r:id="rId389" ref="T528"/>
    <hyperlink r:id="rId390" ref="T529"/>
    <hyperlink r:id="rId391" ref="T530"/>
    <hyperlink r:id="rId392" ref="T531"/>
    <hyperlink r:id="rId393" ref="T532"/>
    <hyperlink r:id="rId394" ref="T533"/>
    <hyperlink r:id="rId395" ref="T534"/>
    <hyperlink r:id="rId396" ref="T535"/>
    <hyperlink r:id="rId397" ref="T536"/>
    <hyperlink r:id="rId398" ref="T537"/>
    <hyperlink r:id="rId399" ref="T538"/>
    <hyperlink r:id="rId400" ref="T539"/>
    <hyperlink r:id="rId401" ref="T540"/>
    <hyperlink r:id="rId402" ref="T541"/>
    <hyperlink r:id="rId403" ref="T542"/>
    <hyperlink r:id="rId404" ref="T543"/>
    <hyperlink r:id="rId405" ref="T544"/>
    <hyperlink r:id="rId406" ref="T545"/>
    <hyperlink r:id="rId407" ref="T546"/>
    <hyperlink r:id="rId408" ref="T547"/>
    <hyperlink r:id="rId409" ref="T548"/>
    <hyperlink r:id="rId410" ref="T549"/>
    <hyperlink r:id="rId411" ref="T550"/>
    <hyperlink r:id="rId412" ref="T551"/>
    <hyperlink r:id="rId413" ref="T552"/>
    <hyperlink r:id="rId414" ref="T553"/>
    <hyperlink r:id="rId415" ref="T554"/>
    <hyperlink r:id="rId416" ref="T555"/>
    <hyperlink r:id="rId417" ref="T556"/>
    <hyperlink r:id="rId418" ref="T557"/>
    <hyperlink r:id="rId419" ref="T558"/>
    <hyperlink r:id="rId420" ref="T559"/>
    <hyperlink r:id="rId421" ref="T560"/>
    <hyperlink r:id="rId422" ref="T561"/>
    <hyperlink r:id="rId423" ref="T562"/>
    <hyperlink r:id="rId424" ref="T563"/>
    <hyperlink r:id="rId425" ref="T564"/>
    <hyperlink r:id="rId426" ref="T565"/>
    <hyperlink r:id="rId427" ref="T566"/>
    <hyperlink r:id="rId428" ref="T567"/>
    <hyperlink r:id="rId429" ref="T568"/>
    <hyperlink r:id="rId430" ref="T569"/>
    <hyperlink r:id="rId431" ref="T570"/>
    <hyperlink r:id="rId432" ref="T571"/>
    <hyperlink r:id="rId433" ref="T572"/>
    <hyperlink r:id="rId434" ref="T573"/>
    <hyperlink r:id="rId435" ref="T574"/>
    <hyperlink r:id="rId436" ref="T575"/>
    <hyperlink r:id="rId437" ref="T576"/>
    <hyperlink r:id="rId438" ref="T577"/>
    <hyperlink r:id="rId439" ref="T578"/>
    <hyperlink r:id="rId440" ref="T579"/>
    <hyperlink r:id="rId441" ref="T580"/>
    <hyperlink r:id="rId442" ref="T581"/>
    <hyperlink r:id="rId443" ref="T582"/>
    <hyperlink r:id="rId444" ref="T583"/>
    <hyperlink r:id="rId445" ref="T584"/>
    <hyperlink r:id="rId446" ref="T585"/>
    <hyperlink r:id="rId447" ref="T586"/>
    <hyperlink r:id="rId448" ref="T587"/>
    <hyperlink r:id="rId449" ref="T588"/>
    <hyperlink r:id="rId450" ref="T589"/>
    <hyperlink r:id="rId451" ref="T590"/>
    <hyperlink r:id="rId452" ref="T591"/>
    <hyperlink r:id="rId453" ref="T592"/>
    <hyperlink r:id="rId454" ref="T593"/>
    <hyperlink r:id="rId455" ref="T594"/>
    <hyperlink r:id="rId456" ref="T595"/>
    <hyperlink r:id="rId457" ref="T596"/>
    <hyperlink r:id="rId458" ref="T597"/>
    <hyperlink r:id="rId459" ref="T598"/>
    <hyperlink r:id="rId460" ref="T599"/>
    <hyperlink r:id="rId461" ref="T600"/>
    <hyperlink r:id="rId462" ref="T601"/>
    <hyperlink r:id="rId463" ref="T602"/>
    <hyperlink r:id="rId464" ref="T603"/>
    <hyperlink r:id="rId465" ref="T604"/>
    <hyperlink r:id="rId466" ref="T605"/>
    <hyperlink r:id="rId467" ref="T606"/>
    <hyperlink r:id="rId468" ref="T607"/>
    <hyperlink r:id="rId469" ref="T608"/>
    <hyperlink r:id="rId470" ref="T609"/>
    <hyperlink r:id="rId471" ref="T610"/>
    <hyperlink r:id="rId472" ref="T611"/>
    <hyperlink r:id="rId473" ref="T612"/>
    <hyperlink r:id="rId474" ref="T613"/>
    <hyperlink r:id="rId475" ref="T614"/>
    <hyperlink r:id="rId476" ref="T615"/>
    <hyperlink r:id="rId477" ref="T616"/>
    <hyperlink r:id="rId478" ref="T617"/>
    <hyperlink r:id="rId479" ref="T618"/>
    <hyperlink r:id="rId480" ref="T619"/>
    <hyperlink r:id="rId481" ref="T620"/>
    <hyperlink r:id="rId482" ref="T621"/>
    <hyperlink r:id="rId483" ref="T622"/>
    <hyperlink r:id="rId484" ref="T623"/>
    <hyperlink r:id="rId485" ref="T624"/>
    <hyperlink r:id="rId486" ref="T625"/>
    <hyperlink r:id="rId487" ref="T626"/>
    <hyperlink r:id="rId488" ref="T627"/>
    <hyperlink r:id="rId489" ref="T628"/>
    <hyperlink r:id="rId490" ref="T629"/>
    <hyperlink r:id="rId491" ref="T630"/>
    <hyperlink r:id="rId492" ref="T631"/>
    <hyperlink r:id="rId493" ref="T632"/>
    <hyperlink r:id="rId494" ref="T633"/>
    <hyperlink r:id="rId495" ref="T634"/>
    <hyperlink r:id="rId496" ref="T635"/>
    <hyperlink r:id="rId497" ref="T636"/>
    <hyperlink r:id="rId498" ref="T637"/>
    <hyperlink r:id="rId499" ref="T638"/>
    <hyperlink r:id="rId500" ref="T639"/>
    <hyperlink r:id="rId501" ref="T640"/>
    <hyperlink r:id="rId502" ref="T641"/>
    <hyperlink r:id="rId503" ref="T642"/>
    <hyperlink r:id="rId504" ref="T643"/>
    <hyperlink r:id="rId505" ref="T644"/>
    <hyperlink r:id="rId506" ref="T645"/>
    <hyperlink r:id="rId507" ref="T646"/>
    <hyperlink r:id="rId508" ref="T647"/>
    <hyperlink r:id="rId509" ref="T648"/>
    <hyperlink r:id="rId510" ref="T649"/>
    <hyperlink r:id="rId511" ref="T650"/>
    <hyperlink r:id="rId512" ref="T651"/>
    <hyperlink r:id="rId513" ref="T652"/>
    <hyperlink r:id="rId514" ref="T653"/>
    <hyperlink r:id="rId515" ref="T654"/>
    <hyperlink r:id="rId516" ref="T655"/>
    <hyperlink r:id="rId517" ref="T656"/>
    <hyperlink r:id="rId518" ref="T657"/>
    <hyperlink r:id="rId519" ref="T658"/>
    <hyperlink r:id="rId520" ref="T659"/>
    <hyperlink r:id="rId521" ref="T660"/>
    <hyperlink r:id="rId522" ref="T661"/>
    <hyperlink r:id="rId523" ref="T662"/>
    <hyperlink r:id="rId524" ref="T663"/>
    <hyperlink r:id="rId525" ref="T664"/>
    <hyperlink r:id="rId526" ref="T665"/>
    <hyperlink r:id="rId527" ref="T666"/>
    <hyperlink r:id="rId528" ref="T667"/>
    <hyperlink r:id="rId529" ref="T668"/>
    <hyperlink r:id="rId530" ref="T669"/>
    <hyperlink r:id="rId531" ref="T670"/>
    <hyperlink r:id="rId532" ref="T671"/>
    <hyperlink r:id="rId533" ref="T672"/>
    <hyperlink r:id="rId534" ref="T673"/>
    <hyperlink r:id="rId535" ref="T674"/>
    <hyperlink r:id="rId536" ref="T675"/>
    <hyperlink r:id="rId537" ref="T676"/>
    <hyperlink r:id="rId538" ref="T677"/>
    <hyperlink r:id="rId539" ref="T678"/>
    <hyperlink r:id="rId540" ref="T679"/>
    <hyperlink r:id="rId541" ref="T680"/>
    <hyperlink r:id="rId542" ref="T681"/>
    <hyperlink r:id="rId543" ref="T682"/>
    <hyperlink r:id="rId544" ref="T683"/>
    <hyperlink r:id="rId545" ref="T684"/>
    <hyperlink r:id="rId546" ref="T685"/>
    <hyperlink r:id="rId547" ref="T686"/>
    <hyperlink r:id="rId548" ref="T687"/>
    <hyperlink r:id="rId549" ref="T688"/>
    <hyperlink r:id="rId550" ref="T689"/>
    <hyperlink r:id="rId551" ref="T690"/>
    <hyperlink r:id="rId552" ref="T691"/>
    <hyperlink r:id="rId553" ref="T692"/>
    <hyperlink r:id="rId554" ref="T693"/>
    <hyperlink r:id="rId555" ref="T694"/>
    <hyperlink r:id="rId556" ref="T695"/>
    <hyperlink r:id="rId557" ref="T696"/>
    <hyperlink r:id="rId558" ref="T697"/>
    <hyperlink r:id="rId559" ref="T698"/>
    <hyperlink r:id="rId560" ref="T699"/>
    <hyperlink r:id="rId561" ref="T700"/>
    <hyperlink r:id="rId562" ref="T701"/>
    <hyperlink r:id="rId563" ref="T702"/>
    <hyperlink r:id="rId564" ref="T703"/>
    <hyperlink r:id="rId565" ref="T704"/>
    <hyperlink r:id="rId566" ref="T705"/>
    <hyperlink r:id="rId567" ref="T706"/>
    <hyperlink r:id="rId568" ref="T707"/>
    <hyperlink r:id="rId569" ref="T708"/>
    <hyperlink r:id="rId570" ref="T709"/>
    <hyperlink r:id="rId571" ref="T710"/>
    <hyperlink r:id="rId572" ref="T711"/>
    <hyperlink r:id="rId573" ref="T712"/>
    <hyperlink r:id="rId574" ref="T713"/>
    <hyperlink r:id="rId575" ref="T714"/>
    <hyperlink r:id="rId576" ref="T715"/>
    <hyperlink r:id="rId577" ref="T716"/>
    <hyperlink r:id="rId578" ref="T717"/>
    <hyperlink r:id="rId579" ref="T718"/>
    <hyperlink r:id="rId580" ref="T719"/>
    <hyperlink r:id="rId581" ref="T720"/>
    <hyperlink r:id="rId582" ref="T721"/>
    <hyperlink r:id="rId583" ref="T722"/>
    <hyperlink r:id="rId584" ref="T723"/>
    <hyperlink r:id="rId585" ref="T724"/>
    <hyperlink r:id="rId586" ref="T725"/>
    <hyperlink r:id="rId587" ref="T726"/>
    <hyperlink r:id="rId588" ref="T727"/>
    <hyperlink r:id="rId589" ref="T728"/>
    <hyperlink r:id="rId590" ref="T729"/>
    <hyperlink r:id="rId591" ref="T730"/>
    <hyperlink r:id="rId592" ref="T731"/>
    <hyperlink r:id="rId593" ref="T732"/>
    <hyperlink r:id="rId594" ref="T733"/>
    <hyperlink r:id="rId595" ref="T734"/>
    <hyperlink r:id="rId596" ref="T735"/>
    <hyperlink r:id="rId597" ref="T736"/>
    <hyperlink r:id="rId598" ref="T737"/>
    <hyperlink r:id="rId599" ref="T738"/>
    <hyperlink r:id="rId600" ref="T739"/>
    <hyperlink r:id="rId601" ref="T740"/>
    <hyperlink r:id="rId602" ref="T741"/>
    <hyperlink r:id="rId603" ref="T742"/>
    <hyperlink r:id="rId604" ref="T743"/>
    <hyperlink r:id="rId605" ref="T744"/>
    <hyperlink r:id="rId606" ref="T745"/>
    <hyperlink r:id="rId607" ref="T746"/>
    <hyperlink r:id="rId608" ref="T747"/>
    <hyperlink r:id="rId609" ref="T748"/>
    <hyperlink r:id="rId610" ref="T749"/>
    <hyperlink r:id="rId611" ref="T750"/>
    <hyperlink r:id="rId612" ref="T751"/>
    <hyperlink r:id="rId613" ref="T752"/>
    <hyperlink r:id="rId614" ref="T753"/>
    <hyperlink r:id="rId615" ref="T754"/>
    <hyperlink r:id="rId616" ref="T755"/>
    <hyperlink r:id="rId617" ref="T756"/>
    <hyperlink r:id="rId618" ref="T757"/>
    <hyperlink r:id="rId619" ref="T758"/>
    <hyperlink r:id="rId620" ref="T759"/>
    <hyperlink r:id="rId621" ref="T760"/>
    <hyperlink r:id="rId622" ref="T761"/>
    <hyperlink r:id="rId623" ref="T762"/>
    <hyperlink r:id="rId624" ref="T763"/>
    <hyperlink r:id="rId625" ref="T764"/>
    <hyperlink r:id="rId626" ref="T765"/>
    <hyperlink r:id="rId627" ref="T766"/>
    <hyperlink r:id="rId628" ref="T767"/>
    <hyperlink r:id="rId629" ref="T768"/>
    <hyperlink r:id="rId630" ref="T769"/>
    <hyperlink r:id="rId631" ref="T770"/>
    <hyperlink r:id="rId632" ref="T771"/>
    <hyperlink r:id="rId633" ref="T772"/>
    <hyperlink r:id="rId634" ref="T773"/>
    <hyperlink r:id="rId635" ref="T774"/>
    <hyperlink r:id="rId636" ref="T775"/>
    <hyperlink r:id="rId637" ref="T776"/>
    <hyperlink r:id="rId638" ref="T777"/>
    <hyperlink r:id="rId639" ref="T778"/>
    <hyperlink r:id="rId640" ref="T779"/>
    <hyperlink r:id="rId641" ref="T780"/>
    <hyperlink r:id="rId642" ref="T781"/>
    <hyperlink r:id="rId643" ref="T782"/>
    <hyperlink r:id="rId644" ref="T783"/>
    <hyperlink r:id="rId645" ref="T784"/>
    <hyperlink r:id="rId646" ref="T785"/>
    <hyperlink r:id="rId647" ref="T786"/>
    <hyperlink r:id="rId648" ref="T787"/>
    <hyperlink r:id="rId649" ref="T788"/>
    <hyperlink r:id="rId650" ref="T789"/>
    <hyperlink r:id="rId651" ref="T790"/>
    <hyperlink r:id="rId652" ref="T791"/>
    <hyperlink r:id="rId653" ref="T792"/>
    <hyperlink r:id="rId654" ref="T793"/>
    <hyperlink r:id="rId655" ref="T794"/>
    <hyperlink r:id="rId656" ref="T795"/>
    <hyperlink r:id="rId657" ref="T796"/>
    <hyperlink r:id="rId658" ref="T797"/>
    <hyperlink r:id="rId659" ref="T798"/>
    <hyperlink r:id="rId660" ref="T799"/>
    <hyperlink r:id="rId661" ref="T800"/>
    <hyperlink r:id="rId662" ref="T801"/>
    <hyperlink r:id="rId663" ref="T802"/>
    <hyperlink r:id="rId664" ref="T803"/>
    <hyperlink r:id="rId665" ref="T804"/>
    <hyperlink r:id="rId666" ref="T805"/>
    <hyperlink r:id="rId667" ref="T806"/>
    <hyperlink r:id="rId668" ref="T807"/>
    <hyperlink r:id="rId669" ref="T808"/>
    <hyperlink r:id="rId670" ref="T809"/>
    <hyperlink r:id="rId671" ref="T810"/>
    <hyperlink r:id="rId672" ref="T811"/>
    <hyperlink r:id="rId673" ref="T812"/>
    <hyperlink r:id="rId674" ref="T813"/>
    <hyperlink r:id="rId675" ref="T814"/>
    <hyperlink r:id="rId676" ref="T815"/>
    <hyperlink r:id="rId677" ref="T816"/>
    <hyperlink r:id="rId678" ref="T817"/>
    <hyperlink r:id="rId679" ref="T818"/>
    <hyperlink r:id="rId680" ref="T819"/>
    <hyperlink r:id="rId681" ref="T820"/>
    <hyperlink r:id="rId682" ref="T821"/>
    <hyperlink r:id="rId683" ref="T822"/>
    <hyperlink r:id="rId684" ref="T823"/>
    <hyperlink r:id="rId685" ref="T824"/>
    <hyperlink r:id="rId686" ref="T825"/>
    <hyperlink r:id="rId687" ref="T826"/>
    <hyperlink r:id="rId688" ref="T827"/>
    <hyperlink r:id="rId689" ref="T828"/>
    <hyperlink r:id="rId690" ref="T829"/>
    <hyperlink r:id="rId691" ref="T830"/>
    <hyperlink r:id="rId692" ref="T831"/>
    <hyperlink r:id="rId693" ref="T832"/>
    <hyperlink r:id="rId694" ref="T833"/>
    <hyperlink r:id="rId695" ref="T834"/>
    <hyperlink r:id="rId696" ref="T835"/>
    <hyperlink r:id="rId697" ref="T836"/>
    <hyperlink r:id="rId698" ref="T837"/>
    <hyperlink r:id="rId699" ref="T838"/>
    <hyperlink r:id="rId700" ref="T839"/>
    <hyperlink r:id="rId701" ref="T840"/>
    <hyperlink r:id="rId702" ref="T841"/>
    <hyperlink r:id="rId703" ref="T842"/>
    <hyperlink r:id="rId704" ref="T843"/>
    <hyperlink r:id="rId705" ref="T844"/>
    <hyperlink r:id="rId706" ref="T845"/>
    <hyperlink r:id="rId707" ref="T846"/>
    <hyperlink r:id="rId708" ref="T847"/>
    <hyperlink r:id="rId709" ref="T848"/>
    <hyperlink r:id="rId710" ref="T849"/>
    <hyperlink r:id="rId711" ref="T850"/>
    <hyperlink r:id="rId712" ref="T851"/>
    <hyperlink r:id="rId713" ref="T852"/>
    <hyperlink r:id="rId714" ref="T853"/>
    <hyperlink r:id="rId715" ref="T854"/>
    <hyperlink r:id="rId716" ref="T855"/>
    <hyperlink r:id="rId717" ref="T856"/>
    <hyperlink r:id="rId718" ref="T857"/>
    <hyperlink r:id="rId719" ref="T858"/>
    <hyperlink r:id="rId720" ref="T859"/>
    <hyperlink r:id="rId721" ref="T860"/>
    <hyperlink r:id="rId722" ref="T861"/>
    <hyperlink r:id="rId723" ref="T862"/>
    <hyperlink r:id="rId724" ref="T863"/>
    <hyperlink r:id="rId725" ref="T864"/>
    <hyperlink r:id="rId726" ref="T865"/>
    <hyperlink r:id="rId727" ref="T866"/>
    <hyperlink r:id="rId728" ref="T867"/>
    <hyperlink r:id="rId729" ref="T868"/>
    <hyperlink r:id="rId730" ref="T869"/>
    <hyperlink r:id="rId731" ref="T870"/>
    <hyperlink r:id="rId732" ref="T871"/>
    <hyperlink r:id="rId733" ref="T872"/>
    <hyperlink r:id="rId734" ref="T873"/>
    <hyperlink r:id="rId735" ref="T874"/>
    <hyperlink r:id="rId736" ref="T875"/>
    <hyperlink r:id="rId737" ref="T876"/>
    <hyperlink r:id="rId738" ref="T877"/>
    <hyperlink r:id="rId739" ref="T878"/>
    <hyperlink r:id="rId740" ref="T879"/>
    <hyperlink r:id="rId741" ref="T880"/>
    <hyperlink r:id="rId742" ref="T881"/>
    <hyperlink r:id="rId743" ref="T882"/>
    <hyperlink r:id="rId744" ref="T883"/>
    <hyperlink r:id="rId745" ref="T884"/>
    <hyperlink r:id="rId746" ref="T885"/>
    <hyperlink r:id="rId747" ref="T886"/>
    <hyperlink r:id="rId748" ref="T887"/>
    <hyperlink r:id="rId749" ref="T888"/>
    <hyperlink r:id="rId750" ref="T889"/>
    <hyperlink r:id="rId751" ref="T890"/>
    <hyperlink r:id="rId752" ref="T891"/>
    <hyperlink r:id="rId753" ref="T892"/>
    <hyperlink r:id="rId754" ref="T893"/>
    <hyperlink r:id="rId755" ref="T894"/>
    <hyperlink r:id="rId756" ref="T895"/>
    <hyperlink r:id="rId757" ref="T896"/>
    <hyperlink r:id="rId758" ref="T897"/>
    <hyperlink r:id="rId759" ref="T898"/>
    <hyperlink r:id="rId760" ref="T899"/>
    <hyperlink r:id="rId761" ref="T900"/>
    <hyperlink r:id="rId762" ref="T901"/>
    <hyperlink r:id="rId763" ref="T902"/>
    <hyperlink r:id="rId764" ref="T903"/>
    <hyperlink r:id="rId765" ref="T904"/>
    <hyperlink r:id="rId766" ref="T905"/>
    <hyperlink r:id="rId767" ref="T906"/>
    <hyperlink r:id="rId768" ref="T907"/>
    <hyperlink r:id="rId769" ref="T908"/>
    <hyperlink r:id="rId770" ref="T909"/>
    <hyperlink r:id="rId771" ref="T910"/>
    <hyperlink r:id="rId772" ref="T911"/>
    <hyperlink r:id="rId773" ref="T912"/>
    <hyperlink r:id="rId774" ref="T913"/>
    <hyperlink r:id="rId775" ref="T914"/>
    <hyperlink r:id="rId776" ref="T915"/>
    <hyperlink r:id="rId777" ref="T916"/>
    <hyperlink r:id="rId778" ref="T917"/>
    <hyperlink r:id="rId779" ref="T918"/>
    <hyperlink r:id="rId780" ref="T919"/>
    <hyperlink r:id="rId781" ref="T920"/>
    <hyperlink r:id="rId782" ref="T921"/>
    <hyperlink r:id="rId783" ref="T922"/>
    <hyperlink r:id="rId784" ref="T923"/>
    <hyperlink r:id="rId785" ref="T924"/>
    <hyperlink r:id="rId786" ref="T925"/>
    <hyperlink r:id="rId787" ref="T926"/>
    <hyperlink r:id="rId788" ref="T927"/>
    <hyperlink r:id="rId789" ref="T928"/>
    <hyperlink r:id="rId790" ref="T929"/>
    <hyperlink r:id="rId791" ref="T930"/>
    <hyperlink r:id="rId792" ref="T931"/>
    <hyperlink r:id="rId793" ref="T932"/>
    <hyperlink r:id="rId794" ref="T933"/>
    <hyperlink r:id="rId795" ref="T934"/>
    <hyperlink r:id="rId796" ref="T935"/>
    <hyperlink r:id="rId797" ref="T936"/>
    <hyperlink r:id="rId798" ref="T937"/>
    <hyperlink r:id="rId799" ref="T938"/>
    <hyperlink r:id="rId800" ref="T939"/>
    <hyperlink r:id="rId801" ref="T940"/>
    <hyperlink r:id="rId802" ref="T941"/>
    <hyperlink r:id="rId803" ref="T942"/>
    <hyperlink r:id="rId804" ref="T943"/>
    <hyperlink r:id="rId805" ref="T944"/>
    <hyperlink r:id="rId806" ref="T945"/>
    <hyperlink r:id="rId807" ref="T946"/>
    <hyperlink r:id="rId808" ref="T947"/>
    <hyperlink r:id="rId809" ref="T948"/>
    <hyperlink r:id="rId810" ref="T949"/>
    <hyperlink r:id="rId811" ref="T950"/>
    <hyperlink r:id="rId812" ref="T951"/>
    <hyperlink r:id="rId813" ref="T952"/>
    <hyperlink r:id="rId814" ref="T953"/>
    <hyperlink r:id="rId815" ref="T954"/>
    <hyperlink r:id="rId816" ref="T955"/>
    <hyperlink r:id="rId817" ref="T956"/>
    <hyperlink r:id="rId818" ref="T957"/>
    <hyperlink r:id="rId819" ref="T958"/>
    <hyperlink r:id="rId820" ref="T959"/>
    <hyperlink r:id="rId821" ref="T960"/>
    <hyperlink r:id="rId822" ref="T961"/>
    <hyperlink r:id="rId823" ref="T962"/>
    <hyperlink r:id="rId824" ref="T963"/>
    <hyperlink r:id="rId825" ref="T964"/>
    <hyperlink r:id="rId826" ref="T965"/>
    <hyperlink r:id="rId827" ref="T966"/>
    <hyperlink r:id="rId828" ref="T967"/>
    <hyperlink r:id="rId829" ref="T968"/>
    <hyperlink r:id="rId830" ref="T969"/>
    <hyperlink r:id="rId831" ref="T970"/>
    <hyperlink r:id="rId832" ref="T971"/>
    <hyperlink r:id="rId833" ref="T972"/>
    <hyperlink r:id="rId834" ref="T973"/>
    <hyperlink r:id="rId835" ref="T974"/>
    <hyperlink r:id="rId836" ref="T975"/>
    <hyperlink r:id="rId837" ref="T976"/>
    <hyperlink r:id="rId838" ref="T977"/>
    <hyperlink r:id="rId839" ref="T978"/>
    <hyperlink r:id="rId840" ref="T979"/>
    <hyperlink r:id="rId841" ref="T980"/>
    <hyperlink r:id="rId842" ref="T981"/>
    <hyperlink r:id="rId843" ref="T982"/>
    <hyperlink r:id="rId844" ref="T983"/>
    <hyperlink r:id="rId845" ref="T984"/>
    <hyperlink r:id="rId846" ref="T985"/>
    <hyperlink r:id="rId847" ref="T986"/>
    <hyperlink r:id="rId848" ref="T987"/>
    <hyperlink r:id="rId849" ref="T988"/>
    <hyperlink r:id="rId850" ref="T989"/>
    <hyperlink r:id="rId851" ref="T990"/>
    <hyperlink r:id="rId852" ref="T991"/>
    <hyperlink r:id="rId853" ref="T992"/>
  </hyperlinks>
  <drawing r:id="rId85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12.63"/>
    <col customWidth="1" min="2" max="2" width="37.5"/>
    <col customWidth="1" min="5" max="5" width="13.88"/>
    <col customWidth="1" min="9" max="9" width="31.88"/>
    <col customWidth="1" min="17" max="17" width="34.5"/>
    <col customWidth="1" min="18" max="18" width="26.0"/>
    <col customWidth="1" min="20" max="20" width="25.63"/>
  </cols>
  <sheetData>
    <row r="1" hidden="1">
      <c r="A1" s="1"/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/>
      <c r="H1" s="5" t="s">
        <v>6</v>
      </c>
      <c r="I1" s="5" t="s">
        <v>7</v>
      </c>
      <c r="J1" s="5" t="s">
        <v>9</v>
      </c>
      <c r="K1" s="5"/>
      <c r="L1" s="7"/>
      <c r="M1" s="7"/>
      <c r="N1" s="7"/>
      <c r="O1" s="7"/>
      <c r="P1" s="7"/>
      <c r="Q1" s="7"/>
      <c r="R1" s="7"/>
      <c r="S1" s="7"/>
      <c r="T1" s="7"/>
      <c r="U1" s="8"/>
    </row>
    <row r="2" hidden="1">
      <c r="A2" s="1"/>
      <c r="B2" s="10" t="s">
        <v>12</v>
      </c>
      <c r="C2" s="10" t="s">
        <v>8</v>
      </c>
      <c r="D2" s="10" t="s">
        <v>10</v>
      </c>
      <c r="E2" s="10" t="s">
        <v>16</v>
      </c>
      <c r="F2" s="10" t="s">
        <v>17</v>
      </c>
      <c r="G2" s="10"/>
      <c r="H2" s="11" t="s">
        <v>15</v>
      </c>
      <c r="I2" s="10" t="s">
        <v>22</v>
      </c>
      <c r="J2" s="10" t="s">
        <v>1</v>
      </c>
      <c r="K2" s="10"/>
      <c r="L2" s="10" t="s">
        <v>2</v>
      </c>
      <c r="M2" s="10" t="s">
        <v>24</v>
      </c>
      <c r="N2" s="10" t="s">
        <v>4</v>
      </c>
      <c r="O2" s="12" t="s">
        <v>23</v>
      </c>
      <c r="P2" s="10" t="s">
        <v>5</v>
      </c>
      <c r="Q2" s="13" t="s">
        <v>29</v>
      </c>
      <c r="R2" s="13" t="s">
        <v>31</v>
      </c>
      <c r="S2" s="13" t="s">
        <v>15</v>
      </c>
      <c r="T2" s="14" t="s">
        <v>32</v>
      </c>
      <c r="U2" s="14"/>
    </row>
    <row r="3" hidden="1">
      <c r="A3" s="1"/>
      <c r="B3" s="16">
        <v>221118.0</v>
      </c>
      <c r="C3" s="20" t="s">
        <v>35</v>
      </c>
      <c r="D3" s="22"/>
      <c r="E3" s="22" t="s">
        <v>37</v>
      </c>
      <c r="F3" s="22" t="s">
        <v>39</v>
      </c>
      <c r="G3" s="22"/>
      <c r="H3" s="24" t="s">
        <v>40</v>
      </c>
      <c r="I3" s="22" t="s">
        <v>41</v>
      </c>
      <c r="J3" s="22" t="s">
        <v>42</v>
      </c>
      <c r="K3" s="22"/>
      <c r="L3" s="22" t="s">
        <v>43</v>
      </c>
      <c r="M3" s="22" t="s">
        <v>45</v>
      </c>
      <c r="N3" s="22" t="s">
        <v>46</v>
      </c>
      <c r="O3" s="22"/>
      <c r="P3" s="22" t="s">
        <v>47</v>
      </c>
      <c r="Q3" s="24" t="str">
        <f>J3</f>
        <v>Facebook</v>
      </c>
      <c r="R3" s="26" t="str">
        <f>L3</f>
        <v>FA</v>
      </c>
      <c r="S3" s="28" t="str">
        <f>CONCATENATE(E3,"_",N3,"_",L3,"_",M3,"_",B3,"_",P3)</f>
        <v>Rongfly_HN_FA_TAH_221118_Badt</v>
      </c>
      <c r="T3" s="28" t="str">
        <f>CONCATENATE(F3,"_",E3,B3,"_",P3)</f>
        <v>sinhvien1823_Rongfly221118_Badt</v>
      </c>
      <c r="U3" s="30"/>
    </row>
    <row r="4" hidden="1">
      <c r="A4" s="1"/>
      <c r="B4" s="7"/>
      <c r="C4" s="7"/>
      <c r="D4" s="17"/>
      <c r="E4" s="32" t="s">
        <v>48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</row>
    <row r="5" hidden="1">
      <c r="A5" s="1"/>
      <c r="B5" s="7"/>
      <c r="C5" s="7"/>
      <c r="D5" s="35"/>
      <c r="E5" s="32" t="s">
        <v>49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</row>
    <row r="6" hidden="1">
      <c r="A6" s="1"/>
      <c r="B6" s="7"/>
      <c r="C6" s="7"/>
      <c r="D6" s="36"/>
      <c r="E6" s="37" t="s">
        <v>50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</row>
    <row r="7">
      <c r="A7" s="6" t="s">
        <v>0</v>
      </c>
      <c r="B7" s="6" t="s">
        <v>8</v>
      </c>
      <c r="C7" s="39" t="s">
        <v>10</v>
      </c>
      <c r="D7" s="6" t="s">
        <v>1</v>
      </c>
      <c r="E7" s="6" t="s">
        <v>2</v>
      </c>
      <c r="F7" s="6" t="s">
        <v>4</v>
      </c>
      <c r="G7" s="9" t="s">
        <v>11</v>
      </c>
      <c r="H7" s="6" t="s">
        <v>13</v>
      </c>
      <c r="I7" s="6" t="s">
        <v>14</v>
      </c>
      <c r="J7" s="39" t="s">
        <v>15</v>
      </c>
      <c r="K7" s="42" t="s">
        <v>18</v>
      </c>
      <c r="L7" s="39" t="s">
        <v>19</v>
      </c>
      <c r="M7" s="39" t="s">
        <v>20</v>
      </c>
      <c r="N7" s="39" t="s">
        <v>21</v>
      </c>
      <c r="O7" s="42" t="s">
        <v>23</v>
      </c>
      <c r="P7" s="39" t="s">
        <v>25</v>
      </c>
      <c r="Q7" s="6" t="s">
        <v>26</v>
      </c>
      <c r="R7" s="6" t="s">
        <v>27</v>
      </c>
      <c r="S7" s="6" t="s">
        <v>54</v>
      </c>
      <c r="T7" s="39" t="s">
        <v>30</v>
      </c>
      <c r="U7" s="6"/>
    </row>
    <row r="8">
      <c r="A8" s="45" t="s">
        <v>33</v>
      </c>
      <c r="B8" s="17" t="s">
        <v>34</v>
      </c>
      <c r="C8" s="46" t="s">
        <v>55</v>
      </c>
      <c r="D8" s="19" t="s">
        <v>36</v>
      </c>
      <c r="E8" s="21" t="s">
        <v>36</v>
      </c>
      <c r="F8" s="19" t="s">
        <v>36</v>
      </c>
      <c r="G8" s="47"/>
      <c r="H8" s="19" t="s">
        <v>36</v>
      </c>
      <c r="I8" s="23" t="s">
        <v>38</v>
      </c>
      <c r="J8" s="23" t="s">
        <v>38</v>
      </c>
      <c r="K8" s="23" t="s">
        <v>38</v>
      </c>
      <c r="L8" s="19" t="s">
        <v>36</v>
      </c>
      <c r="M8" s="19" t="s">
        <v>36</v>
      </c>
      <c r="N8" s="19" t="s">
        <v>36</v>
      </c>
      <c r="O8" s="19" t="s">
        <v>36</v>
      </c>
      <c r="P8" s="19" t="s">
        <v>36</v>
      </c>
      <c r="Q8" s="47" t="s">
        <v>62</v>
      </c>
      <c r="R8" s="47" t="s">
        <v>63</v>
      </c>
      <c r="S8" s="48" t="s">
        <v>64</v>
      </c>
      <c r="T8" s="49" t="s">
        <v>67</v>
      </c>
      <c r="U8" s="33"/>
    </row>
    <row r="9">
      <c r="A9" s="50">
        <v>44183.0</v>
      </c>
      <c r="B9" s="43" t="s">
        <v>73</v>
      </c>
      <c r="C9" s="58" t="str">
        <f>IFERROR(__xludf.DUMMYFUNCTION("FILTER(VLOOKUP(B9:B1000,Data!A:B,2,FALSE),B9:B1000&lt;&gt;"""")"),"LD012")</f>
        <v>LD012</v>
      </c>
      <c r="D9" s="44" t="s">
        <v>42</v>
      </c>
      <c r="E9" s="44" t="s">
        <v>81</v>
      </c>
      <c r="F9" s="44" t="s">
        <v>60</v>
      </c>
      <c r="G9" s="44" t="s">
        <v>61</v>
      </c>
      <c r="H9" s="44" t="s">
        <v>84</v>
      </c>
      <c r="I9" s="44" t="s">
        <v>86</v>
      </c>
      <c r="J9" s="44" t="s">
        <v>88</v>
      </c>
      <c r="K9" s="44" t="s">
        <v>61</v>
      </c>
      <c r="L9" s="44" t="s">
        <v>70</v>
      </c>
      <c r="M9" s="44" t="s">
        <v>68</v>
      </c>
      <c r="N9" s="44" t="s">
        <v>69</v>
      </c>
      <c r="O9" s="44" t="s">
        <v>70</v>
      </c>
      <c r="P9" s="44" t="s">
        <v>70</v>
      </c>
      <c r="Q9" s="62" t="str">
        <f>IFERROR(__xludf.DUMMYFUNCTION("FILTER(IF( A9:A1000&lt;&gt;"""",IF(H9:H1000&lt;&gt;"""",IF(I9:I1000&lt;&gt;"""",IF(L9:L1000&lt;&gt;"""",IF(N9:N1000&lt;&gt;"""",I9:I1000&amp;""_""&amp;L9:L1000&amp;""_""&amp;N9:N1000&amp;""_""&amp;H9:H1000&amp;""_""&amp;TRIM(A9:A1000),""!!!""),""!!!""),""!!!""),""!!!""),""!!!""),B9:B1000&lt;&gt;"""")"),"Grammar_NON_CVS_HoaDM_181220")</f>
        <v>Grammar_NON_CVS_HoaDM_181220</v>
      </c>
      <c r="R9" s="62" t="str">
        <f>IFERROR(__xludf.DUMMYFUNCTION("FILTER(IF( A9:A1000&lt;&gt;"""",IF(P9:P1000&lt;&gt;"""",IF(F9:F1000&lt;&gt;"""",IF(G9:G1000&lt;&gt;"""",IF(K9:K1000&lt;&gt;"""",P9:P1000&amp;""_""&amp;F9:F1000&amp;""_""&amp;G9:G1000&amp;""_""&amp;K9:K1000&amp;""_""&amp;TRIM(A9:A1000),""!!!""),""!!!""),""!!!""),""!!!""),""!!!""),B9:B1000&lt;&gt;"""")"),"NON_NONE_none_none_181220")</f>
        <v>NON_NONE_none_none_181220</v>
      </c>
      <c r="S9" s="62" t="str">
        <f>IFERROR(__xludf.DUMMYFUNCTION("FILTER(IF( M9:M1000&lt;&gt;"""",IF(J9:J1000&lt;&gt;"""",IF(O9:O1000&lt;&gt;"""",IF(C9:C1000&lt;&gt;"""",M9:M1000&amp;""_""&amp;J9:J1000&amp;""_""&amp;O9:O1000&amp;""_""&amp;C9:C1000,""!!!""),""!!!""),""!!!""),""!!!""),B9:B1000&lt;&gt;"""")"),"h4hocvien_Content2_NON_LD012")</f>
        <v>h4hocvien_Content2_NON_LD012</v>
      </c>
      <c r="T9" s="65" t="str">
        <f>IFERROR(__xludf.DUMMYFUNCTION("FILTER(B9:B1000&amp;if(right(B9:B1000,1)=""/"",""?"",""/?"")&amp;""utm_source=""&amp;D9:D1000&amp;""&amp;utm_medium=""&amp;E9:E1000&amp;""&amp;utm_term=""&amp;R9:R1000&amp;""&amp;utm_content=""&amp;S9:S1000&amp;""&amp;utm_campaign=""&amp;Q9:Q1000,B9:B1000&lt;&gt;"""")"),"https://patadovietnam.edu.vn/blog/?utm_source=Facebook&amp;utm_medium=SEE1&amp;utm_term=NON_NONE_none_none_181220&amp;utm_content=h4hocvien_Content2_NON_LD012&amp;utm_campaign=Grammar_NON_CVS_HoaDM_181220")</f>
        <v>https://patadovietnam.edu.vn/blog/?utm_source=Facebook&amp;utm_medium=SEE1&amp;utm_term=NON_NONE_none_none_181220&amp;utm_content=h4hocvien_Content2_NON_LD012&amp;utm_campaign=Grammar_NON_CVS_HoaDM_181220</v>
      </c>
      <c r="U9" s="52"/>
    </row>
    <row r="10">
      <c r="A10" s="50">
        <v>44202.0</v>
      </c>
      <c r="B10" s="43" t="s">
        <v>105</v>
      </c>
      <c r="C10" s="58" t="str">
        <f>IFERROR(__xludf.DUMMYFUNCTION("""COMPUTED_VALUE"""),"LD036")</f>
        <v>LD036</v>
      </c>
      <c r="D10" s="44" t="s">
        <v>42</v>
      </c>
      <c r="E10" s="44" t="s">
        <v>81</v>
      </c>
      <c r="F10" s="44" t="s">
        <v>60</v>
      </c>
      <c r="G10" s="44" t="s">
        <v>61</v>
      </c>
      <c r="H10" s="44" t="s">
        <v>84</v>
      </c>
      <c r="I10" s="44" t="s">
        <v>115</v>
      </c>
      <c r="J10" s="44" t="s">
        <v>88</v>
      </c>
      <c r="K10" s="44" t="s">
        <v>61</v>
      </c>
      <c r="L10" s="44" t="s">
        <v>70</v>
      </c>
      <c r="M10" s="44" t="s">
        <v>116</v>
      </c>
      <c r="N10" s="44" t="s">
        <v>70</v>
      </c>
      <c r="O10" s="44" t="s">
        <v>70</v>
      </c>
      <c r="P10" s="44" t="s">
        <v>70</v>
      </c>
      <c r="Q10" s="62" t="str">
        <f>IFERROR(__xludf.DUMMYFUNCTION("""COMPUTED_VALUE"""),"identifying information_NON_NON_HoaDM_060121")</f>
        <v>identifying information_NON_NON_HoaDM_060121</v>
      </c>
      <c r="R10" s="62" t="str">
        <f>IFERROR(__xludf.DUMMYFUNCTION("""COMPUTED_VALUE"""),"NON_NONE_none_none_060121")</f>
        <v>NON_NONE_none_none_060121</v>
      </c>
      <c r="S10" s="62" t="str">
        <f>IFERROR(__xludf.DUMMYFUNCTION("""COMPUTED_VALUE"""),"khac_Content2_NON_LD036")</f>
        <v>khac_Content2_NON_LD036</v>
      </c>
      <c r="T10" s="62" t="str">
        <f>IFERROR(__xludf.DUMMYFUNCTION("""COMPUTED_VALUE"""),"https://patadovietnam.edu.vn/blog/ielts-reading/de-thi-ielts-reading-thu/?utm_source=Facebook&amp;utm_medium=SEE1&amp;utm_term=NON_NONE_none_none_060121&amp;utm_content=khac_Content2_NON_LD036&amp;utm_campaign=identifying information_NON_NON_HoaDM_060121")</f>
        <v>https://patadovietnam.edu.vn/blog/ielts-reading/de-thi-ielts-reading-thu/?utm_source=Facebook&amp;utm_medium=SEE1&amp;utm_term=NON_NONE_none_none_060121&amp;utm_content=khac_Content2_NON_LD036&amp;utm_campaign=identifying information_NON_NON_HoaDM_060121</v>
      </c>
      <c r="U10" s="52"/>
    </row>
    <row r="11">
      <c r="A11" s="50">
        <v>44204.0</v>
      </c>
      <c r="B11" s="61" t="s">
        <v>121</v>
      </c>
      <c r="C11" s="67" t="str">
        <f>IFERROR(__xludf.DUMMYFUNCTION("""COMPUTED_VALUE"""),"LD038")</f>
        <v>LD038</v>
      </c>
      <c r="D11" s="55" t="s">
        <v>42</v>
      </c>
      <c r="E11" s="55" t="s">
        <v>81</v>
      </c>
      <c r="F11" s="44" t="s">
        <v>60</v>
      </c>
      <c r="G11" s="44" t="s">
        <v>61</v>
      </c>
      <c r="H11" s="44" t="s">
        <v>84</v>
      </c>
      <c r="I11" s="55" t="s">
        <v>128</v>
      </c>
      <c r="J11" s="55" t="s">
        <v>9</v>
      </c>
      <c r="K11" s="44" t="s">
        <v>61</v>
      </c>
      <c r="L11" s="44" t="s">
        <v>70</v>
      </c>
      <c r="M11" s="44" t="s">
        <v>116</v>
      </c>
      <c r="N11" s="44" t="s">
        <v>70</v>
      </c>
      <c r="O11" s="44" t="s">
        <v>70</v>
      </c>
      <c r="P11" s="44" t="s">
        <v>70</v>
      </c>
      <c r="Q11" s="68" t="str">
        <f>IFERROR(__xludf.DUMMYFUNCTION("""COMPUTED_VALUE"""),"speaking_NON_NON_HoaDM_080121")</f>
        <v>speaking_NON_NON_HoaDM_080121</v>
      </c>
      <c r="R11" s="68" t="str">
        <f>IFERROR(__xludf.DUMMYFUNCTION("""COMPUTED_VALUE"""),"NON_NONE_none_none_080121")</f>
        <v>NON_NONE_none_none_080121</v>
      </c>
      <c r="S11" s="68" t="str">
        <f>IFERROR(__xludf.DUMMYFUNCTION("""COMPUTED_VALUE"""),"khac_content_NON_LD038")</f>
        <v>khac_content_NON_LD038</v>
      </c>
      <c r="T11" s="70" t="str">
        <f>IFERROR(__xludf.DUMMYFUNCTION("""COMPUTED_VALUE"""),"https://patadovietnam.edu.vn/blog/ielts-speaking/patado-tong-hop-de-thi-ielts-speaking-2020/?utm_source=Facebook&amp;utm_medium=SEE1&amp;utm_term=NON_NONE_none_none_080121&amp;utm_content=khac_content_NON_LD038&amp;utm_campaign=speaking_NON_NON_HoaDM_080121")</f>
        <v>https://patadovietnam.edu.vn/blog/ielts-speaking/patado-tong-hop-de-thi-ielts-speaking-2020/?utm_source=Facebook&amp;utm_medium=SEE1&amp;utm_term=NON_NONE_none_none_080121&amp;utm_content=khac_content_NON_LD038&amp;utm_campaign=speaking_NON_NON_HoaDM_080121</v>
      </c>
      <c r="U11" s="56"/>
    </row>
    <row r="12">
      <c r="A12" s="50">
        <v>44208.0</v>
      </c>
      <c r="B12" s="43" t="s">
        <v>141</v>
      </c>
      <c r="C12" s="67" t="str">
        <f>IFERROR(__xludf.DUMMYFUNCTION("""COMPUTED_VALUE"""),"LD042")</f>
        <v>LD042</v>
      </c>
      <c r="D12" s="55" t="s">
        <v>42</v>
      </c>
      <c r="E12" s="44" t="s">
        <v>81</v>
      </c>
      <c r="F12" s="44" t="s">
        <v>60</v>
      </c>
      <c r="G12" s="44" t="s">
        <v>61</v>
      </c>
      <c r="H12" s="44" t="s">
        <v>84</v>
      </c>
      <c r="I12" s="55" t="s">
        <v>148</v>
      </c>
      <c r="J12" s="55" t="s">
        <v>9</v>
      </c>
      <c r="K12" s="44" t="s">
        <v>61</v>
      </c>
      <c r="L12" s="44" t="s">
        <v>70</v>
      </c>
      <c r="M12" s="44" t="s">
        <v>116</v>
      </c>
      <c r="N12" s="44" t="s">
        <v>70</v>
      </c>
      <c r="O12" s="44" t="s">
        <v>70</v>
      </c>
      <c r="P12" s="44" t="s">
        <v>70</v>
      </c>
      <c r="Q12" s="68" t="str">
        <f>IFERROR(__xludf.DUMMYFUNCTION("""COMPUTED_VALUE"""),"tuvung_NON_NON_HoaDM_120121")</f>
        <v>tuvung_NON_NON_HoaDM_120121</v>
      </c>
      <c r="R12" s="68" t="str">
        <f>IFERROR(__xludf.DUMMYFUNCTION("""COMPUTED_VALUE"""),"NON_NONE_none_none_120121")</f>
        <v>NON_NONE_none_none_120121</v>
      </c>
      <c r="S12" s="68" t="str">
        <f>IFERROR(__xludf.DUMMYFUNCTION("""COMPUTED_VALUE"""),"khac_content_NON_LD042")</f>
        <v>khac_content_NON_LD042</v>
      </c>
      <c r="T12" s="70" t="str">
        <f>IFERROR(__xludf.DUMMYFUNCTION("""COMPUTED_VALUE"""),"https://patadovietnam.edu.vn/blog/vocab-grammar/3000-tu-vung-ielts-thong-dung-nhat/?utm_source=Facebook&amp;utm_medium=SEE1&amp;utm_term=NON_NONE_none_none_120121&amp;utm_content=khac_content_NON_LD042&amp;utm_campaign=tuvung_NON_NON_HoaDM_120121")</f>
        <v>https://patadovietnam.edu.vn/blog/vocab-grammar/3000-tu-vung-ielts-thong-dung-nhat/?utm_source=Facebook&amp;utm_medium=SEE1&amp;utm_term=NON_NONE_none_none_120121&amp;utm_content=khac_content_NON_LD042&amp;utm_campaign=tuvung_NON_NON_HoaDM_120121</v>
      </c>
      <c r="U12" s="56"/>
    </row>
    <row r="13">
      <c r="A13" s="50">
        <v>44208.0</v>
      </c>
      <c r="B13" s="61" t="s">
        <v>156</v>
      </c>
      <c r="C13" s="67" t="str">
        <f>IFERROR(__xludf.DUMMYFUNCTION("""COMPUTED_VALUE"""),"LD043")</f>
        <v>LD043</v>
      </c>
      <c r="D13" s="55" t="s">
        <v>42</v>
      </c>
      <c r="E13" s="55" t="s">
        <v>81</v>
      </c>
      <c r="F13" s="44" t="s">
        <v>60</v>
      </c>
      <c r="G13" s="44" t="s">
        <v>61</v>
      </c>
      <c r="H13" s="44" t="s">
        <v>84</v>
      </c>
      <c r="I13" s="55" t="s">
        <v>100</v>
      </c>
      <c r="J13" s="55" t="s">
        <v>9</v>
      </c>
      <c r="K13" s="44" t="s">
        <v>61</v>
      </c>
      <c r="L13" s="44" t="s">
        <v>70</v>
      </c>
      <c r="M13" s="44" t="s">
        <v>116</v>
      </c>
      <c r="N13" s="44" t="s">
        <v>70</v>
      </c>
      <c r="O13" s="44" t="s">
        <v>70</v>
      </c>
      <c r="P13" s="44" t="s">
        <v>70</v>
      </c>
      <c r="Q13" s="68" t="str">
        <f>IFERROR(__xludf.DUMMYFUNCTION("""COMPUTED_VALUE"""),"ielts_NON_NON_HoaDM_120121")</f>
        <v>ielts_NON_NON_HoaDM_120121</v>
      </c>
      <c r="R13" s="68" t="str">
        <f>IFERROR(__xludf.DUMMYFUNCTION("""COMPUTED_VALUE"""),"NON_NONE_none_none_120121")</f>
        <v>NON_NONE_none_none_120121</v>
      </c>
      <c r="S13" s="68" t="str">
        <f>IFERROR(__xludf.DUMMYFUNCTION("""COMPUTED_VALUE"""),"khac_content_NON_LD043")</f>
        <v>khac_content_NON_LD043</v>
      </c>
      <c r="T13" s="70" t="str">
        <f>IFERROR(__xludf.DUMMYFUNCTION("""COMPUTED_VALUE"""),"https://patadovietnam.edu.vn/blog/kinh-nghiem-thi/ielts/?utm_source=Facebook&amp;utm_medium=SEE1&amp;utm_term=NON_NONE_none_none_120121&amp;utm_content=khac_content_NON_LD043&amp;utm_campaign=ielts_NON_NON_HoaDM_120121")</f>
        <v>https://patadovietnam.edu.vn/blog/kinh-nghiem-thi/ielts/?utm_source=Facebook&amp;utm_medium=SEE1&amp;utm_term=NON_NONE_none_none_120121&amp;utm_content=khac_content_NON_LD043&amp;utm_campaign=ielts_NON_NON_HoaDM_120121</v>
      </c>
      <c r="U13" s="56"/>
    </row>
    <row r="14">
      <c r="A14" s="72">
        <v>44210.0</v>
      </c>
      <c r="B14" s="61" t="s">
        <v>83</v>
      </c>
      <c r="C14" s="67" t="str">
        <f>IFERROR(__xludf.DUMMYFUNCTION("""COMPUTED_VALUE"""),"LD008")</f>
        <v>LD008</v>
      </c>
      <c r="D14" s="55" t="s">
        <v>42</v>
      </c>
      <c r="E14" s="55" t="s">
        <v>81</v>
      </c>
      <c r="F14" s="44" t="s">
        <v>60</v>
      </c>
      <c r="G14" s="44" t="s">
        <v>61</v>
      </c>
      <c r="H14" s="44" t="s">
        <v>84</v>
      </c>
      <c r="I14" s="55" t="s">
        <v>171</v>
      </c>
      <c r="J14" s="55" t="s">
        <v>172</v>
      </c>
      <c r="K14" s="44" t="s">
        <v>61</v>
      </c>
      <c r="L14" s="44" t="s">
        <v>70</v>
      </c>
      <c r="M14" s="44" t="s">
        <v>116</v>
      </c>
      <c r="N14" s="44" t="s">
        <v>70</v>
      </c>
      <c r="O14" s="44" t="s">
        <v>70</v>
      </c>
      <c r="P14" s="44" t="s">
        <v>70</v>
      </c>
      <c r="Q14" s="68" t="str">
        <f>IFERROR(__xludf.DUMMYFUNCTION("""COMPUTED_VALUE"""),"ptd_NON_NON_HoaDM_140121")</f>
        <v>ptd_NON_NON_HoaDM_140121</v>
      </c>
      <c r="R14" s="68" t="str">
        <f>IFERROR(__xludf.DUMMYFUNCTION("""COMPUTED_VALUE"""),"NON_NONE_none_none_140121")</f>
        <v>NON_NONE_none_none_140121</v>
      </c>
      <c r="S14" s="68" t="str">
        <f>IFERROR(__xludf.DUMMYFUNCTION("""COMPUTED_VALUE"""),"khac_ct_NON_LD008")</f>
        <v>khac_ct_NON_LD008</v>
      </c>
      <c r="T14" s="70" t="str">
        <f>IFERROR(__xludf.DUMMYFUNCTION("""COMPUTED_VALUE"""),"https://patadovietnam.edu.vn/?utm_source=Facebook&amp;utm_medium=SEE1&amp;utm_term=NON_NONE_none_none_140121&amp;utm_content=khac_ct_NON_LD008&amp;utm_campaign=ptd_NON_NON_HoaDM_140121")</f>
        <v>https://patadovietnam.edu.vn/?utm_source=Facebook&amp;utm_medium=SEE1&amp;utm_term=NON_NONE_none_none_140121&amp;utm_content=khac_ct_NON_LD008&amp;utm_campaign=ptd_NON_NON_HoaDM_140121</v>
      </c>
      <c r="U14" s="56"/>
    </row>
    <row r="15">
      <c r="A15" s="72">
        <v>44210.0</v>
      </c>
      <c r="B15" s="61" t="s">
        <v>179</v>
      </c>
      <c r="C15" s="67" t="str">
        <f>IFERROR(__xludf.DUMMYFUNCTION("""COMPUTED_VALUE"""),"LD047")</f>
        <v>LD047</v>
      </c>
      <c r="D15" s="55" t="s">
        <v>42</v>
      </c>
      <c r="E15" s="55" t="s">
        <v>81</v>
      </c>
      <c r="F15" s="55" t="s">
        <v>60</v>
      </c>
      <c r="G15" s="55" t="s">
        <v>61</v>
      </c>
      <c r="H15" s="55" t="s">
        <v>84</v>
      </c>
      <c r="I15" s="55" t="s">
        <v>184</v>
      </c>
      <c r="J15" s="55" t="s">
        <v>172</v>
      </c>
      <c r="K15" s="55" t="s">
        <v>61</v>
      </c>
      <c r="L15" s="55" t="s">
        <v>70</v>
      </c>
      <c r="M15" s="55" t="s">
        <v>116</v>
      </c>
      <c r="N15" s="55" t="s">
        <v>70</v>
      </c>
      <c r="O15" s="55" t="s">
        <v>70</v>
      </c>
      <c r="P15" s="55" t="s">
        <v>70</v>
      </c>
      <c r="Q15" s="68" t="str">
        <f>IFERROR(__xludf.DUMMYFUNCTION("""COMPUTED_VALUE"""),"com_NON_NON_HoaDM_140121")</f>
        <v>com_NON_NON_HoaDM_140121</v>
      </c>
      <c r="R15" s="68" t="str">
        <f>IFERROR(__xludf.DUMMYFUNCTION("""COMPUTED_VALUE"""),"NON_NONE_none_none_140121")</f>
        <v>NON_NONE_none_none_140121</v>
      </c>
      <c r="S15" s="68" t="str">
        <f>IFERROR(__xludf.DUMMYFUNCTION("""COMPUTED_VALUE"""),"khac_ct_NON_LD047")</f>
        <v>khac_ct_NON_LD047</v>
      </c>
      <c r="T15" s="70" t="str">
        <f>IFERROR(__xludf.DUMMYFUNCTION("""COMPUTED_VALUE"""),"https://patadovietnam.edu.vn/tai-lieu-giao-tiep/?utm_source=Facebook&amp;utm_medium=SEE1&amp;utm_term=NON_NONE_none_none_140121&amp;utm_content=khac_ct_NON_LD047&amp;utm_campaign=com_NON_NON_HoaDM_140121")</f>
        <v>https://patadovietnam.edu.vn/tai-lieu-giao-tiep/?utm_source=Facebook&amp;utm_medium=SEE1&amp;utm_term=NON_NONE_none_none_140121&amp;utm_content=khac_ct_NON_LD047&amp;utm_campaign=com_NON_NON_HoaDM_140121</v>
      </c>
      <c r="U15" s="56"/>
    </row>
    <row r="16">
      <c r="A16" s="72">
        <v>44210.0</v>
      </c>
      <c r="B16" s="61" t="s">
        <v>195</v>
      </c>
      <c r="C16" s="67" t="str">
        <f>IFERROR(__xludf.DUMMYFUNCTION("""COMPUTED_VALUE"""),"LD048")</f>
        <v>LD048</v>
      </c>
      <c r="D16" s="55" t="s">
        <v>42</v>
      </c>
      <c r="E16" s="55" t="s">
        <v>81</v>
      </c>
      <c r="F16" s="55" t="s">
        <v>60</v>
      </c>
      <c r="G16" s="55" t="s">
        <v>61</v>
      </c>
      <c r="H16" s="55" t="s">
        <v>84</v>
      </c>
      <c r="I16" s="55" t="s">
        <v>100</v>
      </c>
      <c r="J16" s="55" t="s">
        <v>172</v>
      </c>
      <c r="K16" s="55" t="s">
        <v>61</v>
      </c>
      <c r="L16" s="55" t="s">
        <v>70</v>
      </c>
      <c r="M16" s="55" t="s">
        <v>116</v>
      </c>
      <c r="N16" s="55" t="s">
        <v>70</v>
      </c>
      <c r="O16" s="55" t="s">
        <v>70</v>
      </c>
      <c r="P16" s="55" t="s">
        <v>70</v>
      </c>
      <c r="Q16" s="68" t="str">
        <f>IFERROR(__xludf.DUMMYFUNCTION("""COMPUTED_VALUE"""),"ielts_NON_NON_HoaDM_140121")</f>
        <v>ielts_NON_NON_HoaDM_140121</v>
      </c>
      <c r="R16" s="68" t="str">
        <f>IFERROR(__xludf.DUMMYFUNCTION("""COMPUTED_VALUE"""),"NON_NONE_none_none_140121")</f>
        <v>NON_NONE_none_none_140121</v>
      </c>
      <c r="S16" s="68" t="str">
        <f>IFERROR(__xludf.DUMMYFUNCTION("""COMPUTED_VALUE"""),"khac_ct_NON_LD048")</f>
        <v>khac_ct_NON_LD048</v>
      </c>
      <c r="T16" s="70" t="str">
        <f>IFERROR(__xludf.DUMMYFUNCTION("""COMPUTED_VALUE"""),"https://patadovietnam.edu.vn/blog/kinh-nghiem-thi/hinh-thuc-thi-ielts/?utm_source=Facebook&amp;utm_medium=SEE1&amp;utm_term=NON_NONE_none_none_140121&amp;utm_content=khac_ct_NON_LD048&amp;utm_campaign=ielts_NON_NON_HoaDM_140121")</f>
        <v>https://patadovietnam.edu.vn/blog/kinh-nghiem-thi/hinh-thuc-thi-ielts/?utm_source=Facebook&amp;utm_medium=SEE1&amp;utm_term=NON_NONE_none_none_140121&amp;utm_content=khac_ct_NON_LD048&amp;utm_campaign=ielts_NON_NON_HoaDM_140121</v>
      </c>
      <c r="U16" s="56"/>
    </row>
    <row r="17">
      <c r="A17" s="72">
        <v>44210.0</v>
      </c>
      <c r="B17" s="61" t="s">
        <v>200</v>
      </c>
      <c r="C17" s="67" t="str">
        <f>IFERROR(__xludf.DUMMYFUNCTION("""COMPUTED_VALUE"""),"LD015")</f>
        <v>LD015</v>
      </c>
      <c r="D17" s="55" t="s">
        <v>42</v>
      </c>
      <c r="E17" s="55" t="s">
        <v>81</v>
      </c>
      <c r="F17" s="55" t="s">
        <v>60</v>
      </c>
      <c r="G17" s="55" t="s">
        <v>61</v>
      </c>
      <c r="H17" s="55" t="s">
        <v>84</v>
      </c>
      <c r="I17" s="55" t="s">
        <v>100</v>
      </c>
      <c r="J17" s="55" t="s">
        <v>172</v>
      </c>
      <c r="K17" s="55" t="s">
        <v>61</v>
      </c>
      <c r="L17" s="55" t="s">
        <v>70</v>
      </c>
      <c r="M17" s="55" t="s">
        <v>116</v>
      </c>
      <c r="N17" s="55" t="s">
        <v>70</v>
      </c>
      <c r="O17" s="55" t="s">
        <v>70</v>
      </c>
      <c r="P17" s="55" t="s">
        <v>70</v>
      </c>
      <c r="Q17" s="68" t="str">
        <f>IFERROR(__xludf.DUMMYFUNCTION("""COMPUTED_VALUE"""),"ielts_NON_NON_HoaDM_140121")</f>
        <v>ielts_NON_NON_HoaDM_140121</v>
      </c>
      <c r="R17" s="68" t="str">
        <f>IFERROR(__xludf.DUMMYFUNCTION("""COMPUTED_VALUE"""),"NON_NONE_none_none_140121")</f>
        <v>NON_NONE_none_none_140121</v>
      </c>
      <c r="S17" s="68" t="str">
        <f>IFERROR(__xludf.DUMMYFUNCTION("""COMPUTED_VALUE"""),"khac_ct_NON_LD015")</f>
        <v>khac_ct_NON_LD015</v>
      </c>
      <c r="T17" s="70" t="str">
        <f>IFERROR(__xludf.DUMMYFUNCTION("""COMPUTED_VALUE"""),"https://patadovietnam.edu.vn/tai-lieu/cambridge-instant-ielts/?utm_source=Facebook&amp;utm_medium=SEE1&amp;utm_term=NON_NONE_none_none_140121&amp;utm_content=khac_ct_NON_LD015&amp;utm_campaign=ielts_NON_NON_HoaDM_140121")</f>
        <v>https://patadovietnam.edu.vn/tai-lieu/cambridge-instant-ielts/?utm_source=Facebook&amp;utm_medium=SEE1&amp;utm_term=NON_NONE_none_none_140121&amp;utm_content=khac_ct_NON_LD015&amp;utm_campaign=ielts_NON_NON_HoaDM_140121</v>
      </c>
      <c r="U17" s="56"/>
    </row>
    <row r="18">
      <c r="A18" s="72">
        <v>44210.0</v>
      </c>
      <c r="B18" s="61" t="s">
        <v>206</v>
      </c>
      <c r="C18" s="67" t="str">
        <f>IFERROR(__xludf.DUMMYFUNCTION("""COMPUTED_VALUE"""),"LD044")</f>
        <v>LD044</v>
      </c>
      <c r="D18" s="55" t="s">
        <v>42</v>
      </c>
      <c r="E18" s="55" t="s">
        <v>81</v>
      </c>
      <c r="F18" s="55" t="s">
        <v>60</v>
      </c>
      <c r="G18" s="55" t="s">
        <v>61</v>
      </c>
      <c r="H18" s="55" t="s">
        <v>84</v>
      </c>
      <c r="I18" s="55" t="s">
        <v>100</v>
      </c>
      <c r="J18" s="55" t="s">
        <v>172</v>
      </c>
      <c r="K18" s="55" t="s">
        <v>61</v>
      </c>
      <c r="L18" s="55" t="s">
        <v>70</v>
      </c>
      <c r="M18" s="55" t="s">
        <v>116</v>
      </c>
      <c r="N18" s="55" t="s">
        <v>70</v>
      </c>
      <c r="O18" s="55" t="s">
        <v>70</v>
      </c>
      <c r="P18" s="55" t="s">
        <v>70</v>
      </c>
      <c r="Q18" s="68" t="str">
        <f>IFERROR(__xludf.DUMMYFUNCTION("""COMPUTED_VALUE"""),"ielts_NON_NON_HoaDM_140121")</f>
        <v>ielts_NON_NON_HoaDM_140121</v>
      </c>
      <c r="R18" s="68" t="str">
        <f>IFERROR(__xludf.DUMMYFUNCTION("""COMPUTED_VALUE"""),"NON_NONE_none_none_140121")</f>
        <v>NON_NONE_none_none_140121</v>
      </c>
      <c r="S18" s="68" t="str">
        <f>IFERROR(__xludf.DUMMYFUNCTION("""COMPUTED_VALUE"""),"khac_ct_NON_LD044")</f>
        <v>khac_ct_NON_LD044</v>
      </c>
      <c r="T18" s="70" t="str">
        <f>IFERROR(__xludf.DUMMYFUNCTION("""COMPUTED_VALUE"""),"https://patadovietnam.edu.vn/khoa-hoc-ielts/?utm_source=Facebook&amp;utm_medium=SEE1&amp;utm_term=NON_NONE_none_none_140121&amp;utm_content=khac_ct_NON_LD044&amp;utm_campaign=ielts_NON_NON_HoaDM_140121")</f>
        <v>https://patadovietnam.edu.vn/khoa-hoc-ielts/?utm_source=Facebook&amp;utm_medium=SEE1&amp;utm_term=NON_NONE_none_none_140121&amp;utm_content=khac_ct_NON_LD044&amp;utm_campaign=ielts_NON_NON_HoaDM_140121</v>
      </c>
      <c r="U18" s="56"/>
    </row>
    <row r="19">
      <c r="A19" s="72">
        <v>44211.0</v>
      </c>
      <c r="B19" s="61" t="s">
        <v>222</v>
      </c>
      <c r="C19" s="67" t="str">
        <f>IFERROR(__xludf.DUMMYFUNCTION("""COMPUTED_VALUE"""),"LD051")</f>
        <v>LD051</v>
      </c>
      <c r="D19" s="55" t="s">
        <v>42</v>
      </c>
      <c r="E19" s="55" t="s">
        <v>81</v>
      </c>
      <c r="F19" s="55" t="s">
        <v>60</v>
      </c>
      <c r="G19" s="55" t="s">
        <v>61</v>
      </c>
      <c r="H19" s="55" t="s">
        <v>84</v>
      </c>
      <c r="I19" s="55" t="s">
        <v>226</v>
      </c>
      <c r="J19" s="55" t="s">
        <v>172</v>
      </c>
      <c r="K19" s="55" t="s">
        <v>61</v>
      </c>
      <c r="L19" s="55" t="s">
        <v>70</v>
      </c>
      <c r="M19" s="55" t="s">
        <v>116</v>
      </c>
      <c r="N19" s="55" t="s">
        <v>70</v>
      </c>
      <c r="O19" s="55" t="s">
        <v>70</v>
      </c>
      <c r="P19" s="55" t="s">
        <v>70</v>
      </c>
      <c r="Q19" s="68" t="str">
        <f>IFERROR(__xludf.DUMMYFUNCTION("""COMPUTED_VALUE"""),"wr_NON_NON_HoaDM_150121")</f>
        <v>wr_NON_NON_HoaDM_150121</v>
      </c>
      <c r="R19" s="68" t="str">
        <f>IFERROR(__xludf.DUMMYFUNCTION("""COMPUTED_VALUE"""),"NON_NONE_none_none_150121")</f>
        <v>NON_NONE_none_none_150121</v>
      </c>
      <c r="S19" s="68" t="str">
        <f>IFERROR(__xludf.DUMMYFUNCTION("""COMPUTED_VALUE"""),"khac_ct_NON_LD051")</f>
        <v>khac_ct_NON_LD051</v>
      </c>
      <c r="T19" s="70" t="str">
        <f>IFERROR(__xludf.DUMMYFUNCTION("""COMPUTED_VALUE"""),"https://patadovietnam.edu.vn/blog/ielts-writting/cau-truc-bai-thi-ielts-academic-writing/?utm_source=Facebook&amp;utm_medium=SEE1&amp;utm_term=NON_NONE_none_none_150121&amp;utm_content=khac_ct_NON_LD051&amp;utm_campaign=wr_NON_NON_HoaDM_150121")</f>
        <v>https://patadovietnam.edu.vn/blog/ielts-writting/cau-truc-bai-thi-ielts-academic-writing/?utm_source=Facebook&amp;utm_medium=SEE1&amp;utm_term=NON_NONE_none_none_150121&amp;utm_content=khac_ct_NON_LD051&amp;utm_campaign=wr_NON_NON_HoaDM_150121</v>
      </c>
      <c r="U19" s="56"/>
    </row>
    <row r="20">
      <c r="A20" s="72">
        <v>44211.0</v>
      </c>
      <c r="B20" s="61" t="s">
        <v>232</v>
      </c>
      <c r="C20" s="67" t="str">
        <f>IFERROR(__xludf.DUMMYFUNCTION("""COMPUTED_VALUE"""),"LD014")</f>
        <v>LD014</v>
      </c>
      <c r="D20" s="55" t="s">
        <v>42</v>
      </c>
      <c r="E20" s="55" t="s">
        <v>81</v>
      </c>
      <c r="F20" s="55" t="s">
        <v>60</v>
      </c>
      <c r="G20" s="55" t="s">
        <v>61</v>
      </c>
      <c r="H20" s="55" t="s">
        <v>84</v>
      </c>
      <c r="I20" s="55" t="s">
        <v>226</v>
      </c>
      <c r="J20" s="55" t="s">
        <v>172</v>
      </c>
      <c r="K20" s="55" t="s">
        <v>61</v>
      </c>
      <c r="L20" s="55" t="s">
        <v>70</v>
      </c>
      <c r="M20" s="55" t="s">
        <v>116</v>
      </c>
      <c r="N20" s="55" t="s">
        <v>70</v>
      </c>
      <c r="O20" s="55" t="s">
        <v>70</v>
      </c>
      <c r="P20" s="55" t="s">
        <v>70</v>
      </c>
      <c r="Q20" s="68" t="str">
        <f>IFERROR(__xludf.DUMMYFUNCTION("""COMPUTED_VALUE"""),"wr_NON_NON_HoaDM_150121")</f>
        <v>wr_NON_NON_HoaDM_150121</v>
      </c>
      <c r="R20" s="68" t="str">
        <f>IFERROR(__xludf.DUMMYFUNCTION("""COMPUTED_VALUE"""),"NON_NONE_none_none_150121")</f>
        <v>NON_NONE_none_none_150121</v>
      </c>
      <c r="S20" s="68" t="str">
        <f>IFERROR(__xludf.DUMMYFUNCTION("""COMPUTED_VALUE"""),"khac_ct_NON_LD014")</f>
        <v>khac_ct_NON_LD014</v>
      </c>
      <c r="T20" s="70" t="str">
        <f>IFERROR(__xludf.DUMMYFUNCTION("""COMPUTED_VALUE"""),"https://patadovietnam.edu.vn/tai-lieu/chinh-phuc-ielts-writing-course/?utm_source=Facebook&amp;utm_medium=SEE1&amp;utm_term=NON_NONE_none_none_150121&amp;utm_content=khac_ct_NON_LD014&amp;utm_campaign=wr_NON_NON_HoaDM_150121")</f>
        <v>https://patadovietnam.edu.vn/tai-lieu/chinh-phuc-ielts-writing-course/?utm_source=Facebook&amp;utm_medium=SEE1&amp;utm_term=NON_NONE_none_none_150121&amp;utm_content=khac_ct_NON_LD014&amp;utm_campaign=wr_NON_NON_HoaDM_150121</v>
      </c>
      <c r="U20" s="56"/>
    </row>
    <row r="21">
      <c r="A21" s="72">
        <v>44211.0</v>
      </c>
      <c r="B21" s="61" t="s">
        <v>245</v>
      </c>
      <c r="C21" s="67" t="str">
        <f>IFERROR(__xludf.DUMMYFUNCTION("""COMPUTED_VALUE"""),"LD034")</f>
        <v>LD034</v>
      </c>
      <c r="D21" s="55" t="s">
        <v>42</v>
      </c>
      <c r="E21" s="55" t="s">
        <v>81</v>
      </c>
      <c r="F21" s="55" t="s">
        <v>60</v>
      </c>
      <c r="G21" s="55" t="s">
        <v>61</v>
      </c>
      <c r="H21" s="55" t="s">
        <v>84</v>
      </c>
      <c r="I21" s="55" t="s">
        <v>226</v>
      </c>
      <c r="J21" s="55" t="s">
        <v>172</v>
      </c>
      <c r="K21" s="55" t="s">
        <v>61</v>
      </c>
      <c r="L21" s="55" t="s">
        <v>70</v>
      </c>
      <c r="M21" s="55" t="s">
        <v>116</v>
      </c>
      <c r="N21" s="55" t="s">
        <v>70</v>
      </c>
      <c r="O21" s="55" t="s">
        <v>70</v>
      </c>
      <c r="P21" s="55" t="s">
        <v>70</v>
      </c>
      <c r="Q21" s="68" t="str">
        <f>IFERROR(__xludf.DUMMYFUNCTION("""COMPUTED_VALUE"""),"wr_NON_NON_HoaDM_150121")</f>
        <v>wr_NON_NON_HoaDM_150121</v>
      </c>
      <c r="R21" s="68" t="str">
        <f>IFERROR(__xludf.DUMMYFUNCTION("""COMPUTED_VALUE"""),"NON_NONE_none_none_150121")</f>
        <v>NON_NONE_none_none_150121</v>
      </c>
      <c r="S21" s="68" t="str">
        <f>IFERROR(__xludf.DUMMYFUNCTION("""COMPUTED_VALUE"""),"khac_ct_NON_LD034")</f>
        <v>khac_ct_NON_LD034</v>
      </c>
      <c r="T21" s="70" t="str">
        <f>IFERROR(__xludf.DUMMYFUNCTION("""COMPUTED_VALUE"""),"https://patadovietnam.edu.vn/blog/vocab-grammar/16-thi-trong-tieng-anh/?utm_source=Facebook&amp;utm_medium=SEE1&amp;utm_term=NON_NONE_none_none_150121&amp;utm_content=khac_ct_NON_LD034&amp;utm_campaign=wr_NON_NON_HoaDM_150121")</f>
        <v>https://patadovietnam.edu.vn/blog/vocab-grammar/16-thi-trong-tieng-anh/?utm_source=Facebook&amp;utm_medium=SEE1&amp;utm_term=NON_NONE_none_none_150121&amp;utm_content=khac_ct_NON_LD034&amp;utm_campaign=wr_NON_NON_HoaDM_150121</v>
      </c>
      <c r="U21" s="56"/>
    </row>
    <row r="22">
      <c r="A22" s="72">
        <v>44211.0</v>
      </c>
      <c r="B22" s="61" t="s">
        <v>254</v>
      </c>
      <c r="C22" s="67" t="str">
        <f>IFERROR(__xludf.DUMMYFUNCTION("""COMPUTED_VALUE"""),"LD053")</f>
        <v>LD053</v>
      </c>
      <c r="D22" s="55" t="s">
        <v>42</v>
      </c>
      <c r="E22" s="55" t="s">
        <v>81</v>
      </c>
      <c r="F22" s="55" t="s">
        <v>60</v>
      </c>
      <c r="G22" s="55" t="s">
        <v>61</v>
      </c>
      <c r="H22" s="55" t="s">
        <v>84</v>
      </c>
      <c r="I22" s="55" t="s">
        <v>100</v>
      </c>
      <c r="J22" s="55" t="s">
        <v>172</v>
      </c>
      <c r="K22" s="55" t="s">
        <v>61</v>
      </c>
      <c r="L22" s="55" t="s">
        <v>70</v>
      </c>
      <c r="M22" s="55" t="s">
        <v>116</v>
      </c>
      <c r="N22" s="55" t="s">
        <v>70</v>
      </c>
      <c r="O22" s="55" t="s">
        <v>70</v>
      </c>
      <c r="P22" s="55" t="s">
        <v>70</v>
      </c>
      <c r="Q22" s="68" t="str">
        <f>IFERROR(__xludf.DUMMYFUNCTION("""COMPUTED_VALUE"""),"ielts_NON_NON_HoaDM_150121")</f>
        <v>ielts_NON_NON_HoaDM_150121</v>
      </c>
      <c r="R22" s="68" t="str">
        <f>IFERROR(__xludf.DUMMYFUNCTION("""COMPUTED_VALUE"""),"NON_NONE_none_none_150121")</f>
        <v>NON_NONE_none_none_150121</v>
      </c>
      <c r="S22" s="68" t="str">
        <f>IFERROR(__xludf.DUMMYFUNCTION("""COMPUTED_VALUE"""),"khac_ct_NON_LD053")</f>
        <v>khac_ct_NON_LD053</v>
      </c>
      <c r="T22" s="70" t="str">
        <f>IFERROR(__xludf.DUMMYFUNCTION("""COMPUTED_VALUE"""),"https://patadovietnam.edu.vn/tai-lieu-ielts/?utm_source=Facebook&amp;utm_medium=SEE1&amp;utm_term=NON_NONE_none_none_150121&amp;utm_content=khac_ct_NON_LD053&amp;utm_campaign=ielts_NON_NON_HoaDM_150121")</f>
        <v>https://patadovietnam.edu.vn/tai-lieu-ielts/?utm_source=Facebook&amp;utm_medium=SEE1&amp;utm_term=NON_NONE_none_none_150121&amp;utm_content=khac_ct_NON_LD053&amp;utm_campaign=ielts_NON_NON_HoaDM_150121</v>
      </c>
      <c r="U22" s="56"/>
    </row>
    <row r="23">
      <c r="A23" s="72">
        <v>44216.0</v>
      </c>
      <c r="B23" s="61" t="s">
        <v>261</v>
      </c>
      <c r="C23" s="67" t="str">
        <f>IFERROR(__xludf.DUMMYFUNCTION("""COMPUTED_VALUE"""),"LD056")</f>
        <v>LD056</v>
      </c>
      <c r="D23" s="55" t="s">
        <v>42</v>
      </c>
      <c r="E23" s="55" t="s">
        <v>81</v>
      </c>
      <c r="F23" s="55" t="s">
        <v>60</v>
      </c>
      <c r="G23" s="55" t="s">
        <v>61</v>
      </c>
      <c r="H23" s="55" t="s">
        <v>84</v>
      </c>
      <c r="I23" s="55" t="s">
        <v>266</v>
      </c>
      <c r="J23" s="55" t="s">
        <v>172</v>
      </c>
      <c r="K23" s="55" t="s">
        <v>61</v>
      </c>
      <c r="L23" s="55" t="s">
        <v>70</v>
      </c>
      <c r="M23" s="55" t="s">
        <v>116</v>
      </c>
      <c r="N23" s="55" t="s">
        <v>70</v>
      </c>
      <c r="O23" s="55" t="s">
        <v>70</v>
      </c>
      <c r="P23" s="55" t="s">
        <v>70</v>
      </c>
      <c r="Q23" s="68" t="str">
        <f>IFERROR(__xludf.DUMMYFUNCTION("""COMPUTED_VALUE"""),"ĐTBQT_NON_NON_HoaDM_200121")</f>
        <v>ĐTBQT_NON_NON_HoaDM_200121</v>
      </c>
      <c r="R23" s="68" t="str">
        <f>IFERROR(__xludf.DUMMYFUNCTION("""COMPUTED_VALUE"""),"NON_NONE_none_none_200121")</f>
        <v>NON_NONE_none_none_200121</v>
      </c>
      <c r="S23" s="68" t="str">
        <f>IFERROR(__xludf.DUMMYFUNCTION("""COMPUTED_VALUE"""),"khac_ct_NON_LD056")</f>
        <v>khac_ct_NON_LD056</v>
      </c>
      <c r="T23" s="70" t="str">
        <f>IFERROR(__xludf.DUMMYFUNCTION("""COMPUTED_VALUE"""),"https://patadovietnam.edu.vn/blog/vocab-grammar/bang-dong-tu-bat-quy-tac/?utm_source=Facebook&amp;utm_medium=SEE1&amp;utm_term=NON_NONE_none_none_200121&amp;utm_content=khac_ct_NON_LD056&amp;utm_campaign=ĐTBQT_NON_NON_HoaDM_200121")</f>
        <v>https://patadovietnam.edu.vn/blog/vocab-grammar/bang-dong-tu-bat-quy-tac/?utm_source=Facebook&amp;utm_medium=SEE1&amp;utm_term=NON_NONE_none_none_200121&amp;utm_content=khac_ct_NON_LD056&amp;utm_campaign=ĐTBQT_NON_NON_HoaDM_200121</v>
      </c>
      <c r="U23" s="56"/>
    </row>
    <row r="24">
      <c r="A24" s="72">
        <v>44216.0</v>
      </c>
      <c r="B24" s="61" t="s">
        <v>276</v>
      </c>
      <c r="C24" s="67" t="str">
        <f>IFERROR(__xludf.DUMMYFUNCTION("""COMPUTED_VALUE"""),"LD055")</f>
        <v>LD055</v>
      </c>
      <c r="D24" s="55" t="s">
        <v>42</v>
      </c>
      <c r="E24" s="55" t="s">
        <v>81</v>
      </c>
      <c r="F24" s="55" t="s">
        <v>60</v>
      </c>
      <c r="G24" s="55" t="s">
        <v>61</v>
      </c>
      <c r="H24" s="55" t="s">
        <v>84</v>
      </c>
      <c r="I24" s="55" t="s">
        <v>279</v>
      </c>
      <c r="J24" s="55" t="s">
        <v>9</v>
      </c>
      <c r="K24" s="55" t="s">
        <v>61</v>
      </c>
      <c r="L24" s="55" t="s">
        <v>70</v>
      </c>
      <c r="M24" s="55" t="s">
        <v>116</v>
      </c>
      <c r="N24" s="55" t="s">
        <v>70</v>
      </c>
      <c r="O24" s="55" t="s">
        <v>70</v>
      </c>
      <c r="P24" s="55" t="s">
        <v>70</v>
      </c>
      <c r="Q24" s="68" t="str">
        <f>IFERROR(__xludf.DUMMYFUNCTION("""COMPUTED_VALUE"""),"tuloai_NON_NON_HoaDM_200121")</f>
        <v>tuloai_NON_NON_HoaDM_200121</v>
      </c>
      <c r="R24" s="68" t="str">
        <f>IFERROR(__xludf.DUMMYFUNCTION("""COMPUTED_VALUE"""),"NON_NONE_none_none_200121")</f>
        <v>NON_NONE_none_none_200121</v>
      </c>
      <c r="S24" s="68" t="str">
        <f>IFERROR(__xludf.DUMMYFUNCTION("""COMPUTED_VALUE"""),"khac_content_NON_LD055")</f>
        <v>khac_content_NON_LD055</v>
      </c>
      <c r="T24" s="70" t="str">
        <f>IFERROR(__xludf.DUMMYFUNCTION("""COMPUTED_VALUE"""),"https://patadovietnam.edu.vn/blog/vocab-grammar/tu-loai/?utm_source=Facebook&amp;utm_medium=SEE1&amp;utm_term=NON_NONE_none_none_200121&amp;utm_content=khac_content_NON_LD055&amp;utm_campaign=tuloai_NON_NON_HoaDM_200121")</f>
        <v>https://patadovietnam.edu.vn/blog/vocab-grammar/tu-loai/?utm_source=Facebook&amp;utm_medium=SEE1&amp;utm_term=NON_NONE_none_none_200121&amp;utm_content=khac_content_NON_LD055&amp;utm_campaign=tuloai_NON_NON_HoaDM_200121</v>
      </c>
      <c r="U24" s="56"/>
    </row>
    <row r="25">
      <c r="A25" s="72">
        <v>44216.0</v>
      </c>
      <c r="B25" s="61" t="s">
        <v>285</v>
      </c>
      <c r="C25" s="67" t="str">
        <f>IFERROR(__xludf.DUMMYFUNCTION("""COMPUTED_VALUE"""),"LD057")</f>
        <v>LD057</v>
      </c>
      <c r="D25" s="55" t="s">
        <v>42</v>
      </c>
      <c r="E25" s="55" t="s">
        <v>81</v>
      </c>
      <c r="F25" s="55" t="s">
        <v>60</v>
      </c>
      <c r="G25" s="55" t="s">
        <v>61</v>
      </c>
      <c r="H25" s="55" t="s">
        <v>84</v>
      </c>
      <c r="I25" s="55" t="s">
        <v>118</v>
      </c>
      <c r="J25" s="55" t="s">
        <v>287</v>
      </c>
      <c r="K25" s="55" t="s">
        <v>61</v>
      </c>
      <c r="L25" s="55" t="s">
        <v>70</v>
      </c>
      <c r="M25" s="55" t="s">
        <v>116</v>
      </c>
      <c r="N25" s="55" t="s">
        <v>70</v>
      </c>
      <c r="O25" s="55" t="s">
        <v>70</v>
      </c>
      <c r="P25" s="55" t="s">
        <v>70</v>
      </c>
      <c r="Q25" s="68" t="str">
        <f>IFERROR(__xludf.DUMMYFUNCTION("""COMPUTED_VALUE"""),"test_NON_NON_HoaDM_200121")</f>
        <v>test_NON_NON_HoaDM_200121</v>
      </c>
      <c r="R25" s="68" t="str">
        <f>IFERROR(__xludf.DUMMYFUNCTION("""COMPUTED_VALUE"""),"NON_NONE_none_none_200121")</f>
        <v>NON_NONE_none_none_200121</v>
      </c>
      <c r="S25" s="68" t="str">
        <f>IFERROR(__xludf.DUMMYFUNCTION("""COMPUTED_VALUE"""),"khac_testG_NON_LD057")</f>
        <v>khac_testG_NON_LD057</v>
      </c>
      <c r="T25" s="70" t="str">
        <f>IFERROR(__xludf.DUMMYFUNCTION("""COMPUTED_VALUE"""),"https://patadovietnam.edu.vn/test-trinh-do/grammar-level-test-01/?utm_source=Facebook&amp;utm_medium=SEE1&amp;utm_term=NON_NONE_none_none_200121&amp;utm_content=khac_testG_NON_LD057&amp;utm_campaign=test_NON_NON_HoaDM_200121")</f>
        <v>https://patadovietnam.edu.vn/test-trinh-do/grammar-level-test-01/?utm_source=Facebook&amp;utm_medium=SEE1&amp;utm_term=NON_NONE_none_none_200121&amp;utm_content=khac_testG_NON_LD057&amp;utm_campaign=test_NON_NON_HoaDM_200121</v>
      </c>
      <c r="U25" s="56"/>
    </row>
    <row r="26">
      <c r="A26" s="72">
        <v>44244.0</v>
      </c>
      <c r="B26" s="61" t="s">
        <v>291</v>
      </c>
      <c r="C26" s="67" t="str">
        <f>IFERROR(__xludf.DUMMYFUNCTION("""COMPUTED_VALUE"""),"LD058")</f>
        <v>LD058</v>
      </c>
      <c r="D26" s="55" t="s">
        <v>42</v>
      </c>
      <c r="E26" s="55" t="s">
        <v>81</v>
      </c>
      <c r="F26" s="55" t="s">
        <v>60</v>
      </c>
      <c r="G26" s="55" t="s">
        <v>61</v>
      </c>
      <c r="H26" s="55" t="s">
        <v>84</v>
      </c>
      <c r="I26" s="55" t="s">
        <v>114</v>
      </c>
      <c r="J26" s="55" t="s">
        <v>293</v>
      </c>
      <c r="K26" s="55" t="s">
        <v>61</v>
      </c>
      <c r="L26" s="55" t="s">
        <v>70</v>
      </c>
      <c r="M26" s="55" t="s">
        <v>116</v>
      </c>
      <c r="N26" s="55" t="s">
        <v>70</v>
      </c>
      <c r="O26" s="55" t="s">
        <v>70</v>
      </c>
      <c r="P26" s="55" t="s">
        <v>70</v>
      </c>
      <c r="Q26" s="68" t="str">
        <f>IFERROR(__xludf.DUMMYFUNCTION("""COMPUTED_VALUE"""),"idioms_NON_NON_HoaDM_170221")</f>
        <v>idioms_NON_NON_HoaDM_170221</v>
      </c>
      <c r="R26" s="68" t="str">
        <f>IFERROR(__xludf.DUMMYFUNCTION("""COMPUTED_VALUE"""),"NON_NONE_none_none_170221")</f>
        <v>NON_NONE_none_none_170221</v>
      </c>
      <c r="S26" s="68" t="str">
        <f>IFERROR(__xludf.DUMMYFUNCTION("""COMPUTED_VALUE"""),"khac_id_NON_LD058")</f>
        <v>khac_id_NON_LD058</v>
      </c>
      <c r="T26" s="70" t="str">
        <f>IFERROR(__xludf.DUMMYFUNCTION("""COMPUTED_VALUE"""),"https://patadovietnam.edu.vn/tai-lieu/bo-complete-ielts/?utm_source=Facebook&amp;utm_medium=SEE1&amp;utm_term=NON_NONE_none_none_170221&amp;utm_content=khac_id_NON_LD058&amp;utm_campaign=idioms_NON_NON_HoaDM_170221")</f>
        <v>https://patadovietnam.edu.vn/tai-lieu/bo-complete-ielts/?utm_source=Facebook&amp;utm_medium=SEE1&amp;utm_term=NON_NONE_none_none_170221&amp;utm_content=khac_id_NON_LD058&amp;utm_campaign=idioms_NON_NON_HoaDM_170221</v>
      </c>
      <c r="U26" s="56"/>
    </row>
    <row r="27">
      <c r="A27" s="72">
        <v>44246.0</v>
      </c>
      <c r="B27" s="61" t="s">
        <v>299</v>
      </c>
      <c r="C27" s="67" t="str">
        <f>IFERROR(__xludf.DUMMYFUNCTION("""COMPUTED_VALUE"""),"LD061")</f>
        <v>LD061</v>
      </c>
      <c r="D27" s="55" t="s">
        <v>42</v>
      </c>
      <c r="E27" s="55" t="s">
        <v>81</v>
      </c>
      <c r="F27" s="55" t="s">
        <v>60</v>
      </c>
      <c r="G27" s="55" t="s">
        <v>61</v>
      </c>
      <c r="H27" s="55" t="s">
        <v>84</v>
      </c>
      <c r="I27" s="55" t="s">
        <v>301</v>
      </c>
      <c r="J27" s="55" t="s">
        <v>302</v>
      </c>
      <c r="K27" s="55" t="s">
        <v>61</v>
      </c>
      <c r="L27" s="55" t="s">
        <v>70</v>
      </c>
      <c r="M27" s="55" t="s">
        <v>116</v>
      </c>
      <c r="N27" s="55" t="s">
        <v>70</v>
      </c>
      <c r="O27" s="55" t="s">
        <v>70</v>
      </c>
      <c r="P27" s="55" t="s">
        <v>70</v>
      </c>
      <c r="Q27" s="68" t="str">
        <f>IFERROR(__xludf.DUMMYFUNCTION("""COMPUTED_VALUE"""),"ie writing_NON_NON_HoaDM_190221")</f>
        <v>ie writing_NON_NON_HoaDM_190221</v>
      </c>
      <c r="R27" s="68" t="str">
        <f>IFERROR(__xludf.DUMMYFUNCTION("""COMPUTED_VALUE"""),"NON_NONE_none_none_190221")</f>
        <v>NON_NONE_none_none_190221</v>
      </c>
      <c r="S27" s="68" t="str">
        <f>IFERROR(__xludf.DUMMYFUNCTION("""COMPUTED_VALUE"""),"khac_iw_NON_LD061")</f>
        <v>khac_iw_NON_LD061</v>
      </c>
      <c r="T27" s="68" t="str">
        <f>IFERROR(__xludf.DUMMYFUNCTION("""COMPUTED_VALUE"""),"https://patadovietnam.edu.vn/tai-lieu/tron-bo-practical-ielts-strategies/?utm_source=Facebook&amp;utm_medium=SEE1&amp;utm_term=NON_NONE_none_none_190221&amp;utm_content=khac_iw_NON_LD061&amp;utm_campaign=ie writing_NON_NON_HoaDM_190221")</f>
        <v>https://patadovietnam.edu.vn/tai-lieu/tron-bo-practical-ielts-strategies/?utm_source=Facebook&amp;utm_medium=SEE1&amp;utm_term=NON_NONE_none_none_190221&amp;utm_content=khac_iw_NON_LD061&amp;utm_campaign=ie writing_NON_NON_HoaDM_190221</v>
      </c>
      <c r="U27" s="56"/>
    </row>
    <row r="28">
      <c r="A28" s="72">
        <v>44253.0</v>
      </c>
      <c r="B28" s="61" t="s">
        <v>305</v>
      </c>
      <c r="C28" s="67" t="str">
        <f>IFERROR(__xludf.DUMMYFUNCTION("""COMPUTED_VALUE"""),"LD017")</f>
        <v>LD017</v>
      </c>
      <c r="D28" s="55" t="s">
        <v>42</v>
      </c>
      <c r="E28" s="55" t="s">
        <v>81</v>
      </c>
      <c r="F28" s="55" t="s">
        <v>60</v>
      </c>
      <c r="G28" s="55" t="s">
        <v>61</v>
      </c>
      <c r="H28" s="55" t="s">
        <v>84</v>
      </c>
      <c r="I28" s="55" t="s">
        <v>309</v>
      </c>
      <c r="J28" s="55" t="s">
        <v>310</v>
      </c>
      <c r="K28" s="55" t="s">
        <v>61</v>
      </c>
      <c r="L28" s="55" t="s">
        <v>70</v>
      </c>
      <c r="M28" s="55" t="s">
        <v>116</v>
      </c>
      <c r="N28" s="55" t="s">
        <v>70</v>
      </c>
      <c r="O28" s="55" t="s">
        <v>70</v>
      </c>
      <c r="P28" s="55" t="s">
        <v>70</v>
      </c>
      <c r="Q28" s="68" t="str">
        <f>IFERROR(__xludf.DUMMYFUNCTION("""COMPUTED_VALUE"""),"listening_NON_NON_HoaDM_260221")</f>
        <v>listening_NON_NON_HoaDM_260221</v>
      </c>
      <c r="R28" s="68" t="str">
        <f>IFERROR(__xludf.DUMMYFUNCTION("""COMPUTED_VALUE"""),"NON_NONE_none_none_260221")</f>
        <v>NON_NONE_none_none_260221</v>
      </c>
      <c r="S28" s="68" t="str">
        <f>IFERROR(__xludf.DUMMYFUNCTION("""COMPUTED_VALUE"""),"khac_il_NON_LD017")</f>
        <v>khac_il_NON_LD017</v>
      </c>
      <c r="T28" s="70" t="str">
        <f>IFERROR(__xludf.DUMMYFUNCTION("""COMPUTED_VALUE"""),"https://patadovietnam.edu.vn/tai-lieu/basic-ielts-full-pdf/?utm_source=Facebook&amp;utm_medium=SEE1&amp;utm_term=NON_NONE_none_none_260221&amp;utm_content=khac_il_NON_LD017&amp;utm_campaign=listening_NON_NON_HoaDM_260221")</f>
        <v>https://patadovietnam.edu.vn/tai-lieu/basic-ielts-full-pdf/?utm_source=Facebook&amp;utm_medium=SEE1&amp;utm_term=NON_NONE_none_none_260221&amp;utm_content=khac_il_NON_LD017&amp;utm_campaign=listening_NON_NON_HoaDM_260221</v>
      </c>
      <c r="U28" s="56"/>
    </row>
    <row r="29">
      <c r="A29" s="72">
        <v>44265.0</v>
      </c>
      <c r="B29" s="61" t="s">
        <v>83</v>
      </c>
      <c r="C29" s="67" t="str">
        <f>IFERROR(__xludf.DUMMYFUNCTION("""COMPUTED_VALUE"""),"LD008")</f>
        <v>LD008</v>
      </c>
      <c r="D29" s="55" t="s">
        <v>42</v>
      </c>
      <c r="E29" s="55" t="s">
        <v>313</v>
      </c>
      <c r="F29" s="55" t="s">
        <v>46</v>
      </c>
      <c r="G29" s="55" t="s">
        <v>61</v>
      </c>
      <c r="H29" s="55" t="s">
        <v>84</v>
      </c>
      <c r="I29" s="55" t="s">
        <v>316</v>
      </c>
      <c r="J29" s="55" t="s">
        <v>148</v>
      </c>
      <c r="K29" s="55" t="s">
        <v>61</v>
      </c>
      <c r="L29" s="55" t="s">
        <v>317</v>
      </c>
      <c r="M29" s="55" t="s">
        <v>116</v>
      </c>
      <c r="N29" s="55" t="s">
        <v>313</v>
      </c>
      <c r="O29" s="55" t="s">
        <v>70</v>
      </c>
      <c r="P29" s="55" t="s">
        <v>70</v>
      </c>
      <c r="Q29" s="68" t="str">
        <f>IFERROR(__xludf.DUMMYFUNCTION("""COMPUTED_VALUE"""),"baituongtac1_XuBen.5018_ENG_HoaDM_100321")</f>
        <v>baituongtac1_XuBen.5018_ENG_HoaDM_100321</v>
      </c>
      <c r="R29" s="68" t="str">
        <f>IFERROR(__xludf.DUMMYFUNCTION("""COMPUTED_VALUE"""),"NON_HN_none_none_100321")</f>
        <v>NON_HN_none_none_100321</v>
      </c>
      <c r="S29" s="68" t="str">
        <f>IFERROR(__xludf.DUMMYFUNCTION("""COMPUTED_VALUE"""),"khac_tuvung_NON_LD008")</f>
        <v>khac_tuvung_NON_LD008</v>
      </c>
      <c r="T29" s="70" t="str">
        <f>IFERROR(__xludf.DUMMYFUNCTION("""COMPUTED_VALUE"""),"https://patadovietnam.edu.vn/?utm_source=Facebook&amp;utm_medium=ENG&amp;utm_term=NON_HN_none_none_100321&amp;utm_content=khac_tuvung_NON_LD008&amp;utm_campaign=baituongtac1_XuBen.5018_ENG_HoaDM_100321")</f>
        <v>https://patadovietnam.edu.vn/?utm_source=Facebook&amp;utm_medium=ENG&amp;utm_term=NON_HN_none_none_100321&amp;utm_content=khac_tuvung_NON_LD008&amp;utm_campaign=baituongtac1_XuBen.5018_ENG_HoaDM_100321</v>
      </c>
      <c r="U29" s="56"/>
    </row>
    <row r="30">
      <c r="A30" s="72">
        <v>44268.0</v>
      </c>
      <c r="B30" s="61" t="s">
        <v>83</v>
      </c>
      <c r="C30" s="67" t="str">
        <f>IFERROR(__xludf.DUMMYFUNCTION("""COMPUTED_VALUE"""),"LD008")</f>
        <v>LD008</v>
      </c>
      <c r="D30" s="55" t="s">
        <v>42</v>
      </c>
      <c r="E30" s="55" t="s">
        <v>313</v>
      </c>
      <c r="F30" s="55" t="s">
        <v>46</v>
      </c>
      <c r="G30" s="55" t="s">
        <v>61</v>
      </c>
      <c r="H30" s="55" t="s">
        <v>84</v>
      </c>
      <c r="I30" s="55" t="s">
        <v>324</v>
      </c>
      <c r="J30" s="55" t="s">
        <v>325</v>
      </c>
      <c r="K30" s="55" t="s">
        <v>61</v>
      </c>
      <c r="L30" s="55" t="s">
        <v>317</v>
      </c>
      <c r="M30" s="55" t="s">
        <v>116</v>
      </c>
      <c r="N30" s="55" t="s">
        <v>313</v>
      </c>
      <c r="O30" s="55" t="s">
        <v>70</v>
      </c>
      <c r="P30" s="55" t="s">
        <v>70</v>
      </c>
      <c r="Q30" s="68" t="str">
        <f>IFERROR(__xludf.DUMMYFUNCTION("""COMPUTED_VALUE"""),"ttac_XuBen.5018_ENG_HoaDM_130321")</f>
        <v>ttac_XuBen.5018_ENG_HoaDM_130321</v>
      </c>
      <c r="R30" s="68" t="str">
        <f>IFERROR(__xludf.DUMMYFUNCTION("""COMPUTED_VALUE"""),"NON_HN_none_none_130321")</f>
        <v>NON_HN_none_none_130321</v>
      </c>
      <c r="S30" s="68" t="str">
        <f>IFERROR(__xludf.DUMMYFUNCTION("""COMPUTED_VALUE"""),"khac_web_NON_LD008")</f>
        <v>khac_web_NON_LD008</v>
      </c>
      <c r="T30" s="70" t="str">
        <f>IFERROR(__xludf.DUMMYFUNCTION("""COMPUTED_VALUE"""),"https://patadovietnam.edu.vn/?utm_source=Facebook&amp;utm_medium=ENG&amp;utm_term=NON_HN_none_none_130321&amp;utm_content=khac_web_NON_LD008&amp;utm_campaign=ttac_XuBen.5018_ENG_HoaDM_130321")</f>
        <v>https://patadovietnam.edu.vn/?utm_source=Facebook&amp;utm_medium=ENG&amp;utm_term=NON_HN_none_none_130321&amp;utm_content=khac_web_NON_LD008&amp;utm_campaign=ttac_XuBen.5018_ENG_HoaDM_130321</v>
      </c>
      <c r="U30" s="56"/>
    </row>
    <row r="31">
      <c r="A31" s="72">
        <v>44272.0</v>
      </c>
      <c r="B31" s="61" t="s">
        <v>83</v>
      </c>
      <c r="C31" s="67" t="str">
        <f>IFERROR(__xludf.DUMMYFUNCTION("""COMPUTED_VALUE"""),"LD008")</f>
        <v>LD008</v>
      </c>
      <c r="D31" s="55" t="s">
        <v>42</v>
      </c>
      <c r="E31" s="55" t="s">
        <v>313</v>
      </c>
      <c r="F31" s="55" t="s">
        <v>46</v>
      </c>
      <c r="G31" s="55" t="s">
        <v>61</v>
      </c>
      <c r="H31" s="55" t="s">
        <v>84</v>
      </c>
      <c r="I31" s="55" t="s">
        <v>329</v>
      </c>
      <c r="J31" s="55" t="s">
        <v>172</v>
      </c>
      <c r="K31" s="55" t="s">
        <v>61</v>
      </c>
      <c r="L31" s="55" t="s">
        <v>317</v>
      </c>
      <c r="M31" s="55" t="s">
        <v>116</v>
      </c>
      <c r="N31" s="55" t="s">
        <v>313</v>
      </c>
      <c r="O31" s="55" t="s">
        <v>70</v>
      </c>
      <c r="P31" s="55" t="s">
        <v>70</v>
      </c>
      <c r="Q31" s="68" t="str">
        <f>IFERROR(__xludf.DUMMYFUNCTION("""COMPUTED_VALUE"""),"like_XuBen.5018_ENG_HoaDM_170321")</f>
        <v>like_XuBen.5018_ENG_HoaDM_170321</v>
      </c>
      <c r="R31" s="68" t="str">
        <f>IFERROR(__xludf.DUMMYFUNCTION("""COMPUTED_VALUE"""),"NON_HN_none_none_170321")</f>
        <v>NON_HN_none_none_170321</v>
      </c>
      <c r="S31" s="68" t="str">
        <f>IFERROR(__xludf.DUMMYFUNCTION("""COMPUTED_VALUE"""),"khac_ct_NON_LD008")</f>
        <v>khac_ct_NON_LD008</v>
      </c>
      <c r="T31" s="70" t="str">
        <f>IFERROR(__xludf.DUMMYFUNCTION("""COMPUTED_VALUE"""),"https://patadovietnam.edu.vn/?utm_source=Facebook&amp;utm_medium=ENG&amp;utm_term=NON_HN_none_none_170321&amp;utm_content=khac_ct_NON_LD008&amp;utm_campaign=like_XuBen.5018_ENG_HoaDM_170321")</f>
        <v>https://patadovietnam.edu.vn/?utm_source=Facebook&amp;utm_medium=ENG&amp;utm_term=NON_HN_none_none_170321&amp;utm_content=khac_ct_NON_LD008&amp;utm_campaign=like_XuBen.5018_ENG_HoaDM_170321</v>
      </c>
      <c r="U31" s="56"/>
    </row>
    <row r="32">
      <c r="A32" s="72">
        <v>44274.0</v>
      </c>
      <c r="B32" s="61" t="s">
        <v>331</v>
      </c>
      <c r="C32" s="67" t="str">
        <f>IFERROR(__xludf.DUMMYFUNCTION("""COMPUTED_VALUE"""),"LD054")</f>
        <v>LD054</v>
      </c>
      <c r="D32" s="55" t="s">
        <v>42</v>
      </c>
      <c r="E32" s="55" t="s">
        <v>313</v>
      </c>
      <c r="F32" s="55" t="s">
        <v>46</v>
      </c>
      <c r="G32" s="55" t="s">
        <v>61</v>
      </c>
      <c r="H32" s="55" t="s">
        <v>84</v>
      </c>
      <c r="I32" s="55" t="s">
        <v>334</v>
      </c>
      <c r="J32" s="55" t="s">
        <v>172</v>
      </c>
      <c r="K32" s="55" t="s">
        <v>61</v>
      </c>
      <c r="L32" s="55" t="s">
        <v>70</v>
      </c>
      <c r="M32" s="55" t="s">
        <v>116</v>
      </c>
      <c r="N32" s="55" t="s">
        <v>70</v>
      </c>
      <c r="O32" s="55" t="s">
        <v>70</v>
      </c>
      <c r="P32" s="55" t="s">
        <v>70</v>
      </c>
      <c r="Q32" s="68" t="str">
        <f>IFERROR(__xludf.DUMMYFUNCTION("""COMPUTED_VALUE"""),"vo_NON_NON_HoaDM_190321")</f>
        <v>vo_NON_NON_HoaDM_190321</v>
      </c>
      <c r="R32" s="68" t="str">
        <f>IFERROR(__xludf.DUMMYFUNCTION("""COMPUTED_VALUE"""),"NON_HN_none_none_190321")</f>
        <v>NON_HN_none_none_190321</v>
      </c>
      <c r="S32" s="68" t="str">
        <f>IFERROR(__xludf.DUMMYFUNCTION("""COMPUTED_VALUE"""),"khac_ct_NON_LD054")</f>
        <v>khac_ct_NON_LD054</v>
      </c>
      <c r="T32" s="70" t="str">
        <f>IFERROR(__xludf.DUMMYFUNCTION("""COMPUTED_VALUE"""),"https://patadovietnam.edu.vn/tai-lieu/ielts-vocabulary-booster/?utm_source=Facebook&amp;utm_medium=ENG&amp;utm_term=NON_HN_none_none_190321&amp;utm_content=khac_ct_NON_LD054&amp;utm_campaign=vo_NON_NON_HoaDM_190321")</f>
        <v>https://patadovietnam.edu.vn/tai-lieu/ielts-vocabulary-booster/?utm_source=Facebook&amp;utm_medium=ENG&amp;utm_term=NON_HN_none_none_190321&amp;utm_content=khac_ct_NON_LD054&amp;utm_campaign=vo_NON_NON_HoaDM_190321</v>
      </c>
      <c r="U32" s="56"/>
    </row>
    <row r="33">
      <c r="A33" s="72">
        <v>44553.0</v>
      </c>
      <c r="B33" s="61" t="s">
        <v>111</v>
      </c>
      <c r="C33" s="67" t="str">
        <f>IFERROR(__xludf.DUMMYFUNCTION("""COMPUTED_VALUE"""),"LD013")</f>
        <v>LD013</v>
      </c>
      <c r="D33" s="55" t="s">
        <v>42</v>
      </c>
      <c r="E33" s="55" t="s">
        <v>81</v>
      </c>
      <c r="F33" s="55" t="s">
        <v>60</v>
      </c>
      <c r="G33" s="55" t="s">
        <v>61</v>
      </c>
      <c r="H33" s="55" t="s">
        <v>341</v>
      </c>
      <c r="I33" s="55" t="s">
        <v>117</v>
      </c>
      <c r="J33" s="55" t="s">
        <v>342</v>
      </c>
      <c r="K33" s="55" t="s">
        <v>61</v>
      </c>
      <c r="L33" s="55" t="s">
        <v>70</v>
      </c>
      <c r="M33" s="55" t="s">
        <v>116</v>
      </c>
      <c r="N33" s="55" t="s">
        <v>70</v>
      </c>
      <c r="O33" s="55" t="s">
        <v>70</v>
      </c>
      <c r="P33" s="55" t="s">
        <v>70</v>
      </c>
      <c r="Q33" s="68" t="str">
        <f>IFERROR(__xludf.DUMMYFUNCTION("""COMPUTED_VALUE"""),"testtrinhdo_NON_NON_DuongNB_231221")</f>
        <v>testtrinhdo_NON_NON_DuongNB_231221</v>
      </c>
      <c r="R33" s="68" t="str">
        <f>IFERROR(__xludf.DUMMYFUNCTION("""COMPUTED_VALUE"""),"NON_NONE_none_none_231221")</f>
        <v>NON_NONE_none_none_231221</v>
      </c>
      <c r="S33" s="68" t="str">
        <f>IFERROR(__xludf.DUMMYFUNCTION("""COMPUTED_VALUE"""),"khac_mail_NON_LD013")</f>
        <v>khac_mail_NON_LD013</v>
      </c>
      <c r="T33" s="76" t="str">
        <f>IFERROR(__xludf.DUMMYFUNCTION("""COMPUTED_VALUE"""),"https://patadovietnam.edu.vn/test-trinh-do/?utm_source=Facebook&amp;utm_medium=SEE1&amp;utm_term=NON_NONE_none_none_231221&amp;utm_content=khac_mail_NON_LD013&amp;utm_campaign=testtrinhdo_NON_NON_DuongNB_231221")</f>
        <v>https://patadovietnam.edu.vn/test-trinh-do/?utm_source=Facebook&amp;utm_medium=SEE1&amp;utm_term=NON_NONE_none_none_231221&amp;utm_content=khac_mail_NON_LD013&amp;utm_campaign=testtrinhdo_NON_NON_DuongNB_231221</v>
      </c>
      <c r="U33" s="56"/>
    </row>
    <row r="34">
      <c r="A34" s="72">
        <v>44557.0</v>
      </c>
      <c r="B34" s="61" t="s">
        <v>344</v>
      </c>
      <c r="C34" s="67" t="str">
        <f>IFERROR(__xludf.DUMMYFUNCTION("""COMPUTED_VALUE"""),"LD080")</f>
        <v>LD080</v>
      </c>
      <c r="D34" s="55" t="s">
        <v>42</v>
      </c>
      <c r="E34" s="55" t="s">
        <v>81</v>
      </c>
      <c r="F34" s="55" t="s">
        <v>60</v>
      </c>
      <c r="G34" s="55" t="s">
        <v>61</v>
      </c>
      <c r="H34" s="55" t="s">
        <v>341</v>
      </c>
      <c r="I34" s="55" t="s">
        <v>346</v>
      </c>
      <c r="J34" s="55" t="s">
        <v>101</v>
      </c>
      <c r="K34" s="55" t="s">
        <v>61</v>
      </c>
      <c r="L34" s="55" t="s">
        <v>70</v>
      </c>
      <c r="M34" s="55" t="s">
        <v>116</v>
      </c>
      <c r="N34" s="55" t="s">
        <v>70</v>
      </c>
      <c r="O34" s="55" t="s">
        <v>70</v>
      </c>
      <c r="P34" s="55" t="s">
        <v>70</v>
      </c>
      <c r="Q34" s="68" t="str">
        <f>IFERROR(__xludf.DUMMYFUNCTION("""COMPUTED_VALUE"""),"cambridge_NON_NON_DuongNB_271221")</f>
        <v>cambridge_NON_NON_DuongNB_271221</v>
      </c>
      <c r="R34" s="68" t="str">
        <f>IFERROR(__xludf.DUMMYFUNCTION("""COMPUTED_VALUE"""),"NON_NONE_none_none_271221")</f>
        <v>NON_NONE_none_none_271221</v>
      </c>
      <c r="S34" s="68" t="str">
        <f>IFERROR(__xludf.DUMMYFUNCTION("""COMPUTED_VALUE"""),"khac_tailieu_NON_LD080")</f>
        <v>khac_tailieu_NON_LD080</v>
      </c>
      <c r="T34" s="70" t="str">
        <f>IFERROR(__xludf.DUMMYFUNCTION("""COMPUTED_VALUE"""),"https://patadovietnam.edu.vn/blog/sach-luyen-thi-ielts/ielts-cambridge/?utm_source=Facebook&amp;utm_medium=SEE1&amp;utm_term=NON_NONE_none_none_271221&amp;utm_content=khac_tailieu_NON_LD080&amp;utm_campaign=cambridge_NON_NON_DuongNB_271221")</f>
        <v>https://patadovietnam.edu.vn/blog/sach-luyen-thi-ielts/ielts-cambridge/?utm_source=Facebook&amp;utm_medium=SEE1&amp;utm_term=NON_NONE_none_none_271221&amp;utm_content=khac_tailieu_NON_LD080&amp;utm_campaign=cambridge_NON_NON_DuongNB_271221</v>
      </c>
      <c r="U34" s="56"/>
    </row>
    <row r="35">
      <c r="A35" s="72">
        <v>44557.0</v>
      </c>
      <c r="B35" s="61" t="s">
        <v>348</v>
      </c>
      <c r="C35" s="67" t="str">
        <f>IFERROR(__xludf.DUMMYFUNCTION("""COMPUTED_VALUE"""),"LD081")</f>
        <v>LD081</v>
      </c>
      <c r="D35" s="55" t="s">
        <v>42</v>
      </c>
      <c r="E35" s="55" t="s">
        <v>81</v>
      </c>
      <c r="F35" s="55" t="s">
        <v>60</v>
      </c>
      <c r="G35" s="55" t="s">
        <v>61</v>
      </c>
      <c r="H35" s="55" t="s">
        <v>341</v>
      </c>
      <c r="I35" s="55" t="s">
        <v>349</v>
      </c>
      <c r="J35" s="55" t="s">
        <v>101</v>
      </c>
      <c r="K35" s="55" t="s">
        <v>61</v>
      </c>
      <c r="L35" s="55" t="s">
        <v>70</v>
      </c>
      <c r="M35" s="55" t="s">
        <v>116</v>
      </c>
      <c r="N35" s="55" t="s">
        <v>70</v>
      </c>
      <c r="O35" s="55" t="s">
        <v>70</v>
      </c>
      <c r="P35" s="55" t="s">
        <v>70</v>
      </c>
      <c r="Q35" s="68" t="str">
        <f>IFERROR(__xludf.DUMMYFUNCTION("""COMPUTED_VALUE"""),"IELTSAdvantageSpeakingListeningSkills_NON_NON_DuongNB_271221")</f>
        <v>IELTSAdvantageSpeakingListeningSkills_NON_NON_DuongNB_271221</v>
      </c>
      <c r="R35" s="68" t="str">
        <f>IFERROR(__xludf.DUMMYFUNCTION("""COMPUTED_VALUE"""),"NON_NONE_none_none_271221")</f>
        <v>NON_NONE_none_none_271221</v>
      </c>
      <c r="S35" s="68" t="str">
        <f>IFERROR(__xludf.DUMMYFUNCTION("""COMPUTED_VALUE"""),"khac_tailieu_NON_LD081")</f>
        <v>khac_tailieu_NON_LD081</v>
      </c>
      <c r="T35" s="70" t="str">
        <f>IFERROR(__xludf.DUMMYFUNCTION("""COMPUTED_VALUE"""),"https://patadovietnam.edu.vn/tai-lieu/ielts-advantage-speaking-listening-skills/?utm_source=Facebook&amp;utm_medium=SEE1&amp;utm_term=NON_NONE_none_none_271221&amp;utm_content=khac_tailieu_NON_LD081&amp;utm_campaign=IELTSAdvantageSpeakingListeningSkills_NON_NON_DuongNB_2"&amp;"71221")</f>
        <v>https://patadovietnam.edu.vn/tai-lieu/ielts-advantage-speaking-listening-skills/?utm_source=Facebook&amp;utm_medium=SEE1&amp;utm_term=NON_NONE_none_none_271221&amp;utm_content=khac_tailieu_NON_LD081&amp;utm_campaign=IELTSAdvantageSpeakingListeningSkills_NON_NON_DuongNB_271221</v>
      </c>
      <c r="U35" s="56"/>
    </row>
    <row r="36">
      <c r="A36" s="72">
        <v>44557.0</v>
      </c>
      <c r="B36" s="61" t="s">
        <v>352</v>
      </c>
      <c r="C36" s="67" t="str">
        <f>IFERROR(__xludf.DUMMYFUNCTION("""COMPUTED_VALUE"""),"LD082")</f>
        <v>LD082</v>
      </c>
      <c r="D36" s="55" t="s">
        <v>42</v>
      </c>
      <c r="E36" s="55" t="s">
        <v>81</v>
      </c>
      <c r="F36" s="55" t="s">
        <v>60</v>
      </c>
      <c r="G36" s="55" t="s">
        <v>61</v>
      </c>
      <c r="H36" s="55" t="s">
        <v>341</v>
      </c>
      <c r="I36" s="55" t="s">
        <v>354</v>
      </c>
      <c r="J36" s="55" t="s">
        <v>101</v>
      </c>
      <c r="K36" s="55" t="s">
        <v>61</v>
      </c>
      <c r="L36" s="55" t="s">
        <v>70</v>
      </c>
      <c r="M36" s="55" t="s">
        <v>116</v>
      </c>
      <c r="N36" s="55" t="s">
        <v>70</v>
      </c>
      <c r="O36" s="55" t="s">
        <v>70</v>
      </c>
      <c r="P36" s="55" t="s">
        <v>70</v>
      </c>
      <c r="Q36" s="68" t="str">
        <f>IFERROR(__xludf.DUMMYFUNCTION("""COMPUTED_VALUE"""),"IELTSListeningActualTest_NON_NON_DuongNB_271221")</f>
        <v>IELTSListeningActualTest_NON_NON_DuongNB_271221</v>
      </c>
      <c r="R36" s="68" t="str">
        <f>IFERROR(__xludf.DUMMYFUNCTION("""COMPUTED_VALUE"""),"NON_NONE_none_none_271221")</f>
        <v>NON_NONE_none_none_271221</v>
      </c>
      <c r="S36" s="68" t="str">
        <f>IFERROR(__xludf.DUMMYFUNCTION("""COMPUTED_VALUE"""),"khac_tailieu_NON_LD082")</f>
        <v>khac_tailieu_NON_LD082</v>
      </c>
      <c r="T36" s="70" t="str">
        <f>IFERROR(__xludf.DUMMYFUNCTION("""COMPUTED_VALUE"""),"https://patadovietnam.edu.vn/tai-lieu/ielts-listening-actual-test/?utm_source=Facebook&amp;utm_medium=SEE1&amp;utm_term=NON_NONE_none_none_271221&amp;utm_content=khac_tailieu_NON_LD082&amp;utm_campaign=IELTSListeningActualTest_NON_NON_DuongNB_271221")</f>
        <v>https://patadovietnam.edu.vn/tai-lieu/ielts-listening-actual-test/?utm_source=Facebook&amp;utm_medium=SEE1&amp;utm_term=NON_NONE_none_none_271221&amp;utm_content=khac_tailieu_NON_LD082&amp;utm_campaign=IELTSListeningActualTest_NON_NON_DuongNB_271221</v>
      </c>
      <c r="U36" s="56"/>
    </row>
    <row r="37">
      <c r="A37" s="72">
        <v>44557.0</v>
      </c>
      <c r="B37" s="61" t="s">
        <v>358</v>
      </c>
      <c r="C37" s="67" t="str">
        <f>IFERROR(__xludf.DUMMYFUNCTION("""COMPUTED_VALUE"""),"LD083")</f>
        <v>LD083</v>
      </c>
      <c r="D37" s="55" t="s">
        <v>42</v>
      </c>
      <c r="E37" s="55" t="s">
        <v>81</v>
      </c>
      <c r="F37" s="55" t="s">
        <v>60</v>
      </c>
      <c r="G37" s="55" t="s">
        <v>61</v>
      </c>
      <c r="H37" s="55" t="s">
        <v>341</v>
      </c>
      <c r="I37" s="55" t="s">
        <v>359</v>
      </c>
      <c r="J37" s="55" t="s">
        <v>101</v>
      </c>
      <c r="K37" s="55" t="s">
        <v>61</v>
      </c>
      <c r="L37" s="55" t="s">
        <v>70</v>
      </c>
      <c r="M37" s="55" t="s">
        <v>116</v>
      </c>
      <c r="N37" s="55" t="s">
        <v>70</v>
      </c>
      <c r="O37" s="55" t="s">
        <v>70</v>
      </c>
      <c r="P37" s="55" t="s">
        <v>70</v>
      </c>
      <c r="Q37" s="68" t="str">
        <f>IFERROR(__xludf.DUMMYFUNCTION("""COMPUTED_VALUE"""),"IELTSPracticeExam _NON_NON_DuongNB_271221")</f>
        <v>IELTSPracticeExam _NON_NON_DuongNB_271221</v>
      </c>
      <c r="R37" s="68" t="str">
        <f>IFERROR(__xludf.DUMMYFUNCTION("""COMPUTED_VALUE"""),"NON_NONE_none_none_271221")</f>
        <v>NON_NONE_none_none_271221</v>
      </c>
      <c r="S37" s="68" t="str">
        <f>IFERROR(__xludf.DUMMYFUNCTION("""COMPUTED_VALUE"""),"khac_tailieu_NON_LD083")</f>
        <v>khac_tailieu_NON_LD083</v>
      </c>
      <c r="T37" s="68" t="str">
        <f>IFERROR(__xludf.DUMMYFUNCTION("""COMPUTED_VALUE"""),"https://patadovietnam.edu.vn/tai-lieu/barrons-ielts-practice-exams/?utm_source=Facebook&amp;utm_medium=SEE1&amp;utm_term=NON_NONE_none_none_271221&amp;utm_content=khac_tailieu_NON_LD083&amp;utm_campaign=IELTSPracticeExam _NON_NON_DuongNB_271221")</f>
        <v>https://patadovietnam.edu.vn/tai-lieu/barrons-ielts-practice-exams/?utm_source=Facebook&amp;utm_medium=SEE1&amp;utm_term=NON_NONE_none_none_271221&amp;utm_content=khac_tailieu_NON_LD083&amp;utm_campaign=IELTSPracticeExam _NON_NON_DuongNB_271221</v>
      </c>
      <c r="U37" s="78" t="s">
        <v>360</v>
      </c>
    </row>
    <row r="38">
      <c r="A38" s="72">
        <v>44557.0</v>
      </c>
      <c r="B38" s="61" t="s">
        <v>362</v>
      </c>
      <c r="C38" s="67" t="str">
        <f>IFERROR(__xludf.DUMMYFUNCTION("""COMPUTED_VALUE"""),"LD084")</f>
        <v>LD084</v>
      </c>
      <c r="D38" s="55" t="s">
        <v>42</v>
      </c>
      <c r="E38" s="55" t="s">
        <v>81</v>
      </c>
      <c r="F38" s="55" t="s">
        <v>60</v>
      </c>
      <c r="G38" s="55" t="s">
        <v>61</v>
      </c>
      <c r="H38" s="55" t="s">
        <v>341</v>
      </c>
      <c r="I38" s="55" t="s">
        <v>364</v>
      </c>
      <c r="J38" s="55" t="s">
        <v>101</v>
      </c>
      <c r="K38" s="55" t="s">
        <v>61</v>
      </c>
      <c r="L38" s="55" t="s">
        <v>70</v>
      </c>
      <c r="M38" s="55" t="s">
        <v>116</v>
      </c>
      <c r="N38" s="55" t="s">
        <v>70</v>
      </c>
      <c r="O38" s="55" t="s">
        <v>70</v>
      </c>
      <c r="P38" s="55" t="s">
        <v>70</v>
      </c>
      <c r="Q38" s="68" t="str">
        <f>IFERROR(__xludf.DUMMYFUNCTION("""COMPUTED_VALUE"""),"AbookforIELTS_NON_NON_DuongNB_271221")</f>
        <v>AbookforIELTS_NON_NON_DuongNB_271221</v>
      </c>
      <c r="R38" s="68" t="str">
        <f>IFERROR(__xludf.DUMMYFUNCTION("""COMPUTED_VALUE"""),"NON_NONE_none_none_271221")</f>
        <v>NON_NONE_none_none_271221</v>
      </c>
      <c r="S38" s="68" t="str">
        <f>IFERROR(__xludf.DUMMYFUNCTION("""COMPUTED_VALUE"""),"khac_tailieu_NON_LD084")</f>
        <v>khac_tailieu_NON_LD084</v>
      </c>
      <c r="T38" s="70" t="str">
        <f>IFERROR(__xludf.DUMMYFUNCTION("""COMPUTED_VALUE"""),"https://patadovietnam.edu.vn/tai-lieu/a-book-for-ielts/?utm_source=Facebook&amp;utm_medium=SEE1&amp;utm_term=NON_NONE_none_none_271221&amp;utm_content=khac_tailieu_NON_LD084&amp;utm_campaign=AbookforIELTS_NON_NON_DuongNB_271221")</f>
        <v>https://patadovietnam.edu.vn/tai-lieu/a-book-for-ielts/?utm_source=Facebook&amp;utm_medium=SEE1&amp;utm_term=NON_NONE_none_none_271221&amp;utm_content=khac_tailieu_NON_LD084&amp;utm_campaign=AbookforIELTS_NON_NON_DuongNB_271221</v>
      </c>
      <c r="U38" s="56"/>
    </row>
    <row r="39">
      <c r="A39" s="72">
        <v>44558.0</v>
      </c>
      <c r="B39" s="61" t="s">
        <v>350</v>
      </c>
      <c r="C39" s="67" t="str">
        <f>IFERROR(__xludf.DUMMYFUNCTION("""COMPUTED_VALUE"""),"LD020")</f>
        <v>LD020</v>
      </c>
      <c r="D39" s="55" t="s">
        <v>42</v>
      </c>
      <c r="E39" s="55" t="s">
        <v>81</v>
      </c>
      <c r="F39" s="55" t="s">
        <v>60</v>
      </c>
      <c r="G39" s="55" t="s">
        <v>61</v>
      </c>
      <c r="H39" s="55" t="s">
        <v>341</v>
      </c>
      <c r="I39" s="55" t="s">
        <v>367</v>
      </c>
      <c r="J39" s="55" t="s">
        <v>101</v>
      </c>
      <c r="K39" s="55" t="s">
        <v>61</v>
      </c>
      <c r="L39" s="55" t="s">
        <v>70</v>
      </c>
      <c r="M39" s="55" t="s">
        <v>116</v>
      </c>
      <c r="N39" s="55" t="s">
        <v>70</v>
      </c>
      <c r="O39" s="55" t="s">
        <v>70</v>
      </c>
      <c r="P39" s="55" t="s">
        <v>70</v>
      </c>
      <c r="Q39" s="68" t="str">
        <f>IFERROR(__xludf.DUMMYFUNCTION("""COMPUTED_VALUE"""),"Destination_NON_NON_DuongNB_281221")</f>
        <v>Destination_NON_NON_DuongNB_281221</v>
      </c>
      <c r="R39" s="68" t="str">
        <f>IFERROR(__xludf.DUMMYFUNCTION("""COMPUTED_VALUE"""),"NON_NONE_none_none_281221")</f>
        <v>NON_NONE_none_none_281221</v>
      </c>
      <c r="S39" s="68" t="str">
        <f>IFERROR(__xludf.DUMMYFUNCTION("""COMPUTED_VALUE"""),"khac_tailieu_NON_LD020")</f>
        <v>khac_tailieu_NON_LD020</v>
      </c>
      <c r="T39" s="70" t="str">
        <f>IFERROR(__xludf.DUMMYFUNCTION("""COMPUTED_VALUE"""),"https://patadovietnam.edu.vn/tai-lieu/destination-b1-b2-va-c1c2/?utm_source=Facebook&amp;utm_medium=SEE1&amp;utm_term=NON_NONE_none_none_281221&amp;utm_content=khac_tailieu_NON_LD020&amp;utm_campaign=Destination_NON_NON_DuongNB_281221")</f>
        <v>https://patadovietnam.edu.vn/tai-lieu/destination-b1-b2-va-c1c2/?utm_source=Facebook&amp;utm_medium=SEE1&amp;utm_term=NON_NONE_none_none_281221&amp;utm_content=khac_tailieu_NON_LD020&amp;utm_campaign=Destination_NON_NON_DuongNB_281221</v>
      </c>
      <c r="U39" s="56"/>
    </row>
    <row r="40">
      <c r="A40" s="72">
        <v>44558.0</v>
      </c>
      <c r="B40" s="61" t="s">
        <v>368</v>
      </c>
      <c r="C40" s="67" t="str">
        <f>IFERROR(__xludf.DUMMYFUNCTION("""COMPUTED_VALUE"""),"LD085")</f>
        <v>LD085</v>
      </c>
      <c r="D40" s="55" t="s">
        <v>42</v>
      </c>
      <c r="E40" s="55" t="s">
        <v>81</v>
      </c>
      <c r="F40" s="55" t="s">
        <v>60</v>
      </c>
      <c r="G40" s="55" t="s">
        <v>61</v>
      </c>
      <c r="H40" s="55" t="s">
        <v>341</v>
      </c>
      <c r="I40" s="55" t="s">
        <v>370</v>
      </c>
      <c r="J40" s="55" t="s">
        <v>101</v>
      </c>
      <c r="K40" s="55" t="s">
        <v>61</v>
      </c>
      <c r="L40" s="55" t="s">
        <v>70</v>
      </c>
      <c r="M40" s="55" t="s">
        <v>116</v>
      </c>
      <c r="N40" s="55" t="s">
        <v>70</v>
      </c>
      <c r="O40" s="55" t="s">
        <v>70</v>
      </c>
      <c r="P40" s="55" t="s">
        <v>70</v>
      </c>
      <c r="Q40" s="68" t="str">
        <f>IFERROR(__xludf.DUMMYFUNCTION("""COMPUTED_VALUE"""),"5s_NON_NON_DuongNB_281221")</f>
        <v>5s_NON_NON_DuongNB_281221</v>
      </c>
      <c r="R40" s="68" t="str">
        <f>IFERROR(__xludf.DUMMYFUNCTION("""COMPUTED_VALUE"""),"NON_NONE_none_none_281221")</f>
        <v>NON_NONE_none_none_281221</v>
      </c>
      <c r="S40" s="68" t="str">
        <f>IFERROR(__xludf.DUMMYFUNCTION("""COMPUTED_VALUE"""),"khac_tailieu_NON_LD085")</f>
        <v>khac_tailieu_NON_LD085</v>
      </c>
      <c r="T40" s="70" t="str">
        <f>IFERROR(__xludf.DUMMYFUNCTION("""COMPUTED_VALUE"""),"https://forms.gle/YZ7FebbSC6Upf7yu9/?utm_source=Facebook&amp;utm_medium=SEE1&amp;utm_term=NON_NONE_none_none_281221&amp;utm_content=khac_tailieu_NON_LD085&amp;utm_campaign=5s_NON_NON_DuongNB_281221")</f>
        <v>https://forms.gle/YZ7FebbSC6Upf7yu9/?utm_source=Facebook&amp;utm_medium=SEE1&amp;utm_term=NON_NONE_none_none_281221&amp;utm_content=khac_tailieu_NON_LD085&amp;utm_campaign=5s_NON_NON_DuongNB_281221</v>
      </c>
      <c r="U40" s="56"/>
    </row>
    <row r="41">
      <c r="A41" s="72">
        <v>44558.0</v>
      </c>
      <c r="B41" s="61" t="s">
        <v>373</v>
      </c>
      <c r="C41" s="67" t="str">
        <f>IFERROR(__xludf.DUMMYFUNCTION("""COMPUTED_VALUE"""),"LD086")</f>
        <v>LD086</v>
      </c>
      <c r="D41" s="55" t="s">
        <v>42</v>
      </c>
      <c r="E41" s="55" t="s">
        <v>81</v>
      </c>
      <c r="F41" s="55" t="s">
        <v>60</v>
      </c>
      <c r="G41" s="55" t="s">
        <v>61</v>
      </c>
      <c r="H41" s="55" t="s">
        <v>341</v>
      </c>
      <c r="I41" s="55" t="s">
        <v>376</v>
      </c>
      <c r="J41" s="55" t="s">
        <v>101</v>
      </c>
      <c r="K41" s="55" t="s">
        <v>61</v>
      </c>
      <c r="L41" s="55" t="s">
        <v>70</v>
      </c>
      <c r="M41" s="55" t="s">
        <v>116</v>
      </c>
      <c r="N41" s="55" t="s">
        <v>70</v>
      </c>
      <c r="O41" s="55" t="s">
        <v>70</v>
      </c>
      <c r="P41" s="55" t="s">
        <v>70</v>
      </c>
      <c r="Q41" s="68" t="str">
        <f>IFERROR(__xludf.DUMMYFUNCTION("""COMPUTED_VALUE"""),"AcademicVocabulary_NON_NON_DuongNB_281221")</f>
        <v>AcademicVocabulary_NON_NON_DuongNB_281221</v>
      </c>
      <c r="R41" s="68" t="str">
        <f>IFERROR(__xludf.DUMMYFUNCTION("""COMPUTED_VALUE"""),"NON_NONE_none_none_281221")</f>
        <v>NON_NONE_none_none_281221</v>
      </c>
      <c r="S41" s="68" t="str">
        <f>IFERROR(__xludf.DUMMYFUNCTION("""COMPUTED_VALUE"""),"khac_tailieu_NON_LD086")</f>
        <v>khac_tailieu_NON_LD086</v>
      </c>
      <c r="T41" s="70" t="str">
        <f>IFERROR(__xludf.DUMMYFUNCTION("""COMPUTED_VALUE"""),"https://patadovietnam.edu.vn/tai-lieu/academic-vocabulary-in-use/?utm_source=Facebook&amp;utm_medium=SEE1&amp;utm_term=NON_NONE_none_none_281221&amp;utm_content=khac_tailieu_NON_LD086&amp;utm_campaign=AcademicVocabulary_NON_NON_DuongNB_281221")</f>
        <v>https://patadovietnam.edu.vn/tai-lieu/academic-vocabulary-in-use/?utm_source=Facebook&amp;utm_medium=SEE1&amp;utm_term=NON_NONE_none_none_281221&amp;utm_content=khac_tailieu_NON_LD086&amp;utm_campaign=AcademicVocabulary_NON_NON_DuongNB_281221</v>
      </c>
      <c r="U41" s="56"/>
    </row>
    <row r="42">
      <c r="A42" s="72">
        <v>44559.0</v>
      </c>
      <c r="B42" s="61" t="s">
        <v>385</v>
      </c>
      <c r="C42" s="67" t="str">
        <f>IFERROR(__xludf.DUMMYFUNCTION("""COMPUTED_VALUE"""),"LD087")</f>
        <v>LD087</v>
      </c>
      <c r="D42" s="55" t="s">
        <v>42</v>
      </c>
      <c r="E42" s="55" t="s">
        <v>81</v>
      </c>
      <c r="F42" s="55" t="s">
        <v>60</v>
      </c>
      <c r="G42" s="55" t="s">
        <v>61</v>
      </c>
      <c r="H42" s="55" t="s">
        <v>341</v>
      </c>
      <c r="I42" s="55" t="s">
        <v>387</v>
      </c>
      <c r="J42" s="55" t="s">
        <v>101</v>
      </c>
      <c r="K42" s="55" t="s">
        <v>61</v>
      </c>
      <c r="L42" s="55" t="s">
        <v>70</v>
      </c>
      <c r="M42" s="55" t="s">
        <v>116</v>
      </c>
      <c r="N42" s="55" t="s">
        <v>70</v>
      </c>
      <c r="O42" s="55" t="s">
        <v>70</v>
      </c>
      <c r="P42" s="55" t="s">
        <v>70</v>
      </c>
      <c r="Q42" s="68" t="str">
        <f>IFERROR(__xludf.DUMMYFUNCTION("""COMPUTED_VALUE"""),"EnglishVocabularyinUse_NON_NON_DuongNB_291221")</f>
        <v>EnglishVocabularyinUse_NON_NON_DuongNB_291221</v>
      </c>
      <c r="R42" s="68" t="str">
        <f>IFERROR(__xludf.DUMMYFUNCTION("""COMPUTED_VALUE"""),"NON_NONE_none_none_291221")</f>
        <v>NON_NONE_none_none_291221</v>
      </c>
      <c r="S42" s="68" t="str">
        <f>IFERROR(__xludf.DUMMYFUNCTION("""COMPUTED_VALUE"""),"khac_tailieu_NON_LD087")</f>
        <v>khac_tailieu_NON_LD087</v>
      </c>
      <c r="T42" s="70" t="str">
        <f>IFERROR(__xludf.DUMMYFUNCTION("""COMPUTED_VALUE"""),"https://patadovietnam.edu.vn/tai-lieu/tron-bo-english-vocabulary-in-use/?utm_source=Facebook&amp;utm_medium=SEE1&amp;utm_term=NON_NONE_none_none_291221&amp;utm_content=khac_tailieu_NON_LD087&amp;utm_campaign=EnglishVocabularyinUse_NON_NON_DuongNB_291221")</f>
        <v>https://patadovietnam.edu.vn/tai-lieu/tron-bo-english-vocabulary-in-use/?utm_source=Facebook&amp;utm_medium=SEE1&amp;utm_term=NON_NONE_none_none_291221&amp;utm_content=khac_tailieu_NON_LD087&amp;utm_campaign=EnglishVocabularyinUse_NON_NON_DuongNB_291221</v>
      </c>
      <c r="U42" s="56"/>
    </row>
    <row r="43">
      <c r="A43" s="72">
        <v>44560.0</v>
      </c>
      <c r="B43" s="61" t="s">
        <v>348</v>
      </c>
      <c r="C43" s="67" t="str">
        <f>IFERROR(__xludf.DUMMYFUNCTION("""COMPUTED_VALUE"""),"LD081")</f>
        <v>LD081</v>
      </c>
      <c r="D43" s="55" t="s">
        <v>42</v>
      </c>
      <c r="E43" s="55" t="s">
        <v>81</v>
      </c>
      <c r="F43" s="55" t="s">
        <v>60</v>
      </c>
      <c r="G43" s="55" t="s">
        <v>61</v>
      </c>
      <c r="H43" s="55" t="s">
        <v>341</v>
      </c>
      <c r="I43" s="55" t="s">
        <v>349</v>
      </c>
      <c r="J43" s="55" t="s">
        <v>101</v>
      </c>
      <c r="K43" s="55" t="s">
        <v>61</v>
      </c>
      <c r="L43" s="55" t="s">
        <v>70</v>
      </c>
      <c r="M43" s="55" t="s">
        <v>116</v>
      </c>
      <c r="N43" s="55" t="s">
        <v>70</v>
      </c>
      <c r="O43" s="55" t="s">
        <v>70</v>
      </c>
      <c r="P43" s="55" t="s">
        <v>70</v>
      </c>
      <c r="Q43" s="68" t="str">
        <f>IFERROR(__xludf.DUMMYFUNCTION("""COMPUTED_VALUE"""),"IELTSAdvantageSpeakingListeningSkills_NON_NON_DuongNB_301221")</f>
        <v>IELTSAdvantageSpeakingListeningSkills_NON_NON_DuongNB_301221</v>
      </c>
      <c r="R43" s="68" t="str">
        <f>IFERROR(__xludf.DUMMYFUNCTION("""COMPUTED_VALUE"""),"NON_NONE_none_none_301221")</f>
        <v>NON_NONE_none_none_301221</v>
      </c>
      <c r="S43" s="68" t="str">
        <f>IFERROR(__xludf.DUMMYFUNCTION("""COMPUTED_VALUE"""),"khac_tailieu_NON_LD081")</f>
        <v>khac_tailieu_NON_LD081</v>
      </c>
      <c r="T43" s="70" t="str">
        <f>IFERROR(__xludf.DUMMYFUNCTION("""COMPUTED_VALUE"""),"https://patadovietnam.edu.vn/tai-lieu/ielts-advantage-speaking-listening-skills/?utm_source=Facebook&amp;utm_medium=SEE1&amp;utm_term=NON_NONE_none_none_301221&amp;utm_content=khac_tailieu_NON_LD081&amp;utm_campaign=IELTSAdvantageSpeakingListeningSkills_NON_NON_DuongNB_3"&amp;"01221")</f>
        <v>https://patadovietnam.edu.vn/tai-lieu/ielts-advantage-speaking-listening-skills/?utm_source=Facebook&amp;utm_medium=SEE1&amp;utm_term=NON_NONE_none_none_301221&amp;utm_content=khac_tailieu_NON_LD081&amp;utm_campaign=IELTSAdvantageSpeakingListeningSkills_NON_NON_DuongNB_301221</v>
      </c>
      <c r="U43" s="56"/>
    </row>
    <row r="44">
      <c r="A44" s="72">
        <v>44564.0</v>
      </c>
      <c r="B44" s="61" t="s">
        <v>351</v>
      </c>
      <c r="C44" s="67" t="str">
        <f>IFERROR(__xludf.DUMMYFUNCTION("""COMPUTED_VALUE"""),"LD021")</f>
        <v>LD021</v>
      </c>
      <c r="D44" s="55" t="s">
        <v>42</v>
      </c>
      <c r="E44" s="55" t="s">
        <v>53</v>
      </c>
      <c r="F44" s="55" t="s">
        <v>60</v>
      </c>
      <c r="G44" s="55" t="s">
        <v>61</v>
      </c>
      <c r="H44" s="55" t="s">
        <v>341</v>
      </c>
      <c r="I44" s="55" t="s">
        <v>392</v>
      </c>
      <c r="J44" s="55" t="s">
        <v>101</v>
      </c>
      <c r="K44" s="55" t="s">
        <v>61</v>
      </c>
      <c r="L44" s="55" t="s">
        <v>70</v>
      </c>
      <c r="M44" s="55" t="s">
        <v>116</v>
      </c>
      <c r="N44" s="55" t="s">
        <v>70</v>
      </c>
      <c r="O44" s="55" t="s">
        <v>70</v>
      </c>
      <c r="P44" s="55" t="s">
        <v>70</v>
      </c>
      <c r="Q44" s="68" t="str">
        <f>IFERROR(__xludf.DUMMYFUNCTION("""COMPUTED_VALUE"""),"ReadingStrategiesfortheIELTSTest_NON_NON_DuongNB_030122")</f>
        <v>ReadingStrategiesfortheIELTSTest_NON_NON_DuongNB_030122</v>
      </c>
      <c r="R44" s="68" t="str">
        <f>IFERROR(__xludf.DUMMYFUNCTION("""COMPUTED_VALUE"""),"NON_NONE_none_none_030122")</f>
        <v>NON_NONE_none_none_030122</v>
      </c>
      <c r="S44" s="68" t="str">
        <f>IFERROR(__xludf.DUMMYFUNCTION("""COMPUTED_VALUE"""),"khac_tailieu_NON_LD021")</f>
        <v>khac_tailieu_NON_LD021</v>
      </c>
      <c r="T44" s="70" t="str">
        <f>IFERROR(__xludf.DUMMYFUNCTION("""COMPUTED_VALUE"""),"https://patadovietnam.edu.vn/tai-lieu/reading-strategies-for-the-ielts-test/?utm_source=Facebook&amp;utm_medium=SEE&amp;utm_term=NON_NONE_none_none_030122&amp;utm_content=khac_tailieu_NON_LD021&amp;utm_campaign=ReadingStrategiesfortheIELTSTest_NON_NON_DuongNB_030122")</f>
        <v>https://patadovietnam.edu.vn/tai-lieu/reading-strategies-for-the-ielts-test/?utm_source=Facebook&amp;utm_medium=SEE&amp;utm_term=NON_NONE_none_none_030122&amp;utm_content=khac_tailieu_NON_LD021&amp;utm_campaign=ReadingStrategiesfortheIELTSTest_NON_NON_DuongNB_030122</v>
      </c>
      <c r="U44" s="56"/>
    </row>
    <row r="45">
      <c r="A45" s="72">
        <v>44564.0</v>
      </c>
      <c r="B45" s="61" t="s">
        <v>394</v>
      </c>
      <c r="C45" s="67" t="str">
        <f>IFERROR(__xludf.DUMMYFUNCTION("""COMPUTED_VALUE"""),"LD090")</f>
        <v>LD090</v>
      </c>
      <c r="D45" s="55" t="s">
        <v>42</v>
      </c>
      <c r="E45" s="55" t="s">
        <v>53</v>
      </c>
      <c r="F45" s="55" t="s">
        <v>60</v>
      </c>
      <c r="G45" s="55" t="s">
        <v>61</v>
      </c>
      <c r="H45" s="55" t="s">
        <v>341</v>
      </c>
      <c r="I45" s="55" t="s">
        <v>396</v>
      </c>
      <c r="J45" s="55" t="s">
        <v>101</v>
      </c>
      <c r="K45" s="55" t="s">
        <v>61</v>
      </c>
      <c r="L45" s="55" t="s">
        <v>70</v>
      </c>
      <c r="M45" s="55" t="s">
        <v>116</v>
      </c>
      <c r="N45" s="55" t="s">
        <v>70</v>
      </c>
      <c r="O45" s="55" t="s">
        <v>70</v>
      </c>
      <c r="P45" s="55" t="s">
        <v>70</v>
      </c>
      <c r="Q45" s="68" t="str">
        <f>IFERROR(__xludf.DUMMYFUNCTION("""COMPUTED_VALUE"""),"ImproveyourIELTS_NON_NON_DuongNB_030122")</f>
        <v>ImproveyourIELTS_NON_NON_DuongNB_030122</v>
      </c>
      <c r="R45" s="68" t="str">
        <f>IFERROR(__xludf.DUMMYFUNCTION("""COMPUTED_VALUE"""),"NON_NONE_none_none_030122")</f>
        <v>NON_NONE_none_none_030122</v>
      </c>
      <c r="S45" s="68" t="str">
        <f>IFERROR(__xludf.DUMMYFUNCTION("""COMPUTED_VALUE"""),"khac_tailieu_NON_LD090")</f>
        <v>khac_tailieu_NON_LD090</v>
      </c>
      <c r="T45" s="70" t="str">
        <f>IFERROR(__xludf.DUMMYFUNCTION("""COMPUTED_VALUE"""),"https://patadovietnam.edu.vn/tai-lieu/bo-improve-your-ielts-4-ky-nang/?utm_source=Facebook&amp;utm_medium=SEE&amp;utm_term=NON_NONE_none_none_030122&amp;utm_content=khac_tailieu_NON_LD090&amp;utm_campaign=ImproveyourIELTS_NON_NON_DuongNB_030122")</f>
        <v>https://patadovietnam.edu.vn/tai-lieu/bo-improve-your-ielts-4-ky-nang/?utm_source=Facebook&amp;utm_medium=SEE&amp;utm_term=NON_NONE_none_none_030122&amp;utm_content=khac_tailieu_NON_LD090&amp;utm_campaign=ImproveyourIELTS_NON_NON_DuongNB_030122</v>
      </c>
      <c r="U45" s="56"/>
    </row>
    <row r="46">
      <c r="A46" s="72">
        <v>44564.0</v>
      </c>
      <c r="B46" s="61" t="s">
        <v>402</v>
      </c>
      <c r="C46" s="67" t="str">
        <f>IFERROR(__xludf.DUMMYFUNCTION("""COMPUTED_VALUE"""),"LD091")</f>
        <v>LD091</v>
      </c>
      <c r="D46" s="55" t="s">
        <v>42</v>
      </c>
      <c r="E46" s="55" t="s">
        <v>53</v>
      </c>
      <c r="F46" s="55" t="s">
        <v>60</v>
      </c>
      <c r="G46" s="55" t="s">
        <v>61</v>
      </c>
      <c r="H46" s="55" t="s">
        <v>341</v>
      </c>
      <c r="I46" s="55" t="s">
        <v>406</v>
      </c>
      <c r="J46" s="55" t="s">
        <v>101</v>
      </c>
      <c r="K46" s="55" t="s">
        <v>61</v>
      </c>
      <c r="L46" s="55" t="s">
        <v>70</v>
      </c>
      <c r="M46" s="55" t="s">
        <v>116</v>
      </c>
      <c r="N46" s="55" t="s">
        <v>70</v>
      </c>
      <c r="O46" s="55" t="s">
        <v>70</v>
      </c>
      <c r="P46" s="55" t="s">
        <v>70</v>
      </c>
      <c r="Q46" s="68" t="str">
        <f>IFERROR(__xludf.DUMMYFUNCTION("""COMPUTED_VALUE"""),"CollinsforIELTS_NON_NON_DuongNB_030122")</f>
        <v>CollinsforIELTS_NON_NON_DuongNB_030122</v>
      </c>
      <c r="R46" s="68" t="str">
        <f>IFERROR(__xludf.DUMMYFUNCTION("""COMPUTED_VALUE"""),"NON_NONE_none_none_030122")</f>
        <v>NON_NONE_none_none_030122</v>
      </c>
      <c r="S46" s="68" t="str">
        <f>IFERROR(__xludf.DUMMYFUNCTION("""COMPUTED_VALUE"""),"khac_tailieu_NON_LD091")</f>
        <v>khac_tailieu_NON_LD091</v>
      </c>
      <c r="T46" s="70" t="str">
        <f>IFERROR(__xludf.DUMMYFUNCTION("""COMPUTED_VALUE"""),"https://patadovietnam.edu.vn/tai-lieu/tron-bo-collins-for-ielts/?utm_source=Facebook&amp;utm_medium=SEE&amp;utm_term=NON_NONE_none_none_030122&amp;utm_content=khac_tailieu_NON_LD091&amp;utm_campaign=CollinsforIELTS_NON_NON_DuongNB_030122")</f>
        <v>https://patadovietnam.edu.vn/tai-lieu/tron-bo-collins-for-ielts/?utm_source=Facebook&amp;utm_medium=SEE&amp;utm_term=NON_NONE_none_none_030122&amp;utm_content=khac_tailieu_NON_LD091&amp;utm_campaign=CollinsforIELTS_NON_NON_DuongNB_030122</v>
      </c>
      <c r="U46" s="56"/>
    </row>
    <row r="47">
      <c r="A47" s="72">
        <v>44565.0</v>
      </c>
      <c r="B47" s="61" t="s">
        <v>412</v>
      </c>
      <c r="C47" s="67" t="str">
        <f>IFERROR(__xludf.DUMMYFUNCTION("""COMPUTED_VALUE"""),"LD092")</f>
        <v>LD092</v>
      </c>
      <c r="D47" s="55" t="s">
        <v>42</v>
      </c>
      <c r="E47" s="55" t="s">
        <v>53</v>
      </c>
      <c r="F47" s="55" t="s">
        <v>60</v>
      </c>
      <c r="G47" s="55" t="s">
        <v>61</v>
      </c>
      <c r="H47" s="55" t="s">
        <v>341</v>
      </c>
      <c r="I47" s="55" t="s">
        <v>417</v>
      </c>
      <c r="J47" s="55" t="s">
        <v>101</v>
      </c>
      <c r="K47" s="55" t="s">
        <v>61</v>
      </c>
      <c r="L47" s="55" t="s">
        <v>70</v>
      </c>
      <c r="M47" s="55" t="s">
        <v>116</v>
      </c>
      <c r="N47" s="55" t="s">
        <v>70</v>
      </c>
      <c r="O47" s="55" t="s">
        <v>70</v>
      </c>
      <c r="P47" s="55" t="s">
        <v>70</v>
      </c>
      <c r="Q47" s="68" t="str">
        <f>IFERROR(__xludf.DUMMYFUNCTION("""COMPUTED_VALUE"""),"MindsetforIELTS_NON_NON_DuongNB_040122")</f>
        <v>MindsetforIELTS_NON_NON_DuongNB_040122</v>
      </c>
      <c r="R47" s="68" t="str">
        <f>IFERROR(__xludf.DUMMYFUNCTION("""COMPUTED_VALUE"""),"NON_NONE_none_none_040122")</f>
        <v>NON_NONE_none_none_040122</v>
      </c>
      <c r="S47" s="68" t="str">
        <f>IFERROR(__xludf.DUMMYFUNCTION("""COMPUTED_VALUE"""),"khac_tailieu_NON_LD092")</f>
        <v>khac_tailieu_NON_LD092</v>
      </c>
      <c r="T47" s="70" t="str">
        <f>IFERROR(__xludf.DUMMYFUNCTION("""COMPUTED_VALUE"""),"https://patadovietnam.edu.vn/tai-lieu/tron-bo-mindset-for-ielts-ban-pdf/?utm_source=Facebook&amp;utm_medium=SEE&amp;utm_term=NON_NONE_none_none_040122&amp;utm_content=khac_tailieu_NON_LD092&amp;utm_campaign=MindsetforIELTS_NON_NON_DuongNB_040122")</f>
        <v>https://patadovietnam.edu.vn/tai-lieu/tron-bo-mindset-for-ielts-ban-pdf/?utm_source=Facebook&amp;utm_medium=SEE&amp;utm_term=NON_NONE_none_none_040122&amp;utm_content=khac_tailieu_NON_LD092&amp;utm_campaign=MindsetforIELTS_NON_NON_DuongNB_040122</v>
      </c>
      <c r="U47" s="56"/>
    </row>
    <row r="48">
      <c r="A48" s="72">
        <v>44565.0</v>
      </c>
      <c r="B48" s="61" t="s">
        <v>420</v>
      </c>
      <c r="C48" s="67" t="str">
        <f>IFERROR(__xludf.DUMMYFUNCTION("""COMPUTED_VALUE"""),"LD093")</f>
        <v>LD093</v>
      </c>
      <c r="D48" s="55" t="s">
        <v>42</v>
      </c>
      <c r="E48" s="55" t="s">
        <v>53</v>
      </c>
      <c r="F48" s="55" t="s">
        <v>60</v>
      </c>
      <c r="G48" s="55" t="s">
        <v>61</v>
      </c>
      <c r="H48" s="55" t="s">
        <v>341</v>
      </c>
      <c r="I48" s="55" t="s">
        <v>422</v>
      </c>
      <c r="J48" s="55" t="s">
        <v>101</v>
      </c>
      <c r="K48" s="55" t="s">
        <v>61</v>
      </c>
      <c r="L48" s="55" t="s">
        <v>70</v>
      </c>
      <c r="M48" s="55" t="s">
        <v>116</v>
      </c>
      <c r="N48" s="55" t="s">
        <v>70</v>
      </c>
      <c r="O48" s="55" t="s">
        <v>70</v>
      </c>
      <c r="P48" s="55" t="s">
        <v>70</v>
      </c>
      <c r="Q48" s="68" t="str">
        <f>IFERROR(__xludf.DUMMYFUNCTION("""COMPUTED_VALUE"""),"AcademicWritingPracticeforIELTS_NON_NON_DuongNB_040122")</f>
        <v>AcademicWritingPracticeforIELTS_NON_NON_DuongNB_040122</v>
      </c>
      <c r="R48" s="68" t="str">
        <f>IFERROR(__xludf.DUMMYFUNCTION("""COMPUTED_VALUE"""),"NON_NONE_none_none_040122")</f>
        <v>NON_NONE_none_none_040122</v>
      </c>
      <c r="S48" s="68" t="str">
        <f>IFERROR(__xludf.DUMMYFUNCTION("""COMPUTED_VALUE"""),"khac_tailieu_NON_LD093")</f>
        <v>khac_tailieu_NON_LD093</v>
      </c>
      <c r="T48" s="70" t="str">
        <f>IFERROR(__xludf.DUMMYFUNCTION("""COMPUTED_VALUE"""),"https://patadovietnam.edu.vn/tai-lieu/academic-writing-practice-for-ielts/?utm_source=Facebook&amp;utm_medium=SEE&amp;utm_term=NON_NONE_none_none_040122&amp;utm_content=khac_tailieu_NON_LD093&amp;utm_campaign=AcademicWritingPracticeforIELTS_NON_NON_DuongNB_040122")</f>
        <v>https://patadovietnam.edu.vn/tai-lieu/academic-writing-practice-for-ielts/?utm_source=Facebook&amp;utm_medium=SEE&amp;utm_term=NON_NONE_none_none_040122&amp;utm_content=khac_tailieu_NON_LD093&amp;utm_campaign=AcademicWritingPracticeforIELTS_NON_NON_DuongNB_040122</v>
      </c>
      <c r="U48" s="56"/>
    </row>
    <row r="49">
      <c r="A49" s="72">
        <v>44566.0</v>
      </c>
      <c r="B49" s="61" t="s">
        <v>425</v>
      </c>
      <c r="C49" s="67" t="str">
        <f>IFERROR(__xludf.DUMMYFUNCTION("""COMPUTED_VALUE"""),"LD094")</f>
        <v>LD094</v>
      </c>
      <c r="D49" s="55" t="s">
        <v>42</v>
      </c>
      <c r="E49" s="55" t="s">
        <v>53</v>
      </c>
      <c r="F49" s="55" t="s">
        <v>60</v>
      </c>
      <c r="G49" s="55" t="s">
        <v>61</v>
      </c>
      <c r="H49" s="55" t="s">
        <v>341</v>
      </c>
      <c r="I49" s="55" t="s">
        <v>429</v>
      </c>
      <c r="J49" s="55" t="s">
        <v>101</v>
      </c>
      <c r="K49" s="55" t="s">
        <v>61</v>
      </c>
      <c r="L49" s="55" t="s">
        <v>70</v>
      </c>
      <c r="M49" s="55" t="s">
        <v>116</v>
      </c>
      <c r="N49" s="55" t="s">
        <v>70</v>
      </c>
      <c r="O49" s="55" t="s">
        <v>70</v>
      </c>
      <c r="P49" s="55" t="s">
        <v>70</v>
      </c>
      <c r="Q49" s="68" t="str">
        <f>IFERROR(__xludf.DUMMYFUNCTION("""COMPUTED_VALUE"""),"Intensive_NON_NON_DuongNB_050122")</f>
        <v>Intensive_NON_NON_DuongNB_050122</v>
      </c>
      <c r="R49" s="68" t="str">
        <f>IFERROR(__xludf.DUMMYFUNCTION("""COMPUTED_VALUE"""),"NON_NONE_none_none_050122")</f>
        <v>NON_NONE_none_none_050122</v>
      </c>
      <c r="S49" s="68" t="str">
        <f>IFERROR(__xludf.DUMMYFUNCTION("""COMPUTED_VALUE"""),"khac_tailieu_NON_LD094")</f>
        <v>khac_tailieu_NON_LD094</v>
      </c>
      <c r="T49" s="70" t="str">
        <f>IFERROR(__xludf.DUMMYFUNCTION("""COMPUTED_VALUE"""),"https://patadovietnam.edu.vn/tai-lieu/tron-bo-intensive-ielts/?utm_source=Facebook&amp;utm_medium=SEE&amp;utm_term=NON_NONE_none_none_050122&amp;utm_content=khac_tailieu_NON_LD094&amp;utm_campaign=Intensive_NON_NON_DuongNB_050122")</f>
        <v>https://patadovietnam.edu.vn/tai-lieu/tron-bo-intensive-ielts/?utm_source=Facebook&amp;utm_medium=SEE&amp;utm_term=NON_NONE_none_none_050122&amp;utm_content=khac_tailieu_NON_LD094&amp;utm_campaign=Intensive_NON_NON_DuongNB_050122</v>
      </c>
      <c r="U49" s="56"/>
    </row>
    <row r="50">
      <c r="A50" s="72">
        <v>44569.0</v>
      </c>
      <c r="B50" s="61" t="s">
        <v>432</v>
      </c>
      <c r="C50" s="67" t="str">
        <f>IFERROR(__xludf.DUMMYFUNCTION("""COMPUTED_VALUE"""),"LD095")</f>
        <v>LD095</v>
      </c>
      <c r="D50" s="55" t="s">
        <v>42</v>
      </c>
      <c r="E50" s="55" t="s">
        <v>53</v>
      </c>
      <c r="F50" s="55" t="s">
        <v>60</v>
      </c>
      <c r="G50" s="55" t="s">
        <v>61</v>
      </c>
      <c r="H50" s="55" t="s">
        <v>341</v>
      </c>
      <c r="I50" s="55" t="s">
        <v>436</v>
      </c>
      <c r="J50" s="55" t="s">
        <v>101</v>
      </c>
      <c r="K50" s="55" t="s">
        <v>61</v>
      </c>
      <c r="L50" s="55" t="s">
        <v>70</v>
      </c>
      <c r="M50" s="55" t="s">
        <v>116</v>
      </c>
      <c r="N50" s="55" t="s">
        <v>70</v>
      </c>
      <c r="O50" s="55" t="s">
        <v>70</v>
      </c>
      <c r="P50" s="55" t="s">
        <v>70</v>
      </c>
      <c r="Q50" s="68" t="str">
        <f>IFERROR(__xludf.DUMMYFUNCTION("""COMPUTED_VALUE"""),"MarvellousTechniques_NON_NON_DuongNB_080122")</f>
        <v>MarvellousTechniques_NON_NON_DuongNB_080122</v>
      </c>
      <c r="R50" s="68" t="str">
        <f>IFERROR(__xludf.DUMMYFUNCTION("""COMPUTED_VALUE"""),"NON_NONE_none_none_080122")</f>
        <v>NON_NONE_none_none_080122</v>
      </c>
      <c r="S50" s="68" t="str">
        <f>IFERROR(__xludf.DUMMYFUNCTION("""COMPUTED_VALUE"""),"khac_tailieu_NON_LD095")</f>
        <v>khac_tailieu_NON_LD095</v>
      </c>
      <c r="T50" s="76" t="str">
        <f>IFERROR(__xludf.DUMMYFUNCTION("""COMPUTED_VALUE"""),"https://patadovietnam.edu.vn/tai-lieu/marvellous-techniques-for-ielts-writing/?utm_source=Facebook&amp;utm_medium=SEE&amp;utm_term=NON_NONE_none_none_080122&amp;utm_content=khac_tailieu_NON_LD095&amp;utm_campaign=MarvellousTechniques_NON_NON_DuongNB_080122")</f>
        <v>https://patadovietnam.edu.vn/tai-lieu/marvellous-techniques-for-ielts-writing/?utm_source=Facebook&amp;utm_medium=SEE&amp;utm_term=NON_NONE_none_none_080122&amp;utm_content=khac_tailieu_NON_LD095&amp;utm_campaign=MarvellousTechniques_NON_NON_DuongNB_080122</v>
      </c>
      <c r="U50" s="56"/>
    </row>
    <row r="51">
      <c r="A51" s="72">
        <v>44571.0</v>
      </c>
      <c r="B51" s="61" t="s">
        <v>122</v>
      </c>
      <c r="C51" s="67" t="str">
        <f>IFERROR(__xludf.DUMMYFUNCTION("""COMPUTED_VALUE"""),"LD026")</f>
        <v>LD026</v>
      </c>
      <c r="D51" s="55" t="s">
        <v>42</v>
      </c>
      <c r="E51" s="55" t="s">
        <v>53</v>
      </c>
      <c r="F51" s="55" t="s">
        <v>60</v>
      </c>
      <c r="G51" s="55" t="s">
        <v>61</v>
      </c>
      <c r="H51" s="55" t="s">
        <v>341</v>
      </c>
      <c r="I51" s="55" t="s">
        <v>445</v>
      </c>
      <c r="J51" s="55" t="s">
        <v>101</v>
      </c>
      <c r="K51" s="55" t="s">
        <v>61</v>
      </c>
      <c r="L51" s="55" t="s">
        <v>70</v>
      </c>
      <c r="M51" s="55" t="s">
        <v>116</v>
      </c>
      <c r="N51" s="55" t="s">
        <v>70</v>
      </c>
      <c r="O51" s="55" t="s">
        <v>70</v>
      </c>
      <c r="P51" s="55" t="s">
        <v>70</v>
      </c>
      <c r="Q51" s="68" t="str">
        <f>IFERROR(__xludf.DUMMYFUNCTION("""COMPUTED_VALUE"""),"EverydayConversations_NON_NON_DuongNB_100122")</f>
        <v>EverydayConversations_NON_NON_DuongNB_100122</v>
      </c>
      <c r="R51" s="68" t="str">
        <f>IFERROR(__xludf.DUMMYFUNCTION("""COMPUTED_VALUE"""),"NON_NONE_none_none_100122")</f>
        <v>NON_NONE_none_none_100122</v>
      </c>
      <c r="S51" s="68" t="str">
        <f>IFERROR(__xludf.DUMMYFUNCTION("""COMPUTED_VALUE"""),"khac_tailieu_NON_LD026")</f>
        <v>khac_tailieu_NON_LD026</v>
      </c>
      <c r="T51" s="70" t="str">
        <f>IFERROR(__xludf.DUMMYFUNCTION("""COMPUTED_VALUE"""),"https://patadovietnam.edu.vn/tai-lieu/doi-thoai-hang-ngay-everyday-conversations/?utm_source=Facebook&amp;utm_medium=SEE&amp;utm_term=NON_NONE_none_none_100122&amp;utm_content=khac_tailieu_NON_LD026&amp;utm_campaign=EverydayConversations_NON_NON_DuongNB_100122")</f>
        <v>https://patadovietnam.edu.vn/tai-lieu/doi-thoai-hang-ngay-everyday-conversations/?utm_source=Facebook&amp;utm_medium=SEE&amp;utm_term=NON_NONE_none_none_100122&amp;utm_content=khac_tailieu_NON_LD026&amp;utm_campaign=EverydayConversations_NON_NON_DuongNB_100122</v>
      </c>
      <c r="U51" s="56"/>
    </row>
    <row r="52">
      <c r="A52" s="72">
        <v>44571.0</v>
      </c>
      <c r="B52" s="61" t="s">
        <v>355</v>
      </c>
      <c r="C52" s="67" t="str">
        <f>IFERROR(__xludf.DUMMYFUNCTION("""COMPUTED_VALUE"""),"LD023")</f>
        <v>LD023</v>
      </c>
      <c r="D52" s="55" t="s">
        <v>42</v>
      </c>
      <c r="E52" s="55" t="s">
        <v>53</v>
      </c>
      <c r="F52" s="55" t="s">
        <v>60</v>
      </c>
      <c r="G52" s="55" t="s">
        <v>61</v>
      </c>
      <c r="H52" s="55" t="s">
        <v>341</v>
      </c>
      <c r="I52" s="55" t="s">
        <v>451</v>
      </c>
      <c r="J52" s="55" t="s">
        <v>101</v>
      </c>
      <c r="K52" s="55" t="s">
        <v>61</v>
      </c>
      <c r="L52" s="55" t="s">
        <v>70</v>
      </c>
      <c r="M52" s="55" t="s">
        <v>116</v>
      </c>
      <c r="N52" s="55" t="s">
        <v>70</v>
      </c>
      <c r="O52" s="55" t="s">
        <v>70</v>
      </c>
      <c r="P52" s="55" t="s">
        <v>70</v>
      </c>
      <c r="Q52" s="68" t="str">
        <f>IFERROR(__xludf.DUMMYFUNCTION("""COMPUTED_VALUE"""),"Toptips_NON_NON_DuongNB_100122")</f>
        <v>Toptips_NON_NON_DuongNB_100122</v>
      </c>
      <c r="R52" s="68" t="str">
        <f>IFERROR(__xludf.DUMMYFUNCTION("""COMPUTED_VALUE"""),"NON_NONE_none_none_100122")</f>
        <v>NON_NONE_none_none_100122</v>
      </c>
      <c r="S52" s="68" t="str">
        <f>IFERROR(__xludf.DUMMYFUNCTION("""COMPUTED_VALUE"""),"khac_tailieu_NON_LD023")</f>
        <v>khac_tailieu_NON_LD023</v>
      </c>
      <c r="T52" s="70" t="str">
        <f>IFERROR(__xludf.DUMMYFUNCTION("""COMPUTED_VALUE"""),"https://patadovietnam.edu.vn/tai-lieu/top-tips-for-ielts-academic/?utm_source=Facebook&amp;utm_medium=SEE&amp;utm_term=NON_NONE_none_none_100122&amp;utm_content=khac_tailieu_NON_LD023&amp;utm_campaign=Toptips_NON_NON_DuongNB_100122")</f>
        <v>https://patadovietnam.edu.vn/tai-lieu/top-tips-for-ielts-academic/?utm_source=Facebook&amp;utm_medium=SEE&amp;utm_term=NON_NONE_none_none_100122&amp;utm_content=khac_tailieu_NON_LD023&amp;utm_campaign=Toptips_NON_NON_DuongNB_100122</v>
      </c>
      <c r="U52" s="56"/>
    </row>
    <row r="53">
      <c r="A53" s="72">
        <v>44571.0</v>
      </c>
      <c r="B53" s="61" t="s">
        <v>331</v>
      </c>
      <c r="C53" s="67" t="str">
        <f>IFERROR(__xludf.DUMMYFUNCTION("""COMPUTED_VALUE"""),"LD054")</f>
        <v>LD054</v>
      </c>
      <c r="D53" s="55" t="s">
        <v>42</v>
      </c>
      <c r="E53" s="55" t="s">
        <v>53</v>
      </c>
      <c r="F53" s="55" t="s">
        <v>60</v>
      </c>
      <c r="G53" s="55" t="s">
        <v>61</v>
      </c>
      <c r="H53" s="55" t="s">
        <v>341</v>
      </c>
      <c r="I53" s="55" t="s">
        <v>454</v>
      </c>
      <c r="J53" s="55" t="s">
        <v>101</v>
      </c>
      <c r="K53" s="55" t="s">
        <v>61</v>
      </c>
      <c r="L53" s="55" t="s">
        <v>70</v>
      </c>
      <c r="M53" s="55" t="s">
        <v>116</v>
      </c>
      <c r="N53" s="55" t="s">
        <v>70</v>
      </c>
      <c r="O53" s="55" t="s">
        <v>70</v>
      </c>
      <c r="P53" s="55" t="s">
        <v>70</v>
      </c>
      <c r="Q53" s="68" t="str">
        <f>IFERROR(__xludf.DUMMYFUNCTION("""COMPUTED_VALUE"""),"VOCABULARYBOOSTER_NON_NON_DuongNB_100122")</f>
        <v>VOCABULARYBOOSTER_NON_NON_DuongNB_100122</v>
      </c>
      <c r="R53" s="68" t="str">
        <f>IFERROR(__xludf.DUMMYFUNCTION("""COMPUTED_VALUE"""),"NON_NONE_none_none_100122")</f>
        <v>NON_NONE_none_none_100122</v>
      </c>
      <c r="S53" s="68" t="str">
        <f>IFERROR(__xludf.DUMMYFUNCTION("""COMPUTED_VALUE"""),"khac_tailieu_NON_LD054")</f>
        <v>khac_tailieu_NON_LD054</v>
      </c>
      <c r="T53" s="70" t="str">
        <f>IFERROR(__xludf.DUMMYFUNCTION("""COMPUTED_VALUE"""),"https://patadovietnam.edu.vn/tai-lieu/ielts-vocabulary-booster/?utm_source=Facebook&amp;utm_medium=SEE&amp;utm_term=NON_NONE_none_none_100122&amp;utm_content=khac_tailieu_NON_LD054&amp;utm_campaign=VOCABULARYBOOSTER_NON_NON_DuongNB_100122")</f>
        <v>https://patadovietnam.edu.vn/tai-lieu/ielts-vocabulary-booster/?utm_source=Facebook&amp;utm_medium=SEE&amp;utm_term=NON_NONE_none_none_100122&amp;utm_content=khac_tailieu_NON_LD054&amp;utm_campaign=VOCABULARYBOOSTER_NON_NON_DuongNB_100122</v>
      </c>
      <c r="U53" s="56"/>
    </row>
    <row r="54">
      <c r="A54" s="72">
        <v>44572.0</v>
      </c>
      <c r="B54" s="61" t="s">
        <v>457</v>
      </c>
      <c r="C54" s="67" t="str">
        <f>IFERROR(__xludf.DUMMYFUNCTION("""COMPUTED_VALUE"""),"LD059")</f>
        <v>LD059</v>
      </c>
      <c r="D54" s="55" t="s">
        <v>42</v>
      </c>
      <c r="E54" s="55" t="s">
        <v>53</v>
      </c>
      <c r="F54" s="55" t="s">
        <v>60</v>
      </c>
      <c r="G54" s="55" t="s">
        <v>61</v>
      </c>
      <c r="H54" s="55" t="s">
        <v>341</v>
      </c>
      <c r="I54" s="55" t="s">
        <v>459</v>
      </c>
      <c r="J54" s="55" t="s">
        <v>101</v>
      </c>
      <c r="K54" s="55" t="s">
        <v>61</v>
      </c>
      <c r="L54" s="55" t="s">
        <v>70</v>
      </c>
      <c r="M54" s="55" t="s">
        <v>116</v>
      </c>
      <c r="N54" s="55" t="s">
        <v>70</v>
      </c>
      <c r="O54" s="55" t="s">
        <v>70</v>
      </c>
      <c r="P54" s="55" t="s">
        <v>70</v>
      </c>
      <c r="Q54" s="68" t="str">
        <f>IFERROR(__xludf.DUMMYFUNCTION("""COMPUTED_VALUE"""),"OxfordWordSkills_NON_NON_DuongNB_110122")</f>
        <v>OxfordWordSkills_NON_NON_DuongNB_110122</v>
      </c>
      <c r="R54" s="68" t="str">
        <f>IFERROR(__xludf.DUMMYFUNCTION("""COMPUTED_VALUE"""),"NON_NONE_none_none_110122")</f>
        <v>NON_NONE_none_none_110122</v>
      </c>
      <c r="S54" s="68" t="str">
        <f>IFERROR(__xludf.DUMMYFUNCTION("""COMPUTED_VALUE"""),"khac_tailieu_NON_LD059")</f>
        <v>khac_tailieu_NON_LD059</v>
      </c>
      <c r="T54" s="70" t="str">
        <f>IFERROR(__xludf.DUMMYFUNCTION("""COMPUTED_VALUE"""),"https://patadovietnam.edu.vn/tai-lieu/oxford-word-skills-basic/?utm_source=Facebook&amp;utm_medium=SEE&amp;utm_term=NON_NONE_none_none_110122&amp;utm_content=khac_tailieu_NON_LD059&amp;utm_campaign=OxfordWordSkills_NON_NON_DuongNB_110122")</f>
        <v>https://patadovietnam.edu.vn/tai-lieu/oxford-word-skills-basic/?utm_source=Facebook&amp;utm_medium=SEE&amp;utm_term=NON_NONE_none_none_110122&amp;utm_content=khac_tailieu_NON_LD059&amp;utm_campaign=OxfordWordSkills_NON_NON_DuongNB_110122</v>
      </c>
      <c r="U54" s="56"/>
    </row>
    <row r="55">
      <c r="A55" s="72">
        <v>44573.0</v>
      </c>
      <c r="B55" s="61" t="s">
        <v>254</v>
      </c>
      <c r="C55" s="67" t="str">
        <f>IFERROR(__xludf.DUMMYFUNCTION("""COMPUTED_VALUE"""),"LD053")</f>
        <v>LD053</v>
      </c>
      <c r="D55" s="55" t="s">
        <v>42</v>
      </c>
      <c r="E55" s="55" t="s">
        <v>53</v>
      </c>
      <c r="F55" s="55" t="s">
        <v>60</v>
      </c>
      <c r="G55" s="55" t="s">
        <v>61</v>
      </c>
      <c r="H55" s="55" t="s">
        <v>341</v>
      </c>
      <c r="I55" s="55" t="s">
        <v>101</v>
      </c>
      <c r="J55" s="55" t="s">
        <v>101</v>
      </c>
      <c r="K55" s="55" t="s">
        <v>61</v>
      </c>
      <c r="L55" s="55" t="s">
        <v>70</v>
      </c>
      <c r="M55" s="55" t="s">
        <v>116</v>
      </c>
      <c r="N55" s="55" t="s">
        <v>70</v>
      </c>
      <c r="O55" s="55" t="s">
        <v>70</v>
      </c>
      <c r="P55" s="55" t="s">
        <v>70</v>
      </c>
      <c r="Q55" s="79" t="str">
        <f>IFERROR(__xludf.DUMMYFUNCTION("""COMPUTED_VALUE"""),"tailieu_NON_NON_DuongNB_120122")</f>
        <v>tailieu_NON_NON_DuongNB_120122</v>
      </c>
      <c r="R55" s="68" t="str">
        <f>IFERROR(__xludf.DUMMYFUNCTION("""COMPUTED_VALUE"""),"NON_NONE_none_none_120122")</f>
        <v>NON_NONE_none_none_120122</v>
      </c>
      <c r="S55" s="68" t="str">
        <f>IFERROR(__xludf.DUMMYFUNCTION("""COMPUTED_VALUE"""),"khac_tailieu_NON_LD053")</f>
        <v>khac_tailieu_NON_LD053</v>
      </c>
      <c r="T55" s="70" t="str">
        <f>IFERROR(__xludf.DUMMYFUNCTION("""COMPUTED_VALUE"""),"https://patadovietnam.edu.vn/tai-lieu-ielts/?utm_source=Facebook&amp;utm_medium=SEE&amp;utm_term=NON_NONE_none_none_120122&amp;utm_content=khac_tailieu_NON_LD053&amp;utm_campaign=tailieu_NON_NON_DuongNB_120122")</f>
        <v>https://patadovietnam.edu.vn/tai-lieu-ielts/?utm_source=Facebook&amp;utm_medium=SEE&amp;utm_term=NON_NONE_none_none_120122&amp;utm_content=khac_tailieu_NON_LD053&amp;utm_campaign=tailieu_NON_NON_DuongNB_120122</v>
      </c>
      <c r="U55" s="56"/>
    </row>
    <row r="56">
      <c r="A56" s="72">
        <v>44574.0</v>
      </c>
      <c r="B56" s="61" t="s">
        <v>343</v>
      </c>
      <c r="C56" s="81" t="str">
        <f>IFERROR(__xludf.DUMMYFUNCTION("""COMPUTED_VALUE"""),"LD016")</f>
        <v>LD016</v>
      </c>
      <c r="D56" s="55" t="s">
        <v>42</v>
      </c>
      <c r="E56" s="55" t="s">
        <v>53</v>
      </c>
      <c r="F56" s="55" t="s">
        <v>60</v>
      </c>
      <c r="G56" s="55" t="s">
        <v>61</v>
      </c>
      <c r="H56" s="55" t="s">
        <v>341</v>
      </c>
      <c r="I56" s="55" t="s">
        <v>473</v>
      </c>
      <c r="J56" s="55" t="s">
        <v>101</v>
      </c>
      <c r="K56" s="55" t="s">
        <v>61</v>
      </c>
      <c r="L56" s="55" t="s">
        <v>70</v>
      </c>
      <c r="M56" s="55" t="s">
        <v>116</v>
      </c>
      <c r="N56" s="55" t="s">
        <v>70</v>
      </c>
      <c r="O56" s="55" t="s">
        <v>70</v>
      </c>
      <c r="P56" s="55" t="s">
        <v>70</v>
      </c>
      <c r="Q56" s="68" t="str">
        <f>IFERROR(__xludf.DUMMYFUNCTION("""COMPUTED_VALUE"""),"focusonacademicskillsforielts_NON_NON_DuongNB_130122")</f>
        <v>focusonacademicskillsforielts_NON_NON_DuongNB_130122</v>
      </c>
      <c r="R56" s="68" t="str">
        <f>IFERROR(__xludf.DUMMYFUNCTION("""COMPUTED_VALUE"""),"NON_NONE_none_none_130122")</f>
        <v>NON_NONE_none_none_130122</v>
      </c>
      <c r="S56" s="68" t="str">
        <f>IFERROR(__xludf.DUMMYFUNCTION("""COMPUTED_VALUE"""),"khac_tailieu_NON_LD016")</f>
        <v>khac_tailieu_NON_LD016</v>
      </c>
      <c r="T56" s="70" t="str">
        <f>IFERROR(__xludf.DUMMYFUNCTION("""COMPUTED_VALUE"""),"https://patadovietnam.edu.vn/tai-lieu/focus-on-academic-skills-for-ielts/?utm_source=Facebook&amp;utm_medium=SEE&amp;utm_term=NON_NONE_none_none_130122&amp;utm_content=khac_tailieu_NON_LD016&amp;utm_campaign=focusonacademicskillsforielts_NON_NON_DuongNB_130122")</f>
        <v>https://patadovietnam.edu.vn/tai-lieu/focus-on-academic-skills-for-ielts/?utm_source=Facebook&amp;utm_medium=SEE&amp;utm_term=NON_NONE_none_none_130122&amp;utm_content=khac_tailieu_NON_LD016&amp;utm_campaign=focusonacademicskillsforielts_NON_NON_DuongNB_130122</v>
      </c>
      <c r="U56" s="56"/>
    </row>
    <row r="57">
      <c r="A57" s="72">
        <v>44575.0</v>
      </c>
      <c r="B57" s="61" t="s">
        <v>479</v>
      </c>
      <c r="C57" s="67" t="str">
        <f>IFERROR(__xludf.DUMMYFUNCTION("""COMPUTED_VALUE"""),"LD040")</f>
        <v>LD040</v>
      </c>
      <c r="D57" s="55" t="s">
        <v>42</v>
      </c>
      <c r="E57" s="55" t="s">
        <v>53</v>
      </c>
      <c r="F57" s="55" t="s">
        <v>60</v>
      </c>
      <c r="G57" s="55" t="s">
        <v>61</v>
      </c>
      <c r="H57" s="55" t="s">
        <v>341</v>
      </c>
      <c r="I57" s="55" t="s">
        <v>481</v>
      </c>
      <c r="J57" s="55" t="s">
        <v>101</v>
      </c>
      <c r="K57" s="55" t="s">
        <v>61</v>
      </c>
      <c r="L57" s="55" t="s">
        <v>70</v>
      </c>
      <c r="M57" s="55" t="s">
        <v>116</v>
      </c>
      <c r="N57" s="55" t="s">
        <v>70</v>
      </c>
      <c r="O57" s="55" t="s">
        <v>70</v>
      </c>
      <c r="P57" s="55" t="s">
        <v>70</v>
      </c>
      <c r="Q57" s="68" t="str">
        <f>IFERROR(__xludf.DUMMYFUNCTION("""COMPUTED_VALUE"""),"3000tuvung_NON_NON_DuongNB_140122")</f>
        <v>3000tuvung_NON_NON_DuongNB_140122</v>
      </c>
      <c r="R57" s="68" t="str">
        <f>IFERROR(__xludf.DUMMYFUNCTION("""COMPUTED_VALUE"""),"NON_NONE_none_none_140122")</f>
        <v>NON_NONE_none_none_140122</v>
      </c>
      <c r="S57" s="68" t="str">
        <f>IFERROR(__xludf.DUMMYFUNCTION("""COMPUTED_VALUE"""),"khac_tailieu_NON_LD040")</f>
        <v>khac_tailieu_NON_LD040</v>
      </c>
      <c r="T57" s="70" t="str">
        <f>IFERROR(__xludf.DUMMYFUNCTION("""COMPUTED_VALUE"""),"https://patadovietnam.edu.vn/tai-lieu/3000-tu-vung-tieng-anh/?utm_source=Facebook&amp;utm_medium=SEE&amp;utm_term=NON_NONE_none_none_140122&amp;utm_content=khac_tailieu_NON_LD040&amp;utm_campaign=3000tuvung_NON_NON_DuongNB_140122")</f>
        <v>https://patadovietnam.edu.vn/tai-lieu/3000-tu-vung-tieng-anh/?utm_source=Facebook&amp;utm_medium=SEE&amp;utm_term=NON_NONE_none_none_140122&amp;utm_content=khac_tailieu_NON_LD040&amp;utm_campaign=3000tuvung_NON_NON_DuongNB_140122</v>
      </c>
      <c r="U57" s="56"/>
    </row>
    <row r="58">
      <c r="A58" s="72">
        <v>44578.0</v>
      </c>
      <c r="B58" s="61" t="s">
        <v>486</v>
      </c>
      <c r="C58" s="81" t="str">
        <f>IFERROR(__xludf.DUMMYFUNCTION("""COMPUTED_VALUE"""),"LD097")</f>
        <v>LD097</v>
      </c>
      <c r="D58" s="55" t="s">
        <v>42</v>
      </c>
      <c r="E58" s="55" t="s">
        <v>53</v>
      </c>
      <c r="F58" s="55" t="s">
        <v>60</v>
      </c>
      <c r="G58" s="55" t="s">
        <v>61</v>
      </c>
      <c r="H58" s="55" t="s">
        <v>341</v>
      </c>
      <c r="I58" s="55" t="s">
        <v>490</v>
      </c>
      <c r="J58" s="55" t="s">
        <v>101</v>
      </c>
      <c r="K58" s="55" t="s">
        <v>61</v>
      </c>
      <c r="L58" s="55" t="s">
        <v>70</v>
      </c>
      <c r="M58" s="55" t="s">
        <v>116</v>
      </c>
      <c r="N58" s="55" t="s">
        <v>70</v>
      </c>
      <c r="O58" s="55" t="s">
        <v>70</v>
      </c>
      <c r="P58" s="55" t="s">
        <v>70</v>
      </c>
      <c r="Q58" s="68" t="str">
        <f>IFERROR(__xludf.DUMMYFUNCTION("""COMPUTED_VALUE"""),"4000ESSENTIAL_NON_NON_DuongNB_170122")</f>
        <v>4000ESSENTIAL_NON_NON_DuongNB_170122</v>
      </c>
      <c r="R58" s="68" t="str">
        <f>IFERROR(__xludf.DUMMYFUNCTION("""COMPUTED_VALUE"""),"NON_NONE_none_none_170122")</f>
        <v>NON_NONE_none_none_170122</v>
      </c>
      <c r="S58" s="68" t="str">
        <f>IFERROR(__xludf.DUMMYFUNCTION("""COMPUTED_VALUE"""),"khac_tailieu_NON_LD097")</f>
        <v>khac_tailieu_NON_LD097</v>
      </c>
      <c r="T58" s="70" t="str">
        <f>IFERROR(__xludf.DUMMYFUNCTION("""COMPUTED_VALUE"""),"https://patadovietnam.edu.vn/tai-lieu/bo-4000-essential-english-words/?utm_source=Facebook&amp;utm_medium=SEE&amp;utm_term=NON_NONE_none_none_170122&amp;utm_content=khac_tailieu_NON_LD097&amp;utm_campaign=4000ESSENTIAL_NON_NON_DuongNB_170122")</f>
        <v>https://patadovietnam.edu.vn/tai-lieu/bo-4000-essential-english-words/?utm_source=Facebook&amp;utm_medium=SEE&amp;utm_term=NON_NONE_none_none_170122&amp;utm_content=khac_tailieu_NON_LD097&amp;utm_campaign=4000ESSENTIAL_NON_NON_DuongNB_170122</v>
      </c>
      <c r="U58" s="56"/>
    </row>
    <row r="59">
      <c r="A59" s="72">
        <v>44579.0</v>
      </c>
      <c r="B59" s="61" t="s">
        <v>143</v>
      </c>
      <c r="C59" s="67" t="str">
        <f>IFERROR(__xludf.DUMMYFUNCTION("""COMPUTED_VALUE"""),"LD098")</f>
        <v>LD098</v>
      </c>
      <c r="D59" s="55" t="s">
        <v>42</v>
      </c>
      <c r="E59" s="55" t="s">
        <v>53</v>
      </c>
      <c r="F59" s="55" t="s">
        <v>60</v>
      </c>
      <c r="G59" s="55" t="s">
        <v>61</v>
      </c>
      <c r="H59" s="55" t="s">
        <v>341</v>
      </c>
      <c r="I59" s="55" t="s">
        <v>499</v>
      </c>
      <c r="J59" s="55" t="s">
        <v>101</v>
      </c>
      <c r="K59" s="55" t="s">
        <v>61</v>
      </c>
      <c r="L59" s="55" t="s">
        <v>70</v>
      </c>
      <c r="M59" s="55" t="s">
        <v>116</v>
      </c>
      <c r="N59" s="55" t="s">
        <v>70</v>
      </c>
      <c r="O59" s="55" t="s">
        <v>70</v>
      </c>
      <c r="P59" s="55" t="s">
        <v>70</v>
      </c>
      <c r="Q59" s="68" t="str">
        <f>IFERROR(__xludf.DUMMYFUNCTION("""COMPUTED_VALUE"""),"EnglishMadeEasyVloume1_NON_NON_DuongNB_180122")</f>
        <v>EnglishMadeEasyVloume1_NON_NON_DuongNB_180122</v>
      </c>
      <c r="R59" s="68" t="str">
        <f>IFERROR(__xludf.DUMMYFUNCTION("""COMPUTED_VALUE"""),"NON_NONE_none_none_180122")</f>
        <v>NON_NONE_none_none_180122</v>
      </c>
      <c r="S59" s="68" t="str">
        <f>IFERROR(__xludf.DUMMYFUNCTION("""COMPUTED_VALUE"""),"khac_tailieu_NON_LD098")</f>
        <v>khac_tailieu_NON_LD098</v>
      </c>
      <c r="T59" s="70" t="str">
        <f>IFERROR(__xludf.DUMMYFUNCTION("""COMPUTED_VALUE"""),"https://patadovietnam.edu.vn/tai-lieu/english-made-easy/?utm_source=Facebook&amp;utm_medium=SEE&amp;utm_term=NON_NONE_none_none_180122&amp;utm_content=khac_tailieu_NON_LD098&amp;utm_campaign=EnglishMadeEasyVloume1_NON_NON_DuongNB_180122")</f>
        <v>https://patadovietnam.edu.vn/tai-lieu/english-made-easy/?utm_source=Facebook&amp;utm_medium=SEE&amp;utm_term=NON_NONE_none_none_180122&amp;utm_content=khac_tailieu_NON_LD098&amp;utm_campaign=EnglishMadeEasyVloume1_NON_NON_DuongNB_180122</v>
      </c>
      <c r="U59" s="56"/>
    </row>
    <row r="60">
      <c r="A60" s="72">
        <v>44579.0</v>
      </c>
      <c r="B60" s="61" t="s">
        <v>345</v>
      </c>
      <c r="C60" s="67" t="str">
        <f>IFERROR(__xludf.DUMMYFUNCTION("""COMPUTED_VALUE"""),"LD018")</f>
        <v>LD018</v>
      </c>
      <c r="D60" s="55" t="s">
        <v>42</v>
      </c>
      <c r="E60" s="55" t="s">
        <v>53</v>
      </c>
      <c r="F60" s="55" t="s">
        <v>60</v>
      </c>
      <c r="G60" s="55" t="s">
        <v>61</v>
      </c>
      <c r="H60" s="55" t="s">
        <v>341</v>
      </c>
      <c r="I60" s="55" t="s">
        <v>503</v>
      </c>
      <c r="J60" s="55" t="s">
        <v>101</v>
      </c>
      <c r="K60" s="55" t="s">
        <v>61</v>
      </c>
      <c r="L60" s="55" t="s">
        <v>70</v>
      </c>
      <c r="M60" s="55" t="s">
        <v>116</v>
      </c>
      <c r="N60" s="55" t="s">
        <v>70</v>
      </c>
      <c r="O60" s="55" t="s">
        <v>70</v>
      </c>
      <c r="P60" s="55" t="s">
        <v>70</v>
      </c>
      <c r="Q60" s="68" t="str">
        <f>IFERROR(__xludf.DUMMYFUNCTION("""COMPUTED_VALUE"""),"CambridgeGrammarforIELTS_NON_NON_DuongNB_180122")</f>
        <v>CambridgeGrammarforIELTS_NON_NON_DuongNB_180122</v>
      </c>
      <c r="R60" s="68" t="str">
        <f>IFERROR(__xludf.DUMMYFUNCTION("""COMPUTED_VALUE"""),"NON_NONE_none_none_180122")</f>
        <v>NON_NONE_none_none_180122</v>
      </c>
      <c r="S60" s="68" t="str">
        <f>IFERROR(__xludf.DUMMYFUNCTION("""COMPUTED_VALUE"""),"khac_tailieu_NON_LD018")</f>
        <v>khac_tailieu_NON_LD018</v>
      </c>
      <c r="T60" s="70" t="str">
        <f>IFERROR(__xludf.DUMMYFUNCTION("""COMPUTED_VALUE"""),"https://patadovietnam.edu.vn/tai-lieu/cambridge-grammar-for-ielts/?utm_source=Facebook&amp;utm_medium=SEE&amp;utm_term=NON_NONE_none_none_180122&amp;utm_content=khac_tailieu_NON_LD018&amp;utm_campaign=CambridgeGrammarforIELTS_NON_NON_DuongNB_180122")</f>
        <v>https://patadovietnam.edu.vn/tai-lieu/cambridge-grammar-for-ielts/?utm_source=Facebook&amp;utm_medium=SEE&amp;utm_term=NON_NONE_none_none_180122&amp;utm_content=khac_tailieu_NON_LD018&amp;utm_campaign=CambridgeGrammarforIELTS_NON_NON_DuongNB_180122</v>
      </c>
      <c r="U60" s="56"/>
    </row>
    <row r="61">
      <c r="A61" s="72">
        <v>44581.0</v>
      </c>
      <c r="B61" s="61" t="s">
        <v>507</v>
      </c>
      <c r="C61" s="67" t="str">
        <f>IFERROR(__xludf.DUMMYFUNCTION("""COMPUTED_VALUE"""),"LD099")</f>
        <v>LD099</v>
      </c>
      <c r="D61" s="55" t="s">
        <v>42</v>
      </c>
      <c r="E61" s="55" t="s">
        <v>53</v>
      </c>
      <c r="F61" s="55" t="s">
        <v>60</v>
      </c>
      <c r="G61" s="55" t="s">
        <v>61</v>
      </c>
      <c r="H61" s="55" t="s">
        <v>341</v>
      </c>
      <c r="I61" s="55" t="s">
        <v>511</v>
      </c>
      <c r="J61" s="55" t="s">
        <v>101</v>
      </c>
      <c r="K61" s="55" t="s">
        <v>61</v>
      </c>
      <c r="L61" s="55" t="s">
        <v>70</v>
      </c>
      <c r="M61" s="55" t="s">
        <v>116</v>
      </c>
      <c r="N61" s="55" t="s">
        <v>70</v>
      </c>
      <c r="O61" s="55" t="s">
        <v>70</v>
      </c>
      <c r="P61" s="55" t="s">
        <v>70</v>
      </c>
      <c r="Q61" s="68" t="str">
        <f>IFERROR(__xludf.DUMMYFUNCTION("""COMPUTED_VALUE"""),"ENGLISHCOLLOCATIONS_NON_NON_DuongNB_200122")</f>
        <v>ENGLISHCOLLOCATIONS_NON_NON_DuongNB_200122</v>
      </c>
      <c r="R61" s="68" t="str">
        <f>IFERROR(__xludf.DUMMYFUNCTION("""COMPUTED_VALUE"""),"NON_NONE_none_none_200122")</f>
        <v>NON_NONE_none_none_200122</v>
      </c>
      <c r="S61" s="68" t="str">
        <f>IFERROR(__xludf.DUMMYFUNCTION("""COMPUTED_VALUE"""),"khac_tailieu_NON_LD099")</f>
        <v>khac_tailieu_NON_LD099</v>
      </c>
      <c r="T61" s="70" t="str">
        <f>IFERROR(__xludf.DUMMYFUNCTION("""COMPUTED_VALUE"""),"https://patadovietnam.edu.vn/tai-lieu/english-collocations-in-use/?utm_source=Facebook&amp;utm_medium=SEE&amp;utm_term=NON_NONE_none_none_200122&amp;utm_content=khac_tailieu_NON_LD099&amp;utm_campaign=ENGLISHCOLLOCATIONS_NON_NON_DuongNB_200122")</f>
        <v>https://patadovietnam.edu.vn/tai-lieu/english-collocations-in-use/?utm_source=Facebook&amp;utm_medium=SEE&amp;utm_term=NON_NONE_none_none_200122&amp;utm_content=khac_tailieu_NON_LD099&amp;utm_campaign=ENGLISHCOLLOCATIONS_NON_NON_DuongNB_200122</v>
      </c>
      <c r="U61" s="56"/>
    </row>
    <row r="62">
      <c r="A62" s="72">
        <v>44582.0</v>
      </c>
      <c r="B62" s="61" t="s">
        <v>516</v>
      </c>
      <c r="C62" s="67" t="str">
        <f>IFERROR(__xludf.DUMMYFUNCTION("""COMPUTED_VALUE"""),"LD100")</f>
        <v>LD100</v>
      </c>
      <c r="D62" s="55" t="s">
        <v>42</v>
      </c>
      <c r="E62" s="55" t="s">
        <v>53</v>
      </c>
      <c r="F62" s="55" t="s">
        <v>60</v>
      </c>
      <c r="G62" s="55" t="s">
        <v>61</v>
      </c>
      <c r="H62" s="55" t="s">
        <v>341</v>
      </c>
      <c r="I62" s="55" t="s">
        <v>521</v>
      </c>
      <c r="J62" s="55" t="s">
        <v>101</v>
      </c>
      <c r="K62" s="55" t="s">
        <v>61</v>
      </c>
      <c r="L62" s="55" t="s">
        <v>70</v>
      </c>
      <c r="M62" s="55" t="s">
        <v>116</v>
      </c>
      <c r="N62" s="55" t="s">
        <v>70</v>
      </c>
      <c r="O62" s="55" t="s">
        <v>70</v>
      </c>
      <c r="P62" s="55" t="s">
        <v>70</v>
      </c>
      <c r="Q62" s="68" t="str">
        <f>IFERROR(__xludf.DUMMYFUNCTION("""COMPUTED_VALUE"""),"tronbocambridge_NON_NON_DuongNB_210122")</f>
        <v>tronbocambridge_NON_NON_DuongNB_210122</v>
      </c>
      <c r="R62" s="68" t="str">
        <f>IFERROR(__xludf.DUMMYFUNCTION("""COMPUTED_VALUE"""),"NON_NONE_none_none_210122")</f>
        <v>NON_NONE_none_none_210122</v>
      </c>
      <c r="S62" s="68" t="str">
        <f>IFERROR(__xludf.DUMMYFUNCTION("""COMPUTED_VALUE"""),"khac_tailieu_NON_LD100")</f>
        <v>khac_tailieu_NON_LD100</v>
      </c>
      <c r="T62" s="70" t="str">
        <f>IFERROR(__xludf.DUMMYFUNCTION("""COMPUTED_VALUE"""),"https://patadovietnam.edu.vn/tai-lieu/tron-bo-cambridge-ielts-1-15/?utm_source=Facebook&amp;utm_medium=SEE&amp;utm_term=NON_NONE_none_none_210122&amp;utm_content=khac_tailieu_NON_LD100&amp;utm_campaign=tronbocambridge_NON_NON_DuongNB_210122")</f>
        <v>https://patadovietnam.edu.vn/tai-lieu/tron-bo-cambridge-ielts-1-15/?utm_source=Facebook&amp;utm_medium=SEE&amp;utm_term=NON_NONE_none_none_210122&amp;utm_content=khac_tailieu_NON_LD100&amp;utm_campaign=tronbocambridge_NON_NON_DuongNB_210122</v>
      </c>
      <c r="U62" s="56"/>
    </row>
    <row r="63">
      <c r="A63" s="72">
        <v>44585.0</v>
      </c>
      <c r="B63" s="61" t="s">
        <v>525</v>
      </c>
      <c r="C63" s="67" t="str">
        <f>IFERROR(__xludf.DUMMYFUNCTION("""COMPUTED_VALUE"""),"LD101")</f>
        <v>LD101</v>
      </c>
      <c r="D63" s="55" t="s">
        <v>42</v>
      </c>
      <c r="E63" s="55" t="s">
        <v>53</v>
      </c>
      <c r="F63" s="55" t="s">
        <v>60</v>
      </c>
      <c r="G63" s="55" t="s">
        <v>61</v>
      </c>
      <c r="H63" s="55" t="s">
        <v>341</v>
      </c>
      <c r="I63" s="55" t="s">
        <v>527</v>
      </c>
      <c r="J63" s="55" t="s">
        <v>101</v>
      </c>
      <c r="K63" s="55" t="s">
        <v>61</v>
      </c>
      <c r="L63" s="55" t="s">
        <v>70</v>
      </c>
      <c r="M63" s="55" t="s">
        <v>116</v>
      </c>
      <c r="N63" s="55" t="s">
        <v>70</v>
      </c>
      <c r="O63" s="55" t="s">
        <v>70</v>
      </c>
      <c r="P63" s="55" t="s">
        <v>70</v>
      </c>
      <c r="Q63" s="68" t="str">
        <f>IFERROR(__xludf.DUMMYFUNCTION("""COMPUTED_VALUE"""),"barron_NON_NON_DuongNB_240122")</f>
        <v>barron_NON_NON_DuongNB_240122</v>
      </c>
      <c r="R63" s="68" t="str">
        <f>IFERROR(__xludf.DUMMYFUNCTION("""COMPUTED_VALUE"""),"NON_NONE_none_none_240122")</f>
        <v>NON_NONE_none_none_240122</v>
      </c>
      <c r="S63" s="68" t="str">
        <f>IFERROR(__xludf.DUMMYFUNCTION("""COMPUTED_VALUE"""),"khac_tailieu_NON_LD101")</f>
        <v>khac_tailieu_NON_LD101</v>
      </c>
      <c r="T63" s="70" t="str">
        <f>IFERROR(__xludf.DUMMYFUNCTION("""COMPUTED_VALUE"""),"https://patadovietnam.edu.vn/tai-lieu/tron-bo-barrons-ielts/?utm_source=Facebook&amp;utm_medium=SEE&amp;utm_term=NON_NONE_none_none_240122&amp;utm_content=khac_tailieu_NON_LD101&amp;utm_campaign=barron_NON_NON_DuongNB_240122")</f>
        <v>https://patadovietnam.edu.vn/tai-lieu/tron-bo-barrons-ielts/?utm_source=Facebook&amp;utm_medium=SEE&amp;utm_term=NON_NONE_none_none_240122&amp;utm_content=khac_tailieu_NON_LD101&amp;utm_campaign=barron_NON_NON_DuongNB_240122</v>
      </c>
      <c r="U63" s="56"/>
    </row>
    <row r="64">
      <c r="A64" s="72">
        <v>44587.0</v>
      </c>
      <c r="B64" s="61" t="s">
        <v>291</v>
      </c>
      <c r="C64" s="67" t="str">
        <f>IFERROR(__xludf.DUMMYFUNCTION("""COMPUTED_VALUE"""),"LD058")</f>
        <v>LD058</v>
      </c>
      <c r="D64" s="55" t="s">
        <v>42</v>
      </c>
      <c r="E64" s="55" t="s">
        <v>53</v>
      </c>
      <c r="F64" s="55" t="s">
        <v>60</v>
      </c>
      <c r="G64" s="55" t="s">
        <v>61</v>
      </c>
      <c r="H64" s="55" t="s">
        <v>341</v>
      </c>
      <c r="I64" s="55" t="s">
        <v>532</v>
      </c>
      <c r="J64" s="55" t="s">
        <v>101</v>
      </c>
      <c r="K64" s="55" t="s">
        <v>61</v>
      </c>
      <c r="L64" s="55" t="s">
        <v>70</v>
      </c>
      <c r="M64" s="55" t="s">
        <v>116</v>
      </c>
      <c r="N64" s="55" t="s">
        <v>70</v>
      </c>
      <c r="O64" s="55" t="s">
        <v>70</v>
      </c>
      <c r="P64" s="55" t="s">
        <v>70</v>
      </c>
      <c r="Q64" s="68" t="str">
        <f>IFERROR(__xludf.DUMMYFUNCTION("""COMPUTED_VALUE"""),"complete_NON_NON_DuongNB_260122")</f>
        <v>complete_NON_NON_DuongNB_260122</v>
      </c>
      <c r="R64" s="68" t="str">
        <f>IFERROR(__xludf.DUMMYFUNCTION("""COMPUTED_VALUE"""),"NON_NONE_none_none_260122")</f>
        <v>NON_NONE_none_none_260122</v>
      </c>
      <c r="S64" s="68" t="str">
        <f>IFERROR(__xludf.DUMMYFUNCTION("""COMPUTED_VALUE"""),"khac_tailieu_NON_LD058")</f>
        <v>khac_tailieu_NON_LD058</v>
      </c>
      <c r="T64" s="70" t="str">
        <f>IFERROR(__xludf.DUMMYFUNCTION("""COMPUTED_VALUE"""),"https://patadovietnam.edu.vn/tai-lieu/bo-complete-ielts/?utm_source=Facebook&amp;utm_medium=SEE&amp;utm_term=NON_NONE_none_none_260122&amp;utm_content=khac_tailieu_NON_LD058&amp;utm_campaign=complete_NON_NON_DuongNB_260122")</f>
        <v>https://patadovietnam.edu.vn/tai-lieu/bo-complete-ielts/?utm_source=Facebook&amp;utm_medium=SEE&amp;utm_term=NON_NONE_none_none_260122&amp;utm_content=khac_tailieu_NON_LD058&amp;utm_campaign=complete_NON_NON_DuongNB_260122</v>
      </c>
      <c r="U64" s="56"/>
    </row>
    <row r="65">
      <c r="A65" s="72">
        <v>44600.0</v>
      </c>
      <c r="B65" s="61" t="s">
        <v>535</v>
      </c>
      <c r="C65" s="67" t="str">
        <f>IFERROR(__xludf.DUMMYFUNCTION("""COMPUTED_VALUE"""),"LD102")</f>
        <v>LD102</v>
      </c>
      <c r="D65" s="55" t="s">
        <v>42</v>
      </c>
      <c r="E65" s="55" t="s">
        <v>53</v>
      </c>
      <c r="F65" s="55" t="s">
        <v>60</v>
      </c>
      <c r="G65" s="55" t="s">
        <v>61</v>
      </c>
      <c r="H65" s="55" t="s">
        <v>341</v>
      </c>
      <c r="I65" s="55" t="s">
        <v>543</v>
      </c>
      <c r="J65" s="55" t="s">
        <v>101</v>
      </c>
      <c r="K65" s="55" t="s">
        <v>61</v>
      </c>
      <c r="L65" s="55" t="s">
        <v>70</v>
      </c>
      <c r="M65" s="55" t="s">
        <v>116</v>
      </c>
      <c r="N65" s="55" t="s">
        <v>70</v>
      </c>
      <c r="O65" s="55" t="s">
        <v>70</v>
      </c>
      <c r="P65" s="55" t="s">
        <v>70</v>
      </c>
      <c r="Q65" s="68" t="str">
        <f>IFERROR(__xludf.DUMMYFUNCTION("""COMPUTED_VALUE"""),"TheOfficialCambridge_NON_NON_DuongNB_080222")</f>
        <v>TheOfficialCambridge_NON_NON_DuongNB_080222</v>
      </c>
      <c r="R65" s="68" t="str">
        <f>IFERROR(__xludf.DUMMYFUNCTION("""COMPUTED_VALUE"""),"NON_NONE_none_none_080222")</f>
        <v>NON_NONE_none_none_080222</v>
      </c>
      <c r="S65" s="68" t="str">
        <f>IFERROR(__xludf.DUMMYFUNCTION("""COMPUTED_VALUE"""),"khac_tailieu_NON_LD102")</f>
        <v>khac_tailieu_NON_LD102</v>
      </c>
      <c r="T65" s="70" t="str">
        <f>IFERROR(__xludf.DUMMYFUNCTION("""COMPUTED_VALUE"""),"https://patadovietnam.edu.vn/tai-lieu/the-official-cambridge-guide-to-ielts/?utm_source=Facebook&amp;utm_medium=SEE&amp;utm_term=NON_NONE_none_none_080222&amp;utm_content=khac_tailieu_NON_LD102&amp;utm_campaign=TheOfficialCambridge_NON_NON_DuongNB_080222")</f>
        <v>https://patadovietnam.edu.vn/tai-lieu/the-official-cambridge-guide-to-ielts/?utm_source=Facebook&amp;utm_medium=SEE&amp;utm_term=NON_NONE_none_none_080222&amp;utm_content=khac_tailieu_NON_LD102&amp;utm_campaign=TheOfficialCambridge_NON_NON_DuongNB_080222</v>
      </c>
      <c r="U65" s="56"/>
    </row>
    <row r="66">
      <c r="A66" s="72">
        <v>44601.0</v>
      </c>
      <c r="B66" s="61" t="s">
        <v>548</v>
      </c>
      <c r="C66" s="67" t="str">
        <f>IFERROR(__xludf.DUMMYFUNCTION("""COMPUTED_VALUE"""),"LD103")</f>
        <v>LD103</v>
      </c>
      <c r="D66" s="55" t="s">
        <v>42</v>
      </c>
      <c r="E66" s="55" t="s">
        <v>53</v>
      </c>
      <c r="F66" s="55" t="s">
        <v>60</v>
      </c>
      <c r="G66" s="55" t="s">
        <v>61</v>
      </c>
      <c r="H66" s="55" t="s">
        <v>341</v>
      </c>
      <c r="I66" s="55" t="s">
        <v>551</v>
      </c>
      <c r="J66" s="55" t="s">
        <v>101</v>
      </c>
      <c r="K66" s="55" t="s">
        <v>61</v>
      </c>
      <c r="L66" s="55" t="s">
        <v>70</v>
      </c>
      <c r="M66" s="55" t="s">
        <v>116</v>
      </c>
      <c r="N66" s="55" t="s">
        <v>70</v>
      </c>
      <c r="O66" s="55" t="s">
        <v>70</v>
      </c>
      <c r="P66" s="55" t="s">
        <v>70</v>
      </c>
      <c r="Q66" s="68" t="str">
        <f>IFERROR(__xludf.DUMMYFUNCTION("""COMPUTED_VALUE"""),"FocusonIELTSFoundation_NON_NON_DuongNB_090222")</f>
        <v>FocusonIELTSFoundation_NON_NON_DuongNB_090222</v>
      </c>
      <c r="R66" s="68" t="str">
        <f>IFERROR(__xludf.DUMMYFUNCTION("""COMPUTED_VALUE"""),"NON_NONE_none_none_090222")</f>
        <v>NON_NONE_none_none_090222</v>
      </c>
      <c r="S66" s="68" t="str">
        <f>IFERROR(__xludf.DUMMYFUNCTION("""COMPUTED_VALUE"""),"khac_tailieu_NON_LD103")</f>
        <v>khac_tailieu_NON_LD103</v>
      </c>
      <c r="T66" s="70" t="str">
        <f>IFERROR(__xludf.DUMMYFUNCTION("""COMPUTED_VALUE"""),"https://patadovietnam.edu.vn/tai-lieu/focus-on-ielts-foundation/?utm_source=Facebook&amp;utm_medium=SEE&amp;utm_term=NON_NONE_none_none_090222&amp;utm_content=khac_tailieu_NON_LD103&amp;utm_campaign=FocusonIELTSFoundation_NON_NON_DuongNB_090222")</f>
        <v>https://patadovietnam.edu.vn/tai-lieu/focus-on-ielts-foundation/?utm_source=Facebook&amp;utm_medium=SEE&amp;utm_term=NON_NONE_none_none_090222&amp;utm_content=khac_tailieu_NON_LD103&amp;utm_campaign=FocusonIELTSFoundation_NON_NON_DuongNB_090222</v>
      </c>
      <c r="U66" s="56"/>
    </row>
    <row r="67">
      <c r="A67" s="72">
        <v>44603.0</v>
      </c>
      <c r="B67" s="61" t="s">
        <v>556</v>
      </c>
      <c r="C67" s="67" t="str">
        <f>IFERROR(__xludf.DUMMYFUNCTION("""COMPUTED_VALUE"""),"LD104")</f>
        <v>LD104</v>
      </c>
      <c r="D67" s="55" t="s">
        <v>42</v>
      </c>
      <c r="E67" s="55" t="s">
        <v>53</v>
      </c>
      <c r="F67" s="55" t="s">
        <v>60</v>
      </c>
      <c r="G67" s="55" t="s">
        <v>61</v>
      </c>
      <c r="H67" s="55" t="s">
        <v>341</v>
      </c>
      <c r="I67" s="55" t="s">
        <v>560</v>
      </c>
      <c r="J67" s="55" t="s">
        <v>101</v>
      </c>
      <c r="K67" s="55" t="s">
        <v>61</v>
      </c>
      <c r="L67" s="55" t="s">
        <v>70</v>
      </c>
      <c r="M67" s="55" t="s">
        <v>116</v>
      </c>
      <c r="N67" s="55" t="s">
        <v>70</v>
      </c>
      <c r="O67" s="55" t="s">
        <v>70</v>
      </c>
      <c r="P67" s="55" t="s">
        <v>70</v>
      </c>
      <c r="Q67" s="68" t="str">
        <f>IFERROR(__xludf.DUMMYFUNCTION("""COMPUTED_VALUE"""),"EssentialWriting_NON_NON_DuongNB_110222")</f>
        <v>EssentialWriting_NON_NON_DuongNB_110222</v>
      </c>
      <c r="R67" s="68" t="str">
        <f>IFERROR(__xludf.DUMMYFUNCTION("""COMPUTED_VALUE"""),"NON_NONE_none_none_110222")</f>
        <v>NON_NONE_none_none_110222</v>
      </c>
      <c r="S67" s="68" t="str">
        <f>IFERROR(__xludf.DUMMYFUNCTION("""COMPUTED_VALUE"""),"khac_tailieu_NON_LD104")</f>
        <v>khac_tailieu_NON_LD104</v>
      </c>
      <c r="T67" s="70" t="str">
        <f>IFERROR(__xludf.DUMMYFUNCTION("""COMPUTED_VALUE"""),"https://patadovietnam.edu.vn/tai-lieu/essential-phonetics-for-ielts/?utm_source=Facebook&amp;utm_medium=SEE&amp;utm_term=NON_NONE_none_none_110222&amp;utm_content=khac_tailieu_NON_LD104&amp;utm_campaign=EssentialWriting_NON_NON_DuongNB_110222")</f>
        <v>https://patadovietnam.edu.vn/tai-lieu/essential-phonetics-for-ielts/?utm_source=Facebook&amp;utm_medium=SEE&amp;utm_term=NON_NONE_none_none_110222&amp;utm_content=khac_tailieu_NON_LD104&amp;utm_campaign=EssentialWriting_NON_NON_DuongNB_110222</v>
      </c>
      <c r="U67" s="56"/>
    </row>
    <row r="68">
      <c r="A68" s="72">
        <v>44606.0</v>
      </c>
      <c r="B68" s="61" t="s">
        <v>565</v>
      </c>
      <c r="C68" s="67" t="str">
        <f>IFERROR(__xludf.DUMMYFUNCTION("""COMPUTED_VALUE"""),"LD105")</f>
        <v>LD105</v>
      </c>
      <c r="D68" s="55" t="s">
        <v>42</v>
      </c>
      <c r="E68" s="55" t="s">
        <v>53</v>
      </c>
      <c r="F68" s="55" t="s">
        <v>60</v>
      </c>
      <c r="G68" s="55" t="s">
        <v>61</v>
      </c>
      <c r="H68" s="55" t="s">
        <v>341</v>
      </c>
      <c r="I68" s="55" t="s">
        <v>567</v>
      </c>
      <c r="J68" s="55" t="s">
        <v>101</v>
      </c>
      <c r="K68" s="55" t="s">
        <v>61</v>
      </c>
      <c r="L68" s="55" t="s">
        <v>70</v>
      </c>
      <c r="M68" s="55" t="s">
        <v>116</v>
      </c>
      <c r="N68" s="55" t="s">
        <v>70</v>
      </c>
      <c r="O68" s="55" t="s">
        <v>70</v>
      </c>
      <c r="P68" s="55" t="s">
        <v>70</v>
      </c>
      <c r="Q68" s="68" t="str">
        <f>IFERROR(__xludf.DUMMYFUNCTION("""COMPUTED_VALUE"""),"BridgetoIELTS _NON_NON_DuongNB_140222")</f>
        <v>BridgetoIELTS _NON_NON_DuongNB_140222</v>
      </c>
      <c r="R68" s="68" t="str">
        <f>IFERROR(__xludf.DUMMYFUNCTION("""COMPUTED_VALUE"""),"NON_NONE_none_none_140222")</f>
        <v>NON_NONE_none_none_140222</v>
      </c>
      <c r="S68" s="68" t="str">
        <f>IFERROR(__xludf.DUMMYFUNCTION("""COMPUTED_VALUE"""),"khac_tailieu_NON_LD105")</f>
        <v>khac_tailieu_NON_LD105</v>
      </c>
      <c r="T68" s="68" t="str">
        <f>IFERROR(__xludf.DUMMYFUNCTION("""COMPUTED_VALUE"""),"https://patadovietnam.edu.vn/tai-lieu/bridge-to-ielts-pre-intermediate/?utm_source=Facebook&amp;utm_medium=SEE&amp;utm_term=NON_NONE_none_none_140222&amp;utm_content=khac_tailieu_NON_LD105&amp;utm_campaign=BridgetoIELTS _NON_NON_DuongNB_140222")</f>
        <v>https://patadovietnam.edu.vn/tai-lieu/bridge-to-ielts-pre-intermediate/?utm_source=Facebook&amp;utm_medium=SEE&amp;utm_term=NON_NONE_none_none_140222&amp;utm_content=khac_tailieu_NON_LD105&amp;utm_campaign=BridgetoIELTS _NON_NON_DuongNB_140222</v>
      </c>
      <c r="U68" s="56"/>
    </row>
    <row r="69">
      <c r="A69" s="72"/>
      <c r="B69" s="71"/>
      <c r="C69" s="67"/>
      <c r="D69" s="55" t="s">
        <v>42</v>
      </c>
      <c r="E69" s="55" t="s">
        <v>53</v>
      </c>
      <c r="F69" s="55" t="s">
        <v>60</v>
      </c>
      <c r="G69" s="55" t="s">
        <v>61</v>
      </c>
      <c r="H69" s="55" t="s">
        <v>341</v>
      </c>
      <c r="I69" s="55"/>
      <c r="J69" s="55" t="s">
        <v>101</v>
      </c>
      <c r="K69" s="55" t="s">
        <v>61</v>
      </c>
      <c r="L69" s="55" t="s">
        <v>70</v>
      </c>
      <c r="M69" s="55" t="s">
        <v>116</v>
      </c>
      <c r="N69" s="55" t="s">
        <v>70</v>
      </c>
      <c r="O69" s="55" t="s">
        <v>70</v>
      </c>
      <c r="P69" s="55" t="s">
        <v>70</v>
      </c>
      <c r="Q69" s="68"/>
      <c r="R69" s="68"/>
      <c r="S69" s="68"/>
      <c r="T69" s="68"/>
      <c r="U69" s="56"/>
    </row>
    <row r="70">
      <c r="A70" s="72"/>
      <c r="B70" s="71"/>
      <c r="C70" s="67"/>
      <c r="D70" s="55" t="s">
        <v>42</v>
      </c>
      <c r="E70" s="55" t="s">
        <v>53</v>
      </c>
      <c r="F70" s="55" t="s">
        <v>60</v>
      </c>
      <c r="G70" s="55" t="s">
        <v>61</v>
      </c>
      <c r="H70" s="55" t="s">
        <v>341</v>
      </c>
      <c r="I70" s="55"/>
      <c r="J70" s="55" t="s">
        <v>101</v>
      </c>
      <c r="K70" s="55" t="s">
        <v>61</v>
      </c>
      <c r="L70" s="55" t="s">
        <v>70</v>
      </c>
      <c r="M70" s="55" t="s">
        <v>116</v>
      </c>
      <c r="N70" s="55" t="s">
        <v>70</v>
      </c>
      <c r="O70" s="55" t="s">
        <v>70</v>
      </c>
      <c r="P70" s="55" t="s">
        <v>70</v>
      </c>
      <c r="Q70" s="68"/>
      <c r="R70" s="68"/>
      <c r="S70" s="68"/>
      <c r="T70" s="68"/>
      <c r="U70" s="56"/>
    </row>
    <row r="71">
      <c r="A71" s="72"/>
      <c r="B71" s="71"/>
      <c r="C71" s="67"/>
      <c r="D71" s="55" t="s">
        <v>42</v>
      </c>
      <c r="E71" s="55" t="s">
        <v>53</v>
      </c>
      <c r="F71" s="55" t="s">
        <v>60</v>
      </c>
      <c r="G71" s="55" t="s">
        <v>61</v>
      </c>
      <c r="H71" s="55" t="s">
        <v>341</v>
      </c>
      <c r="I71" s="55"/>
      <c r="J71" s="55" t="s">
        <v>101</v>
      </c>
      <c r="K71" s="55" t="s">
        <v>61</v>
      </c>
      <c r="L71" s="55" t="s">
        <v>70</v>
      </c>
      <c r="M71" s="55" t="s">
        <v>116</v>
      </c>
      <c r="N71" s="55" t="s">
        <v>70</v>
      </c>
      <c r="O71" s="55" t="s">
        <v>70</v>
      </c>
      <c r="P71" s="55" t="s">
        <v>70</v>
      </c>
      <c r="Q71" s="68"/>
      <c r="R71" s="68"/>
      <c r="S71" s="68"/>
      <c r="T71" s="68"/>
      <c r="U71" s="56"/>
    </row>
    <row r="72">
      <c r="A72" s="72"/>
      <c r="B72" s="71"/>
      <c r="C72" s="67"/>
      <c r="D72" s="55" t="s">
        <v>42</v>
      </c>
      <c r="E72" s="55" t="s">
        <v>53</v>
      </c>
      <c r="F72" s="55" t="s">
        <v>60</v>
      </c>
      <c r="G72" s="55" t="s">
        <v>61</v>
      </c>
      <c r="H72" s="55" t="s">
        <v>341</v>
      </c>
      <c r="I72" s="55"/>
      <c r="J72" s="55" t="s">
        <v>101</v>
      </c>
      <c r="K72" s="55" t="s">
        <v>61</v>
      </c>
      <c r="L72" s="55" t="s">
        <v>70</v>
      </c>
      <c r="M72" s="55" t="s">
        <v>116</v>
      </c>
      <c r="N72" s="55" t="s">
        <v>70</v>
      </c>
      <c r="O72" s="55" t="s">
        <v>70</v>
      </c>
      <c r="P72" s="55" t="s">
        <v>70</v>
      </c>
      <c r="Q72" s="68"/>
      <c r="R72" s="68"/>
      <c r="S72" s="68"/>
      <c r="T72" s="68"/>
      <c r="U72" s="56"/>
    </row>
    <row r="73">
      <c r="A73" s="72"/>
      <c r="B73" s="71"/>
      <c r="C73" s="67"/>
      <c r="D73" s="55" t="s">
        <v>42</v>
      </c>
      <c r="E73" s="55" t="s">
        <v>53</v>
      </c>
      <c r="F73" s="55"/>
      <c r="G73" s="55" t="s">
        <v>61</v>
      </c>
      <c r="H73" s="55" t="s">
        <v>341</v>
      </c>
      <c r="I73" s="55"/>
      <c r="J73" s="55" t="s">
        <v>101</v>
      </c>
      <c r="K73" s="55" t="s">
        <v>61</v>
      </c>
      <c r="L73" s="55" t="s">
        <v>70</v>
      </c>
      <c r="M73" s="55" t="s">
        <v>116</v>
      </c>
      <c r="N73" s="55" t="s">
        <v>70</v>
      </c>
      <c r="O73" s="55" t="s">
        <v>70</v>
      </c>
      <c r="P73" s="55" t="s">
        <v>70</v>
      </c>
      <c r="Q73" s="68"/>
      <c r="R73" s="68"/>
      <c r="S73" s="68"/>
      <c r="T73" s="68"/>
      <c r="U73" s="56"/>
    </row>
    <row r="74">
      <c r="A74" s="72"/>
      <c r="B74" s="71"/>
      <c r="C74" s="67"/>
      <c r="D74" s="55" t="s">
        <v>42</v>
      </c>
      <c r="E74" s="55" t="s">
        <v>53</v>
      </c>
      <c r="F74" s="55"/>
      <c r="G74" s="55" t="s">
        <v>61</v>
      </c>
      <c r="H74" s="55" t="s">
        <v>341</v>
      </c>
      <c r="I74" s="55"/>
      <c r="J74" s="55" t="s">
        <v>101</v>
      </c>
      <c r="K74" s="55" t="s">
        <v>61</v>
      </c>
      <c r="L74" s="55" t="s">
        <v>70</v>
      </c>
      <c r="M74" s="55" t="s">
        <v>116</v>
      </c>
      <c r="N74" s="55" t="s">
        <v>70</v>
      </c>
      <c r="O74" s="55" t="s">
        <v>70</v>
      </c>
      <c r="P74" s="55" t="s">
        <v>70</v>
      </c>
      <c r="Q74" s="68"/>
      <c r="R74" s="68"/>
      <c r="S74" s="68"/>
      <c r="T74" s="68"/>
      <c r="U74" s="56"/>
    </row>
    <row r="75">
      <c r="A75" s="72"/>
      <c r="B75" s="71"/>
      <c r="C75" s="67"/>
      <c r="D75" s="55" t="s">
        <v>42</v>
      </c>
      <c r="E75" s="55" t="s">
        <v>53</v>
      </c>
      <c r="F75" s="55"/>
      <c r="G75" s="55" t="s">
        <v>61</v>
      </c>
      <c r="H75" s="55" t="s">
        <v>341</v>
      </c>
      <c r="I75" s="55"/>
      <c r="J75" s="55" t="s">
        <v>101</v>
      </c>
      <c r="K75" s="55" t="s">
        <v>61</v>
      </c>
      <c r="L75" s="55" t="s">
        <v>70</v>
      </c>
      <c r="M75" s="55" t="s">
        <v>116</v>
      </c>
      <c r="N75" s="55" t="s">
        <v>70</v>
      </c>
      <c r="O75" s="55" t="s">
        <v>70</v>
      </c>
      <c r="P75" s="55" t="s">
        <v>70</v>
      </c>
      <c r="Q75" s="68"/>
      <c r="R75" s="68"/>
      <c r="S75" s="68"/>
      <c r="T75" s="68"/>
      <c r="U75" s="56"/>
    </row>
    <row r="76">
      <c r="A76" s="72"/>
      <c r="B76" s="71"/>
      <c r="C76" s="67"/>
      <c r="D76" s="55" t="s">
        <v>42</v>
      </c>
      <c r="E76" s="55" t="s">
        <v>53</v>
      </c>
      <c r="F76" s="55"/>
      <c r="G76" s="55" t="s">
        <v>61</v>
      </c>
      <c r="H76" s="55" t="s">
        <v>341</v>
      </c>
      <c r="I76" s="55"/>
      <c r="J76" s="55" t="s">
        <v>101</v>
      </c>
      <c r="K76" s="55" t="s">
        <v>61</v>
      </c>
      <c r="L76" s="55" t="s">
        <v>70</v>
      </c>
      <c r="M76" s="55" t="s">
        <v>116</v>
      </c>
      <c r="N76" s="55" t="s">
        <v>70</v>
      </c>
      <c r="O76" s="55" t="s">
        <v>70</v>
      </c>
      <c r="P76" s="55" t="s">
        <v>70</v>
      </c>
      <c r="Q76" s="68"/>
      <c r="R76" s="68"/>
      <c r="S76" s="68"/>
      <c r="T76" s="68"/>
      <c r="U76" s="56"/>
    </row>
    <row r="77">
      <c r="A77" s="72"/>
      <c r="B77" s="71"/>
      <c r="C77" s="67"/>
      <c r="D77" s="55"/>
      <c r="E77" s="55"/>
      <c r="F77" s="55"/>
      <c r="G77" s="55" t="s">
        <v>61</v>
      </c>
      <c r="H77" s="55" t="s">
        <v>341</v>
      </c>
      <c r="I77" s="55"/>
      <c r="J77" s="55"/>
      <c r="K77" s="55" t="s">
        <v>61</v>
      </c>
      <c r="L77" s="55" t="s">
        <v>70</v>
      </c>
      <c r="M77" s="55" t="s">
        <v>116</v>
      </c>
      <c r="N77" s="55" t="s">
        <v>70</v>
      </c>
      <c r="O77" s="55" t="s">
        <v>70</v>
      </c>
      <c r="P77" s="55" t="s">
        <v>70</v>
      </c>
      <c r="Q77" s="68"/>
      <c r="R77" s="68"/>
      <c r="S77" s="68"/>
      <c r="T77" s="68"/>
      <c r="U77" s="56"/>
    </row>
    <row r="78">
      <c r="A78" s="72"/>
      <c r="B78" s="71"/>
      <c r="C78" s="67"/>
      <c r="D78" s="55"/>
      <c r="E78" s="55"/>
      <c r="F78" s="55"/>
      <c r="G78" s="55" t="s">
        <v>61</v>
      </c>
      <c r="H78" s="55" t="s">
        <v>341</v>
      </c>
      <c r="I78" s="55"/>
      <c r="J78" s="55"/>
      <c r="K78" s="55" t="s">
        <v>61</v>
      </c>
      <c r="L78" s="55" t="s">
        <v>70</v>
      </c>
      <c r="M78" s="55" t="s">
        <v>116</v>
      </c>
      <c r="N78" s="55" t="s">
        <v>70</v>
      </c>
      <c r="O78" s="55" t="s">
        <v>70</v>
      </c>
      <c r="P78" s="55" t="s">
        <v>70</v>
      </c>
      <c r="Q78" s="68"/>
      <c r="R78" s="68"/>
      <c r="S78" s="68"/>
      <c r="T78" s="68"/>
      <c r="U78" s="56"/>
    </row>
    <row r="79">
      <c r="A79" s="72"/>
      <c r="B79" s="71"/>
      <c r="C79" s="67"/>
      <c r="D79" s="55"/>
      <c r="E79" s="55"/>
      <c r="F79" s="55"/>
      <c r="G79" s="55"/>
      <c r="H79" s="55" t="s">
        <v>341</v>
      </c>
      <c r="I79" s="55"/>
      <c r="J79" s="55"/>
      <c r="K79" s="55" t="s">
        <v>61</v>
      </c>
      <c r="L79" s="55" t="s">
        <v>70</v>
      </c>
      <c r="M79" s="55" t="s">
        <v>116</v>
      </c>
      <c r="N79" s="55" t="s">
        <v>70</v>
      </c>
      <c r="O79" s="55" t="s">
        <v>70</v>
      </c>
      <c r="P79" s="55" t="s">
        <v>70</v>
      </c>
      <c r="Q79" s="68"/>
      <c r="R79" s="68"/>
      <c r="S79" s="68"/>
      <c r="T79" s="68"/>
      <c r="U79" s="56"/>
    </row>
    <row r="80">
      <c r="A80" s="72"/>
      <c r="B80" s="71"/>
      <c r="C80" s="67"/>
      <c r="D80" s="55"/>
      <c r="E80" s="55"/>
      <c r="F80" s="55"/>
      <c r="G80" s="55"/>
      <c r="H80" s="55" t="s">
        <v>341</v>
      </c>
      <c r="I80" s="55"/>
      <c r="J80" s="55"/>
      <c r="K80" s="55" t="s">
        <v>61</v>
      </c>
      <c r="L80" s="55" t="s">
        <v>70</v>
      </c>
      <c r="M80" s="55" t="s">
        <v>116</v>
      </c>
      <c r="N80" s="55" t="s">
        <v>70</v>
      </c>
      <c r="O80" s="55" t="s">
        <v>70</v>
      </c>
      <c r="P80" s="55" t="s">
        <v>70</v>
      </c>
      <c r="Q80" s="68"/>
      <c r="R80" s="68"/>
      <c r="S80" s="68"/>
      <c r="T80" s="68"/>
      <c r="U80" s="56"/>
    </row>
    <row r="81">
      <c r="A81" s="72"/>
      <c r="B81" s="71"/>
      <c r="C81" s="67"/>
      <c r="D81" s="55"/>
      <c r="E81" s="55"/>
      <c r="F81" s="55"/>
      <c r="G81" s="55"/>
      <c r="H81" s="55" t="s">
        <v>341</v>
      </c>
      <c r="I81" s="55"/>
      <c r="J81" s="55"/>
      <c r="K81" s="55" t="s">
        <v>61</v>
      </c>
      <c r="L81" s="55" t="s">
        <v>70</v>
      </c>
      <c r="M81" s="55" t="s">
        <v>116</v>
      </c>
      <c r="N81" s="55" t="s">
        <v>70</v>
      </c>
      <c r="O81" s="55" t="s">
        <v>70</v>
      </c>
      <c r="P81" s="55"/>
      <c r="Q81" s="68"/>
      <c r="R81" s="68"/>
      <c r="S81" s="68"/>
      <c r="T81" s="68"/>
      <c r="U81" s="56"/>
    </row>
    <row r="82">
      <c r="A82" s="72"/>
      <c r="B82" s="71"/>
      <c r="C82" s="67"/>
      <c r="D82" s="55"/>
      <c r="E82" s="55"/>
      <c r="F82" s="55"/>
      <c r="G82" s="55"/>
      <c r="H82" s="55"/>
      <c r="I82" s="55"/>
      <c r="J82" s="55"/>
      <c r="K82" s="55" t="s">
        <v>61</v>
      </c>
      <c r="L82" s="55" t="s">
        <v>70</v>
      </c>
      <c r="M82" s="55" t="s">
        <v>116</v>
      </c>
      <c r="N82" s="55" t="s">
        <v>70</v>
      </c>
      <c r="O82" s="55" t="s">
        <v>70</v>
      </c>
      <c r="P82" s="55"/>
      <c r="Q82" s="68"/>
      <c r="R82" s="68"/>
      <c r="S82" s="68"/>
      <c r="T82" s="68"/>
      <c r="U82" s="56"/>
    </row>
    <row r="83">
      <c r="A83" s="72"/>
      <c r="B83" s="71"/>
      <c r="C83" s="67"/>
      <c r="D83" s="55"/>
      <c r="E83" s="55"/>
      <c r="F83" s="55"/>
      <c r="G83" s="55"/>
      <c r="H83" s="55"/>
      <c r="I83" s="55"/>
      <c r="J83" s="55"/>
      <c r="K83" s="55" t="s">
        <v>61</v>
      </c>
      <c r="L83" s="55" t="s">
        <v>70</v>
      </c>
      <c r="M83" s="55"/>
      <c r="N83" s="55" t="s">
        <v>70</v>
      </c>
      <c r="O83" s="55" t="s">
        <v>70</v>
      </c>
      <c r="P83" s="55"/>
      <c r="Q83" s="68"/>
      <c r="R83" s="68"/>
      <c r="S83" s="68"/>
      <c r="T83" s="68"/>
      <c r="U83" s="56"/>
    </row>
    <row r="84">
      <c r="A84" s="72"/>
      <c r="B84" s="71"/>
      <c r="C84" s="67"/>
      <c r="D84" s="55"/>
      <c r="E84" s="55"/>
      <c r="F84" s="55"/>
      <c r="G84" s="55"/>
      <c r="H84" s="55"/>
      <c r="I84" s="55"/>
      <c r="J84" s="55"/>
      <c r="K84" s="55" t="s">
        <v>61</v>
      </c>
      <c r="L84" s="55" t="s">
        <v>70</v>
      </c>
      <c r="M84" s="55"/>
      <c r="N84" s="55" t="s">
        <v>70</v>
      </c>
      <c r="O84" s="55" t="s">
        <v>70</v>
      </c>
      <c r="P84" s="55"/>
      <c r="Q84" s="68"/>
      <c r="R84" s="68"/>
      <c r="S84" s="68"/>
      <c r="T84" s="68"/>
      <c r="U84" s="56"/>
    </row>
    <row r="85">
      <c r="A85" s="72"/>
      <c r="B85" s="71"/>
      <c r="C85" s="67"/>
      <c r="D85" s="55"/>
      <c r="E85" s="55"/>
      <c r="F85" s="55"/>
      <c r="G85" s="55"/>
      <c r="H85" s="55"/>
      <c r="I85" s="55"/>
      <c r="J85" s="55"/>
      <c r="K85" s="55" t="s">
        <v>61</v>
      </c>
      <c r="L85" s="55" t="s">
        <v>70</v>
      </c>
      <c r="M85" s="55"/>
      <c r="N85" s="55" t="s">
        <v>70</v>
      </c>
      <c r="O85" s="55" t="s">
        <v>70</v>
      </c>
      <c r="P85" s="55"/>
      <c r="Q85" s="68"/>
      <c r="R85" s="68"/>
      <c r="S85" s="68"/>
      <c r="T85" s="68"/>
      <c r="U85" s="56"/>
    </row>
    <row r="86">
      <c r="A86" s="72"/>
      <c r="B86" s="71"/>
      <c r="C86" s="67"/>
      <c r="D86" s="55"/>
      <c r="E86" s="55"/>
      <c r="F86" s="55"/>
      <c r="G86" s="55"/>
      <c r="H86" s="55"/>
      <c r="I86" s="55"/>
      <c r="J86" s="55"/>
      <c r="K86" s="55" t="s">
        <v>61</v>
      </c>
      <c r="L86" s="55" t="s">
        <v>70</v>
      </c>
      <c r="M86" s="55"/>
      <c r="N86" s="55" t="s">
        <v>70</v>
      </c>
      <c r="O86" s="55" t="s">
        <v>70</v>
      </c>
      <c r="P86" s="55"/>
      <c r="Q86" s="68"/>
      <c r="R86" s="68"/>
      <c r="S86" s="68"/>
      <c r="T86" s="68"/>
      <c r="U86" s="56"/>
    </row>
    <row r="87">
      <c r="A87" s="72"/>
      <c r="B87" s="71"/>
      <c r="C87" s="67"/>
      <c r="D87" s="55"/>
      <c r="E87" s="55"/>
      <c r="F87" s="55"/>
      <c r="G87" s="55"/>
      <c r="H87" s="55"/>
      <c r="I87" s="55"/>
      <c r="J87" s="55"/>
      <c r="K87" s="55" t="s">
        <v>61</v>
      </c>
      <c r="L87" s="55" t="s">
        <v>70</v>
      </c>
      <c r="M87" s="55"/>
      <c r="N87" s="55" t="s">
        <v>70</v>
      </c>
      <c r="O87" s="55" t="s">
        <v>70</v>
      </c>
      <c r="P87" s="55"/>
      <c r="Q87" s="68"/>
      <c r="R87" s="68"/>
      <c r="S87" s="68"/>
      <c r="T87" s="68"/>
      <c r="U87" s="56"/>
    </row>
    <row r="88">
      <c r="A88" s="72"/>
      <c r="B88" s="71"/>
      <c r="C88" s="67"/>
      <c r="D88" s="55"/>
      <c r="E88" s="55"/>
      <c r="F88" s="55"/>
      <c r="G88" s="55"/>
      <c r="H88" s="55"/>
      <c r="I88" s="55"/>
      <c r="J88" s="55"/>
      <c r="K88" s="55"/>
      <c r="L88" s="55" t="s">
        <v>70</v>
      </c>
      <c r="M88" s="55"/>
      <c r="N88" s="55" t="s">
        <v>70</v>
      </c>
      <c r="O88" s="55" t="s">
        <v>70</v>
      </c>
      <c r="P88" s="55"/>
      <c r="Q88" s="68"/>
      <c r="R88" s="68"/>
      <c r="S88" s="68"/>
      <c r="T88" s="68"/>
      <c r="U88" s="56"/>
    </row>
    <row r="89">
      <c r="A89" s="72"/>
      <c r="B89" s="71"/>
      <c r="C89" s="67"/>
      <c r="D89" s="55"/>
      <c r="E89" s="55"/>
      <c r="F89" s="55"/>
      <c r="G89" s="55"/>
      <c r="H89" s="55"/>
      <c r="I89" s="55"/>
      <c r="J89" s="55"/>
      <c r="K89" s="55"/>
      <c r="L89" s="55" t="s">
        <v>70</v>
      </c>
      <c r="M89" s="55"/>
      <c r="N89" s="55" t="s">
        <v>70</v>
      </c>
      <c r="O89" s="55" t="s">
        <v>70</v>
      </c>
      <c r="P89" s="55"/>
      <c r="Q89" s="68"/>
      <c r="R89" s="68"/>
      <c r="S89" s="68"/>
      <c r="T89" s="68"/>
      <c r="U89" s="56"/>
    </row>
    <row r="90">
      <c r="A90" s="72"/>
      <c r="B90" s="71"/>
      <c r="C90" s="67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 t="s">
        <v>70</v>
      </c>
      <c r="O90" s="55" t="s">
        <v>70</v>
      </c>
      <c r="P90" s="55"/>
      <c r="Q90" s="68"/>
      <c r="R90" s="68"/>
      <c r="S90" s="68"/>
      <c r="T90" s="68"/>
      <c r="U90" s="56"/>
    </row>
    <row r="91">
      <c r="A91" s="72"/>
      <c r="B91" s="71"/>
      <c r="C91" s="67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 t="s">
        <v>70</v>
      </c>
      <c r="O91" s="55" t="s">
        <v>70</v>
      </c>
      <c r="P91" s="55"/>
      <c r="Q91" s="68"/>
      <c r="R91" s="68"/>
      <c r="S91" s="68"/>
      <c r="T91" s="68"/>
      <c r="U91" s="56"/>
    </row>
    <row r="92">
      <c r="A92" s="72"/>
      <c r="B92" s="71"/>
      <c r="C92" s="67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 t="s">
        <v>70</v>
      </c>
      <c r="O92" s="55" t="s">
        <v>70</v>
      </c>
      <c r="P92" s="55"/>
      <c r="Q92" s="68"/>
      <c r="R92" s="68"/>
      <c r="S92" s="68"/>
      <c r="T92" s="68"/>
      <c r="U92" s="56"/>
    </row>
    <row r="93">
      <c r="A93" s="72"/>
      <c r="B93" s="71"/>
      <c r="C93" s="67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 t="s">
        <v>70</v>
      </c>
      <c r="O93" s="55" t="s">
        <v>70</v>
      </c>
      <c r="P93" s="55"/>
      <c r="Q93" s="68"/>
      <c r="R93" s="68"/>
      <c r="S93" s="68"/>
      <c r="T93" s="68"/>
      <c r="U93" s="56"/>
    </row>
    <row r="94">
      <c r="A94" s="72"/>
      <c r="B94" s="71"/>
      <c r="C94" s="67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 t="s">
        <v>70</v>
      </c>
      <c r="O94" s="55" t="s">
        <v>70</v>
      </c>
      <c r="P94" s="55"/>
      <c r="Q94" s="68"/>
      <c r="R94" s="68"/>
      <c r="S94" s="68"/>
      <c r="T94" s="68"/>
      <c r="U94" s="56"/>
    </row>
    <row r="95">
      <c r="A95" s="72"/>
      <c r="B95" s="71"/>
      <c r="C95" s="67"/>
      <c r="D95" s="55"/>
      <c r="E95" s="55"/>
      <c r="F95" s="55"/>
      <c r="G95" s="55"/>
      <c r="H95" s="55"/>
      <c r="I95" s="55"/>
      <c r="J95" s="55"/>
      <c r="K95" s="55"/>
      <c r="L95" s="74"/>
      <c r="M95" s="55"/>
      <c r="N95" s="55" t="s">
        <v>70</v>
      </c>
      <c r="O95" s="55" t="s">
        <v>70</v>
      </c>
      <c r="P95" s="55"/>
      <c r="Q95" s="68"/>
      <c r="R95" s="68"/>
      <c r="S95" s="68"/>
      <c r="T95" s="68"/>
      <c r="U95" s="56"/>
    </row>
    <row r="96">
      <c r="A96" s="72"/>
      <c r="B96" s="71"/>
      <c r="C96" s="67"/>
      <c r="D96" s="55"/>
      <c r="E96" s="55"/>
      <c r="F96" s="55"/>
      <c r="G96" s="55"/>
      <c r="H96" s="55"/>
      <c r="I96" s="55"/>
      <c r="J96" s="55"/>
      <c r="K96" s="55"/>
      <c r="L96" s="74"/>
      <c r="M96" s="55"/>
      <c r="N96" s="55"/>
      <c r="O96" s="55" t="s">
        <v>70</v>
      </c>
      <c r="P96" s="55"/>
      <c r="Q96" s="68"/>
      <c r="R96" s="68"/>
      <c r="S96" s="68"/>
      <c r="T96" s="68"/>
      <c r="U96" s="56"/>
    </row>
    <row r="97">
      <c r="A97" s="72"/>
      <c r="B97" s="71"/>
      <c r="C97" s="67"/>
      <c r="D97" s="55"/>
      <c r="E97" s="55"/>
      <c r="F97" s="55"/>
      <c r="G97" s="55"/>
      <c r="H97" s="55"/>
      <c r="I97" s="55"/>
      <c r="J97" s="55"/>
      <c r="K97" s="55"/>
      <c r="L97" s="74"/>
      <c r="M97" s="55"/>
      <c r="N97" s="55"/>
      <c r="O97" s="55" t="s">
        <v>70</v>
      </c>
      <c r="P97" s="55"/>
      <c r="Q97" s="68"/>
      <c r="R97" s="68"/>
      <c r="S97" s="68"/>
      <c r="T97" s="68"/>
      <c r="U97" s="56"/>
    </row>
    <row r="98">
      <c r="A98" s="72"/>
      <c r="B98" s="71"/>
      <c r="C98" s="67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 t="s">
        <v>70</v>
      </c>
      <c r="P98" s="55"/>
      <c r="Q98" s="68"/>
      <c r="R98" s="68"/>
      <c r="S98" s="68"/>
      <c r="T98" s="68"/>
      <c r="U98" s="56"/>
    </row>
    <row r="99">
      <c r="A99" s="72"/>
      <c r="B99" s="71"/>
      <c r="C99" s="67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 t="s">
        <v>70</v>
      </c>
      <c r="P99" s="55"/>
      <c r="Q99" s="68"/>
      <c r="R99" s="68"/>
      <c r="S99" s="68"/>
      <c r="T99" s="68"/>
      <c r="U99" s="56"/>
    </row>
    <row r="100">
      <c r="A100" s="72"/>
      <c r="B100" s="54"/>
      <c r="C100" s="67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5" t="s">
        <v>70</v>
      </c>
      <c r="P100" s="54"/>
      <c r="Q100" s="68"/>
      <c r="R100" s="68"/>
      <c r="S100" s="68"/>
      <c r="T100" s="68"/>
      <c r="U100" s="56"/>
    </row>
    <row r="101">
      <c r="A101" s="72"/>
      <c r="B101" s="54"/>
      <c r="C101" s="67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5" t="s">
        <v>70</v>
      </c>
      <c r="P101" s="54"/>
      <c r="Q101" s="68"/>
      <c r="R101" s="68"/>
      <c r="S101" s="68"/>
      <c r="T101" s="68"/>
      <c r="U101" s="56"/>
    </row>
    <row r="102">
      <c r="A102" s="72"/>
      <c r="B102" s="54"/>
      <c r="C102" s="67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5" t="s">
        <v>70</v>
      </c>
      <c r="P102" s="54"/>
      <c r="Q102" s="68"/>
      <c r="R102" s="68"/>
      <c r="S102" s="68"/>
      <c r="T102" s="68"/>
      <c r="U102" s="56"/>
    </row>
    <row r="103">
      <c r="A103" s="72"/>
      <c r="B103" s="54"/>
      <c r="C103" s="67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5" t="s">
        <v>70</v>
      </c>
      <c r="P103" s="54"/>
      <c r="Q103" s="68"/>
      <c r="R103" s="68"/>
      <c r="S103" s="68"/>
      <c r="T103" s="68"/>
      <c r="U103" s="56"/>
    </row>
    <row r="104">
      <c r="A104" s="72"/>
      <c r="B104" s="54"/>
      <c r="C104" s="67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68"/>
      <c r="R104" s="68"/>
      <c r="S104" s="68"/>
      <c r="T104" s="68"/>
      <c r="U104" s="56"/>
    </row>
    <row r="105">
      <c r="A105" s="72"/>
      <c r="B105" s="54"/>
      <c r="C105" s="67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68"/>
      <c r="R105" s="68"/>
      <c r="S105" s="68"/>
      <c r="T105" s="68"/>
      <c r="U105" s="56"/>
    </row>
    <row r="106">
      <c r="A106" s="72"/>
      <c r="B106" s="54"/>
      <c r="C106" s="67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68"/>
      <c r="R106" s="68"/>
      <c r="S106" s="68"/>
      <c r="T106" s="68"/>
      <c r="U106" s="56"/>
    </row>
    <row r="107">
      <c r="A107" s="72"/>
      <c r="B107" s="54"/>
      <c r="C107" s="67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68"/>
      <c r="R107" s="68"/>
      <c r="S107" s="68"/>
      <c r="T107" s="68"/>
      <c r="U107" s="56"/>
    </row>
    <row r="108">
      <c r="A108" s="72"/>
      <c r="B108" s="54"/>
      <c r="C108" s="67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68"/>
      <c r="R108" s="68"/>
      <c r="S108" s="68"/>
      <c r="T108" s="68"/>
      <c r="U108" s="56"/>
    </row>
    <row r="109">
      <c r="A109" s="72"/>
      <c r="B109" s="54"/>
      <c r="C109" s="67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68"/>
      <c r="R109" s="68"/>
      <c r="S109" s="68"/>
      <c r="T109" s="68"/>
      <c r="U109" s="56"/>
    </row>
    <row r="110">
      <c r="A110" s="72"/>
      <c r="B110" s="54"/>
      <c r="C110" s="67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68"/>
      <c r="R110" s="68"/>
      <c r="S110" s="68"/>
      <c r="T110" s="68"/>
      <c r="U110" s="56"/>
    </row>
    <row r="111">
      <c r="A111" s="72"/>
      <c r="B111" s="54"/>
      <c r="C111" s="67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68"/>
      <c r="R111" s="68"/>
      <c r="S111" s="68"/>
      <c r="T111" s="68"/>
      <c r="U111" s="56"/>
    </row>
    <row r="112">
      <c r="A112" s="72"/>
      <c r="B112" s="54"/>
      <c r="C112" s="67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68"/>
      <c r="R112" s="68"/>
      <c r="S112" s="68"/>
      <c r="T112" s="68"/>
      <c r="U112" s="56"/>
    </row>
    <row r="113">
      <c r="A113" s="72"/>
      <c r="B113" s="54"/>
      <c r="C113" s="67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68"/>
      <c r="R113" s="68"/>
      <c r="S113" s="68"/>
      <c r="T113" s="68"/>
      <c r="U113" s="56"/>
    </row>
    <row r="114">
      <c r="A114" s="72"/>
      <c r="B114" s="54"/>
      <c r="C114" s="67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68"/>
      <c r="R114" s="68"/>
      <c r="S114" s="68"/>
      <c r="T114" s="68"/>
      <c r="U114" s="56"/>
    </row>
    <row r="115">
      <c r="A115" s="72"/>
      <c r="B115" s="54"/>
      <c r="C115" s="67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68"/>
      <c r="R115" s="68"/>
      <c r="S115" s="68"/>
      <c r="T115" s="68"/>
      <c r="U115" s="56"/>
    </row>
    <row r="116">
      <c r="A116" s="72"/>
      <c r="B116" s="54"/>
      <c r="C116" s="67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68"/>
      <c r="R116" s="68"/>
      <c r="S116" s="68"/>
      <c r="T116" s="68"/>
      <c r="U116" s="56"/>
    </row>
    <row r="117">
      <c r="A117" s="72"/>
      <c r="B117" s="54"/>
      <c r="C117" s="67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68"/>
      <c r="R117" s="68"/>
      <c r="S117" s="68"/>
      <c r="T117" s="68"/>
      <c r="U117" s="56"/>
    </row>
    <row r="118">
      <c r="A118" s="72"/>
      <c r="B118" s="54"/>
      <c r="C118" s="67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68"/>
      <c r="R118" s="68"/>
      <c r="S118" s="68"/>
      <c r="T118" s="68"/>
      <c r="U118" s="56"/>
    </row>
    <row r="119">
      <c r="A119" s="72"/>
      <c r="B119" s="54"/>
      <c r="C119" s="67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68"/>
      <c r="R119" s="68"/>
      <c r="S119" s="68"/>
      <c r="T119" s="68"/>
      <c r="U119" s="56"/>
    </row>
    <row r="120">
      <c r="A120" s="72"/>
      <c r="B120" s="54"/>
      <c r="C120" s="67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68"/>
      <c r="R120" s="68"/>
      <c r="S120" s="68"/>
      <c r="T120" s="68"/>
      <c r="U120" s="56"/>
    </row>
    <row r="121">
      <c r="A121" s="72"/>
      <c r="B121" s="54"/>
      <c r="C121" s="67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68"/>
      <c r="R121" s="68"/>
      <c r="S121" s="68"/>
      <c r="T121" s="68"/>
      <c r="U121" s="56"/>
    </row>
    <row r="122">
      <c r="A122" s="72"/>
      <c r="B122" s="54"/>
      <c r="C122" s="67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68"/>
      <c r="R122" s="68"/>
      <c r="S122" s="68"/>
      <c r="T122" s="68"/>
      <c r="U122" s="56"/>
    </row>
    <row r="123">
      <c r="A123" s="72"/>
      <c r="B123" s="54"/>
      <c r="C123" s="67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68"/>
      <c r="R123" s="68"/>
      <c r="S123" s="68"/>
      <c r="T123" s="68"/>
      <c r="U123" s="56"/>
    </row>
    <row r="124">
      <c r="A124" s="72"/>
      <c r="B124" s="54"/>
      <c r="C124" s="67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68"/>
      <c r="R124" s="68"/>
      <c r="S124" s="68"/>
      <c r="T124" s="68"/>
      <c r="U124" s="56"/>
    </row>
    <row r="125">
      <c r="A125" s="72"/>
      <c r="B125" s="54"/>
      <c r="C125" s="67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68"/>
      <c r="R125" s="68"/>
      <c r="S125" s="68"/>
      <c r="T125" s="68"/>
      <c r="U125" s="56"/>
    </row>
    <row r="126">
      <c r="A126" s="72"/>
      <c r="B126" s="54"/>
      <c r="C126" s="67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68"/>
      <c r="R126" s="68"/>
      <c r="S126" s="68"/>
      <c r="T126" s="68"/>
      <c r="U126" s="56"/>
    </row>
    <row r="127">
      <c r="A127" s="72"/>
      <c r="B127" s="54"/>
      <c r="C127" s="67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68"/>
      <c r="R127" s="68"/>
      <c r="S127" s="68"/>
      <c r="T127" s="68"/>
      <c r="U127" s="56"/>
    </row>
    <row r="128">
      <c r="A128" s="72"/>
      <c r="B128" s="54"/>
      <c r="C128" s="67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68"/>
      <c r="R128" s="68"/>
      <c r="S128" s="68"/>
      <c r="T128" s="68"/>
      <c r="U128" s="56"/>
    </row>
    <row r="129">
      <c r="A129" s="72"/>
      <c r="B129" s="54"/>
      <c r="C129" s="67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68"/>
      <c r="R129" s="68"/>
      <c r="S129" s="68"/>
      <c r="T129" s="68"/>
      <c r="U129" s="56"/>
    </row>
    <row r="130">
      <c r="A130" s="72"/>
      <c r="B130" s="54"/>
      <c r="C130" s="67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68"/>
      <c r="R130" s="68"/>
      <c r="S130" s="68"/>
      <c r="T130" s="68"/>
      <c r="U130" s="56"/>
    </row>
    <row r="131">
      <c r="A131" s="72"/>
      <c r="B131" s="54"/>
      <c r="C131" s="67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68"/>
      <c r="R131" s="68"/>
      <c r="S131" s="68"/>
      <c r="T131" s="68"/>
      <c r="U131" s="56"/>
    </row>
    <row r="132">
      <c r="A132" s="72"/>
      <c r="B132" s="54"/>
      <c r="C132" s="67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68"/>
      <c r="R132" s="68"/>
      <c r="S132" s="68"/>
      <c r="T132" s="68"/>
      <c r="U132" s="56"/>
    </row>
    <row r="133">
      <c r="A133" s="72"/>
      <c r="B133" s="54"/>
      <c r="C133" s="67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68"/>
      <c r="R133" s="68"/>
      <c r="S133" s="68"/>
      <c r="T133" s="68"/>
      <c r="U133" s="56"/>
    </row>
    <row r="134">
      <c r="A134" s="72"/>
      <c r="B134" s="54"/>
      <c r="C134" s="67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68"/>
      <c r="R134" s="68"/>
      <c r="S134" s="68"/>
      <c r="T134" s="68"/>
      <c r="U134" s="56"/>
    </row>
    <row r="135">
      <c r="A135" s="72"/>
      <c r="B135" s="54"/>
      <c r="C135" s="67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68"/>
      <c r="R135" s="68"/>
      <c r="S135" s="68"/>
      <c r="T135" s="68"/>
      <c r="U135" s="56"/>
    </row>
    <row r="136">
      <c r="A136" s="72"/>
      <c r="B136" s="54"/>
      <c r="C136" s="67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68"/>
      <c r="R136" s="68"/>
      <c r="S136" s="68"/>
      <c r="T136" s="68"/>
      <c r="U136" s="56"/>
    </row>
    <row r="137">
      <c r="A137" s="72"/>
      <c r="B137" s="54"/>
      <c r="C137" s="67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68"/>
      <c r="R137" s="68"/>
      <c r="S137" s="68"/>
      <c r="T137" s="68"/>
      <c r="U137" s="56"/>
    </row>
    <row r="138">
      <c r="A138" s="72"/>
      <c r="B138" s="54"/>
      <c r="C138" s="67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68"/>
      <c r="R138" s="68"/>
      <c r="S138" s="68"/>
      <c r="T138" s="68"/>
      <c r="U138" s="56"/>
    </row>
    <row r="139">
      <c r="A139" s="72"/>
      <c r="B139" s="54"/>
      <c r="C139" s="67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68"/>
      <c r="R139" s="68"/>
      <c r="S139" s="68"/>
      <c r="T139" s="68"/>
      <c r="U139" s="56"/>
    </row>
    <row r="140">
      <c r="A140" s="72"/>
      <c r="B140" s="54"/>
      <c r="C140" s="67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68"/>
      <c r="R140" s="68"/>
      <c r="S140" s="68"/>
      <c r="T140" s="68"/>
      <c r="U140" s="56"/>
    </row>
    <row r="141">
      <c r="A141" s="72"/>
      <c r="B141" s="54"/>
      <c r="C141" s="67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68"/>
      <c r="R141" s="68"/>
      <c r="S141" s="68"/>
      <c r="T141" s="68"/>
      <c r="U141" s="56"/>
    </row>
    <row r="142">
      <c r="A142" s="72"/>
      <c r="B142" s="54"/>
      <c r="C142" s="67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68"/>
      <c r="R142" s="68"/>
      <c r="S142" s="68"/>
      <c r="T142" s="68"/>
      <c r="U142" s="56"/>
    </row>
    <row r="143">
      <c r="A143" s="72"/>
      <c r="B143" s="54"/>
      <c r="C143" s="67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68"/>
      <c r="R143" s="68"/>
      <c r="S143" s="68"/>
      <c r="T143" s="68"/>
      <c r="U143" s="56"/>
    </row>
    <row r="144">
      <c r="A144" s="72"/>
      <c r="B144" s="54"/>
      <c r="C144" s="67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68"/>
      <c r="R144" s="68"/>
      <c r="S144" s="68"/>
      <c r="T144" s="68"/>
      <c r="U144" s="56"/>
    </row>
    <row r="145">
      <c r="A145" s="72"/>
      <c r="B145" s="54"/>
      <c r="C145" s="67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68"/>
      <c r="R145" s="68"/>
      <c r="S145" s="68"/>
      <c r="T145" s="68"/>
      <c r="U145" s="56"/>
    </row>
    <row r="146">
      <c r="A146" s="72"/>
      <c r="B146" s="54"/>
      <c r="C146" s="67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68"/>
      <c r="R146" s="68"/>
      <c r="S146" s="68"/>
      <c r="T146" s="68"/>
      <c r="U146" s="56"/>
    </row>
    <row r="147">
      <c r="A147" s="72"/>
      <c r="B147" s="54"/>
      <c r="C147" s="67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68"/>
      <c r="R147" s="68"/>
      <c r="S147" s="68"/>
      <c r="T147" s="68"/>
      <c r="U147" s="56"/>
    </row>
    <row r="148">
      <c r="A148" s="72"/>
      <c r="B148" s="54"/>
      <c r="C148" s="67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68"/>
      <c r="R148" s="68"/>
      <c r="S148" s="68"/>
      <c r="T148" s="68"/>
      <c r="U148" s="56"/>
    </row>
    <row r="149">
      <c r="A149" s="72"/>
      <c r="B149" s="54"/>
      <c r="C149" s="67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68"/>
      <c r="R149" s="68"/>
      <c r="S149" s="68"/>
      <c r="T149" s="68"/>
      <c r="U149" s="56"/>
    </row>
    <row r="150">
      <c r="A150" s="72"/>
      <c r="B150" s="54"/>
      <c r="C150" s="67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68"/>
      <c r="R150" s="68"/>
      <c r="S150" s="68"/>
      <c r="T150" s="68"/>
      <c r="U150" s="56"/>
    </row>
    <row r="151">
      <c r="A151" s="72"/>
      <c r="B151" s="54"/>
      <c r="C151" s="67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68"/>
      <c r="R151" s="68"/>
      <c r="S151" s="68"/>
      <c r="T151" s="68"/>
      <c r="U151" s="56"/>
    </row>
    <row r="152">
      <c r="A152" s="72"/>
      <c r="B152" s="54"/>
      <c r="C152" s="67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68"/>
      <c r="R152" s="68"/>
      <c r="S152" s="68"/>
      <c r="T152" s="68"/>
      <c r="U152" s="56"/>
    </row>
    <row r="153">
      <c r="A153" s="72"/>
      <c r="B153" s="54"/>
      <c r="C153" s="67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68"/>
      <c r="R153" s="68"/>
      <c r="S153" s="68"/>
      <c r="T153" s="68"/>
      <c r="U153" s="56"/>
    </row>
    <row r="154">
      <c r="A154" s="72"/>
      <c r="B154" s="54"/>
      <c r="C154" s="67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68"/>
      <c r="R154" s="68"/>
      <c r="S154" s="68"/>
      <c r="T154" s="68"/>
      <c r="U154" s="56"/>
    </row>
    <row r="155">
      <c r="A155" s="72"/>
      <c r="B155" s="54"/>
      <c r="C155" s="67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68"/>
      <c r="R155" s="68"/>
      <c r="S155" s="68"/>
      <c r="T155" s="68"/>
      <c r="U155" s="56"/>
    </row>
    <row r="156">
      <c r="A156" s="72"/>
      <c r="B156" s="54"/>
      <c r="C156" s="67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68"/>
      <c r="R156" s="68"/>
      <c r="S156" s="68"/>
      <c r="T156" s="68"/>
      <c r="U156" s="56"/>
    </row>
    <row r="157">
      <c r="A157" s="72"/>
      <c r="B157" s="54"/>
      <c r="C157" s="67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68"/>
      <c r="R157" s="68"/>
      <c r="S157" s="68"/>
      <c r="T157" s="68"/>
      <c r="U157" s="56"/>
    </row>
    <row r="158">
      <c r="A158" s="72"/>
      <c r="B158" s="54"/>
      <c r="C158" s="67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68"/>
      <c r="R158" s="68"/>
      <c r="S158" s="68"/>
      <c r="T158" s="68"/>
      <c r="U158" s="56"/>
    </row>
    <row r="159">
      <c r="A159" s="72"/>
      <c r="B159" s="54"/>
      <c r="C159" s="67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68"/>
      <c r="R159" s="68"/>
      <c r="S159" s="68"/>
      <c r="T159" s="68"/>
      <c r="U159" s="56"/>
    </row>
    <row r="160">
      <c r="A160" s="72"/>
      <c r="B160" s="54"/>
      <c r="C160" s="67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68"/>
      <c r="R160" s="68"/>
      <c r="S160" s="68"/>
      <c r="T160" s="68"/>
      <c r="U160" s="56"/>
    </row>
    <row r="161">
      <c r="A161" s="72"/>
      <c r="B161" s="54"/>
      <c r="C161" s="67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68"/>
      <c r="R161" s="68"/>
      <c r="S161" s="68"/>
      <c r="T161" s="68"/>
      <c r="U161" s="56"/>
    </row>
    <row r="162">
      <c r="A162" s="72"/>
      <c r="B162" s="54"/>
      <c r="C162" s="67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68"/>
      <c r="R162" s="68"/>
      <c r="S162" s="68"/>
      <c r="T162" s="68"/>
      <c r="U162" s="56"/>
    </row>
    <row r="163">
      <c r="A163" s="72"/>
      <c r="B163" s="54"/>
      <c r="C163" s="67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68"/>
      <c r="R163" s="68"/>
      <c r="S163" s="68"/>
      <c r="T163" s="68"/>
      <c r="U163" s="56"/>
    </row>
    <row r="164">
      <c r="A164" s="72"/>
      <c r="B164" s="54"/>
      <c r="C164" s="67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68"/>
      <c r="R164" s="68"/>
      <c r="S164" s="68"/>
      <c r="T164" s="68"/>
      <c r="U164" s="56"/>
    </row>
    <row r="165">
      <c r="A165" s="72"/>
      <c r="B165" s="54"/>
      <c r="C165" s="67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68"/>
      <c r="R165" s="68"/>
      <c r="S165" s="68"/>
      <c r="T165" s="68"/>
      <c r="U165" s="56"/>
    </row>
    <row r="166">
      <c r="A166" s="72"/>
      <c r="B166" s="54"/>
      <c r="C166" s="67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68"/>
      <c r="R166" s="68"/>
      <c r="S166" s="68"/>
      <c r="T166" s="68"/>
      <c r="U166" s="56"/>
    </row>
    <row r="167">
      <c r="A167" s="72"/>
      <c r="B167" s="54"/>
      <c r="C167" s="67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68"/>
      <c r="R167" s="68"/>
      <c r="S167" s="68"/>
      <c r="T167" s="68"/>
      <c r="U167" s="56"/>
    </row>
    <row r="168">
      <c r="A168" s="72"/>
      <c r="B168" s="54"/>
      <c r="C168" s="67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68"/>
      <c r="R168" s="68"/>
      <c r="S168" s="68"/>
      <c r="T168" s="68"/>
      <c r="U168" s="56"/>
    </row>
    <row r="169">
      <c r="A169" s="72"/>
      <c r="B169" s="54"/>
      <c r="C169" s="67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68"/>
      <c r="R169" s="68"/>
      <c r="S169" s="68"/>
      <c r="T169" s="68"/>
      <c r="U169" s="56"/>
    </row>
    <row r="170">
      <c r="A170" s="72"/>
      <c r="B170" s="54"/>
      <c r="C170" s="67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68"/>
      <c r="R170" s="68"/>
      <c r="S170" s="68"/>
      <c r="T170" s="68"/>
      <c r="U170" s="56"/>
    </row>
    <row r="171">
      <c r="A171" s="72"/>
      <c r="B171" s="54"/>
      <c r="C171" s="67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68"/>
      <c r="R171" s="68"/>
      <c r="S171" s="68"/>
      <c r="T171" s="68"/>
      <c r="U171" s="56"/>
    </row>
    <row r="172">
      <c r="A172" s="72"/>
      <c r="B172" s="54"/>
      <c r="C172" s="67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68"/>
      <c r="R172" s="68"/>
      <c r="S172" s="68"/>
      <c r="T172" s="68"/>
      <c r="U172" s="56"/>
    </row>
    <row r="173">
      <c r="A173" s="72"/>
      <c r="B173" s="54"/>
      <c r="C173" s="67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68"/>
      <c r="R173" s="68"/>
      <c r="S173" s="68"/>
      <c r="T173" s="68"/>
      <c r="U173" s="56"/>
    </row>
    <row r="174">
      <c r="A174" s="72"/>
      <c r="B174" s="54"/>
      <c r="C174" s="67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68"/>
      <c r="R174" s="68"/>
      <c r="S174" s="68"/>
      <c r="T174" s="68"/>
      <c r="U174" s="56"/>
    </row>
    <row r="175">
      <c r="A175" s="72"/>
      <c r="B175" s="54"/>
      <c r="C175" s="67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68"/>
      <c r="R175" s="68"/>
      <c r="S175" s="68"/>
      <c r="T175" s="68"/>
      <c r="U175" s="56"/>
    </row>
    <row r="176">
      <c r="A176" s="72"/>
      <c r="B176" s="54"/>
      <c r="C176" s="67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68"/>
      <c r="R176" s="68"/>
      <c r="S176" s="68"/>
      <c r="T176" s="68"/>
      <c r="U176" s="56"/>
    </row>
    <row r="177">
      <c r="A177" s="72"/>
      <c r="B177" s="54"/>
      <c r="C177" s="67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68"/>
      <c r="R177" s="68"/>
      <c r="S177" s="68"/>
      <c r="T177" s="68"/>
      <c r="U177" s="56"/>
    </row>
    <row r="178">
      <c r="A178" s="72"/>
      <c r="B178" s="54"/>
      <c r="C178" s="67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68"/>
      <c r="R178" s="68"/>
      <c r="S178" s="68"/>
      <c r="T178" s="68"/>
      <c r="U178" s="56"/>
    </row>
    <row r="179">
      <c r="A179" s="72"/>
      <c r="B179" s="54"/>
      <c r="C179" s="67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68"/>
      <c r="R179" s="68"/>
      <c r="S179" s="68"/>
      <c r="T179" s="68"/>
      <c r="U179" s="56"/>
    </row>
    <row r="180">
      <c r="A180" s="72"/>
      <c r="B180" s="54"/>
      <c r="C180" s="67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68"/>
      <c r="R180" s="68"/>
      <c r="S180" s="68"/>
      <c r="T180" s="68"/>
      <c r="U180" s="56"/>
    </row>
    <row r="181">
      <c r="A181" s="72"/>
      <c r="B181" s="54"/>
      <c r="C181" s="67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68"/>
      <c r="R181" s="68"/>
      <c r="S181" s="68"/>
      <c r="T181" s="68"/>
      <c r="U181" s="56"/>
    </row>
    <row r="182">
      <c r="A182" s="72"/>
      <c r="B182" s="54"/>
      <c r="C182" s="67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68"/>
      <c r="R182" s="68"/>
      <c r="S182" s="68"/>
      <c r="T182" s="68"/>
      <c r="U182" s="56"/>
    </row>
    <row r="183">
      <c r="A183" s="72"/>
      <c r="B183" s="54"/>
      <c r="C183" s="67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68"/>
      <c r="R183" s="68"/>
      <c r="S183" s="68"/>
      <c r="T183" s="68"/>
      <c r="U183" s="56"/>
    </row>
    <row r="184">
      <c r="A184" s="72"/>
      <c r="B184" s="54"/>
      <c r="C184" s="67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68"/>
      <c r="R184" s="68"/>
      <c r="S184" s="68"/>
      <c r="T184" s="68"/>
      <c r="U184" s="56"/>
    </row>
    <row r="185">
      <c r="A185" s="72"/>
      <c r="B185" s="54"/>
      <c r="C185" s="67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68"/>
      <c r="R185" s="68"/>
      <c r="S185" s="68"/>
      <c r="T185" s="68"/>
      <c r="U185" s="56"/>
    </row>
    <row r="186">
      <c r="A186" s="72"/>
      <c r="B186" s="54"/>
      <c r="C186" s="67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68"/>
      <c r="R186" s="68"/>
      <c r="S186" s="68"/>
      <c r="T186" s="68"/>
      <c r="U186" s="56"/>
    </row>
    <row r="187">
      <c r="A187" s="72"/>
      <c r="B187" s="54"/>
      <c r="C187" s="67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68"/>
      <c r="R187" s="68"/>
      <c r="S187" s="68"/>
      <c r="T187" s="68"/>
      <c r="U187" s="56"/>
    </row>
    <row r="188">
      <c r="A188" s="72"/>
      <c r="B188" s="54"/>
      <c r="C188" s="67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68"/>
      <c r="R188" s="68"/>
      <c r="S188" s="68"/>
      <c r="T188" s="68"/>
      <c r="U188" s="56"/>
    </row>
    <row r="189">
      <c r="A189" s="72"/>
      <c r="B189" s="54"/>
      <c r="C189" s="67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68"/>
      <c r="R189" s="68"/>
      <c r="S189" s="68"/>
      <c r="T189" s="68"/>
      <c r="U189" s="56"/>
    </row>
    <row r="190">
      <c r="A190" s="72"/>
      <c r="B190" s="54"/>
      <c r="C190" s="67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68"/>
      <c r="R190" s="68"/>
      <c r="S190" s="68"/>
      <c r="T190" s="68"/>
      <c r="U190" s="56"/>
    </row>
    <row r="191">
      <c r="A191" s="72"/>
      <c r="B191" s="54"/>
      <c r="C191" s="67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68"/>
      <c r="R191" s="68"/>
      <c r="S191" s="68"/>
      <c r="T191" s="68"/>
      <c r="U191" s="56"/>
    </row>
    <row r="192">
      <c r="A192" s="72"/>
      <c r="B192" s="54"/>
      <c r="C192" s="67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68"/>
      <c r="R192" s="68"/>
      <c r="S192" s="68"/>
      <c r="T192" s="68"/>
      <c r="U192" s="56"/>
    </row>
    <row r="193">
      <c r="A193" s="72"/>
      <c r="B193" s="54"/>
      <c r="C193" s="67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68"/>
      <c r="R193" s="68"/>
      <c r="S193" s="68"/>
      <c r="T193" s="68"/>
      <c r="U193" s="56"/>
    </row>
    <row r="194">
      <c r="A194" s="72"/>
      <c r="B194" s="54"/>
      <c r="C194" s="67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68"/>
      <c r="R194" s="68"/>
      <c r="S194" s="68"/>
      <c r="T194" s="68"/>
      <c r="U194" s="56"/>
    </row>
    <row r="195">
      <c r="A195" s="72"/>
      <c r="B195" s="54"/>
      <c r="C195" s="67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68"/>
      <c r="R195" s="68"/>
      <c r="S195" s="68"/>
      <c r="T195" s="68"/>
      <c r="U195" s="56"/>
    </row>
    <row r="196">
      <c r="A196" s="72"/>
      <c r="B196" s="54"/>
      <c r="C196" s="67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68"/>
      <c r="R196" s="68"/>
      <c r="S196" s="68"/>
      <c r="T196" s="68"/>
      <c r="U196" s="56"/>
    </row>
    <row r="197">
      <c r="A197" s="72"/>
      <c r="B197" s="54"/>
      <c r="C197" s="67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68"/>
      <c r="R197" s="68"/>
      <c r="S197" s="68"/>
      <c r="T197" s="68"/>
      <c r="U197" s="56"/>
    </row>
    <row r="198">
      <c r="A198" s="72"/>
      <c r="B198" s="54"/>
      <c r="C198" s="67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68"/>
      <c r="R198" s="68"/>
      <c r="S198" s="68"/>
      <c r="T198" s="68"/>
      <c r="U198" s="56"/>
    </row>
    <row r="199">
      <c r="A199" s="72"/>
      <c r="B199" s="54"/>
      <c r="C199" s="67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68"/>
      <c r="R199" s="68"/>
      <c r="S199" s="68"/>
      <c r="T199" s="68"/>
      <c r="U199" s="56"/>
    </row>
    <row r="200">
      <c r="A200" s="72"/>
      <c r="B200" s="54"/>
      <c r="C200" s="67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68"/>
      <c r="R200" s="68"/>
      <c r="S200" s="68"/>
      <c r="T200" s="68"/>
      <c r="U200" s="56"/>
    </row>
    <row r="201">
      <c r="A201" s="72"/>
      <c r="B201" s="54"/>
      <c r="C201" s="67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68"/>
      <c r="R201" s="68"/>
      <c r="S201" s="68"/>
      <c r="T201" s="68"/>
      <c r="U201" s="56"/>
    </row>
    <row r="202">
      <c r="A202" s="72"/>
      <c r="B202" s="54"/>
      <c r="C202" s="67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68"/>
      <c r="R202" s="68"/>
      <c r="S202" s="68"/>
      <c r="T202" s="68"/>
      <c r="U202" s="56"/>
    </row>
    <row r="203">
      <c r="A203" s="72"/>
      <c r="B203" s="54"/>
      <c r="C203" s="67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68"/>
      <c r="R203" s="68"/>
      <c r="S203" s="68"/>
      <c r="T203" s="68"/>
      <c r="U203" s="56"/>
    </row>
    <row r="204">
      <c r="A204" s="72"/>
      <c r="B204" s="54"/>
      <c r="C204" s="67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68"/>
      <c r="R204" s="68"/>
      <c r="S204" s="68"/>
      <c r="T204" s="68"/>
      <c r="U204" s="56"/>
    </row>
    <row r="205">
      <c r="A205" s="72"/>
      <c r="B205" s="54"/>
      <c r="C205" s="67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68"/>
      <c r="R205" s="68"/>
      <c r="S205" s="68"/>
      <c r="T205" s="68"/>
      <c r="U205" s="56"/>
    </row>
    <row r="206">
      <c r="A206" s="72"/>
      <c r="B206" s="54"/>
      <c r="C206" s="67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68"/>
      <c r="R206" s="68"/>
      <c r="S206" s="68"/>
      <c r="T206" s="68"/>
      <c r="U206" s="56"/>
    </row>
    <row r="207">
      <c r="A207" s="72"/>
      <c r="B207" s="54"/>
      <c r="C207" s="67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68"/>
      <c r="R207" s="68"/>
      <c r="S207" s="68"/>
      <c r="T207" s="68"/>
      <c r="U207" s="56"/>
    </row>
    <row r="208">
      <c r="A208" s="72"/>
      <c r="B208" s="54"/>
      <c r="C208" s="67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68"/>
      <c r="R208" s="68"/>
      <c r="S208" s="68"/>
      <c r="T208" s="68"/>
      <c r="U208" s="56"/>
    </row>
    <row r="209">
      <c r="A209" s="72"/>
      <c r="B209" s="54"/>
      <c r="C209" s="67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68"/>
      <c r="R209" s="68"/>
      <c r="S209" s="68"/>
      <c r="T209" s="68"/>
      <c r="U209" s="56"/>
    </row>
    <row r="210">
      <c r="A210" s="72"/>
      <c r="B210" s="54"/>
      <c r="C210" s="67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68"/>
      <c r="R210" s="68"/>
      <c r="S210" s="68"/>
      <c r="T210" s="68"/>
      <c r="U210" s="56"/>
    </row>
    <row r="211">
      <c r="A211" s="72"/>
      <c r="B211" s="54"/>
      <c r="C211" s="67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68"/>
      <c r="R211" s="68"/>
      <c r="S211" s="68"/>
      <c r="T211" s="68"/>
      <c r="U211" s="56"/>
    </row>
    <row r="212">
      <c r="A212" s="72"/>
      <c r="B212" s="54"/>
      <c r="C212" s="67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68"/>
      <c r="R212" s="68"/>
      <c r="S212" s="68"/>
      <c r="T212" s="68"/>
      <c r="U212" s="56"/>
    </row>
    <row r="213">
      <c r="A213" s="72"/>
      <c r="B213" s="54"/>
      <c r="C213" s="67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68"/>
      <c r="R213" s="68"/>
      <c r="S213" s="68"/>
      <c r="T213" s="68"/>
      <c r="U213" s="56"/>
    </row>
    <row r="214">
      <c r="A214" s="72"/>
      <c r="B214" s="54"/>
      <c r="C214" s="67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68"/>
      <c r="R214" s="68"/>
      <c r="S214" s="68"/>
      <c r="T214" s="68"/>
      <c r="U214" s="56"/>
    </row>
    <row r="215">
      <c r="A215" s="72"/>
      <c r="B215" s="54"/>
      <c r="C215" s="67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68"/>
      <c r="R215" s="68"/>
      <c r="S215" s="68"/>
      <c r="T215" s="68"/>
      <c r="U215" s="56"/>
    </row>
    <row r="216">
      <c r="A216" s="72"/>
      <c r="B216" s="54"/>
      <c r="C216" s="67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68"/>
      <c r="R216" s="68"/>
      <c r="S216" s="68"/>
      <c r="T216" s="68"/>
      <c r="U216" s="56"/>
    </row>
    <row r="217">
      <c r="A217" s="72"/>
      <c r="B217" s="54"/>
      <c r="C217" s="67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68"/>
      <c r="R217" s="68"/>
      <c r="S217" s="68"/>
      <c r="T217" s="68"/>
      <c r="U217" s="56"/>
    </row>
    <row r="218">
      <c r="A218" s="72"/>
      <c r="B218" s="54"/>
      <c r="C218" s="67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68"/>
      <c r="R218" s="68"/>
      <c r="S218" s="68"/>
      <c r="T218" s="68"/>
      <c r="U218" s="56"/>
    </row>
    <row r="219">
      <c r="A219" s="72"/>
      <c r="B219" s="54"/>
      <c r="C219" s="67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68"/>
      <c r="R219" s="68"/>
      <c r="S219" s="68"/>
      <c r="T219" s="68"/>
      <c r="U219" s="56"/>
    </row>
    <row r="220">
      <c r="A220" s="72"/>
      <c r="B220" s="54"/>
      <c r="C220" s="67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68"/>
      <c r="R220" s="68"/>
      <c r="S220" s="68"/>
      <c r="T220" s="68"/>
      <c r="U220" s="56"/>
    </row>
    <row r="221">
      <c r="A221" s="72"/>
      <c r="B221" s="54"/>
      <c r="C221" s="67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68"/>
      <c r="R221" s="68"/>
      <c r="S221" s="68"/>
      <c r="T221" s="68"/>
      <c r="U221" s="56"/>
    </row>
    <row r="222">
      <c r="A222" s="72"/>
      <c r="B222" s="54"/>
      <c r="C222" s="67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68"/>
      <c r="R222" s="68"/>
      <c r="S222" s="68"/>
      <c r="T222" s="68"/>
      <c r="U222" s="56"/>
    </row>
    <row r="223">
      <c r="A223" s="72"/>
      <c r="B223" s="54"/>
      <c r="C223" s="67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68"/>
      <c r="R223" s="68"/>
      <c r="S223" s="68"/>
      <c r="T223" s="68"/>
      <c r="U223" s="56"/>
    </row>
    <row r="224">
      <c r="A224" s="72"/>
      <c r="B224" s="54"/>
      <c r="C224" s="67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68"/>
      <c r="R224" s="68"/>
      <c r="S224" s="68"/>
      <c r="T224" s="68"/>
      <c r="U224" s="56"/>
    </row>
    <row r="225">
      <c r="A225" s="72"/>
      <c r="B225" s="54"/>
      <c r="C225" s="67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68"/>
      <c r="R225" s="68"/>
      <c r="S225" s="68"/>
      <c r="T225" s="68"/>
      <c r="U225" s="56"/>
    </row>
    <row r="226">
      <c r="A226" s="72"/>
      <c r="B226" s="54"/>
      <c r="C226" s="67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68"/>
      <c r="R226" s="68"/>
      <c r="S226" s="68"/>
      <c r="T226" s="68"/>
      <c r="U226" s="56"/>
    </row>
    <row r="227">
      <c r="A227" s="72"/>
      <c r="B227" s="54"/>
      <c r="C227" s="67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68"/>
      <c r="R227" s="68"/>
      <c r="S227" s="68"/>
      <c r="T227" s="68"/>
      <c r="U227" s="56"/>
    </row>
    <row r="228">
      <c r="A228" s="72"/>
      <c r="B228" s="54"/>
      <c r="C228" s="67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68"/>
      <c r="R228" s="68"/>
      <c r="S228" s="68"/>
      <c r="T228" s="68"/>
      <c r="U228" s="56"/>
    </row>
    <row r="229">
      <c r="A229" s="72"/>
      <c r="B229" s="54"/>
      <c r="C229" s="67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68"/>
      <c r="R229" s="68"/>
      <c r="S229" s="68"/>
      <c r="T229" s="68"/>
      <c r="U229" s="56"/>
    </row>
    <row r="230">
      <c r="A230" s="72"/>
      <c r="B230" s="54"/>
      <c r="C230" s="67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68"/>
      <c r="R230" s="68"/>
      <c r="S230" s="68"/>
      <c r="T230" s="68"/>
      <c r="U230" s="56"/>
    </row>
    <row r="231">
      <c r="A231" s="72"/>
      <c r="B231" s="54"/>
      <c r="C231" s="67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68"/>
      <c r="R231" s="68"/>
      <c r="S231" s="68"/>
      <c r="T231" s="68"/>
      <c r="U231" s="56"/>
    </row>
    <row r="232">
      <c r="A232" s="72"/>
      <c r="B232" s="54"/>
      <c r="C232" s="67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68"/>
      <c r="R232" s="68"/>
      <c r="S232" s="68"/>
      <c r="T232" s="68"/>
      <c r="U232" s="56"/>
    </row>
    <row r="233">
      <c r="A233" s="72"/>
      <c r="B233" s="54"/>
      <c r="C233" s="67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68"/>
      <c r="R233" s="68"/>
      <c r="S233" s="68"/>
      <c r="T233" s="68"/>
      <c r="U233" s="56"/>
    </row>
    <row r="234">
      <c r="A234" s="72"/>
      <c r="B234" s="54"/>
      <c r="C234" s="67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68"/>
      <c r="R234" s="68"/>
      <c r="S234" s="68"/>
      <c r="T234" s="68"/>
      <c r="U234" s="56"/>
    </row>
    <row r="235">
      <c r="A235" s="72"/>
      <c r="B235" s="54"/>
      <c r="C235" s="67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68"/>
      <c r="R235" s="68"/>
      <c r="S235" s="68"/>
      <c r="T235" s="68"/>
      <c r="U235" s="56"/>
    </row>
    <row r="236">
      <c r="A236" s="72"/>
      <c r="B236" s="54"/>
      <c r="C236" s="67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68"/>
      <c r="R236" s="68"/>
      <c r="S236" s="68"/>
      <c r="T236" s="68"/>
      <c r="U236" s="56"/>
    </row>
    <row r="237">
      <c r="A237" s="72"/>
      <c r="B237" s="54"/>
      <c r="C237" s="67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68"/>
      <c r="R237" s="68"/>
      <c r="S237" s="68"/>
      <c r="T237" s="68"/>
      <c r="U237" s="56"/>
    </row>
    <row r="238">
      <c r="A238" s="72"/>
      <c r="B238" s="54"/>
      <c r="C238" s="67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68"/>
      <c r="R238" s="68"/>
      <c r="S238" s="68"/>
      <c r="T238" s="68"/>
      <c r="U238" s="56"/>
    </row>
    <row r="239">
      <c r="A239" s="72"/>
      <c r="B239" s="54"/>
      <c r="C239" s="67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68"/>
      <c r="R239" s="68"/>
      <c r="S239" s="68"/>
      <c r="T239" s="68"/>
      <c r="U239" s="56"/>
    </row>
    <row r="240">
      <c r="A240" s="72"/>
      <c r="B240" s="54"/>
      <c r="C240" s="67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68"/>
      <c r="R240" s="68"/>
      <c r="S240" s="68"/>
      <c r="T240" s="68"/>
      <c r="U240" s="56"/>
    </row>
    <row r="241">
      <c r="A241" s="72"/>
      <c r="B241" s="54"/>
      <c r="C241" s="67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68"/>
      <c r="R241" s="68"/>
      <c r="S241" s="68"/>
      <c r="T241" s="68"/>
      <c r="U241" s="56"/>
    </row>
    <row r="242">
      <c r="A242" s="72"/>
      <c r="B242" s="54"/>
      <c r="C242" s="67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68"/>
      <c r="R242" s="68"/>
      <c r="S242" s="68"/>
      <c r="T242" s="68"/>
      <c r="U242" s="56"/>
    </row>
    <row r="243">
      <c r="A243" s="72"/>
      <c r="B243" s="54"/>
      <c r="C243" s="67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68"/>
      <c r="R243" s="68"/>
      <c r="S243" s="68"/>
      <c r="T243" s="68"/>
      <c r="U243" s="56"/>
    </row>
    <row r="244">
      <c r="A244" s="72"/>
      <c r="B244" s="54"/>
      <c r="C244" s="67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68"/>
      <c r="R244" s="68"/>
      <c r="S244" s="68"/>
      <c r="T244" s="68"/>
      <c r="U244" s="56"/>
    </row>
    <row r="245">
      <c r="A245" s="72"/>
      <c r="B245" s="54"/>
      <c r="C245" s="67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68"/>
      <c r="R245" s="68"/>
      <c r="S245" s="68"/>
      <c r="T245" s="68"/>
      <c r="U245" s="56"/>
    </row>
    <row r="246">
      <c r="A246" s="72"/>
      <c r="B246" s="54"/>
      <c r="C246" s="67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68"/>
      <c r="R246" s="68"/>
      <c r="S246" s="68"/>
      <c r="T246" s="68"/>
      <c r="U246" s="56"/>
    </row>
    <row r="247">
      <c r="A247" s="72"/>
      <c r="B247" s="54"/>
      <c r="C247" s="67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68"/>
      <c r="R247" s="68"/>
      <c r="S247" s="68"/>
      <c r="T247" s="68"/>
      <c r="U247" s="56"/>
    </row>
    <row r="248">
      <c r="A248" s="72"/>
      <c r="B248" s="54"/>
      <c r="C248" s="67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68"/>
      <c r="R248" s="68"/>
      <c r="S248" s="68"/>
      <c r="T248" s="68"/>
      <c r="U248" s="56"/>
    </row>
    <row r="249">
      <c r="A249" s="72"/>
      <c r="B249" s="54"/>
      <c r="C249" s="67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68"/>
      <c r="R249" s="68"/>
      <c r="S249" s="68"/>
      <c r="T249" s="68"/>
      <c r="U249" s="56"/>
    </row>
    <row r="250">
      <c r="A250" s="72"/>
      <c r="B250" s="54"/>
      <c r="C250" s="67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68"/>
      <c r="R250" s="68"/>
      <c r="S250" s="68"/>
      <c r="T250" s="68"/>
      <c r="U250" s="56"/>
    </row>
    <row r="251">
      <c r="A251" s="72"/>
      <c r="B251" s="54"/>
      <c r="C251" s="67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68"/>
      <c r="R251" s="68"/>
      <c r="S251" s="68"/>
      <c r="T251" s="68"/>
      <c r="U251" s="56"/>
    </row>
    <row r="252">
      <c r="A252" s="72"/>
      <c r="B252" s="54"/>
      <c r="C252" s="67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68"/>
      <c r="R252" s="68"/>
      <c r="S252" s="68"/>
      <c r="T252" s="68"/>
      <c r="U252" s="56"/>
    </row>
    <row r="253">
      <c r="A253" s="72"/>
      <c r="B253" s="54"/>
      <c r="C253" s="67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68"/>
      <c r="R253" s="68"/>
      <c r="S253" s="68"/>
      <c r="T253" s="68"/>
      <c r="U253" s="56"/>
    </row>
    <row r="254">
      <c r="A254" s="72"/>
      <c r="B254" s="54"/>
      <c r="C254" s="67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68"/>
      <c r="R254" s="68"/>
      <c r="S254" s="68"/>
      <c r="T254" s="68"/>
      <c r="U254" s="56"/>
    </row>
    <row r="255">
      <c r="A255" s="72"/>
      <c r="B255" s="54"/>
      <c r="C255" s="67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68"/>
      <c r="R255" s="68"/>
      <c r="S255" s="68"/>
      <c r="T255" s="68"/>
      <c r="U255" s="56"/>
    </row>
    <row r="256">
      <c r="A256" s="72"/>
      <c r="B256" s="54"/>
      <c r="C256" s="67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68"/>
      <c r="R256" s="68"/>
      <c r="S256" s="68"/>
      <c r="T256" s="68"/>
      <c r="U256" s="56"/>
    </row>
    <row r="257">
      <c r="A257" s="72"/>
      <c r="B257" s="54"/>
      <c r="C257" s="67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68"/>
      <c r="R257" s="68"/>
      <c r="S257" s="68"/>
      <c r="T257" s="68"/>
      <c r="U257" s="56"/>
    </row>
    <row r="258">
      <c r="A258" s="72"/>
      <c r="B258" s="54"/>
      <c r="C258" s="67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68"/>
      <c r="R258" s="68"/>
      <c r="S258" s="68"/>
      <c r="T258" s="68"/>
      <c r="U258" s="56"/>
    </row>
    <row r="259">
      <c r="A259" s="72"/>
      <c r="B259" s="54"/>
      <c r="C259" s="67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68"/>
      <c r="R259" s="68"/>
      <c r="S259" s="68"/>
      <c r="T259" s="68"/>
      <c r="U259" s="56"/>
    </row>
    <row r="260">
      <c r="A260" s="72"/>
      <c r="B260" s="54"/>
      <c r="C260" s="67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68"/>
      <c r="R260" s="68"/>
      <c r="S260" s="68"/>
      <c r="T260" s="68"/>
      <c r="U260" s="56"/>
    </row>
    <row r="261">
      <c r="A261" s="72"/>
      <c r="B261" s="54"/>
      <c r="C261" s="67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68"/>
      <c r="R261" s="68"/>
      <c r="S261" s="68"/>
      <c r="T261" s="68"/>
      <c r="U261" s="56"/>
    </row>
    <row r="262">
      <c r="A262" s="72"/>
      <c r="B262" s="54"/>
      <c r="C262" s="67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68"/>
      <c r="R262" s="68"/>
      <c r="S262" s="68"/>
      <c r="T262" s="68"/>
      <c r="U262" s="56"/>
    </row>
    <row r="263">
      <c r="A263" s="72"/>
      <c r="B263" s="54"/>
      <c r="C263" s="67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68"/>
      <c r="R263" s="68"/>
      <c r="S263" s="68"/>
      <c r="T263" s="68"/>
      <c r="U263" s="56"/>
    </row>
    <row r="264">
      <c r="A264" s="72"/>
      <c r="B264" s="54"/>
      <c r="C264" s="67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68"/>
      <c r="R264" s="68"/>
      <c r="S264" s="68"/>
      <c r="T264" s="68"/>
      <c r="U264" s="56"/>
    </row>
    <row r="265">
      <c r="A265" s="72"/>
      <c r="B265" s="54"/>
      <c r="C265" s="67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68"/>
      <c r="R265" s="68"/>
      <c r="S265" s="68"/>
      <c r="T265" s="68"/>
      <c r="U265" s="56"/>
    </row>
    <row r="266">
      <c r="A266" s="72"/>
      <c r="B266" s="54"/>
      <c r="C266" s="67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68"/>
      <c r="R266" s="68"/>
      <c r="S266" s="68"/>
      <c r="T266" s="68"/>
      <c r="U266" s="56"/>
    </row>
    <row r="267">
      <c r="A267" s="72"/>
      <c r="B267" s="54"/>
      <c r="C267" s="67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68"/>
      <c r="R267" s="68"/>
      <c r="S267" s="68"/>
      <c r="T267" s="68"/>
      <c r="U267" s="56"/>
    </row>
    <row r="268">
      <c r="A268" s="72"/>
      <c r="B268" s="54"/>
      <c r="C268" s="67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68"/>
      <c r="R268" s="68"/>
      <c r="S268" s="68"/>
      <c r="T268" s="68"/>
      <c r="U268" s="56"/>
    </row>
    <row r="269">
      <c r="A269" s="72"/>
      <c r="B269" s="54"/>
      <c r="C269" s="67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68"/>
      <c r="R269" s="68"/>
      <c r="S269" s="68"/>
      <c r="T269" s="68"/>
      <c r="U269" s="56"/>
    </row>
    <row r="270">
      <c r="A270" s="72"/>
      <c r="B270" s="54"/>
      <c r="C270" s="67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68"/>
      <c r="R270" s="68"/>
      <c r="S270" s="68"/>
      <c r="T270" s="68"/>
      <c r="U270" s="56"/>
    </row>
    <row r="271">
      <c r="A271" s="72"/>
      <c r="B271" s="54"/>
      <c r="C271" s="67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68"/>
      <c r="R271" s="68"/>
      <c r="S271" s="68"/>
      <c r="T271" s="68"/>
      <c r="U271" s="56"/>
    </row>
    <row r="272">
      <c r="A272" s="72"/>
      <c r="B272" s="54"/>
      <c r="C272" s="67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68"/>
      <c r="R272" s="68"/>
      <c r="S272" s="68"/>
      <c r="T272" s="68"/>
      <c r="U272" s="56"/>
    </row>
    <row r="273">
      <c r="A273" s="72"/>
      <c r="B273" s="54"/>
      <c r="C273" s="67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68"/>
      <c r="R273" s="68"/>
      <c r="S273" s="68"/>
      <c r="T273" s="68"/>
      <c r="U273" s="56"/>
    </row>
    <row r="274">
      <c r="A274" s="72"/>
      <c r="B274" s="54"/>
      <c r="C274" s="67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68"/>
      <c r="R274" s="68"/>
      <c r="S274" s="68"/>
      <c r="T274" s="68"/>
      <c r="U274" s="56"/>
    </row>
    <row r="275">
      <c r="A275" s="72"/>
      <c r="B275" s="54"/>
      <c r="C275" s="67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68"/>
      <c r="R275" s="68"/>
      <c r="S275" s="68"/>
      <c r="T275" s="68"/>
      <c r="U275" s="56"/>
    </row>
    <row r="276">
      <c r="A276" s="72"/>
      <c r="B276" s="54"/>
      <c r="C276" s="67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68"/>
      <c r="R276" s="68"/>
      <c r="S276" s="68"/>
      <c r="T276" s="68"/>
      <c r="U276" s="56"/>
    </row>
    <row r="277">
      <c r="A277" s="72"/>
      <c r="B277" s="54"/>
      <c r="C277" s="67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68"/>
      <c r="R277" s="68"/>
      <c r="S277" s="68"/>
      <c r="T277" s="68"/>
      <c r="U277" s="56"/>
    </row>
    <row r="278">
      <c r="A278" s="72"/>
      <c r="B278" s="54"/>
      <c r="C278" s="67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68"/>
      <c r="R278" s="68"/>
      <c r="S278" s="68"/>
      <c r="T278" s="68"/>
      <c r="U278" s="56"/>
    </row>
    <row r="279">
      <c r="A279" s="72"/>
      <c r="B279" s="54"/>
      <c r="C279" s="67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68"/>
      <c r="R279" s="68"/>
      <c r="S279" s="68"/>
      <c r="T279" s="68"/>
      <c r="U279" s="56"/>
    </row>
    <row r="280">
      <c r="A280" s="72"/>
      <c r="B280" s="54"/>
      <c r="C280" s="67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68"/>
      <c r="R280" s="68"/>
      <c r="S280" s="68"/>
      <c r="T280" s="68"/>
      <c r="U280" s="56"/>
    </row>
    <row r="281">
      <c r="A281" s="72"/>
      <c r="B281" s="54"/>
      <c r="C281" s="67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68"/>
      <c r="R281" s="68"/>
      <c r="S281" s="68"/>
      <c r="T281" s="68"/>
      <c r="U281" s="56"/>
    </row>
    <row r="282">
      <c r="A282" s="72"/>
      <c r="B282" s="54"/>
      <c r="C282" s="67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68"/>
      <c r="R282" s="68"/>
      <c r="S282" s="68"/>
      <c r="T282" s="68"/>
      <c r="U282" s="56"/>
    </row>
    <row r="283">
      <c r="A283" s="72"/>
      <c r="B283" s="54"/>
      <c r="C283" s="67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68"/>
      <c r="R283" s="68"/>
      <c r="S283" s="68"/>
      <c r="T283" s="68"/>
      <c r="U283" s="56"/>
    </row>
    <row r="284">
      <c r="A284" s="72"/>
      <c r="B284" s="54"/>
      <c r="C284" s="67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68"/>
      <c r="R284" s="68"/>
      <c r="S284" s="68"/>
      <c r="T284" s="68"/>
      <c r="U284" s="56"/>
    </row>
    <row r="285">
      <c r="A285" s="72"/>
      <c r="B285" s="54"/>
      <c r="C285" s="67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68"/>
      <c r="R285" s="68"/>
      <c r="S285" s="68"/>
      <c r="T285" s="68"/>
      <c r="U285" s="56"/>
    </row>
    <row r="286">
      <c r="A286" s="72"/>
      <c r="B286" s="54"/>
      <c r="C286" s="67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68"/>
      <c r="R286" s="68"/>
      <c r="S286" s="68"/>
      <c r="T286" s="68"/>
      <c r="U286" s="56"/>
    </row>
    <row r="287">
      <c r="A287" s="72"/>
      <c r="B287" s="54"/>
      <c r="C287" s="67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68"/>
      <c r="R287" s="68"/>
      <c r="S287" s="68"/>
      <c r="T287" s="68"/>
      <c r="U287" s="56"/>
    </row>
    <row r="288">
      <c r="A288" s="72"/>
      <c r="B288" s="54"/>
      <c r="C288" s="67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68"/>
      <c r="R288" s="68"/>
      <c r="S288" s="68"/>
      <c r="T288" s="68"/>
      <c r="U288" s="56"/>
    </row>
    <row r="289">
      <c r="A289" s="72"/>
      <c r="B289" s="54"/>
      <c r="C289" s="67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68"/>
      <c r="R289" s="68"/>
      <c r="S289" s="68"/>
      <c r="T289" s="68"/>
      <c r="U289" s="56"/>
    </row>
    <row r="290">
      <c r="A290" s="72"/>
      <c r="B290" s="54"/>
      <c r="C290" s="67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68"/>
      <c r="R290" s="68"/>
      <c r="S290" s="68"/>
      <c r="T290" s="68"/>
      <c r="U290" s="56"/>
    </row>
    <row r="291">
      <c r="A291" s="72"/>
      <c r="B291" s="54"/>
      <c r="C291" s="67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68"/>
      <c r="R291" s="68"/>
      <c r="S291" s="68"/>
      <c r="T291" s="68"/>
      <c r="U291" s="56"/>
    </row>
    <row r="292">
      <c r="A292" s="72"/>
      <c r="B292" s="54"/>
      <c r="C292" s="67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68"/>
      <c r="R292" s="68"/>
      <c r="S292" s="68"/>
      <c r="T292" s="68"/>
      <c r="U292" s="56"/>
    </row>
    <row r="293">
      <c r="A293" s="72"/>
      <c r="B293" s="54"/>
      <c r="C293" s="67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68"/>
      <c r="R293" s="68"/>
      <c r="S293" s="68"/>
      <c r="T293" s="68"/>
      <c r="U293" s="56"/>
    </row>
    <row r="294">
      <c r="A294" s="72"/>
      <c r="B294" s="54"/>
      <c r="C294" s="67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68"/>
      <c r="R294" s="68"/>
      <c r="S294" s="68"/>
      <c r="T294" s="68"/>
      <c r="U294" s="56"/>
    </row>
    <row r="295">
      <c r="A295" s="72"/>
      <c r="B295" s="54"/>
      <c r="C295" s="67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68"/>
      <c r="R295" s="68"/>
      <c r="S295" s="68"/>
      <c r="T295" s="68"/>
      <c r="U295" s="56"/>
    </row>
    <row r="296">
      <c r="A296" s="72"/>
      <c r="B296" s="54"/>
      <c r="C296" s="67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68"/>
      <c r="R296" s="68"/>
      <c r="S296" s="68"/>
      <c r="T296" s="68"/>
      <c r="U296" s="56"/>
    </row>
    <row r="297">
      <c r="A297" s="72"/>
      <c r="B297" s="54"/>
      <c r="C297" s="67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68"/>
      <c r="R297" s="68"/>
      <c r="S297" s="68"/>
      <c r="T297" s="68"/>
      <c r="U297" s="56"/>
    </row>
    <row r="298">
      <c r="A298" s="72"/>
      <c r="B298" s="54"/>
      <c r="C298" s="67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68"/>
      <c r="R298" s="68"/>
      <c r="S298" s="68"/>
      <c r="T298" s="68"/>
      <c r="U298" s="56"/>
    </row>
    <row r="299">
      <c r="A299" s="72"/>
      <c r="B299" s="54"/>
      <c r="C299" s="67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68"/>
      <c r="R299" s="68"/>
      <c r="S299" s="68"/>
      <c r="T299" s="68"/>
      <c r="U299" s="56"/>
    </row>
    <row r="300">
      <c r="A300" s="72"/>
      <c r="B300" s="54"/>
      <c r="C300" s="67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68"/>
      <c r="R300" s="68"/>
      <c r="S300" s="68"/>
      <c r="T300" s="68"/>
      <c r="U300" s="56"/>
    </row>
    <row r="301">
      <c r="A301" s="72"/>
      <c r="B301" s="54"/>
      <c r="C301" s="67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68"/>
      <c r="R301" s="68"/>
      <c r="S301" s="68"/>
      <c r="T301" s="68"/>
      <c r="U301" s="56"/>
    </row>
    <row r="302">
      <c r="A302" s="72"/>
      <c r="B302" s="54"/>
      <c r="C302" s="67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68"/>
      <c r="R302" s="68"/>
      <c r="S302" s="68"/>
      <c r="T302" s="68"/>
      <c r="U302" s="56"/>
    </row>
    <row r="303">
      <c r="A303" s="72"/>
      <c r="B303" s="54"/>
      <c r="C303" s="67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68"/>
      <c r="R303" s="68"/>
      <c r="S303" s="68"/>
      <c r="T303" s="68"/>
      <c r="U303" s="56"/>
    </row>
    <row r="304">
      <c r="A304" s="72"/>
      <c r="B304" s="54"/>
      <c r="C304" s="67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68"/>
      <c r="R304" s="68"/>
      <c r="S304" s="68"/>
      <c r="T304" s="68"/>
      <c r="U304" s="56"/>
    </row>
    <row r="305">
      <c r="A305" s="72"/>
      <c r="B305" s="54"/>
      <c r="C305" s="67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68"/>
      <c r="R305" s="68"/>
      <c r="S305" s="68"/>
      <c r="T305" s="68"/>
      <c r="U305" s="56"/>
    </row>
    <row r="306">
      <c r="A306" s="72"/>
      <c r="B306" s="54"/>
      <c r="C306" s="67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68"/>
      <c r="R306" s="68"/>
      <c r="S306" s="68"/>
      <c r="T306" s="68"/>
      <c r="U306" s="56"/>
    </row>
    <row r="307">
      <c r="A307" s="72"/>
      <c r="B307" s="54"/>
      <c r="C307" s="67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68"/>
      <c r="R307" s="68"/>
      <c r="S307" s="68"/>
      <c r="T307" s="68"/>
      <c r="U307" s="56"/>
    </row>
    <row r="308">
      <c r="A308" s="72"/>
      <c r="B308" s="54"/>
      <c r="C308" s="67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68"/>
      <c r="R308" s="68"/>
      <c r="S308" s="68"/>
      <c r="T308" s="68"/>
      <c r="U308" s="56"/>
    </row>
    <row r="309">
      <c r="A309" s="72"/>
      <c r="B309" s="54"/>
      <c r="C309" s="67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68"/>
      <c r="R309" s="68"/>
      <c r="S309" s="68"/>
      <c r="T309" s="68"/>
      <c r="U309" s="56"/>
    </row>
    <row r="310">
      <c r="A310" s="72"/>
      <c r="B310" s="54"/>
      <c r="C310" s="67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68"/>
      <c r="R310" s="68"/>
      <c r="S310" s="68"/>
      <c r="T310" s="68"/>
      <c r="U310" s="56"/>
    </row>
    <row r="311">
      <c r="A311" s="72"/>
      <c r="B311" s="54"/>
      <c r="C311" s="67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68"/>
      <c r="R311" s="68"/>
      <c r="S311" s="68"/>
      <c r="T311" s="68"/>
      <c r="U311" s="56"/>
    </row>
    <row r="312">
      <c r="A312" s="72"/>
      <c r="B312" s="54"/>
      <c r="C312" s="67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68"/>
      <c r="R312" s="68"/>
      <c r="S312" s="68"/>
      <c r="T312" s="68"/>
      <c r="U312" s="56"/>
    </row>
    <row r="313">
      <c r="A313" s="72"/>
      <c r="B313" s="54"/>
      <c r="C313" s="67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68"/>
      <c r="R313" s="68"/>
      <c r="S313" s="68"/>
      <c r="T313" s="68"/>
      <c r="U313" s="56"/>
    </row>
    <row r="314">
      <c r="A314" s="72"/>
      <c r="B314" s="54"/>
      <c r="C314" s="67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68"/>
      <c r="R314" s="68"/>
      <c r="S314" s="68"/>
      <c r="T314" s="68"/>
      <c r="U314" s="56"/>
    </row>
    <row r="315">
      <c r="A315" s="72"/>
      <c r="B315" s="54"/>
      <c r="C315" s="67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68"/>
      <c r="R315" s="68"/>
      <c r="S315" s="68"/>
      <c r="T315" s="68"/>
      <c r="U315" s="56"/>
    </row>
    <row r="316">
      <c r="A316" s="72"/>
      <c r="B316" s="54"/>
      <c r="C316" s="67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68"/>
      <c r="R316" s="68"/>
      <c r="S316" s="68"/>
      <c r="T316" s="68"/>
      <c r="U316" s="56"/>
    </row>
    <row r="317">
      <c r="A317" s="72"/>
      <c r="B317" s="54"/>
      <c r="C317" s="67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68"/>
      <c r="R317" s="68"/>
      <c r="S317" s="68"/>
      <c r="T317" s="68"/>
      <c r="U317" s="56"/>
    </row>
    <row r="318">
      <c r="A318" s="72"/>
      <c r="B318" s="54"/>
      <c r="C318" s="67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68"/>
      <c r="R318" s="68"/>
      <c r="S318" s="68"/>
      <c r="T318" s="68"/>
      <c r="U318" s="56"/>
    </row>
    <row r="319">
      <c r="A319" s="72"/>
      <c r="B319" s="54"/>
      <c r="C319" s="67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68"/>
      <c r="R319" s="68"/>
      <c r="S319" s="68"/>
      <c r="T319" s="68"/>
      <c r="U319" s="56"/>
    </row>
    <row r="320">
      <c r="A320" s="72"/>
      <c r="B320" s="54"/>
      <c r="C320" s="67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68"/>
      <c r="R320" s="68"/>
      <c r="S320" s="68"/>
      <c r="T320" s="68"/>
      <c r="U320" s="56"/>
    </row>
    <row r="321">
      <c r="A321" s="72"/>
      <c r="B321" s="54"/>
      <c r="C321" s="67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68"/>
      <c r="R321" s="68"/>
      <c r="S321" s="68"/>
      <c r="T321" s="68"/>
      <c r="U321" s="56"/>
    </row>
    <row r="322">
      <c r="A322" s="72"/>
      <c r="B322" s="54"/>
      <c r="C322" s="67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68"/>
      <c r="R322" s="68"/>
      <c r="S322" s="68"/>
      <c r="T322" s="68"/>
      <c r="U322" s="56"/>
    </row>
    <row r="323">
      <c r="A323" s="72"/>
      <c r="B323" s="54"/>
      <c r="C323" s="67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68"/>
      <c r="R323" s="68"/>
      <c r="S323" s="68"/>
      <c r="T323" s="68"/>
      <c r="U323" s="56"/>
    </row>
    <row r="324">
      <c r="A324" s="72"/>
      <c r="B324" s="54"/>
      <c r="C324" s="67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68"/>
      <c r="R324" s="68"/>
      <c r="S324" s="68"/>
      <c r="T324" s="68"/>
      <c r="U324" s="56"/>
    </row>
    <row r="325">
      <c r="A325" s="72"/>
      <c r="B325" s="54"/>
      <c r="C325" s="67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68"/>
      <c r="R325" s="68"/>
      <c r="S325" s="68"/>
      <c r="T325" s="68"/>
      <c r="U325" s="56"/>
    </row>
    <row r="326">
      <c r="A326" s="72"/>
      <c r="B326" s="54"/>
      <c r="C326" s="67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68"/>
      <c r="R326" s="68"/>
      <c r="S326" s="68"/>
      <c r="T326" s="68"/>
      <c r="U326" s="56"/>
    </row>
    <row r="327">
      <c r="A327" s="72"/>
      <c r="B327" s="54"/>
      <c r="C327" s="67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68"/>
      <c r="R327" s="68"/>
      <c r="S327" s="68"/>
      <c r="T327" s="68"/>
      <c r="U327" s="56"/>
    </row>
    <row r="328">
      <c r="A328" s="72"/>
      <c r="B328" s="54"/>
      <c r="C328" s="67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68"/>
      <c r="R328" s="68"/>
      <c r="S328" s="68"/>
      <c r="T328" s="68"/>
      <c r="U328" s="56"/>
    </row>
    <row r="329">
      <c r="A329" s="72"/>
      <c r="B329" s="54"/>
      <c r="C329" s="67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68"/>
      <c r="R329" s="68"/>
      <c r="S329" s="68"/>
      <c r="T329" s="68"/>
      <c r="U329" s="56"/>
    </row>
    <row r="330">
      <c r="A330" s="72"/>
      <c r="B330" s="54"/>
      <c r="C330" s="67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68"/>
      <c r="R330" s="68"/>
      <c r="S330" s="68"/>
      <c r="T330" s="68"/>
      <c r="U330" s="56"/>
    </row>
    <row r="331">
      <c r="A331" s="72"/>
      <c r="B331" s="54"/>
      <c r="C331" s="67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68"/>
      <c r="R331" s="68"/>
      <c r="S331" s="68"/>
      <c r="T331" s="68"/>
      <c r="U331" s="56"/>
    </row>
    <row r="332">
      <c r="A332" s="72"/>
      <c r="B332" s="54"/>
      <c r="C332" s="67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68"/>
      <c r="R332" s="68"/>
      <c r="S332" s="68"/>
      <c r="T332" s="68"/>
      <c r="U332" s="56"/>
    </row>
    <row r="333">
      <c r="A333" s="72"/>
      <c r="B333" s="54"/>
      <c r="C333" s="67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68"/>
      <c r="R333" s="68"/>
      <c r="S333" s="68"/>
      <c r="T333" s="68"/>
      <c r="U333" s="56"/>
    </row>
    <row r="334">
      <c r="A334" s="72"/>
      <c r="B334" s="54"/>
      <c r="C334" s="67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68"/>
      <c r="R334" s="68"/>
      <c r="S334" s="68"/>
      <c r="T334" s="68"/>
      <c r="U334" s="56"/>
    </row>
    <row r="335">
      <c r="A335" s="72"/>
      <c r="B335" s="54"/>
      <c r="C335" s="67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68"/>
      <c r="R335" s="68"/>
      <c r="S335" s="68"/>
      <c r="T335" s="68"/>
      <c r="U335" s="56"/>
    </row>
    <row r="336">
      <c r="A336" s="72"/>
      <c r="B336" s="54"/>
      <c r="C336" s="67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68"/>
      <c r="R336" s="68"/>
      <c r="S336" s="68"/>
      <c r="T336" s="68"/>
      <c r="U336" s="56"/>
    </row>
    <row r="337">
      <c r="A337" s="72"/>
      <c r="B337" s="54"/>
      <c r="C337" s="67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68"/>
      <c r="R337" s="68"/>
      <c r="S337" s="68"/>
      <c r="T337" s="68"/>
      <c r="U337" s="56"/>
    </row>
    <row r="338">
      <c r="A338" s="72"/>
      <c r="B338" s="54"/>
      <c r="C338" s="67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68"/>
      <c r="R338" s="68"/>
      <c r="S338" s="68"/>
      <c r="T338" s="68"/>
      <c r="U338" s="56"/>
    </row>
    <row r="339">
      <c r="A339" s="72"/>
      <c r="B339" s="54"/>
      <c r="C339" s="67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68"/>
      <c r="R339" s="68"/>
      <c r="S339" s="68"/>
      <c r="T339" s="68"/>
      <c r="U339" s="56"/>
    </row>
    <row r="340">
      <c r="A340" s="72"/>
      <c r="B340" s="54"/>
      <c r="C340" s="67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68"/>
      <c r="R340" s="68"/>
      <c r="S340" s="68"/>
      <c r="T340" s="68"/>
      <c r="U340" s="56"/>
    </row>
    <row r="341">
      <c r="A341" s="72"/>
      <c r="B341" s="54"/>
      <c r="C341" s="67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68"/>
      <c r="R341" s="68"/>
      <c r="S341" s="68"/>
      <c r="T341" s="68"/>
      <c r="U341" s="56"/>
    </row>
    <row r="342">
      <c r="A342" s="72"/>
      <c r="B342" s="54"/>
      <c r="C342" s="67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68"/>
      <c r="R342" s="68"/>
      <c r="S342" s="68"/>
      <c r="T342" s="68"/>
      <c r="U342" s="56"/>
    </row>
    <row r="343">
      <c r="A343" s="72"/>
      <c r="B343" s="54"/>
      <c r="C343" s="67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68"/>
      <c r="R343" s="68"/>
      <c r="S343" s="68"/>
      <c r="T343" s="68"/>
      <c r="U343" s="56"/>
    </row>
    <row r="344">
      <c r="A344" s="72"/>
      <c r="B344" s="54"/>
      <c r="C344" s="67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68"/>
      <c r="R344" s="68"/>
      <c r="S344" s="68"/>
      <c r="T344" s="68"/>
      <c r="U344" s="56"/>
    </row>
    <row r="345">
      <c r="A345" s="72"/>
      <c r="B345" s="54"/>
      <c r="C345" s="67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68"/>
      <c r="R345" s="68"/>
      <c r="S345" s="68"/>
      <c r="T345" s="68"/>
      <c r="U345" s="56"/>
    </row>
    <row r="346">
      <c r="A346" s="72"/>
      <c r="B346" s="54"/>
      <c r="C346" s="67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68"/>
      <c r="R346" s="68"/>
      <c r="S346" s="68"/>
      <c r="T346" s="68"/>
      <c r="U346" s="56"/>
    </row>
    <row r="347">
      <c r="A347" s="72"/>
      <c r="B347" s="54"/>
      <c r="C347" s="67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68"/>
      <c r="R347" s="68"/>
      <c r="S347" s="68"/>
      <c r="T347" s="68"/>
      <c r="U347" s="56"/>
    </row>
    <row r="348">
      <c r="A348" s="72"/>
      <c r="B348" s="54"/>
      <c r="C348" s="67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68"/>
      <c r="R348" s="68"/>
      <c r="S348" s="68"/>
      <c r="T348" s="68"/>
      <c r="U348" s="56"/>
    </row>
    <row r="349">
      <c r="A349" s="72"/>
      <c r="B349" s="54"/>
      <c r="C349" s="67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68"/>
      <c r="R349" s="68"/>
      <c r="S349" s="68"/>
      <c r="T349" s="68"/>
      <c r="U349" s="56"/>
    </row>
    <row r="350">
      <c r="A350" s="72"/>
      <c r="B350" s="54"/>
      <c r="C350" s="67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68"/>
      <c r="R350" s="68"/>
      <c r="S350" s="68"/>
      <c r="T350" s="68"/>
      <c r="U350" s="56"/>
    </row>
    <row r="351">
      <c r="A351" s="72"/>
      <c r="B351" s="54"/>
      <c r="C351" s="67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68"/>
      <c r="R351" s="68"/>
      <c r="S351" s="68"/>
      <c r="T351" s="68"/>
      <c r="U351" s="56"/>
    </row>
    <row r="352">
      <c r="A352" s="72"/>
      <c r="B352" s="54"/>
      <c r="C352" s="67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68"/>
      <c r="R352" s="68"/>
      <c r="S352" s="68"/>
      <c r="T352" s="68"/>
      <c r="U352" s="56"/>
    </row>
    <row r="353">
      <c r="A353" s="72"/>
      <c r="B353" s="54"/>
      <c r="C353" s="67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68"/>
      <c r="R353" s="68"/>
      <c r="S353" s="68"/>
      <c r="T353" s="68"/>
      <c r="U353" s="56"/>
    </row>
    <row r="354">
      <c r="A354" s="72"/>
      <c r="B354" s="54"/>
      <c r="C354" s="67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68"/>
      <c r="R354" s="68"/>
      <c r="S354" s="68"/>
      <c r="T354" s="68"/>
      <c r="U354" s="56"/>
    </row>
    <row r="355">
      <c r="A355" s="72"/>
      <c r="B355" s="54"/>
      <c r="C355" s="67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68"/>
      <c r="R355" s="68"/>
      <c r="S355" s="68"/>
      <c r="T355" s="68"/>
      <c r="U355" s="56"/>
    </row>
    <row r="356">
      <c r="A356" s="72"/>
      <c r="B356" s="54"/>
      <c r="C356" s="67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68"/>
      <c r="R356" s="68"/>
      <c r="S356" s="68"/>
      <c r="T356" s="68"/>
      <c r="U356" s="56"/>
    </row>
    <row r="357">
      <c r="A357" s="72"/>
      <c r="B357" s="54"/>
      <c r="C357" s="67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68"/>
      <c r="R357" s="68"/>
      <c r="S357" s="68"/>
      <c r="T357" s="68"/>
      <c r="U357" s="56"/>
    </row>
    <row r="358">
      <c r="A358" s="72"/>
      <c r="B358" s="54"/>
      <c r="C358" s="67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68"/>
      <c r="R358" s="68"/>
      <c r="S358" s="68"/>
      <c r="T358" s="68"/>
      <c r="U358" s="56"/>
    </row>
    <row r="359">
      <c r="A359" s="72"/>
      <c r="B359" s="54"/>
      <c r="C359" s="67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68"/>
      <c r="R359" s="68"/>
      <c r="S359" s="68"/>
      <c r="T359" s="68"/>
      <c r="U359" s="56"/>
    </row>
    <row r="360">
      <c r="A360" s="72"/>
      <c r="B360" s="54"/>
      <c r="C360" s="67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68"/>
      <c r="R360" s="68"/>
      <c r="S360" s="68"/>
      <c r="T360" s="68"/>
      <c r="U360" s="56"/>
    </row>
    <row r="361">
      <c r="A361" s="72"/>
      <c r="B361" s="54"/>
      <c r="C361" s="67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68"/>
      <c r="R361" s="68"/>
      <c r="S361" s="68"/>
      <c r="T361" s="68"/>
      <c r="U361" s="56"/>
    </row>
    <row r="362">
      <c r="A362" s="72"/>
      <c r="B362" s="54"/>
      <c r="C362" s="67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68"/>
      <c r="R362" s="68"/>
      <c r="S362" s="68"/>
      <c r="T362" s="68"/>
      <c r="U362" s="56"/>
    </row>
    <row r="363">
      <c r="A363" s="72"/>
      <c r="B363" s="54"/>
      <c r="C363" s="67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68"/>
      <c r="R363" s="68"/>
      <c r="S363" s="68"/>
      <c r="T363" s="68"/>
      <c r="U363" s="56"/>
    </row>
    <row r="364">
      <c r="A364" s="72"/>
      <c r="B364" s="54"/>
      <c r="C364" s="67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68"/>
      <c r="R364" s="68"/>
      <c r="S364" s="68"/>
      <c r="T364" s="68"/>
      <c r="U364" s="56"/>
    </row>
    <row r="365">
      <c r="A365" s="72"/>
      <c r="B365" s="54"/>
      <c r="C365" s="67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68"/>
      <c r="R365" s="68"/>
      <c r="S365" s="68"/>
      <c r="T365" s="68"/>
      <c r="U365" s="56"/>
    </row>
    <row r="366">
      <c r="A366" s="72"/>
      <c r="B366" s="54"/>
      <c r="C366" s="67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68"/>
      <c r="R366" s="68"/>
      <c r="S366" s="68"/>
      <c r="T366" s="68"/>
      <c r="U366" s="56"/>
    </row>
    <row r="367">
      <c r="A367" s="72"/>
      <c r="B367" s="54"/>
      <c r="C367" s="67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68"/>
      <c r="R367" s="68"/>
      <c r="S367" s="68"/>
      <c r="T367" s="68"/>
      <c r="U367" s="56"/>
    </row>
    <row r="368">
      <c r="A368" s="72"/>
      <c r="B368" s="54"/>
      <c r="C368" s="67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68"/>
      <c r="R368" s="68"/>
      <c r="S368" s="68"/>
      <c r="T368" s="68"/>
      <c r="U368" s="56"/>
    </row>
    <row r="369">
      <c r="A369" s="72"/>
      <c r="B369" s="54"/>
      <c r="C369" s="67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68"/>
      <c r="R369" s="68"/>
      <c r="S369" s="68"/>
      <c r="T369" s="68"/>
      <c r="U369" s="56"/>
    </row>
    <row r="370">
      <c r="A370" s="72"/>
      <c r="B370" s="54"/>
      <c r="C370" s="67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68"/>
      <c r="R370" s="68"/>
      <c r="S370" s="68"/>
      <c r="T370" s="68"/>
      <c r="U370" s="56"/>
    </row>
    <row r="371">
      <c r="A371" s="72"/>
      <c r="B371" s="54"/>
      <c r="C371" s="67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68"/>
      <c r="R371" s="68"/>
      <c r="S371" s="68"/>
      <c r="T371" s="68"/>
      <c r="U371" s="56"/>
    </row>
    <row r="372">
      <c r="A372" s="72"/>
      <c r="B372" s="54"/>
      <c r="C372" s="67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68"/>
      <c r="R372" s="68"/>
      <c r="S372" s="68"/>
      <c r="T372" s="68"/>
      <c r="U372" s="56"/>
    </row>
    <row r="373">
      <c r="A373" s="72"/>
      <c r="B373" s="54"/>
      <c r="C373" s="67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68"/>
      <c r="R373" s="68"/>
      <c r="S373" s="68"/>
      <c r="T373" s="68"/>
      <c r="U373" s="56"/>
    </row>
    <row r="374">
      <c r="A374" s="72"/>
      <c r="B374" s="54"/>
      <c r="C374" s="67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68"/>
      <c r="R374" s="68"/>
      <c r="S374" s="68"/>
      <c r="T374" s="68"/>
      <c r="U374" s="56"/>
    </row>
    <row r="375">
      <c r="A375" s="72"/>
      <c r="B375" s="54"/>
      <c r="C375" s="67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68"/>
      <c r="R375" s="68"/>
      <c r="S375" s="68"/>
      <c r="T375" s="68"/>
      <c r="U375" s="56"/>
    </row>
    <row r="376">
      <c r="A376" s="72"/>
      <c r="B376" s="54"/>
      <c r="C376" s="67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68"/>
      <c r="R376" s="68"/>
      <c r="S376" s="68"/>
      <c r="T376" s="68"/>
      <c r="U376" s="56"/>
    </row>
    <row r="377">
      <c r="A377" s="72"/>
      <c r="B377" s="54"/>
      <c r="C377" s="67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68"/>
      <c r="R377" s="68"/>
      <c r="S377" s="68"/>
      <c r="T377" s="68"/>
      <c r="U377" s="56"/>
    </row>
    <row r="378">
      <c r="A378" s="72"/>
      <c r="B378" s="54"/>
      <c r="C378" s="67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68"/>
      <c r="R378" s="68"/>
      <c r="S378" s="68"/>
      <c r="T378" s="68"/>
      <c r="U378" s="56"/>
    </row>
    <row r="379">
      <c r="A379" s="72"/>
      <c r="B379" s="54"/>
      <c r="C379" s="67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68"/>
      <c r="R379" s="68"/>
      <c r="S379" s="68"/>
      <c r="T379" s="68"/>
      <c r="U379" s="56"/>
    </row>
    <row r="380">
      <c r="A380" s="72"/>
      <c r="B380" s="54"/>
      <c r="C380" s="67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68"/>
      <c r="R380" s="68"/>
      <c r="S380" s="68"/>
      <c r="T380" s="68"/>
      <c r="U380" s="56"/>
    </row>
    <row r="381">
      <c r="A381" s="72"/>
      <c r="B381" s="54"/>
      <c r="C381" s="67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68"/>
      <c r="R381" s="68"/>
      <c r="S381" s="68"/>
      <c r="T381" s="68"/>
      <c r="U381" s="56"/>
    </row>
    <row r="382">
      <c r="A382" s="72"/>
      <c r="B382" s="54"/>
      <c r="C382" s="67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68"/>
      <c r="R382" s="68"/>
      <c r="S382" s="68"/>
      <c r="T382" s="68"/>
      <c r="U382" s="56"/>
    </row>
    <row r="383">
      <c r="A383" s="72"/>
      <c r="B383" s="54"/>
      <c r="C383" s="67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68"/>
      <c r="R383" s="68"/>
      <c r="S383" s="68"/>
      <c r="T383" s="68"/>
      <c r="U383" s="56"/>
    </row>
    <row r="384">
      <c r="A384" s="72"/>
      <c r="B384" s="54"/>
      <c r="C384" s="67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68"/>
      <c r="R384" s="68"/>
      <c r="S384" s="68"/>
      <c r="T384" s="68"/>
      <c r="U384" s="56"/>
    </row>
    <row r="385">
      <c r="A385" s="72"/>
      <c r="B385" s="54"/>
      <c r="C385" s="67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68"/>
      <c r="R385" s="68"/>
      <c r="S385" s="68"/>
      <c r="T385" s="68"/>
      <c r="U385" s="56"/>
    </row>
    <row r="386">
      <c r="A386" s="72"/>
      <c r="B386" s="54"/>
      <c r="C386" s="67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68"/>
      <c r="R386" s="68"/>
      <c r="S386" s="68"/>
      <c r="T386" s="68"/>
      <c r="U386" s="56"/>
    </row>
    <row r="387">
      <c r="A387" s="72"/>
      <c r="B387" s="54"/>
      <c r="C387" s="67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68"/>
      <c r="R387" s="68"/>
      <c r="S387" s="68"/>
      <c r="T387" s="68"/>
      <c r="U387" s="56"/>
    </row>
    <row r="388">
      <c r="A388" s="72"/>
      <c r="B388" s="54"/>
      <c r="C388" s="67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68"/>
      <c r="R388" s="68"/>
      <c r="S388" s="68"/>
      <c r="T388" s="68"/>
      <c r="U388" s="56"/>
    </row>
    <row r="389">
      <c r="A389" s="72"/>
      <c r="B389" s="54"/>
      <c r="C389" s="67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68"/>
      <c r="R389" s="68"/>
      <c r="S389" s="68"/>
      <c r="T389" s="68"/>
      <c r="U389" s="56"/>
    </row>
    <row r="390">
      <c r="A390" s="72"/>
      <c r="B390" s="54"/>
      <c r="C390" s="67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68"/>
      <c r="R390" s="68"/>
      <c r="S390" s="68"/>
      <c r="T390" s="68"/>
      <c r="U390" s="56"/>
    </row>
    <row r="391">
      <c r="A391" s="72"/>
      <c r="B391" s="54"/>
      <c r="C391" s="67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68"/>
      <c r="R391" s="68"/>
      <c r="S391" s="68"/>
      <c r="T391" s="68"/>
      <c r="U391" s="56"/>
    </row>
    <row r="392">
      <c r="A392" s="72"/>
      <c r="B392" s="54"/>
      <c r="C392" s="67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68"/>
      <c r="R392" s="68"/>
      <c r="S392" s="68"/>
      <c r="T392" s="68"/>
      <c r="U392" s="56"/>
    </row>
    <row r="393">
      <c r="A393" s="72"/>
      <c r="B393" s="54"/>
      <c r="C393" s="67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68"/>
      <c r="R393" s="68"/>
      <c r="S393" s="68"/>
      <c r="T393" s="68"/>
      <c r="U393" s="56"/>
    </row>
    <row r="394">
      <c r="A394" s="72"/>
      <c r="B394" s="54"/>
      <c r="C394" s="67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68"/>
      <c r="R394" s="68"/>
      <c r="S394" s="68"/>
      <c r="T394" s="68"/>
      <c r="U394" s="56"/>
    </row>
    <row r="395">
      <c r="A395" s="72"/>
      <c r="B395" s="54"/>
      <c r="C395" s="67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68"/>
      <c r="R395" s="68"/>
      <c r="S395" s="68"/>
      <c r="T395" s="68"/>
      <c r="U395" s="56"/>
    </row>
    <row r="396">
      <c r="A396" s="72"/>
      <c r="B396" s="54"/>
      <c r="C396" s="67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68"/>
      <c r="R396" s="68"/>
      <c r="S396" s="68"/>
      <c r="T396" s="68"/>
      <c r="U396" s="56"/>
    </row>
    <row r="397">
      <c r="A397" s="72"/>
      <c r="B397" s="54"/>
      <c r="C397" s="67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68"/>
      <c r="R397" s="68"/>
      <c r="S397" s="68"/>
      <c r="T397" s="68"/>
      <c r="U397" s="56"/>
    </row>
    <row r="398">
      <c r="A398" s="72"/>
      <c r="B398" s="54"/>
      <c r="C398" s="67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68"/>
      <c r="R398" s="68"/>
      <c r="S398" s="68"/>
      <c r="T398" s="68"/>
      <c r="U398" s="56"/>
    </row>
    <row r="399">
      <c r="A399" s="72"/>
      <c r="B399" s="54"/>
      <c r="C399" s="67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68"/>
      <c r="R399" s="68"/>
      <c r="S399" s="68"/>
      <c r="T399" s="68"/>
      <c r="U399" s="56"/>
    </row>
    <row r="400">
      <c r="A400" s="72"/>
      <c r="B400" s="54"/>
      <c r="C400" s="67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68"/>
      <c r="R400" s="68"/>
      <c r="S400" s="68"/>
      <c r="T400" s="68"/>
      <c r="U400" s="56"/>
    </row>
    <row r="401">
      <c r="A401" s="72"/>
      <c r="B401" s="54"/>
      <c r="C401" s="67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68"/>
      <c r="R401" s="68"/>
      <c r="S401" s="68"/>
      <c r="T401" s="68"/>
      <c r="U401" s="56"/>
    </row>
    <row r="402">
      <c r="A402" s="72"/>
      <c r="B402" s="54"/>
      <c r="C402" s="67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68"/>
      <c r="R402" s="68"/>
      <c r="S402" s="68"/>
      <c r="T402" s="68"/>
      <c r="U402" s="56"/>
    </row>
    <row r="403">
      <c r="A403" s="72"/>
      <c r="B403" s="54"/>
      <c r="C403" s="67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68"/>
      <c r="R403" s="68"/>
      <c r="S403" s="68"/>
      <c r="T403" s="68"/>
      <c r="U403" s="56"/>
    </row>
    <row r="404">
      <c r="A404" s="72"/>
      <c r="B404" s="54"/>
      <c r="C404" s="67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68"/>
      <c r="R404" s="68"/>
      <c r="S404" s="68"/>
      <c r="T404" s="68"/>
      <c r="U404" s="56"/>
    </row>
    <row r="405">
      <c r="A405" s="72"/>
      <c r="B405" s="54"/>
      <c r="C405" s="67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68"/>
      <c r="R405" s="68"/>
      <c r="S405" s="68"/>
      <c r="T405" s="68"/>
      <c r="U405" s="56"/>
    </row>
    <row r="406">
      <c r="A406" s="72"/>
      <c r="B406" s="54"/>
      <c r="C406" s="67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68"/>
      <c r="R406" s="68"/>
      <c r="S406" s="68"/>
      <c r="T406" s="68"/>
      <c r="U406" s="56"/>
    </row>
    <row r="407">
      <c r="A407" s="72"/>
      <c r="B407" s="54"/>
      <c r="C407" s="67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68"/>
      <c r="R407" s="68"/>
      <c r="S407" s="68"/>
      <c r="T407" s="68"/>
      <c r="U407" s="56"/>
    </row>
    <row r="408">
      <c r="A408" s="72"/>
      <c r="B408" s="54"/>
      <c r="C408" s="67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68"/>
      <c r="R408" s="68"/>
      <c r="S408" s="68"/>
      <c r="T408" s="68"/>
      <c r="U408" s="56"/>
    </row>
    <row r="409">
      <c r="A409" s="72"/>
      <c r="B409" s="54"/>
      <c r="C409" s="67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68"/>
      <c r="R409" s="68"/>
      <c r="S409" s="68"/>
      <c r="T409" s="68"/>
      <c r="U409" s="56"/>
    </row>
    <row r="410">
      <c r="A410" s="72"/>
      <c r="B410" s="54"/>
      <c r="C410" s="67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68"/>
      <c r="R410" s="68"/>
      <c r="S410" s="68"/>
      <c r="T410" s="68"/>
      <c r="U410" s="56"/>
    </row>
    <row r="411">
      <c r="A411" s="72"/>
      <c r="B411" s="54"/>
      <c r="C411" s="67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68"/>
      <c r="R411" s="68"/>
      <c r="S411" s="68"/>
      <c r="T411" s="68"/>
      <c r="U411" s="56"/>
    </row>
    <row r="412">
      <c r="A412" s="72"/>
      <c r="B412" s="54"/>
      <c r="C412" s="67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68"/>
      <c r="R412" s="68"/>
      <c r="S412" s="68"/>
      <c r="T412" s="68"/>
      <c r="U412" s="56"/>
    </row>
    <row r="413">
      <c r="A413" s="72"/>
      <c r="B413" s="54"/>
      <c r="C413" s="67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68"/>
      <c r="R413" s="68"/>
      <c r="S413" s="68"/>
      <c r="T413" s="68"/>
      <c r="U413" s="56"/>
    </row>
    <row r="414">
      <c r="A414" s="72"/>
      <c r="B414" s="54"/>
      <c r="C414" s="67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68"/>
      <c r="R414" s="68"/>
      <c r="S414" s="68"/>
      <c r="T414" s="68"/>
      <c r="U414" s="56"/>
    </row>
    <row r="415">
      <c r="A415" s="72"/>
      <c r="B415" s="54"/>
      <c r="C415" s="67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68"/>
      <c r="R415" s="68"/>
      <c r="S415" s="68"/>
      <c r="T415" s="68"/>
      <c r="U415" s="56"/>
    </row>
    <row r="416">
      <c r="A416" s="72"/>
      <c r="B416" s="54"/>
      <c r="C416" s="67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68"/>
      <c r="R416" s="68"/>
      <c r="S416" s="68"/>
      <c r="T416" s="68"/>
      <c r="U416" s="56"/>
    </row>
    <row r="417">
      <c r="A417" s="72"/>
      <c r="B417" s="54"/>
      <c r="C417" s="67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68"/>
      <c r="R417" s="68"/>
      <c r="S417" s="68"/>
      <c r="T417" s="68"/>
      <c r="U417" s="56"/>
    </row>
    <row r="418">
      <c r="A418" s="72"/>
      <c r="B418" s="54"/>
      <c r="C418" s="67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68"/>
      <c r="R418" s="68"/>
      <c r="S418" s="68"/>
      <c r="T418" s="68"/>
      <c r="U418" s="56"/>
    </row>
    <row r="419">
      <c r="A419" s="72"/>
      <c r="B419" s="54"/>
      <c r="C419" s="67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68"/>
      <c r="R419" s="68"/>
      <c r="S419" s="68"/>
      <c r="T419" s="68"/>
      <c r="U419" s="56"/>
    </row>
    <row r="420">
      <c r="A420" s="72"/>
      <c r="B420" s="54"/>
      <c r="C420" s="67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68"/>
      <c r="R420" s="68"/>
      <c r="S420" s="68"/>
      <c r="T420" s="68"/>
      <c r="U420" s="56"/>
    </row>
    <row r="421">
      <c r="A421" s="72"/>
      <c r="B421" s="54"/>
      <c r="C421" s="67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68"/>
      <c r="R421" s="68"/>
      <c r="S421" s="68"/>
      <c r="T421" s="68"/>
      <c r="U421" s="56"/>
    </row>
    <row r="422">
      <c r="A422" s="72"/>
      <c r="B422" s="54"/>
      <c r="C422" s="67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68"/>
      <c r="R422" s="68"/>
      <c r="S422" s="68"/>
      <c r="T422" s="68"/>
      <c r="U422" s="56"/>
    </row>
    <row r="423">
      <c r="A423" s="72"/>
      <c r="B423" s="54"/>
      <c r="C423" s="67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68"/>
      <c r="R423" s="68"/>
      <c r="S423" s="68"/>
      <c r="T423" s="68"/>
      <c r="U423" s="56"/>
    </row>
    <row r="424">
      <c r="A424" s="72"/>
      <c r="B424" s="54"/>
      <c r="C424" s="67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68"/>
      <c r="R424" s="68"/>
      <c r="S424" s="68"/>
      <c r="T424" s="68"/>
      <c r="U424" s="56"/>
    </row>
    <row r="425">
      <c r="A425" s="72"/>
      <c r="B425" s="54"/>
      <c r="C425" s="67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68"/>
      <c r="R425" s="68"/>
      <c r="S425" s="68"/>
      <c r="T425" s="68"/>
      <c r="U425" s="56"/>
    </row>
    <row r="426">
      <c r="A426" s="72"/>
      <c r="B426" s="54"/>
      <c r="C426" s="67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68"/>
      <c r="R426" s="68"/>
      <c r="S426" s="68"/>
      <c r="T426" s="68"/>
      <c r="U426" s="56"/>
    </row>
    <row r="427">
      <c r="A427" s="72"/>
      <c r="B427" s="54"/>
      <c r="C427" s="67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68"/>
      <c r="R427" s="68"/>
      <c r="S427" s="68"/>
      <c r="T427" s="68"/>
      <c r="U427" s="56"/>
    </row>
    <row r="428">
      <c r="A428" s="72"/>
      <c r="B428" s="54"/>
      <c r="C428" s="67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68"/>
      <c r="R428" s="68"/>
      <c r="S428" s="68"/>
      <c r="T428" s="68"/>
      <c r="U428" s="56"/>
    </row>
    <row r="429">
      <c r="A429" s="72"/>
      <c r="B429" s="54"/>
      <c r="C429" s="67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68"/>
      <c r="R429" s="68"/>
      <c r="S429" s="68"/>
      <c r="T429" s="68"/>
      <c r="U429" s="56"/>
    </row>
    <row r="430">
      <c r="A430" s="72"/>
      <c r="B430" s="54"/>
      <c r="C430" s="67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68"/>
      <c r="R430" s="68"/>
      <c r="S430" s="68"/>
      <c r="T430" s="68"/>
      <c r="U430" s="56"/>
    </row>
    <row r="431">
      <c r="A431" s="72"/>
      <c r="B431" s="54"/>
      <c r="C431" s="67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68"/>
      <c r="R431" s="68"/>
      <c r="S431" s="68"/>
      <c r="T431" s="68"/>
      <c r="U431" s="56"/>
    </row>
    <row r="432">
      <c r="A432" s="72"/>
      <c r="B432" s="54"/>
      <c r="C432" s="67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68"/>
      <c r="R432" s="68"/>
      <c r="S432" s="68"/>
      <c r="T432" s="68"/>
      <c r="U432" s="56"/>
    </row>
    <row r="433">
      <c r="A433" s="72"/>
      <c r="B433" s="54"/>
      <c r="C433" s="67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68"/>
      <c r="R433" s="68"/>
      <c r="S433" s="68"/>
      <c r="T433" s="68"/>
      <c r="U433" s="56"/>
    </row>
    <row r="434">
      <c r="A434" s="72"/>
      <c r="B434" s="54"/>
      <c r="C434" s="67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68"/>
      <c r="R434" s="68"/>
      <c r="S434" s="68"/>
      <c r="T434" s="68"/>
      <c r="U434" s="56"/>
    </row>
    <row r="435">
      <c r="A435" s="72"/>
      <c r="B435" s="54"/>
      <c r="C435" s="67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68"/>
      <c r="R435" s="68"/>
      <c r="S435" s="68"/>
      <c r="T435" s="68"/>
      <c r="U435" s="56"/>
    </row>
    <row r="436">
      <c r="A436" s="72"/>
      <c r="B436" s="54"/>
      <c r="C436" s="67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68"/>
      <c r="R436" s="68"/>
      <c r="S436" s="68"/>
      <c r="T436" s="68"/>
      <c r="U436" s="56"/>
    </row>
    <row r="437">
      <c r="A437" s="72"/>
      <c r="B437" s="54"/>
      <c r="C437" s="67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68"/>
      <c r="R437" s="68"/>
      <c r="S437" s="68"/>
      <c r="T437" s="68"/>
      <c r="U437" s="56"/>
    </row>
    <row r="438">
      <c r="A438" s="72"/>
      <c r="B438" s="54"/>
      <c r="C438" s="67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68"/>
      <c r="R438" s="68"/>
      <c r="S438" s="68"/>
      <c r="T438" s="68"/>
      <c r="U438" s="56"/>
    </row>
    <row r="439">
      <c r="A439" s="72"/>
      <c r="B439" s="54"/>
      <c r="C439" s="67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68"/>
      <c r="R439" s="68"/>
      <c r="S439" s="68"/>
      <c r="T439" s="68"/>
      <c r="U439" s="56"/>
    </row>
    <row r="440">
      <c r="A440" s="72"/>
      <c r="B440" s="54"/>
      <c r="C440" s="67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68"/>
      <c r="R440" s="68"/>
      <c r="S440" s="68"/>
      <c r="T440" s="68"/>
      <c r="U440" s="56"/>
    </row>
    <row r="441">
      <c r="A441" s="72"/>
      <c r="B441" s="54"/>
      <c r="C441" s="67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68"/>
      <c r="R441" s="68"/>
      <c r="S441" s="68"/>
      <c r="T441" s="68"/>
      <c r="U441" s="56"/>
    </row>
    <row r="442">
      <c r="A442" s="72"/>
      <c r="B442" s="54"/>
      <c r="C442" s="67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68"/>
      <c r="R442" s="68"/>
      <c r="S442" s="68"/>
      <c r="T442" s="68"/>
      <c r="U442" s="56"/>
    </row>
    <row r="443">
      <c r="A443" s="72"/>
      <c r="B443" s="54"/>
      <c r="C443" s="67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68"/>
      <c r="R443" s="68"/>
      <c r="S443" s="68"/>
      <c r="T443" s="68"/>
      <c r="U443" s="56"/>
    </row>
    <row r="444">
      <c r="A444" s="72"/>
      <c r="B444" s="54"/>
      <c r="C444" s="67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68"/>
      <c r="R444" s="68"/>
      <c r="S444" s="68"/>
      <c r="T444" s="68"/>
      <c r="U444" s="56"/>
    </row>
    <row r="445">
      <c r="A445" s="72"/>
      <c r="B445" s="54"/>
      <c r="C445" s="67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68"/>
      <c r="R445" s="68"/>
      <c r="S445" s="68"/>
      <c r="T445" s="68"/>
      <c r="U445" s="56"/>
    </row>
    <row r="446">
      <c r="A446" s="72"/>
      <c r="B446" s="54"/>
      <c r="C446" s="67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68"/>
      <c r="R446" s="68"/>
      <c r="S446" s="68"/>
      <c r="T446" s="68"/>
      <c r="U446" s="56"/>
    </row>
    <row r="447">
      <c r="A447" s="72"/>
      <c r="B447" s="54"/>
      <c r="C447" s="67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68"/>
      <c r="R447" s="68"/>
      <c r="S447" s="68"/>
      <c r="T447" s="68"/>
      <c r="U447" s="56"/>
    </row>
    <row r="448">
      <c r="A448" s="72"/>
      <c r="B448" s="54"/>
      <c r="C448" s="67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68"/>
      <c r="R448" s="68"/>
      <c r="S448" s="68"/>
      <c r="T448" s="68"/>
      <c r="U448" s="56"/>
    </row>
    <row r="449">
      <c r="A449" s="72"/>
      <c r="B449" s="54"/>
      <c r="C449" s="67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68"/>
      <c r="R449" s="68"/>
      <c r="S449" s="68"/>
      <c r="T449" s="68"/>
      <c r="U449" s="56"/>
    </row>
    <row r="450">
      <c r="A450" s="72"/>
      <c r="B450" s="54"/>
      <c r="C450" s="67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68"/>
      <c r="R450" s="68"/>
      <c r="S450" s="68"/>
      <c r="T450" s="68"/>
      <c r="U450" s="56"/>
    </row>
    <row r="451">
      <c r="A451" s="72"/>
      <c r="B451" s="54"/>
      <c r="C451" s="67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68"/>
      <c r="R451" s="68"/>
      <c r="S451" s="68"/>
      <c r="T451" s="68"/>
      <c r="U451" s="56"/>
    </row>
    <row r="452">
      <c r="A452" s="72"/>
      <c r="B452" s="54"/>
      <c r="C452" s="67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68"/>
      <c r="R452" s="68"/>
      <c r="S452" s="68"/>
      <c r="T452" s="68"/>
      <c r="U452" s="56"/>
    </row>
    <row r="453">
      <c r="A453" s="72"/>
      <c r="B453" s="54"/>
      <c r="C453" s="67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68"/>
      <c r="R453" s="68"/>
      <c r="S453" s="68"/>
      <c r="T453" s="68"/>
      <c r="U453" s="56"/>
    </row>
    <row r="454">
      <c r="A454" s="72"/>
      <c r="B454" s="54"/>
      <c r="C454" s="67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68"/>
      <c r="R454" s="68"/>
      <c r="S454" s="68"/>
      <c r="T454" s="68"/>
      <c r="U454" s="56"/>
    </row>
    <row r="455">
      <c r="A455" s="72"/>
      <c r="B455" s="54"/>
      <c r="C455" s="67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68"/>
      <c r="R455" s="68"/>
      <c r="S455" s="68"/>
      <c r="T455" s="68"/>
      <c r="U455" s="56"/>
    </row>
    <row r="456">
      <c r="A456" s="72"/>
      <c r="B456" s="54"/>
      <c r="C456" s="67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68"/>
      <c r="R456" s="68"/>
      <c r="S456" s="68"/>
      <c r="T456" s="68"/>
      <c r="U456" s="56"/>
    </row>
    <row r="457">
      <c r="A457" s="72"/>
      <c r="B457" s="54"/>
      <c r="C457" s="67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68"/>
      <c r="R457" s="68"/>
      <c r="S457" s="68"/>
      <c r="T457" s="68"/>
      <c r="U457" s="56"/>
    </row>
    <row r="458">
      <c r="A458" s="72"/>
      <c r="B458" s="54"/>
      <c r="C458" s="67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68"/>
      <c r="R458" s="68"/>
      <c r="S458" s="68"/>
      <c r="T458" s="68"/>
      <c r="U458" s="56"/>
    </row>
    <row r="459">
      <c r="A459" s="72"/>
      <c r="B459" s="54"/>
      <c r="C459" s="67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68"/>
      <c r="R459" s="68"/>
      <c r="S459" s="68"/>
      <c r="T459" s="68"/>
      <c r="U459" s="56"/>
    </row>
    <row r="460">
      <c r="A460" s="72"/>
      <c r="B460" s="54"/>
      <c r="C460" s="67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68"/>
      <c r="R460" s="68"/>
      <c r="S460" s="68"/>
      <c r="T460" s="68"/>
      <c r="U460" s="56"/>
    </row>
    <row r="461">
      <c r="A461" s="72"/>
      <c r="B461" s="54"/>
      <c r="C461" s="67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68"/>
      <c r="R461" s="68"/>
      <c r="S461" s="68"/>
      <c r="T461" s="68"/>
      <c r="U461" s="56"/>
    </row>
    <row r="462">
      <c r="A462" s="72"/>
      <c r="B462" s="54"/>
      <c r="C462" s="67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68"/>
      <c r="R462" s="68"/>
      <c r="S462" s="68"/>
      <c r="T462" s="68"/>
      <c r="U462" s="56"/>
    </row>
    <row r="463">
      <c r="A463" s="72"/>
      <c r="B463" s="54"/>
      <c r="C463" s="67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68"/>
      <c r="R463" s="68"/>
      <c r="S463" s="68"/>
      <c r="T463" s="68"/>
      <c r="U463" s="56"/>
    </row>
    <row r="464">
      <c r="A464" s="72"/>
      <c r="B464" s="54"/>
      <c r="C464" s="67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68"/>
      <c r="R464" s="68"/>
      <c r="S464" s="68"/>
      <c r="T464" s="68"/>
      <c r="U464" s="56"/>
    </row>
    <row r="465">
      <c r="A465" s="72"/>
      <c r="B465" s="54"/>
      <c r="C465" s="67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68"/>
      <c r="R465" s="68"/>
      <c r="S465" s="68"/>
      <c r="T465" s="68"/>
      <c r="U465" s="56"/>
    </row>
    <row r="466">
      <c r="A466" s="72"/>
      <c r="B466" s="54"/>
      <c r="C466" s="67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68"/>
      <c r="R466" s="68"/>
      <c r="S466" s="68"/>
      <c r="T466" s="68"/>
      <c r="U466" s="56"/>
    </row>
    <row r="467">
      <c r="A467" s="72"/>
      <c r="B467" s="54"/>
      <c r="C467" s="67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68"/>
      <c r="R467" s="68"/>
      <c r="S467" s="68"/>
      <c r="T467" s="68"/>
      <c r="U467" s="56"/>
    </row>
    <row r="468">
      <c r="A468" s="72"/>
      <c r="B468" s="54"/>
      <c r="C468" s="67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68"/>
      <c r="R468" s="68"/>
      <c r="S468" s="68"/>
      <c r="T468" s="68"/>
      <c r="U468" s="56"/>
    </row>
    <row r="469">
      <c r="A469" s="72"/>
      <c r="B469" s="54"/>
      <c r="C469" s="67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68"/>
      <c r="R469" s="68"/>
      <c r="S469" s="68"/>
      <c r="T469" s="68"/>
      <c r="U469" s="56"/>
    </row>
    <row r="470">
      <c r="A470" s="72"/>
      <c r="B470" s="54"/>
      <c r="C470" s="67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68"/>
      <c r="R470" s="68"/>
      <c r="S470" s="68"/>
      <c r="T470" s="68"/>
      <c r="U470" s="56"/>
    </row>
    <row r="471">
      <c r="A471" s="72"/>
      <c r="B471" s="54"/>
      <c r="C471" s="67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68"/>
      <c r="R471" s="68"/>
      <c r="S471" s="68"/>
      <c r="T471" s="68"/>
      <c r="U471" s="56"/>
    </row>
    <row r="472">
      <c r="A472" s="72"/>
      <c r="B472" s="54"/>
      <c r="C472" s="67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68"/>
      <c r="R472" s="68"/>
      <c r="S472" s="68"/>
      <c r="T472" s="68"/>
      <c r="U472" s="56"/>
    </row>
    <row r="473">
      <c r="A473" s="72"/>
      <c r="B473" s="54"/>
      <c r="C473" s="67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68"/>
      <c r="R473" s="68"/>
      <c r="S473" s="68"/>
      <c r="T473" s="68"/>
      <c r="U473" s="56"/>
    </row>
    <row r="474">
      <c r="A474" s="72"/>
      <c r="B474" s="54"/>
      <c r="C474" s="67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68"/>
      <c r="R474" s="68"/>
      <c r="S474" s="68"/>
      <c r="T474" s="68"/>
      <c r="U474" s="56"/>
    </row>
    <row r="475">
      <c r="A475" s="72"/>
      <c r="B475" s="54"/>
      <c r="C475" s="67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68"/>
      <c r="R475" s="68"/>
      <c r="S475" s="68"/>
      <c r="T475" s="68"/>
      <c r="U475" s="56"/>
    </row>
    <row r="476">
      <c r="A476" s="72"/>
      <c r="B476" s="54"/>
      <c r="C476" s="67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68"/>
      <c r="R476" s="68"/>
      <c r="S476" s="68"/>
      <c r="T476" s="68"/>
      <c r="U476" s="56"/>
    </row>
    <row r="477">
      <c r="A477" s="72"/>
      <c r="B477" s="54"/>
      <c r="C477" s="67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68"/>
      <c r="R477" s="68"/>
      <c r="S477" s="68"/>
      <c r="T477" s="68"/>
      <c r="U477" s="56"/>
    </row>
    <row r="478">
      <c r="A478" s="72"/>
      <c r="B478" s="54"/>
      <c r="C478" s="67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68"/>
      <c r="R478" s="68"/>
      <c r="S478" s="68"/>
      <c r="T478" s="68"/>
      <c r="U478" s="56"/>
    </row>
    <row r="479">
      <c r="A479" s="72"/>
      <c r="B479" s="54"/>
      <c r="C479" s="67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68"/>
      <c r="R479" s="68"/>
      <c r="S479" s="68"/>
      <c r="T479" s="68"/>
      <c r="U479" s="56"/>
    </row>
    <row r="480">
      <c r="A480" s="72"/>
      <c r="B480" s="54"/>
      <c r="C480" s="67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68"/>
      <c r="R480" s="68"/>
      <c r="S480" s="68"/>
      <c r="T480" s="68"/>
      <c r="U480" s="56"/>
    </row>
    <row r="481">
      <c r="A481" s="72"/>
      <c r="B481" s="54"/>
      <c r="C481" s="67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68"/>
      <c r="R481" s="68"/>
      <c r="S481" s="68"/>
      <c r="T481" s="68"/>
      <c r="U481" s="56"/>
    </row>
    <row r="482">
      <c r="A482" s="72"/>
      <c r="B482" s="54"/>
      <c r="C482" s="67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68"/>
      <c r="R482" s="68"/>
      <c r="S482" s="68"/>
      <c r="T482" s="68"/>
      <c r="U482" s="56"/>
    </row>
    <row r="483">
      <c r="A483" s="72"/>
      <c r="B483" s="54"/>
      <c r="C483" s="67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68"/>
      <c r="R483" s="68"/>
      <c r="S483" s="68"/>
      <c r="T483" s="68"/>
      <c r="U483" s="56"/>
    </row>
    <row r="484">
      <c r="A484" s="72"/>
      <c r="B484" s="54"/>
      <c r="C484" s="67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68"/>
      <c r="R484" s="68"/>
      <c r="S484" s="68"/>
      <c r="T484" s="68"/>
      <c r="U484" s="56"/>
    </row>
    <row r="485">
      <c r="A485" s="72"/>
      <c r="B485" s="54"/>
      <c r="C485" s="67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68"/>
      <c r="R485" s="68"/>
      <c r="S485" s="68"/>
      <c r="T485" s="68"/>
      <c r="U485" s="56"/>
    </row>
    <row r="486">
      <c r="A486" s="72"/>
      <c r="B486" s="54"/>
      <c r="C486" s="67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68"/>
      <c r="R486" s="68"/>
      <c r="S486" s="68"/>
      <c r="T486" s="68"/>
      <c r="U486" s="56"/>
    </row>
    <row r="487">
      <c r="A487" s="72"/>
      <c r="B487" s="54"/>
      <c r="C487" s="67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68"/>
      <c r="R487" s="68"/>
      <c r="S487" s="68"/>
      <c r="T487" s="68"/>
      <c r="U487" s="56"/>
    </row>
    <row r="488">
      <c r="A488" s="72"/>
      <c r="B488" s="54"/>
      <c r="C488" s="67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68"/>
      <c r="R488" s="68"/>
      <c r="S488" s="68"/>
      <c r="T488" s="68"/>
      <c r="U488" s="56"/>
    </row>
    <row r="489">
      <c r="A489" s="72"/>
      <c r="B489" s="54"/>
      <c r="C489" s="67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68"/>
      <c r="R489" s="68"/>
      <c r="S489" s="68"/>
      <c r="T489" s="68"/>
      <c r="U489" s="56"/>
    </row>
    <row r="490">
      <c r="A490" s="72"/>
      <c r="B490" s="54"/>
      <c r="C490" s="67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68"/>
      <c r="R490" s="68"/>
      <c r="S490" s="68"/>
      <c r="T490" s="68"/>
      <c r="U490" s="56"/>
    </row>
    <row r="491">
      <c r="A491" s="72"/>
      <c r="B491" s="54"/>
      <c r="C491" s="67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68"/>
      <c r="R491" s="68"/>
      <c r="S491" s="68"/>
      <c r="T491" s="68"/>
      <c r="U491" s="56"/>
    </row>
    <row r="492">
      <c r="A492" s="72"/>
      <c r="B492" s="54"/>
      <c r="C492" s="67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68"/>
      <c r="R492" s="68"/>
      <c r="S492" s="68"/>
      <c r="T492" s="68"/>
      <c r="U492" s="56"/>
    </row>
    <row r="493">
      <c r="A493" s="72"/>
      <c r="B493" s="54"/>
      <c r="C493" s="67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68"/>
      <c r="R493" s="68"/>
      <c r="S493" s="68"/>
      <c r="T493" s="68"/>
      <c r="U493" s="56"/>
    </row>
    <row r="494">
      <c r="A494" s="72"/>
      <c r="B494" s="54"/>
      <c r="C494" s="67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68"/>
      <c r="R494" s="68"/>
      <c r="S494" s="68"/>
      <c r="T494" s="68"/>
      <c r="U494" s="56"/>
    </row>
    <row r="495">
      <c r="A495" s="72"/>
      <c r="B495" s="54"/>
      <c r="C495" s="67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68"/>
      <c r="R495" s="68"/>
      <c r="S495" s="68"/>
      <c r="T495" s="68"/>
      <c r="U495" s="56"/>
    </row>
    <row r="496">
      <c r="A496" s="72"/>
      <c r="B496" s="54"/>
      <c r="C496" s="67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68"/>
      <c r="R496" s="68"/>
      <c r="S496" s="68"/>
      <c r="T496" s="68"/>
      <c r="U496" s="56"/>
    </row>
    <row r="497">
      <c r="A497" s="72"/>
      <c r="B497" s="54"/>
      <c r="C497" s="67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68"/>
      <c r="R497" s="68"/>
      <c r="S497" s="68"/>
      <c r="T497" s="68"/>
      <c r="U497" s="56"/>
    </row>
    <row r="498">
      <c r="A498" s="72"/>
      <c r="B498" s="54"/>
      <c r="C498" s="67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68"/>
      <c r="R498" s="68"/>
      <c r="S498" s="68"/>
      <c r="T498" s="68"/>
      <c r="U498" s="56"/>
    </row>
    <row r="499">
      <c r="A499" s="72"/>
      <c r="B499" s="54"/>
      <c r="C499" s="67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68"/>
      <c r="R499" s="68"/>
      <c r="S499" s="68"/>
      <c r="T499" s="68"/>
      <c r="U499" s="56"/>
    </row>
    <row r="500">
      <c r="A500" s="72"/>
      <c r="B500" s="54"/>
      <c r="C500" s="67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68"/>
      <c r="R500" s="68"/>
      <c r="S500" s="68"/>
      <c r="T500" s="68"/>
      <c r="U500" s="56"/>
    </row>
    <row r="501">
      <c r="A501" s="72"/>
      <c r="B501" s="54"/>
      <c r="C501" s="67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68"/>
      <c r="R501" s="68"/>
      <c r="S501" s="68"/>
      <c r="T501" s="68"/>
      <c r="U501" s="56"/>
    </row>
    <row r="502">
      <c r="A502" s="72"/>
      <c r="B502" s="54"/>
      <c r="C502" s="67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68"/>
      <c r="R502" s="68"/>
      <c r="S502" s="68"/>
      <c r="T502" s="68"/>
      <c r="U502" s="56"/>
    </row>
    <row r="503">
      <c r="A503" s="72"/>
      <c r="B503" s="54"/>
      <c r="C503" s="67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68"/>
      <c r="R503" s="68"/>
      <c r="S503" s="68"/>
      <c r="T503" s="68"/>
      <c r="U503" s="56"/>
    </row>
    <row r="504">
      <c r="A504" s="72"/>
      <c r="B504" s="54"/>
      <c r="C504" s="67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68"/>
      <c r="R504" s="68"/>
      <c r="S504" s="68"/>
      <c r="T504" s="68"/>
      <c r="U504" s="56"/>
    </row>
    <row r="505">
      <c r="A505" s="72"/>
      <c r="B505" s="54"/>
      <c r="C505" s="67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68"/>
      <c r="R505" s="68"/>
      <c r="S505" s="68"/>
      <c r="T505" s="68"/>
      <c r="U505" s="56"/>
    </row>
    <row r="506">
      <c r="A506" s="72"/>
      <c r="B506" s="54"/>
      <c r="C506" s="67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68"/>
      <c r="R506" s="68"/>
      <c r="S506" s="68"/>
      <c r="T506" s="68"/>
      <c r="U506" s="56"/>
    </row>
    <row r="507">
      <c r="A507" s="72"/>
      <c r="B507" s="54"/>
      <c r="C507" s="67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68"/>
      <c r="R507" s="68"/>
      <c r="S507" s="68"/>
      <c r="T507" s="68"/>
      <c r="U507" s="56"/>
    </row>
    <row r="508">
      <c r="A508" s="72"/>
      <c r="B508" s="54"/>
      <c r="C508" s="67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68"/>
      <c r="R508" s="68"/>
      <c r="S508" s="68"/>
      <c r="T508" s="68"/>
      <c r="U508" s="56"/>
    </row>
    <row r="509">
      <c r="A509" s="72"/>
      <c r="B509" s="54"/>
      <c r="C509" s="67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68"/>
      <c r="R509" s="68"/>
      <c r="S509" s="68"/>
      <c r="T509" s="68"/>
      <c r="U509" s="56"/>
    </row>
    <row r="510">
      <c r="A510" s="72"/>
      <c r="B510" s="54"/>
      <c r="C510" s="67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68"/>
      <c r="R510" s="68"/>
      <c r="S510" s="68"/>
      <c r="T510" s="68"/>
      <c r="U510" s="56"/>
    </row>
    <row r="511">
      <c r="A511" s="72"/>
      <c r="B511" s="54"/>
      <c r="C511" s="67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68"/>
      <c r="R511" s="68"/>
      <c r="S511" s="68"/>
      <c r="T511" s="68"/>
      <c r="U511" s="56"/>
    </row>
    <row r="512">
      <c r="A512" s="72"/>
      <c r="B512" s="54"/>
      <c r="C512" s="67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68"/>
      <c r="R512" s="68"/>
      <c r="S512" s="68"/>
      <c r="T512" s="68"/>
      <c r="U512" s="56"/>
    </row>
    <row r="513">
      <c r="A513" s="72"/>
      <c r="B513" s="54"/>
      <c r="C513" s="67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68"/>
      <c r="R513" s="68"/>
      <c r="S513" s="68"/>
      <c r="T513" s="68"/>
      <c r="U513" s="56"/>
    </row>
    <row r="514">
      <c r="A514" s="72"/>
      <c r="B514" s="54"/>
      <c r="C514" s="67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68"/>
      <c r="R514" s="68"/>
      <c r="S514" s="68"/>
      <c r="T514" s="68"/>
      <c r="U514" s="56"/>
    </row>
    <row r="515">
      <c r="A515" s="72"/>
      <c r="B515" s="54"/>
      <c r="C515" s="67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68"/>
      <c r="R515" s="68"/>
      <c r="S515" s="68"/>
      <c r="T515" s="68"/>
      <c r="U515" s="56"/>
    </row>
    <row r="516">
      <c r="A516" s="72"/>
      <c r="B516" s="54"/>
      <c r="C516" s="67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68"/>
      <c r="R516" s="68"/>
      <c r="S516" s="68"/>
      <c r="T516" s="68"/>
      <c r="U516" s="56"/>
    </row>
    <row r="517">
      <c r="A517" s="72"/>
      <c r="B517" s="54"/>
      <c r="C517" s="67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68"/>
      <c r="R517" s="68"/>
      <c r="S517" s="68"/>
      <c r="T517" s="68"/>
      <c r="U517" s="56"/>
    </row>
    <row r="518">
      <c r="A518" s="72"/>
      <c r="B518" s="54"/>
      <c r="C518" s="67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68"/>
      <c r="R518" s="68"/>
      <c r="S518" s="68"/>
      <c r="T518" s="68"/>
      <c r="U518" s="56"/>
    </row>
    <row r="519">
      <c r="A519" s="72"/>
      <c r="B519" s="54"/>
      <c r="C519" s="67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68"/>
      <c r="R519" s="68"/>
      <c r="S519" s="68"/>
      <c r="T519" s="68"/>
      <c r="U519" s="56"/>
    </row>
    <row r="520">
      <c r="A520" s="72"/>
      <c r="B520" s="54"/>
      <c r="C520" s="67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68"/>
      <c r="R520" s="68"/>
      <c r="S520" s="68"/>
      <c r="T520" s="68"/>
      <c r="U520" s="56"/>
    </row>
    <row r="521">
      <c r="A521" s="72"/>
      <c r="B521" s="54"/>
      <c r="C521" s="67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68"/>
      <c r="R521" s="68"/>
      <c r="S521" s="68"/>
      <c r="T521" s="68"/>
      <c r="U521" s="56"/>
    </row>
    <row r="522">
      <c r="A522" s="72"/>
      <c r="B522" s="54"/>
      <c r="C522" s="67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68"/>
      <c r="R522" s="68"/>
      <c r="S522" s="68"/>
      <c r="T522" s="68"/>
      <c r="U522" s="56"/>
    </row>
    <row r="523">
      <c r="A523" s="72"/>
      <c r="B523" s="54"/>
      <c r="C523" s="67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68"/>
      <c r="R523" s="68"/>
      <c r="S523" s="68"/>
      <c r="T523" s="68"/>
      <c r="U523" s="56"/>
    </row>
    <row r="524">
      <c r="A524" s="72"/>
      <c r="B524" s="54"/>
      <c r="C524" s="67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68"/>
      <c r="R524" s="68"/>
      <c r="S524" s="68"/>
      <c r="T524" s="68"/>
      <c r="U524" s="56"/>
    </row>
    <row r="525">
      <c r="A525" s="72"/>
      <c r="B525" s="54"/>
      <c r="C525" s="67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68"/>
      <c r="R525" s="68"/>
      <c r="S525" s="68"/>
      <c r="T525" s="68"/>
      <c r="U525" s="56"/>
    </row>
    <row r="526">
      <c r="A526" s="72"/>
      <c r="B526" s="54"/>
      <c r="C526" s="67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68"/>
      <c r="R526" s="68"/>
      <c r="S526" s="68"/>
      <c r="T526" s="68"/>
      <c r="U526" s="56"/>
    </row>
    <row r="527">
      <c r="A527" s="72"/>
      <c r="B527" s="54"/>
      <c r="C527" s="67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68"/>
      <c r="R527" s="68"/>
      <c r="S527" s="68"/>
      <c r="T527" s="68"/>
      <c r="U527" s="56"/>
    </row>
    <row r="528">
      <c r="A528" s="72"/>
      <c r="B528" s="54"/>
      <c r="C528" s="67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68"/>
      <c r="R528" s="68"/>
      <c r="S528" s="68"/>
      <c r="T528" s="68"/>
      <c r="U528" s="56"/>
    </row>
    <row r="529">
      <c r="A529" s="72"/>
      <c r="B529" s="54"/>
      <c r="C529" s="67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68"/>
      <c r="R529" s="68"/>
      <c r="S529" s="68"/>
      <c r="T529" s="68"/>
      <c r="U529" s="56"/>
    </row>
    <row r="530">
      <c r="A530" s="72"/>
      <c r="B530" s="54"/>
      <c r="C530" s="67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68"/>
      <c r="R530" s="68"/>
      <c r="S530" s="68"/>
      <c r="T530" s="68"/>
      <c r="U530" s="56"/>
    </row>
    <row r="531">
      <c r="A531" s="72"/>
      <c r="B531" s="54"/>
      <c r="C531" s="67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68"/>
      <c r="R531" s="68"/>
      <c r="S531" s="68"/>
      <c r="T531" s="68"/>
      <c r="U531" s="56"/>
    </row>
    <row r="532">
      <c r="A532" s="72"/>
      <c r="B532" s="54"/>
      <c r="C532" s="67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68"/>
      <c r="R532" s="68"/>
      <c r="S532" s="68"/>
      <c r="T532" s="68"/>
      <c r="U532" s="56"/>
    </row>
    <row r="533">
      <c r="A533" s="72"/>
      <c r="B533" s="54"/>
      <c r="C533" s="67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68"/>
      <c r="R533" s="68"/>
      <c r="S533" s="68"/>
      <c r="T533" s="68"/>
      <c r="U533" s="56"/>
    </row>
    <row r="534">
      <c r="A534" s="72"/>
      <c r="B534" s="54"/>
      <c r="C534" s="67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68"/>
      <c r="R534" s="68"/>
      <c r="S534" s="68"/>
      <c r="T534" s="68"/>
      <c r="U534" s="56"/>
    </row>
    <row r="535">
      <c r="A535" s="72"/>
      <c r="B535" s="54"/>
      <c r="C535" s="67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68"/>
      <c r="R535" s="68"/>
      <c r="S535" s="68"/>
      <c r="T535" s="68"/>
      <c r="U535" s="56"/>
    </row>
    <row r="536">
      <c r="A536" s="72"/>
      <c r="B536" s="54"/>
      <c r="C536" s="67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68"/>
      <c r="R536" s="68"/>
      <c r="S536" s="68"/>
      <c r="T536" s="68"/>
      <c r="U536" s="56"/>
    </row>
    <row r="537">
      <c r="A537" s="72"/>
      <c r="B537" s="54"/>
      <c r="C537" s="67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68"/>
      <c r="R537" s="68"/>
      <c r="S537" s="68"/>
      <c r="T537" s="68"/>
      <c r="U537" s="56"/>
    </row>
    <row r="538">
      <c r="A538" s="72"/>
      <c r="B538" s="54"/>
      <c r="C538" s="67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68"/>
      <c r="R538" s="68"/>
      <c r="S538" s="68"/>
      <c r="T538" s="68"/>
      <c r="U538" s="56"/>
    </row>
    <row r="539">
      <c r="A539" s="72"/>
      <c r="B539" s="54"/>
      <c r="C539" s="67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68"/>
      <c r="R539" s="68"/>
      <c r="S539" s="68"/>
      <c r="T539" s="68"/>
      <c r="U539" s="56"/>
    </row>
    <row r="540">
      <c r="A540" s="72"/>
      <c r="B540" s="54"/>
      <c r="C540" s="67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68"/>
      <c r="R540" s="68"/>
      <c r="S540" s="68"/>
      <c r="T540" s="68"/>
      <c r="U540" s="56"/>
    </row>
    <row r="541">
      <c r="A541" s="72"/>
      <c r="B541" s="54"/>
      <c r="C541" s="67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68"/>
      <c r="R541" s="68"/>
      <c r="S541" s="68"/>
      <c r="T541" s="68"/>
      <c r="U541" s="56"/>
    </row>
    <row r="542">
      <c r="A542" s="72"/>
      <c r="B542" s="54"/>
      <c r="C542" s="67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68"/>
      <c r="R542" s="68"/>
      <c r="S542" s="68"/>
      <c r="T542" s="68"/>
      <c r="U542" s="56"/>
    </row>
    <row r="543">
      <c r="A543" s="72"/>
      <c r="B543" s="54"/>
      <c r="C543" s="67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68"/>
      <c r="R543" s="68"/>
      <c r="S543" s="68"/>
      <c r="T543" s="68"/>
      <c r="U543" s="56"/>
    </row>
    <row r="544">
      <c r="A544" s="72"/>
      <c r="B544" s="54"/>
      <c r="C544" s="67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68"/>
      <c r="R544" s="68"/>
      <c r="S544" s="68"/>
      <c r="T544" s="68"/>
      <c r="U544" s="56"/>
    </row>
    <row r="545">
      <c r="A545" s="72"/>
      <c r="B545" s="54"/>
      <c r="C545" s="67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68"/>
      <c r="R545" s="68"/>
      <c r="S545" s="68"/>
      <c r="T545" s="68"/>
      <c r="U545" s="56"/>
    </row>
    <row r="546">
      <c r="A546" s="72"/>
      <c r="B546" s="54"/>
      <c r="C546" s="67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68"/>
      <c r="R546" s="68"/>
      <c r="S546" s="68"/>
      <c r="T546" s="68"/>
      <c r="U546" s="56"/>
    </row>
    <row r="547">
      <c r="A547" s="72"/>
      <c r="B547" s="54"/>
      <c r="C547" s="67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68"/>
      <c r="R547" s="68"/>
      <c r="S547" s="68"/>
      <c r="T547" s="68"/>
      <c r="U547" s="56"/>
    </row>
    <row r="548">
      <c r="A548" s="72"/>
      <c r="B548" s="54"/>
      <c r="C548" s="67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68"/>
      <c r="R548" s="68"/>
      <c r="S548" s="68"/>
      <c r="T548" s="68"/>
      <c r="U548" s="56"/>
    </row>
    <row r="549">
      <c r="A549" s="72"/>
      <c r="B549" s="54"/>
      <c r="C549" s="67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68"/>
      <c r="R549" s="68"/>
      <c r="S549" s="68"/>
      <c r="T549" s="68"/>
      <c r="U549" s="56"/>
    </row>
    <row r="550">
      <c r="A550" s="72"/>
      <c r="B550" s="54"/>
      <c r="C550" s="67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68"/>
      <c r="R550" s="68"/>
      <c r="S550" s="68"/>
      <c r="T550" s="68"/>
      <c r="U550" s="56"/>
    </row>
    <row r="551">
      <c r="A551" s="72"/>
      <c r="B551" s="54"/>
      <c r="C551" s="67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68"/>
      <c r="R551" s="68"/>
      <c r="S551" s="68"/>
      <c r="T551" s="68"/>
      <c r="U551" s="56"/>
    </row>
    <row r="552">
      <c r="A552" s="72"/>
      <c r="B552" s="54"/>
      <c r="C552" s="67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68"/>
      <c r="R552" s="68"/>
      <c r="S552" s="68"/>
      <c r="T552" s="68"/>
      <c r="U552" s="56"/>
    </row>
    <row r="553">
      <c r="A553" s="72"/>
      <c r="B553" s="54"/>
      <c r="C553" s="67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68"/>
      <c r="R553" s="68"/>
      <c r="S553" s="68"/>
      <c r="T553" s="68"/>
      <c r="U553" s="56"/>
    </row>
    <row r="554">
      <c r="A554" s="72"/>
      <c r="B554" s="54"/>
      <c r="C554" s="67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68"/>
      <c r="R554" s="68"/>
      <c r="S554" s="68"/>
      <c r="T554" s="68"/>
      <c r="U554" s="56"/>
    </row>
    <row r="555">
      <c r="A555" s="72"/>
      <c r="B555" s="54"/>
      <c r="C555" s="67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68"/>
      <c r="R555" s="68"/>
      <c r="S555" s="68"/>
      <c r="T555" s="68"/>
      <c r="U555" s="56"/>
    </row>
    <row r="556">
      <c r="A556" s="72"/>
      <c r="B556" s="54"/>
      <c r="C556" s="67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68"/>
      <c r="R556" s="68"/>
      <c r="S556" s="68"/>
      <c r="T556" s="68"/>
      <c r="U556" s="56"/>
    </row>
    <row r="557">
      <c r="A557" s="72"/>
      <c r="B557" s="54"/>
      <c r="C557" s="67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68"/>
      <c r="R557" s="68"/>
      <c r="S557" s="68"/>
      <c r="T557" s="68"/>
      <c r="U557" s="56"/>
    </row>
    <row r="558">
      <c r="A558" s="72"/>
      <c r="B558" s="54"/>
      <c r="C558" s="67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68"/>
      <c r="R558" s="68"/>
      <c r="S558" s="68"/>
      <c r="T558" s="68"/>
      <c r="U558" s="56"/>
    </row>
    <row r="559">
      <c r="A559" s="72"/>
      <c r="B559" s="54"/>
      <c r="C559" s="67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68"/>
      <c r="R559" s="68"/>
      <c r="S559" s="68"/>
      <c r="T559" s="68"/>
      <c r="U559" s="56"/>
    </row>
    <row r="560">
      <c r="A560" s="72"/>
      <c r="B560" s="54"/>
      <c r="C560" s="67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68"/>
      <c r="R560" s="68"/>
      <c r="S560" s="68"/>
      <c r="T560" s="68"/>
      <c r="U560" s="56"/>
    </row>
    <row r="561">
      <c r="A561" s="72"/>
      <c r="B561" s="54"/>
      <c r="C561" s="67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68"/>
      <c r="R561" s="68"/>
      <c r="S561" s="68"/>
      <c r="T561" s="68"/>
      <c r="U561" s="56"/>
    </row>
    <row r="562">
      <c r="A562" s="72"/>
      <c r="B562" s="54"/>
      <c r="C562" s="67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68"/>
      <c r="R562" s="68"/>
      <c r="S562" s="68"/>
      <c r="T562" s="68"/>
      <c r="U562" s="56"/>
    </row>
    <row r="563">
      <c r="A563" s="72"/>
      <c r="B563" s="54"/>
      <c r="C563" s="67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68"/>
      <c r="R563" s="68"/>
      <c r="S563" s="68"/>
      <c r="T563" s="68"/>
      <c r="U563" s="56"/>
    </row>
    <row r="564">
      <c r="A564" s="72"/>
      <c r="B564" s="54"/>
      <c r="C564" s="67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68"/>
      <c r="R564" s="68"/>
      <c r="S564" s="68"/>
      <c r="T564" s="68"/>
      <c r="U564" s="56"/>
    </row>
    <row r="565">
      <c r="A565" s="72"/>
      <c r="B565" s="54"/>
      <c r="C565" s="67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68"/>
      <c r="R565" s="68"/>
      <c r="S565" s="68"/>
      <c r="T565" s="68"/>
      <c r="U565" s="56"/>
    </row>
    <row r="566">
      <c r="A566" s="72"/>
      <c r="B566" s="54"/>
      <c r="C566" s="67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68"/>
      <c r="R566" s="68"/>
      <c r="S566" s="68"/>
      <c r="T566" s="68"/>
      <c r="U566" s="56"/>
    </row>
    <row r="567">
      <c r="A567" s="72"/>
      <c r="B567" s="54"/>
      <c r="C567" s="67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68"/>
      <c r="R567" s="68"/>
      <c r="S567" s="68"/>
      <c r="T567" s="68"/>
      <c r="U567" s="56"/>
    </row>
    <row r="568">
      <c r="A568" s="72"/>
      <c r="B568" s="54"/>
      <c r="C568" s="67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68"/>
      <c r="R568" s="68"/>
      <c r="S568" s="68"/>
      <c r="T568" s="68"/>
      <c r="U568" s="56"/>
    </row>
    <row r="569">
      <c r="A569" s="72"/>
      <c r="B569" s="54"/>
      <c r="C569" s="67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68"/>
      <c r="R569" s="68"/>
      <c r="S569" s="68"/>
      <c r="T569" s="68"/>
      <c r="U569" s="56"/>
    </row>
    <row r="570">
      <c r="A570" s="72"/>
      <c r="B570" s="54"/>
      <c r="C570" s="67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68"/>
      <c r="R570" s="68"/>
      <c r="S570" s="68"/>
      <c r="T570" s="68"/>
      <c r="U570" s="56"/>
    </row>
    <row r="571">
      <c r="A571" s="72"/>
      <c r="B571" s="54"/>
      <c r="C571" s="67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68"/>
      <c r="R571" s="68"/>
      <c r="S571" s="68"/>
      <c r="T571" s="68"/>
      <c r="U571" s="56"/>
    </row>
    <row r="572">
      <c r="A572" s="72"/>
      <c r="B572" s="54"/>
      <c r="C572" s="67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68"/>
      <c r="R572" s="68"/>
      <c r="S572" s="68"/>
      <c r="T572" s="68"/>
      <c r="U572" s="56"/>
    </row>
    <row r="573">
      <c r="A573" s="72"/>
      <c r="B573" s="54"/>
      <c r="C573" s="67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68"/>
      <c r="R573" s="68"/>
      <c r="S573" s="68"/>
      <c r="T573" s="68"/>
      <c r="U573" s="56"/>
    </row>
    <row r="574">
      <c r="A574" s="72"/>
      <c r="B574" s="54"/>
      <c r="C574" s="67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68"/>
      <c r="R574" s="68"/>
      <c r="S574" s="68"/>
      <c r="T574" s="68"/>
      <c r="U574" s="56"/>
    </row>
    <row r="575">
      <c r="A575" s="72"/>
      <c r="B575" s="54"/>
      <c r="C575" s="67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68"/>
      <c r="R575" s="68"/>
      <c r="S575" s="68"/>
      <c r="T575" s="68"/>
      <c r="U575" s="56"/>
    </row>
    <row r="576">
      <c r="A576" s="72"/>
      <c r="B576" s="54"/>
      <c r="C576" s="67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68"/>
      <c r="R576" s="68"/>
      <c r="S576" s="68"/>
      <c r="T576" s="68"/>
      <c r="U576" s="56"/>
    </row>
    <row r="577">
      <c r="A577" s="72"/>
      <c r="B577" s="54"/>
      <c r="C577" s="67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68"/>
      <c r="R577" s="68"/>
      <c r="S577" s="68"/>
      <c r="T577" s="68"/>
      <c r="U577" s="56"/>
    </row>
    <row r="578">
      <c r="A578" s="72"/>
      <c r="B578" s="54"/>
      <c r="C578" s="67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68"/>
      <c r="R578" s="68"/>
      <c r="S578" s="68"/>
      <c r="T578" s="68"/>
      <c r="U578" s="56"/>
    </row>
    <row r="579">
      <c r="A579" s="72"/>
      <c r="B579" s="54"/>
      <c r="C579" s="67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68"/>
      <c r="R579" s="68"/>
      <c r="S579" s="68"/>
      <c r="T579" s="68"/>
      <c r="U579" s="56"/>
    </row>
    <row r="580">
      <c r="A580" s="72"/>
      <c r="B580" s="54"/>
      <c r="C580" s="67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68"/>
      <c r="R580" s="68"/>
      <c r="S580" s="68"/>
      <c r="T580" s="68"/>
      <c r="U580" s="56"/>
    </row>
    <row r="581">
      <c r="A581" s="72"/>
      <c r="B581" s="54"/>
      <c r="C581" s="67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68"/>
      <c r="R581" s="68"/>
      <c r="S581" s="68"/>
      <c r="T581" s="68"/>
      <c r="U581" s="56"/>
    </row>
    <row r="582">
      <c r="A582" s="72"/>
      <c r="B582" s="54"/>
      <c r="C582" s="67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68"/>
      <c r="R582" s="68"/>
      <c r="S582" s="68"/>
      <c r="T582" s="68"/>
      <c r="U582" s="56"/>
    </row>
    <row r="583">
      <c r="A583" s="72"/>
      <c r="B583" s="54"/>
      <c r="C583" s="67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68"/>
      <c r="R583" s="68"/>
      <c r="S583" s="68"/>
      <c r="T583" s="68"/>
      <c r="U583" s="56"/>
    </row>
    <row r="584">
      <c r="A584" s="72"/>
      <c r="B584" s="54"/>
      <c r="C584" s="67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68"/>
      <c r="R584" s="68"/>
      <c r="S584" s="68"/>
      <c r="T584" s="68"/>
      <c r="U584" s="56"/>
    </row>
    <row r="585">
      <c r="A585" s="72"/>
      <c r="B585" s="54"/>
      <c r="C585" s="67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68"/>
      <c r="R585" s="68"/>
      <c r="S585" s="68"/>
      <c r="T585" s="68"/>
      <c r="U585" s="56"/>
    </row>
    <row r="586">
      <c r="A586" s="72"/>
      <c r="B586" s="54"/>
      <c r="C586" s="67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68"/>
      <c r="R586" s="68"/>
      <c r="S586" s="68"/>
      <c r="T586" s="68"/>
      <c r="U586" s="56"/>
    </row>
    <row r="587">
      <c r="A587" s="72"/>
      <c r="B587" s="54"/>
      <c r="C587" s="67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68"/>
      <c r="R587" s="68"/>
      <c r="S587" s="68"/>
      <c r="T587" s="68"/>
      <c r="U587" s="56"/>
    </row>
    <row r="588">
      <c r="A588" s="72"/>
      <c r="B588" s="54"/>
      <c r="C588" s="67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68"/>
      <c r="R588" s="68"/>
      <c r="S588" s="68"/>
      <c r="T588" s="68"/>
      <c r="U588" s="56"/>
    </row>
    <row r="589">
      <c r="A589" s="72"/>
      <c r="B589" s="54"/>
      <c r="C589" s="67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68"/>
      <c r="R589" s="68"/>
      <c r="S589" s="68"/>
      <c r="T589" s="68"/>
      <c r="U589" s="56"/>
    </row>
    <row r="590">
      <c r="A590" s="72"/>
      <c r="B590" s="54"/>
      <c r="C590" s="67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68"/>
      <c r="R590" s="68"/>
      <c r="S590" s="68"/>
      <c r="T590" s="68"/>
      <c r="U590" s="56"/>
    </row>
    <row r="591">
      <c r="A591" s="72"/>
      <c r="B591" s="54"/>
      <c r="C591" s="67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68"/>
      <c r="R591" s="68"/>
      <c r="S591" s="68"/>
      <c r="T591" s="68"/>
      <c r="U591" s="56"/>
    </row>
    <row r="592">
      <c r="A592" s="72"/>
      <c r="B592" s="54"/>
      <c r="C592" s="67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68"/>
      <c r="R592" s="68"/>
      <c r="S592" s="68"/>
      <c r="T592" s="68"/>
      <c r="U592" s="56"/>
    </row>
    <row r="593">
      <c r="A593" s="72"/>
      <c r="B593" s="54"/>
      <c r="C593" s="67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68"/>
      <c r="R593" s="68"/>
      <c r="S593" s="68"/>
      <c r="T593" s="68"/>
      <c r="U593" s="56"/>
    </row>
    <row r="594">
      <c r="A594" s="72"/>
      <c r="B594" s="54"/>
      <c r="C594" s="67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68"/>
      <c r="R594" s="68"/>
      <c r="S594" s="68"/>
      <c r="T594" s="68"/>
      <c r="U594" s="56"/>
    </row>
    <row r="595">
      <c r="A595" s="72"/>
      <c r="B595" s="54"/>
      <c r="C595" s="67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68"/>
      <c r="R595" s="68"/>
      <c r="S595" s="68"/>
      <c r="T595" s="68"/>
      <c r="U595" s="56"/>
    </row>
    <row r="596">
      <c r="A596" s="72"/>
      <c r="B596" s="54"/>
      <c r="C596" s="67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68"/>
      <c r="R596" s="68"/>
      <c r="S596" s="68"/>
      <c r="T596" s="68"/>
      <c r="U596" s="56"/>
    </row>
    <row r="597">
      <c r="A597" s="72"/>
      <c r="B597" s="54"/>
      <c r="C597" s="67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68"/>
      <c r="R597" s="68"/>
      <c r="S597" s="68"/>
      <c r="T597" s="68"/>
      <c r="U597" s="56"/>
    </row>
    <row r="598">
      <c r="A598" s="72"/>
      <c r="B598" s="54"/>
      <c r="C598" s="67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68"/>
      <c r="R598" s="68"/>
      <c r="S598" s="68"/>
      <c r="T598" s="68"/>
      <c r="U598" s="56"/>
    </row>
    <row r="599">
      <c r="A599" s="72"/>
      <c r="B599" s="54"/>
      <c r="C599" s="67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68"/>
      <c r="R599" s="68"/>
      <c r="S599" s="68"/>
      <c r="T599" s="68"/>
      <c r="U599" s="56"/>
    </row>
    <row r="600">
      <c r="A600" s="72"/>
      <c r="B600" s="54"/>
      <c r="C600" s="67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68"/>
      <c r="R600" s="68"/>
      <c r="S600" s="68"/>
      <c r="T600" s="68"/>
      <c r="U600" s="56"/>
    </row>
    <row r="601">
      <c r="A601" s="72"/>
      <c r="B601" s="54"/>
      <c r="C601" s="67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68"/>
      <c r="R601" s="68"/>
      <c r="S601" s="68"/>
      <c r="T601" s="68"/>
      <c r="U601" s="56"/>
    </row>
    <row r="602">
      <c r="A602" s="72"/>
      <c r="B602" s="54"/>
      <c r="C602" s="67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68"/>
      <c r="R602" s="68"/>
      <c r="S602" s="68"/>
      <c r="T602" s="68"/>
      <c r="U602" s="56"/>
    </row>
    <row r="603">
      <c r="A603" s="72"/>
      <c r="B603" s="54"/>
      <c r="C603" s="67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68"/>
      <c r="R603" s="68"/>
      <c r="S603" s="68"/>
      <c r="T603" s="68"/>
      <c r="U603" s="56"/>
    </row>
    <row r="604">
      <c r="A604" s="72"/>
      <c r="B604" s="54"/>
      <c r="C604" s="67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68"/>
      <c r="R604" s="68"/>
      <c r="S604" s="68"/>
      <c r="T604" s="68"/>
      <c r="U604" s="56"/>
    </row>
    <row r="605">
      <c r="A605" s="72"/>
      <c r="B605" s="54"/>
      <c r="C605" s="67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68"/>
      <c r="R605" s="68"/>
      <c r="S605" s="68"/>
      <c r="T605" s="68"/>
      <c r="U605" s="56"/>
    </row>
    <row r="606">
      <c r="A606" s="72"/>
      <c r="B606" s="54"/>
      <c r="C606" s="67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68"/>
      <c r="R606" s="68"/>
      <c r="S606" s="68"/>
      <c r="T606" s="68"/>
      <c r="U606" s="56"/>
    </row>
    <row r="607">
      <c r="A607" s="72"/>
      <c r="B607" s="54"/>
      <c r="C607" s="67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68"/>
      <c r="R607" s="68"/>
      <c r="S607" s="68"/>
      <c r="T607" s="68"/>
      <c r="U607" s="56"/>
    </row>
    <row r="608">
      <c r="A608" s="72"/>
      <c r="B608" s="54"/>
      <c r="C608" s="67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68"/>
      <c r="R608" s="68"/>
      <c r="S608" s="68"/>
      <c r="T608" s="68"/>
      <c r="U608" s="56"/>
    </row>
    <row r="609">
      <c r="A609" s="72"/>
      <c r="B609" s="54"/>
      <c r="C609" s="67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68"/>
      <c r="R609" s="68"/>
      <c r="S609" s="68"/>
      <c r="T609" s="68"/>
      <c r="U609" s="56"/>
    </row>
    <row r="610">
      <c r="A610" s="72"/>
      <c r="B610" s="54"/>
      <c r="C610" s="67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68"/>
      <c r="R610" s="68"/>
      <c r="S610" s="68"/>
      <c r="T610" s="68"/>
      <c r="U610" s="56"/>
    </row>
    <row r="611">
      <c r="A611" s="72"/>
      <c r="B611" s="54"/>
      <c r="C611" s="67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68"/>
      <c r="R611" s="68"/>
      <c r="S611" s="68"/>
      <c r="T611" s="68"/>
      <c r="U611" s="56"/>
    </row>
    <row r="612">
      <c r="A612" s="72"/>
      <c r="B612" s="54"/>
      <c r="C612" s="67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68"/>
      <c r="R612" s="68"/>
      <c r="S612" s="68"/>
      <c r="T612" s="68"/>
      <c r="U612" s="56"/>
    </row>
    <row r="613">
      <c r="A613" s="72"/>
      <c r="B613" s="54"/>
      <c r="C613" s="67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68"/>
      <c r="R613" s="68"/>
      <c r="S613" s="68"/>
      <c r="T613" s="68"/>
      <c r="U613" s="56"/>
    </row>
    <row r="614">
      <c r="A614" s="72"/>
      <c r="B614" s="54"/>
      <c r="C614" s="67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68"/>
      <c r="R614" s="68"/>
      <c r="S614" s="68"/>
      <c r="T614" s="68"/>
      <c r="U614" s="56"/>
    </row>
    <row r="615">
      <c r="A615" s="72"/>
      <c r="B615" s="54"/>
      <c r="C615" s="67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68"/>
      <c r="R615" s="68"/>
      <c r="S615" s="68"/>
      <c r="T615" s="68"/>
      <c r="U615" s="56"/>
    </row>
    <row r="616">
      <c r="A616" s="72"/>
      <c r="B616" s="54"/>
      <c r="C616" s="67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68"/>
      <c r="R616" s="68"/>
      <c r="S616" s="68"/>
      <c r="T616" s="68"/>
      <c r="U616" s="56"/>
    </row>
    <row r="617">
      <c r="A617" s="72"/>
      <c r="B617" s="54"/>
      <c r="C617" s="67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68"/>
      <c r="R617" s="68"/>
      <c r="S617" s="68"/>
      <c r="T617" s="68"/>
      <c r="U617" s="56"/>
    </row>
    <row r="618">
      <c r="A618" s="72"/>
      <c r="B618" s="54"/>
      <c r="C618" s="67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68"/>
      <c r="R618" s="68"/>
      <c r="S618" s="68"/>
      <c r="T618" s="68"/>
      <c r="U618" s="56"/>
    </row>
    <row r="619">
      <c r="A619" s="72"/>
      <c r="B619" s="54"/>
      <c r="C619" s="67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68"/>
      <c r="R619" s="68"/>
      <c r="S619" s="68"/>
      <c r="T619" s="68"/>
      <c r="U619" s="56"/>
    </row>
    <row r="620">
      <c r="A620" s="72"/>
      <c r="B620" s="54"/>
      <c r="C620" s="67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68"/>
      <c r="R620" s="68"/>
      <c r="S620" s="68"/>
      <c r="T620" s="68"/>
      <c r="U620" s="56"/>
    </row>
    <row r="621">
      <c r="A621" s="72"/>
      <c r="B621" s="54"/>
      <c r="C621" s="67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68"/>
      <c r="R621" s="68"/>
      <c r="S621" s="68"/>
      <c r="T621" s="68"/>
      <c r="U621" s="56"/>
    </row>
    <row r="622">
      <c r="A622" s="72"/>
      <c r="B622" s="54"/>
      <c r="C622" s="67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68"/>
      <c r="R622" s="68"/>
      <c r="S622" s="68"/>
      <c r="T622" s="68"/>
      <c r="U622" s="56"/>
    </row>
    <row r="623">
      <c r="A623" s="72"/>
      <c r="B623" s="54"/>
      <c r="C623" s="67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68"/>
      <c r="R623" s="68"/>
      <c r="S623" s="68"/>
      <c r="T623" s="68"/>
      <c r="U623" s="56"/>
    </row>
    <row r="624">
      <c r="A624" s="72"/>
      <c r="B624" s="54"/>
      <c r="C624" s="67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68"/>
      <c r="R624" s="68"/>
      <c r="S624" s="68"/>
      <c r="T624" s="68"/>
      <c r="U624" s="56"/>
    </row>
    <row r="625">
      <c r="A625" s="72"/>
      <c r="B625" s="54"/>
      <c r="C625" s="67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68"/>
      <c r="R625" s="68"/>
      <c r="S625" s="68"/>
      <c r="T625" s="68"/>
      <c r="U625" s="56"/>
    </row>
    <row r="626">
      <c r="A626" s="72"/>
      <c r="B626" s="54"/>
      <c r="C626" s="67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68"/>
      <c r="R626" s="68"/>
      <c r="S626" s="68"/>
      <c r="T626" s="68"/>
      <c r="U626" s="56"/>
    </row>
    <row r="627">
      <c r="A627" s="72"/>
      <c r="B627" s="54"/>
      <c r="C627" s="67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68"/>
      <c r="R627" s="68"/>
      <c r="S627" s="68"/>
      <c r="T627" s="68"/>
      <c r="U627" s="56"/>
    </row>
    <row r="628">
      <c r="A628" s="72"/>
      <c r="B628" s="54"/>
      <c r="C628" s="67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68"/>
      <c r="R628" s="68"/>
      <c r="S628" s="68"/>
      <c r="T628" s="68"/>
      <c r="U628" s="56"/>
    </row>
    <row r="629">
      <c r="A629" s="72"/>
      <c r="B629" s="54"/>
      <c r="C629" s="67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68"/>
      <c r="R629" s="68"/>
      <c r="S629" s="68"/>
      <c r="T629" s="68"/>
      <c r="U629" s="56"/>
    </row>
    <row r="630">
      <c r="A630" s="72"/>
      <c r="B630" s="54"/>
      <c r="C630" s="67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68"/>
      <c r="R630" s="68"/>
      <c r="S630" s="68"/>
      <c r="T630" s="68"/>
      <c r="U630" s="56"/>
    </row>
    <row r="631">
      <c r="A631" s="72"/>
      <c r="B631" s="54"/>
      <c r="C631" s="67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68"/>
      <c r="R631" s="68"/>
      <c r="S631" s="68"/>
      <c r="T631" s="68"/>
      <c r="U631" s="56"/>
    </row>
    <row r="632">
      <c r="A632" s="72"/>
      <c r="B632" s="54"/>
      <c r="C632" s="67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68"/>
      <c r="R632" s="68"/>
      <c r="S632" s="68"/>
      <c r="T632" s="68"/>
      <c r="U632" s="56"/>
    </row>
    <row r="633">
      <c r="A633" s="72"/>
      <c r="B633" s="54"/>
      <c r="C633" s="67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68"/>
      <c r="R633" s="68"/>
      <c r="S633" s="68"/>
      <c r="T633" s="68"/>
      <c r="U633" s="56"/>
    </row>
    <row r="634">
      <c r="A634" s="72"/>
      <c r="B634" s="54"/>
      <c r="C634" s="67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68"/>
      <c r="R634" s="68"/>
      <c r="S634" s="68"/>
      <c r="T634" s="68"/>
      <c r="U634" s="56"/>
    </row>
    <row r="635">
      <c r="A635" s="72"/>
      <c r="B635" s="54"/>
      <c r="C635" s="67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68"/>
      <c r="R635" s="68"/>
      <c r="S635" s="68"/>
      <c r="T635" s="68"/>
      <c r="U635" s="56"/>
    </row>
    <row r="636">
      <c r="A636" s="72"/>
      <c r="B636" s="54"/>
      <c r="C636" s="67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68"/>
      <c r="R636" s="68"/>
      <c r="S636" s="68"/>
      <c r="T636" s="68"/>
      <c r="U636" s="56"/>
    </row>
    <row r="637">
      <c r="A637" s="72"/>
      <c r="B637" s="54"/>
      <c r="C637" s="67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68"/>
      <c r="R637" s="68"/>
      <c r="S637" s="68"/>
      <c r="T637" s="68"/>
      <c r="U637" s="56"/>
    </row>
    <row r="638">
      <c r="A638" s="72"/>
      <c r="B638" s="54"/>
      <c r="C638" s="67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68"/>
      <c r="R638" s="68"/>
      <c r="S638" s="68"/>
      <c r="T638" s="68"/>
      <c r="U638" s="56"/>
    </row>
    <row r="639">
      <c r="A639" s="72"/>
      <c r="B639" s="54"/>
      <c r="C639" s="67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68"/>
      <c r="R639" s="68"/>
      <c r="S639" s="68"/>
      <c r="T639" s="68"/>
      <c r="U639" s="56"/>
    </row>
    <row r="640">
      <c r="A640" s="72"/>
      <c r="B640" s="54"/>
      <c r="C640" s="67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68"/>
      <c r="R640" s="68"/>
      <c r="S640" s="68"/>
      <c r="T640" s="68"/>
      <c r="U640" s="56"/>
    </row>
    <row r="641">
      <c r="A641" s="72"/>
      <c r="B641" s="54"/>
      <c r="C641" s="67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68"/>
      <c r="R641" s="68"/>
      <c r="S641" s="68"/>
      <c r="T641" s="68"/>
      <c r="U641" s="56"/>
    </row>
    <row r="642">
      <c r="A642" s="72"/>
      <c r="B642" s="54"/>
      <c r="C642" s="67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68"/>
      <c r="R642" s="68"/>
      <c r="S642" s="68"/>
      <c r="T642" s="68"/>
      <c r="U642" s="56"/>
    </row>
    <row r="643">
      <c r="A643" s="72"/>
      <c r="B643" s="54"/>
      <c r="C643" s="67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68"/>
      <c r="R643" s="68"/>
      <c r="S643" s="68"/>
      <c r="T643" s="68"/>
      <c r="U643" s="56"/>
    </row>
    <row r="644">
      <c r="A644" s="72"/>
      <c r="B644" s="54"/>
      <c r="C644" s="67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68"/>
      <c r="R644" s="68"/>
      <c r="S644" s="68"/>
      <c r="T644" s="68"/>
      <c r="U644" s="56"/>
    </row>
    <row r="645">
      <c r="A645" s="72"/>
      <c r="B645" s="54"/>
      <c r="C645" s="67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68"/>
      <c r="R645" s="68"/>
      <c r="S645" s="68"/>
      <c r="T645" s="68"/>
      <c r="U645" s="56"/>
    </row>
    <row r="646">
      <c r="A646" s="72"/>
      <c r="B646" s="54"/>
      <c r="C646" s="67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68"/>
      <c r="R646" s="68"/>
      <c r="S646" s="68"/>
      <c r="T646" s="68"/>
      <c r="U646" s="56"/>
    </row>
    <row r="647">
      <c r="A647" s="72"/>
      <c r="B647" s="54"/>
      <c r="C647" s="67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68"/>
      <c r="R647" s="68"/>
      <c r="S647" s="68"/>
      <c r="T647" s="68"/>
      <c r="U647" s="56"/>
    </row>
    <row r="648">
      <c r="A648" s="72"/>
      <c r="B648" s="54"/>
      <c r="C648" s="67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68"/>
      <c r="R648" s="68"/>
      <c r="S648" s="68"/>
      <c r="T648" s="68"/>
      <c r="U648" s="56"/>
    </row>
    <row r="649">
      <c r="A649" s="72"/>
      <c r="B649" s="54"/>
      <c r="C649" s="67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68"/>
      <c r="R649" s="68"/>
      <c r="S649" s="68"/>
      <c r="T649" s="68"/>
      <c r="U649" s="56"/>
    </row>
    <row r="650">
      <c r="A650" s="72"/>
      <c r="B650" s="54"/>
      <c r="C650" s="67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68"/>
      <c r="R650" s="68"/>
      <c r="S650" s="68"/>
      <c r="T650" s="68"/>
      <c r="U650" s="56"/>
    </row>
    <row r="651">
      <c r="A651" s="72"/>
      <c r="B651" s="54"/>
      <c r="C651" s="67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68"/>
      <c r="R651" s="68"/>
      <c r="S651" s="68"/>
      <c r="T651" s="68"/>
      <c r="U651" s="56"/>
    </row>
    <row r="652">
      <c r="A652" s="72"/>
      <c r="B652" s="54"/>
      <c r="C652" s="67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68"/>
      <c r="R652" s="68"/>
      <c r="S652" s="68"/>
      <c r="T652" s="68"/>
      <c r="U652" s="56"/>
    </row>
    <row r="653">
      <c r="A653" s="72"/>
      <c r="B653" s="54"/>
      <c r="C653" s="67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68"/>
      <c r="R653" s="68"/>
      <c r="S653" s="68"/>
      <c r="T653" s="68"/>
      <c r="U653" s="56"/>
    </row>
    <row r="654">
      <c r="A654" s="72"/>
      <c r="B654" s="54"/>
      <c r="C654" s="67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68"/>
      <c r="R654" s="68"/>
      <c r="S654" s="68"/>
      <c r="T654" s="68"/>
      <c r="U654" s="56"/>
    </row>
    <row r="655">
      <c r="A655" s="72"/>
      <c r="B655" s="54"/>
      <c r="C655" s="67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68"/>
      <c r="R655" s="68"/>
      <c r="S655" s="68"/>
      <c r="T655" s="68"/>
      <c r="U655" s="56"/>
    </row>
    <row r="656">
      <c r="A656" s="72"/>
      <c r="B656" s="54"/>
      <c r="C656" s="67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68"/>
      <c r="R656" s="68"/>
      <c r="S656" s="68"/>
      <c r="T656" s="68"/>
      <c r="U656" s="56"/>
    </row>
    <row r="657">
      <c r="A657" s="72"/>
      <c r="B657" s="54"/>
      <c r="C657" s="67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68"/>
      <c r="R657" s="68"/>
      <c r="S657" s="68"/>
      <c r="T657" s="68"/>
      <c r="U657" s="56"/>
    </row>
    <row r="658">
      <c r="A658" s="72"/>
      <c r="B658" s="54"/>
      <c r="C658" s="67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68"/>
      <c r="R658" s="68"/>
      <c r="S658" s="68"/>
      <c r="T658" s="68"/>
      <c r="U658" s="56"/>
    </row>
    <row r="659">
      <c r="A659" s="72"/>
      <c r="B659" s="54"/>
      <c r="C659" s="67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68"/>
      <c r="R659" s="68"/>
      <c r="S659" s="68"/>
      <c r="T659" s="68"/>
      <c r="U659" s="56"/>
    </row>
    <row r="660">
      <c r="A660" s="72"/>
      <c r="B660" s="54"/>
      <c r="C660" s="67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68"/>
      <c r="R660" s="68"/>
      <c r="S660" s="68"/>
      <c r="T660" s="68"/>
      <c r="U660" s="56"/>
    </row>
    <row r="661">
      <c r="A661" s="72"/>
      <c r="B661" s="54"/>
      <c r="C661" s="67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68"/>
      <c r="R661" s="68"/>
      <c r="S661" s="68"/>
      <c r="T661" s="68"/>
      <c r="U661" s="56"/>
    </row>
    <row r="662">
      <c r="A662" s="72"/>
      <c r="B662" s="54"/>
      <c r="C662" s="67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68"/>
      <c r="R662" s="68"/>
      <c r="S662" s="68"/>
      <c r="T662" s="68"/>
      <c r="U662" s="56"/>
    </row>
    <row r="663">
      <c r="A663" s="72"/>
      <c r="B663" s="54"/>
      <c r="C663" s="67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68"/>
      <c r="R663" s="68"/>
      <c r="S663" s="68"/>
      <c r="T663" s="68"/>
      <c r="U663" s="56"/>
    </row>
    <row r="664">
      <c r="A664" s="72"/>
      <c r="B664" s="54"/>
      <c r="C664" s="67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68"/>
      <c r="R664" s="68"/>
      <c r="S664" s="68"/>
      <c r="T664" s="68"/>
      <c r="U664" s="56"/>
    </row>
    <row r="665">
      <c r="A665" s="72"/>
      <c r="B665" s="54"/>
      <c r="C665" s="67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68"/>
      <c r="R665" s="68"/>
      <c r="S665" s="68"/>
      <c r="T665" s="68"/>
      <c r="U665" s="56"/>
    </row>
    <row r="666">
      <c r="A666" s="72"/>
      <c r="B666" s="54"/>
      <c r="C666" s="67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68"/>
      <c r="R666" s="68"/>
      <c r="S666" s="68"/>
      <c r="T666" s="68"/>
      <c r="U666" s="56"/>
    </row>
    <row r="667">
      <c r="A667" s="72"/>
      <c r="B667" s="54"/>
      <c r="C667" s="67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68"/>
      <c r="R667" s="68"/>
      <c r="S667" s="68"/>
      <c r="T667" s="68"/>
      <c r="U667" s="56"/>
    </row>
    <row r="668">
      <c r="A668" s="72"/>
      <c r="B668" s="54"/>
      <c r="C668" s="67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68"/>
      <c r="R668" s="68"/>
      <c r="S668" s="68"/>
      <c r="T668" s="68"/>
      <c r="U668" s="56"/>
    </row>
    <row r="669">
      <c r="A669" s="72"/>
      <c r="B669" s="54"/>
      <c r="C669" s="67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68"/>
      <c r="R669" s="68"/>
      <c r="S669" s="68"/>
      <c r="T669" s="68"/>
      <c r="U669" s="56"/>
    </row>
    <row r="670">
      <c r="A670" s="72"/>
      <c r="B670" s="54"/>
      <c r="C670" s="67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68"/>
      <c r="R670" s="68"/>
      <c r="S670" s="68"/>
      <c r="T670" s="68"/>
      <c r="U670" s="56"/>
    </row>
    <row r="671">
      <c r="A671" s="72"/>
      <c r="B671" s="54"/>
      <c r="C671" s="67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68"/>
      <c r="R671" s="68"/>
      <c r="S671" s="68"/>
      <c r="T671" s="68"/>
      <c r="U671" s="56"/>
    </row>
    <row r="672">
      <c r="A672" s="72"/>
      <c r="B672" s="54"/>
      <c r="C672" s="67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68"/>
      <c r="R672" s="68"/>
      <c r="S672" s="68"/>
      <c r="T672" s="68"/>
      <c r="U672" s="56"/>
    </row>
    <row r="673">
      <c r="A673" s="72"/>
      <c r="B673" s="54"/>
      <c r="C673" s="67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68"/>
      <c r="R673" s="68"/>
      <c r="S673" s="68"/>
      <c r="T673" s="68"/>
      <c r="U673" s="56"/>
    </row>
    <row r="674">
      <c r="A674" s="72"/>
      <c r="B674" s="54"/>
      <c r="C674" s="67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68"/>
      <c r="R674" s="68"/>
      <c r="S674" s="68"/>
      <c r="T674" s="68"/>
      <c r="U674" s="56"/>
    </row>
    <row r="675">
      <c r="A675" s="72"/>
      <c r="B675" s="54"/>
      <c r="C675" s="67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68"/>
      <c r="R675" s="68"/>
      <c r="S675" s="68"/>
      <c r="T675" s="68"/>
      <c r="U675" s="56"/>
    </row>
    <row r="676">
      <c r="A676" s="72"/>
      <c r="B676" s="54"/>
      <c r="C676" s="67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68"/>
      <c r="R676" s="68"/>
      <c r="S676" s="68"/>
      <c r="T676" s="68"/>
      <c r="U676" s="56"/>
    </row>
    <row r="677">
      <c r="A677" s="72"/>
      <c r="B677" s="54"/>
      <c r="C677" s="67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68"/>
      <c r="R677" s="68"/>
      <c r="S677" s="68"/>
      <c r="T677" s="68"/>
      <c r="U677" s="56"/>
    </row>
    <row r="678">
      <c r="A678" s="72"/>
      <c r="B678" s="54"/>
      <c r="C678" s="67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68"/>
      <c r="R678" s="68"/>
      <c r="S678" s="68"/>
      <c r="T678" s="68"/>
      <c r="U678" s="56"/>
    </row>
    <row r="679">
      <c r="A679" s="72"/>
      <c r="B679" s="54"/>
      <c r="C679" s="67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68"/>
      <c r="R679" s="68"/>
      <c r="S679" s="68"/>
      <c r="T679" s="68"/>
      <c r="U679" s="56"/>
    </row>
    <row r="680">
      <c r="A680" s="72"/>
      <c r="B680" s="54"/>
      <c r="C680" s="67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68"/>
      <c r="R680" s="68"/>
      <c r="S680" s="68"/>
      <c r="T680" s="68"/>
      <c r="U680" s="56"/>
    </row>
    <row r="681">
      <c r="A681" s="72"/>
      <c r="B681" s="54"/>
      <c r="C681" s="67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68"/>
      <c r="R681" s="68"/>
      <c r="S681" s="68"/>
      <c r="T681" s="68"/>
      <c r="U681" s="56"/>
    </row>
    <row r="682">
      <c r="A682" s="72"/>
      <c r="B682" s="54"/>
      <c r="C682" s="67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68"/>
      <c r="R682" s="68"/>
      <c r="S682" s="68"/>
      <c r="T682" s="68"/>
      <c r="U682" s="56"/>
    </row>
    <row r="683">
      <c r="A683" s="72"/>
      <c r="B683" s="54"/>
      <c r="C683" s="67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68"/>
      <c r="R683" s="68"/>
      <c r="S683" s="68"/>
      <c r="T683" s="68"/>
      <c r="U683" s="56"/>
    </row>
    <row r="684">
      <c r="A684" s="72"/>
      <c r="B684" s="54"/>
      <c r="C684" s="67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68"/>
      <c r="R684" s="68"/>
      <c r="S684" s="68"/>
      <c r="T684" s="68"/>
      <c r="U684" s="56"/>
    </row>
    <row r="685">
      <c r="A685" s="72"/>
      <c r="B685" s="54"/>
      <c r="C685" s="67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68"/>
      <c r="R685" s="68"/>
      <c r="S685" s="68"/>
      <c r="T685" s="68"/>
      <c r="U685" s="56"/>
    </row>
    <row r="686">
      <c r="A686" s="72"/>
      <c r="B686" s="54"/>
      <c r="C686" s="67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68"/>
      <c r="R686" s="68"/>
      <c r="S686" s="68"/>
      <c r="T686" s="68"/>
      <c r="U686" s="56"/>
    </row>
    <row r="687">
      <c r="A687" s="72"/>
      <c r="B687" s="54"/>
      <c r="C687" s="67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68"/>
      <c r="R687" s="68"/>
      <c r="S687" s="68"/>
      <c r="T687" s="68"/>
      <c r="U687" s="56"/>
    </row>
    <row r="688">
      <c r="A688" s="72"/>
      <c r="B688" s="54"/>
      <c r="C688" s="67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68"/>
      <c r="R688" s="68"/>
      <c r="S688" s="68"/>
      <c r="T688" s="68"/>
      <c r="U688" s="56"/>
    </row>
    <row r="689">
      <c r="A689" s="72"/>
      <c r="B689" s="54"/>
      <c r="C689" s="67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68"/>
      <c r="R689" s="68"/>
      <c r="S689" s="68"/>
      <c r="T689" s="68"/>
      <c r="U689" s="56"/>
    </row>
    <row r="690">
      <c r="A690" s="72"/>
      <c r="B690" s="54"/>
      <c r="C690" s="67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68"/>
      <c r="R690" s="68"/>
      <c r="S690" s="68"/>
      <c r="T690" s="68"/>
      <c r="U690" s="56"/>
    </row>
    <row r="691">
      <c r="A691" s="72"/>
      <c r="B691" s="54"/>
      <c r="C691" s="67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68"/>
      <c r="R691" s="68"/>
      <c r="S691" s="68"/>
      <c r="T691" s="68"/>
      <c r="U691" s="56"/>
    </row>
    <row r="692">
      <c r="A692" s="72"/>
      <c r="B692" s="54"/>
      <c r="C692" s="67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68"/>
      <c r="R692" s="68"/>
      <c r="S692" s="68"/>
      <c r="T692" s="68"/>
      <c r="U692" s="56"/>
    </row>
    <row r="693">
      <c r="A693" s="72"/>
      <c r="B693" s="54"/>
      <c r="C693" s="67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68"/>
      <c r="R693" s="68"/>
      <c r="S693" s="68"/>
      <c r="T693" s="68"/>
      <c r="U693" s="56"/>
    </row>
    <row r="694">
      <c r="A694" s="72"/>
      <c r="B694" s="54"/>
      <c r="C694" s="67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68"/>
      <c r="R694" s="68"/>
      <c r="S694" s="68"/>
      <c r="T694" s="68"/>
      <c r="U694" s="56"/>
    </row>
    <row r="695">
      <c r="A695" s="72"/>
      <c r="B695" s="54"/>
      <c r="C695" s="67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68"/>
      <c r="R695" s="68"/>
      <c r="S695" s="68"/>
      <c r="T695" s="68"/>
      <c r="U695" s="56"/>
    </row>
    <row r="696">
      <c r="A696" s="72"/>
      <c r="B696" s="54"/>
      <c r="C696" s="67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68"/>
      <c r="R696" s="68"/>
      <c r="S696" s="68"/>
      <c r="T696" s="68"/>
      <c r="U696" s="56"/>
    </row>
    <row r="697">
      <c r="A697" s="72"/>
      <c r="B697" s="54"/>
      <c r="C697" s="67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68"/>
      <c r="R697" s="68"/>
      <c r="S697" s="68"/>
      <c r="T697" s="68"/>
      <c r="U697" s="56"/>
    </row>
    <row r="698">
      <c r="A698" s="72"/>
      <c r="B698" s="54"/>
      <c r="C698" s="67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68"/>
      <c r="R698" s="68"/>
      <c r="S698" s="68"/>
      <c r="T698" s="68"/>
      <c r="U698" s="56"/>
    </row>
    <row r="699">
      <c r="A699" s="72"/>
      <c r="B699" s="54"/>
      <c r="C699" s="67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68"/>
      <c r="R699" s="68"/>
      <c r="S699" s="68"/>
      <c r="T699" s="68"/>
      <c r="U699" s="56"/>
    </row>
    <row r="700">
      <c r="A700" s="72"/>
      <c r="B700" s="54"/>
      <c r="C700" s="67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68"/>
      <c r="R700" s="68"/>
      <c r="S700" s="68"/>
      <c r="T700" s="68"/>
      <c r="U700" s="56"/>
    </row>
    <row r="701">
      <c r="A701" s="72"/>
      <c r="B701" s="54"/>
      <c r="C701" s="67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68"/>
      <c r="R701" s="68"/>
      <c r="S701" s="68"/>
      <c r="T701" s="68"/>
      <c r="U701" s="56"/>
    </row>
    <row r="702">
      <c r="A702" s="72"/>
      <c r="B702" s="54"/>
      <c r="C702" s="67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68"/>
      <c r="R702" s="68"/>
      <c r="S702" s="68"/>
      <c r="T702" s="68"/>
      <c r="U702" s="56"/>
    </row>
    <row r="703">
      <c r="A703" s="72"/>
      <c r="B703" s="54"/>
      <c r="C703" s="67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68"/>
      <c r="R703" s="68"/>
      <c r="S703" s="68"/>
      <c r="T703" s="68"/>
      <c r="U703" s="56"/>
    </row>
    <row r="704">
      <c r="A704" s="72"/>
      <c r="B704" s="54"/>
      <c r="C704" s="67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68"/>
      <c r="R704" s="68"/>
      <c r="S704" s="68"/>
      <c r="T704" s="68"/>
      <c r="U704" s="56"/>
    </row>
    <row r="705">
      <c r="A705" s="72"/>
      <c r="B705" s="54"/>
      <c r="C705" s="67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68"/>
      <c r="R705" s="68"/>
      <c r="S705" s="68"/>
      <c r="T705" s="68"/>
      <c r="U705" s="56"/>
    </row>
    <row r="706">
      <c r="A706" s="72"/>
      <c r="B706" s="54"/>
      <c r="C706" s="67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68"/>
      <c r="R706" s="68"/>
      <c r="S706" s="68"/>
      <c r="T706" s="68"/>
      <c r="U706" s="56"/>
    </row>
    <row r="707">
      <c r="A707" s="72"/>
      <c r="B707" s="54"/>
      <c r="C707" s="67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68"/>
      <c r="R707" s="68"/>
      <c r="S707" s="68"/>
      <c r="T707" s="68"/>
      <c r="U707" s="56"/>
    </row>
    <row r="708">
      <c r="A708" s="72"/>
      <c r="B708" s="54"/>
      <c r="C708" s="67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68"/>
      <c r="R708" s="68"/>
      <c r="S708" s="68"/>
      <c r="T708" s="68"/>
      <c r="U708" s="56"/>
    </row>
    <row r="709">
      <c r="A709" s="72"/>
      <c r="B709" s="54"/>
      <c r="C709" s="67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68"/>
      <c r="R709" s="68"/>
      <c r="S709" s="68"/>
      <c r="T709" s="68"/>
      <c r="U709" s="56"/>
    </row>
    <row r="710">
      <c r="A710" s="72"/>
      <c r="B710" s="54"/>
      <c r="C710" s="67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68"/>
      <c r="R710" s="68"/>
      <c r="S710" s="68"/>
      <c r="T710" s="68"/>
      <c r="U710" s="56"/>
    </row>
    <row r="711">
      <c r="A711" s="72"/>
      <c r="B711" s="54"/>
      <c r="C711" s="67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68"/>
      <c r="R711" s="68"/>
      <c r="S711" s="68"/>
      <c r="T711" s="68"/>
      <c r="U711" s="56"/>
    </row>
    <row r="712">
      <c r="A712" s="72"/>
      <c r="B712" s="54"/>
      <c r="C712" s="67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68"/>
      <c r="R712" s="68"/>
      <c r="S712" s="68"/>
      <c r="T712" s="68"/>
      <c r="U712" s="56"/>
    </row>
    <row r="713">
      <c r="A713" s="72"/>
      <c r="B713" s="54"/>
      <c r="C713" s="67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68"/>
      <c r="R713" s="68"/>
      <c r="S713" s="68"/>
      <c r="T713" s="68"/>
      <c r="U713" s="56"/>
    </row>
    <row r="714">
      <c r="A714" s="72"/>
      <c r="B714" s="54"/>
      <c r="C714" s="67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68"/>
      <c r="R714" s="68"/>
      <c r="S714" s="68"/>
      <c r="T714" s="68"/>
      <c r="U714" s="56"/>
    </row>
    <row r="715">
      <c r="A715" s="72"/>
      <c r="B715" s="54"/>
      <c r="C715" s="67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68"/>
      <c r="R715" s="68"/>
      <c r="S715" s="68"/>
      <c r="T715" s="68"/>
      <c r="U715" s="56"/>
    </row>
    <row r="716">
      <c r="A716" s="72"/>
      <c r="B716" s="54"/>
      <c r="C716" s="67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68"/>
      <c r="R716" s="68"/>
      <c r="S716" s="68"/>
      <c r="T716" s="68"/>
      <c r="U716" s="56"/>
    </row>
    <row r="717">
      <c r="A717" s="72"/>
      <c r="B717" s="54"/>
      <c r="C717" s="67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68"/>
      <c r="R717" s="68"/>
      <c r="S717" s="68"/>
      <c r="T717" s="68"/>
      <c r="U717" s="56"/>
    </row>
    <row r="718">
      <c r="A718" s="72"/>
      <c r="B718" s="54"/>
      <c r="C718" s="67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68"/>
      <c r="R718" s="68"/>
      <c r="S718" s="68"/>
      <c r="T718" s="68"/>
      <c r="U718" s="56"/>
    </row>
    <row r="719">
      <c r="A719" s="72"/>
      <c r="B719" s="54"/>
      <c r="C719" s="67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68"/>
      <c r="R719" s="68"/>
      <c r="S719" s="68"/>
      <c r="T719" s="68"/>
      <c r="U719" s="56"/>
    </row>
    <row r="720">
      <c r="A720" s="72"/>
      <c r="B720" s="54"/>
      <c r="C720" s="67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68"/>
      <c r="R720" s="68"/>
      <c r="S720" s="68"/>
      <c r="T720" s="68"/>
      <c r="U720" s="56"/>
    </row>
    <row r="721">
      <c r="A721" s="72"/>
      <c r="B721" s="54"/>
      <c r="C721" s="67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68"/>
      <c r="R721" s="68"/>
      <c r="S721" s="68"/>
      <c r="T721" s="68"/>
      <c r="U721" s="56"/>
    </row>
    <row r="722">
      <c r="A722" s="72"/>
      <c r="B722" s="54"/>
      <c r="C722" s="67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68"/>
      <c r="R722" s="68"/>
      <c r="S722" s="68"/>
      <c r="T722" s="68"/>
      <c r="U722" s="56"/>
    </row>
    <row r="723">
      <c r="A723" s="72"/>
      <c r="B723" s="54"/>
      <c r="C723" s="67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68"/>
      <c r="R723" s="68"/>
      <c r="S723" s="68"/>
      <c r="T723" s="68"/>
      <c r="U723" s="56"/>
    </row>
    <row r="724">
      <c r="A724" s="72"/>
      <c r="B724" s="54"/>
      <c r="C724" s="67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68"/>
      <c r="R724" s="68"/>
      <c r="S724" s="68"/>
      <c r="T724" s="68"/>
      <c r="U724" s="56"/>
    </row>
    <row r="725">
      <c r="A725" s="72"/>
      <c r="B725" s="54"/>
      <c r="C725" s="67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68"/>
      <c r="R725" s="68"/>
      <c r="S725" s="68"/>
      <c r="T725" s="68"/>
      <c r="U725" s="56"/>
    </row>
    <row r="726">
      <c r="A726" s="72"/>
      <c r="B726" s="54"/>
      <c r="C726" s="67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68"/>
      <c r="R726" s="68"/>
      <c r="S726" s="68"/>
      <c r="T726" s="68"/>
      <c r="U726" s="56"/>
    </row>
    <row r="727">
      <c r="A727" s="72"/>
      <c r="B727" s="54"/>
      <c r="C727" s="67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68"/>
      <c r="R727" s="68"/>
      <c r="S727" s="68"/>
      <c r="T727" s="68"/>
      <c r="U727" s="56"/>
    </row>
    <row r="728">
      <c r="A728" s="72"/>
      <c r="B728" s="54"/>
      <c r="C728" s="67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68"/>
      <c r="R728" s="68"/>
      <c r="S728" s="68"/>
      <c r="T728" s="68"/>
      <c r="U728" s="56"/>
    </row>
    <row r="729">
      <c r="A729" s="72"/>
      <c r="B729" s="54"/>
      <c r="C729" s="67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68"/>
      <c r="R729" s="68"/>
      <c r="S729" s="68"/>
      <c r="T729" s="68"/>
      <c r="U729" s="56"/>
    </row>
    <row r="730">
      <c r="A730" s="72"/>
      <c r="B730" s="54"/>
      <c r="C730" s="67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68"/>
      <c r="R730" s="68"/>
      <c r="S730" s="68"/>
      <c r="T730" s="68"/>
      <c r="U730" s="56"/>
    </row>
    <row r="731">
      <c r="A731" s="72"/>
      <c r="B731" s="54"/>
      <c r="C731" s="67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68"/>
      <c r="R731" s="68"/>
      <c r="S731" s="68"/>
      <c r="T731" s="68"/>
      <c r="U731" s="56"/>
    </row>
    <row r="732">
      <c r="A732" s="72"/>
      <c r="B732" s="54"/>
      <c r="C732" s="67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68"/>
      <c r="R732" s="68"/>
      <c r="S732" s="68"/>
      <c r="T732" s="68"/>
      <c r="U732" s="56"/>
    </row>
    <row r="733">
      <c r="A733" s="72"/>
      <c r="B733" s="54"/>
      <c r="C733" s="67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68"/>
      <c r="R733" s="68"/>
      <c r="S733" s="68"/>
      <c r="T733" s="68"/>
      <c r="U733" s="56"/>
    </row>
    <row r="734">
      <c r="A734" s="72"/>
      <c r="B734" s="54"/>
      <c r="C734" s="67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68"/>
      <c r="R734" s="68"/>
      <c r="S734" s="68"/>
      <c r="T734" s="68"/>
      <c r="U734" s="56"/>
    </row>
    <row r="735">
      <c r="A735" s="72"/>
      <c r="B735" s="54"/>
      <c r="C735" s="67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68"/>
      <c r="R735" s="68"/>
      <c r="S735" s="68"/>
      <c r="T735" s="68"/>
      <c r="U735" s="56"/>
    </row>
    <row r="736">
      <c r="A736" s="72"/>
      <c r="B736" s="54"/>
      <c r="C736" s="67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68"/>
      <c r="R736" s="68"/>
      <c r="S736" s="68"/>
      <c r="T736" s="68"/>
      <c r="U736" s="56"/>
    </row>
    <row r="737">
      <c r="A737" s="72"/>
      <c r="B737" s="54"/>
      <c r="C737" s="67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68"/>
      <c r="R737" s="68"/>
      <c r="S737" s="68"/>
      <c r="T737" s="68"/>
      <c r="U737" s="56"/>
    </row>
    <row r="738">
      <c r="A738" s="72"/>
      <c r="B738" s="54"/>
      <c r="C738" s="67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68"/>
      <c r="R738" s="68"/>
      <c r="S738" s="68"/>
      <c r="T738" s="68"/>
      <c r="U738" s="56"/>
    </row>
    <row r="739">
      <c r="A739" s="72"/>
      <c r="B739" s="54"/>
      <c r="C739" s="67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68"/>
      <c r="R739" s="68"/>
      <c r="S739" s="68"/>
      <c r="T739" s="68"/>
      <c r="U739" s="56"/>
    </row>
    <row r="740">
      <c r="A740" s="72"/>
      <c r="B740" s="54"/>
      <c r="C740" s="67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68"/>
      <c r="R740" s="68"/>
      <c r="S740" s="68"/>
      <c r="T740" s="68"/>
      <c r="U740" s="56"/>
    </row>
    <row r="741">
      <c r="A741" s="72"/>
      <c r="B741" s="54"/>
      <c r="C741" s="67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68"/>
      <c r="R741" s="68"/>
      <c r="S741" s="68"/>
      <c r="T741" s="68"/>
      <c r="U741" s="56"/>
    </row>
    <row r="742">
      <c r="A742" s="72"/>
      <c r="B742" s="54"/>
      <c r="C742" s="67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68"/>
      <c r="R742" s="68"/>
      <c r="S742" s="68"/>
      <c r="T742" s="68"/>
      <c r="U742" s="56"/>
    </row>
    <row r="743">
      <c r="A743" s="72"/>
      <c r="B743" s="54"/>
      <c r="C743" s="67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68"/>
      <c r="R743" s="68"/>
      <c r="S743" s="68"/>
      <c r="T743" s="68"/>
      <c r="U743" s="56"/>
    </row>
    <row r="744">
      <c r="A744" s="72"/>
      <c r="B744" s="54"/>
      <c r="C744" s="67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68"/>
      <c r="R744" s="68"/>
      <c r="S744" s="68"/>
      <c r="T744" s="68"/>
      <c r="U744" s="56"/>
    </row>
    <row r="745">
      <c r="A745" s="72"/>
      <c r="B745" s="54"/>
      <c r="C745" s="67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68"/>
      <c r="R745" s="68"/>
      <c r="S745" s="68"/>
      <c r="T745" s="68"/>
      <c r="U745" s="56"/>
    </row>
    <row r="746">
      <c r="A746" s="72"/>
      <c r="B746" s="54"/>
      <c r="C746" s="67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68"/>
      <c r="R746" s="68"/>
      <c r="S746" s="68"/>
      <c r="T746" s="68"/>
      <c r="U746" s="56"/>
    </row>
    <row r="747">
      <c r="A747" s="72"/>
      <c r="B747" s="54"/>
      <c r="C747" s="67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68"/>
      <c r="R747" s="68"/>
      <c r="S747" s="68"/>
      <c r="T747" s="68"/>
      <c r="U747" s="56"/>
    </row>
    <row r="748">
      <c r="A748" s="72"/>
      <c r="B748" s="54"/>
      <c r="C748" s="67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68"/>
      <c r="R748" s="68"/>
      <c r="S748" s="68"/>
      <c r="T748" s="68"/>
      <c r="U748" s="56"/>
    </row>
    <row r="749">
      <c r="A749" s="72"/>
      <c r="B749" s="54"/>
      <c r="C749" s="67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68"/>
      <c r="R749" s="68"/>
      <c r="S749" s="68"/>
      <c r="T749" s="68"/>
      <c r="U749" s="56"/>
    </row>
    <row r="750">
      <c r="A750" s="72"/>
      <c r="B750" s="54"/>
      <c r="C750" s="67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68"/>
      <c r="R750" s="68"/>
      <c r="S750" s="68"/>
      <c r="T750" s="68"/>
      <c r="U750" s="56"/>
    </row>
    <row r="751">
      <c r="A751" s="72"/>
      <c r="B751" s="54"/>
      <c r="C751" s="67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68"/>
      <c r="R751" s="68"/>
      <c r="S751" s="68"/>
      <c r="T751" s="68"/>
      <c r="U751" s="56"/>
    </row>
    <row r="752">
      <c r="A752" s="72"/>
      <c r="B752" s="54"/>
      <c r="C752" s="67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68"/>
      <c r="R752" s="68"/>
      <c r="S752" s="68"/>
      <c r="T752" s="68"/>
      <c r="U752" s="56"/>
    </row>
    <row r="753">
      <c r="A753" s="72"/>
      <c r="B753" s="54"/>
      <c r="C753" s="67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68"/>
      <c r="R753" s="68"/>
      <c r="S753" s="68"/>
      <c r="T753" s="68"/>
      <c r="U753" s="56"/>
    </row>
    <row r="754">
      <c r="A754" s="72"/>
      <c r="B754" s="54"/>
      <c r="C754" s="67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68"/>
      <c r="R754" s="68"/>
      <c r="S754" s="68"/>
      <c r="T754" s="68"/>
      <c r="U754" s="56"/>
    </row>
    <row r="755">
      <c r="A755" s="72"/>
      <c r="B755" s="54"/>
      <c r="C755" s="67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68"/>
      <c r="R755" s="68"/>
      <c r="S755" s="68"/>
      <c r="T755" s="68"/>
      <c r="U755" s="56"/>
    </row>
    <row r="756">
      <c r="A756" s="72"/>
      <c r="B756" s="54"/>
      <c r="C756" s="67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68"/>
      <c r="R756" s="68"/>
      <c r="S756" s="68"/>
      <c r="T756" s="68"/>
      <c r="U756" s="56"/>
    </row>
    <row r="757">
      <c r="A757" s="72"/>
      <c r="B757" s="54"/>
      <c r="C757" s="67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68"/>
      <c r="R757" s="68"/>
      <c r="S757" s="68"/>
      <c r="T757" s="68"/>
      <c r="U757" s="56"/>
    </row>
    <row r="758">
      <c r="A758" s="72"/>
      <c r="B758" s="54"/>
      <c r="C758" s="67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68"/>
      <c r="R758" s="68"/>
      <c r="S758" s="68"/>
      <c r="T758" s="68"/>
      <c r="U758" s="56"/>
    </row>
    <row r="759">
      <c r="A759" s="72"/>
      <c r="B759" s="54"/>
      <c r="C759" s="67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68"/>
      <c r="R759" s="68"/>
      <c r="S759" s="68"/>
      <c r="T759" s="68"/>
      <c r="U759" s="56"/>
    </row>
    <row r="760">
      <c r="A760" s="72"/>
      <c r="B760" s="54"/>
      <c r="C760" s="67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68"/>
      <c r="R760" s="68"/>
      <c r="S760" s="68"/>
      <c r="T760" s="68"/>
      <c r="U760" s="56"/>
    </row>
    <row r="761">
      <c r="A761" s="72"/>
      <c r="B761" s="54"/>
      <c r="C761" s="67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68"/>
      <c r="R761" s="68"/>
      <c r="S761" s="68"/>
      <c r="T761" s="68"/>
      <c r="U761" s="56"/>
    </row>
    <row r="762">
      <c r="A762" s="72"/>
      <c r="B762" s="54"/>
      <c r="C762" s="67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68"/>
      <c r="R762" s="68"/>
      <c r="S762" s="68"/>
      <c r="T762" s="68"/>
      <c r="U762" s="56"/>
    </row>
    <row r="763">
      <c r="A763" s="72"/>
      <c r="B763" s="54"/>
      <c r="C763" s="67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68"/>
      <c r="R763" s="68"/>
      <c r="S763" s="68"/>
      <c r="T763" s="68"/>
      <c r="U763" s="56"/>
    </row>
    <row r="764">
      <c r="A764" s="72"/>
      <c r="B764" s="54"/>
      <c r="C764" s="67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68"/>
      <c r="R764" s="68"/>
      <c r="S764" s="68"/>
      <c r="T764" s="68"/>
      <c r="U764" s="56"/>
    </row>
    <row r="765">
      <c r="A765" s="72"/>
      <c r="B765" s="54"/>
      <c r="C765" s="67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68"/>
      <c r="R765" s="68"/>
      <c r="S765" s="68"/>
      <c r="T765" s="68"/>
      <c r="U765" s="56"/>
    </row>
    <row r="766">
      <c r="A766" s="72"/>
      <c r="B766" s="54"/>
      <c r="C766" s="67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68"/>
      <c r="R766" s="68"/>
      <c r="S766" s="68"/>
      <c r="T766" s="68"/>
      <c r="U766" s="56"/>
    </row>
    <row r="767">
      <c r="A767" s="72"/>
      <c r="B767" s="54"/>
      <c r="C767" s="67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68"/>
      <c r="R767" s="68"/>
      <c r="S767" s="68"/>
      <c r="T767" s="68"/>
      <c r="U767" s="56"/>
    </row>
    <row r="768">
      <c r="A768" s="72"/>
      <c r="B768" s="54"/>
      <c r="C768" s="67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68"/>
      <c r="R768" s="68"/>
      <c r="S768" s="68"/>
      <c r="T768" s="68"/>
      <c r="U768" s="56"/>
    </row>
    <row r="769">
      <c r="A769" s="72"/>
      <c r="B769" s="54"/>
      <c r="C769" s="67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68"/>
      <c r="R769" s="68"/>
      <c r="S769" s="68"/>
      <c r="T769" s="68"/>
      <c r="U769" s="56"/>
    </row>
    <row r="770">
      <c r="A770" s="72"/>
      <c r="B770" s="54"/>
      <c r="C770" s="67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68"/>
      <c r="R770" s="68"/>
      <c r="S770" s="68"/>
      <c r="T770" s="68"/>
      <c r="U770" s="56"/>
    </row>
    <row r="771">
      <c r="A771" s="72"/>
      <c r="B771" s="54"/>
      <c r="C771" s="67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68"/>
      <c r="R771" s="68"/>
      <c r="S771" s="68"/>
      <c r="T771" s="68"/>
      <c r="U771" s="56"/>
    </row>
    <row r="772">
      <c r="A772" s="72"/>
      <c r="B772" s="54"/>
      <c r="C772" s="67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68"/>
      <c r="R772" s="68"/>
      <c r="S772" s="68"/>
      <c r="T772" s="68"/>
      <c r="U772" s="56"/>
    </row>
    <row r="773">
      <c r="A773" s="72"/>
      <c r="B773" s="54"/>
      <c r="C773" s="67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68"/>
      <c r="R773" s="68"/>
      <c r="S773" s="68"/>
      <c r="T773" s="68"/>
      <c r="U773" s="56"/>
    </row>
    <row r="774">
      <c r="A774" s="72"/>
      <c r="B774" s="54"/>
      <c r="C774" s="67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68"/>
      <c r="R774" s="68"/>
      <c r="S774" s="68"/>
      <c r="T774" s="68"/>
      <c r="U774" s="56"/>
    </row>
    <row r="775">
      <c r="A775" s="72"/>
      <c r="B775" s="54"/>
      <c r="C775" s="67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68"/>
      <c r="R775" s="68"/>
      <c r="S775" s="68"/>
      <c r="T775" s="68"/>
      <c r="U775" s="56"/>
    </row>
    <row r="776">
      <c r="A776" s="72"/>
      <c r="B776" s="54"/>
      <c r="C776" s="67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68"/>
      <c r="R776" s="68"/>
      <c r="S776" s="68"/>
      <c r="T776" s="68"/>
      <c r="U776" s="56"/>
    </row>
    <row r="777">
      <c r="A777" s="72"/>
      <c r="B777" s="54"/>
      <c r="C777" s="67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68"/>
      <c r="R777" s="68"/>
      <c r="S777" s="68"/>
      <c r="T777" s="68"/>
      <c r="U777" s="56"/>
    </row>
    <row r="778">
      <c r="A778" s="72"/>
      <c r="B778" s="54"/>
      <c r="C778" s="67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68"/>
      <c r="R778" s="68"/>
      <c r="S778" s="68"/>
      <c r="T778" s="68"/>
      <c r="U778" s="56"/>
    </row>
    <row r="779">
      <c r="A779" s="72"/>
      <c r="B779" s="54"/>
      <c r="C779" s="67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68"/>
      <c r="R779" s="68"/>
      <c r="S779" s="68"/>
      <c r="T779" s="68"/>
      <c r="U779" s="56"/>
    </row>
    <row r="780">
      <c r="A780" s="72"/>
      <c r="B780" s="54"/>
      <c r="C780" s="67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68"/>
      <c r="R780" s="68"/>
      <c r="S780" s="68"/>
      <c r="T780" s="68"/>
      <c r="U780" s="56"/>
    </row>
    <row r="781">
      <c r="A781" s="72"/>
      <c r="B781" s="54"/>
      <c r="C781" s="67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68"/>
      <c r="R781" s="68"/>
      <c r="S781" s="68"/>
      <c r="T781" s="68"/>
      <c r="U781" s="56"/>
    </row>
    <row r="782">
      <c r="A782" s="72"/>
      <c r="B782" s="54"/>
      <c r="C782" s="67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68"/>
      <c r="R782" s="68"/>
      <c r="S782" s="68"/>
      <c r="T782" s="68"/>
      <c r="U782" s="56"/>
    </row>
    <row r="783">
      <c r="A783" s="72"/>
      <c r="B783" s="54"/>
      <c r="C783" s="67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68"/>
      <c r="R783" s="68"/>
      <c r="S783" s="68"/>
      <c r="T783" s="68"/>
      <c r="U783" s="56"/>
    </row>
    <row r="784">
      <c r="A784" s="72"/>
      <c r="B784" s="54"/>
      <c r="C784" s="67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68"/>
      <c r="R784" s="68"/>
      <c r="S784" s="68"/>
      <c r="T784" s="68"/>
      <c r="U784" s="56"/>
    </row>
    <row r="785">
      <c r="A785" s="72"/>
      <c r="B785" s="54"/>
      <c r="C785" s="67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68"/>
      <c r="R785" s="68"/>
      <c r="S785" s="68"/>
      <c r="T785" s="68"/>
      <c r="U785" s="56"/>
    </row>
    <row r="786">
      <c r="A786" s="72"/>
      <c r="B786" s="54"/>
      <c r="C786" s="67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68"/>
      <c r="R786" s="68"/>
      <c r="S786" s="68"/>
      <c r="T786" s="68"/>
      <c r="U786" s="56"/>
    </row>
    <row r="787">
      <c r="A787" s="72"/>
      <c r="B787" s="54"/>
      <c r="C787" s="67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68"/>
      <c r="R787" s="68"/>
      <c r="S787" s="68"/>
      <c r="T787" s="68"/>
      <c r="U787" s="56"/>
    </row>
    <row r="788">
      <c r="A788" s="72"/>
      <c r="B788" s="54"/>
      <c r="C788" s="67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68"/>
      <c r="R788" s="68"/>
      <c r="S788" s="68"/>
      <c r="T788" s="68"/>
      <c r="U788" s="56"/>
    </row>
    <row r="789">
      <c r="A789" s="72"/>
      <c r="B789" s="54"/>
      <c r="C789" s="67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68"/>
      <c r="R789" s="68"/>
      <c r="S789" s="68"/>
      <c r="T789" s="68"/>
      <c r="U789" s="56"/>
    </row>
    <row r="790">
      <c r="A790" s="72"/>
      <c r="B790" s="54"/>
      <c r="C790" s="67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68"/>
      <c r="R790" s="68"/>
      <c r="S790" s="68"/>
      <c r="T790" s="68"/>
      <c r="U790" s="56"/>
    </row>
    <row r="791">
      <c r="A791" s="72"/>
      <c r="B791" s="54"/>
      <c r="C791" s="67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68"/>
      <c r="R791" s="68"/>
      <c r="S791" s="68"/>
      <c r="T791" s="68"/>
      <c r="U791" s="56"/>
    </row>
    <row r="792">
      <c r="A792" s="72"/>
      <c r="B792" s="54"/>
      <c r="C792" s="67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68"/>
      <c r="R792" s="68"/>
      <c r="S792" s="68"/>
      <c r="T792" s="68"/>
      <c r="U792" s="56"/>
    </row>
    <row r="793">
      <c r="A793" s="72"/>
      <c r="B793" s="54"/>
      <c r="C793" s="67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68"/>
      <c r="R793" s="68"/>
      <c r="S793" s="68"/>
      <c r="T793" s="68"/>
      <c r="U793" s="56"/>
    </row>
    <row r="794">
      <c r="A794" s="72"/>
      <c r="B794" s="54"/>
      <c r="C794" s="67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68"/>
      <c r="R794" s="68"/>
      <c r="S794" s="68"/>
      <c r="T794" s="68"/>
      <c r="U794" s="56"/>
    </row>
    <row r="795">
      <c r="A795" s="72"/>
      <c r="B795" s="54"/>
      <c r="C795" s="67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68"/>
      <c r="R795" s="68"/>
      <c r="S795" s="68"/>
      <c r="T795" s="68"/>
      <c r="U795" s="56"/>
    </row>
    <row r="796">
      <c r="A796" s="72"/>
      <c r="B796" s="54"/>
      <c r="C796" s="67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68"/>
      <c r="R796" s="68"/>
      <c r="S796" s="68"/>
      <c r="T796" s="68"/>
      <c r="U796" s="56"/>
    </row>
    <row r="797">
      <c r="A797" s="72"/>
      <c r="B797" s="54"/>
      <c r="C797" s="67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68"/>
      <c r="R797" s="68"/>
      <c r="S797" s="68"/>
      <c r="T797" s="68"/>
      <c r="U797" s="56"/>
    </row>
    <row r="798">
      <c r="A798" s="72"/>
      <c r="B798" s="54"/>
      <c r="C798" s="67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68"/>
      <c r="R798" s="68"/>
      <c r="S798" s="68"/>
      <c r="T798" s="68"/>
      <c r="U798" s="56"/>
    </row>
    <row r="799">
      <c r="A799" s="72"/>
      <c r="B799" s="54"/>
      <c r="C799" s="67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68"/>
      <c r="R799" s="68"/>
      <c r="S799" s="68"/>
      <c r="T799" s="68"/>
      <c r="U799" s="56"/>
    </row>
    <row r="800">
      <c r="A800" s="72"/>
      <c r="B800" s="54"/>
      <c r="C800" s="67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68"/>
      <c r="R800" s="68"/>
      <c r="S800" s="68"/>
      <c r="T800" s="68"/>
      <c r="U800" s="56"/>
    </row>
    <row r="801">
      <c r="A801" s="72"/>
      <c r="B801" s="54"/>
      <c r="C801" s="67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68"/>
      <c r="R801" s="68"/>
      <c r="S801" s="68"/>
      <c r="T801" s="68"/>
      <c r="U801" s="56"/>
    </row>
    <row r="802">
      <c r="A802" s="72"/>
      <c r="B802" s="54"/>
      <c r="C802" s="67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68"/>
      <c r="R802" s="68"/>
      <c r="S802" s="68"/>
      <c r="T802" s="68"/>
      <c r="U802" s="56"/>
    </row>
    <row r="803">
      <c r="A803" s="72"/>
      <c r="B803" s="54"/>
      <c r="C803" s="67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68"/>
      <c r="R803" s="68"/>
      <c r="S803" s="68"/>
      <c r="T803" s="68"/>
      <c r="U803" s="56"/>
    </row>
    <row r="804">
      <c r="A804" s="72"/>
      <c r="B804" s="54"/>
      <c r="C804" s="67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68"/>
      <c r="R804" s="68"/>
      <c r="S804" s="68"/>
      <c r="T804" s="68"/>
      <c r="U804" s="56"/>
    </row>
    <row r="805">
      <c r="A805" s="72"/>
      <c r="B805" s="54"/>
      <c r="C805" s="67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68"/>
      <c r="R805" s="68"/>
      <c r="S805" s="68"/>
      <c r="T805" s="68"/>
      <c r="U805" s="56"/>
    </row>
    <row r="806">
      <c r="A806" s="72"/>
      <c r="B806" s="54"/>
      <c r="C806" s="67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68"/>
      <c r="R806" s="68"/>
      <c r="S806" s="68"/>
      <c r="T806" s="68"/>
      <c r="U806" s="56"/>
    </row>
    <row r="807">
      <c r="A807" s="72"/>
      <c r="B807" s="54"/>
      <c r="C807" s="67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68"/>
      <c r="R807" s="68"/>
      <c r="S807" s="68"/>
      <c r="T807" s="68"/>
      <c r="U807" s="56"/>
    </row>
    <row r="808">
      <c r="A808" s="72"/>
      <c r="B808" s="54"/>
      <c r="C808" s="67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68"/>
      <c r="R808" s="68"/>
      <c r="S808" s="68"/>
      <c r="T808" s="68"/>
      <c r="U808" s="56"/>
    </row>
    <row r="809">
      <c r="A809" s="72"/>
      <c r="B809" s="54"/>
      <c r="C809" s="67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68"/>
      <c r="R809" s="68"/>
      <c r="S809" s="68"/>
      <c r="T809" s="68"/>
      <c r="U809" s="56"/>
    </row>
    <row r="810">
      <c r="A810" s="72"/>
      <c r="B810" s="54"/>
      <c r="C810" s="67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68"/>
      <c r="R810" s="68"/>
      <c r="S810" s="68"/>
      <c r="T810" s="68"/>
      <c r="U810" s="56"/>
    </row>
    <row r="811">
      <c r="A811" s="72"/>
      <c r="B811" s="54"/>
      <c r="C811" s="67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68"/>
      <c r="R811" s="68"/>
      <c r="S811" s="68"/>
      <c r="T811" s="68"/>
      <c r="U811" s="56"/>
    </row>
    <row r="812">
      <c r="A812" s="72"/>
      <c r="B812" s="54"/>
      <c r="C812" s="67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68"/>
      <c r="R812" s="68"/>
      <c r="S812" s="68"/>
      <c r="T812" s="68"/>
      <c r="U812" s="56"/>
    </row>
    <row r="813">
      <c r="A813" s="72"/>
      <c r="B813" s="54"/>
      <c r="C813" s="67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68"/>
      <c r="R813" s="68"/>
      <c r="S813" s="68"/>
      <c r="T813" s="68"/>
      <c r="U813" s="56"/>
    </row>
    <row r="814">
      <c r="A814" s="72"/>
      <c r="B814" s="54"/>
      <c r="C814" s="67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68"/>
      <c r="R814" s="68"/>
      <c r="S814" s="68"/>
      <c r="T814" s="68"/>
      <c r="U814" s="56"/>
    </row>
    <row r="815">
      <c r="A815" s="72"/>
      <c r="B815" s="54"/>
      <c r="C815" s="67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68"/>
      <c r="R815" s="68"/>
      <c r="S815" s="68"/>
      <c r="T815" s="68"/>
      <c r="U815" s="56"/>
    </row>
    <row r="816">
      <c r="A816" s="72"/>
      <c r="B816" s="54"/>
      <c r="C816" s="67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68"/>
      <c r="R816" s="68"/>
      <c r="S816" s="68"/>
      <c r="T816" s="68"/>
      <c r="U816" s="56"/>
    </row>
    <row r="817">
      <c r="A817" s="72"/>
      <c r="B817" s="54"/>
      <c r="C817" s="67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68"/>
      <c r="R817" s="68"/>
      <c r="S817" s="68"/>
      <c r="T817" s="68"/>
      <c r="U817" s="56"/>
    </row>
    <row r="818">
      <c r="A818" s="72"/>
      <c r="B818" s="54"/>
      <c r="C818" s="67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68"/>
      <c r="R818" s="68"/>
      <c r="S818" s="68"/>
      <c r="T818" s="68"/>
      <c r="U818" s="56"/>
    </row>
    <row r="819">
      <c r="A819" s="72"/>
      <c r="B819" s="54"/>
      <c r="C819" s="67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68"/>
      <c r="R819" s="68"/>
      <c r="S819" s="68"/>
      <c r="T819" s="68"/>
      <c r="U819" s="56"/>
    </row>
    <row r="820">
      <c r="A820" s="72"/>
      <c r="B820" s="54"/>
      <c r="C820" s="67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68"/>
      <c r="R820" s="68"/>
      <c r="S820" s="68"/>
      <c r="T820" s="68"/>
      <c r="U820" s="56"/>
    </row>
    <row r="821">
      <c r="A821" s="72"/>
      <c r="B821" s="54"/>
      <c r="C821" s="67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68"/>
      <c r="R821" s="68"/>
      <c r="S821" s="68"/>
      <c r="T821" s="68"/>
      <c r="U821" s="56"/>
    </row>
    <row r="822">
      <c r="A822" s="72"/>
      <c r="B822" s="54"/>
      <c r="C822" s="67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68"/>
      <c r="R822" s="68"/>
      <c r="S822" s="68"/>
      <c r="T822" s="68"/>
      <c r="U822" s="56"/>
    </row>
    <row r="823">
      <c r="A823" s="72"/>
      <c r="B823" s="54"/>
      <c r="C823" s="67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68"/>
      <c r="R823" s="68"/>
      <c r="S823" s="68"/>
      <c r="T823" s="68"/>
      <c r="U823" s="56"/>
    </row>
    <row r="824">
      <c r="A824" s="72"/>
      <c r="B824" s="54"/>
      <c r="C824" s="67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68"/>
      <c r="R824" s="68"/>
      <c r="S824" s="68"/>
      <c r="T824" s="68"/>
      <c r="U824" s="56"/>
    </row>
    <row r="825">
      <c r="A825" s="72"/>
      <c r="B825" s="54"/>
      <c r="C825" s="67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68"/>
      <c r="R825" s="68"/>
      <c r="S825" s="68"/>
      <c r="T825" s="68"/>
      <c r="U825" s="56"/>
    </row>
    <row r="826">
      <c r="A826" s="72"/>
      <c r="B826" s="54"/>
      <c r="C826" s="67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68"/>
      <c r="R826" s="68"/>
      <c r="S826" s="68"/>
      <c r="T826" s="68"/>
      <c r="U826" s="56"/>
    </row>
    <row r="827">
      <c r="A827" s="72"/>
      <c r="B827" s="54"/>
      <c r="C827" s="67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68"/>
      <c r="R827" s="68"/>
      <c r="S827" s="68"/>
      <c r="T827" s="68"/>
      <c r="U827" s="56"/>
    </row>
    <row r="828">
      <c r="A828" s="72"/>
      <c r="B828" s="54"/>
      <c r="C828" s="67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68"/>
      <c r="R828" s="68"/>
      <c r="S828" s="68"/>
      <c r="T828" s="68"/>
      <c r="U828" s="56"/>
    </row>
    <row r="829">
      <c r="A829" s="72"/>
      <c r="B829" s="54"/>
      <c r="C829" s="67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68"/>
      <c r="R829" s="68"/>
      <c r="S829" s="68"/>
      <c r="T829" s="68"/>
      <c r="U829" s="56"/>
    </row>
    <row r="830">
      <c r="A830" s="72"/>
      <c r="B830" s="54"/>
      <c r="C830" s="67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68"/>
      <c r="R830" s="68"/>
      <c r="S830" s="68"/>
      <c r="T830" s="68"/>
      <c r="U830" s="56"/>
    </row>
    <row r="831">
      <c r="A831" s="72"/>
      <c r="B831" s="54"/>
      <c r="C831" s="67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68"/>
      <c r="R831" s="68"/>
      <c r="S831" s="68"/>
      <c r="T831" s="68"/>
      <c r="U831" s="56"/>
    </row>
    <row r="832">
      <c r="A832" s="72"/>
      <c r="B832" s="54"/>
      <c r="C832" s="67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68"/>
      <c r="R832" s="68"/>
      <c r="S832" s="68"/>
      <c r="T832" s="68"/>
      <c r="U832" s="56"/>
    </row>
    <row r="833">
      <c r="A833" s="72"/>
      <c r="B833" s="54"/>
      <c r="C833" s="67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68"/>
      <c r="R833" s="68"/>
      <c r="S833" s="68"/>
      <c r="T833" s="68"/>
      <c r="U833" s="56"/>
    </row>
    <row r="834">
      <c r="A834" s="72"/>
      <c r="B834" s="54"/>
      <c r="C834" s="67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68"/>
      <c r="R834" s="68"/>
      <c r="S834" s="68"/>
      <c r="T834" s="68"/>
      <c r="U834" s="56"/>
    </row>
    <row r="835">
      <c r="A835" s="72"/>
      <c r="B835" s="54"/>
      <c r="C835" s="67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68"/>
      <c r="R835" s="68"/>
      <c r="S835" s="68"/>
      <c r="T835" s="68"/>
      <c r="U835" s="56"/>
    </row>
    <row r="836">
      <c r="A836" s="72"/>
      <c r="B836" s="54"/>
      <c r="C836" s="67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68"/>
      <c r="R836" s="68"/>
      <c r="S836" s="68"/>
      <c r="T836" s="68"/>
      <c r="U836" s="56"/>
    </row>
    <row r="837">
      <c r="A837" s="72"/>
      <c r="B837" s="54"/>
      <c r="C837" s="67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68"/>
      <c r="R837" s="68"/>
      <c r="S837" s="68"/>
      <c r="T837" s="68"/>
      <c r="U837" s="56"/>
    </row>
    <row r="838">
      <c r="A838" s="72"/>
      <c r="B838" s="54"/>
      <c r="C838" s="67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68"/>
      <c r="R838" s="68"/>
      <c r="S838" s="68"/>
      <c r="T838" s="68"/>
      <c r="U838" s="56"/>
    </row>
    <row r="839">
      <c r="A839" s="72"/>
      <c r="B839" s="54"/>
      <c r="C839" s="67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68"/>
      <c r="R839" s="68"/>
      <c r="S839" s="68"/>
      <c r="T839" s="68"/>
      <c r="U839" s="56"/>
    </row>
    <row r="840">
      <c r="A840" s="72"/>
      <c r="B840" s="54"/>
      <c r="C840" s="67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68"/>
      <c r="R840" s="68"/>
      <c r="S840" s="68"/>
      <c r="T840" s="68"/>
      <c r="U840" s="56"/>
    </row>
    <row r="841">
      <c r="A841" s="72"/>
      <c r="B841" s="54"/>
      <c r="C841" s="67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68"/>
      <c r="R841" s="68"/>
      <c r="S841" s="68"/>
      <c r="T841" s="68"/>
      <c r="U841" s="56"/>
    </row>
    <row r="842">
      <c r="A842" s="72"/>
      <c r="B842" s="54"/>
      <c r="C842" s="67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68"/>
      <c r="R842" s="68"/>
      <c r="S842" s="68"/>
      <c r="T842" s="68"/>
      <c r="U842" s="56"/>
    </row>
    <row r="843">
      <c r="A843" s="72"/>
      <c r="B843" s="54"/>
      <c r="C843" s="67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68"/>
      <c r="R843" s="68"/>
      <c r="S843" s="68"/>
      <c r="T843" s="68"/>
      <c r="U843" s="56"/>
    </row>
    <row r="844">
      <c r="A844" s="72"/>
      <c r="B844" s="54"/>
      <c r="C844" s="67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68"/>
      <c r="R844" s="68"/>
      <c r="S844" s="68"/>
      <c r="T844" s="68"/>
      <c r="U844" s="56"/>
    </row>
    <row r="845">
      <c r="A845" s="72"/>
      <c r="B845" s="54"/>
      <c r="C845" s="67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68"/>
      <c r="R845" s="68"/>
      <c r="S845" s="68"/>
      <c r="T845" s="68"/>
      <c r="U845" s="56"/>
    </row>
    <row r="846">
      <c r="A846" s="72"/>
      <c r="B846" s="54"/>
      <c r="C846" s="67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68"/>
      <c r="R846" s="68"/>
      <c r="S846" s="68"/>
      <c r="T846" s="68"/>
      <c r="U846" s="56"/>
    </row>
    <row r="847">
      <c r="A847" s="72"/>
      <c r="B847" s="54"/>
      <c r="C847" s="67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68"/>
      <c r="R847" s="68"/>
      <c r="S847" s="68"/>
      <c r="T847" s="68"/>
      <c r="U847" s="56"/>
    </row>
    <row r="848">
      <c r="A848" s="72"/>
      <c r="B848" s="54"/>
      <c r="C848" s="67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68"/>
      <c r="R848" s="68"/>
      <c r="S848" s="68"/>
      <c r="T848" s="68"/>
      <c r="U848" s="56"/>
    </row>
    <row r="849">
      <c r="A849" s="72"/>
      <c r="B849" s="54"/>
      <c r="C849" s="67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68"/>
      <c r="R849" s="68"/>
      <c r="S849" s="68"/>
      <c r="T849" s="68"/>
      <c r="U849" s="56"/>
    </row>
    <row r="850">
      <c r="A850" s="72"/>
      <c r="B850" s="54"/>
      <c r="C850" s="67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68"/>
      <c r="R850" s="68"/>
      <c r="S850" s="68"/>
      <c r="T850" s="68"/>
      <c r="U850" s="56"/>
    </row>
    <row r="851">
      <c r="A851" s="72"/>
      <c r="B851" s="54"/>
      <c r="C851" s="67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68"/>
      <c r="R851" s="68"/>
      <c r="S851" s="68"/>
      <c r="T851" s="68"/>
      <c r="U851" s="56"/>
    </row>
    <row r="852">
      <c r="A852" s="72"/>
      <c r="B852" s="54"/>
      <c r="C852" s="67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68"/>
      <c r="R852" s="68"/>
      <c r="S852" s="68"/>
      <c r="T852" s="68"/>
      <c r="U852" s="56"/>
    </row>
    <row r="853">
      <c r="A853" s="72"/>
      <c r="B853" s="54"/>
      <c r="C853" s="67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68"/>
      <c r="R853" s="68"/>
      <c r="S853" s="68"/>
      <c r="T853" s="68"/>
      <c r="U853" s="56"/>
    </row>
    <row r="854">
      <c r="A854" s="72"/>
      <c r="B854" s="54"/>
      <c r="C854" s="67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68"/>
      <c r="R854" s="68"/>
      <c r="S854" s="68"/>
      <c r="T854" s="68"/>
      <c r="U854" s="56"/>
    </row>
    <row r="855">
      <c r="A855" s="72"/>
      <c r="B855" s="54"/>
      <c r="C855" s="67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68"/>
      <c r="R855" s="68"/>
      <c r="S855" s="68"/>
      <c r="T855" s="68"/>
      <c r="U855" s="56"/>
    </row>
    <row r="856">
      <c r="A856" s="72"/>
      <c r="B856" s="54"/>
      <c r="C856" s="67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68"/>
      <c r="R856" s="68"/>
      <c r="S856" s="68"/>
      <c r="T856" s="68"/>
      <c r="U856" s="56"/>
    </row>
    <row r="857">
      <c r="A857" s="72"/>
      <c r="B857" s="54"/>
      <c r="C857" s="67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68"/>
      <c r="R857" s="68"/>
      <c r="S857" s="68"/>
      <c r="T857" s="68"/>
      <c r="U857" s="56"/>
    </row>
    <row r="858">
      <c r="A858" s="72"/>
      <c r="B858" s="54"/>
      <c r="C858" s="67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68"/>
      <c r="R858" s="68"/>
      <c r="S858" s="68"/>
      <c r="T858" s="68"/>
      <c r="U858" s="56"/>
    </row>
    <row r="859">
      <c r="A859" s="72"/>
      <c r="B859" s="54"/>
      <c r="C859" s="67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68"/>
      <c r="R859" s="68"/>
      <c r="S859" s="68"/>
      <c r="T859" s="68"/>
      <c r="U859" s="56"/>
    </row>
    <row r="860">
      <c r="A860" s="72"/>
      <c r="B860" s="54"/>
      <c r="C860" s="67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68"/>
      <c r="R860" s="68"/>
      <c r="S860" s="68"/>
      <c r="T860" s="68"/>
      <c r="U860" s="56"/>
    </row>
    <row r="861">
      <c r="A861" s="72"/>
      <c r="B861" s="54"/>
      <c r="C861" s="67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68"/>
      <c r="R861" s="68"/>
      <c r="S861" s="68"/>
      <c r="T861" s="68"/>
      <c r="U861" s="56"/>
    </row>
    <row r="862">
      <c r="A862" s="72"/>
      <c r="B862" s="54"/>
      <c r="C862" s="67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68"/>
      <c r="R862" s="68"/>
      <c r="S862" s="68"/>
      <c r="T862" s="68"/>
      <c r="U862" s="56"/>
    </row>
    <row r="863">
      <c r="A863" s="72"/>
      <c r="B863" s="54"/>
      <c r="C863" s="67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68"/>
      <c r="R863" s="68"/>
      <c r="S863" s="68"/>
      <c r="T863" s="68"/>
      <c r="U863" s="56"/>
    </row>
    <row r="864">
      <c r="A864" s="72"/>
      <c r="B864" s="54"/>
      <c r="C864" s="67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68"/>
      <c r="R864" s="68"/>
      <c r="S864" s="68"/>
      <c r="T864" s="68"/>
      <c r="U864" s="56"/>
    </row>
    <row r="865">
      <c r="A865" s="72"/>
      <c r="B865" s="54"/>
      <c r="C865" s="67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68"/>
      <c r="R865" s="68"/>
      <c r="S865" s="68"/>
      <c r="T865" s="68"/>
      <c r="U865" s="56"/>
    </row>
    <row r="866">
      <c r="A866" s="72"/>
      <c r="B866" s="54"/>
      <c r="C866" s="67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68"/>
      <c r="R866" s="68"/>
      <c r="S866" s="68"/>
      <c r="T866" s="68"/>
      <c r="U866" s="56"/>
    </row>
    <row r="867">
      <c r="A867" s="72"/>
      <c r="B867" s="54"/>
      <c r="C867" s="67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68"/>
      <c r="R867" s="68"/>
      <c r="S867" s="68"/>
      <c r="T867" s="68"/>
      <c r="U867" s="56"/>
    </row>
    <row r="868">
      <c r="A868" s="72"/>
      <c r="B868" s="54"/>
      <c r="C868" s="67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68"/>
      <c r="R868" s="68"/>
      <c r="S868" s="68"/>
      <c r="T868" s="68"/>
      <c r="U868" s="56"/>
    </row>
    <row r="869">
      <c r="A869" s="72"/>
      <c r="B869" s="54"/>
      <c r="C869" s="67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68"/>
      <c r="R869" s="68"/>
      <c r="S869" s="68"/>
      <c r="T869" s="68"/>
      <c r="U869" s="56"/>
    </row>
    <row r="870">
      <c r="A870" s="72"/>
      <c r="B870" s="54"/>
      <c r="C870" s="67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68"/>
      <c r="R870" s="68"/>
      <c r="S870" s="68"/>
      <c r="T870" s="68"/>
      <c r="U870" s="56"/>
    </row>
    <row r="871">
      <c r="A871" s="72"/>
      <c r="B871" s="54"/>
      <c r="C871" s="67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68"/>
      <c r="R871" s="68"/>
      <c r="S871" s="68"/>
      <c r="T871" s="68"/>
      <c r="U871" s="56"/>
    </row>
    <row r="872">
      <c r="A872" s="72"/>
      <c r="B872" s="54"/>
      <c r="C872" s="67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68"/>
      <c r="R872" s="68"/>
      <c r="S872" s="68"/>
      <c r="T872" s="68"/>
      <c r="U872" s="56"/>
    </row>
    <row r="873">
      <c r="A873" s="72"/>
      <c r="B873" s="54"/>
      <c r="C873" s="67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68"/>
      <c r="R873" s="68"/>
      <c r="S873" s="68"/>
      <c r="T873" s="68"/>
      <c r="U873" s="56"/>
    </row>
    <row r="874">
      <c r="A874" s="72"/>
      <c r="B874" s="54"/>
      <c r="C874" s="67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68"/>
      <c r="R874" s="68"/>
      <c r="S874" s="68"/>
      <c r="T874" s="68"/>
      <c r="U874" s="56"/>
    </row>
    <row r="875">
      <c r="A875" s="72"/>
      <c r="B875" s="54"/>
      <c r="C875" s="67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68"/>
      <c r="R875" s="68"/>
      <c r="S875" s="68"/>
      <c r="T875" s="68"/>
      <c r="U875" s="56"/>
    </row>
    <row r="876">
      <c r="A876" s="72"/>
      <c r="B876" s="54"/>
      <c r="C876" s="67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68"/>
      <c r="R876" s="68"/>
      <c r="S876" s="68"/>
      <c r="T876" s="68"/>
      <c r="U876" s="56"/>
    </row>
    <row r="877">
      <c r="A877" s="72"/>
      <c r="B877" s="54"/>
      <c r="C877" s="67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68"/>
      <c r="R877" s="68"/>
      <c r="S877" s="68"/>
      <c r="T877" s="68"/>
      <c r="U877" s="56"/>
    </row>
    <row r="878">
      <c r="A878" s="72"/>
      <c r="B878" s="54"/>
      <c r="C878" s="67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68"/>
      <c r="R878" s="68"/>
      <c r="S878" s="68"/>
      <c r="T878" s="68"/>
      <c r="U878" s="56"/>
    </row>
    <row r="879">
      <c r="A879" s="72"/>
      <c r="B879" s="54"/>
      <c r="C879" s="67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68"/>
      <c r="R879" s="68"/>
      <c r="S879" s="68"/>
      <c r="T879" s="68"/>
      <c r="U879" s="56"/>
    </row>
    <row r="880">
      <c r="A880" s="72"/>
      <c r="B880" s="54"/>
      <c r="C880" s="67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68"/>
      <c r="R880" s="68"/>
      <c r="S880" s="68"/>
      <c r="T880" s="68"/>
      <c r="U880" s="56"/>
    </row>
    <row r="881">
      <c r="A881" s="72"/>
      <c r="B881" s="54"/>
      <c r="C881" s="67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68"/>
      <c r="R881" s="68"/>
      <c r="S881" s="68"/>
      <c r="T881" s="68"/>
      <c r="U881" s="56"/>
    </row>
    <row r="882">
      <c r="A882" s="72"/>
      <c r="B882" s="54"/>
      <c r="C882" s="67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68"/>
      <c r="R882" s="68"/>
      <c r="S882" s="68"/>
      <c r="T882" s="68"/>
      <c r="U882" s="56"/>
    </row>
    <row r="883">
      <c r="A883" s="72"/>
      <c r="B883" s="54"/>
      <c r="C883" s="67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68"/>
      <c r="R883" s="68"/>
      <c r="S883" s="68"/>
      <c r="T883" s="68"/>
      <c r="U883" s="56"/>
    </row>
    <row r="884">
      <c r="A884" s="72"/>
      <c r="B884" s="54"/>
      <c r="C884" s="67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68"/>
      <c r="R884" s="68"/>
      <c r="S884" s="68"/>
      <c r="T884" s="68"/>
      <c r="U884" s="56"/>
    </row>
    <row r="885">
      <c r="A885" s="72"/>
      <c r="B885" s="54"/>
      <c r="C885" s="67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68"/>
      <c r="R885" s="68"/>
      <c r="S885" s="68"/>
      <c r="T885" s="68"/>
      <c r="U885" s="56"/>
    </row>
    <row r="886">
      <c r="A886" s="72"/>
      <c r="B886" s="54"/>
      <c r="C886" s="67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68"/>
      <c r="R886" s="68"/>
      <c r="S886" s="68"/>
      <c r="T886" s="68"/>
      <c r="U886" s="56"/>
    </row>
    <row r="887">
      <c r="A887" s="72"/>
      <c r="B887" s="54"/>
      <c r="C887" s="67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68"/>
      <c r="R887" s="68"/>
      <c r="S887" s="68"/>
      <c r="T887" s="68"/>
      <c r="U887" s="56"/>
    </row>
    <row r="888">
      <c r="A888" s="72"/>
      <c r="B888" s="54"/>
      <c r="C888" s="67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68"/>
      <c r="R888" s="68"/>
      <c r="S888" s="68"/>
      <c r="T888" s="68"/>
      <c r="U888" s="56"/>
    </row>
    <row r="889">
      <c r="A889" s="72"/>
      <c r="B889" s="54"/>
      <c r="C889" s="67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68"/>
      <c r="R889" s="68"/>
      <c r="S889" s="68"/>
      <c r="T889" s="68"/>
      <c r="U889" s="56"/>
    </row>
    <row r="890">
      <c r="A890" s="72"/>
      <c r="B890" s="54"/>
      <c r="C890" s="67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68"/>
      <c r="R890" s="68"/>
      <c r="S890" s="68"/>
      <c r="T890" s="68"/>
      <c r="U890" s="56"/>
    </row>
    <row r="891">
      <c r="A891" s="72"/>
      <c r="B891" s="54"/>
      <c r="C891" s="67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68"/>
      <c r="R891" s="68"/>
      <c r="S891" s="68"/>
      <c r="T891" s="68"/>
      <c r="U891" s="56"/>
    </row>
    <row r="892">
      <c r="A892" s="72"/>
      <c r="B892" s="54"/>
      <c r="C892" s="67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68"/>
      <c r="R892" s="68"/>
      <c r="S892" s="68"/>
      <c r="T892" s="68"/>
      <c r="U892" s="56"/>
    </row>
    <row r="893">
      <c r="A893" s="72"/>
      <c r="B893" s="54"/>
      <c r="C893" s="67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68"/>
      <c r="R893" s="68"/>
      <c r="S893" s="68"/>
      <c r="T893" s="68"/>
      <c r="U893" s="56"/>
    </row>
    <row r="894">
      <c r="A894" s="72"/>
      <c r="B894" s="54"/>
      <c r="C894" s="67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68"/>
      <c r="R894" s="68"/>
      <c r="S894" s="68"/>
      <c r="T894" s="68"/>
      <c r="U894" s="56"/>
    </row>
    <row r="895">
      <c r="A895" s="72"/>
      <c r="B895" s="54"/>
      <c r="C895" s="67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68"/>
      <c r="R895" s="68"/>
      <c r="S895" s="68"/>
      <c r="T895" s="68"/>
      <c r="U895" s="56"/>
    </row>
    <row r="896">
      <c r="A896" s="72"/>
      <c r="B896" s="54"/>
      <c r="C896" s="67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68"/>
      <c r="R896" s="68"/>
      <c r="S896" s="68"/>
      <c r="T896" s="68"/>
      <c r="U896" s="56"/>
    </row>
    <row r="897">
      <c r="A897" s="72"/>
      <c r="B897" s="54"/>
      <c r="C897" s="67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68"/>
      <c r="R897" s="68"/>
      <c r="S897" s="68"/>
      <c r="T897" s="68"/>
      <c r="U897" s="56"/>
    </row>
    <row r="898">
      <c r="A898" s="72"/>
      <c r="B898" s="54"/>
      <c r="C898" s="67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68"/>
      <c r="R898" s="68"/>
      <c r="S898" s="68"/>
      <c r="T898" s="68"/>
      <c r="U898" s="56"/>
    </row>
    <row r="899">
      <c r="A899" s="72"/>
      <c r="B899" s="54"/>
      <c r="C899" s="67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68"/>
      <c r="R899" s="68"/>
      <c r="S899" s="68"/>
      <c r="T899" s="68"/>
      <c r="U899" s="56"/>
    </row>
    <row r="900">
      <c r="A900" s="72"/>
      <c r="B900" s="54"/>
      <c r="C900" s="67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68"/>
      <c r="R900" s="68"/>
      <c r="S900" s="68"/>
      <c r="T900" s="68"/>
      <c r="U900" s="56"/>
    </row>
    <row r="901">
      <c r="A901" s="72"/>
      <c r="B901" s="54"/>
      <c r="C901" s="67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68"/>
      <c r="R901" s="68"/>
      <c r="S901" s="68"/>
      <c r="T901" s="68"/>
      <c r="U901" s="56"/>
    </row>
    <row r="902">
      <c r="A902" s="72"/>
      <c r="B902" s="54"/>
      <c r="C902" s="67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68"/>
      <c r="R902" s="68"/>
      <c r="S902" s="68"/>
      <c r="T902" s="68"/>
      <c r="U902" s="56"/>
    </row>
    <row r="903">
      <c r="A903" s="72"/>
      <c r="B903" s="54"/>
      <c r="C903" s="67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68"/>
      <c r="R903" s="68"/>
      <c r="S903" s="68"/>
      <c r="T903" s="68"/>
      <c r="U903" s="56"/>
    </row>
    <row r="904">
      <c r="A904" s="72"/>
      <c r="B904" s="54"/>
      <c r="C904" s="67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68"/>
      <c r="R904" s="68"/>
      <c r="S904" s="68"/>
      <c r="T904" s="68"/>
      <c r="U904" s="56"/>
    </row>
    <row r="905">
      <c r="A905" s="72"/>
      <c r="B905" s="54"/>
      <c r="C905" s="67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68"/>
      <c r="R905" s="68"/>
      <c r="S905" s="68"/>
      <c r="T905" s="68"/>
      <c r="U905" s="56"/>
    </row>
    <row r="906">
      <c r="A906" s="72"/>
      <c r="B906" s="54"/>
      <c r="C906" s="67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68"/>
      <c r="R906" s="68"/>
      <c r="S906" s="68"/>
      <c r="T906" s="68"/>
      <c r="U906" s="56"/>
    </row>
    <row r="907">
      <c r="A907" s="72"/>
      <c r="B907" s="54"/>
      <c r="C907" s="67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68"/>
      <c r="R907" s="68"/>
      <c r="S907" s="68"/>
      <c r="T907" s="68"/>
      <c r="U907" s="56"/>
    </row>
    <row r="908">
      <c r="A908" s="72"/>
      <c r="B908" s="54"/>
      <c r="C908" s="67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68"/>
      <c r="R908" s="68"/>
      <c r="S908" s="68"/>
      <c r="T908" s="68"/>
      <c r="U908" s="56"/>
    </row>
    <row r="909">
      <c r="A909" s="72"/>
      <c r="B909" s="54"/>
      <c r="C909" s="67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68"/>
      <c r="R909" s="68"/>
      <c r="S909" s="68"/>
      <c r="T909" s="68"/>
      <c r="U909" s="56"/>
    </row>
    <row r="910">
      <c r="A910" s="72"/>
      <c r="B910" s="54"/>
      <c r="C910" s="67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68"/>
      <c r="R910" s="68"/>
      <c r="S910" s="68"/>
      <c r="T910" s="68"/>
      <c r="U910" s="56"/>
    </row>
    <row r="911">
      <c r="A911" s="72"/>
      <c r="B911" s="54"/>
      <c r="C911" s="67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68"/>
      <c r="R911" s="68"/>
      <c r="S911" s="68"/>
      <c r="T911" s="68"/>
      <c r="U911" s="56"/>
    </row>
    <row r="912">
      <c r="A912" s="72"/>
      <c r="B912" s="54"/>
      <c r="C912" s="67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68"/>
      <c r="R912" s="68"/>
      <c r="S912" s="68"/>
      <c r="T912" s="68"/>
      <c r="U912" s="56"/>
    </row>
    <row r="913">
      <c r="A913" s="72"/>
      <c r="B913" s="54"/>
      <c r="C913" s="67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68"/>
      <c r="R913" s="68"/>
      <c r="S913" s="68"/>
      <c r="T913" s="68"/>
      <c r="U913" s="56"/>
    </row>
    <row r="914">
      <c r="A914" s="72"/>
      <c r="B914" s="54"/>
      <c r="C914" s="67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68"/>
      <c r="R914" s="68"/>
      <c r="S914" s="68"/>
      <c r="T914" s="68"/>
      <c r="U914" s="56"/>
    </row>
    <row r="915">
      <c r="A915" s="72"/>
      <c r="B915" s="54"/>
      <c r="C915" s="67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68"/>
      <c r="R915" s="68"/>
      <c r="S915" s="68"/>
      <c r="T915" s="68"/>
      <c r="U915" s="56"/>
    </row>
    <row r="916">
      <c r="A916" s="72"/>
      <c r="B916" s="54"/>
      <c r="C916" s="67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68"/>
      <c r="R916" s="68"/>
      <c r="S916" s="68"/>
      <c r="T916" s="68"/>
      <c r="U916" s="56"/>
    </row>
    <row r="917">
      <c r="A917" s="72"/>
      <c r="B917" s="54"/>
      <c r="C917" s="67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68"/>
      <c r="R917" s="68"/>
      <c r="S917" s="68"/>
      <c r="T917" s="68"/>
      <c r="U917" s="56"/>
    </row>
    <row r="918">
      <c r="A918" s="72"/>
      <c r="B918" s="54"/>
      <c r="C918" s="67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68"/>
      <c r="R918" s="68"/>
      <c r="S918" s="68"/>
      <c r="T918" s="68"/>
      <c r="U918" s="56"/>
    </row>
    <row r="919">
      <c r="A919" s="72"/>
      <c r="B919" s="54"/>
      <c r="C919" s="67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68"/>
      <c r="R919" s="68"/>
      <c r="S919" s="68"/>
      <c r="T919" s="68"/>
      <c r="U919" s="56"/>
    </row>
    <row r="920">
      <c r="A920" s="72"/>
      <c r="B920" s="54"/>
      <c r="C920" s="67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68"/>
      <c r="R920" s="68"/>
      <c r="S920" s="68"/>
      <c r="T920" s="68"/>
      <c r="U920" s="56"/>
    </row>
    <row r="921">
      <c r="A921" s="72"/>
      <c r="B921" s="54"/>
      <c r="C921" s="67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68"/>
      <c r="R921" s="68"/>
      <c r="S921" s="68"/>
      <c r="T921" s="68"/>
      <c r="U921" s="56"/>
    </row>
    <row r="922">
      <c r="A922" s="72"/>
      <c r="B922" s="54"/>
      <c r="C922" s="67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68"/>
      <c r="R922" s="68"/>
      <c r="S922" s="68"/>
      <c r="T922" s="68"/>
      <c r="U922" s="56"/>
    </row>
    <row r="923">
      <c r="A923" s="72"/>
      <c r="B923" s="54"/>
      <c r="C923" s="67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68"/>
      <c r="R923" s="68"/>
      <c r="S923" s="68"/>
      <c r="T923" s="68"/>
      <c r="U923" s="56"/>
    </row>
    <row r="924">
      <c r="A924" s="72"/>
      <c r="B924" s="54"/>
      <c r="C924" s="67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68"/>
      <c r="R924" s="68"/>
      <c r="S924" s="68"/>
      <c r="T924" s="68"/>
      <c r="U924" s="56"/>
    </row>
    <row r="925">
      <c r="A925" s="72"/>
      <c r="B925" s="54"/>
      <c r="C925" s="67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68"/>
      <c r="R925" s="68"/>
      <c r="S925" s="68"/>
      <c r="T925" s="68"/>
      <c r="U925" s="56"/>
    </row>
    <row r="926">
      <c r="A926" s="72"/>
      <c r="B926" s="54"/>
      <c r="C926" s="67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68"/>
      <c r="R926" s="68"/>
      <c r="S926" s="68"/>
      <c r="T926" s="68"/>
      <c r="U926" s="56"/>
    </row>
    <row r="927">
      <c r="A927" s="72"/>
      <c r="B927" s="54"/>
      <c r="C927" s="67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68"/>
      <c r="R927" s="68"/>
      <c r="S927" s="68"/>
      <c r="T927" s="68"/>
      <c r="U927" s="56"/>
    </row>
    <row r="928">
      <c r="A928" s="72"/>
      <c r="B928" s="54"/>
      <c r="C928" s="67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68"/>
      <c r="R928" s="68"/>
      <c r="S928" s="68"/>
      <c r="T928" s="68"/>
      <c r="U928" s="56"/>
    </row>
    <row r="929">
      <c r="A929" s="72"/>
      <c r="B929" s="54"/>
      <c r="C929" s="67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68"/>
      <c r="R929" s="68"/>
      <c r="S929" s="68"/>
      <c r="T929" s="68"/>
      <c r="U929" s="56"/>
    </row>
    <row r="930">
      <c r="A930" s="72"/>
      <c r="B930" s="54"/>
      <c r="C930" s="67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68"/>
      <c r="R930" s="68"/>
      <c r="S930" s="68"/>
      <c r="T930" s="68"/>
      <c r="U930" s="56"/>
    </row>
    <row r="931">
      <c r="A931" s="72"/>
      <c r="B931" s="54"/>
      <c r="C931" s="67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68"/>
      <c r="R931" s="68"/>
      <c r="S931" s="68"/>
      <c r="T931" s="68"/>
      <c r="U931" s="56"/>
    </row>
    <row r="932">
      <c r="A932" s="72"/>
      <c r="B932" s="54"/>
      <c r="C932" s="67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68"/>
      <c r="R932" s="68"/>
      <c r="S932" s="68"/>
      <c r="T932" s="68"/>
      <c r="U932" s="56"/>
    </row>
    <row r="933">
      <c r="A933" s="72"/>
      <c r="B933" s="54"/>
      <c r="C933" s="67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68"/>
      <c r="R933" s="68"/>
      <c r="S933" s="68"/>
      <c r="T933" s="68"/>
      <c r="U933" s="56"/>
    </row>
    <row r="934">
      <c r="A934" s="72"/>
      <c r="B934" s="54"/>
      <c r="C934" s="67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68"/>
      <c r="R934" s="68"/>
      <c r="S934" s="68"/>
      <c r="T934" s="68"/>
      <c r="U934" s="56"/>
    </row>
    <row r="935">
      <c r="A935" s="72"/>
      <c r="B935" s="54"/>
      <c r="C935" s="67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68"/>
      <c r="R935" s="68"/>
      <c r="S935" s="68"/>
      <c r="T935" s="68"/>
      <c r="U935" s="56"/>
    </row>
    <row r="936">
      <c r="A936" s="72"/>
      <c r="B936" s="54"/>
      <c r="C936" s="67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68"/>
      <c r="R936" s="68"/>
      <c r="S936" s="68"/>
      <c r="T936" s="68"/>
      <c r="U936" s="56"/>
    </row>
    <row r="937">
      <c r="A937" s="72"/>
      <c r="B937" s="54"/>
      <c r="C937" s="67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68"/>
      <c r="R937" s="68"/>
      <c r="S937" s="68"/>
      <c r="T937" s="68"/>
      <c r="U937" s="56"/>
    </row>
    <row r="938">
      <c r="A938" s="72"/>
      <c r="B938" s="54"/>
      <c r="C938" s="67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68"/>
      <c r="R938" s="68"/>
      <c r="S938" s="68"/>
      <c r="T938" s="68"/>
      <c r="U938" s="56"/>
    </row>
    <row r="939">
      <c r="A939" s="72"/>
      <c r="B939" s="54"/>
      <c r="C939" s="67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68"/>
      <c r="R939" s="68"/>
      <c r="S939" s="68"/>
      <c r="T939" s="68"/>
      <c r="U939" s="56"/>
    </row>
    <row r="940">
      <c r="A940" s="72"/>
      <c r="B940" s="54"/>
      <c r="C940" s="67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68"/>
      <c r="R940" s="68"/>
      <c r="S940" s="68"/>
      <c r="T940" s="68"/>
      <c r="U940" s="56"/>
    </row>
    <row r="941">
      <c r="A941" s="72"/>
      <c r="B941" s="54"/>
      <c r="C941" s="67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68"/>
      <c r="R941" s="68"/>
      <c r="S941" s="68"/>
      <c r="T941" s="68"/>
      <c r="U941" s="56"/>
    </row>
    <row r="942">
      <c r="A942" s="72"/>
      <c r="B942" s="54"/>
      <c r="C942" s="67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68"/>
      <c r="R942" s="68"/>
      <c r="S942" s="68"/>
      <c r="T942" s="68"/>
      <c r="U942" s="56"/>
    </row>
    <row r="943">
      <c r="A943" s="72"/>
      <c r="B943" s="54"/>
      <c r="C943" s="67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68"/>
      <c r="R943" s="68"/>
      <c r="S943" s="68"/>
      <c r="T943" s="68"/>
      <c r="U943" s="56"/>
    </row>
    <row r="944">
      <c r="A944" s="72"/>
      <c r="B944" s="54"/>
      <c r="C944" s="67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68"/>
      <c r="R944" s="68"/>
      <c r="S944" s="68"/>
      <c r="T944" s="68"/>
      <c r="U944" s="56"/>
    </row>
    <row r="945">
      <c r="A945" s="72"/>
      <c r="B945" s="54"/>
      <c r="C945" s="67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68"/>
      <c r="R945" s="68"/>
      <c r="S945" s="68"/>
      <c r="T945" s="68"/>
      <c r="U945" s="56"/>
    </row>
    <row r="946">
      <c r="A946" s="72"/>
      <c r="B946" s="54"/>
      <c r="C946" s="67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68"/>
      <c r="R946" s="68"/>
      <c r="S946" s="68"/>
      <c r="T946" s="68"/>
      <c r="U946" s="56"/>
    </row>
    <row r="947">
      <c r="A947" s="72"/>
      <c r="B947" s="54"/>
      <c r="C947" s="67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68"/>
      <c r="R947" s="68"/>
      <c r="S947" s="68"/>
      <c r="T947" s="68"/>
      <c r="U947" s="56"/>
    </row>
    <row r="948">
      <c r="A948" s="72"/>
      <c r="B948" s="54"/>
      <c r="C948" s="67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68"/>
      <c r="R948" s="68"/>
      <c r="S948" s="68"/>
      <c r="T948" s="68"/>
      <c r="U948" s="56"/>
    </row>
    <row r="949">
      <c r="A949" s="72"/>
      <c r="B949" s="54"/>
      <c r="C949" s="67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68"/>
      <c r="R949" s="68"/>
      <c r="S949" s="68"/>
      <c r="T949" s="68"/>
      <c r="U949" s="56"/>
    </row>
    <row r="950">
      <c r="A950" s="72"/>
      <c r="B950" s="54"/>
      <c r="C950" s="67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68"/>
      <c r="R950" s="68"/>
      <c r="S950" s="68"/>
      <c r="T950" s="68"/>
      <c r="U950" s="56"/>
    </row>
    <row r="951">
      <c r="A951" s="72"/>
      <c r="B951" s="54"/>
      <c r="C951" s="67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68"/>
      <c r="R951" s="68"/>
      <c r="S951" s="68"/>
      <c r="T951" s="68"/>
      <c r="U951" s="56"/>
    </row>
    <row r="952">
      <c r="A952" s="72"/>
      <c r="B952" s="54"/>
      <c r="C952" s="67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68"/>
      <c r="R952" s="68"/>
      <c r="S952" s="68"/>
      <c r="T952" s="68"/>
      <c r="U952" s="56"/>
    </row>
    <row r="953">
      <c r="A953" s="72"/>
      <c r="B953" s="54"/>
      <c r="C953" s="67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68"/>
      <c r="R953" s="68"/>
      <c r="S953" s="68"/>
      <c r="T953" s="68"/>
      <c r="U953" s="56"/>
    </row>
    <row r="954">
      <c r="A954" s="72"/>
      <c r="B954" s="54"/>
      <c r="C954" s="67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68"/>
      <c r="R954" s="68"/>
      <c r="S954" s="68"/>
      <c r="T954" s="68"/>
      <c r="U954" s="56"/>
    </row>
    <row r="955">
      <c r="A955" s="72"/>
      <c r="B955" s="54"/>
      <c r="C955" s="67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68"/>
      <c r="R955" s="68"/>
      <c r="S955" s="68"/>
      <c r="T955" s="68"/>
      <c r="U955" s="56"/>
    </row>
    <row r="956">
      <c r="A956" s="72"/>
      <c r="B956" s="54"/>
      <c r="C956" s="67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68"/>
      <c r="R956" s="68"/>
      <c r="S956" s="68"/>
      <c r="T956" s="68"/>
      <c r="U956" s="56"/>
    </row>
    <row r="957">
      <c r="A957" s="72"/>
      <c r="B957" s="54"/>
      <c r="C957" s="67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68"/>
      <c r="R957" s="68"/>
      <c r="S957" s="68"/>
      <c r="T957" s="68"/>
      <c r="U957" s="56"/>
    </row>
    <row r="958">
      <c r="A958" s="72"/>
      <c r="B958" s="54"/>
      <c r="C958" s="67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68"/>
      <c r="R958" s="68"/>
      <c r="S958" s="68"/>
      <c r="T958" s="68"/>
      <c r="U958" s="56"/>
    </row>
    <row r="959">
      <c r="A959" s="72"/>
      <c r="B959" s="54"/>
      <c r="C959" s="67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68"/>
      <c r="R959" s="68"/>
      <c r="S959" s="68"/>
      <c r="T959" s="68"/>
      <c r="U959" s="56"/>
    </row>
    <row r="960">
      <c r="A960" s="72"/>
      <c r="B960" s="54"/>
      <c r="C960" s="67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68"/>
      <c r="R960" s="68"/>
      <c r="S960" s="68"/>
      <c r="T960" s="68"/>
      <c r="U960" s="56"/>
    </row>
    <row r="961">
      <c r="A961" s="72"/>
      <c r="B961" s="54"/>
      <c r="C961" s="67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68"/>
      <c r="R961" s="68"/>
      <c r="S961" s="68"/>
      <c r="T961" s="68"/>
      <c r="U961" s="56"/>
    </row>
    <row r="962">
      <c r="A962" s="72"/>
      <c r="B962" s="54"/>
      <c r="C962" s="67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68"/>
      <c r="R962" s="68"/>
      <c r="S962" s="68"/>
      <c r="T962" s="68"/>
      <c r="U962" s="56"/>
    </row>
    <row r="963">
      <c r="A963" s="72"/>
      <c r="B963" s="54"/>
      <c r="C963" s="67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68"/>
      <c r="R963" s="68"/>
      <c r="S963" s="68"/>
      <c r="T963" s="68"/>
      <c r="U963" s="56"/>
    </row>
    <row r="964">
      <c r="A964" s="72"/>
      <c r="B964" s="54"/>
      <c r="C964" s="67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68"/>
      <c r="R964" s="68"/>
      <c r="S964" s="68"/>
      <c r="T964" s="68"/>
      <c r="U964" s="56"/>
    </row>
    <row r="965">
      <c r="A965" s="72"/>
      <c r="B965" s="54"/>
      <c r="C965" s="67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68"/>
      <c r="R965" s="68"/>
      <c r="S965" s="68"/>
      <c r="T965" s="68"/>
      <c r="U965" s="56"/>
    </row>
    <row r="966">
      <c r="A966" s="72"/>
      <c r="B966" s="54"/>
      <c r="C966" s="67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68"/>
      <c r="R966" s="68"/>
      <c r="S966" s="68"/>
      <c r="T966" s="68"/>
      <c r="U966" s="56"/>
    </row>
    <row r="967">
      <c r="A967" s="72"/>
      <c r="B967" s="54"/>
      <c r="C967" s="67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68"/>
      <c r="R967" s="68"/>
      <c r="S967" s="68"/>
      <c r="T967" s="68"/>
      <c r="U967" s="56"/>
    </row>
    <row r="968">
      <c r="A968" s="72"/>
      <c r="B968" s="54"/>
      <c r="C968" s="67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68"/>
      <c r="R968" s="68"/>
      <c r="S968" s="68"/>
      <c r="T968" s="68"/>
      <c r="U968" s="56"/>
    </row>
    <row r="969">
      <c r="A969" s="72"/>
      <c r="B969" s="54"/>
      <c r="C969" s="67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68"/>
      <c r="R969" s="68"/>
      <c r="S969" s="68"/>
      <c r="T969" s="68"/>
      <c r="U969" s="56"/>
    </row>
    <row r="970">
      <c r="A970" s="72"/>
      <c r="B970" s="54"/>
      <c r="C970" s="67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68"/>
      <c r="R970" s="68"/>
      <c r="S970" s="68"/>
      <c r="T970" s="68"/>
      <c r="U970" s="56"/>
    </row>
    <row r="971">
      <c r="A971" s="72"/>
      <c r="B971" s="54"/>
      <c r="C971" s="67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68"/>
      <c r="R971" s="68"/>
      <c r="S971" s="68"/>
      <c r="T971" s="68"/>
      <c r="U971" s="56"/>
    </row>
    <row r="972">
      <c r="A972" s="72"/>
      <c r="B972" s="54"/>
      <c r="C972" s="67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68"/>
      <c r="R972" s="68"/>
      <c r="S972" s="68"/>
      <c r="T972" s="68"/>
      <c r="U972" s="56"/>
    </row>
    <row r="973">
      <c r="A973" s="72"/>
      <c r="B973" s="54"/>
      <c r="C973" s="67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68"/>
      <c r="R973" s="68"/>
      <c r="S973" s="68"/>
      <c r="T973" s="68"/>
      <c r="U973" s="56"/>
    </row>
    <row r="974">
      <c r="A974" s="72"/>
      <c r="B974" s="54"/>
      <c r="C974" s="67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68"/>
      <c r="R974" s="68"/>
      <c r="S974" s="68"/>
      <c r="T974" s="68"/>
      <c r="U974" s="56"/>
    </row>
    <row r="975">
      <c r="A975" s="72"/>
      <c r="B975" s="54"/>
      <c r="C975" s="67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68"/>
      <c r="R975" s="68"/>
      <c r="S975" s="68"/>
      <c r="T975" s="68"/>
      <c r="U975" s="56"/>
    </row>
    <row r="976">
      <c r="A976" s="72"/>
      <c r="B976" s="54"/>
      <c r="C976" s="67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68"/>
      <c r="R976" s="68"/>
      <c r="S976" s="68"/>
      <c r="T976" s="68"/>
      <c r="U976" s="56"/>
    </row>
    <row r="977">
      <c r="A977" s="72"/>
      <c r="B977" s="54"/>
      <c r="C977" s="67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68"/>
      <c r="R977" s="68"/>
      <c r="S977" s="68"/>
      <c r="T977" s="68"/>
      <c r="U977" s="56"/>
    </row>
    <row r="978">
      <c r="A978" s="72"/>
      <c r="B978" s="54"/>
      <c r="C978" s="67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68"/>
      <c r="R978" s="68"/>
      <c r="S978" s="68"/>
      <c r="T978" s="68"/>
      <c r="U978" s="56"/>
    </row>
    <row r="979">
      <c r="A979" s="72"/>
      <c r="B979" s="54"/>
      <c r="C979" s="67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68"/>
      <c r="R979" s="68"/>
      <c r="S979" s="68"/>
      <c r="T979" s="68"/>
      <c r="U979" s="56"/>
    </row>
    <row r="980">
      <c r="A980" s="72"/>
      <c r="B980" s="54"/>
      <c r="C980" s="67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68"/>
      <c r="R980" s="68"/>
      <c r="S980" s="68"/>
      <c r="T980" s="68"/>
      <c r="U980" s="56"/>
    </row>
    <row r="981">
      <c r="A981" s="72"/>
      <c r="B981" s="54"/>
      <c r="C981" s="67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68"/>
      <c r="R981" s="68"/>
      <c r="S981" s="68"/>
      <c r="T981" s="68"/>
      <c r="U981" s="56"/>
    </row>
    <row r="982">
      <c r="A982" s="72"/>
      <c r="B982" s="54"/>
      <c r="C982" s="67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68"/>
      <c r="R982" s="68"/>
      <c r="S982" s="68"/>
      <c r="T982" s="68"/>
      <c r="U982" s="56"/>
    </row>
    <row r="983">
      <c r="A983" s="72"/>
      <c r="B983" s="54"/>
      <c r="C983" s="67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68"/>
      <c r="R983" s="68"/>
      <c r="S983" s="68"/>
      <c r="T983" s="68"/>
      <c r="U983" s="56"/>
    </row>
    <row r="984">
      <c r="A984" s="72"/>
      <c r="B984" s="54"/>
      <c r="C984" s="67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68"/>
      <c r="R984" s="68"/>
      <c r="S984" s="68"/>
      <c r="T984" s="68"/>
      <c r="U984" s="56"/>
    </row>
    <row r="985">
      <c r="A985" s="72"/>
      <c r="B985" s="54"/>
      <c r="C985" s="67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68"/>
      <c r="R985" s="68"/>
      <c r="S985" s="68"/>
      <c r="T985" s="68"/>
      <c r="U985" s="56"/>
    </row>
    <row r="986">
      <c r="A986" s="72"/>
      <c r="B986" s="54"/>
      <c r="C986" s="67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68"/>
      <c r="R986" s="68"/>
      <c r="S986" s="68"/>
      <c r="T986" s="68"/>
      <c r="U986" s="56"/>
    </row>
    <row r="987">
      <c r="A987" s="72"/>
      <c r="B987" s="54"/>
      <c r="C987" s="67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68"/>
      <c r="R987" s="68"/>
      <c r="S987" s="68"/>
      <c r="T987" s="68"/>
      <c r="U987" s="56"/>
    </row>
    <row r="988">
      <c r="A988" s="72"/>
      <c r="B988" s="54"/>
      <c r="C988" s="67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68"/>
      <c r="R988" s="68"/>
      <c r="S988" s="68"/>
      <c r="T988" s="68"/>
      <c r="U988" s="56"/>
    </row>
    <row r="989">
      <c r="A989" s="72"/>
      <c r="B989" s="54"/>
      <c r="C989" s="67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68"/>
      <c r="R989" s="68"/>
      <c r="S989" s="68"/>
      <c r="T989" s="68"/>
      <c r="U989" s="56"/>
    </row>
    <row r="990">
      <c r="A990" s="72"/>
      <c r="B990" s="54"/>
      <c r="C990" s="67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68"/>
      <c r="R990" s="68"/>
      <c r="S990" s="68"/>
      <c r="T990" s="68"/>
      <c r="U990" s="56"/>
    </row>
    <row r="991">
      <c r="A991" s="72"/>
      <c r="B991" s="54"/>
      <c r="C991" s="67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68"/>
      <c r="R991" s="68"/>
      <c r="S991" s="68"/>
      <c r="T991" s="68"/>
      <c r="U991" s="56"/>
    </row>
    <row r="992">
      <c r="A992" s="72"/>
      <c r="B992" s="54"/>
      <c r="C992" s="67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68"/>
      <c r="R992" s="68"/>
      <c r="S992" s="68"/>
      <c r="T992" s="68"/>
      <c r="U992" s="56"/>
    </row>
    <row r="993">
      <c r="A993" s="72"/>
      <c r="B993" s="54"/>
      <c r="C993" s="67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68"/>
      <c r="R993" s="68"/>
      <c r="S993" s="68"/>
      <c r="T993" s="68"/>
      <c r="U993" s="56"/>
    </row>
    <row r="994">
      <c r="A994" s="72"/>
      <c r="B994" s="54"/>
      <c r="C994" s="67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68"/>
      <c r="R994" s="68"/>
      <c r="S994" s="68"/>
      <c r="T994" s="68"/>
      <c r="U994" s="56"/>
    </row>
    <row r="995">
      <c r="A995" s="72"/>
      <c r="B995" s="54"/>
      <c r="C995" s="67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68"/>
      <c r="R995" s="68"/>
      <c r="S995" s="68"/>
      <c r="T995" s="68"/>
      <c r="U995" s="56"/>
    </row>
    <row r="996">
      <c r="A996" s="72"/>
      <c r="B996" s="54"/>
      <c r="C996" s="67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68"/>
      <c r="R996" s="68"/>
      <c r="S996" s="68"/>
      <c r="T996" s="68"/>
      <c r="U996" s="56"/>
    </row>
    <row r="997">
      <c r="A997" s="72"/>
      <c r="B997" s="54"/>
      <c r="C997" s="67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68"/>
      <c r="R997" s="68"/>
      <c r="S997" s="68"/>
      <c r="T997" s="68"/>
      <c r="U997" s="56"/>
    </row>
    <row r="998">
      <c r="A998" s="72"/>
      <c r="B998" s="54"/>
      <c r="C998" s="67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68"/>
      <c r="R998" s="68"/>
      <c r="S998" s="68"/>
      <c r="T998" s="68"/>
      <c r="U998" s="56"/>
    </row>
    <row r="999">
      <c r="A999" s="72"/>
      <c r="B999" s="54"/>
      <c r="C999" s="67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68"/>
      <c r="R999" s="68"/>
      <c r="S999" s="68"/>
      <c r="T999" s="68"/>
      <c r="U999" s="56"/>
    </row>
    <row r="1000">
      <c r="A1000" s="72"/>
      <c r="B1000" s="54"/>
      <c r="C1000" s="67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68"/>
      <c r="R1000" s="68"/>
      <c r="S1000" s="68"/>
      <c r="T1000" s="68"/>
      <c r="U1000" s="56"/>
    </row>
  </sheetData>
  <dataValidations>
    <dataValidation type="list" allowBlank="1" showErrorMessage="1" sqref="D9:D1000">
      <formula1>Data!$C$2:$C1000</formula1>
    </dataValidation>
    <dataValidation type="list" allowBlank="1" showErrorMessage="1" sqref="E9:E1000">
      <formula1>Data!$D$2:$D1000</formula1>
    </dataValidation>
    <dataValidation type="list" allowBlank="1" showErrorMessage="1" sqref="N9:N1000">
      <formula1>Data!$K$3:$K1000</formula1>
    </dataValidation>
    <dataValidation type="list" allowBlank="1" showErrorMessage="1" sqref="B9:B1000">
      <formula1>Data!$A$2:$A1000</formula1>
    </dataValidation>
    <dataValidation type="list" allowBlank="1" showErrorMessage="1" sqref="O9:O1000">
      <formula1>Data!$O$2:$O1000</formula1>
    </dataValidation>
    <dataValidation type="list" allowBlank="1" showErrorMessage="1" sqref="M9:M1000">
      <formula1>Data!$P$2:$P1000</formula1>
    </dataValidation>
    <dataValidation type="custom" allowBlank="1" showDropDown="1" sqref="A9:A1000">
      <formula1>OR(NOT(ISERROR(DATEVALUE(A9))), AND(ISNUMBER(A9), LEFT(CELL("format", A9))="D"))</formula1>
    </dataValidation>
    <dataValidation type="list" allowBlank="1" showErrorMessage="1" sqref="L9:L94 L98:L1000">
      <formula1>Data!$I$2:$I1000</formula1>
    </dataValidation>
    <dataValidation type="list" allowBlank="1" showErrorMessage="1" sqref="F9:F1000">
      <formula1>Data!$F$2:$F1000</formula1>
    </dataValidation>
    <dataValidation type="list" allowBlank="1" showErrorMessage="1" sqref="H9:H1000">
      <formula1>Data!$H$2:$H1000</formula1>
    </dataValidation>
    <dataValidation type="list" allowBlank="1" showErrorMessage="1" sqref="P9:P1000">
      <formula1>Data!$M$2:$M1000</formula1>
    </dataValidation>
  </dataValidations>
  <hyperlinks>
    <hyperlink r:id="rId1" ref="C3"/>
    <hyperlink r:id="rId2" ref="B9"/>
    <hyperlink r:id="rId3" ref="B10"/>
    <hyperlink r:id="rId4" ref="B11"/>
    <hyperlink r:id="rId5" ref="T11"/>
    <hyperlink r:id="rId6" ref="B12"/>
    <hyperlink r:id="rId7" ref="T12"/>
    <hyperlink r:id="rId8" ref="B13"/>
    <hyperlink r:id="rId9" ref="T13"/>
    <hyperlink r:id="rId10" ref="B14"/>
    <hyperlink r:id="rId11" ref="T14"/>
    <hyperlink r:id="rId12" ref="B15"/>
    <hyperlink r:id="rId13" ref="T15"/>
    <hyperlink r:id="rId14" ref="B16"/>
    <hyperlink r:id="rId15" ref="T16"/>
    <hyperlink r:id="rId16" ref="B17"/>
    <hyperlink r:id="rId17" ref="T17"/>
    <hyperlink r:id="rId18" ref="B18"/>
    <hyperlink r:id="rId19" ref="T18"/>
    <hyperlink r:id="rId20" ref="B19"/>
    <hyperlink r:id="rId21" ref="T19"/>
    <hyperlink r:id="rId22" ref="B20"/>
    <hyperlink r:id="rId23" ref="T20"/>
    <hyperlink r:id="rId24" ref="B21"/>
    <hyperlink r:id="rId25" ref="T21"/>
    <hyperlink r:id="rId26" ref="B22"/>
    <hyperlink r:id="rId27" ref="T22"/>
    <hyperlink r:id="rId28" ref="B23"/>
    <hyperlink r:id="rId29" ref="T23"/>
    <hyperlink r:id="rId30" ref="B24"/>
    <hyperlink r:id="rId31" ref="T24"/>
    <hyperlink r:id="rId32" ref="B25"/>
    <hyperlink r:id="rId33" ref="T25"/>
    <hyperlink r:id="rId34" ref="B26"/>
    <hyperlink r:id="rId35" ref="T26"/>
    <hyperlink r:id="rId36" ref="B27"/>
    <hyperlink r:id="rId37" ref="B28"/>
    <hyperlink r:id="rId38" ref="T28"/>
    <hyperlink r:id="rId39" ref="B29"/>
    <hyperlink r:id="rId40" ref="T29"/>
    <hyperlink r:id="rId41" ref="B30"/>
    <hyperlink r:id="rId42" ref="T30"/>
    <hyperlink r:id="rId43" ref="B31"/>
    <hyperlink r:id="rId44" ref="T31"/>
    <hyperlink r:id="rId45" ref="B32"/>
    <hyperlink r:id="rId46" ref="T32"/>
    <hyperlink r:id="rId47" ref="B33"/>
    <hyperlink r:id="rId48" ref="T33"/>
    <hyperlink r:id="rId49" ref="B34"/>
    <hyperlink r:id="rId50" ref="T34"/>
    <hyperlink r:id="rId51" ref="B35"/>
    <hyperlink r:id="rId52" ref="T35"/>
    <hyperlink r:id="rId53" ref="B36"/>
    <hyperlink r:id="rId54" ref="T36"/>
    <hyperlink r:id="rId55" ref="B37"/>
    <hyperlink r:id="rId56" ref="U37"/>
    <hyperlink r:id="rId57" ref="B38"/>
    <hyperlink r:id="rId58" ref="T38"/>
    <hyperlink r:id="rId59" ref="B39"/>
    <hyperlink r:id="rId60" ref="T39"/>
    <hyperlink r:id="rId61" ref="B40"/>
    <hyperlink r:id="rId62" ref="T40"/>
    <hyperlink r:id="rId63" ref="B41"/>
    <hyperlink r:id="rId64" ref="T41"/>
    <hyperlink r:id="rId65" ref="B42"/>
    <hyperlink r:id="rId66" ref="T42"/>
    <hyperlink r:id="rId67" ref="B43"/>
    <hyperlink r:id="rId68" ref="T43"/>
    <hyperlink r:id="rId69" ref="B44"/>
    <hyperlink r:id="rId70" ref="T44"/>
    <hyperlink r:id="rId71" ref="B45"/>
    <hyperlink r:id="rId72" ref="T45"/>
    <hyperlink r:id="rId73" ref="B46"/>
    <hyperlink r:id="rId74" ref="T46"/>
    <hyperlink r:id="rId75" ref="B47"/>
    <hyperlink r:id="rId76" ref="T47"/>
    <hyperlink r:id="rId77" ref="B48"/>
    <hyperlink r:id="rId78" ref="T48"/>
    <hyperlink r:id="rId79" ref="B49"/>
    <hyperlink r:id="rId80" ref="T49"/>
    <hyperlink r:id="rId81" ref="B50"/>
    <hyperlink r:id="rId82" ref="T50"/>
    <hyperlink r:id="rId83" ref="B51"/>
    <hyperlink r:id="rId84" ref="T51"/>
    <hyperlink r:id="rId85" ref="B52"/>
    <hyperlink r:id="rId86" ref="T52"/>
    <hyperlink r:id="rId87" ref="B53"/>
    <hyperlink r:id="rId88" ref="T53"/>
    <hyperlink r:id="rId89" ref="B54"/>
    <hyperlink r:id="rId90" ref="T54"/>
    <hyperlink r:id="rId91" ref="B55"/>
    <hyperlink r:id="rId92" ref="T55"/>
    <hyperlink r:id="rId93" ref="B56"/>
    <hyperlink r:id="rId94" ref="T56"/>
    <hyperlink r:id="rId95" ref="B57"/>
    <hyperlink r:id="rId96" ref="T57"/>
    <hyperlink r:id="rId97" ref="B58"/>
    <hyperlink r:id="rId98" ref="T58"/>
    <hyperlink r:id="rId99" ref="B59"/>
    <hyperlink r:id="rId100" ref="T59"/>
    <hyperlink r:id="rId101" ref="B60"/>
    <hyperlink r:id="rId102" ref="T60"/>
    <hyperlink r:id="rId103" ref="B61"/>
    <hyperlink r:id="rId104" ref="T61"/>
    <hyperlink r:id="rId105" ref="B62"/>
    <hyperlink r:id="rId106" ref="T62"/>
    <hyperlink r:id="rId107" ref="B63"/>
    <hyperlink r:id="rId108" ref="T63"/>
    <hyperlink r:id="rId109" ref="B64"/>
    <hyperlink r:id="rId110" ref="T64"/>
    <hyperlink r:id="rId111" ref="B65"/>
    <hyperlink r:id="rId112" ref="T65"/>
    <hyperlink r:id="rId113" ref="B66"/>
    <hyperlink r:id="rId114" ref="T66"/>
    <hyperlink r:id="rId115" ref="B67"/>
    <hyperlink r:id="rId116" ref="T67"/>
    <hyperlink r:id="rId117" ref="B68"/>
  </hyperlinks>
  <drawing r:id="rId11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63"/>
    <col customWidth="1" min="2" max="2" width="76.13"/>
    <col customWidth="1" min="5" max="5" width="11.38"/>
    <col customWidth="1" min="6" max="6" width="14.38"/>
    <col customWidth="1" min="7" max="7" width="6.75"/>
    <col customWidth="1" min="9" max="9" width="31.88"/>
    <col customWidth="1" min="17" max="17" width="28.75"/>
    <col customWidth="1" min="18" max="18" width="26.0"/>
    <col customWidth="1" min="20" max="20" width="25.63"/>
  </cols>
  <sheetData>
    <row r="1">
      <c r="A1" s="4" t="s">
        <v>0</v>
      </c>
      <c r="B1" s="6" t="s">
        <v>8</v>
      </c>
      <c r="C1" s="6" t="s">
        <v>10</v>
      </c>
      <c r="D1" s="6" t="s">
        <v>1</v>
      </c>
      <c r="E1" s="6" t="s">
        <v>2</v>
      </c>
      <c r="F1" s="6" t="s">
        <v>4</v>
      </c>
      <c r="G1" s="9" t="s">
        <v>11</v>
      </c>
      <c r="H1" s="6" t="s">
        <v>13</v>
      </c>
      <c r="I1" s="6" t="s">
        <v>14</v>
      </c>
      <c r="J1" s="6" t="s">
        <v>15</v>
      </c>
      <c r="K1" s="9" t="s">
        <v>18</v>
      </c>
      <c r="L1" s="6" t="s">
        <v>19</v>
      </c>
      <c r="M1" s="6" t="s">
        <v>20</v>
      </c>
      <c r="N1" s="6" t="s">
        <v>21</v>
      </c>
      <c r="O1" s="9" t="s">
        <v>23</v>
      </c>
      <c r="P1" s="6" t="s">
        <v>25</v>
      </c>
      <c r="Q1" s="6" t="s">
        <v>26</v>
      </c>
      <c r="R1" s="6" t="s">
        <v>27</v>
      </c>
      <c r="S1" s="9" t="s">
        <v>28</v>
      </c>
      <c r="T1" s="6" t="s">
        <v>30</v>
      </c>
      <c r="U1" s="6"/>
    </row>
    <row r="2">
      <c r="A2" s="15" t="s">
        <v>33</v>
      </c>
      <c r="B2" s="17" t="s">
        <v>34</v>
      </c>
      <c r="C2" s="18" t="str">
        <f>IFERROR(__xludf.DUMMYFUNCTION("{""Vlook up file để lấy mã tự động từ file landing page khác"";
FILTER(VLOOKUP(B3:B991,Data!A:B,2,FALSE),B3:B991&lt;&gt;"""")}"),"Vlook up file để lấy mã tự động từ file landing page khác")</f>
        <v>Vlook up file để lấy mã tự động từ file landing page khác</v>
      </c>
      <c r="D2" s="19" t="s">
        <v>36</v>
      </c>
      <c r="E2" s="21" t="s">
        <v>36</v>
      </c>
      <c r="F2" s="19" t="s">
        <v>36</v>
      </c>
      <c r="G2" s="19"/>
      <c r="H2" s="19" t="s">
        <v>36</v>
      </c>
      <c r="I2" s="23" t="s">
        <v>38</v>
      </c>
      <c r="J2" s="25" t="s">
        <v>44</v>
      </c>
      <c r="K2" s="23" t="s">
        <v>38</v>
      </c>
      <c r="L2" s="19" t="s">
        <v>36</v>
      </c>
      <c r="M2" s="19" t="s">
        <v>36</v>
      </c>
      <c r="N2" s="19" t="s">
        <v>36</v>
      </c>
      <c r="O2" s="19" t="s">
        <v>36</v>
      </c>
      <c r="P2" s="19" t="s">
        <v>36</v>
      </c>
      <c r="Q2" s="27" t="str">
        <f>IFERROR(__xludf.DUMMYFUNCTION("{""Tên campain_Mã tài khoản_Mã hình thức chạy_Mã agent_ddmmyy"";
FILTER(IF( A3:A991&lt;&gt;"""",IF(H3:H991&lt;&gt;"""",IF(I3:I991&lt;&gt;"""",IF(L3:L991&lt;&gt;"""",IF(N3:N991&lt;&gt;"""",I3:I991&amp;""_""&amp;L3:L991&amp;""_""&amp;N3:N991&amp;""_""&amp;H3:H991&amp;""_""&amp;TRIM(A3:A991),""!!!""),""!!!""),""!!!""),"&amp;"""!!!""),""!!!""),B3:B991&lt;&gt;"""")}"),"Tên campain_Mã tài khoản_Mã hình thức chạy_Mã agent_ddmmyy")</f>
        <v>Tên campain_Mã tài khoản_Mã hình thức chạy_Mã agent_ddmmyy</v>
      </c>
      <c r="R2" s="27" t="str">
        <f>IFERROR(__xludf.DUMMYFUNCTION("{""Mã Target_Location_tuổi_tệp loại trừ_ngày lên adset(ddmmyy)"";
FILTER(IF( A3:A991&lt;&gt;"""",IF(P3:P991&lt;&gt;"""",IF(F3:F991&lt;&gt;"""",IF(G3:G991&lt;&gt;"""",IF(K3:K991&lt;&gt;"""",P3:P991&amp;""_""&amp;F3:F991&amp;""_""&amp;G3:G991&amp;""_""&amp;K3:K991&amp;""_""&amp;TRIM(A3:A991),""!!!""),""!!!""),""!!!"")"&amp;",""!!!""),""!!!""),B3:B991&lt;&gt;"""")}"),"Mã Target_Location_tuổi_tệp loại trừ_ngày lên adset(ddmmyy)")</f>
        <v>Mã Target_Location_tuổi_tệp loại trừ_ngày lên adset(ddmmyy)</v>
      </c>
      <c r="S2" s="29" t="str">
        <f>IFERROR(__xludf.DUMMYFUNCTION("{""Mã content_têncontent_mã fanpage_mã LDP"";
FILTER(IF( M3:M991&lt;&gt;"""",IF(J3:J991&lt;&gt;"""",IF(O3:O991&lt;&gt;"""",IF(C3:C991&lt;&gt;"""",M3:M991&amp;""_""&amp;J3:J991&amp;""_""&amp;O3:O991&amp;""_""&amp;C3:C991,""!!!""),""!!!""),""!!!""),""!!!""),B3:B991&lt;&gt;"""")}"),"Mã content_têncontent_mã fanpage_mã LDP")</f>
        <v>Mã content_têncontent_mã fanpage_mã LDP</v>
      </c>
      <c r="T2" s="31" t="str">
        <f>IFERROR(__xludf.DUMMYFUNCTION("{""KQ"";
FILTER(B3:B991&amp;if(right(B3:B991,1)=""/"",""?"",""/?"")&amp;""utm_source=""&amp;D3:D991&amp;""&amp;utm_medium=""&amp;E3:E991&amp;""&amp;utm_term=""&amp;R3:R991&amp;""&amp;utm_content=""&amp;S3:S991&amp;""&amp;utm_campaign=""&amp;Q3:Q991,B3:B991&lt;&gt;"""")}"),"#REF!")</f>
        <v>#REF!</v>
      </c>
      <c r="U2" s="33"/>
    </row>
    <row r="3">
      <c r="A3" s="34">
        <v>110920.0</v>
      </c>
      <c r="B3" s="38" t="s">
        <v>51</v>
      </c>
      <c r="C3" s="40" t="str">
        <f>IFERROR(__xludf.DUMMYFUNCTION("""COMPUTED_VALUE"""),"LD001")</f>
        <v>LD001</v>
      </c>
      <c r="D3" s="41" t="s">
        <v>42</v>
      </c>
      <c r="E3" s="44" t="s">
        <v>53</v>
      </c>
      <c r="F3" s="40" t="s">
        <v>46</v>
      </c>
      <c r="G3" s="44">
        <v>2232.0</v>
      </c>
      <c r="H3" s="40" t="s">
        <v>56</v>
      </c>
      <c r="I3" s="40" t="s">
        <v>57</v>
      </c>
      <c r="J3" s="40" t="s">
        <v>58</v>
      </c>
      <c r="K3" s="44" t="s">
        <v>59</v>
      </c>
      <c r="L3" s="40" t="s">
        <v>66</v>
      </c>
      <c r="M3" s="40" t="s">
        <v>68</v>
      </c>
      <c r="N3" s="40" t="s">
        <v>69</v>
      </c>
      <c r="O3" s="51" t="s">
        <v>71</v>
      </c>
      <c r="P3" s="44" t="s">
        <v>72</v>
      </c>
      <c r="Q3" s="40" t="str">
        <f>IFERROR(__xludf.DUMMYFUNCTION("""COMPUTED_VALUE"""),"hocielts_PDK_CVS_ThanhPT_110920")</f>
        <v>hocielts_PDK_CVS_ThanhPT_110920</v>
      </c>
      <c r="R3" s="40" t="str">
        <f>IFERROR(__xludf.DUMMYFUNCTION("""COMPUTED_VALUE"""),"RMK_HN_2232_yyy_110920")</f>
        <v>RMK_HN_2232_yyy_110920</v>
      </c>
      <c r="S3" s="40" t="str">
        <f>IFERROR(__xludf.DUMMYFUNCTION("""COMPUTED_VALUE"""),"h4hocvien_giamgia50phantram_TAGTTDP_LD001")</f>
        <v>h4hocvien_giamgia50phantram_TAGTTDP_LD001</v>
      </c>
      <c r="T3" s="43"/>
      <c r="U3" s="52"/>
    </row>
    <row r="4">
      <c r="A4" s="53" t="s">
        <v>74</v>
      </c>
      <c r="B4" s="43" t="s">
        <v>51</v>
      </c>
      <c r="C4" s="54" t="str">
        <f>IFERROR(__xludf.DUMMYFUNCTION("""COMPUTED_VALUE"""),"LD001")</f>
        <v>LD001</v>
      </c>
      <c r="D4" s="55" t="s">
        <v>42</v>
      </c>
      <c r="E4" s="55" t="s">
        <v>42</v>
      </c>
      <c r="F4" s="55" t="s">
        <v>46</v>
      </c>
      <c r="G4" s="55">
        <v>2232.0</v>
      </c>
      <c r="H4" s="55" t="s">
        <v>75</v>
      </c>
      <c r="I4" s="55" t="s">
        <v>76</v>
      </c>
      <c r="J4" s="55" t="s">
        <v>77</v>
      </c>
      <c r="K4" s="55" t="s">
        <v>61</v>
      </c>
      <c r="L4" s="55" t="s">
        <v>66</v>
      </c>
      <c r="M4" s="55" t="s">
        <v>78</v>
      </c>
      <c r="N4" s="55" t="s">
        <v>79</v>
      </c>
      <c r="O4" s="55" t="s">
        <v>71</v>
      </c>
      <c r="P4" s="55" t="s">
        <v>70</v>
      </c>
      <c r="Q4" s="54" t="str">
        <f>IFERROR(__xludf.DUMMYFUNCTION("""COMPUTED_VALUE"""),"TAGT.NDL_PDK_MES_HuyNV_210820")</f>
        <v>TAGT.NDL_PDK_MES_HuyNV_210820</v>
      </c>
      <c r="R4" s="54" t="str">
        <f>IFERROR(__xludf.DUMMYFUNCTION("""COMPUTED_VALUE"""),"NON_HN_2232_none_210820")</f>
        <v>NON_HN_2232_none_210820</v>
      </c>
      <c r="S4" s="54" t="str">
        <f>IFERROR(__xludf.DUMMYFUNCTION("""COMPUTED_VALUE"""),"saletructiep_TAGTNDL.CamKetDauRa_TAGTTDP_LD001")</f>
        <v>saletructiep_TAGTNDL.CamKetDauRa_TAGTTDP_LD001</v>
      </c>
      <c r="T4" s="54"/>
      <c r="U4" s="56"/>
    </row>
    <row r="5">
      <c r="A5" s="57" t="s">
        <v>74</v>
      </c>
      <c r="B5" s="60" t="s">
        <v>80</v>
      </c>
      <c r="C5" s="54" t="str">
        <f>IFERROR(__xludf.DUMMYFUNCTION("""COMPUTED_VALUE"""),"LD003")</f>
        <v>LD003</v>
      </c>
      <c r="D5" s="55" t="s">
        <v>42</v>
      </c>
      <c r="E5" s="55" t="s">
        <v>42</v>
      </c>
      <c r="F5" s="55" t="s">
        <v>46</v>
      </c>
      <c r="G5" s="55">
        <v>2232.0</v>
      </c>
      <c r="H5" s="55" t="s">
        <v>75</v>
      </c>
      <c r="I5" s="55" t="s">
        <v>85</v>
      </c>
      <c r="J5" s="55" t="s">
        <v>85</v>
      </c>
      <c r="K5" s="55" t="s">
        <v>87</v>
      </c>
      <c r="L5" s="55" t="s">
        <v>66</v>
      </c>
      <c r="M5" s="55" t="s">
        <v>68</v>
      </c>
      <c r="N5" s="55" t="s">
        <v>69</v>
      </c>
      <c r="O5" s="55" t="s">
        <v>71</v>
      </c>
      <c r="P5" s="55" t="s">
        <v>70</v>
      </c>
      <c r="Q5" s="54" t="str">
        <f>IFERROR(__xludf.DUMMYFUNCTION("""COMPUTED_VALUE"""),"Sau4ThangIELTS_PDK_CVS_HuyNV_210820")</f>
        <v>Sau4ThangIELTS_PDK_CVS_HuyNV_210820</v>
      </c>
      <c r="R5" s="54" t="str">
        <f>IFERROR(__xludf.DUMMYFUNCTION("""COMPUTED_VALUE"""),"NON_HN_2232_inbox_210820")</f>
        <v>NON_HN_2232_inbox_210820</v>
      </c>
      <c r="S5" s="54" t="str">
        <f>IFERROR(__xludf.DUMMYFUNCTION("""COMPUTED_VALUE"""),"h4hocvien_Sau4ThangIELTS_TAGTTDP_LD003")</f>
        <v>h4hocvien_Sau4ThangIELTS_TAGTTDP_LD003</v>
      </c>
      <c r="T5" s="54"/>
      <c r="U5" s="56"/>
    </row>
    <row r="6">
      <c r="A6" s="57" t="s">
        <v>93</v>
      </c>
      <c r="B6" s="61" t="s">
        <v>80</v>
      </c>
      <c r="C6" s="54" t="str">
        <f>IFERROR(__xludf.DUMMYFUNCTION("""COMPUTED_VALUE"""),"LD003")</f>
        <v>LD003</v>
      </c>
      <c r="D6" s="55" t="s">
        <v>42</v>
      </c>
      <c r="E6" s="55" t="s">
        <v>42</v>
      </c>
      <c r="F6" s="55" t="s">
        <v>46</v>
      </c>
      <c r="G6" s="55">
        <v>2232.0</v>
      </c>
      <c r="H6" s="55" t="s">
        <v>75</v>
      </c>
      <c r="I6" s="55" t="s">
        <v>96</v>
      </c>
      <c r="J6" s="55" t="s">
        <v>96</v>
      </c>
      <c r="K6" s="55" t="s">
        <v>61</v>
      </c>
      <c r="L6" s="55" t="s">
        <v>97</v>
      </c>
      <c r="M6" s="55" t="s">
        <v>78</v>
      </c>
      <c r="N6" s="55" t="s">
        <v>69</v>
      </c>
      <c r="O6" s="55" t="s">
        <v>71</v>
      </c>
      <c r="P6" s="55" t="s">
        <v>70</v>
      </c>
      <c r="Q6" s="54" t="str">
        <f>IFERROR(__xludf.DUMMYFUNCTION("""COMPUTED_VALUE"""),"KHTT.1Anh_Patado1_CVS_HuyNV_250820")</f>
        <v>KHTT.1Anh_Patado1_CVS_HuyNV_250820</v>
      </c>
      <c r="R6" s="54" t="str">
        <f>IFERROR(__xludf.DUMMYFUNCTION("""COMPUTED_VALUE"""),"NON_HN_2232_none_250820")</f>
        <v>NON_HN_2232_none_250820</v>
      </c>
      <c r="S6" s="54" t="str">
        <f>IFERROR(__xludf.DUMMYFUNCTION("""COMPUTED_VALUE"""),"saletructiep_KHTT.1Anh_TAGTTDP_LD003")</f>
        <v>saletructiep_KHTT.1Anh_TAGTTDP_LD003</v>
      </c>
      <c r="T6" s="54"/>
      <c r="U6" s="56"/>
    </row>
    <row r="7">
      <c r="A7" s="57" t="s">
        <v>98</v>
      </c>
      <c r="B7" s="61" t="s">
        <v>99</v>
      </c>
      <c r="C7" s="54" t="str">
        <f>IFERROR(__xludf.DUMMYFUNCTION("""COMPUTED_VALUE"""),"LD004")</f>
        <v>LD004</v>
      </c>
      <c r="D7" s="55" t="s">
        <v>42</v>
      </c>
      <c r="E7" s="55" t="s">
        <v>42</v>
      </c>
      <c r="F7" s="55" t="s">
        <v>46</v>
      </c>
      <c r="G7" s="55">
        <v>2232.0</v>
      </c>
      <c r="H7" s="55" t="s">
        <v>75</v>
      </c>
      <c r="I7" s="55" t="s">
        <v>102</v>
      </c>
      <c r="J7" s="55" t="s">
        <v>102</v>
      </c>
      <c r="K7" s="55" t="s">
        <v>61</v>
      </c>
      <c r="L7" s="55" t="s">
        <v>97</v>
      </c>
      <c r="M7" s="55" t="s">
        <v>78</v>
      </c>
      <c r="N7" s="55" t="s">
        <v>69</v>
      </c>
      <c r="O7" s="55" t="s">
        <v>71</v>
      </c>
      <c r="P7" s="55" t="s">
        <v>70</v>
      </c>
      <c r="Q7" s="54" t="str">
        <f>IFERROR(__xludf.DUMMYFUNCTION("""COMPUTED_VALUE"""),"KHTAGT1Kem1_Patado1_CVS_HuyNV_270820")</f>
        <v>KHTAGT1Kem1_Patado1_CVS_HuyNV_270820</v>
      </c>
      <c r="R7" s="54" t="str">
        <f>IFERROR(__xludf.DUMMYFUNCTION("""COMPUTED_VALUE"""),"NON_HN_2232_none_270820")</f>
        <v>NON_HN_2232_none_270820</v>
      </c>
      <c r="S7" s="54" t="str">
        <f>IFERROR(__xludf.DUMMYFUNCTION("""COMPUTED_VALUE"""),"saletructiep_KHTAGT1Kem1_TAGTTDP_LD004")</f>
        <v>saletructiep_KHTAGT1Kem1_TAGTTDP_LD004</v>
      </c>
      <c r="T7" s="54"/>
      <c r="U7" s="56"/>
    </row>
    <row r="8">
      <c r="A8" s="57" t="s">
        <v>104</v>
      </c>
      <c r="B8" s="61" t="s">
        <v>99</v>
      </c>
      <c r="C8" s="54" t="str">
        <f>IFERROR(__xludf.DUMMYFUNCTION("""COMPUTED_VALUE"""),"LD004")</f>
        <v>LD004</v>
      </c>
      <c r="D8" s="55" t="s">
        <v>42</v>
      </c>
      <c r="E8" s="55" t="s">
        <v>42</v>
      </c>
      <c r="F8" s="55" t="s">
        <v>107</v>
      </c>
      <c r="G8" s="55">
        <v>3544.0</v>
      </c>
      <c r="H8" s="55" t="s">
        <v>75</v>
      </c>
      <c r="I8" s="55" t="s">
        <v>108</v>
      </c>
      <c r="J8" s="55" t="s">
        <v>108</v>
      </c>
      <c r="K8" s="55" t="s">
        <v>61</v>
      </c>
      <c r="L8" s="55" t="s">
        <v>97</v>
      </c>
      <c r="M8" s="55" t="s">
        <v>109</v>
      </c>
      <c r="N8" s="55" t="s">
        <v>79</v>
      </c>
      <c r="O8" s="55" t="s">
        <v>71</v>
      </c>
      <c r="P8" s="55" t="s">
        <v>110</v>
      </c>
      <c r="Q8" s="54" t="str">
        <f>IFERROR(__xludf.DUMMYFUNCTION("""COMPUTED_VALUE"""),"UnitedStates.ChamDut6Nam_Patado1_MES_HuyNV_010920")</f>
        <v>UnitedStates.ChamDut6Nam_Patado1_MES_HuyNV_010920</v>
      </c>
      <c r="R8" s="54" t="str">
        <f>IFERROR(__xludf.DUMMYFUNCTION("""COMPUTED_VALUE"""),"NEW_UnitedStates_3544_none_010920")</f>
        <v>NEW_UnitedStates_3544_none_010920</v>
      </c>
      <c r="S8" s="54" t="str">
        <f>IFERROR(__xludf.DUMMYFUNCTION("""COMPUTED_VALUE"""),"Storytell_UnitedStates.ChamDut6Nam_TAGTTDP_LD004")</f>
        <v>Storytell_UnitedStates.ChamDut6Nam_TAGTTDP_LD004</v>
      </c>
      <c r="T8" s="54"/>
      <c r="U8" s="56"/>
    </row>
    <row r="9">
      <c r="A9" s="57" t="s">
        <v>104</v>
      </c>
      <c r="B9" s="61" t="s">
        <v>99</v>
      </c>
      <c r="C9" s="54" t="str">
        <f>IFERROR(__xludf.DUMMYFUNCTION("""COMPUTED_VALUE"""),"LD004")</f>
        <v>LD004</v>
      </c>
      <c r="D9" s="55" t="s">
        <v>42</v>
      </c>
      <c r="E9" s="55" t="s">
        <v>42</v>
      </c>
      <c r="F9" s="55" t="s">
        <v>112</v>
      </c>
      <c r="G9" s="55">
        <v>2255.0</v>
      </c>
      <c r="H9" s="55" t="s">
        <v>75</v>
      </c>
      <c r="I9" s="55" t="s">
        <v>113</v>
      </c>
      <c r="J9" s="55" t="s">
        <v>113</v>
      </c>
      <c r="K9" s="55" t="s">
        <v>61</v>
      </c>
      <c r="L9" s="55" t="s">
        <v>97</v>
      </c>
      <c r="M9" s="55" t="s">
        <v>109</v>
      </c>
      <c r="N9" s="55" t="s">
        <v>79</v>
      </c>
      <c r="O9" s="55" t="s">
        <v>71</v>
      </c>
      <c r="P9" s="55" t="s">
        <v>110</v>
      </c>
      <c r="Q9" s="54" t="str">
        <f>IFERROR(__xludf.DUMMYFUNCTION("""COMPUTED_VALUE"""),"Canada.ChamDut6Nam_Patado1_MES_HuyNV_010920")</f>
        <v>Canada.ChamDut6Nam_Patado1_MES_HuyNV_010920</v>
      </c>
      <c r="R9" s="54" t="str">
        <f>IFERROR(__xludf.DUMMYFUNCTION("""COMPUTED_VALUE"""),"NEW_Canada_2255_none_010920")</f>
        <v>NEW_Canada_2255_none_010920</v>
      </c>
      <c r="S9" s="54" t="str">
        <f>IFERROR(__xludf.DUMMYFUNCTION("""COMPUTED_VALUE"""),"Storytell_Canada.ChamDut6Nam_TAGTTDP_LD004")</f>
        <v>Storytell_Canada.ChamDut6Nam_TAGTTDP_LD004</v>
      </c>
      <c r="T9" s="54"/>
      <c r="U9" s="56"/>
    </row>
    <row r="10">
      <c r="A10" s="57" t="s">
        <v>104</v>
      </c>
      <c r="B10" s="61" t="s">
        <v>99</v>
      </c>
      <c r="C10" s="55" t="str">
        <f>IFERROR(__xludf.DUMMYFUNCTION("""COMPUTED_VALUE"""),"LD004")</f>
        <v>LD004</v>
      </c>
      <c r="D10" s="55" t="s">
        <v>42</v>
      </c>
      <c r="E10" s="55" t="s">
        <v>42</v>
      </c>
      <c r="F10" s="55" t="s">
        <v>119</v>
      </c>
      <c r="G10" s="55">
        <v>2255.0</v>
      </c>
      <c r="H10" s="55" t="s">
        <v>75</v>
      </c>
      <c r="I10" s="55" t="s">
        <v>120</v>
      </c>
      <c r="J10" s="55" t="s">
        <v>120</v>
      </c>
      <c r="K10" s="55" t="s">
        <v>61</v>
      </c>
      <c r="L10" s="55" t="s">
        <v>97</v>
      </c>
      <c r="M10" s="55" t="s">
        <v>109</v>
      </c>
      <c r="N10" s="55" t="s">
        <v>79</v>
      </c>
      <c r="O10" s="55" t="s">
        <v>71</v>
      </c>
      <c r="P10" s="55" t="s">
        <v>110</v>
      </c>
      <c r="Q10" s="54" t="str">
        <f>IFERROR(__xludf.DUMMYFUNCTION("""COMPUTED_VALUE"""),"NewZealand.ChamDut6Nam_Patado1_MES_HuyNV_010920")</f>
        <v>NewZealand.ChamDut6Nam_Patado1_MES_HuyNV_010920</v>
      </c>
      <c r="R10" s="54" t="str">
        <f>IFERROR(__xludf.DUMMYFUNCTION("""COMPUTED_VALUE"""),"NEW_NewZealand_2255_none_010920")</f>
        <v>NEW_NewZealand_2255_none_010920</v>
      </c>
      <c r="S10" s="54" t="str">
        <f>IFERROR(__xludf.DUMMYFUNCTION("""COMPUTED_VALUE"""),"Storytell_NewZealand.ChamDut6Nam_TAGTTDP_LD004")</f>
        <v>Storytell_NewZealand.ChamDut6Nam_TAGTTDP_LD004</v>
      </c>
      <c r="T10" s="54"/>
      <c r="U10" s="56"/>
    </row>
    <row r="11">
      <c r="A11" s="57" t="s">
        <v>104</v>
      </c>
      <c r="B11" s="61" t="s">
        <v>99</v>
      </c>
      <c r="C11" s="54" t="str">
        <f>IFERROR(__xludf.DUMMYFUNCTION("""COMPUTED_VALUE"""),"LD004")</f>
        <v>LD004</v>
      </c>
      <c r="D11" s="55" t="s">
        <v>42</v>
      </c>
      <c r="E11" s="55" t="s">
        <v>42</v>
      </c>
      <c r="F11" s="55" t="s">
        <v>123</v>
      </c>
      <c r="G11" s="55">
        <v>2255.0</v>
      </c>
      <c r="H11" s="55" t="s">
        <v>75</v>
      </c>
      <c r="I11" s="55" t="s">
        <v>124</v>
      </c>
      <c r="J11" s="55" t="s">
        <v>124</v>
      </c>
      <c r="K11" s="55" t="s">
        <v>61</v>
      </c>
      <c r="L11" s="55" t="s">
        <v>97</v>
      </c>
      <c r="M11" s="55" t="s">
        <v>109</v>
      </c>
      <c r="N11" s="55" t="s">
        <v>79</v>
      </c>
      <c r="O11" s="55" t="s">
        <v>71</v>
      </c>
      <c r="P11" s="55" t="s">
        <v>110</v>
      </c>
      <c r="Q11" s="54" t="str">
        <f>IFERROR(__xludf.DUMMYFUNCTION("""COMPUTED_VALUE"""),"SouthKorea.ChamDut6Nam_Patado1_MES_HuyNV_010920")</f>
        <v>SouthKorea.ChamDut6Nam_Patado1_MES_HuyNV_010920</v>
      </c>
      <c r="R11" s="54" t="str">
        <f>IFERROR(__xludf.DUMMYFUNCTION("""COMPUTED_VALUE"""),"NEW_SouthKorea_2255_none_010920")</f>
        <v>NEW_SouthKorea_2255_none_010920</v>
      </c>
      <c r="S11" s="54" t="str">
        <f>IFERROR(__xludf.DUMMYFUNCTION("""COMPUTED_VALUE"""),"Storytell_SouthKorea.ChamDut6Nam_TAGTTDP_LD004")</f>
        <v>Storytell_SouthKorea.ChamDut6Nam_TAGTTDP_LD004</v>
      </c>
      <c r="T11" s="54"/>
      <c r="U11" s="56"/>
    </row>
    <row r="12">
      <c r="A12" s="57" t="s">
        <v>104</v>
      </c>
      <c r="B12" s="60" t="s">
        <v>99</v>
      </c>
      <c r="C12" s="54" t="str">
        <f>IFERROR(__xludf.DUMMYFUNCTION("""COMPUTED_VALUE"""),"LD004")</f>
        <v>LD004</v>
      </c>
      <c r="D12" s="55" t="s">
        <v>42</v>
      </c>
      <c r="E12" s="55" t="s">
        <v>42</v>
      </c>
      <c r="F12" s="55" t="s">
        <v>129</v>
      </c>
      <c r="G12" s="55">
        <v>2255.0</v>
      </c>
      <c r="H12" s="55" t="s">
        <v>75</v>
      </c>
      <c r="I12" s="55" t="s">
        <v>130</v>
      </c>
      <c r="J12" s="55" t="s">
        <v>130</v>
      </c>
      <c r="K12" s="55" t="s">
        <v>61</v>
      </c>
      <c r="L12" s="55" t="s">
        <v>97</v>
      </c>
      <c r="M12" s="55" t="s">
        <v>109</v>
      </c>
      <c r="N12" s="55" t="s">
        <v>79</v>
      </c>
      <c r="O12" s="55" t="s">
        <v>71</v>
      </c>
      <c r="P12" s="55" t="s">
        <v>110</v>
      </c>
      <c r="Q12" s="54" t="str">
        <f>IFERROR(__xludf.DUMMYFUNCTION("""COMPUTED_VALUE"""),"Australia.ChamDut6Nam_Patado1_MES_HuyNV_010920")</f>
        <v>Australia.ChamDut6Nam_Patado1_MES_HuyNV_010920</v>
      </c>
      <c r="R12" s="54" t="str">
        <f>IFERROR(__xludf.DUMMYFUNCTION("""COMPUTED_VALUE"""),"NEW_Australia_2255_none_010920")</f>
        <v>NEW_Australia_2255_none_010920</v>
      </c>
      <c r="S12" s="54" t="str">
        <f>IFERROR(__xludf.DUMMYFUNCTION("""COMPUTED_VALUE"""),"Storytell_Australia.ChamDut6Nam_TAGTTDP_LD004")</f>
        <v>Storytell_Australia.ChamDut6Nam_TAGTTDP_LD004</v>
      </c>
      <c r="T12" s="54"/>
      <c r="U12" s="56"/>
    </row>
    <row r="13">
      <c r="A13" s="57" t="s">
        <v>132</v>
      </c>
      <c r="B13" s="61" t="s">
        <v>99</v>
      </c>
      <c r="C13" s="54" t="str">
        <f>IFERROR(__xludf.DUMMYFUNCTION("""COMPUTED_VALUE"""),"LD004")</f>
        <v>LD004</v>
      </c>
      <c r="D13" s="55" t="s">
        <v>42</v>
      </c>
      <c r="E13" s="55" t="s">
        <v>42</v>
      </c>
      <c r="F13" s="55" t="s">
        <v>133</v>
      </c>
      <c r="G13" s="55">
        <v>2255.0</v>
      </c>
      <c r="H13" s="55" t="s">
        <v>75</v>
      </c>
      <c r="I13" s="55" t="s">
        <v>135</v>
      </c>
      <c r="J13" s="55" t="s">
        <v>135</v>
      </c>
      <c r="K13" s="55" t="s">
        <v>61</v>
      </c>
      <c r="L13" s="55" t="s">
        <v>97</v>
      </c>
      <c r="M13" s="55" t="s">
        <v>109</v>
      </c>
      <c r="N13" s="55" t="s">
        <v>79</v>
      </c>
      <c r="O13" s="55" t="s">
        <v>71</v>
      </c>
      <c r="P13" s="55" t="s">
        <v>110</v>
      </c>
      <c r="Q13" s="54" t="str">
        <f>IFERROR(__xludf.DUMMYFUNCTION("""COMPUTED_VALUE"""),"Jaxpan.ChamDut6Nam_Patado1_MES_HuyNV_030920")</f>
        <v>Jaxpan.ChamDut6Nam_Patado1_MES_HuyNV_030920</v>
      </c>
      <c r="R13" s="54" t="str">
        <f>IFERROR(__xludf.DUMMYFUNCTION("""COMPUTED_VALUE"""),"NEW_Japan_2255_none_030920")</f>
        <v>NEW_Japan_2255_none_030920</v>
      </c>
      <c r="S13" s="54" t="str">
        <f>IFERROR(__xludf.DUMMYFUNCTION("""COMPUTED_VALUE"""),"Storytell_Jaxpan.ChamDut6Nam_TAGTTDP_LD004")</f>
        <v>Storytell_Jaxpan.ChamDut6Nam_TAGTTDP_LD004</v>
      </c>
      <c r="T13" s="54"/>
      <c r="U13" s="56"/>
    </row>
    <row r="14">
      <c r="A14" s="57" t="s">
        <v>137</v>
      </c>
      <c r="B14" s="61" t="s">
        <v>99</v>
      </c>
      <c r="C14" s="54" t="str">
        <f>IFERROR(__xludf.DUMMYFUNCTION("""COMPUTED_VALUE"""),"LD004")</f>
        <v>LD004</v>
      </c>
      <c r="D14" s="55" t="s">
        <v>42</v>
      </c>
      <c r="E14" s="55" t="s">
        <v>42</v>
      </c>
      <c r="F14" s="55" t="s">
        <v>107</v>
      </c>
      <c r="G14" s="55">
        <v>2565.0</v>
      </c>
      <c r="H14" s="55" t="s">
        <v>75</v>
      </c>
      <c r="I14" s="55" t="s">
        <v>138</v>
      </c>
      <c r="J14" s="55" t="s">
        <v>138</v>
      </c>
      <c r="K14" s="55" t="s">
        <v>61</v>
      </c>
      <c r="L14" s="55" t="s">
        <v>139</v>
      </c>
      <c r="M14" s="55" t="s">
        <v>109</v>
      </c>
      <c r="N14" s="55" t="s">
        <v>79</v>
      </c>
      <c r="O14" s="55" t="s">
        <v>71</v>
      </c>
      <c r="P14" s="55" t="s">
        <v>110</v>
      </c>
      <c r="Q14" s="54" t="str">
        <f>IFERROR(__xludf.DUMMYFUNCTION("""COMPUTED_VALUE"""),"UnitedStates.TADD.ChamDut6Nam_Patado4_MES_HuyNV_040920")</f>
        <v>UnitedStates.TADD.ChamDut6Nam_Patado4_MES_HuyNV_040920</v>
      </c>
      <c r="R14" s="54" t="str">
        <f>IFERROR(__xludf.DUMMYFUNCTION("""COMPUTED_VALUE"""),"NEW_UnitedStates_2565_none_040920")</f>
        <v>NEW_UnitedStates_2565_none_040920</v>
      </c>
      <c r="S14" s="54" t="str">
        <f>IFERROR(__xludf.DUMMYFUNCTION("""COMPUTED_VALUE"""),"Storytell_UnitedStates.TADD.ChamDut6Nam_TAGTTDP_LD004")</f>
        <v>Storytell_UnitedStates.TADD.ChamDut6Nam_TAGTTDP_LD004</v>
      </c>
      <c r="T14" s="54"/>
      <c r="U14" s="56"/>
    </row>
    <row r="15">
      <c r="A15" s="57" t="s">
        <v>140</v>
      </c>
      <c r="B15" s="61" t="s">
        <v>99</v>
      </c>
      <c r="C15" s="54" t="str">
        <f>IFERROR(__xludf.DUMMYFUNCTION("""COMPUTED_VALUE"""),"LD004")</f>
        <v>LD004</v>
      </c>
      <c r="D15" s="55" t="s">
        <v>42</v>
      </c>
      <c r="E15" s="55" t="s">
        <v>42</v>
      </c>
      <c r="F15" s="55" t="s">
        <v>112</v>
      </c>
      <c r="G15" s="55">
        <v>1865.0</v>
      </c>
      <c r="H15" s="55" t="s">
        <v>75</v>
      </c>
      <c r="I15" s="55" t="s">
        <v>142</v>
      </c>
      <c r="J15" s="55" t="s">
        <v>142</v>
      </c>
      <c r="K15" s="55" t="s">
        <v>61</v>
      </c>
      <c r="L15" s="55" t="s">
        <v>139</v>
      </c>
      <c r="M15" s="55" t="s">
        <v>78</v>
      </c>
      <c r="N15" s="55" t="s">
        <v>79</v>
      </c>
      <c r="O15" s="55" t="s">
        <v>71</v>
      </c>
      <c r="P15" s="55" t="s">
        <v>110</v>
      </c>
      <c r="Q15" s="54" t="str">
        <f>IFERROR(__xludf.DUMMYFUNCTION("""COMPUTED_VALUE"""),"Canada.TADD.HTAXQG_Patado4_MES_HuyNV_050920")</f>
        <v>Canada.TADD.HTAXQG_Patado4_MES_HuyNV_050920</v>
      </c>
      <c r="R15" s="54" t="str">
        <f>IFERROR(__xludf.DUMMYFUNCTION("""COMPUTED_VALUE"""),"NEW_Canada_1865_none_050920")</f>
        <v>NEW_Canada_1865_none_050920</v>
      </c>
      <c r="S15" s="54" t="str">
        <f>IFERROR(__xludf.DUMMYFUNCTION("""COMPUTED_VALUE"""),"saletructiep_Canada.TADD.HTAXQG_TAGTTDP_LD004")</f>
        <v>saletructiep_Canada.TADD.HTAXQG_TAGTTDP_LD004</v>
      </c>
      <c r="T15" s="54"/>
      <c r="U15" s="56"/>
    </row>
    <row r="16">
      <c r="A16" s="57" t="s">
        <v>140</v>
      </c>
      <c r="B16" s="61" t="s">
        <v>99</v>
      </c>
      <c r="C16" s="54" t="str">
        <f>IFERROR(__xludf.DUMMYFUNCTION("""COMPUTED_VALUE"""),"LD004")</f>
        <v>LD004</v>
      </c>
      <c r="D16" s="55" t="s">
        <v>42</v>
      </c>
      <c r="E16" s="55" t="s">
        <v>42</v>
      </c>
      <c r="F16" s="55" t="s">
        <v>123</v>
      </c>
      <c r="G16" s="55">
        <v>1865.0</v>
      </c>
      <c r="H16" s="55" t="s">
        <v>75</v>
      </c>
      <c r="I16" s="55" t="s">
        <v>145</v>
      </c>
      <c r="J16" s="55" t="s">
        <v>145</v>
      </c>
      <c r="K16" s="55" t="s">
        <v>61</v>
      </c>
      <c r="L16" s="55" t="s">
        <v>139</v>
      </c>
      <c r="M16" s="55" t="s">
        <v>78</v>
      </c>
      <c r="N16" s="55" t="s">
        <v>79</v>
      </c>
      <c r="O16" s="55" t="s">
        <v>71</v>
      </c>
      <c r="P16" s="55" t="s">
        <v>110</v>
      </c>
      <c r="Q16" s="54" t="str">
        <f>IFERROR(__xludf.DUMMYFUNCTION("""COMPUTED_VALUE"""),"SouthKorea.TADD.HTAXQG_Patado4_MES_HuyNV_050920")</f>
        <v>SouthKorea.TADD.HTAXQG_Patado4_MES_HuyNV_050920</v>
      </c>
      <c r="R16" s="54" t="str">
        <f>IFERROR(__xludf.DUMMYFUNCTION("""COMPUTED_VALUE"""),"NEW_SouthKorea_1865_none_050920")</f>
        <v>NEW_SouthKorea_1865_none_050920</v>
      </c>
      <c r="S16" s="54" t="str">
        <f>IFERROR(__xludf.DUMMYFUNCTION("""COMPUTED_VALUE"""),"saletructiep_SouthKorea.TADD.HTAXQG_TAGTTDP_LD004")</f>
        <v>saletructiep_SouthKorea.TADD.HTAXQG_TAGTTDP_LD004</v>
      </c>
      <c r="T16" s="54"/>
      <c r="U16" s="56"/>
    </row>
    <row r="17">
      <c r="A17" s="57" t="s">
        <v>146</v>
      </c>
      <c r="B17" s="61" t="s">
        <v>99</v>
      </c>
      <c r="C17" s="54" t="str">
        <f>IFERROR(__xludf.DUMMYFUNCTION("""COMPUTED_VALUE"""),"LD004")</f>
        <v>LD004</v>
      </c>
      <c r="D17" s="55" t="s">
        <v>42</v>
      </c>
      <c r="E17" s="55" t="s">
        <v>42</v>
      </c>
      <c r="F17" s="55" t="s">
        <v>119</v>
      </c>
      <c r="G17" s="55">
        <v>1865.0</v>
      </c>
      <c r="H17" s="55" t="s">
        <v>75</v>
      </c>
      <c r="I17" s="55" t="s">
        <v>147</v>
      </c>
      <c r="J17" s="55" t="s">
        <v>147</v>
      </c>
      <c r="K17" s="55" t="s">
        <v>61</v>
      </c>
      <c r="L17" s="55" t="s">
        <v>139</v>
      </c>
      <c r="M17" s="55" t="s">
        <v>78</v>
      </c>
      <c r="N17" s="55" t="s">
        <v>79</v>
      </c>
      <c r="O17" s="55" t="s">
        <v>71</v>
      </c>
      <c r="P17" s="55" t="s">
        <v>110</v>
      </c>
      <c r="Q17" s="54" t="str">
        <f>IFERROR(__xludf.DUMMYFUNCTION("""COMPUTED_VALUE"""),"NewZealand.TADD.HTAXQG_Patado4_MES_HuyNV_070920")</f>
        <v>NewZealand.TADD.HTAXQG_Patado4_MES_HuyNV_070920</v>
      </c>
      <c r="R17" s="54" t="str">
        <f>IFERROR(__xludf.DUMMYFUNCTION("""COMPUTED_VALUE"""),"NEW_NewZealand_1865_none_070920")</f>
        <v>NEW_NewZealand_1865_none_070920</v>
      </c>
      <c r="S17" s="54" t="str">
        <f>IFERROR(__xludf.DUMMYFUNCTION("""COMPUTED_VALUE"""),"saletructiep_NewZealand.TADD.HTAXQG_TAGTTDP_LD004")</f>
        <v>saletructiep_NewZealand.TADD.HTAXQG_TAGTTDP_LD004</v>
      </c>
      <c r="T17" s="54"/>
      <c r="U17" s="56"/>
    </row>
    <row r="18">
      <c r="A18" s="57" t="s">
        <v>149</v>
      </c>
      <c r="B18" s="61" t="s">
        <v>99</v>
      </c>
      <c r="C18" s="54" t="str">
        <f>IFERROR(__xludf.DUMMYFUNCTION("""COMPUTED_VALUE"""),"LD004")</f>
        <v>LD004</v>
      </c>
      <c r="D18" s="55" t="s">
        <v>42</v>
      </c>
      <c r="E18" s="55" t="s">
        <v>42</v>
      </c>
      <c r="F18" s="55" t="s">
        <v>112</v>
      </c>
      <c r="G18" s="55">
        <v>1865.0</v>
      </c>
      <c r="H18" s="55" t="s">
        <v>75</v>
      </c>
      <c r="I18" s="55" t="s">
        <v>150</v>
      </c>
      <c r="J18" s="55" t="s">
        <v>150</v>
      </c>
      <c r="K18" s="55" t="s">
        <v>61</v>
      </c>
      <c r="L18" s="55" t="s">
        <v>66</v>
      </c>
      <c r="M18" s="55" t="s">
        <v>78</v>
      </c>
      <c r="N18" s="55" t="s">
        <v>69</v>
      </c>
      <c r="O18" s="55" t="s">
        <v>71</v>
      </c>
      <c r="P18" s="55" t="s">
        <v>110</v>
      </c>
      <c r="Q18" s="54" t="str">
        <f>IFERROR(__xludf.DUMMYFUNCTION("""COMPUTED_VALUE"""),"Canada.TAGTTDP.HTAXQG_PDK_CVS_HuyNV_080920")</f>
        <v>Canada.TAGTTDP.HTAXQG_PDK_CVS_HuyNV_080920</v>
      </c>
      <c r="R18" s="54" t="str">
        <f>IFERROR(__xludf.DUMMYFUNCTION("""COMPUTED_VALUE"""),"NEW_Canada_1865_none_080920")</f>
        <v>NEW_Canada_1865_none_080920</v>
      </c>
      <c r="S18" s="54" t="str">
        <f>IFERROR(__xludf.DUMMYFUNCTION("""COMPUTED_VALUE"""),"saletructiep_Canada.TAGTTDP.HTAXQG_TAGTTDP_LD004")</f>
        <v>saletructiep_Canada.TAGTTDP.HTAXQG_TAGTTDP_LD004</v>
      </c>
      <c r="T18" s="54"/>
      <c r="U18" s="56"/>
    </row>
    <row r="19">
      <c r="A19" s="57" t="s">
        <v>151</v>
      </c>
      <c r="B19" s="61" t="s">
        <v>99</v>
      </c>
      <c r="C19" s="54" t="str">
        <f>IFERROR(__xludf.DUMMYFUNCTION("""COMPUTED_VALUE"""),"LD004")</f>
        <v>LD004</v>
      </c>
      <c r="D19" s="55" t="s">
        <v>42</v>
      </c>
      <c r="E19" s="55" t="s">
        <v>42</v>
      </c>
      <c r="F19" s="55" t="s">
        <v>133</v>
      </c>
      <c r="G19" s="55">
        <v>1865.0</v>
      </c>
      <c r="H19" s="55" t="s">
        <v>75</v>
      </c>
      <c r="I19" s="55" t="s">
        <v>152</v>
      </c>
      <c r="J19" s="55" t="s">
        <v>152</v>
      </c>
      <c r="K19" s="55" t="s">
        <v>61</v>
      </c>
      <c r="L19" s="55" t="s">
        <v>153</v>
      </c>
      <c r="M19" s="55" t="s">
        <v>78</v>
      </c>
      <c r="N19" s="55" t="s">
        <v>79</v>
      </c>
      <c r="O19" s="55" t="s">
        <v>71</v>
      </c>
      <c r="P19" s="55" t="s">
        <v>110</v>
      </c>
      <c r="Q19" s="54" t="str">
        <f>IFERROR(__xludf.DUMMYFUNCTION("""COMPUTED_VALUE"""),"Japan.TAGTTDP.TTGTTAS3T_Patado3_MES_HuyNV_090920")</f>
        <v>Japan.TAGTTDP.TTGTTAS3T_Patado3_MES_HuyNV_090920</v>
      </c>
      <c r="R19" s="54" t="str">
        <f>IFERROR(__xludf.DUMMYFUNCTION("""COMPUTED_VALUE"""),"NEW_Japan_1865_none_090920")</f>
        <v>NEW_Japan_1865_none_090920</v>
      </c>
      <c r="S19" s="54" t="str">
        <f>IFERROR(__xludf.DUMMYFUNCTION("""COMPUTED_VALUE"""),"saletructiep_Japan.TAGTTDP.TTGTTAS3T_TAGTTDP_LD004")</f>
        <v>saletructiep_Japan.TAGTTDP.TTGTTAS3T_TAGTTDP_LD004</v>
      </c>
      <c r="T19" s="54"/>
      <c r="U19" s="56"/>
    </row>
    <row r="20">
      <c r="A20" s="57" t="s">
        <v>154</v>
      </c>
      <c r="B20" s="61" t="s">
        <v>99</v>
      </c>
      <c r="C20" s="54" t="str">
        <f>IFERROR(__xludf.DUMMYFUNCTION("""COMPUTED_VALUE"""),"LD004")</f>
        <v>LD004</v>
      </c>
      <c r="D20" s="55" t="s">
        <v>42</v>
      </c>
      <c r="E20" s="55" t="s">
        <v>42</v>
      </c>
      <c r="F20" s="55" t="s">
        <v>107</v>
      </c>
      <c r="G20" s="55">
        <v>1865.0</v>
      </c>
      <c r="H20" s="55" t="s">
        <v>75</v>
      </c>
      <c r="I20" s="55" t="s">
        <v>155</v>
      </c>
      <c r="J20" s="55" t="s">
        <v>155</v>
      </c>
      <c r="K20" s="55" t="s">
        <v>61</v>
      </c>
      <c r="L20" s="55" t="s">
        <v>97</v>
      </c>
      <c r="M20" s="55" t="s">
        <v>109</v>
      </c>
      <c r="N20" s="55" t="s">
        <v>79</v>
      </c>
      <c r="O20" s="55" t="s">
        <v>71</v>
      </c>
      <c r="P20" s="55" t="s">
        <v>110</v>
      </c>
      <c r="Q20" s="54" t="str">
        <f>IFERROR(__xludf.DUMMYFUNCTION("""COMPUTED_VALUE"""),"UnitedStates.KBTA.1AnhGlobal_Patado1_MES_HuyNV_100920")</f>
        <v>UnitedStates.KBTA.1AnhGlobal_Patado1_MES_HuyNV_100920</v>
      </c>
      <c r="R20" s="54" t="str">
        <f>IFERROR(__xludf.DUMMYFUNCTION("""COMPUTED_VALUE"""),"NEW_UnitedStates_1865_none_100920")</f>
        <v>NEW_UnitedStates_1865_none_100920</v>
      </c>
      <c r="S20" s="54" t="str">
        <f>IFERROR(__xludf.DUMMYFUNCTION("""COMPUTED_VALUE"""),"Storytell_UnitedStates.KBTA.1AnhGlobal_TAGTTDP_LD004")</f>
        <v>Storytell_UnitedStates.KBTA.1AnhGlobal_TAGTTDP_LD004</v>
      </c>
      <c r="T20" s="54"/>
      <c r="U20" s="56"/>
    </row>
    <row r="21">
      <c r="A21" s="57" t="s">
        <v>154</v>
      </c>
      <c r="B21" s="61" t="s">
        <v>99</v>
      </c>
      <c r="C21" s="54" t="str">
        <f>IFERROR(__xludf.DUMMYFUNCTION("""COMPUTED_VALUE"""),"LD004")</f>
        <v>LD004</v>
      </c>
      <c r="D21" s="55" t="s">
        <v>42</v>
      </c>
      <c r="E21" s="55" t="s">
        <v>42</v>
      </c>
      <c r="F21" s="55" t="s">
        <v>112</v>
      </c>
      <c r="G21" s="55">
        <v>1865.0</v>
      </c>
      <c r="H21" s="55" t="s">
        <v>75</v>
      </c>
      <c r="I21" s="55" t="s">
        <v>157</v>
      </c>
      <c r="J21" s="55" t="s">
        <v>157</v>
      </c>
      <c r="K21" s="55" t="s">
        <v>61</v>
      </c>
      <c r="L21" s="55" t="s">
        <v>97</v>
      </c>
      <c r="M21" s="55" t="s">
        <v>78</v>
      </c>
      <c r="N21" s="55" t="s">
        <v>79</v>
      </c>
      <c r="O21" s="55" t="s">
        <v>71</v>
      </c>
      <c r="P21" s="55" t="s">
        <v>110</v>
      </c>
      <c r="Q21" s="54" t="str">
        <f>IFERROR(__xludf.DUMMYFUNCTION("""COMPUTED_VALUE"""),"Canada.TAGT1K1.1AnhNguoiViet_Patado1_MES_HuyNV_100920")</f>
        <v>Canada.TAGT1K1.1AnhNguoiViet_Patado1_MES_HuyNV_100920</v>
      </c>
      <c r="R21" s="54" t="str">
        <f>IFERROR(__xludf.DUMMYFUNCTION("""COMPUTED_VALUE"""),"NEW_Canada_1865_none_100920")</f>
        <v>NEW_Canada_1865_none_100920</v>
      </c>
      <c r="S21" s="54" t="str">
        <f>IFERROR(__xludf.DUMMYFUNCTION("""COMPUTED_VALUE"""),"saletructiep_Canada.TAGT1K1.1AnhNguoiViet_TAGTTDP_LD004")</f>
        <v>saletructiep_Canada.TAGT1K1.1AnhNguoiViet_TAGTTDP_LD004</v>
      </c>
      <c r="T21" s="54"/>
      <c r="U21" s="56"/>
    </row>
    <row r="22">
      <c r="A22" s="57" t="s">
        <v>154</v>
      </c>
      <c r="B22" s="61" t="s">
        <v>99</v>
      </c>
      <c r="C22" s="54" t="str">
        <f>IFERROR(__xludf.DUMMYFUNCTION("""COMPUTED_VALUE"""),"LD004")</f>
        <v>LD004</v>
      </c>
      <c r="D22" s="55" t="s">
        <v>42</v>
      </c>
      <c r="E22" s="55" t="s">
        <v>42</v>
      </c>
      <c r="F22" s="55" t="s">
        <v>123</v>
      </c>
      <c r="G22" s="55">
        <v>1865.0</v>
      </c>
      <c r="H22" s="55" t="s">
        <v>75</v>
      </c>
      <c r="I22" s="55" t="s">
        <v>158</v>
      </c>
      <c r="J22" s="55" t="s">
        <v>158</v>
      </c>
      <c r="K22" s="55" t="s">
        <v>61</v>
      </c>
      <c r="L22" s="55" t="s">
        <v>153</v>
      </c>
      <c r="M22" s="55" t="s">
        <v>78</v>
      </c>
      <c r="N22" s="55" t="s">
        <v>79</v>
      </c>
      <c r="O22" s="55" t="s">
        <v>71</v>
      </c>
      <c r="P22" s="55" t="s">
        <v>110</v>
      </c>
      <c r="Q22" s="54" t="str">
        <f>IFERROR(__xludf.DUMMYFUNCTION("""COMPUTED_VALUE"""),"SouthKorea.TTGTTAS3T_Patado3_MES_HuyNV_100920")</f>
        <v>SouthKorea.TTGTTAS3T_Patado3_MES_HuyNV_100920</v>
      </c>
      <c r="R22" s="54" t="str">
        <f>IFERROR(__xludf.DUMMYFUNCTION("""COMPUTED_VALUE"""),"NEW_SouthKorea_1865_none_100920")</f>
        <v>NEW_SouthKorea_1865_none_100920</v>
      </c>
      <c r="S22" s="54" t="str">
        <f>IFERROR(__xludf.DUMMYFUNCTION("""COMPUTED_VALUE"""),"saletructiep_SouthKorea.TTGTTAS3T_TAGTTDP_LD004")</f>
        <v>saletructiep_SouthKorea.TTGTTAS3T_TAGTTDP_LD004</v>
      </c>
      <c r="T22" s="54"/>
      <c r="U22" s="56"/>
    </row>
    <row r="23">
      <c r="A23" s="57" t="s">
        <v>154</v>
      </c>
      <c r="B23" s="61" t="s">
        <v>99</v>
      </c>
      <c r="C23" s="54" t="str">
        <f>IFERROR(__xludf.DUMMYFUNCTION("""COMPUTED_VALUE"""),"LD004")</f>
        <v>LD004</v>
      </c>
      <c r="D23" s="55" t="s">
        <v>42</v>
      </c>
      <c r="E23" s="55" t="s">
        <v>42</v>
      </c>
      <c r="F23" s="55" t="s">
        <v>112</v>
      </c>
      <c r="G23" s="55">
        <v>1865.0</v>
      </c>
      <c r="H23" s="55" t="s">
        <v>75</v>
      </c>
      <c r="I23" s="55" t="s">
        <v>159</v>
      </c>
      <c r="J23" s="55" t="s">
        <v>159</v>
      </c>
      <c r="K23" s="55" t="s">
        <v>61</v>
      </c>
      <c r="L23" s="55" t="s">
        <v>97</v>
      </c>
      <c r="M23" s="55" t="s">
        <v>78</v>
      </c>
      <c r="N23" s="55" t="s">
        <v>79</v>
      </c>
      <c r="O23" s="55" t="s">
        <v>71</v>
      </c>
      <c r="P23" s="55" t="s">
        <v>110</v>
      </c>
      <c r="Q23" s="54" t="str">
        <f>IFERROR(__xludf.DUMMYFUNCTION("""COMPUTED_VALUE"""),"Canada.TAGT1K1.AnhXQG_Patado1_MES_HuyNV_100920")</f>
        <v>Canada.TAGT1K1.AnhXQG_Patado1_MES_HuyNV_100920</v>
      </c>
      <c r="R23" s="54" t="str">
        <f>IFERROR(__xludf.DUMMYFUNCTION("""COMPUTED_VALUE"""),"NEW_Canada_1865_none_100920")</f>
        <v>NEW_Canada_1865_none_100920</v>
      </c>
      <c r="S23" s="54" t="str">
        <f>IFERROR(__xludf.DUMMYFUNCTION("""COMPUTED_VALUE"""),"saletructiep_Canada.TAGT1K1.AnhXQG_TAGTTDP_LD004")</f>
        <v>saletructiep_Canada.TAGT1K1.AnhXQG_TAGTTDP_LD004</v>
      </c>
      <c r="T23" s="54"/>
      <c r="U23" s="56"/>
    </row>
    <row r="24">
      <c r="A24" s="57" t="s">
        <v>154</v>
      </c>
      <c r="B24" s="61" t="s">
        <v>99</v>
      </c>
      <c r="C24" s="54" t="str">
        <f>IFERROR(__xludf.DUMMYFUNCTION("""COMPUTED_VALUE"""),"LD004")</f>
        <v>LD004</v>
      </c>
      <c r="D24" s="55" t="s">
        <v>42</v>
      </c>
      <c r="E24" s="55" t="s">
        <v>42</v>
      </c>
      <c r="F24" s="55" t="s">
        <v>119</v>
      </c>
      <c r="G24" s="55">
        <v>1865.0</v>
      </c>
      <c r="H24" s="55" t="s">
        <v>75</v>
      </c>
      <c r="I24" s="55" t="s">
        <v>160</v>
      </c>
      <c r="J24" s="55" t="s">
        <v>160</v>
      </c>
      <c r="K24" s="55" t="s">
        <v>61</v>
      </c>
      <c r="L24" s="55" t="s">
        <v>97</v>
      </c>
      <c r="M24" s="55" t="s">
        <v>78</v>
      </c>
      <c r="N24" s="55" t="s">
        <v>79</v>
      </c>
      <c r="O24" s="55" t="s">
        <v>71</v>
      </c>
      <c r="P24" s="55" t="s">
        <v>110</v>
      </c>
      <c r="Q24" s="54" t="str">
        <f>IFERROR(__xludf.DUMMYFUNCTION("""COMPUTED_VALUE"""),"NewZealand.TAGT1K1.AnhXQG_Patado1_MES_HuyNV_100920")</f>
        <v>NewZealand.TAGT1K1.AnhXQG_Patado1_MES_HuyNV_100920</v>
      </c>
      <c r="R24" s="54" t="str">
        <f>IFERROR(__xludf.DUMMYFUNCTION("""COMPUTED_VALUE"""),"NEW_NewZealand_1865_none_100920")</f>
        <v>NEW_NewZealand_1865_none_100920</v>
      </c>
      <c r="S24" s="54" t="str">
        <f>IFERROR(__xludf.DUMMYFUNCTION("""COMPUTED_VALUE"""),"saletructiep_NewZealand.TAGT1K1.AnhXQG_TAGTTDP_LD004")</f>
        <v>saletructiep_NewZealand.TAGT1K1.AnhXQG_TAGTTDP_LD004</v>
      </c>
      <c r="T24" s="54"/>
      <c r="U24" s="56"/>
    </row>
    <row r="25">
      <c r="A25" s="57" t="s">
        <v>161</v>
      </c>
      <c r="B25" s="61" t="s">
        <v>99</v>
      </c>
      <c r="C25" s="54" t="str">
        <f>IFERROR(__xludf.DUMMYFUNCTION("""COMPUTED_VALUE"""),"LD004")</f>
        <v>LD004</v>
      </c>
      <c r="D25" s="55" t="s">
        <v>42</v>
      </c>
      <c r="E25" s="55" t="s">
        <v>42</v>
      </c>
      <c r="F25" s="55" t="s">
        <v>162</v>
      </c>
      <c r="G25" s="55">
        <v>1865.0</v>
      </c>
      <c r="H25" s="55" t="s">
        <v>75</v>
      </c>
      <c r="I25" s="55" t="s">
        <v>163</v>
      </c>
      <c r="J25" s="55" t="s">
        <v>163</v>
      </c>
      <c r="K25" s="55" t="s">
        <v>61</v>
      </c>
      <c r="L25" s="55" t="s">
        <v>153</v>
      </c>
      <c r="M25" s="55" t="s">
        <v>78</v>
      </c>
      <c r="N25" s="55" t="s">
        <v>79</v>
      </c>
      <c r="O25" s="55" t="s">
        <v>71</v>
      </c>
      <c r="P25" s="55" t="s">
        <v>110</v>
      </c>
      <c r="Q25" s="54" t="str">
        <f>IFERROR(__xludf.DUMMYFUNCTION("""COMPUTED_VALUE"""),"Singapore.TAGT1K1.AnhXQG_Patado3_MES_HuyNV_170920")</f>
        <v>Singapore.TAGT1K1.AnhXQG_Patado3_MES_HuyNV_170920</v>
      </c>
      <c r="R25" s="54" t="str">
        <f>IFERROR(__xludf.DUMMYFUNCTION("""COMPUTED_VALUE"""),"NEW_Singapore_1865_none_170920")</f>
        <v>NEW_Singapore_1865_none_170920</v>
      </c>
      <c r="S25" s="54" t="str">
        <f>IFERROR(__xludf.DUMMYFUNCTION("""COMPUTED_VALUE"""),"saletructiep_Singapore.TAGT1K1.AnhXQG_TAGTTDP_LD004")</f>
        <v>saletructiep_Singapore.TAGT1K1.AnhXQG_TAGTTDP_LD004</v>
      </c>
      <c r="T25" s="54"/>
      <c r="U25" s="56"/>
    </row>
    <row r="26">
      <c r="A26" s="57" t="s">
        <v>161</v>
      </c>
      <c r="B26" s="61" t="s">
        <v>99</v>
      </c>
      <c r="C26" s="54" t="str">
        <f>IFERROR(__xludf.DUMMYFUNCTION("""COMPUTED_VALUE"""),"LD004")</f>
        <v>LD004</v>
      </c>
      <c r="D26" s="55" t="s">
        <v>42</v>
      </c>
      <c r="E26" s="55" t="s">
        <v>42</v>
      </c>
      <c r="F26" s="55" t="s">
        <v>164</v>
      </c>
      <c r="G26" s="55">
        <v>1865.0</v>
      </c>
      <c r="H26" s="55" t="s">
        <v>75</v>
      </c>
      <c r="I26" s="55" t="s">
        <v>165</v>
      </c>
      <c r="J26" s="55" t="s">
        <v>165</v>
      </c>
      <c r="K26" s="55" t="s">
        <v>61</v>
      </c>
      <c r="L26" s="55" t="s">
        <v>153</v>
      </c>
      <c r="M26" s="55" t="s">
        <v>78</v>
      </c>
      <c r="N26" s="55" t="s">
        <v>79</v>
      </c>
      <c r="O26" s="55" t="s">
        <v>71</v>
      </c>
      <c r="P26" s="55" t="s">
        <v>110</v>
      </c>
      <c r="Q26" s="54" t="str">
        <f>IFERROR(__xludf.DUMMYFUNCTION("""COMPUTED_VALUE"""),"Taiwan.TAGT1K1.AnhXQG_Patado3_MES_HuyNV_170920")</f>
        <v>Taiwan.TAGT1K1.AnhXQG_Patado3_MES_HuyNV_170920</v>
      </c>
      <c r="R26" s="54" t="str">
        <f>IFERROR(__xludf.DUMMYFUNCTION("""COMPUTED_VALUE"""),"NEW_Taiwan_1865_none_170920")</f>
        <v>NEW_Taiwan_1865_none_170920</v>
      </c>
      <c r="S26" s="54" t="str">
        <f>IFERROR(__xludf.DUMMYFUNCTION("""COMPUTED_VALUE"""),"saletructiep_Taiwan.TAGT1K1.AnhXQG_TAGTTDP_LD004")</f>
        <v>saletructiep_Taiwan.TAGT1K1.AnhXQG_TAGTTDP_LD004</v>
      </c>
      <c r="T26" s="54"/>
      <c r="U26" s="56"/>
    </row>
    <row r="27">
      <c r="A27" s="57" t="s">
        <v>161</v>
      </c>
      <c r="B27" s="61" t="s">
        <v>166</v>
      </c>
      <c r="C27" s="54" t="str">
        <f>IFERROR(__xludf.DUMMYFUNCTION("""COMPUTED_VALUE"""),"LD005")</f>
        <v>LD005</v>
      </c>
      <c r="D27" s="55" t="s">
        <v>42</v>
      </c>
      <c r="E27" s="55" t="s">
        <v>42</v>
      </c>
      <c r="F27" s="55" t="s">
        <v>112</v>
      </c>
      <c r="G27" s="55">
        <v>1865.0</v>
      </c>
      <c r="H27" s="55" t="s">
        <v>75</v>
      </c>
      <c r="I27" s="55" t="s">
        <v>167</v>
      </c>
      <c r="J27" s="55" t="s">
        <v>167</v>
      </c>
      <c r="K27" s="55" t="s">
        <v>61</v>
      </c>
      <c r="L27" s="55" t="s">
        <v>97</v>
      </c>
      <c r="M27" s="55" t="s">
        <v>168</v>
      </c>
      <c r="N27" s="55" t="s">
        <v>79</v>
      </c>
      <c r="O27" s="55" t="s">
        <v>71</v>
      </c>
      <c r="P27" s="55" t="s">
        <v>110</v>
      </c>
      <c r="Q27" s="54" t="str">
        <f>IFERROR(__xludf.DUMMYFUNCTION("""COMPUTED_VALUE"""),"Canada.H4trungtam.Anhdo_Patado1_MES_HuyNV_170920")</f>
        <v>Canada.H4trungtam.Anhdo_Patado1_MES_HuyNV_170920</v>
      </c>
      <c r="R27" s="54" t="str">
        <f>IFERROR(__xludf.DUMMYFUNCTION("""COMPUTED_VALUE"""),"NEW_Canada_1865_none_170920")</f>
        <v>NEW_Canada_1865_none_170920</v>
      </c>
      <c r="S27" s="54" t="str">
        <f>IFERROR(__xludf.DUMMYFUNCTION("""COMPUTED_VALUE"""),"h4trungtam_Canada.H4trungtam.Anhdo_TAGTTDP_LD005")</f>
        <v>h4trungtam_Canada.H4trungtam.Anhdo_TAGTTDP_LD005</v>
      </c>
      <c r="T27" s="54"/>
      <c r="U27" s="56"/>
    </row>
    <row r="28">
      <c r="A28" s="57" t="s">
        <v>169</v>
      </c>
      <c r="B28" s="61" t="s">
        <v>166</v>
      </c>
      <c r="C28" s="54" t="str">
        <f>IFERROR(__xludf.DUMMYFUNCTION("""COMPUTED_VALUE"""),"LD005")</f>
        <v>LD005</v>
      </c>
      <c r="D28" s="55" t="s">
        <v>42</v>
      </c>
      <c r="E28" s="55" t="s">
        <v>42</v>
      </c>
      <c r="F28" s="55" t="s">
        <v>119</v>
      </c>
      <c r="G28" s="55">
        <v>1865.0</v>
      </c>
      <c r="H28" s="55" t="s">
        <v>75</v>
      </c>
      <c r="I28" s="55" t="s">
        <v>170</v>
      </c>
      <c r="J28" s="55" t="s">
        <v>170</v>
      </c>
      <c r="K28" s="55" t="s">
        <v>61</v>
      </c>
      <c r="L28" s="55" t="s">
        <v>97</v>
      </c>
      <c r="M28" s="55" t="s">
        <v>168</v>
      </c>
      <c r="N28" s="55" t="s">
        <v>79</v>
      </c>
      <c r="O28" s="55" t="s">
        <v>71</v>
      </c>
      <c r="P28" s="55" t="s">
        <v>110</v>
      </c>
      <c r="Q28" s="54" t="str">
        <f>IFERROR(__xludf.DUMMYFUNCTION("""COMPUTED_VALUE"""),"NewZealand.H4trungtam.Anhdo_Patado1_MES_HuyNV_190920")</f>
        <v>NewZealand.H4trungtam.Anhdo_Patado1_MES_HuyNV_190920</v>
      </c>
      <c r="R28" s="54" t="str">
        <f>IFERROR(__xludf.DUMMYFUNCTION("""COMPUTED_VALUE"""),"NEW_NewZealand_1865_none_190920")</f>
        <v>NEW_NewZealand_1865_none_190920</v>
      </c>
      <c r="S28" s="54" t="str">
        <f>IFERROR(__xludf.DUMMYFUNCTION("""COMPUTED_VALUE"""),"h4trungtam_NewZealand.H4trungtam.Anhdo_TAGTTDP_LD005")</f>
        <v>h4trungtam_NewZealand.H4trungtam.Anhdo_TAGTTDP_LD005</v>
      </c>
      <c r="T28" s="54"/>
      <c r="U28" s="56"/>
    </row>
    <row r="29">
      <c r="A29" s="57" t="s">
        <v>173</v>
      </c>
      <c r="B29" s="61" t="s">
        <v>166</v>
      </c>
      <c r="C29" s="54" t="str">
        <f>IFERROR(__xludf.DUMMYFUNCTION("""COMPUTED_VALUE"""),"LD005")</f>
        <v>LD005</v>
      </c>
      <c r="D29" s="55" t="s">
        <v>42</v>
      </c>
      <c r="E29" s="55" t="s">
        <v>42</v>
      </c>
      <c r="F29" s="55" t="s">
        <v>174</v>
      </c>
      <c r="G29" s="55">
        <v>1865.0</v>
      </c>
      <c r="H29" s="55" t="s">
        <v>75</v>
      </c>
      <c r="I29" s="55" t="s">
        <v>175</v>
      </c>
      <c r="J29" s="55" t="s">
        <v>175</v>
      </c>
      <c r="K29" s="55" t="s">
        <v>61</v>
      </c>
      <c r="L29" s="55" t="s">
        <v>97</v>
      </c>
      <c r="M29" s="55" t="s">
        <v>78</v>
      </c>
      <c r="N29" s="55" t="s">
        <v>79</v>
      </c>
      <c r="O29" s="55" t="s">
        <v>71</v>
      </c>
      <c r="P29" s="55" t="s">
        <v>110</v>
      </c>
      <c r="Q29" s="54" t="str">
        <f>IFERROR(__xludf.DUMMYFUNCTION("""COMPUTED_VALUE"""),"Philippines.AnhBiQuyet_Patado1_MES_HuyNV_260920")</f>
        <v>Philippines.AnhBiQuyet_Patado1_MES_HuyNV_260920</v>
      </c>
      <c r="R29" s="54" t="str">
        <f>IFERROR(__xludf.DUMMYFUNCTION("""COMPUTED_VALUE"""),"NEW_Philippines_1865_none_260920")</f>
        <v>NEW_Philippines_1865_none_260920</v>
      </c>
      <c r="S29" s="54" t="str">
        <f>IFERROR(__xludf.DUMMYFUNCTION("""COMPUTED_VALUE"""),"saletructiep_Philippines.AnhBiQuyet_TAGTTDP_LD005")</f>
        <v>saletructiep_Philippines.AnhBiQuyet_TAGTTDP_LD005</v>
      </c>
      <c r="T29" s="54"/>
      <c r="U29" s="56"/>
    </row>
    <row r="30">
      <c r="A30" s="57" t="s">
        <v>176</v>
      </c>
      <c r="B30" s="61" t="s">
        <v>166</v>
      </c>
      <c r="C30" s="54" t="str">
        <f>IFERROR(__xludf.DUMMYFUNCTION("""COMPUTED_VALUE"""),"LD005")</f>
        <v>LD005</v>
      </c>
      <c r="D30" s="55" t="s">
        <v>42</v>
      </c>
      <c r="E30" s="55" t="s">
        <v>42</v>
      </c>
      <c r="F30" s="55" t="s">
        <v>107</v>
      </c>
      <c r="G30" s="55">
        <v>2065.0</v>
      </c>
      <c r="H30" s="55" t="s">
        <v>75</v>
      </c>
      <c r="I30" s="55" t="s">
        <v>177</v>
      </c>
      <c r="J30" s="55" t="s">
        <v>177</v>
      </c>
      <c r="K30" s="55" t="s">
        <v>61</v>
      </c>
      <c r="L30" s="55" t="s">
        <v>97</v>
      </c>
      <c r="M30" s="55" t="s">
        <v>78</v>
      </c>
      <c r="N30" s="55" t="s">
        <v>79</v>
      </c>
      <c r="O30" s="55" t="s">
        <v>71</v>
      </c>
      <c r="P30" s="55" t="s">
        <v>110</v>
      </c>
      <c r="Q30" s="54" t="str">
        <f>IFERROR(__xludf.DUMMYFUNCTION("""COMPUTED_VALUE"""),"UnitedStates.AnhNoiTANhuGio.ANTN_Patado1_MES_HuyNV_290920")</f>
        <v>UnitedStates.AnhNoiTANhuGio.ANTN_Patado1_MES_HuyNV_290920</v>
      </c>
      <c r="R30" s="54" t="str">
        <f>IFERROR(__xludf.DUMMYFUNCTION("""COMPUTED_VALUE"""),"NEW_UnitedStates_2065_none_290920")</f>
        <v>NEW_UnitedStates_2065_none_290920</v>
      </c>
      <c r="S30" s="54" t="str">
        <f>IFERROR(__xludf.DUMMYFUNCTION("""COMPUTED_VALUE"""),"saletructiep_UnitedStates.AnhNoiTANhuGio.ANTN_TAGTTDP_LD005")</f>
        <v>saletructiep_UnitedStates.AnhNoiTANhuGio.ANTN_TAGTTDP_LD005</v>
      </c>
      <c r="T30" s="54"/>
      <c r="U30" s="56"/>
    </row>
    <row r="31">
      <c r="A31" s="57" t="s">
        <v>178</v>
      </c>
      <c r="B31" s="61" t="s">
        <v>166</v>
      </c>
      <c r="C31" s="54" t="str">
        <f>IFERROR(__xludf.DUMMYFUNCTION("""COMPUTED_VALUE"""),"LD005")</f>
        <v>LD005</v>
      </c>
      <c r="D31" s="55" t="s">
        <v>42</v>
      </c>
      <c r="E31" s="55" t="s">
        <v>42</v>
      </c>
      <c r="F31" s="55" t="s">
        <v>119</v>
      </c>
      <c r="G31" s="55">
        <v>1865.0</v>
      </c>
      <c r="H31" s="55" t="s">
        <v>75</v>
      </c>
      <c r="I31" s="55" t="s">
        <v>180</v>
      </c>
      <c r="J31" s="55" t="s">
        <v>180</v>
      </c>
      <c r="K31" s="73" t="s">
        <v>61</v>
      </c>
      <c r="L31" s="55" t="s">
        <v>66</v>
      </c>
      <c r="M31" s="55" t="s">
        <v>78</v>
      </c>
      <c r="N31" s="55" t="s">
        <v>79</v>
      </c>
      <c r="O31" s="55" t="s">
        <v>71</v>
      </c>
      <c r="P31" s="55" t="s">
        <v>110</v>
      </c>
      <c r="Q31" s="54" t="str">
        <f>IFERROR(__xludf.DUMMYFUNCTION("""COMPUTED_VALUE"""),"NewZealand.AnhNoiTANhuGio_PDK_MES_HuyNV_021020")</f>
        <v>NewZealand.AnhNoiTANhuGio_PDK_MES_HuyNV_021020</v>
      </c>
      <c r="R31" s="54" t="str">
        <f>IFERROR(__xludf.DUMMYFUNCTION("""COMPUTED_VALUE"""),"NEW_NewZealand_1865_none_021020")</f>
        <v>NEW_NewZealand_1865_none_021020</v>
      </c>
      <c r="S31" s="54" t="str">
        <f>IFERROR(__xludf.DUMMYFUNCTION("""COMPUTED_VALUE"""),"saletructiep_NewZealand.AnhNoiTANhuGio_TAGTTDP_LD005")</f>
        <v>saletructiep_NewZealand.AnhNoiTANhuGio_TAGTTDP_LD005</v>
      </c>
      <c r="T31" s="54"/>
      <c r="U31" s="56"/>
    </row>
    <row r="32">
      <c r="A32" s="57" t="s">
        <v>181</v>
      </c>
      <c r="B32" s="61" t="s">
        <v>166</v>
      </c>
      <c r="C32" s="54" t="str">
        <f>IFERROR(__xludf.DUMMYFUNCTION("""COMPUTED_VALUE"""),"LD005")</f>
        <v>LD005</v>
      </c>
      <c r="D32" s="55" t="s">
        <v>42</v>
      </c>
      <c r="E32" s="55" t="s">
        <v>42</v>
      </c>
      <c r="F32" s="55" t="s">
        <v>182</v>
      </c>
      <c r="G32" s="55">
        <v>1865.0</v>
      </c>
      <c r="H32" s="55" t="s">
        <v>75</v>
      </c>
      <c r="I32" s="55" t="s">
        <v>183</v>
      </c>
      <c r="J32" s="55" t="s">
        <v>183</v>
      </c>
      <c r="K32" s="73" t="s">
        <v>61</v>
      </c>
      <c r="L32" s="55" t="s">
        <v>97</v>
      </c>
      <c r="M32" s="55" t="s">
        <v>78</v>
      </c>
      <c r="N32" s="55" t="s">
        <v>79</v>
      </c>
      <c r="O32" s="55" t="s">
        <v>71</v>
      </c>
      <c r="P32" s="55" t="s">
        <v>110</v>
      </c>
      <c r="Q32" s="54" t="str">
        <f>IFERROR(__xludf.DUMMYFUNCTION("""COMPUTED_VALUE"""),"Malaysia.AnhBiQuyet_Patado1_MES_HuyNV_071020")</f>
        <v>Malaysia.AnhBiQuyet_Patado1_MES_HuyNV_071020</v>
      </c>
      <c r="R32" s="54" t="str">
        <f>IFERROR(__xludf.DUMMYFUNCTION("""COMPUTED_VALUE"""),"NEW_Malaysia_1865_none_071020")</f>
        <v>NEW_Malaysia_1865_none_071020</v>
      </c>
      <c r="S32" s="54" t="str">
        <f>IFERROR(__xludf.DUMMYFUNCTION("""COMPUTED_VALUE"""),"saletructiep_Malaysia.AnhBiQuyet_TAGTTDP_LD005")</f>
        <v>saletructiep_Malaysia.AnhBiQuyet_TAGTTDP_LD005</v>
      </c>
      <c r="T32" s="54"/>
      <c r="U32" s="56"/>
    </row>
    <row r="33">
      <c r="A33" s="57" t="s">
        <v>181</v>
      </c>
      <c r="B33" s="61" t="s">
        <v>99</v>
      </c>
      <c r="C33" s="54" t="str">
        <f>IFERROR(__xludf.DUMMYFUNCTION("""COMPUTED_VALUE"""),"LD004")</f>
        <v>LD004</v>
      </c>
      <c r="D33" s="55" t="s">
        <v>42</v>
      </c>
      <c r="E33" s="55" t="s">
        <v>42</v>
      </c>
      <c r="F33" s="55" t="s">
        <v>185</v>
      </c>
      <c r="G33" s="55">
        <v>2565.0</v>
      </c>
      <c r="H33" s="55" t="s">
        <v>75</v>
      </c>
      <c r="I33" s="55" t="s">
        <v>186</v>
      </c>
      <c r="J33" s="73" t="s">
        <v>186</v>
      </c>
      <c r="K33" s="73" t="s">
        <v>61</v>
      </c>
      <c r="L33" s="55" t="s">
        <v>66</v>
      </c>
      <c r="M33" s="55" t="s">
        <v>78</v>
      </c>
      <c r="N33" s="55" t="s">
        <v>79</v>
      </c>
      <c r="O33" s="55" t="s">
        <v>71</v>
      </c>
      <c r="P33" s="55" t="s">
        <v>110</v>
      </c>
      <c r="Q33" s="54" t="str">
        <f>IFERROR(__xludf.DUMMYFUNCTION("""COMPUTED_VALUE"""),"VietNam.AnhBiQuyet_PDK_MES_HuyNV_071020")</f>
        <v>VietNam.AnhBiQuyet_PDK_MES_HuyNV_071020</v>
      </c>
      <c r="R33" s="54" t="str">
        <f>IFERROR(__xludf.DUMMYFUNCTION("""COMPUTED_VALUE"""),"NEW_VietNam_2565_none_071020")</f>
        <v>NEW_VietNam_2565_none_071020</v>
      </c>
      <c r="S33" s="54" t="str">
        <f>IFERROR(__xludf.DUMMYFUNCTION("""COMPUTED_VALUE"""),"saletructiep_VietNam.AnhBiQuyet_TAGTTDP_LD004")</f>
        <v>saletructiep_VietNam.AnhBiQuyet_TAGTTDP_LD004</v>
      </c>
      <c r="T33" s="54"/>
      <c r="U33" s="56"/>
    </row>
    <row r="34">
      <c r="A34" s="57" t="s">
        <v>187</v>
      </c>
      <c r="B34" s="61" t="s">
        <v>80</v>
      </c>
      <c r="C34" s="54" t="str">
        <f>IFERROR(__xludf.DUMMYFUNCTION("""COMPUTED_VALUE"""),"LD003")</f>
        <v>LD003</v>
      </c>
      <c r="D34" s="55" t="s">
        <v>188</v>
      </c>
      <c r="E34" s="55" t="s">
        <v>189</v>
      </c>
      <c r="F34" s="55" t="s">
        <v>185</v>
      </c>
      <c r="G34" s="55">
        <v>1865.0</v>
      </c>
      <c r="H34" s="55" t="s">
        <v>190</v>
      </c>
      <c r="I34" s="55" t="s">
        <v>191</v>
      </c>
      <c r="J34" s="55" t="s">
        <v>192</v>
      </c>
      <c r="K34" s="55" t="s">
        <v>192</v>
      </c>
      <c r="L34" s="55" t="s">
        <v>97</v>
      </c>
      <c r="M34" s="55" t="s">
        <v>78</v>
      </c>
      <c r="N34" s="55" t="s">
        <v>193</v>
      </c>
      <c r="O34" s="55" t="s">
        <v>71</v>
      </c>
      <c r="P34" s="55" t="s">
        <v>110</v>
      </c>
      <c r="Q34" s="54" t="str">
        <f>IFERROR(__xludf.DUMMYFUNCTION("""COMPUTED_VALUE"""),"IELTS_Patado1_SEA_BaDT_020820")</f>
        <v>IELTS_Patado1_SEA_BaDT_020820</v>
      </c>
      <c r="R34" s="54" t="str">
        <f>IFERROR(__xludf.DUMMYFUNCTION("""COMPUTED_VALUE"""),"NEW_VietNam_1865_abc_020820")</f>
        <v>NEW_VietNam_1865_abc_020820</v>
      </c>
      <c r="S34" s="54" t="str">
        <f>IFERROR(__xludf.DUMMYFUNCTION("""COMPUTED_VALUE"""),"saletructiep_abc_TAGTTDP_LD003")</f>
        <v>saletructiep_abc_TAGTTDP_LD003</v>
      </c>
      <c r="T34" s="60" t="s">
        <v>194</v>
      </c>
      <c r="U34" s="56"/>
    </row>
    <row r="35">
      <c r="A35" s="57" t="s">
        <v>196</v>
      </c>
      <c r="B35" s="61" t="s">
        <v>166</v>
      </c>
      <c r="C35" s="54" t="str">
        <f>IFERROR(__xludf.DUMMYFUNCTION("""COMPUTED_VALUE"""),"LD005")</f>
        <v>LD005</v>
      </c>
      <c r="D35" s="55" t="s">
        <v>42</v>
      </c>
      <c r="E35" s="55" t="s">
        <v>79</v>
      </c>
      <c r="F35" s="55" t="s">
        <v>164</v>
      </c>
      <c r="G35" s="55">
        <v>1865.0</v>
      </c>
      <c r="H35" s="55" t="s">
        <v>75</v>
      </c>
      <c r="I35" s="55" t="s">
        <v>165</v>
      </c>
      <c r="J35" s="55" t="s">
        <v>165</v>
      </c>
      <c r="K35" s="73" t="s">
        <v>61</v>
      </c>
      <c r="L35" s="55" t="s">
        <v>66</v>
      </c>
      <c r="M35" s="55" t="s">
        <v>78</v>
      </c>
      <c r="N35" s="55" t="s">
        <v>79</v>
      </c>
      <c r="O35" s="55" t="s">
        <v>197</v>
      </c>
      <c r="P35" s="55" t="s">
        <v>110</v>
      </c>
      <c r="Q35" s="54" t="str">
        <f>IFERROR(__xludf.DUMMYFUNCTION("""COMPUTED_VALUE"""),"Taiwan.TAGT1K1.AnhXQG_PDK_MES_HuyNV_081020")</f>
        <v>Taiwan.TAGT1K1.AnhXQG_PDK_MES_HuyNV_081020</v>
      </c>
      <c r="R35" s="54" t="str">
        <f>IFERROR(__xludf.DUMMYFUNCTION("""COMPUTED_VALUE"""),"NEW_Taiwan_1865_none_081020")</f>
        <v>NEW_Taiwan_1865_none_081020</v>
      </c>
      <c r="S35" s="54" t="str">
        <f>IFERROR(__xludf.DUMMYFUNCTION("""COMPUTED_VALUE"""),"saletructiep_Taiwan.TAGT1K1.AnhXQG_TADD_LD005")</f>
        <v>saletructiep_Taiwan.TAGT1K1.AnhXQG_TADD_LD005</v>
      </c>
      <c r="T35" s="54"/>
      <c r="U35" s="56"/>
    </row>
    <row r="36">
      <c r="A36" s="57" t="s">
        <v>196</v>
      </c>
      <c r="B36" s="61" t="s">
        <v>166</v>
      </c>
      <c r="C36" s="54" t="str">
        <f>IFERROR(__xludf.DUMMYFUNCTION("""COMPUTED_VALUE"""),"LD005")</f>
        <v>LD005</v>
      </c>
      <c r="D36" s="55" t="s">
        <v>42</v>
      </c>
      <c r="E36" s="55" t="s">
        <v>79</v>
      </c>
      <c r="F36" s="55" t="s">
        <v>107</v>
      </c>
      <c r="G36" s="55">
        <v>2565.0</v>
      </c>
      <c r="H36" s="55" t="s">
        <v>75</v>
      </c>
      <c r="I36" s="55" t="s">
        <v>198</v>
      </c>
      <c r="J36" s="73" t="s">
        <v>198</v>
      </c>
      <c r="K36" s="73" t="s">
        <v>61</v>
      </c>
      <c r="L36" s="55" t="s">
        <v>66</v>
      </c>
      <c r="M36" s="55" t="s">
        <v>78</v>
      </c>
      <c r="N36" s="55" t="s">
        <v>79</v>
      </c>
      <c r="O36" s="55" t="s">
        <v>197</v>
      </c>
      <c r="P36" s="55" t="s">
        <v>110</v>
      </c>
      <c r="Q36" s="54" t="str">
        <f>IFERROR(__xludf.DUMMYFUNCTION("""COMPUTED_VALUE"""),"UnitedStates.Video1Kem1_PDK_MES_HuyNV_081020")</f>
        <v>UnitedStates.Video1Kem1_PDK_MES_HuyNV_081020</v>
      </c>
      <c r="R36" s="54" t="str">
        <f>IFERROR(__xludf.DUMMYFUNCTION("""COMPUTED_VALUE"""),"NEW_UnitedStates_2565_none_081020")</f>
        <v>NEW_UnitedStates_2565_none_081020</v>
      </c>
      <c r="S36" s="54" t="str">
        <f>IFERROR(__xludf.DUMMYFUNCTION("""COMPUTED_VALUE"""),"saletructiep_UnitedStates.Video1Kem1_TADD_LD005")</f>
        <v>saletructiep_UnitedStates.Video1Kem1_TADD_LD005</v>
      </c>
      <c r="T36" s="54"/>
      <c r="U36" s="56"/>
    </row>
    <row r="37">
      <c r="A37" s="57" t="s">
        <v>196</v>
      </c>
      <c r="B37" s="61" t="s">
        <v>99</v>
      </c>
      <c r="C37" s="54" t="str">
        <f>IFERROR(__xludf.DUMMYFUNCTION("""COMPUTED_VALUE"""),"LD004")</f>
        <v>LD004</v>
      </c>
      <c r="D37" s="55" t="s">
        <v>42</v>
      </c>
      <c r="E37" s="55" t="s">
        <v>79</v>
      </c>
      <c r="F37" s="55" t="s">
        <v>199</v>
      </c>
      <c r="G37" s="55">
        <v>2565.0</v>
      </c>
      <c r="H37" s="55" t="s">
        <v>75</v>
      </c>
      <c r="I37" s="55" t="s">
        <v>186</v>
      </c>
      <c r="J37" s="55" t="s">
        <v>186</v>
      </c>
      <c r="K37" s="73" t="s">
        <v>61</v>
      </c>
      <c r="L37" s="55" t="s">
        <v>66</v>
      </c>
      <c r="M37" s="55" t="s">
        <v>78</v>
      </c>
      <c r="N37" s="55" t="s">
        <v>79</v>
      </c>
      <c r="O37" s="55" t="s">
        <v>197</v>
      </c>
      <c r="P37" s="55" t="s">
        <v>110</v>
      </c>
      <c r="Q37" s="54" t="str">
        <f>IFERROR(__xludf.DUMMYFUNCTION("""COMPUTED_VALUE"""),"VietNam.AnhBiQuyet_PDK_MES_HuyNV_081020")</f>
        <v>VietNam.AnhBiQuyet_PDK_MES_HuyNV_081020</v>
      </c>
      <c r="R37" s="54" t="str">
        <f>IFERROR(__xludf.DUMMYFUNCTION("""COMPUTED_VALUE"""),"NEW_Vietnam_2565_none_081020")</f>
        <v>NEW_Vietnam_2565_none_081020</v>
      </c>
      <c r="S37" s="54" t="str">
        <f>IFERROR(__xludf.DUMMYFUNCTION("""COMPUTED_VALUE"""),"saletructiep_VietNam.AnhBiQuyet_TADD_LD004")</f>
        <v>saletructiep_VietNam.AnhBiQuyet_TADD_LD004</v>
      </c>
      <c r="T37" s="54"/>
      <c r="U37" s="56"/>
    </row>
    <row r="38">
      <c r="A38" s="57" t="s">
        <v>196</v>
      </c>
      <c r="B38" s="61" t="s">
        <v>166</v>
      </c>
      <c r="C38" s="54" t="str">
        <f>IFERROR(__xludf.DUMMYFUNCTION("""COMPUTED_VALUE"""),"LD005")</f>
        <v>LD005</v>
      </c>
      <c r="D38" s="55" t="s">
        <v>42</v>
      </c>
      <c r="E38" s="55" t="s">
        <v>79</v>
      </c>
      <c r="F38" s="55" t="s">
        <v>133</v>
      </c>
      <c r="G38" s="55">
        <v>1865.0</v>
      </c>
      <c r="H38" s="55" t="s">
        <v>75</v>
      </c>
      <c r="I38" s="55" t="s">
        <v>201</v>
      </c>
      <c r="J38" s="55" t="s">
        <v>201</v>
      </c>
      <c r="K38" s="73" t="s">
        <v>61</v>
      </c>
      <c r="L38" s="55" t="s">
        <v>66</v>
      </c>
      <c r="M38" s="55" t="s">
        <v>78</v>
      </c>
      <c r="N38" s="55" t="s">
        <v>79</v>
      </c>
      <c r="O38" s="55" t="s">
        <v>197</v>
      </c>
      <c r="P38" s="55" t="s">
        <v>110</v>
      </c>
      <c r="Q38" s="54" t="str">
        <f>IFERROR(__xludf.DUMMYFUNCTION("""COMPUTED_VALUE"""),"Japan.AnhBiQuyet_PDK_MES_HuyNV_081020")</f>
        <v>Japan.AnhBiQuyet_PDK_MES_HuyNV_081020</v>
      </c>
      <c r="R38" s="54" t="str">
        <f>IFERROR(__xludf.DUMMYFUNCTION("""COMPUTED_VALUE"""),"NEW_Japan_1865_none_081020")</f>
        <v>NEW_Japan_1865_none_081020</v>
      </c>
      <c r="S38" s="54" t="str">
        <f>IFERROR(__xludf.DUMMYFUNCTION("""COMPUTED_VALUE"""),"saletructiep_Japan.AnhBiQuyet_TADD_LD005")</f>
        <v>saletructiep_Japan.AnhBiQuyet_TADD_LD005</v>
      </c>
      <c r="T38" s="54"/>
      <c r="U38" s="56"/>
    </row>
    <row r="39">
      <c r="A39" s="57" t="s">
        <v>196</v>
      </c>
      <c r="B39" s="61" t="s">
        <v>99</v>
      </c>
      <c r="C39" s="54" t="str">
        <f>IFERROR(__xludf.DUMMYFUNCTION("""COMPUTED_VALUE"""),"LD004")</f>
        <v>LD004</v>
      </c>
      <c r="D39" s="55" t="s">
        <v>42</v>
      </c>
      <c r="E39" s="55" t="s">
        <v>69</v>
      </c>
      <c r="F39" s="55" t="s">
        <v>199</v>
      </c>
      <c r="G39" s="55">
        <v>1865.0</v>
      </c>
      <c r="H39" s="55" t="s">
        <v>75</v>
      </c>
      <c r="I39" s="55" t="s">
        <v>202</v>
      </c>
      <c r="J39" s="55" t="s">
        <v>203</v>
      </c>
      <c r="K39" s="73" t="s">
        <v>61</v>
      </c>
      <c r="L39" s="55" t="s">
        <v>97</v>
      </c>
      <c r="M39" s="55" t="s">
        <v>78</v>
      </c>
      <c r="N39" s="55" t="s">
        <v>69</v>
      </c>
      <c r="O39" s="55" t="s">
        <v>197</v>
      </c>
      <c r="P39" s="55" t="s">
        <v>110</v>
      </c>
      <c r="Q39" s="54" t="str">
        <f>IFERROR(__xludf.DUMMYFUNCTION("""COMPUTED_VALUE"""),"VietNam.Video1Kem1_Patado1_CVS_HuyNV_081020")</f>
        <v>VietNam.Video1Kem1_Patado1_CVS_HuyNV_081020</v>
      </c>
      <c r="R39" s="54" t="str">
        <f>IFERROR(__xludf.DUMMYFUNCTION("""COMPUTED_VALUE"""),"NEW_Vietnam_1865_none_081020")</f>
        <v>NEW_Vietnam_1865_none_081020</v>
      </c>
      <c r="S39" s="54" t="str">
        <f>IFERROR(__xludf.DUMMYFUNCTION("""COMPUTED_VALUE"""),"saletructiep_VietNam.KHTAGT1Kem1_TADD_LD004")</f>
        <v>saletructiep_VietNam.KHTAGT1Kem1_TADD_LD004</v>
      </c>
      <c r="T39" s="54"/>
      <c r="U39" s="56"/>
    </row>
    <row r="40">
      <c r="A40" s="57" t="s">
        <v>196</v>
      </c>
      <c r="B40" s="61" t="s">
        <v>166</v>
      </c>
      <c r="C40" s="54" t="str">
        <f>IFERROR(__xludf.DUMMYFUNCTION("""COMPUTED_VALUE"""),"LD005")</f>
        <v>LD005</v>
      </c>
      <c r="D40" s="55" t="s">
        <v>42</v>
      </c>
      <c r="E40" s="55" t="s">
        <v>79</v>
      </c>
      <c r="F40" s="55" t="s">
        <v>107</v>
      </c>
      <c r="G40" s="55">
        <v>1865.0</v>
      </c>
      <c r="H40" s="55" t="s">
        <v>75</v>
      </c>
      <c r="I40" s="55" t="s">
        <v>155</v>
      </c>
      <c r="J40" s="55" t="s">
        <v>155</v>
      </c>
      <c r="K40" s="73" t="s">
        <v>61</v>
      </c>
      <c r="L40" s="55" t="s">
        <v>97</v>
      </c>
      <c r="M40" s="55" t="s">
        <v>78</v>
      </c>
      <c r="N40" s="55" t="s">
        <v>79</v>
      </c>
      <c r="O40" s="55" t="s">
        <v>197</v>
      </c>
      <c r="P40" s="55" t="s">
        <v>110</v>
      </c>
      <c r="Q40" s="54" t="str">
        <f>IFERROR(__xludf.DUMMYFUNCTION("""COMPUTED_VALUE"""),"UnitedStates.KBTA.1AnhGlobal_Patado1_MES_HuyNV_081020")</f>
        <v>UnitedStates.KBTA.1AnhGlobal_Patado1_MES_HuyNV_081020</v>
      </c>
      <c r="R40" s="54" t="str">
        <f>IFERROR(__xludf.DUMMYFUNCTION("""COMPUTED_VALUE"""),"NEW_UnitedStates_1865_none_081020")</f>
        <v>NEW_UnitedStates_1865_none_081020</v>
      </c>
      <c r="S40" s="54" t="str">
        <f>IFERROR(__xludf.DUMMYFUNCTION("""COMPUTED_VALUE"""),"saletructiep_UnitedStates.KBTA.1AnhGlobal_TADD_LD005")</f>
        <v>saletructiep_UnitedStates.KBTA.1AnhGlobal_TADD_LD005</v>
      </c>
      <c r="T40" s="54"/>
      <c r="U40" s="56"/>
    </row>
    <row r="41">
      <c r="A41" s="57" t="s">
        <v>204</v>
      </c>
      <c r="B41" s="61" t="s">
        <v>205</v>
      </c>
      <c r="C41" s="54" t="str">
        <f>IFERROR(__xludf.DUMMYFUNCTION("""COMPUTED_VALUE"""),"LD010")</f>
        <v>LD010</v>
      </c>
      <c r="D41" s="55" t="s">
        <v>188</v>
      </c>
      <c r="E41" s="55" t="s">
        <v>207</v>
      </c>
      <c r="F41" s="55" t="s">
        <v>199</v>
      </c>
      <c r="G41" s="55">
        <v>1865.0</v>
      </c>
      <c r="H41" s="55" t="s">
        <v>190</v>
      </c>
      <c r="I41" s="55" t="s">
        <v>208</v>
      </c>
      <c r="J41" s="55" t="s">
        <v>209</v>
      </c>
      <c r="K41" s="55" t="s">
        <v>61</v>
      </c>
      <c r="L41" s="55" t="s">
        <v>97</v>
      </c>
      <c r="M41" s="55" t="s">
        <v>78</v>
      </c>
      <c r="N41" s="55" t="s">
        <v>210</v>
      </c>
      <c r="O41" s="55" t="s">
        <v>71</v>
      </c>
      <c r="P41" s="55" t="s">
        <v>72</v>
      </c>
      <c r="Q41" s="54" t="str">
        <f>IFERROR(__xludf.DUMMYFUNCTION("""COMPUTED_VALUE"""),"Retargeting_Patado1_DIS_BaDT_121020")</f>
        <v>Retargeting_Patado1_DIS_BaDT_121020</v>
      </c>
      <c r="R41" s="54" t="str">
        <f>IFERROR(__xludf.DUMMYFUNCTION("""COMPUTED_VALUE"""),"RMK_Vietnam_1865_none_121020")</f>
        <v>RMK_Vietnam_1865_none_121020</v>
      </c>
      <c r="S41" s="54" t="str">
        <f>IFERROR(__xludf.DUMMYFUNCTION("""COMPUTED_VALUE"""),"saletructiep_HocTiengAnhTrucTuyen1kem1_TAGTTDP_LD010")</f>
        <v>saletructiep_HocTiengAnhTrucTuyen1kem1_TAGTTDP_LD010</v>
      </c>
      <c r="T41" s="54"/>
      <c r="U41" s="56"/>
    </row>
    <row r="42">
      <c r="A42" s="57" t="s">
        <v>211</v>
      </c>
      <c r="B42" s="61" t="s">
        <v>80</v>
      </c>
      <c r="C42" s="54" t="str">
        <f>IFERROR(__xludf.DUMMYFUNCTION("""COMPUTED_VALUE"""),"LD003")</f>
        <v>LD003</v>
      </c>
      <c r="D42" s="55" t="s">
        <v>212</v>
      </c>
      <c r="E42" s="55" t="s">
        <v>213</v>
      </c>
      <c r="F42" s="55" t="s">
        <v>61</v>
      </c>
      <c r="G42" s="55">
        <v>1865.0</v>
      </c>
      <c r="H42" s="55" t="s">
        <v>214</v>
      </c>
      <c r="I42" s="55" t="s">
        <v>61</v>
      </c>
      <c r="J42" s="55" t="s">
        <v>61</v>
      </c>
      <c r="K42" s="55" t="s">
        <v>61</v>
      </c>
      <c r="L42" s="55" t="s">
        <v>61</v>
      </c>
      <c r="M42" s="55" t="s">
        <v>61</v>
      </c>
      <c r="N42" s="55" t="s">
        <v>213</v>
      </c>
      <c r="O42" s="55" t="s">
        <v>61</v>
      </c>
      <c r="P42" s="55" t="s">
        <v>61</v>
      </c>
      <c r="Q42" s="54" t="str">
        <f>IFERROR(__xludf.DUMMYFUNCTION("""COMPUTED_VALUE"""),"none_none_SEO_TuanTQ_151020")</f>
        <v>none_none_SEO_TuanTQ_151020</v>
      </c>
      <c r="R42" s="54" t="str">
        <f>IFERROR(__xludf.DUMMYFUNCTION("""COMPUTED_VALUE"""),"none_none_1865_none_151020")</f>
        <v>none_none_1865_none_151020</v>
      </c>
      <c r="S42" s="54" t="str">
        <f>IFERROR(__xludf.DUMMYFUNCTION("""COMPUTED_VALUE"""),"none_none_none_LD003")</f>
        <v>none_none_none_LD003</v>
      </c>
      <c r="T42" s="71"/>
      <c r="U42" s="56"/>
    </row>
    <row r="43">
      <c r="A43" s="57" t="s">
        <v>215</v>
      </c>
      <c r="B43" s="61" t="s">
        <v>166</v>
      </c>
      <c r="C43" s="54" t="str">
        <f>IFERROR(__xludf.DUMMYFUNCTION("""COMPUTED_VALUE"""),"LD005")</f>
        <v>LD005</v>
      </c>
      <c r="D43" s="55" t="s">
        <v>42</v>
      </c>
      <c r="E43" s="55" t="s">
        <v>79</v>
      </c>
      <c r="F43" s="55" t="s">
        <v>107</v>
      </c>
      <c r="G43" s="55">
        <v>2565.0</v>
      </c>
      <c r="H43" s="55" t="s">
        <v>75</v>
      </c>
      <c r="I43" s="55" t="s">
        <v>216</v>
      </c>
      <c r="J43" s="55" t="s">
        <v>216</v>
      </c>
      <c r="K43" s="55" t="s">
        <v>61</v>
      </c>
      <c r="L43" s="55" t="s">
        <v>217</v>
      </c>
      <c r="M43" s="55" t="s">
        <v>78</v>
      </c>
      <c r="N43" s="55" t="s">
        <v>79</v>
      </c>
      <c r="O43" s="55" t="s">
        <v>218</v>
      </c>
      <c r="P43" s="55" t="s">
        <v>110</v>
      </c>
      <c r="Q43" s="54" t="str">
        <f>IFERROR(__xludf.DUMMYFUNCTION("""COMPUTED_VALUE"""),"UnitedStates.AnhGlobal.PTATTNDL_PTV.9355_MES_HuyNV_031120")</f>
        <v>UnitedStates.AnhGlobal.PTATTNDL_PTV.9355_MES_HuyNV_031120</v>
      </c>
      <c r="R43" s="54" t="str">
        <f>IFERROR(__xludf.DUMMYFUNCTION("""COMPUTED_VALUE"""),"NEW_UnitedStates_2565_none_031120")</f>
        <v>NEW_UnitedStates_2565_none_031120</v>
      </c>
      <c r="S43" s="54" t="str">
        <f>IFERROR(__xludf.DUMMYFUNCTION("""COMPUTED_VALUE"""),"saletructiep_UnitedStates.AnhGlobal.PTATTNDL_PTATTNDL_LD005")</f>
        <v>saletructiep_UnitedStates.AnhGlobal.PTATTNDL_PTATTNDL_LD005</v>
      </c>
      <c r="T43" s="54"/>
      <c r="U43" s="56"/>
    </row>
    <row r="44">
      <c r="A44" s="57" t="s">
        <v>219</v>
      </c>
      <c r="B44" s="61" t="s">
        <v>166</v>
      </c>
      <c r="C44" s="54" t="str">
        <f>IFERROR(__xludf.DUMMYFUNCTION("""COMPUTED_VALUE"""),"LD005")</f>
        <v>LD005</v>
      </c>
      <c r="D44" s="55" t="s">
        <v>42</v>
      </c>
      <c r="E44" s="55" t="s">
        <v>79</v>
      </c>
      <c r="F44" s="55" t="s">
        <v>112</v>
      </c>
      <c r="G44" s="55">
        <v>1865.0</v>
      </c>
      <c r="H44" s="55" t="s">
        <v>75</v>
      </c>
      <c r="I44" s="55" t="s">
        <v>220</v>
      </c>
      <c r="J44" s="55" t="s">
        <v>220</v>
      </c>
      <c r="K44" s="55" t="s">
        <v>61</v>
      </c>
      <c r="L44" s="55" t="s">
        <v>217</v>
      </c>
      <c r="M44" s="55" t="s">
        <v>78</v>
      </c>
      <c r="N44" s="55" t="s">
        <v>79</v>
      </c>
      <c r="O44" s="55" t="s">
        <v>218</v>
      </c>
      <c r="P44" s="55" t="s">
        <v>110</v>
      </c>
      <c r="Q44" s="54" t="str">
        <f>IFERROR(__xludf.DUMMYFUNCTION("""COMPUTED_VALUE"""),"Canada.AnhGlobal.PTATTNDL_PTV.9355_MES_HuyNV_191020")</f>
        <v>Canada.AnhGlobal.PTATTNDL_PTV.9355_MES_HuyNV_191020</v>
      </c>
      <c r="R44" s="54" t="str">
        <f>IFERROR(__xludf.DUMMYFUNCTION("""COMPUTED_VALUE"""),"NEW_Canada_1865_none_191020")</f>
        <v>NEW_Canada_1865_none_191020</v>
      </c>
      <c r="S44" s="54" t="str">
        <f>IFERROR(__xludf.DUMMYFUNCTION("""COMPUTED_VALUE"""),"saletructiep_Canada.AnhGlobal.PTATTNDL_PTATTNDL_LD005")</f>
        <v>saletructiep_Canada.AnhGlobal.PTATTNDL_PTATTNDL_LD005</v>
      </c>
      <c r="T44" s="54"/>
      <c r="U44" s="56"/>
    </row>
    <row r="45">
      <c r="A45" s="57" t="s">
        <v>221</v>
      </c>
      <c r="B45" s="61" t="s">
        <v>166</v>
      </c>
      <c r="C45" s="54" t="str">
        <f>IFERROR(__xludf.DUMMYFUNCTION("""COMPUTED_VALUE"""),"LD005")</f>
        <v>LD005</v>
      </c>
      <c r="D45" s="55" t="s">
        <v>42</v>
      </c>
      <c r="E45" s="55" t="s">
        <v>79</v>
      </c>
      <c r="F45" s="55" t="s">
        <v>119</v>
      </c>
      <c r="G45" s="55">
        <v>2565.0</v>
      </c>
      <c r="H45" s="55" t="s">
        <v>75</v>
      </c>
      <c r="I45" s="55" t="s">
        <v>223</v>
      </c>
      <c r="J45" s="55" t="s">
        <v>223</v>
      </c>
      <c r="K45" s="55" t="s">
        <v>61</v>
      </c>
      <c r="L45" s="55" t="s">
        <v>217</v>
      </c>
      <c r="M45" s="55" t="s">
        <v>78</v>
      </c>
      <c r="N45" s="55" t="s">
        <v>79</v>
      </c>
      <c r="O45" s="55" t="s">
        <v>224</v>
      </c>
      <c r="P45" s="55" t="s">
        <v>110</v>
      </c>
      <c r="Q45" s="54" t="str">
        <f>IFERROR(__xludf.DUMMYFUNCTION("""COMPUTED_VALUE"""),"NewZealand.VIdeo1Kem1_PTV.9355_MES_HuyNV_041120")</f>
        <v>NewZealand.VIdeo1Kem1_PTV.9355_MES_HuyNV_041120</v>
      </c>
      <c r="R45" s="54" t="str">
        <f>IFERROR(__xludf.DUMMYFUNCTION("""COMPUTED_VALUE"""),"NEW_NewZealand_2565_none_041120")</f>
        <v>NEW_NewZealand_2565_none_041120</v>
      </c>
      <c r="S45" s="54" t="str">
        <f>IFERROR(__xludf.DUMMYFUNCTION("""COMPUTED_VALUE"""),"saletructiep_NewZealand.VIdeo1Kem1_PTATT_LD005")</f>
        <v>saletructiep_NewZealand.VIdeo1Kem1_PTATT_LD005</v>
      </c>
      <c r="T45" s="54"/>
      <c r="U45" s="56"/>
    </row>
    <row r="46">
      <c r="A46" s="57" t="s">
        <v>225</v>
      </c>
      <c r="B46" s="61" t="s">
        <v>166</v>
      </c>
      <c r="C46" s="54" t="str">
        <f>IFERROR(__xludf.DUMMYFUNCTION("""COMPUTED_VALUE"""),"LD005")</f>
        <v>LD005</v>
      </c>
      <c r="D46" s="55" t="s">
        <v>42</v>
      </c>
      <c r="E46" s="55" t="s">
        <v>79</v>
      </c>
      <c r="F46" s="55" t="s">
        <v>107</v>
      </c>
      <c r="G46" s="55">
        <v>2565.0</v>
      </c>
      <c r="H46" s="55" t="s">
        <v>75</v>
      </c>
      <c r="I46" s="55" t="s">
        <v>216</v>
      </c>
      <c r="J46" s="55" t="s">
        <v>216</v>
      </c>
      <c r="K46" s="55" t="s">
        <v>61</v>
      </c>
      <c r="L46" s="55" t="s">
        <v>227</v>
      </c>
      <c r="M46" s="55" t="s">
        <v>78</v>
      </c>
      <c r="N46" s="55" t="s">
        <v>79</v>
      </c>
      <c r="O46" s="55" t="s">
        <v>228</v>
      </c>
      <c r="P46" s="55" t="s">
        <v>110</v>
      </c>
      <c r="Q46" s="54" t="str">
        <f>IFERROR(__xludf.DUMMYFUNCTION("""COMPUTED_VALUE"""),"UnitedStates.AnhGlobal.PTATTNDL_AJZianra.9650_MES_HuyNV_071120")</f>
        <v>UnitedStates.AnhGlobal.PTATTNDL_AJZianra.9650_MES_HuyNV_071120</v>
      </c>
      <c r="R46" s="54" t="str">
        <f>IFERROR(__xludf.DUMMYFUNCTION("""COMPUTED_VALUE"""),"NEW_UnitedStates_2565_none_071120")</f>
        <v>NEW_UnitedStates_2565_none_071120</v>
      </c>
      <c r="S46" s="54" t="str">
        <f>IFERROR(__xludf.DUMMYFUNCTION("""COMPUTED_VALUE"""),"saletructiep_UnitedStates.AnhGlobal.PTATTNDL_Pat1TATTTD_LD005")</f>
        <v>saletructiep_UnitedStates.AnhGlobal.PTATTNDL_Pat1TATTTD_LD005</v>
      </c>
      <c r="T46" s="54"/>
      <c r="U46" s="56"/>
    </row>
    <row r="47">
      <c r="A47" s="57" t="s">
        <v>229</v>
      </c>
      <c r="B47" s="61" t="s">
        <v>166</v>
      </c>
      <c r="C47" s="54" t="str">
        <f>IFERROR(__xludf.DUMMYFUNCTION("""COMPUTED_VALUE"""),"LD005")</f>
        <v>LD005</v>
      </c>
      <c r="D47" s="55" t="s">
        <v>42</v>
      </c>
      <c r="E47" s="55" t="s">
        <v>79</v>
      </c>
      <c r="F47" s="55" t="s">
        <v>107</v>
      </c>
      <c r="G47" s="55">
        <v>2565.0</v>
      </c>
      <c r="H47" s="55" t="s">
        <v>75</v>
      </c>
      <c r="I47" s="55" t="s">
        <v>230</v>
      </c>
      <c r="J47" s="55" t="s">
        <v>230</v>
      </c>
      <c r="K47" s="55" t="s">
        <v>61</v>
      </c>
      <c r="L47" s="73" t="s">
        <v>231</v>
      </c>
      <c r="M47" s="55" t="s">
        <v>78</v>
      </c>
      <c r="N47" s="55" t="s">
        <v>79</v>
      </c>
      <c r="O47" s="55" t="s">
        <v>218</v>
      </c>
      <c r="P47" s="55" t="s">
        <v>110</v>
      </c>
      <c r="Q47" s="55" t="str">
        <f>IFERROR(__xludf.DUMMYFUNCTION("""COMPUTED_VALUE"""),"UnitedStates.VIdeo1Kem1.PTATTNDL_Antaiam.4982_MES_HuyNV_091120")</f>
        <v>UnitedStates.VIdeo1Kem1.PTATTNDL_Antaiam.4982_MES_HuyNV_091120</v>
      </c>
      <c r="R47" s="54" t="str">
        <f>IFERROR(__xludf.DUMMYFUNCTION("""COMPUTED_VALUE"""),"NEW_UnitedStates_2565_none_091120")</f>
        <v>NEW_UnitedStates_2565_none_091120</v>
      </c>
      <c r="S47" s="54" t="str">
        <f>IFERROR(__xludf.DUMMYFUNCTION("""COMPUTED_VALUE"""),"saletructiep_UnitedStates.VIdeo1Kem1.PTATTNDL_PTATTNDL_LD005")</f>
        <v>saletructiep_UnitedStates.VIdeo1Kem1.PTATTNDL_PTATTNDL_LD005</v>
      </c>
      <c r="T47" s="54"/>
      <c r="U47" s="56"/>
    </row>
    <row r="48">
      <c r="A48" s="57" t="s">
        <v>229</v>
      </c>
      <c r="B48" s="61" t="s">
        <v>99</v>
      </c>
      <c r="C48" s="73" t="str">
        <f>IFERROR(__xludf.DUMMYFUNCTION("""COMPUTED_VALUE"""),"LD004")</f>
        <v>LD004</v>
      </c>
      <c r="D48" s="55" t="s">
        <v>42</v>
      </c>
      <c r="E48" s="55" t="s">
        <v>79</v>
      </c>
      <c r="F48" s="55" t="s">
        <v>199</v>
      </c>
      <c r="G48" s="55">
        <v>1865.0</v>
      </c>
      <c r="H48" s="55" t="s">
        <v>75</v>
      </c>
      <c r="I48" s="55" t="s">
        <v>233</v>
      </c>
      <c r="J48" s="55" t="s">
        <v>233</v>
      </c>
      <c r="K48" s="55" t="s">
        <v>61</v>
      </c>
      <c r="L48" s="73" t="s">
        <v>234</v>
      </c>
      <c r="M48" s="55" t="s">
        <v>78</v>
      </c>
      <c r="N48" s="55" t="s">
        <v>79</v>
      </c>
      <c r="O48" s="55" t="s">
        <v>218</v>
      </c>
      <c r="P48" s="55" t="s">
        <v>110</v>
      </c>
      <c r="Q48" s="54" t="str">
        <f>IFERROR(__xludf.DUMMYFUNCTION("""COMPUTED_VALUE"""),"VietNam.AnhCongNghe_Novaon1_MES_HuyNV_091120")</f>
        <v>VietNam.AnhCongNghe_Novaon1_MES_HuyNV_091120</v>
      </c>
      <c r="R48" s="54" t="str">
        <f>IFERROR(__xludf.DUMMYFUNCTION("""COMPUTED_VALUE"""),"NEW_Vietnam_1865_none_091120")</f>
        <v>NEW_Vietnam_1865_none_091120</v>
      </c>
      <c r="S48" s="54" t="str">
        <f>IFERROR(__xludf.DUMMYFUNCTION("""COMPUTED_VALUE"""),"saletructiep_VietNam.AnhCongNghe_PTATTNDL_LD004")</f>
        <v>saletructiep_VietNam.AnhCongNghe_PTATTNDL_LD004</v>
      </c>
      <c r="T48" s="54"/>
      <c r="U48" s="56"/>
    </row>
    <row r="49">
      <c r="A49" s="57" t="s">
        <v>235</v>
      </c>
      <c r="B49" s="61" t="s">
        <v>166</v>
      </c>
      <c r="C49" s="54" t="str">
        <f>IFERROR(__xludf.DUMMYFUNCTION("""COMPUTED_VALUE"""),"LD005")</f>
        <v>LD005</v>
      </c>
      <c r="D49" s="55" t="s">
        <v>42</v>
      </c>
      <c r="E49" s="55" t="s">
        <v>79</v>
      </c>
      <c r="F49" s="55" t="s">
        <v>236</v>
      </c>
      <c r="G49" s="55">
        <v>1865.0</v>
      </c>
      <c r="H49" s="55" t="s">
        <v>75</v>
      </c>
      <c r="I49" s="55" t="s">
        <v>237</v>
      </c>
      <c r="J49" s="55" t="s">
        <v>238</v>
      </c>
      <c r="K49" s="55" t="s">
        <v>61</v>
      </c>
      <c r="L49" s="73" t="s">
        <v>239</v>
      </c>
      <c r="M49" s="55" t="s">
        <v>78</v>
      </c>
      <c r="N49" s="55" t="s">
        <v>79</v>
      </c>
      <c r="O49" s="55" t="s">
        <v>240</v>
      </c>
      <c r="P49" s="55" t="s">
        <v>110</v>
      </c>
      <c r="Q49" s="54" t="str">
        <f>IFERROR(__xludf.DUMMYFUNCTION("""COMPUTED_VALUE"""),"Switzerland.VIdeo1vs1.Patado2TATTTD_SarongIson7038_MES_HuyNV_101120")</f>
        <v>Switzerland.VIdeo1vs1.Patado2TATTTD_SarongIson7038_MES_HuyNV_101120</v>
      </c>
      <c r="R49" s="54" t="str">
        <f>IFERROR(__xludf.DUMMYFUNCTION("""COMPUTED_VALUE"""),"NEW_Switzerland_1865_none_101120")</f>
        <v>NEW_Switzerland_1865_none_101120</v>
      </c>
      <c r="S49" s="54" t="str">
        <f>IFERROR(__xludf.DUMMYFUNCTION("""COMPUTED_VALUE"""),"saletructiep_Switzerland.VIdeo1Kem1.Patado2TATTTD_Pat2TATTTD_LD005")</f>
        <v>saletructiep_Switzerland.VIdeo1Kem1.Patado2TATTTD_Pat2TATTTD_LD005</v>
      </c>
      <c r="T49" s="54"/>
      <c r="U49" s="56"/>
    </row>
    <row r="50">
      <c r="A50" s="57" t="s">
        <v>241</v>
      </c>
      <c r="B50" s="61" t="s">
        <v>99</v>
      </c>
      <c r="C50" s="73" t="str">
        <f>IFERROR(__xludf.DUMMYFUNCTION("""COMPUTED_VALUE"""),"LD004")</f>
        <v>LD004</v>
      </c>
      <c r="D50" s="55" t="s">
        <v>42</v>
      </c>
      <c r="E50" s="55" t="s">
        <v>79</v>
      </c>
      <c r="F50" s="55" t="s">
        <v>199</v>
      </c>
      <c r="G50" s="55">
        <v>1865.0</v>
      </c>
      <c r="H50" s="55" t="s">
        <v>75</v>
      </c>
      <c r="I50" s="55" t="s">
        <v>233</v>
      </c>
      <c r="J50" s="55" t="s">
        <v>233</v>
      </c>
      <c r="K50" s="55" t="s">
        <v>61</v>
      </c>
      <c r="L50" s="73" t="s">
        <v>234</v>
      </c>
      <c r="M50" s="55" t="s">
        <v>78</v>
      </c>
      <c r="N50" s="55" t="s">
        <v>79</v>
      </c>
      <c r="O50" s="55" t="s">
        <v>242</v>
      </c>
      <c r="P50" s="55" t="s">
        <v>110</v>
      </c>
      <c r="Q50" s="54" t="str">
        <f>IFERROR(__xludf.DUMMYFUNCTION("""COMPUTED_VALUE"""),"VietNam.AnhCongNghe_Novaon1_MES_HuyNV_111020")</f>
        <v>VietNam.AnhCongNghe_Novaon1_MES_HuyNV_111020</v>
      </c>
      <c r="R50" s="54" t="str">
        <f>IFERROR(__xludf.DUMMYFUNCTION("""COMPUTED_VALUE"""),"NEW_Vietnam_1865_none_111020")</f>
        <v>NEW_Vietnam_1865_none_111020</v>
      </c>
      <c r="S50" s="54" t="str">
        <f>IFERROR(__xludf.DUMMYFUNCTION("""COMPUTED_VALUE"""),"saletructiep_VietNam.AnhCongNghe_Pat4TATTTD_LD004")</f>
        <v>saletructiep_VietNam.AnhCongNghe_Pat4TATTTD_LD004</v>
      </c>
      <c r="T50" s="54"/>
      <c r="U50" s="56"/>
    </row>
    <row r="51">
      <c r="A51" s="57" t="s">
        <v>204</v>
      </c>
      <c r="B51" s="61" t="s">
        <v>99</v>
      </c>
      <c r="C51" s="54" t="str">
        <f>IFERROR(__xludf.DUMMYFUNCTION("""COMPUTED_VALUE"""),"LD004")</f>
        <v>LD004</v>
      </c>
      <c r="D51" s="55" t="s">
        <v>42</v>
      </c>
      <c r="E51" s="55" t="s">
        <v>79</v>
      </c>
      <c r="F51" s="55" t="s">
        <v>199</v>
      </c>
      <c r="G51" s="55">
        <v>1865.0</v>
      </c>
      <c r="H51" s="55" t="s">
        <v>243</v>
      </c>
      <c r="I51" s="55" t="s">
        <v>185</v>
      </c>
      <c r="J51" s="55" t="s">
        <v>244</v>
      </c>
      <c r="K51" s="55" t="s">
        <v>61</v>
      </c>
      <c r="L51" s="73" t="s">
        <v>234</v>
      </c>
      <c r="M51" s="55" t="s">
        <v>78</v>
      </c>
      <c r="N51" s="55" t="s">
        <v>79</v>
      </c>
      <c r="O51" s="55" t="s">
        <v>242</v>
      </c>
      <c r="P51" s="55" t="s">
        <v>110</v>
      </c>
      <c r="Q51" s="54" t="str">
        <f>IFERROR(__xludf.DUMMYFUNCTION("""COMPUTED_VALUE"""),"VietNam_Novaon1_MES_Novaon_121020")</f>
        <v>VietNam_Novaon1_MES_Novaon_121020</v>
      </c>
      <c r="R51" s="54" t="str">
        <f>IFERROR(__xludf.DUMMYFUNCTION("""COMPUTED_VALUE"""),"NEW_Vietnam_1865_none_121020")</f>
        <v>NEW_Vietnam_1865_none_121020</v>
      </c>
      <c r="S51" s="54" t="str">
        <f>IFERROR(__xludf.DUMMYFUNCTION("""COMPUTED_VALUE"""),"saletructiep_VietNam.Uudai_Pat4TATTTD_LD004")</f>
        <v>saletructiep_VietNam.Uudai_Pat4TATTTD_LD004</v>
      </c>
      <c r="T51" s="54"/>
      <c r="U51" s="56"/>
    </row>
    <row r="52">
      <c r="A52" s="57" t="s">
        <v>246</v>
      </c>
      <c r="B52" s="61" t="s">
        <v>166</v>
      </c>
      <c r="C52" s="54" t="str">
        <f>IFERROR(__xludf.DUMMYFUNCTION("""COMPUTED_VALUE"""),"LD005")</f>
        <v>LD005</v>
      </c>
      <c r="D52" s="55" t="s">
        <v>42</v>
      </c>
      <c r="E52" s="55" t="s">
        <v>79</v>
      </c>
      <c r="F52" s="55" t="s">
        <v>174</v>
      </c>
      <c r="G52" s="55">
        <v>1865.0</v>
      </c>
      <c r="H52" s="55" t="s">
        <v>75</v>
      </c>
      <c r="I52" s="55" t="s">
        <v>247</v>
      </c>
      <c r="J52" s="55" t="s">
        <v>247</v>
      </c>
      <c r="K52" s="55" t="s">
        <v>61</v>
      </c>
      <c r="L52" s="55" t="s">
        <v>217</v>
      </c>
      <c r="M52" s="55" t="s">
        <v>78</v>
      </c>
      <c r="N52" s="55" t="s">
        <v>79</v>
      </c>
      <c r="O52" s="55" t="s">
        <v>218</v>
      </c>
      <c r="P52" s="55" t="s">
        <v>110</v>
      </c>
      <c r="Q52" s="54" t="str">
        <f>IFERROR(__xludf.DUMMYFUNCTION("""COMPUTED_VALUE"""),"Philippines.VIdeo1Kem1.PTATTNDL_PTV.9355_MES_HuyNV_131020")</f>
        <v>Philippines.VIdeo1Kem1.PTATTNDL_PTV.9355_MES_HuyNV_131020</v>
      </c>
      <c r="R52" s="54" t="str">
        <f>IFERROR(__xludf.DUMMYFUNCTION("""COMPUTED_VALUE"""),"NEW_Philippines_1865_none_131020")</f>
        <v>NEW_Philippines_1865_none_131020</v>
      </c>
      <c r="S52" s="54" t="str">
        <f>IFERROR(__xludf.DUMMYFUNCTION("""COMPUTED_VALUE"""),"saletructiep_Philippines.VIdeo1Kem1.PTATTNDL_PTATTNDL_LD005")</f>
        <v>saletructiep_Philippines.VIdeo1Kem1.PTATTNDL_PTATTNDL_LD005</v>
      </c>
      <c r="T52" s="54"/>
      <c r="U52" s="56"/>
    </row>
    <row r="53">
      <c r="A53" s="57" t="s">
        <v>248</v>
      </c>
      <c r="B53" s="61" t="s">
        <v>166</v>
      </c>
      <c r="C53" s="54" t="str">
        <f>IFERROR(__xludf.DUMMYFUNCTION("""COMPUTED_VALUE"""),"LD005")</f>
        <v>LD005</v>
      </c>
      <c r="D53" s="55" t="s">
        <v>42</v>
      </c>
      <c r="E53" s="55" t="s">
        <v>79</v>
      </c>
      <c r="F53" s="55" t="s">
        <v>164</v>
      </c>
      <c r="G53" s="55">
        <v>1865.0</v>
      </c>
      <c r="H53" s="55" t="s">
        <v>75</v>
      </c>
      <c r="I53" s="55" t="s">
        <v>249</v>
      </c>
      <c r="J53" s="55" t="s">
        <v>249</v>
      </c>
      <c r="K53" s="55" t="s">
        <v>61</v>
      </c>
      <c r="L53" s="55">
        <v>3291.0</v>
      </c>
      <c r="M53" s="55" t="s">
        <v>78</v>
      </c>
      <c r="N53" s="55" t="s">
        <v>79</v>
      </c>
      <c r="O53" s="55" t="s">
        <v>218</v>
      </c>
      <c r="P53" s="55" t="s">
        <v>110</v>
      </c>
      <c r="Q53" s="54" t="str">
        <f>IFERROR(__xludf.DUMMYFUNCTION("""COMPUTED_VALUE"""),"Taiwan.VIdeo1Kem1.PTATT2_3291_MES_HuyNV_161120")</f>
        <v>Taiwan.VIdeo1Kem1.PTATT2_3291_MES_HuyNV_161120</v>
      </c>
      <c r="R53" s="54" t="str">
        <f>IFERROR(__xludf.DUMMYFUNCTION("""COMPUTED_VALUE"""),"NEW_Taiwan_1865_none_161120")</f>
        <v>NEW_Taiwan_1865_none_161120</v>
      </c>
      <c r="S53" s="54" t="str">
        <f>IFERROR(__xludf.DUMMYFUNCTION("""COMPUTED_VALUE"""),"saletructiep_Taiwan.VIdeo1Kem1.PTATT2_PTATTNDL_LD005")</f>
        <v>saletructiep_Taiwan.VIdeo1Kem1.PTATT2_PTATTNDL_LD005</v>
      </c>
      <c r="T53" s="54"/>
      <c r="U53" s="56"/>
    </row>
    <row r="54">
      <c r="A54" s="57" t="s">
        <v>250</v>
      </c>
      <c r="B54" s="61" t="s">
        <v>166</v>
      </c>
      <c r="C54" s="54" t="str">
        <f>IFERROR(__xludf.DUMMYFUNCTION("""COMPUTED_VALUE"""),"LD005")</f>
        <v>LD005</v>
      </c>
      <c r="D54" s="55" t="s">
        <v>42</v>
      </c>
      <c r="E54" s="55" t="s">
        <v>79</v>
      </c>
      <c r="F54" s="55" t="s">
        <v>162</v>
      </c>
      <c r="G54" s="55">
        <v>1865.0</v>
      </c>
      <c r="H54" s="55" t="s">
        <v>75</v>
      </c>
      <c r="I54" s="55" t="s">
        <v>251</v>
      </c>
      <c r="J54" s="55" t="s">
        <v>251</v>
      </c>
      <c r="K54" s="55" t="s">
        <v>61</v>
      </c>
      <c r="L54" s="55" t="s">
        <v>217</v>
      </c>
      <c r="M54" s="55" t="s">
        <v>78</v>
      </c>
      <c r="N54" s="55" t="s">
        <v>79</v>
      </c>
      <c r="O54" s="55" t="s">
        <v>218</v>
      </c>
      <c r="P54" s="55" t="s">
        <v>110</v>
      </c>
      <c r="Q54" s="54" t="str">
        <f>IFERROR(__xludf.DUMMYFUNCTION("""COMPUTED_VALUE"""),"Singapore.AnhCongNghe.PTATTNDL_PTV.9355_MES_HuyNV_171120")</f>
        <v>Singapore.AnhCongNghe.PTATTNDL_PTV.9355_MES_HuyNV_171120</v>
      </c>
      <c r="R54" s="54" t="str">
        <f>IFERROR(__xludf.DUMMYFUNCTION("""COMPUTED_VALUE"""),"NEW_Singapore_1865_none_171120")</f>
        <v>NEW_Singapore_1865_none_171120</v>
      </c>
      <c r="S54" s="54" t="str">
        <f>IFERROR(__xludf.DUMMYFUNCTION("""COMPUTED_VALUE"""),"saletructiep_Singapore.AnhCongNghe.PTATTNDL_PTATTNDL_LD005")</f>
        <v>saletructiep_Singapore.AnhCongNghe.PTATTNDL_PTATTNDL_LD005</v>
      </c>
      <c r="T54" s="54"/>
      <c r="U54" s="56"/>
    </row>
    <row r="55">
      <c r="A55" s="57" t="s">
        <v>250</v>
      </c>
      <c r="B55" s="61" t="s">
        <v>166</v>
      </c>
      <c r="C55" s="54" t="str">
        <f>IFERROR(__xludf.DUMMYFUNCTION("""COMPUTED_VALUE"""),"LD005")</f>
        <v>LD005</v>
      </c>
      <c r="D55" s="55" t="s">
        <v>42</v>
      </c>
      <c r="E55" s="55" t="s">
        <v>79</v>
      </c>
      <c r="F55" s="55" t="s">
        <v>112</v>
      </c>
      <c r="G55" s="55">
        <v>1865.0</v>
      </c>
      <c r="H55" s="55" t="s">
        <v>75</v>
      </c>
      <c r="I55" s="55" t="s">
        <v>252</v>
      </c>
      <c r="J55" s="55" t="s">
        <v>252</v>
      </c>
      <c r="K55" s="55" t="s">
        <v>61</v>
      </c>
      <c r="L55" s="55" t="s">
        <v>253</v>
      </c>
      <c r="M55" s="55" t="s">
        <v>78</v>
      </c>
      <c r="N55" s="55" t="s">
        <v>79</v>
      </c>
      <c r="O55" s="55" t="s">
        <v>240</v>
      </c>
      <c r="P55" s="55" t="s">
        <v>110</v>
      </c>
      <c r="Q55" s="54" t="str">
        <f>IFERROR(__xludf.DUMMYFUNCTION("""COMPUTED_VALUE"""),"Canada.AnhBiQuyet.PTATT2_DKO.7687_MES_HuyNV_171120")</f>
        <v>Canada.AnhBiQuyet.PTATT2_DKO.7687_MES_HuyNV_171120</v>
      </c>
      <c r="R55" s="54" t="str">
        <f>IFERROR(__xludf.DUMMYFUNCTION("""COMPUTED_VALUE"""),"NEW_Canada_1865_none_171120")</f>
        <v>NEW_Canada_1865_none_171120</v>
      </c>
      <c r="S55" s="54" t="str">
        <f>IFERROR(__xludf.DUMMYFUNCTION("""COMPUTED_VALUE"""),"saletructiep_Canada.AnhBiQuyet.PTATT2_Pat2TATTTD_LD005")</f>
        <v>saletructiep_Canada.AnhBiQuyet.PTATT2_Pat2TATTTD_LD005</v>
      </c>
      <c r="T55" s="54"/>
      <c r="U55" s="56"/>
    </row>
    <row r="56">
      <c r="A56" s="57" t="s">
        <v>250</v>
      </c>
      <c r="B56" s="61" t="s">
        <v>166</v>
      </c>
      <c r="C56" s="54" t="str">
        <f>IFERROR(__xludf.DUMMYFUNCTION("""COMPUTED_VALUE"""),"LD005")</f>
        <v>LD005</v>
      </c>
      <c r="D56" s="55" t="s">
        <v>42</v>
      </c>
      <c r="E56" s="55" t="s">
        <v>79</v>
      </c>
      <c r="F56" s="55" t="s">
        <v>129</v>
      </c>
      <c r="G56" s="55">
        <v>1865.0</v>
      </c>
      <c r="H56" s="55" t="s">
        <v>75</v>
      </c>
      <c r="I56" s="55" t="s">
        <v>255</v>
      </c>
      <c r="J56" s="55" t="s">
        <v>255</v>
      </c>
      <c r="K56" s="55" t="s">
        <v>61</v>
      </c>
      <c r="L56" s="55" t="s">
        <v>253</v>
      </c>
      <c r="M56" s="55" t="s">
        <v>78</v>
      </c>
      <c r="N56" s="55" t="s">
        <v>79</v>
      </c>
      <c r="O56" s="55" t="s">
        <v>218</v>
      </c>
      <c r="P56" s="55" t="s">
        <v>110</v>
      </c>
      <c r="Q56" s="54" t="str">
        <f>IFERROR(__xludf.DUMMYFUNCTION("""COMPUTED_VALUE"""),"Australia.AnhBiQuyet.PTATT_DKO.7687_MES_HuyNV_171120")</f>
        <v>Australia.AnhBiQuyet.PTATT_DKO.7687_MES_HuyNV_171120</v>
      </c>
      <c r="R56" s="54" t="str">
        <f>IFERROR(__xludf.DUMMYFUNCTION("""COMPUTED_VALUE"""),"NEW_Australia_1865_none_171120")</f>
        <v>NEW_Australia_1865_none_171120</v>
      </c>
      <c r="S56" s="54" t="str">
        <f>IFERROR(__xludf.DUMMYFUNCTION("""COMPUTED_VALUE"""),"saletructiep_Australia.AnhBiQuyet.PTATT_PTATTNDL_LD005")</f>
        <v>saletructiep_Australia.AnhBiQuyet.PTATT_PTATTNDL_LD005</v>
      </c>
      <c r="T56" s="54"/>
      <c r="U56" s="56"/>
    </row>
    <row r="57">
      <c r="A57" s="57" t="s">
        <v>256</v>
      </c>
      <c r="B57" s="61" t="s">
        <v>166</v>
      </c>
      <c r="C57" s="54" t="str">
        <f>IFERROR(__xludf.DUMMYFUNCTION("""COMPUTED_VALUE"""),"LD005")</f>
        <v>LD005</v>
      </c>
      <c r="D57" s="55" t="s">
        <v>42</v>
      </c>
      <c r="E57" s="55" t="s">
        <v>79</v>
      </c>
      <c r="F57" s="55" t="s">
        <v>107</v>
      </c>
      <c r="G57" s="55">
        <v>1865.0</v>
      </c>
      <c r="H57" s="55" t="s">
        <v>75</v>
      </c>
      <c r="I57" s="55" t="s">
        <v>257</v>
      </c>
      <c r="J57" s="55" t="s">
        <v>257</v>
      </c>
      <c r="K57" s="55" t="s">
        <v>61</v>
      </c>
      <c r="L57" s="55" t="s">
        <v>217</v>
      </c>
      <c r="M57" s="55" t="s">
        <v>78</v>
      </c>
      <c r="N57" s="55" t="s">
        <v>79</v>
      </c>
      <c r="O57" s="55" t="s">
        <v>218</v>
      </c>
      <c r="P57" s="55" t="s">
        <v>110</v>
      </c>
      <c r="Q57" s="54" t="str">
        <f>IFERROR(__xludf.DUMMYFUNCTION("""COMPUTED_VALUE"""),"UnitedStates.AnhBiQuyet.PTATTNDL_PTV.9355_MES_HuyNV_221120")</f>
        <v>UnitedStates.AnhBiQuyet.PTATTNDL_PTV.9355_MES_HuyNV_221120</v>
      </c>
      <c r="R57" s="54" t="str">
        <f>IFERROR(__xludf.DUMMYFUNCTION("""COMPUTED_VALUE"""),"NEW_UnitedStates_1865_none_221120")</f>
        <v>NEW_UnitedStates_1865_none_221120</v>
      </c>
      <c r="S57" s="54" t="str">
        <f>IFERROR(__xludf.DUMMYFUNCTION("""COMPUTED_VALUE"""),"saletructiep_UnitedStates.AnhBiQuyet.PTATTNDL_PTATTNDL_LD005")</f>
        <v>saletructiep_UnitedStates.AnhBiQuyet.PTATTNDL_PTATTNDL_LD005</v>
      </c>
      <c r="T57" s="54"/>
      <c r="U57" s="56"/>
    </row>
    <row r="58">
      <c r="A58" s="57" t="s">
        <v>256</v>
      </c>
      <c r="B58" s="61" t="s">
        <v>166</v>
      </c>
      <c r="C58" s="54" t="str">
        <f>IFERROR(__xludf.DUMMYFUNCTION("""COMPUTED_VALUE"""),"LD005")</f>
        <v>LD005</v>
      </c>
      <c r="D58" s="55" t="s">
        <v>42</v>
      </c>
      <c r="E58" s="55" t="s">
        <v>79</v>
      </c>
      <c r="F58" s="55" t="s">
        <v>258</v>
      </c>
      <c r="G58" s="55">
        <v>1865.0</v>
      </c>
      <c r="H58" s="55" t="s">
        <v>75</v>
      </c>
      <c r="I58" s="55" t="s">
        <v>259</v>
      </c>
      <c r="J58" s="55" t="s">
        <v>259</v>
      </c>
      <c r="K58" s="55" t="s">
        <v>61</v>
      </c>
      <c r="L58" s="55" t="s">
        <v>217</v>
      </c>
      <c r="M58" s="55" t="s">
        <v>78</v>
      </c>
      <c r="N58" s="55" t="s">
        <v>79</v>
      </c>
      <c r="O58" s="55" t="s">
        <v>218</v>
      </c>
      <c r="P58" s="55" t="s">
        <v>110</v>
      </c>
      <c r="Q58" s="54" t="str">
        <f>IFERROR(__xludf.DUMMYFUNCTION("""COMPUTED_VALUE"""),"Germany.AnhBiQuyet.PTATTNDL_PTV.9355_MES_HuyNV_221120")</f>
        <v>Germany.AnhBiQuyet.PTATTNDL_PTV.9355_MES_HuyNV_221120</v>
      </c>
      <c r="R58" s="54" t="str">
        <f>IFERROR(__xludf.DUMMYFUNCTION("""COMPUTED_VALUE"""),"NEW_Germany_1865_none_221120")</f>
        <v>NEW_Germany_1865_none_221120</v>
      </c>
      <c r="S58" s="54" t="str">
        <f>IFERROR(__xludf.DUMMYFUNCTION("""COMPUTED_VALUE"""),"saletructiep_Germany.AnhBiQuyet.PTATTNDL_PTATTNDL_LD005")</f>
        <v>saletructiep_Germany.AnhBiQuyet.PTATTNDL_PTATTNDL_LD005</v>
      </c>
      <c r="T58" s="54"/>
      <c r="U58" s="56"/>
    </row>
    <row r="59">
      <c r="A59" s="57" t="s">
        <v>256</v>
      </c>
      <c r="B59" s="61" t="s">
        <v>166</v>
      </c>
      <c r="C59" s="54" t="str">
        <f>IFERROR(__xludf.DUMMYFUNCTION("""COMPUTED_VALUE"""),"LD005")</f>
        <v>LD005</v>
      </c>
      <c r="D59" s="55" t="s">
        <v>42</v>
      </c>
      <c r="E59" s="55" t="s">
        <v>79</v>
      </c>
      <c r="F59" s="55" t="s">
        <v>123</v>
      </c>
      <c r="G59" s="55">
        <v>1865.0</v>
      </c>
      <c r="H59" s="55" t="s">
        <v>75</v>
      </c>
      <c r="I59" s="55" t="s">
        <v>260</v>
      </c>
      <c r="J59" s="55" t="s">
        <v>260</v>
      </c>
      <c r="K59" s="55" t="s">
        <v>61</v>
      </c>
      <c r="L59" s="55" t="s">
        <v>253</v>
      </c>
      <c r="M59" s="55" t="s">
        <v>78</v>
      </c>
      <c r="N59" s="55" t="s">
        <v>79</v>
      </c>
      <c r="O59" s="55" t="s">
        <v>224</v>
      </c>
      <c r="P59" s="55" t="s">
        <v>110</v>
      </c>
      <c r="Q59" s="54" t="str">
        <f>IFERROR(__xludf.DUMMYFUNCTION("""COMPUTED_VALUE"""),"SouthKorea.VIdeo1Kem1.PTATT_DKO.7687_MES_HuyNV_221120")</f>
        <v>SouthKorea.VIdeo1Kem1.PTATT_DKO.7687_MES_HuyNV_221120</v>
      </c>
      <c r="R59" s="54" t="str">
        <f>IFERROR(__xludf.DUMMYFUNCTION("""COMPUTED_VALUE"""),"NEW_SouthKorea_1865_none_221120")</f>
        <v>NEW_SouthKorea_1865_none_221120</v>
      </c>
      <c r="S59" s="54" t="str">
        <f>IFERROR(__xludf.DUMMYFUNCTION("""COMPUTED_VALUE"""),"saletructiep_SouthKorea.VIdeo1Kem1.PTATT_PTATT_LD005")</f>
        <v>saletructiep_SouthKorea.VIdeo1Kem1.PTATT_PTATT_LD005</v>
      </c>
      <c r="T59" s="54"/>
      <c r="U59" s="56"/>
    </row>
    <row r="60">
      <c r="A60" s="57" t="s">
        <v>256</v>
      </c>
      <c r="B60" s="61" t="s">
        <v>166</v>
      </c>
      <c r="C60" s="54" t="str">
        <f>IFERROR(__xludf.DUMMYFUNCTION("""COMPUTED_VALUE"""),"LD005")</f>
        <v>LD005</v>
      </c>
      <c r="D60" s="55" t="s">
        <v>42</v>
      </c>
      <c r="E60" s="55" t="s">
        <v>79</v>
      </c>
      <c r="F60" s="55" t="s">
        <v>182</v>
      </c>
      <c r="G60" s="55">
        <v>1865.0</v>
      </c>
      <c r="H60" s="55" t="s">
        <v>75</v>
      </c>
      <c r="I60" s="55" t="s">
        <v>262</v>
      </c>
      <c r="J60" s="55" t="s">
        <v>262</v>
      </c>
      <c r="K60" s="55" t="s">
        <v>61</v>
      </c>
      <c r="L60" s="55" t="s">
        <v>253</v>
      </c>
      <c r="M60" s="55" t="s">
        <v>78</v>
      </c>
      <c r="N60" s="55" t="s">
        <v>79</v>
      </c>
      <c r="O60" s="55" t="s">
        <v>224</v>
      </c>
      <c r="P60" s="55" t="s">
        <v>110</v>
      </c>
      <c r="Q60" s="54" t="str">
        <f>IFERROR(__xludf.DUMMYFUNCTION("""COMPUTED_VALUE"""),"Malaysia.VIdeo1Kem1.PTATT_DKO.7687_MES_HuyNV_221120")</f>
        <v>Malaysia.VIdeo1Kem1.PTATT_DKO.7687_MES_HuyNV_221120</v>
      </c>
      <c r="R60" s="54" t="str">
        <f>IFERROR(__xludf.DUMMYFUNCTION("""COMPUTED_VALUE"""),"NEW_Malaysia_1865_none_221120")</f>
        <v>NEW_Malaysia_1865_none_221120</v>
      </c>
      <c r="S60" s="54" t="str">
        <f>IFERROR(__xludf.DUMMYFUNCTION("""COMPUTED_VALUE"""),"saletructiep_Malaysia.VIdeo1Kem1.PTATT_PTATT_LD005")</f>
        <v>saletructiep_Malaysia.VIdeo1Kem1.PTATT_PTATT_LD005</v>
      </c>
      <c r="T60" s="54"/>
      <c r="U60" s="56"/>
    </row>
    <row r="61">
      <c r="A61" s="57" t="s">
        <v>263</v>
      </c>
      <c r="B61" s="61" t="s">
        <v>166</v>
      </c>
      <c r="C61" s="54" t="str">
        <f>IFERROR(__xludf.DUMMYFUNCTION("""COMPUTED_VALUE"""),"LD005")</f>
        <v>LD005</v>
      </c>
      <c r="D61" s="55" t="s">
        <v>42</v>
      </c>
      <c r="E61" s="55" t="s">
        <v>79</v>
      </c>
      <c r="F61" s="55" t="s">
        <v>264</v>
      </c>
      <c r="G61" s="55">
        <v>1865.0</v>
      </c>
      <c r="H61" s="55" t="s">
        <v>75</v>
      </c>
      <c r="I61" s="55" t="s">
        <v>265</v>
      </c>
      <c r="J61" s="55" t="s">
        <v>265</v>
      </c>
      <c r="K61" s="55" t="s">
        <v>61</v>
      </c>
      <c r="L61" s="55" t="s">
        <v>253</v>
      </c>
      <c r="M61" s="55" t="s">
        <v>78</v>
      </c>
      <c r="N61" s="55" t="s">
        <v>79</v>
      </c>
      <c r="O61" s="55" t="s">
        <v>224</v>
      </c>
      <c r="P61" s="55" t="s">
        <v>110</v>
      </c>
      <c r="Q61" s="54" t="str">
        <f>IFERROR(__xludf.DUMMYFUNCTION("""COMPUTED_VALUE"""),"Russia.VIdeo1Kem1.PTATT_DKO.7687_MES_HuyNV_231120")</f>
        <v>Russia.VIdeo1Kem1.PTATT_DKO.7687_MES_HuyNV_231120</v>
      </c>
      <c r="R61" s="54" t="str">
        <f>IFERROR(__xludf.DUMMYFUNCTION("""COMPUTED_VALUE"""),"NEW_Russia_1865_none_231120")</f>
        <v>NEW_Russia_1865_none_231120</v>
      </c>
      <c r="S61" s="54" t="str">
        <f>IFERROR(__xludf.DUMMYFUNCTION("""COMPUTED_VALUE"""),"saletructiep_Russia.VIdeo1Kem1.PTATT_PTATT_LD005")</f>
        <v>saletructiep_Russia.VIdeo1Kem1.PTATT_PTATT_LD005</v>
      </c>
      <c r="T61" s="54"/>
      <c r="U61" s="56"/>
    </row>
    <row r="62">
      <c r="A62" s="57" t="s">
        <v>267</v>
      </c>
      <c r="B62" s="61" t="s">
        <v>166</v>
      </c>
      <c r="C62" s="54" t="str">
        <f>IFERROR(__xludf.DUMMYFUNCTION("""COMPUTED_VALUE"""),"LD005")</f>
        <v>LD005</v>
      </c>
      <c r="D62" s="55" t="s">
        <v>42</v>
      </c>
      <c r="E62" s="55" t="s">
        <v>79</v>
      </c>
      <c r="F62" s="55" t="s">
        <v>268</v>
      </c>
      <c r="G62" s="55">
        <v>1865.0</v>
      </c>
      <c r="H62" s="55" t="s">
        <v>75</v>
      </c>
      <c r="I62" s="55" t="s">
        <v>269</v>
      </c>
      <c r="J62" s="55" t="s">
        <v>269</v>
      </c>
      <c r="K62" s="55" t="s">
        <v>61</v>
      </c>
      <c r="L62" s="73" t="s">
        <v>270</v>
      </c>
      <c r="M62" s="55" t="s">
        <v>78</v>
      </c>
      <c r="N62" s="55" t="s">
        <v>79</v>
      </c>
      <c r="O62" s="55" t="s">
        <v>240</v>
      </c>
      <c r="P62" s="55" t="s">
        <v>110</v>
      </c>
      <c r="Q62" s="54" t="str">
        <f>IFERROR(__xludf.DUMMYFUNCTION("""COMPUTED_VALUE"""),"Czechia.VIdeo1Kem1.PTATT_MatthewNguyen.7687_MES_HuyNV_241120")</f>
        <v>Czechia.VIdeo1Kem1.PTATT_MatthewNguyen.7687_MES_HuyNV_241120</v>
      </c>
      <c r="R62" s="54" t="str">
        <f>IFERROR(__xludf.DUMMYFUNCTION("""COMPUTED_VALUE"""),"NEW_Czechia_1865_none_241120")</f>
        <v>NEW_Czechia_1865_none_241120</v>
      </c>
      <c r="S62" s="54" t="str">
        <f>IFERROR(__xludf.DUMMYFUNCTION("""COMPUTED_VALUE"""),"saletructiep_Czechia.VIdeo1Kem1.PTATT_Pat2TATTTD_LD005")</f>
        <v>saletructiep_Czechia.VIdeo1Kem1.PTATT_Pat2TATTTD_LD005</v>
      </c>
      <c r="T62" s="54"/>
      <c r="U62" s="56"/>
    </row>
    <row r="63">
      <c r="A63" s="57" t="s">
        <v>271</v>
      </c>
      <c r="B63" s="61" t="s">
        <v>166</v>
      </c>
      <c r="C63" s="54" t="str">
        <f>IFERROR(__xludf.DUMMYFUNCTION("""COMPUTED_VALUE"""),"LD005")</f>
        <v>LD005</v>
      </c>
      <c r="D63" s="55" t="s">
        <v>42</v>
      </c>
      <c r="E63" s="55" t="s">
        <v>79</v>
      </c>
      <c r="F63" s="55" t="s">
        <v>272</v>
      </c>
      <c r="G63" s="55">
        <v>1865.0</v>
      </c>
      <c r="H63" s="55" t="s">
        <v>75</v>
      </c>
      <c r="I63" s="55" t="s">
        <v>273</v>
      </c>
      <c r="J63" s="55" t="s">
        <v>273</v>
      </c>
      <c r="K63" s="55" t="s">
        <v>61</v>
      </c>
      <c r="L63" s="73" t="s">
        <v>270</v>
      </c>
      <c r="M63" s="55" t="s">
        <v>78</v>
      </c>
      <c r="N63" s="55" t="s">
        <v>79</v>
      </c>
      <c r="O63" s="55" t="s">
        <v>224</v>
      </c>
      <c r="P63" s="55" t="s">
        <v>110</v>
      </c>
      <c r="Q63" s="54" t="str">
        <f>IFERROR(__xludf.DUMMYFUNCTION("""COMPUTED_VALUE"""),"France.VIdeo1Kem1.PTATT_MatthewNguyen.7687_MES_HuyNV_251120")</f>
        <v>France.VIdeo1Kem1.PTATT_MatthewNguyen.7687_MES_HuyNV_251120</v>
      </c>
      <c r="R63" s="54" t="str">
        <f>IFERROR(__xludf.DUMMYFUNCTION("""COMPUTED_VALUE"""),"NEW_France_1865_none_251120")</f>
        <v>NEW_France_1865_none_251120</v>
      </c>
      <c r="S63" s="54" t="str">
        <f>IFERROR(__xludf.DUMMYFUNCTION("""COMPUTED_VALUE"""),"saletructiep_France.VIdeo1Kem1.PTATT_PTATT_LD005")</f>
        <v>saletructiep_France.VIdeo1Kem1.PTATT_PTATT_LD005</v>
      </c>
      <c r="T63" s="54"/>
      <c r="U63" s="56"/>
    </row>
    <row r="64">
      <c r="A64" s="57" t="s">
        <v>271</v>
      </c>
      <c r="B64" s="61" t="s">
        <v>166</v>
      </c>
      <c r="C64" s="54" t="str">
        <f>IFERROR(__xludf.DUMMYFUNCTION("""COMPUTED_VALUE"""),"LD005")</f>
        <v>LD005</v>
      </c>
      <c r="D64" s="55" t="s">
        <v>42</v>
      </c>
      <c r="E64" s="55" t="s">
        <v>79</v>
      </c>
      <c r="F64" s="55" t="s">
        <v>274</v>
      </c>
      <c r="G64" s="55">
        <v>1865.0</v>
      </c>
      <c r="H64" s="55" t="s">
        <v>75</v>
      </c>
      <c r="I64" s="55" t="s">
        <v>275</v>
      </c>
      <c r="J64" s="55" t="s">
        <v>275</v>
      </c>
      <c r="K64" s="55" t="s">
        <v>61</v>
      </c>
      <c r="L64" s="73" t="s">
        <v>270</v>
      </c>
      <c r="M64" s="55" t="s">
        <v>78</v>
      </c>
      <c r="N64" s="55" t="s">
        <v>79</v>
      </c>
      <c r="O64" s="55" t="s">
        <v>224</v>
      </c>
      <c r="P64" s="55" t="s">
        <v>110</v>
      </c>
      <c r="Q64" s="54" t="str">
        <f>IFERROR(__xludf.DUMMYFUNCTION("""COMPUTED_VALUE"""),"UnitedKingdom.VIdeo1Kem1.PTATT_MatthewNguyen.7687_MES_HuyNV_251120")</f>
        <v>UnitedKingdom.VIdeo1Kem1.PTATT_MatthewNguyen.7687_MES_HuyNV_251120</v>
      </c>
      <c r="R64" s="54" t="str">
        <f>IFERROR(__xludf.DUMMYFUNCTION("""COMPUTED_VALUE"""),"NEW_UnitedKingdom_1865_none_251120")</f>
        <v>NEW_UnitedKingdom_1865_none_251120</v>
      </c>
      <c r="S64" s="54" t="str">
        <f>IFERROR(__xludf.DUMMYFUNCTION("""COMPUTED_VALUE"""),"saletructiep_UnitedKingdom.VIdeo1Kem1.PTATT_PTATT_LD005")</f>
        <v>saletructiep_UnitedKingdom.VIdeo1Kem1.PTATT_PTATT_LD005</v>
      </c>
      <c r="T64" s="54"/>
      <c r="U64" s="56"/>
    </row>
    <row r="65">
      <c r="A65" s="57" t="s">
        <v>271</v>
      </c>
      <c r="B65" s="61" t="s">
        <v>166</v>
      </c>
      <c r="C65" s="54" t="str">
        <f>IFERROR(__xludf.DUMMYFUNCTION("""COMPUTED_VALUE"""),"LD005")</f>
        <v>LD005</v>
      </c>
      <c r="D65" s="55" t="s">
        <v>42</v>
      </c>
      <c r="E65" s="55" t="s">
        <v>79</v>
      </c>
      <c r="F65" s="55" t="s">
        <v>274</v>
      </c>
      <c r="G65" s="55">
        <v>1865.0</v>
      </c>
      <c r="H65" s="55" t="s">
        <v>75</v>
      </c>
      <c r="I65" s="55" t="s">
        <v>277</v>
      </c>
      <c r="J65" s="55" t="s">
        <v>277</v>
      </c>
      <c r="K65" s="55" t="s">
        <v>61</v>
      </c>
      <c r="L65" s="55" t="s">
        <v>217</v>
      </c>
      <c r="M65" s="55" t="s">
        <v>78</v>
      </c>
      <c r="N65" s="55" t="s">
        <v>79</v>
      </c>
      <c r="O65" s="55" t="s">
        <v>218</v>
      </c>
      <c r="P65" s="55" t="s">
        <v>110</v>
      </c>
      <c r="Q65" s="54" t="str">
        <f>IFERROR(__xludf.DUMMYFUNCTION("""COMPUTED_VALUE"""),"UnitedKingdom.AnhBiQuyet.PTATTNDL_PTV.9355_MES_HuyNV_251120")</f>
        <v>UnitedKingdom.AnhBiQuyet.PTATTNDL_PTV.9355_MES_HuyNV_251120</v>
      </c>
      <c r="R65" s="54" t="str">
        <f>IFERROR(__xludf.DUMMYFUNCTION("""COMPUTED_VALUE"""),"NEW_UnitedKingdom_1865_none_251120")</f>
        <v>NEW_UnitedKingdom_1865_none_251120</v>
      </c>
      <c r="S65" s="54" t="str">
        <f>IFERROR(__xludf.DUMMYFUNCTION("""COMPUTED_VALUE"""),"saletructiep_UnitedKingdom.AnhBiQuyet.PTATTNDL_PTATTNDL_LD005")</f>
        <v>saletructiep_UnitedKingdom.AnhBiQuyet.PTATTNDL_PTATTNDL_LD005</v>
      </c>
      <c r="T65" s="54"/>
      <c r="U65" s="56"/>
    </row>
    <row r="66">
      <c r="A66" s="57" t="s">
        <v>271</v>
      </c>
      <c r="B66" s="61" t="s">
        <v>166</v>
      </c>
      <c r="C66" s="54" t="str">
        <f>IFERROR(__xludf.DUMMYFUNCTION("""COMPUTED_VALUE"""),"LD005")</f>
        <v>LD005</v>
      </c>
      <c r="D66" s="55" t="s">
        <v>42</v>
      </c>
      <c r="E66" s="55" t="s">
        <v>79</v>
      </c>
      <c r="F66" s="55" t="s">
        <v>182</v>
      </c>
      <c r="G66" s="55">
        <v>1865.0</v>
      </c>
      <c r="H66" s="55" t="s">
        <v>75</v>
      </c>
      <c r="I66" s="55" t="s">
        <v>278</v>
      </c>
      <c r="J66" s="55" t="s">
        <v>278</v>
      </c>
      <c r="K66" s="55" t="s">
        <v>61</v>
      </c>
      <c r="L66" s="55" t="s">
        <v>217</v>
      </c>
      <c r="M66" s="55" t="s">
        <v>78</v>
      </c>
      <c r="N66" s="55" t="s">
        <v>79</v>
      </c>
      <c r="O66" s="55" t="s">
        <v>218</v>
      </c>
      <c r="P66" s="55" t="s">
        <v>110</v>
      </c>
      <c r="Q66" s="54" t="str">
        <f>IFERROR(__xludf.DUMMYFUNCTION("""COMPUTED_VALUE"""),"Malaysia.AnhBiQuyet.PTATTNDL_PTV.9355_MES_HuyNV_251120")</f>
        <v>Malaysia.AnhBiQuyet.PTATTNDL_PTV.9355_MES_HuyNV_251120</v>
      </c>
      <c r="R66" s="54" t="str">
        <f>IFERROR(__xludf.DUMMYFUNCTION("""COMPUTED_VALUE"""),"NEW_Malaysia_1865_none_251120")</f>
        <v>NEW_Malaysia_1865_none_251120</v>
      </c>
      <c r="S66" s="54" t="str">
        <f>IFERROR(__xludf.DUMMYFUNCTION("""COMPUTED_VALUE"""),"saletructiep_Malaysia.AnhBiQuyet.PTATTNDL_PTATTNDL_LD005")</f>
        <v>saletructiep_Malaysia.AnhBiQuyet.PTATTNDL_PTATTNDL_LD005</v>
      </c>
      <c r="T66" s="54"/>
      <c r="U66" s="56"/>
    </row>
    <row r="67">
      <c r="A67" s="57" t="s">
        <v>271</v>
      </c>
      <c r="B67" s="61" t="s">
        <v>166</v>
      </c>
      <c r="C67" s="54" t="str">
        <f>IFERROR(__xludf.DUMMYFUNCTION("""COMPUTED_VALUE"""),"LD005")</f>
        <v>LD005</v>
      </c>
      <c r="D67" s="55" t="s">
        <v>42</v>
      </c>
      <c r="E67" s="55" t="s">
        <v>79</v>
      </c>
      <c r="F67" s="55" t="s">
        <v>280</v>
      </c>
      <c r="G67" s="55">
        <v>1865.0</v>
      </c>
      <c r="H67" s="55" t="s">
        <v>75</v>
      </c>
      <c r="I67" s="55" t="s">
        <v>281</v>
      </c>
      <c r="J67" s="55" t="s">
        <v>281</v>
      </c>
      <c r="K67" s="55" t="s">
        <v>61</v>
      </c>
      <c r="L67" s="55" t="s">
        <v>217</v>
      </c>
      <c r="M67" s="55" t="s">
        <v>78</v>
      </c>
      <c r="N67" s="55" t="s">
        <v>79</v>
      </c>
      <c r="O67" s="55" t="s">
        <v>218</v>
      </c>
      <c r="P67" s="55" t="s">
        <v>110</v>
      </c>
      <c r="Q67" s="54" t="str">
        <f>IFERROR(__xludf.DUMMYFUNCTION("""COMPUTED_VALUE"""),"Indonesia.AnhBiQuyet.PTATTNDL_PTV.9355_MES_HuyNV_251120")</f>
        <v>Indonesia.AnhBiQuyet.PTATTNDL_PTV.9355_MES_HuyNV_251120</v>
      </c>
      <c r="R67" s="54" t="str">
        <f>IFERROR(__xludf.DUMMYFUNCTION("""COMPUTED_VALUE"""),"NEW_Indonesia_1865_none_251120")</f>
        <v>NEW_Indonesia_1865_none_251120</v>
      </c>
      <c r="S67" s="54" t="str">
        <f>IFERROR(__xludf.DUMMYFUNCTION("""COMPUTED_VALUE"""),"saletructiep_Indonesia.AnhBiQuyet.PTATTNDL_PTATTNDL_LD005")</f>
        <v>saletructiep_Indonesia.AnhBiQuyet.PTATTNDL_PTATTNDL_LD005</v>
      </c>
      <c r="T67" s="54"/>
      <c r="U67" s="56"/>
    </row>
    <row r="68">
      <c r="A68" s="57" t="s">
        <v>282</v>
      </c>
      <c r="B68" s="61" t="s">
        <v>166</v>
      </c>
      <c r="C68" s="54" t="str">
        <f>IFERROR(__xludf.DUMMYFUNCTION("""COMPUTED_VALUE"""),"LD005")</f>
        <v>LD005</v>
      </c>
      <c r="D68" s="55" t="s">
        <v>42</v>
      </c>
      <c r="E68" s="55" t="s">
        <v>79</v>
      </c>
      <c r="F68" s="55" t="s">
        <v>112</v>
      </c>
      <c r="G68" s="55">
        <v>1865.0</v>
      </c>
      <c r="H68" s="55" t="s">
        <v>75</v>
      </c>
      <c r="I68" s="55" t="s">
        <v>283</v>
      </c>
      <c r="J68" s="55" t="s">
        <v>283</v>
      </c>
      <c r="K68" s="55" t="s">
        <v>61</v>
      </c>
      <c r="L68" s="55" t="s">
        <v>253</v>
      </c>
      <c r="M68" s="55" t="s">
        <v>78</v>
      </c>
      <c r="N68" s="55" t="s">
        <v>79</v>
      </c>
      <c r="O68" s="55" t="s">
        <v>224</v>
      </c>
      <c r="P68" s="55" t="s">
        <v>110</v>
      </c>
      <c r="Q68" s="54" t="str">
        <f>IFERROR(__xludf.DUMMYFUNCTION("""COMPUTED_VALUE"""),"Canada.Retro.Khoa1vs1.PTATT_DKO.7687_MES_HuyNV_021220")</f>
        <v>Canada.Retro.Khoa1vs1.PTATT_DKO.7687_MES_HuyNV_021220</v>
      </c>
      <c r="R68" s="54" t="str">
        <f>IFERROR(__xludf.DUMMYFUNCTION("""COMPUTED_VALUE"""),"NEW_Canada_1865_none_021220")</f>
        <v>NEW_Canada_1865_none_021220</v>
      </c>
      <c r="S68" s="54" t="str">
        <f>IFERROR(__xludf.DUMMYFUNCTION("""COMPUTED_VALUE"""),"saletructiep_Canada.Retro.Khoa1vs1.PTATT_PTATT_LD005")</f>
        <v>saletructiep_Canada.Retro.Khoa1vs1.PTATT_PTATT_LD005</v>
      </c>
      <c r="T68" s="54"/>
      <c r="U68" s="56"/>
    </row>
    <row r="69">
      <c r="A69" s="57" t="s">
        <v>282</v>
      </c>
      <c r="B69" s="61" t="s">
        <v>166</v>
      </c>
      <c r="C69" s="54" t="str">
        <f>IFERROR(__xludf.DUMMYFUNCTION("""COMPUTED_VALUE"""),"LD005")</f>
        <v>LD005</v>
      </c>
      <c r="D69" s="55" t="s">
        <v>42</v>
      </c>
      <c r="E69" s="55" t="s">
        <v>79</v>
      </c>
      <c r="F69" s="55" t="s">
        <v>123</v>
      </c>
      <c r="G69" s="55">
        <v>1865.0</v>
      </c>
      <c r="H69" s="55" t="s">
        <v>75</v>
      </c>
      <c r="I69" s="55" t="s">
        <v>284</v>
      </c>
      <c r="J69" s="55" t="s">
        <v>284</v>
      </c>
      <c r="K69" s="55" t="s">
        <v>61</v>
      </c>
      <c r="L69" s="55" t="s">
        <v>253</v>
      </c>
      <c r="M69" s="55" t="s">
        <v>78</v>
      </c>
      <c r="N69" s="55" t="s">
        <v>79</v>
      </c>
      <c r="O69" s="55" t="s">
        <v>224</v>
      </c>
      <c r="P69" s="55" t="s">
        <v>110</v>
      </c>
      <c r="Q69" s="54" t="str">
        <f>IFERROR(__xludf.DUMMYFUNCTION("""COMPUTED_VALUE"""),"SouthKorea.Retro.Khoa1vs1.PTATT_DKO.7687_MES_HuyNV_021220")</f>
        <v>SouthKorea.Retro.Khoa1vs1.PTATT_DKO.7687_MES_HuyNV_021220</v>
      </c>
      <c r="R69" s="54" t="str">
        <f>IFERROR(__xludf.DUMMYFUNCTION("""COMPUTED_VALUE"""),"NEW_SouthKorea_1865_none_021220")</f>
        <v>NEW_SouthKorea_1865_none_021220</v>
      </c>
      <c r="S69" s="54" t="str">
        <f>IFERROR(__xludf.DUMMYFUNCTION("""COMPUTED_VALUE"""),"saletructiep_SouthKorea.Retro.Khoa1vs1.PTATT_PTATT_LD005")</f>
        <v>saletructiep_SouthKorea.Retro.Khoa1vs1.PTATT_PTATT_LD005</v>
      </c>
      <c r="T69" s="54"/>
      <c r="U69" s="56"/>
    </row>
    <row r="70">
      <c r="A70" s="57" t="s">
        <v>282</v>
      </c>
      <c r="B70" s="61" t="s">
        <v>166</v>
      </c>
      <c r="C70" s="54" t="str">
        <f>IFERROR(__xludf.DUMMYFUNCTION("""COMPUTED_VALUE"""),"LD005")</f>
        <v>LD005</v>
      </c>
      <c r="D70" s="55" t="s">
        <v>42</v>
      </c>
      <c r="E70" s="55" t="s">
        <v>79</v>
      </c>
      <c r="F70" s="55" t="s">
        <v>107</v>
      </c>
      <c r="G70" s="55">
        <v>1865.0</v>
      </c>
      <c r="H70" s="55" t="s">
        <v>75</v>
      </c>
      <c r="I70" s="55" t="s">
        <v>286</v>
      </c>
      <c r="J70" s="55" t="s">
        <v>286</v>
      </c>
      <c r="K70" s="55" t="s">
        <v>61</v>
      </c>
      <c r="L70" s="55" t="s">
        <v>253</v>
      </c>
      <c r="M70" s="55" t="s">
        <v>78</v>
      </c>
      <c r="N70" s="55" t="s">
        <v>79</v>
      </c>
      <c r="O70" s="55" t="s">
        <v>224</v>
      </c>
      <c r="P70" s="55" t="s">
        <v>110</v>
      </c>
      <c r="Q70" s="54" t="str">
        <f>IFERROR(__xludf.DUMMYFUNCTION("""COMPUTED_VALUE"""),"UnitedStates.KHTACNV.VIdeo1vs1.PTATT_DKO.7687_MES_HuyNV_021220")</f>
        <v>UnitedStates.KHTACNV.VIdeo1vs1.PTATT_DKO.7687_MES_HuyNV_021220</v>
      </c>
      <c r="R70" s="54" t="str">
        <f>IFERROR(__xludf.DUMMYFUNCTION("""COMPUTED_VALUE"""),"NEW_UnitedStates_1865_none_021220")</f>
        <v>NEW_UnitedStates_1865_none_021220</v>
      </c>
      <c r="S70" s="54" t="str">
        <f>IFERROR(__xludf.DUMMYFUNCTION("""COMPUTED_VALUE"""),"saletructiep_UnitedStates.KHTACNV.VIdeo1vs1.PTATT_PTATT_LD005")</f>
        <v>saletructiep_UnitedStates.KHTACNV.VIdeo1vs1.PTATT_PTATT_LD005</v>
      </c>
      <c r="T70" s="54"/>
      <c r="U70" s="56"/>
    </row>
    <row r="71">
      <c r="A71" s="57" t="s">
        <v>282</v>
      </c>
      <c r="B71" s="61" t="s">
        <v>166</v>
      </c>
      <c r="C71" s="54" t="str">
        <f>IFERROR(__xludf.DUMMYFUNCTION("""COMPUTED_VALUE"""),"LD005")</f>
        <v>LD005</v>
      </c>
      <c r="D71" s="55" t="s">
        <v>42</v>
      </c>
      <c r="E71" s="55" t="s">
        <v>79</v>
      </c>
      <c r="F71" s="55" t="s">
        <v>112</v>
      </c>
      <c r="G71" s="55">
        <v>1865.0</v>
      </c>
      <c r="H71" s="55" t="s">
        <v>75</v>
      </c>
      <c r="I71" s="55" t="s">
        <v>288</v>
      </c>
      <c r="J71" s="55" t="s">
        <v>288</v>
      </c>
      <c r="K71" s="55" t="s">
        <v>61</v>
      </c>
      <c r="L71" s="55" t="s">
        <v>253</v>
      </c>
      <c r="M71" s="55" t="s">
        <v>78</v>
      </c>
      <c r="N71" s="55" t="s">
        <v>79</v>
      </c>
      <c r="O71" s="55" t="s">
        <v>224</v>
      </c>
      <c r="P71" s="55" t="s">
        <v>110</v>
      </c>
      <c r="Q71" s="54" t="str">
        <f>IFERROR(__xludf.DUMMYFUNCTION("""COMPUTED_VALUE"""),"Canada.KHTACNV.VIdeo1vs1.PTATT_DKO.7687_MES_HuyNV_021220")</f>
        <v>Canada.KHTACNV.VIdeo1vs1.PTATT_DKO.7687_MES_HuyNV_021220</v>
      </c>
      <c r="R71" s="54" t="str">
        <f>IFERROR(__xludf.DUMMYFUNCTION("""COMPUTED_VALUE"""),"NEW_Canada_1865_none_021220")</f>
        <v>NEW_Canada_1865_none_021220</v>
      </c>
      <c r="S71" s="54" t="str">
        <f>IFERROR(__xludf.DUMMYFUNCTION("""COMPUTED_VALUE"""),"saletructiep_Canada.KHTACNV.VIdeo1vs1.PTATT_PTATT_LD005")</f>
        <v>saletructiep_Canada.KHTACNV.VIdeo1vs1.PTATT_PTATT_LD005</v>
      </c>
      <c r="T71" s="54"/>
      <c r="U71" s="56"/>
    </row>
    <row r="72">
      <c r="A72" s="57" t="s">
        <v>282</v>
      </c>
      <c r="B72" s="61" t="s">
        <v>166</v>
      </c>
      <c r="C72" s="54" t="str">
        <f>IFERROR(__xludf.DUMMYFUNCTION("""COMPUTED_VALUE"""),"LD005")</f>
        <v>LD005</v>
      </c>
      <c r="D72" s="55" t="s">
        <v>42</v>
      </c>
      <c r="E72" s="55" t="s">
        <v>79</v>
      </c>
      <c r="F72" s="55" t="s">
        <v>133</v>
      </c>
      <c r="G72" s="55">
        <v>1865.0</v>
      </c>
      <c r="H72" s="55" t="s">
        <v>75</v>
      </c>
      <c r="I72" s="55" t="s">
        <v>289</v>
      </c>
      <c r="J72" s="55" t="s">
        <v>289</v>
      </c>
      <c r="K72" s="55" t="s">
        <v>61</v>
      </c>
      <c r="L72" s="55" t="s">
        <v>253</v>
      </c>
      <c r="M72" s="55" t="s">
        <v>78</v>
      </c>
      <c r="N72" s="55" t="s">
        <v>79</v>
      </c>
      <c r="O72" s="55" t="s">
        <v>224</v>
      </c>
      <c r="P72" s="55" t="s">
        <v>110</v>
      </c>
      <c r="Q72" s="54" t="str">
        <f>IFERROR(__xludf.DUMMYFUNCTION("""COMPUTED_VALUE"""),"Japan.KHTACNV.VIdeo1vs1.PTATT_DKO.7687_MES_HuyNV_021220")</f>
        <v>Japan.KHTACNV.VIdeo1vs1.PTATT_DKO.7687_MES_HuyNV_021220</v>
      </c>
      <c r="R72" s="54" t="str">
        <f>IFERROR(__xludf.DUMMYFUNCTION("""COMPUTED_VALUE"""),"NEW_Japan_1865_none_021220")</f>
        <v>NEW_Japan_1865_none_021220</v>
      </c>
      <c r="S72" s="54" t="str">
        <f>IFERROR(__xludf.DUMMYFUNCTION("""COMPUTED_VALUE"""),"saletructiep_Japan.KHTACNV.VIdeo1vs1.PTATT_PTATT_LD005")</f>
        <v>saletructiep_Japan.KHTACNV.VIdeo1vs1.PTATT_PTATT_LD005</v>
      </c>
      <c r="T72" s="54"/>
      <c r="U72" s="56"/>
    </row>
    <row r="73">
      <c r="A73" s="57" t="s">
        <v>282</v>
      </c>
      <c r="B73" s="61" t="s">
        <v>99</v>
      </c>
      <c r="C73" s="54" t="str">
        <f>IFERROR(__xludf.DUMMYFUNCTION("""COMPUTED_VALUE"""),"LD004")</f>
        <v>LD004</v>
      </c>
      <c r="D73" s="55" t="s">
        <v>42</v>
      </c>
      <c r="E73" s="55" t="s">
        <v>79</v>
      </c>
      <c r="F73" s="55" t="s">
        <v>199</v>
      </c>
      <c r="G73" s="55">
        <v>1865.0</v>
      </c>
      <c r="H73" s="55" t="s">
        <v>75</v>
      </c>
      <c r="I73" s="55" t="s">
        <v>290</v>
      </c>
      <c r="J73" s="55" t="s">
        <v>290</v>
      </c>
      <c r="K73" s="55" t="s">
        <v>61</v>
      </c>
      <c r="L73" s="55" t="s">
        <v>253</v>
      </c>
      <c r="M73" s="55" t="s">
        <v>78</v>
      </c>
      <c r="N73" s="55" t="s">
        <v>79</v>
      </c>
      <c r="O73" s="55" t="s">
        <v>224</v>
      </c>
      <c r="P73" s="55" t="s">
        <v>110</v>
      </c>
      <c r="Q73" s="54" t="str">
        <f>IFERROR(__xludf.DUMMYFUNCTION("""COMPUTED_VALUE"""),"Vietnam.VIdeo1vs1.PTATT_DKO.7687_MES_HuyNV_021220")</f>
        <v>Vietnam.VIdeo1vs1.PTATT_DKO.7687_MES_HuyNV_021220</v>
      </c>
      <c r="R73" s="54" t="str">
        <f>IFERROR(__xludf.DUMMYFUNCTION("""COMPUTED_VALUE"""),"NEW_Vietnam_1865_none_021220")</f>
        <v>NEW_Vietnam_1865_none_021220</v>
      </c>
      <c r="S73" s="54" t="str">
        <f>IFERROR(__xludf.DUMMYFUNCTION("""COMPUTED_VALUE"""),"saletructiep_Vietnam.VIdeo1vs1.PTATT_PTATT_LD004")</f>
        <v>saletructiep_Vietnam.VIdeo1vs1.PTATT_PTATT_LD004</v>
      </c>
      <c r="T73" s="54"/>
      <c r="U73" s="56"/>
    </row>
    <row r="74">
      <c r="A74" s="57" t="s">
        <v>282</v>
      </c>
      <c r="B74" s="61" t="s">
        <v>166</v>
      </c>
      <c r="C74" s="54" t="str">
        <f>IFERROR(__xludf.DUMMYFUNCTION("""COMPUTED_VALUE"""),"LD005")</f>
        <v>LD005</v>
      </c>
      <c r="D74" s="55" t="s">
        <v>42</v>
      </c>
      <c r="E74" s="55" t="s">
        <v>79</v>
      </c>
      <c r="F74" s="55" t="s">
        <v>107</v>
      </c>
      <c r="G74" s="55">
        <v>1865.0</v>
      </c>
      <c r="H74" s="55" t="s">
        <v>75</v>
      </c>
      <c r="I74" s="55" t="s">
        <v>216</v>
      </c>
      <c r="J74" s="55" t="s">
        <v>216</v>
      </c>
      <c r="K74" s="55" t="s">
        <v>61</v>
      </c>
      <c r="L74" s="55" t="s">
        <v>217</v>
      </c>
      <c r="M74" s="55" t="s">
        <v>78</v>
      </c>
      <c r="N74" s="55" t="s">
        <v>79</v>
      </c>
      <c r="O74" s="55" t="s">
        <v>218</v>
      </c>
      <c r="P74" s="55" t="s">
        <v>110</v>
      </c>
      <c r="Q74" s="54" t="str">
        <f>IFERROR(__xludf.DUMMYFUNCTION("""COMPUTED_VALUE"""),"UnitedStates.AnhGlobal.PTATTNDL_PTV.9355_MES_HuyNV_021220")</f>
        <v>UnitedStates.AnhGlobal.PTATTNDL_PTV.9355_MES_HuyNV_021220</v>
      </c>
      <c r="R74" s="54" t="str">
        <f>IFERROR(__xludf.DUMMYFUNCTION("""COMPUTED_VALUE"""),"NEW_UnitedStates_1865_none_021220")</f>
        <v>NEW_UnitedStates_1865_none_021220</v>
      </c>
      <c r="S74" s="54" t="str">
        <f>IFERROR(__xludf.DUMMYFUNCTION("""COMPUTED_VALUE"""),"saletructiep_UnitedStates.AnhGlobal.PTATTNDL_PTATTNDL_LD005")</f>
        <v>saletructiep_UnitedStates.AnhGlobal.PTATTNDL_PTATTNDL_LD005</v>
      </c>
      <c r="T74" s="54"/>
      <c r="U74" s="56"/>
    </row>
    <row r="75">
      <c r="A75" s="57" t="s">
        <v>282</v>
      </c>
      <c r="B75" s="61" t="s">
        <v>166</v>
      </c>
      <c r="C75" s="54" t="str">
        <f>IFERROR(__xludf.DUMMYFUNCTION("""COMPUTED_VALUE"""),"LD005")</f>
        <v>LD005</v>
      </c>
      <c r="D75" s="55" t="s">
        <v>42</v>
      </c>
      <c r="E75" s="55" t="s">
        <v>79</v>
      </c>
      <c r="F75" s="55" t="s">
        <v>112</v>
      </c>
      <c r="G75" s="55">
        <v>1865.0</v>
      </c>
      <c r="H75" s="55" t="s">
        <v>75</v>
      </c>
      <c r="I75" s="55" t="s">
        <v>292</v>
      </c>
      <c r="J75" s="55" t="s">
        <v>292</v>
      </c>
      <c r="K75" s="55" t="s">
        <v>61</v>
      </c>
      <c r="L75" s="55" t="s">
        <v>217</v>
      </c>
      <c r="M75" s="55" t="s">
        <v>78</v>
      </c>
      <c r="N75" s="55" t="s">
        <v>79</v>
      </c>
      <c r="O75" s="55" t="s">
        <v>218</v>
      </c>
      <c r="P75" s="55" t="s">
        <v>110</v>
      </c>
      <c r="Q75" s="54" t="str">
        <f>IFERROR(__xludf.DUMMYFUNCTION("""COMPUTED_VALUE"""),"Canada.AnhBiQuyetl.PTATTNDL_PTV.9355_MES_HuyNV_021220")</f>
        <v>Canada.AnhBiQuyetl.PTATTNDL_PTV.9355_MES_HuyNV_021220</v>
      </c>
      <c r="R75" s="54" t="str">
        <f>IFERROR(__xludf.DUMMYFUNCTION("""COMPUTED_VALUE"""),"NEW_Canada_1865_none_021220")</f>
        <v>NEW_Canada_1865_none_021220</v>
      </c>
      <c r="S75" s="54" t="str">
        <f>IFERROR(__xludf.DUMMYFUNCTION("""COMPUTED_VALUE"""),"saletructiep_Canada.AnhBiQuyetl.PTATTNDL_PTATTNDL_LD005")</f>
        <v>saletructiep_Canada.AnhBiQuyetl.PTATTNDL_PTATTNDL_LD005</v>
      </c>
      <c r="T75" s="54"/>
      <c r="U75" s="56"/>
    </row>
    <row r="76">
      <c r="A76" s="57" t="s">
        <v>294</v>
      </c>
      <c r="B76" s="61" t="s">
        <v>166</v>
      </c>
      <c r="C76" s="54" t="str">
        <f>IFERROR(__xludf.DUMMYFUNCTION("""COMPUTED_VALUE"""),"LD005")</f>
        <v>LD005</v>
      </c>
      <c r="D76" s="55" t="s">
        <v>42</v>
      </c>
      <c r="E76" s="55" t="s">
        <v>79</v>
      </c>
      <c r="F76" s="55" t="s">
        <v>107</v>
      </c>
      <c r="G76" s="55">
        <v>1865.0</v>
      </c>
      <c r="H76" s="55" t="s">
        <v>75</v>
      </c>
      <c r="I76" s="55" t="s">
        <v>295</v>
      </c>
      <c r="J76" s="55" t="s">
        <v>295</v>
      </c>
      <c r="K76" s="55" t="s">
        <v>61</v>
      </c>
      <c r="L76" s="55" t="s">
        <v>217</v>
      </c>
      <c r="M76" s="55" t="s">
        <v>78</v>
      </c>
      <c r="N76" s="55" t="s">
        <v>79</v>
      </c>
      <c r="O76" s="55" t="s">
        <v>218</v>
      </c>
      <c r="P76" s="55" t="s">
        <v>110</v>
      </c>
      <c r="Q76" s="54" t="str">
        <f>IFERROR(__xludf.DUMMYFUNCTION("""COMPUTED_VALUE"""),"UnitedStates.AnhBiQuyetlRetro.PTATTNDL_PTV.9355_MES_HuyNV_061220")</f>
        <v>UnitedStates.AnhBiQuyetlRetro.PTATTNDL_PTV.9355_MES_HuyNV_061220</v>
      </c>
      <c r="R76" s="54" t="str">
        <f>IFERROR(__xludf.DUMMYFUNCTION("""COMPUTED_VALUE"""),"NEW_UnitedStates_1865_none_061220")</f>
        <v>NEW_UnitedStates_1865_none_061220</v>
      </c>
      <c r="S76" s="54" t="str">
        <f>IFERROR(__xludf.DUMMYFUNCTION("""COMPUTED_VALUE"""),"saletructiep_UnitedStates.AnhBiQuyetlRetro.PTATTNDL_PTATTNDL_LD005")</f>
        <v>saletructiep_UnitedStates.AnhBiQuyetlRetro.PTATTNDL_PTATTNDL_LD005</v>
      </c>
      <c r="T76" s="54"/>
      <c r="U76" s="56"/>
    </row>
    <row r="77">
      <c r="A77" s="57" t="s">
        <v>294</v>
      </c>
      <c r="B77" s="61" t="s">
        <v>166</v>
      </c>
      <c r="C77" s="54" t="str">
        <f>IFERROR(__xludf.DUMMYFUNCTION("""COMPUTED_VALUE"""),"LD005")</f>
        <v>LD005</v>
      </c>
      <c r="D77" s="55" t="s">
        <v>42</v>
      </c>
      <c r="E77" s="55" t="s">
        <v>79</v>
      </c>
      <c r="F77" s="55" t="s">
        <v>112</v>
      </c>
      <c r="G77" s="55">
        <v>1865.0</v>
      </c>
      <c r="H77" s="55" t="s">
        <v>75</v>
      </c>
      <c r="I77" s="55" t="s">
        <v>296</v>
      </c>
      <c r="J77" s="55" t="s">
        <v>296</v>
      </c>
      <c r="K77" s="55" t="s">
        <v>61</v>
      </c>
      <c r="L77" s="55" t="s">
        <v>217</v>
      </c>
      <c r="M77" s="55" t="s">
        <v>78</v>
      </c>
      <c r="N77" s="55" t="s">
        <v>79</v>
      </c>
      <c r="O77" s="55" t="s">
        <v>218</v>
      </c>
      <c r="P77" s="55" t="s">
        <v>110</v>
      </c>
      <c r="Q77" s="54" t="str">
        <f>IFERROR(__xludf.DUMMYFUNCTION("""COMPUTED_VALUE"""),"Canada.AnhBiQuyetlRetro.PTATTNDL_PTV.9355_MES_HuyNV_061220")</f>
        <v>Canada.AnhBiQuyetlRetro.PTATTNDL_PTV.9355_MES_HuyNV_061220</v>
      </c>
      <c r="R77" s="54" t="str">
        <f>IFERROR(__xludf.DUMMYFUNCTION("""COMPUTED_VALUE"""),"NEW_Canada_1865_none_061220")</f>
        <v>NEW_Canada_1865_none_061220</v>
      </c>
      <c r="S77" s="54" t="str">
        <f>IFERROR(__xludf.DUMMYFUNCTION("""COMPUTED_VALUE"""),"saletructiep_Canada.AnhBiQuyetlRetro.PTATTNDL_PTATTNDL_LD005")</f>
        <v>saletructiep_Canada.AnhBiQuyetlRetro.PTATTNDL_PTATTNDL_LD005</v>
      </c>
      <c r="T77" s="54"/>
      <c r="U77" s="56"/>
    </row>
    <row r="78">
      <c r="A78" s="57" t="s">
        <v>297</v>
      </c>
      <c r="B78" s="61" t="s">
        <v>166</v>
      </c>
      <c r="C78" s="54" t="str">
        <f>IFERROR(__xludf.DUMMYFUNCTION("""COMPUTED_VALUE"""),"LD005")</f>
        <v>LD005</v>
      </c>
      <c r="D78" s="55" t="s">
        <v>42</v>
      </c>
      <c r="E78" s="55" t="s">
        <v>79</v>
      </c>
      <c r="F78" s="55" t="s">
        <v>174</v>
      </c>
      <c r="G78" s="55">
        <v>1865.0</v>
      </c>
      <c r="H78" s="55" t="s">
        <v>75</v>
      </c>
      <c r="I78" s="55" t="s">
        <v>298</v>
      </c>
      <c r="J78" s="55" t="s">
        <v>298</v>
      </c>
      <c r="K78" s="55" t="s">
        <v>61</v>
      </c>
      <c r="L78" s="55" t="s">
        <v>253</v>
      </c>
      <c r="M78" s="55" t="s">
        <v>78</v>
      </c>
      <c r="N78" s="55" t="s">
        <v>79</v>
      </c>
      <c r="O78" s="55" t="s">
        <v>224</v>
      </c>
      <c r="P78" s="55" t="s">
        <v>110</v>
      </c>
      <c r="Q78" s="54" t="str">
        <f>IFERROR(__xludf.DUMMYFUNCTION("""COMPUTED_VALUE"""),"Philippines.VIdeo1vs1.PTATT_DKO.7687_MES_HuyNV_071220")</f>
        <v>Philippines.VIdeo1vs1.PTATT_DKO.7687_MES_HuyNV_071220</v>
      </c>
      <c r="R78" s="54" t="str">
        <f>IFERROR(__xludf.DUMMYFUNCTION("""COMPUTED_VALUE"""),"NEW_Philippines_1865_none_071220")</f>
        <v>NEW_Philippines_1865_none_071220</v>
      </c>
      <c r="S78" s="54" t="str">
        <f>IFERROR(__xludf.DUMMYFUNCTION("""COMPUTED_VALUE"""),"saletructiep_Philippines.VIdeo1vs1.PTATT_PTATT_LD005")</f>
        <v>saletructiep_Philippines.VIdeo1vs1.PTATT_PTATT_LD005</v>
      </c>
      <c r="T78" s="54"/>
      <c r="U78" s="56"/>
    </row>
    <row r="79">
      <c r="A79" s="57" t="s">
        <v>297</v>
      </c>
      <c r="B79" s="61" t="s">
        <v>166</v>
      </c>
      <c r="C79" s="54" t="str">
        <f>IFERROR(__xludf.DUMMYFUNCTION("""COMPUTED_VALUE"""),"LD005")</f>
        <v>LD005</v>
      </c>
      <c r="D79" s="55" t="s">
        <v>42</v>
      </c>
      <c r="E79" s="55" t="s">
        <v>79</v>
      </c>
      <c r="F79" s="55" t="s">
        <v>268</v>
      </c>
      <c r="G79" s="55">
        <v>1865.0</v>
      </c>
      <c r="H79" s="55" t="s">
        <v>75</v>
      </c>
      <c r="I79" s="55" t="s">
        <v>300</v>
      </c>
      <c r="J79" s="55" t="s">
        <v>300</v>
      </c>
      <c r="K79" s="55" t="s">
        <v>61</v>
      </c>
      <c r="L79" s="55" t="s">
        <v>253</v>
      </c>
      <c r="M79" s="55" t="s">
        <v>78</v>
      </c>
      <c r="N79" s="55" t="s">
        <v>79</v>
      </c>
      <c r="O79" s="55" t="s">
        <v>224</v>
      </c>
      <c r="P79" s="55" t="s">
        <v>110</v>
      </c>
      <c r="Q79" s="54" t="str">
        <f>IFERROR(__xludf.DUMMYFUNCTION("""COMPUTED_VALUE"""),"Czechia.VIdeo1vs1.PTATT_DKO.7687_MES_HuyNV_071220")</f>
        <v>Czechia.VIdeo1vs1.PTATT_DKO.7687_MES_HuyNV_071220</v>
      </c>
      <c r="R79" s="54" t="str">
        <f>IFERROR(__xludf.DUMMYFUNCTION("""COMPUTED_VALUE"""),"NEW_Czechia_1865_none_071220")</f>
        <v>NEW_Czechia_1865_none_071220</v>
      </c>
      <c r="S79" s="54" t="str">
        <f>IFERROR(__xludf.DUMMYFUNCTION("""COMPUTED_VALUE"""),"saletructiep_Czechia.VIdeo1vs1.PTATT_PTATT_LD005")</f>
        <v>saletructiep_Czechia.VIdeo1vs1.PTATT_PTATT_LD005</v>
      </c>
      <c r="T79" s="54"/>
      <c r="U79" s="56"/>
    </row>
    <row r="80">
      <c r="A80" s="57" t="s">
        <v>297</v>
      </c>
      <c r="B80" s="61" t="s">
        <v>166</v>
      </c>
      <c r="C80" s="54" t="str">
        <f>IFERROR(__xludf.DUMMYFUNCTION("""COMPUTED_VALUE"""),"LD005")</f>
        <v>LD005</v>
      </c>
      <c r="D80" s="55" t="s">
        <v>42</v>
      </c>
      <c r="E80" s="55" t="s">
        <v>79</v>
      </c>
      <c r="F80" s="55" t="s">
        <v>303</v>
      </c>
      <c r="G80" s="55">
        <v>1865.0</v>
      </c>
      <c r="H80" s="55" t="s">
        <v>75</v>
      </c>
      <c r="I80" s="55" t="s">
        <v>304</v>
      </c>
      <c r="J80" s="55" t="s">
        <v>304</v>
      </c>
      <c r="K80" s="55" t="s">
        <v>61</v>
      </c>
      <c r="L80" s="55" t="s">
        <v>253</v>
      </c>
      <c r="M80" s="55" t="s">
        <v>78</v>
      </c>
      <c r="N80" s="55" t="s">
        <v>79</v>
      </c>
      <c r="O80" s="55" t="s">
        <v>224</v>
      </c>
      <c r="P80" s="55" t="s">
        <v>110</v>
      </c>
      <c r="Q80" s="54" t="str">
        <f>IFERROR(__xludf.DUMMYFUNCTION("""COMPUTED_VALUE"""),"Cambodia.VIdeo1vs1.PTATT_DKO.7687_MES_HuyNV_071220")</f>
        <v>Cambodia.VIdeo1vs1.PTATT_DKO.7687_MES_HuyNV_071220</v>
      </c>
      <c r="R80" s="54" t="str">
        <f>IFERROR(__xludf.DUMMYFUNCTION("""COMPUTED_VALUE"""),"NEW_Cambodia_1865_none_071220")</f>
        <v>NEW_Cambodia_1865_none_071220</v>
      </c>
      <c r="S80" s="54" t="str">
        <f>IFERROR(__xludf.DUMMYFUNCTION("""COMPUTED_VALUE"""),"saletructiep_Cambodia.VIdeo1vs1.PTATT_PTATT_LD005")</f>
        <v>saletructiep_Cambodia.VIdeo1vs1.PTATT_PTATT_LD005</v>
      </c>
      <c r="T80" s="54"/>
      <c r="U80" s="56"/>
    </row>
    <row r="81">
      <c r="A81" s="57" t="s">
        <v>297</v>
      </c>
      <c r="B81" s="61" t="s">
        <v>166</v>
      </c>
      <c r="C81" s="54" t="str">
        <f>IFERROR(__xludf.DUMMYFUNCTION("""COMPUTED_VALUE"""),"LD005")</f>
        <v>LD005</v>
      </c>
      <c r="D81" s="55" t="s">
        <v>42</v>
      </c>
      <c r="E81" s="55" t="s">
        <v>79</v>
      </c>
      <c r="F81" s="55" t="s">
        <v>174</v>
      </c>
      <c r="G81" s="55">
        <v>1865.0</v>
      </c>
      <c r="H81" s="55" t="s">
        <v>75</v>
      </c>
      <c r="I81" s="55" t="s">
        <v>306</v>
      </c>
      <c r="J81" s="55" t="s">
        <v>306</v>
      </c>
      <c r="K81" s="55" t="s">
        <v>61</v>
      </c>
      <c r="L81" s="55" t="s">
        <v>253</v>
      </c>
      <c r="M81" s="55" t="s">
        <v>78</v>
      </c>
      <c r="N81" s="55" t="s">
        <v>79</v>
      </c>
      <c r="O81" s="55" t="s">
        <v>218</v>
      </c>
      <c r="P81" s="55" t="s">
        <v>110</v>
      </c>
      <c r="Q81" s="54" t="str">
        <f>IFERROR(__xludf.DUMMYFUNCTION("""COMPUTED_VALUE"""),"Philippines.AnhBiQuyetlRetro.PTATTNDL_DKO.7687_MES_HuyNV_071220")</f>
        <v>Philippines.AnhBiQuyetlRetro.PTATTNDL_DKO.7687_MES_HuyNV_071220</v>
      </c>
      <c r="R81" s="54" t="str">
        <f>IFERROR(__xludf.DUMMYFUNCTION("""COMPUTED_VALUE"""),"NEW_Philippines_1865_none_071220")</f>
        <v>NEW_Philippines_1865_none_071220</v>
      </c>
      <c r="S81" s="54" t="str">
        <f>IFERROR(__xludf.DUMMYFUNCTION("""COMPUTED_VALUE"""),"saletructiep_Philippines.AnhBiQuyetlRetro.PTATTNDL_PTATTNDL_LD005")</f>
        <v>saletructiep_Philippines.AnhBiQuyetlRetro.PTATTNDL_PTATTNDL_LD005</v>
      </c>
      <c r="T81" s="54"/>
      <c r="U81" s="56"/>
    </row>
    <row r="82">
      <c r="A82" s="57" t="s">
        <v>297</v>
      </c>
      <c r="B82" s="61" t="s">
        <v>166</v>
      </c>
      <c r="C82" s="54" t="str">
        <f>IFERROR(__xludf.DUMMYFUNCTION("""COMPUTED_VALUE"""),"LD005")</f>
        <v>LD005</v>
      </c>
      <c r="D82" s="55" t="s">
        <v>42</v>
      </c>
      <c r="E82" s="55" t="s">
        <v>79</v>
      </c>
      <c r="F82" s="55" t="s">
        <v>307</v>
      </c>
      <c r="G82" s="55">
        <v>1865.0</v>
      </c>
      <c r="H82" s="55" t="s">
        <v>75</v>
      </c>
      <c r="I82" s="55" t="s">
        <v>308</v>
      </c>
      <c r="J82" s="55" t="s">
        <v>308</v>
      </c>
      <c r="K82" s="55" t="s">
        <v>61</v>
      </c>
      <c r="L82" s="55" t="s">
        <v>253</v>
      </c>
      <c r="M82" s="55" t="s">
        <v>78</v>
      </c>
      <c r="N82" s="55" t="s">
        <v>79</v>
      </c>
      <c r="O82" s="55" t="s">
        <v>218</v>
      </c>
      <c r="P82" s="55" t="s">
        <v>110</v>
      </c>
      <c r="Q82" s="54" t="str">
        <f>IFERROR(__xludf.DUMMYFUNCTION("""COMPUTED_VALUE"""),"HongKong.AnhBiQuyetlRetro.PTATTNDL_DKO.7687_MES_HuyNV_071220")</f>
        <v>HongKong.AnhBiQuyetlRetro.PTATTNDL_DKO.7687_MES_HuyNV_071220</v>
      </c>
      <c r="R82" s="54" t="str">
        <f>IFERROR(__xludf.DUMMYFUNCTION("""COMPUTED_VALUE"""),"NEW_HongKong_1865_none_071220")</f>
        <v>NEW_HongKong_1865_none_071220</v>
      </c>
      <c r="S82" s="54" t="str">
        <f>IFERROR(__xludf.DUMMYFUNCTION("""COMPUTED_VALUE"""),"saletructiep_HongKong.AnhBiQuyetlRetro.PTATTNDL_PTATTNDL_LD005")</f>
        <v>saletructiep_HongKong.AnhBiQuyetlRetro.PTATTNDL_PTATTNDL_LD005</v>
      </c>
      <c r="T82" s="54"/>
      <c r="U82" s="56"/>
    </row>
    <row r="83">
      <c r="A83" s="57" t="s">
        <v>297</v>
      </c>
      <c r="B83" s="61" t="s">
        <v>166</v>
      </c>
      <c r="C83" s="54" t="str">
        <f>IFERROR(__xludf.DUMMYFUNCTION("""COMPUTED_VALUE"""),"LD005")</f>
        <v>LD005</v>
      </c>
      <c r="D83" s="55" t="s">
        <v>42</v>
      </c>
      <c r="E83" s="55" t="s">
        <v>79</v>
      </c>
      <c r="F83" s="55" t="s">
        <v>311</v>
      </c>
      <c r="G83" s="55">
        <v>1865.0</v>
      </c>
      <c r="H83" s="55" t="s">
        <v>75</v>
      </c>
      <c r="I83" s="55" t="s">
        <v>312</v>
      </c>
      <c r="J83" s="55" t="s">
        <v>312</v>
      </c>
      <c r="K83" s="55" t="s">
        <v>61</v>
      </c>
      <c r="L83" s="55" t="s">
        <v>253</v>
      </c>
      <c r="M83" s="55" t="s">
        <v>78</v>
      </c>
      <c r="N83" s="55" t="s">
        <v>79</v>
      </c>
      <c r="O83" s="55" t="s">
        <v>218</v>
      </c>
      <c r="P83" s="55" t="s">
        <v>110</v>
      </c>
      <c r="Q83" s="54" t="str">
        <f>IFERROR(__xludf.DUMMYFUNCTION("""COMPUTED_VALUE"""),"Mexico.AnhBiQuyetlRetro.PTATTNDL_DKO.7687_MES_HuyNV_071220")</f>
        <v>Mexico.AnhBiQuyetlRetro.PTATTNDL_DKO.7687_MES_HuyNV_071220</v>
      </c>
      <c r="R83" s="54" t="str">
        <f>IFERROR(__xludf.DUMMYFUNCTION("""COMPUTED_VALUE"""),"NEW_Mexico_1865_none_071220")</f>
        <v>NEW_Mexico_1865_none_071220</v>
      </c>
      <c r="S83" s="54" t="str">
        <f>IFERROR(__xludf.DUMMYFUNCTION("""COMPUTED_VALUE"""),"saletructiep_Mexico.AnhBiQuyetlRetro.PTATTNDL_PTATTNDL_LD005")</f>
        <v>saletructiep_Mexico.AnhBiQuyetlRetro.PTATTNDL_PTATTNDL_LD005</v>
      </c>
      <c r="T83" s="54"/>
      <c r="U83" s="56"/>
    </row>
    <row r="84">
      <c r="A84" s="57" t="s">
        <v>297</v>
      </c>
      <c r="B84" s="61" t="s">
        <v>83</v>
      </c>
      <c r="C84" s="54" t="str">
        <f>IFERROR(__xludf.DUMMYFUNCTION("""COMPUTED_VALUE"""),"LD008")</f>
        <v>LD008</v>
      </c>
      <c r="D84" s="55" t="s">
        <v>212</v>
      </c>
      <c r="E84" s="55" t="s">
        <v>42</v>
      </c>
      <c r="F84" s="55" t="s">
        <v>46</v>
      </c>
      <c r="G84" s="55">
        <v>1822.0</v>
      </c>
      <c r="H84" s="55" t="s">
        <v>214</v>
      </c>
      <c r="I84" s="55" t="s">
        <v>314</v>
      </c>
      <c r="J84" s="55" t="s">
        <v>315</v>
      </c>
      <c r="K84" s="55" t="s">
        <v>61</v>
      </c>
      <c r="L84" s="55" t="s">
        <v>70</v>
      </c>
      <c r="M84" s="55" t="s">
        <v>78</v>
      </c>
      <c r="N84" s="55" t="s">
        <v>213</v>
      </c>
      <c r="O84" s="55" t="s">
        <v>70</v>
      </c>
      <c r="P84" s="55" t="s">
        <v>70</v>
      </c>
      <c r="Q84" s="54" t="str">
        <f>IFERROR(__xludf.DUMMYFUNCTION("""COMPUTED_VALUE"""),"TaiTroNgoaiThuong_NON_SEO_TuanTQ_071220")</f>
        <v>TaiTroNgoaiThuong_NON_SEO_TuanTQ_071220</v>
      </c>
      <c r="R84" s="54" t="str">
        <f>IFERROR(__xludf.DUMMYFUNCTION("""COMPUTED_VALUE"""),"NON_HN_1822_none_071220")</f>
        <v>NON_HN_1822_none_071220</v>
      </c>
      <c r="S84" s="54" t="str">
        <f>IFERROR(__xludf.DUMMYFUNCTION("""COMPUTED_VALUE"""),"saletructiep_PageNgoaiThuong_NON_LD008")</f>
        <v>saletructiep_PageNgoaiThuong_NON_LD008</v>
      </c>
      <c r="T84" s="54"/>
      <c r="U84" s="56"/>
    </row>
    <row r="85">
      <c r="A85" s="57" t="s">
        <v>318</v>
      </c>
      <c r="B85" s="61" t="s">
        <v>319</v>
      </c>
      <c r="C85" s="54" t="str">
        <f>IFERROR(__xludf.DUMMYFUNCTION("""COMPUTED_VALUE"""),"LD009")</f>
        <v>LD009</v>
      </c>
      <c r="D85" s="55" t="s">
        <v>212</v>
      </c>
      <c r="E85" s="55" t="s">
        <v>320</v>
      </c>
      <c r="F85" s="55" t="s">
        <v>60</v>
      </c>
      <c r="G85" s="55" t="s">
        <v>321</v>
      </c>
      <c r="H85" s="55" t="s">
        <v>214</v>
      </c>
      <c r="I85" s="55" t="s">
        <v>322</v>
      </c>
      <c r="J85" s="55" t="s">
        <v>322</v>
      </c>
      <c r="K85" s="55" t="s">
        <v>61</v>
      </c>
      <c r="L85" s="55" t="s">
        <v>70</v>
      </c>
      <c r="M85" s="55" t="s">
        <v>116</v>
      </c>
      <c r="N85" s="55" t="s">
        <v>213</v>
      </c>
      <c r="O85" s="55" t="s">
        <v>70</v>
      </c>
      <c r="P85" s="55" t="s">
        <v>70</v>
      </c>
      <c r="Q85" s="54" t="str">
        <f>IFERROR(__xludf.DUMMYFUNCTION("""COMPUTED_VALUE"""),"None_NON_SEO_TuanTQ_091220")</f>
        <v>None_NON_SEO_TuanTQ_091220</v>
      </c>
      <c r="R85" s="54" t="str">
        <f>IFERROR(__xludf.DUMMYFUNCTION("""COMPUTED_VALUE"""),"NON_NONE_all_none_091220")</f>
        <v>NON_NONE_all_none_091220</v>
      </c>
      <c r="S85" s="54" t="str">
        <f>IFERROR(__xludf.DUMMYFUNCTION("""COMPUTED_VALUE"""),"khac_None_NON_LD009")</f>
        <v>khac_None_NON_LD009</v>
      </c>
      <c r="T85" s="54"/>
      <c r="U85" s="56"/>
    </row>
    <row r="86">
      <c r="A86" s="57" t="s">
        <v>318</v>
      </c>
      <c r="B86" s="61" t="s">
        <v>166</v>
      </c>
      <c r="C86" s="54" t="str">
        <f>IFERROR(__xludf.DUMMYFUNCTION("""COMPUTED_VALUE"""),"LD005")</f>
        <v>LD005</v>
      </c>
      <c r="D86" s="55" t="s">
        <v>42</v>
      </c>
      <c r="E86" s="55" t="s">
        <v>79</v>
      </c>
      <c r="F86" s="55" t="s">
        <v>307</v>
      </c>
      <c r="G86" s="55">
        <v>1865.0</v>
      </c>
      <c r="H86" s="55" t="s">
        <v>75</v>
      </c>
      <c r="I86" s="55" t="s">
        <v>323</v>
      </c>
      <c r="J86" s="55" t="s">
        <v>323</v>
      </c>
      <c r="K86" s="55" t="s">
        <v>61</v>
      </c>
      <c r="L86" s="55" t="s">
        <v>253</v>
      </c>
      <c r="M86" s="55" t="s">
        <v>78</v>
      </c>
      <c r="N86" s="55" t="s">
        <v>79</v>
      </c>
      <c r="O86" s="55" t="s">
        <v>224</v>
      </c>
      <c r="P86" s="55" t="s">
        <v>110</v>
      </c>
      <c r="Q86" s="54" t="str">
        <f>IFERROR(__xludf.DUMMYFUNCTION("""COMPUTED_VALUE"""),"HongKong.VIdeo1vs1.PTATT_DKO.7687_MES_HuyNV_091220")</f>
        <v>HongKong.VIdeo1vs1.PTATT_DKO.7687_MES_HuyNV_091220</v>
      </c>
      <c r="R86" s="54" t="str">
        <f>IFERROR(__xludf.DUMMYFUNCTION("""COMPUTED_VALUE"""),"NEW_HongKong_1865_none_091220")</f>
        <v>NEW_HongKong_1865_none_091220</v>
      </c>
      <c r="S86" s="54" t="str">
        <f>IFERROR(__xludf.DUMMYFUNCTION("""COMPUTED_VALUE"""),"saletructiep_HongKong.VIdeo1vs1.PTATT_PTATT_LD005")</f>
        <v>saletructiep_HongKong.VIdeo1vs1.PTATT_PTATT_LD005</v>
      </c>
      <c r="T86" s="54"/>
      <c r="U86" s="56"/>
    </row>
    <row r="87">
      <c r="A87" s="57" t="s">
        <v>318</v>
      </c>
      <c r="B87" s="61" t="s">
        <v>166</v>
      </c>
      <c r="C87" s="54" t="str">
        <f>IFERROR(__xludf.DUMMYFUNCTION("""COMPUTED_VALUE"""),"LD005")</f>
        <v>LD005</v>
      </c>
      <c r="D87" s="55" t="s">
        <v>42</v>
      </c>
      <c r="E87" s="55" t="s">
        <v>69</v>
      </c>
      <c r="F87" s="55" t="s">
        <v>268</v>
      </c>
      <c r="G87" s="55">
        <v>1865.0</v>
      </c>
      <c r="H87" s="55" t="s">
        <v>75</v>
      </c>
      <c r="I87" s="55" t="s">
        <v>300</v>
      </c>
      <c r="J87" s="55" t="s">
        <v>300</v>
      </c>
      <c r="K87" s="55" t="s">
        <v>61</v>
      </c>
      <c r="L87" s="74" t="s">
        <v>326</v>
      </c>
      <c r="M87" s="55" t="s">
        <v>78</v>
      </c>
      <c r="N87" s="55" t="s">
        <v>69</v>
      </c>
      <c r="O87" s="55" t="s">
        <v>224</v>
      </c>
      <c r="P87" s="55" t="s">
        <v>110</v>
      </c>
      <c r="Q87" s="54" t="str">
        <f>IFERROR(__xludf.DUMMYFUNCTION("""COMPUTED_VALUE"""),"Czechia.VIdeo1vs1.PTATT_Patado1.BMAR_CVS_HuyNV_091220")</f>
        <v>Czechia.VIdeo1vs1.PTATT_Patado1.BMAR_CVS_HuyNV_091220</v>
      </c>
      <c r="R87" s="54" t="str">
        <f>IFERROR(__xludf.DUMMYFUNCTION("""COMPUTED_VALUE"""),"NEW_Czechia_1865_none_091220")</f>
        <v>NEW_Czechia_1865_none_091220</v>
      </c>
      <c r="S87" s="54" t="str">
        <f>IFERROR(__xludf.DUMMYFUNCTION("""COMPUTED_VALUE"""),"saletructiep_Czechia.VIdeo1vs1.PTATT_PTATT_LD005")</f>
        <v>saletructiep_Czechia.VIdeo1vs1.PTATT_PTATT_LD005</v>
      </c>
      <c r="T87" s="54"/>
      <c r="U87" s="56"/>
    </row>
    <row r="88">
      <c r="A88" s="57" t="s">
        <v>318</v>
      </c>
      <c r="B88" s="61" t="s">
        <v>166</v>
      </c>
      <c r="C88" s="54" t="str">
        <f>IFERROR(__xludf.DUMMYFUNCTION("""COMPUTED_VALUE"""),"LD005")</f>
        <v>LD005</v>
      </c>
      <c r="D88" s="55" t="s">
        <v>42</v>
      </c>
      <c r="E88" s="55" t="s">
        <v>79</v>
      </c>
      <c r="F88" s="55" t="s">
        <v>174</v>
      </c>
      <c r="G88" s="55">
        <v>1865.0</v>
      </c>
      <c r="H88" s="55" t="s">
        <v>75</v>
      </c>
      <c r="I88" s="55" t="s">
        <v>298</v>
      </c>
      <c r="J88" s="55" t="s">
        <v>298</v>
      </c>
      <c r="K88" s="55" t="s">
        <v>61</v>
      </c>
      <c r="L88" s="74" t="s">
        <v>217</v>
      </c>
      <c r="M88" s="55" t="s">
        <v>78</v>
      </c>
      <c r="N88" s="55" t="s">
        <v>79</v>
      </c>
      <c r="O88" s="55" t="s">
        <v>224</v>
      </c>
      <c r="P88" s="55" t="s">
        <v>110</v>
      </c>
      <c r="Q88" s="54" t="str">
        <f>IFERROR(__xludf.DUMMYFUNCTION("""COMPUTED_VALUE"""),"Philippines.VIdeo1vs1.PTATT_PTV.9355_MES_HuyNV_091220")</f>
        <v>Philippines.VIdeo1vs1.PTATT_PTV.9355_MES_HuyNV_091220</v>
      </c>
      <c r="R88" s="54" t="str">
        <f>IFERROR(__xludf.DUMMYFUNCTION("""COMPUTED_VALUE"""),"NEW_Philippines_1865_none_091220")</f>
        <v>NEW_Philippines_1865_none_091220</v>
      </c>
      <c r="S88" s="54" t="str">
        <f>IFERROR(__xludf.DUMMYFUNCTION("""COMPUTED_VALUE"""),"saletructiep_Philippines.VIdeo1vs1.PTATT_PTATT_LD005")</f>
        <v>saletructiep_Philippines.VIdeo1vs1.PTATT_PTATT_LD005</v>
      </c>
      <c r="T88" s="54"/>
      <c r="U88" s="56"/>
    </row>
    <row r="89">
      <c r="A89" s="57" t="s">
        <v>327</v>
      </c>
      <c r="B89" s="61" t="s">
        <v>166</v>
      </c>
      <c r="C89" s="54" t="str">
        <f>IFERROR(__xludf.DUMMYFUNCTION("""COMPUTED_VALUE"""),"LD005")</f>
        <v>LD005</v>
      </c>
      <c r="D89" s="55" t="s">
        <v>42</v>
      </c>
      <c r="E89" s="55" t="s">
        <v>79</v>
      </c>
      <c r="F89" s="55" t="s">
        <v>129</v>
      </c>
      <c r="G89" s="55">
        <v>1865.0</v>
      </c>
      <c r="H89" s="55" t="s">
        <v>75</v>
      </c>
      <c r="I89" s="55" t="s">
        <v>328</v>
      </c>
      <c r="J89" s="55" t="s">
        <v>328</v>
      </c>
      <c r="K89" s="55" t="s">
        <v>61</v>
      </c>
      <c r="L89" s="74" t="s">
        <v>217</v>
      </c>
      <c r="M89" s="55" t="s">
        <v>78</v>
      </c>
      <c r="N89" s="55" t="s">
        <v>79</v>
      </c>
      <c r="O89" s="55" t="s">
        <v>224</v>
      </c>
      <c r="P89" s="55" t="s">
        <v>110</v>
      </c>
      <c r="Q89" s="54" t="str">
        <f>IFERROR(__xludf.DUMMYFUNCTION("""COMPUTED_VALUE"""),"Australia.VIdeo1vs1.PTATT_PTV.9355_MES_HuyNV_141220")</f>
        <v>Australia.VIdeo1vs1.PTATT_PTV.9355_MES_HuyNV_141220</v>
      </c>
      <c r="R89" s="54" t="str">
        <f>IFERROR(__xludf.DUMMYFUNCTION("""COMPUTED_VALUE"""),"NEW_Australia_1865_none_141220")</f>
        <v>NEW_Australia_1865_none_141220</v>
      </c>
      <c r="S89" s="54" t="str">
        <f>IFERROR(__xludf.DUMMYFUNCTION("""COMPUTED_VALUE"""),"saletructiep_Australia.VIdeo1vs1.PTATT_PTATT_LD005")</f>
        <v>saletructiep_Australia.VIdeo1vs1.PTATT_PTATT_LD005</v>
      </c>
      <c r="T89" s="54"/>
      <c r="U89" s="56"/>
    </row>
    <row r="90">
      <c r="A90" s="57" t="s">
        <v>327</v>
      </c>
      <c r="B90" s="61" t="s">
        <v>166</v>
      </c>
      <c r="C90" s="54" t="str">
        <f>IFERROR(__xludf.DUMMYFUNCTION("""COMPUTED_VALUE"""),"LD005")</f>
        <v>LD005</v>
      </c>
      <c r="D90" s="55" t="s">
        <v>42</v>
      </c>
      <c r="E90" s="55" t="s">
        <v>79</v>
      </c>
      <c r="F90" s="55" t="s">
        <v>174</v>
      </c>
      <c r="G90" s="55">
        <v>1865.0</v>
      </c>
      <c r="H90" s="55" t="s">
        <v>75</v>
      </c>
      <c r="I90" s="55" t="s">
        <v>298</v>
      </c>
      <c r="J90" s="55" t="s">
        <v>298</v>
      </c>
      <c r="K90" s="55" t="s">
        <v>61</v>
      </c>
      <c r="L90" s="55" t="s">
        <v>217</v>
      </c>
      <c r="M90" s="55" t="s">
        <v>78</v>
      </c>
      <c r="N90" s="55" t="s">
        <v>79</v>
      </c>
      <c r="O90" s="55" t="s">
        <v>224</v>
      </c>
      <c r="P90" s="55" t="s">
        <v>110</v>
      </c>
      <c r="Q90" s="54" t="str">
        <f>IFERROR(__xludf.DUMMYFUNCTION("""COMPUTED_VALUE"""),"Philippines.VIdeo1vs1.PTATT_PTV.9355_MES_HuyNV_141220")</f>
        <v>Philippines.VIdeo1vs1.PTATT_PTV.9355_MES_HuyNV_141220</v>
      </c>
      <c r="R90" s="54" t="str">
        <f>IFERROR(__xludf.DUMMYFUNCTION("""COMPUTED_VALUE"""),"NEW_Philippines_1865_none_141220")</f>
        <v>NEW_Philippines_1865_none_141220</v>
      </c>
      <c r="S90" s="54" t="str">
        <f>IFERROR(__xludf.DUMMYFUNCTION("""COMPUTED_VALUE"""),"saletructiep_Philippines.VIdeo1vs1.PTATT_PTATT_LD005")</f>
        <v>saletructiep_Philippines.VIdeo1vs1.PTATT_PTATT_LD005</v>
      </c>
      <c r="T90" s="54"/>
      <c r="U90" s="56"/>
    </row>
    <row r="91">
      <c r="A91" s="57" t="s">
        <v>327</v>
      </c>
      <c r="B91" s="61" t="s">
        <v>166</v>
      </c>
      <c r="C91" s="54" t="str">
        <f>IFERROR(__xludf.DUMMYFUNCTION("""COMPUTED_VALUE"""),"LD005")</f>
        <v>LD005</v>
      </c>
      <c r="D91" s="55" t="s">
        <v>42</v>
      </c>
      <c r="E91" s="55" t="s">
        <v>79</v>
      </c>
      <c r="F91" s="55" t="s">
        <v>133</v>
      </c>
      <c r="G91" s="55">
        <v>1865.0</v>
      </c>
      <c r="H91" s="55" t="s">
        <v>75</v>
      </c>
      <c r="I91" s="55" t="s">
        <v>330</v>
      </c>
      <c r="J91" s="55" t="s">
        <v>330</v>
      </c>
      <c r="K91" s="55" t="s">
        <v>61</v>
      </c>
      <c r="L91" s="55" t="s">
        <v>317</v>
      </c>
      <c r="M91" s="55" t="s">
        <v>78</v>
      </c>
      <c r="N91" s="55" t="s">
        <v>79</v>
      </c>
      <c r="O91" s="55" t="s">
        <v>224</v>
      </c>
      <c r="P91" s="55" t="s">
        <v>110</v>
      </c>
      <c r="Q91" s="54" t="str">
        <f>IFERROR(__xludf.DUMMYFUNCTION("""COMPUTED_VALUE"""),"Japan.VIdeo1vs1.PTATT_XuBen.5018_MES_HuyNV_141220")</f>
        <v>Japan.VIdeo1vs1.PTATT_XuBen.5018_MES_HuyNV_141220</v>
      </c>
      <c r="R91" s="54" t="str">
        <f>IFERROR(__xludf.DUMMYFUNCTION("""COMPUTED_VALUE"""),"NEW_Japan_1865_none_141220")</f>
        <v>NEW_Japan_1865_none_141220</v>
      </c>
      <c r="S91" s="54" t="str">
        <f>IFERROR(__xludf.DUMMYFUNCTION("""COMPUTED_VALUE"""),"saletructiep_Japan.VIdeo1vs1.PTATT_PTATT_LD005")</f>
        <v>saletructiep_Japan.VIdeo1vs1.PTATT_PTATT_LD005</v>
      </c>
      <c r="T91" s="54"/>
      <c r="U91" s="56"/>
    </row>
    <row r="92">
      <c r="A92" s="57" t="s">
        <v>332</v>
      </c>
      <c r="B92" s="61" t="s">
        <v>166</v>
      </c>
      <c r="C92" s="54" t="str">
        <f>IFERROR(__xludf.DUMMYFUNCTION("""COMPUTED_VALUE"""),"LD005")</f>
        <v>LD005</v>
      </c>
      <c r="D92" s="55" t="s">
        <v>42</v>
      </c>
      <c r="E92" s="55" t="s">
        <v>69</v>
      </c>
      <c r="F92" s="55" t="s">
        <v>274</v>
      </c>
      <c r="G92" s="55">
        <v>1865.0</v>
      </c>
      <c r="H92" s="55" t="s">
        <v>75</v>
      </c>
      <c r="I92" s="55" t="s">
        <v>333</v>
      </c>
      <c r="J92" s="55" t="s">
        <v>333</v>
      </c>
      <c r="K92" s="55" t="s">
        <v>61</v>
      </c>
      <c r="L92" s="74" t="s">
        <v>326</v>
      </c>
      <c r="M92" s="55" t="s">
        <v>78</v>
      </c>
      <c r="N92" s="55" t="s">
        <v>79</v>
      </c>
      <c r="O92" s="55" t="s">
        <v>224</v>
      </c>
      <c r="P92" s="55" t="s">
        <v>110</v>
      </c>
      <c r="Q92" s="54" t="str">
        <f>IFERROR(__xludf.DUMMYFUNCTION("""COMPUTED_VALUE"""),"UnitedKingdom.VIdeo1vs1.PTATT_Patado1.BMAR_MES_HuyNV_181220")</f>
        <v>UnitedKingdom.VIdeo1vs1.PTATT_Patado1.BMAR_MES_HuyNV_181220</v>
      </c>
      <c r="R92" s="54" t="str">
        <f>IFERROR(__xludf.DUMMYFUNCTION("""COMPUTED_VALUE"""),"NEW_UnitedKingdom_1865_none_181220")</f>
        <v>NEW_UnitedKingdom_1865_none_181220</v>
      </c>
      <c r="S92" s="54" t="str">
        <f>IFERROR(__xludf.DUMMYFUNCTION("""COMPUTED_VALUE"""),"saletructiep_UnitedKingdom.VIdeo1vs1.PTATT_PTATT_LD005")</f>
        <v>saletructiep_UnitedKingdom.VIdeo1vs1.PTATT_PTATT_LD005</v>
      </c>
      <c r="T92" s="54"/>
      <c r="U92" s="56"/>
    </row>
    <row r="93">
      <c r="A93" s="57" t="s">
        <v>335</v>
      </c>
      <c r="B93" s="61" t="s">
        <v>83</v>
      </c>
      <c r="C93" s="54" t="str">
        <f>IFERROR(__xludf.DUMMYFUNCTION("""COMPUTED_VALUE"""),"LD008")</f>
        <v>LD008</v>
      </c>
      <c r="D93" s="55" t="s">
        <v>42</v>
      </c>
      <c r="E93" s="55" t="s">
        <v>72</v>
      </c>
      <c r="F93" s="55" t="s">
        <v>60</v>
      </c>
      <c r="G93" s="55" t="s">
        <v>321</v>
      </c>
      <c r="H93" s="55" t="s">
        <v>336</v>
      </c>
      <c r="I93" s="55" t="s">
        <v>337</v>
      </c>
      <c r="J93" s="73" t="s">
        <v>61</v>
      </c>
      <c r="K93" s="73" t="s">
        <v>61</v>
      </c>
      <c r="L93" s="55" t="s">
        <v>70</v>
      </c>
      <c r="M93" s="55" t="s">
        <v>78</v>
      </c>
      <c r="N93" s="55" t="s">
        <v>79</v>
      </c>
      <c r="O93" s="73" t="s">
        <v>70</v>
      </c>
      <c r="P93" s="55" t="s">
        <v>72</v>
      </c>
      <c r="Q93" s="54" t="str">
        <f>IFERROR(__xludf.DUMMYFUNCTION("""COMPUTED_VALUE"""),"None.resale.none_NON_MES_LongNV_251220")</f>
        <v>None.resale.none_NON_MES_LongNV_251220</v>
      </c>
      <c r="R93" s="54" t="str">
        <f>IFERROR(__xludf.DUMMYFUNCTION("""COMPUTED_VALUE"""),"RMK_NONE_all_none_251220")</f>
        <v>RMK_NONE_all_none_251220</v>
      </c>
      <c r="S93" s="54" t="str">
        <f>IFERROR(__xludf.DUMMYFUNCTION("""COMPUTED_VALUE"""),"saletructiep_none_NON_LD008")</f>
        <v>saletructiep_none_NON_LD008</v>
      </c>
      <c r="T93" s="54"/>
      <c r="U93" s="56"/>
    </row>
    <row r="94">
      <c r="A94" s="57" t="s">
        <v>338</v>
      </c>
      <c r="B94" s="75" t="s">
        <v>232</v>
      </c>
      <c r="C94" s="54" t="str">
        <f>IFERROR(__xludf.DUMMYFUNCTION("""COMPUTED_VALUE"""),"LD014")</f>
        <v>LD014</v>
      </c>
      <c r="D94" s="55" t="s">
        <v>42</v>
      </c>
      <c r="E94" s="55" t="s">
        <v>53</v>
      </c>
      <c r="F94" s="73" t="s">
        <v>60</v>
      </c>
      <c r="G94" s="73" t="s">
        <v>321</v>
      </c>
      <c r="H94" s="73" t="s">
        <v>336</v>
      </c>
      <c r="I94" s="55" t="s">
        <v>339</v>
      </c>
      <c r="J94" s="73" t="s">
        <v>61</v>
      </c>
      <c r="K94" s="73" t="s">
        <v>61</v>
      </c>
      <c r="L94" s="73" t="s">
        <v>70</v>
      </c>
      <c r="M94" s="55" t="s">
        <v>103</v>
      </c>
      <c r="N94" s="55" t="s">
        <v>340</v>
      </c>
      <c r="O94" s="55" t="s">
        <v>70</v>
      </c>
      <c r="P94" s="55" t="s">
        <v>110</v>
      </c>
      <c r="Q94" s="54" t="str">
        <f>IFERROR(__xludf.DUMMYFUNCTION("""COMPUTED_VALUE"""),"None.raicmt.none_NON_CMT_LongNV_261220")</f>
        <v>None.raicmt.none_NON_CMT_LongNV_261220</v>
      </c>
      <c r="R94" s="54" t="str">
        <f>IFERROR(__xludf.DUMMYFUNCTION("""COMPUTED_VALUE"""),"NEW_NONE_all_none_261220")</f>
        <v>NEW_NONE_all_none_261220</v>
      </c>
      <c r="S94" s="54" t="str">
        <f>IFERROR(__xludf.DUMMYFUNCTION("""COMPUTED_VALUE"""),"kienthuc_none_NON_LD014")</f>
        <v>kienthuc_none_NON_LD014</v>
      </c>
      <c r="T94" s="54"/>
      <c r="U94" s="56"/>
    </row>
    <row r="95">
      <c r="A95" s="57" t="s">
        <v>338</v>
      </c>
      <c r="B95" s="75" t="s">
        <v>200</v>
      </c>
      <c r="C95" s="54" t="str">
        <f>IFERROR(__xludf.DUMMYFUNCTION("""COMPUTED_VALUE"""),"LD015")</f>
        <v>LD015</v>
      </c>
      <c r="D95" s="55" t="s">
        <v>42</v>
      </c>
      <c r="E95" s="73" t="s">
        <v>53</v>
      </c>
      <c r="F95" s="73" t="s">
        <v>60</v>
      </c>
      <c r="G95" s="73" t="s">
        <v>321</v>
      </c>
      <c r="H95" s="73" t="s">
        <v>336</v>
      </c>
      <c r="I95" s="73" t="s">
        <v>339</v>
      </c>
      <c r="J95" s="73" t="s">
        <v>61</v>
      </c>
      <c r="K95" s="73" t="s">
        <v>61</v>
      </c>
      <c r="L95" s="73" t="s">
        <v>70</v>
      </c>
      <c r="M95" s="73" t="s">
        <v>103</v>
      </c>
      <c r="N95" s="73" t="s">
        <v>340</v>
      </c>
      <c r="O95" s="73" t="s">
        <v>70</v>
      </c>
      <c r="P95" s="73" t="s">
        <v>110</v>
      </c>
      <c r="Q95" s="54" t="str">
        <f>IFERROR(__xludf.DUMMYFUNCTION("""COMPUTED_VALUE"""),"None.raicmt.none_NON_CMT_LongNV_261220")</f>
        <v>None.raicmt.none_NON_CMT_LongNV_261220</v>
      </c>
      <c r="R95" s="54" t="str">
        <f>IFERROR(__xludf.DUMMYFUNCTION("""COMPUTED_VALUE"""),"NEW_NONE_all_none_261220")</f>
        <v>NEW_NONE_all_none_261220</v>
      </c>
      <c r="S95" s="54" t="str">
        <f>IFERROR(__xludf.DUMMYFUNCTION("""COMPUTED_VALUE"""),"kienthuc_none_NON_LD015")</f>
        <v>kienthuc_none_NON_LD015</v>
      </c>
      <c r="T95" s="54"/>
      <c r="U95" s="56"/>
    </row>
    <row r="96">
      <c r="A96" s="57" t="s">
        <v>338</v>
      </c>
      <c r="B96" s="75" t="s">
        <v>343</v>
      </c>
      <c r="C96" s="55" t="str">
        <f>IFERROR(__xludf.DUMMYFUNCTION("""COMPUTED_VALUE"""),"LD016")</f>
        <v>LD016</v>
      </c>
      <c r="D96" s="55" t="s">
        <v>42</v>
      </c>
      <c r="E96" s="73" t="s">
        <v>53</v>
      </c>
      <c r="F96" s="73" t="s">
        <v>60</v>
      </c>
      <c r="G96" s="73" t="s">
        <v>321</v>
      </c>
      <c r="H96" s="73" t="s">
        <v>336</v>
      </c>
      <c r="I96" s="73" t="s">
        <v>339</v>
      </c>
      <c r="J96" s="73" t="s">
        <v>61</v>
      </c>
      <c r="K96" s="73" t="s">
        <v>61</v>
      </c>
      <c r="L96" s="73" t="s">
        <v>70</v>
      </c>
      <c r="M96" s="73" t="s">
        <v>103</v>
      </c>
      <c r="N96" s="73" t="s">
        <v>340</v>
      </c>
      <c r="O96" s="73" t="s">
        <v>70</v>
      </c>
      <c r="P96" s="73" t="s">
        <v>110</v>
      </c>
      <c r="Q96" s="54" t="str">
        <f>IFERROR(__xludf.DUMMYFUNCTION("""COMPUTED_VALUE"""),"None.raicmt.none_NON_CMT_LongNV_261220")</f>
        <v>None.raicmt.none_NON_CMT_LongNV_261220</v>
      </c>
      <c r="R96" s="54" t="str">
        <f>IFERROR(__xludf.DUMMYFUNCTION("""COMPUTED_VALUE"""),"NEW_NONE_all_none_261220")</f>
        <v>NEW_NONE_all_none_261220</v>
      </c>
      <c r="S96" s="54" t="str">
        <f>IFERROR(__xludf.DUMMYFUNCTION("""COMPUTED_VALUE"""),"kienthuc_none_NON_LD016")</f>
        <v>kienthuc_none_NON_LD016</v>
      </c>
      <c r="T96" s="54"/>
      <c r="U96" s="56"/>
    </row>
    <row r="97">
      <c r="A97" s="57" t="s">
        <v>338</v>
      </c>
      <c r="B97" s="75" t="s">
        <v>305</v>
      </c>
      <c r="C97" s="54" t="str">
        <f>IFERROR(__xludf.DUMMYFUNCTION("""COMPUTED_VALUE"""),"LD017")</f>
        <v>LD017</v>
      </c>
      <c r="D97" s="55" t="s">
        <v>42</v>
      </c>
      <c r="E97" s="73" t="s">
        <v>53</v>
      </c>
      <c r="F97" s="73" t="s">
        <v>60</v>
      </c>
      <c r="G97" s="73" t="s">
        <v>321</v>
      </c>
      <c r="H97" s="73" t="s">
        <v>336</v>
      </c>
      <c r="I97" s="73" t="s">
        <v>339</v>
      </c>
      <c r="J97" s="73" t="s">
        <v>61</v>
      </c>
      <c r="K97" s="73" t="s">
        <v>61</v>
      </c>
      <c r="L97" s="73" t="s">
        <v>70</v>
      </c>
      <c r="M97" s="73" t="s">
        <v>103</v>
      </c>
      <c r="N97" s="73" t="s">
        <v>340</v>
      </c>
      <c r="O97" s="73" t="s">
        <v>70</v>
      </c>
      <c r="P97" s="73" t="s">
        <v>110</v>
      </c>
      <c r="Q97" s="54" t="str">
        <f>IFERROR(__xludf.DUMMYFUNCTION("""COMPUTED_VALUE"""),"None.raicmt.none_NON_CMT_LongNV_261220")</f>
        <v>None.raicmt.none_NON_CMT_LongNV_261220</v>
      </c>
      <c r="R97" s="54" t="str">
        <f>IFERROR(__xludf.DUMMYFUNCTION("""COMPUTED_VALUE"""),"NEW_NONE_all_none_261220")</f>
        <v>NEW_NONE_all_none_261220</v>
      </c>
      <c r="S97" s="54" t="str">
        <f>IFERROR(__xludf.DUMMYFUNCTION("""COMPUTED_VALUE"""),"kienthuc_none_NON_LD017")</f>
        <v>kienthuc_none_NON_LD017</v>
      </c>
      <c r="T97" s="54"/>
      <c r="U97" s="56"/>
    </row>
    <row r="98">
      <c r="A98" s="57" t="s">
        <v>338</v>
      </c>
      <c r="B98" s="75" t="s">
        <v>345</v>
      </c>
      <c r="C98" s="54" t="str">
        <f>IFERROR(__xludf.DUMMYFUNCTION("""COMPUTED_VALUE"""),"LD018")</f>
        <v>LD018</v>
      </c>
      <c r="D98" s="55" t="s">
        <v>42</v>
      </c>
      <c r="E98" s="73" t="s">
        <v>53</v>
      </c>
      <c r="F98" s="55" t="s">
        <v>60</v>
      </c>
      <c r="G98" s="73" t="s">
        <v>321</v>
      </c>
      <c r="H98" s="73" t="s">
        <v>336</v>
      </c>
      <c r="I98" s="73" t="s">
        <v>339</v>
      </c>
      <c r="J98" s="73" t="s">
        <v>61</v>
      </c>
      <c r="K98" s="73" t="s">
        <v>61</v>
      </c>
      <c r="L98" s="73" t="s">
        <v>70</v>
      </c>
      <c r="M98" s="73" t="s">
        <v>103</v>
      </c>
      <c r="N98" s="73" t="s">
        <v>340</v>
      </c>
      <c r="O98" s="73" t="s">
        <v>70</v>
      </c>
      <c r="P98" s="73" t="s">
        <v>110</v>
      </c>
      <c r="Q98" s="54" t="str">
        <f>IFERROR(__xludf.DUMMYFUNCTION("""COMPUTED_VALUE"""),"None.raicmt.none_NON_CMT_LongNV_261220")</f>
        <v>None.raicmt.none_NON_CMT_LongNV_261220</v>
      </c>
      <c r="R98" s="54" t="str">
        <f>IFERROR(__xludf.DUMMYFUNCTION("""COMPUTED_VALUE"""),"NEW_NONE_all_none_261220")</f>
        <v>NEW_NONE_all_none_261220</v>
      </c>
      <c r="S98" s="54" t="str">
        <f>IFERROR(__xludf.DUMMYFUNCTION("""COMPUTED_VALUE"""),"kienthuc_none_NON_LD018")</f>
        <v>kienthuc_none_NON_LD018</v>
      </c>
      <c r="T98" s="54"/>
      <c r="U98" s="56"/>
    </row>
    <row r="99">
      <c r="A99" s="57" t="s">
        <v>338</v>
      </c>
      <c r="B99" s="75" t="s">
        <v>347</v>
      </c>
      <c r="C99" s="54" t="str">
        <f>IFERROR(__xludf.DUMMYFUNCTION("""COMPUTED_VALUE"""),"LD019")</f>
        <v>LD019</v>
      </c>
      <c r="D99" s="55" t="s">
        <v>42</v>
      </c>
      <c r="E99" s="73" t="s">
        <v>53</v>
      </c>
      <c r="F99" s="73" t="s">
        <v>60</v>
      </c>
      <c r="G99" s="73" t="s">
        <v>321</v>
      </c>
      <c r="H99" s="73" t="s">
        <v>336</v>
      </c>
      <c r="I99" s="73" t="s">
        <v>339</v>
      </c>
      <c r="J99" s="73" t="s">
        <v>61</v>
      </c>
      <c r="K99" s="73" t="s">
        <v>61</v>
      </c>
      <c r="L99" s="73" t="s">
        <v>70</v>
      </c>
      <c r="M99" s="73" t="s">
        <v>103</v>
      </c>
      <c r="N99" s="73" t="s">
        <v>340</v>
      </c>
      <c r="O99" s="73" t="s">
        <v>70</v>
      </c>
      <c r="P99" s="73" t="s">
        <v>110</v>
      </c>
      <c r="Q99" s="54" t="str">
        <f>IFERROR(__xludf.DUMMYFUNCTION("""COMPUTED_VALUE"""),"None.raicmt.none_NON_CMT_LongNV_261220")</f>
        <v>None.raicmt.none_NON_CMT_LongNV_261220</v>
      </c>
      <c r="R99" s="54" t="str">
        <f>IFERROR(__xludf.DUMMYFUNCTION("""COMPUTED_VALUE"""),"NEW_NONE_all_none_261220")</f>
        <v>NEW_NONE_all_none_261220</v>
      </c>
      <c r="S99" s="54" t="str">
        <f>IFERROR(__xludf.DUMMYFUNCTION("""COMPUTED_VALUE"""),"kienthuc_none_NON_LD019")</f>
        <v>kienthuc_none_NON_LD019</v>
      </c>
      <c r="T99" s="54"/>
      <c r="U99" s="56"/>
    </row>
    <row r="100">
      <c r="A100" s="57" t="s">
        <v>338</v>
      </c>
      <c r="B100" s="75" t="s">
        <v>350</v>
      </c>
      <c r="C100" s="54" t="str">
        <f>IFERROR(__xludf.DUMMYFUNCTION("""COMPUTED_VALUE"""),"LD020")</f>
        <v>LD020</v>
      </c>
      <c r="D100" s="55" t="s">
        <v>42</v>
      </c>
      <c r="E100" s="73" t="s">
        <v>53</v>
      </c>
      <c r="F100" s="73" t="s">
        <v>60</v>
      </c>
      <c r="G100" s="73" t="s">
        <v>321</v>
      </c>
      <c r="H100" s="73" t="s">
        <v>336</v>
      </c>
      <c r="I100" s="73" t="s">
        <v>339</v>
      </c>
      <c r="J100" s="73" t="s">
        <v>61</v>
      </c>
      <c r="K100" s="73" t="s">
        <v>61</v>
      </c>
      <c r="L100" s="73" t="s">
        <v>70</v>
      </c>
      <c r="M100" s="73" t="s">
        <v>103</v>
      </c>
      <c r="N100" s="73" t="s">
        <v>340</v>
      </c>
      <c r="O100" s="73" t="s">
        <v>70</v>
      </c>
      <c r="P100" s="73" t="s">
        <v>110</v>
      </c>
      <c r="Q100" s="54" t="str">
        <f>IFERROR(__xludf.DUMMYFUNCTION("""COMPUTED_VALUE"""),"None.raicmt.none_NON_CMT_LongNV_261220")</f>
        <v>None.raicmt.none_NON_CMT_LongNV_261220</v>
      </c>
      <c r="R100" s="54" t="str">
        <f>IFERROR(__xludf.DUMMYFUNCTION("""COMPUTED_VALUE"""),"NEW_NONE_all_none_261220")</f>
        <v>NEW_NONE_all_none_261220</v>
      </c>
      <c r="S100" s="54" t="str">
        <f>IFERROR(__xludf.DUMMYFUNCTION("""COMPUTED_VALUE"""),"kienthuc_none_NON_LD020")</f>
        <v>kienthuc_none_NON_LD020</v>
      </c>
      <c r="T100" s="54"/>
      <c r="U100" s="56"/>
    </row>
    <row r="101">
      <c r="A101" s="57" t="s">
        <v>338</v>
      </c>
      <c r="B101" s="75" t="s">
        <v>351</v>
      </c>
      <c r="C101" s="54" t="str">
        <f>IFERROR(__xludf.DUMMYFUNCTION("""COMPUTED_VALUE"""),"LD021")</f>
        <v>LD021</v>
      </c>
      <c r="D101" s="55" t="s">
        <v>42</v>
      </c>
      <c r="E101" s="73" t="s">
        <v>53</v>
      </c>
      <c r="F101" s="73" t="s">
        <v>60</v>
      </c>
      <c r="G101" s="73" t="s">
        <v>321</v>
      </c>
      <c r="H101" s="73" t="s">
        <v>336</v>
      </c>
      <c r="I101" s="73" t="s">
        <v>339</v>
      </c>
      <c r="J101" s="73" t="s">
        <v>61</v>
      </c>
      <c r="K101" s="73" t="s">
        <v>61</v>
      </c>
      <c r="L101" s="73" t="s">
        <v>70</v>
      </c>
      <c r="M101" s="73" t="s">
        <v>103</v>
      </c>
      <c r="N101" s="73" t="s">
        <v>340</v>
      </c>
      <c r="O101" s="73" t="s">
        <v>70</v>
      </c>
      <c r="P101" s="73" t="s">
        <v>110</v>
      </c>
      <c r="Q101" s="54" t="str">
        <f>IFERROR(__xludf.DUMMYFUNCTION("""COMPUTED_VALUE"""),"None.raicmt.none_NON_CMT_LongNV_261220")</f>
        <v>None.raicmt.none_NON_CMT_LongNV_261220</v>
      </c>
      <c r="R101" s="54" t="str">
        <f>IFERROR(__xludf.DUMMYFUNCTION("""COMPUTED_VALUE"""),"NEW_NONE_all_none_261220")</f>
        <v>NEW_NONE_all_none_261220</v>
      </c>
      <c r="S101" s="54" t="str">
        <f>IFERROR(__xludf.DUMMYFUNCTION("""COMPUTED_VALUE"""),"kienthuc_none_NON_LD021")</f>
        <v>kienthuc_none_NON_LD021</v>
      </c>
      <c r="T101" s="54"/>
      <c r="U101" s="56"/>
    </row>
    <row r="102">
      <c r="A102" s="57" t="s">
        <v>338</v>
      </c>
      <c r="B102" s="75" t="s">
        <v>353</v>
      </c>
      <c r="C102" s="54" t="str">
        <f>IFERROR(__xludf.DUMMYFUNCTION("""COMPUTED_VALUE"""),"LD022")</f>
        <v>LD022</v>
      </c>
      <c r="D102" s="55" t="s">
        <v>42</v>
      </c>
      <c r="E102" s="73" t="s">
        <v>53</v>
      </c>
      <c r="F102" s="73" t="s">
        <v>60</v>
      </c>
      <c r="G102" s="73" t="s">
        <v>321</v>
      </c>
      <c r="H102" s="73" t="s">
        <v>336</v>
      </c>
      <c r="I102" s="73" t="s">
        <v>339</v>
      </c>
      <c r="J102" s="73" t="s">
        <v>61</v>
      </c>
      <c r="K102" s="73" t="s">
        <v>61</v>
      </c>
      <c r="L102" s="73" t="s">
        <v>70</v>
      </c>
      <c r="M102" s="73" t="s">
        <v>103</v>
      </c>
      <c r="N102" s="73" t="s">
        <v>340</v>
      </c>
      <c r="O102" s="73" t="s">
        <v>70</v>
      </c>
      <c r="P102" s="73" t="s">
        <v>110</v>
      </c>
      <c r="Q102" s="54" t="str">
        <f>IFERROR(__xludf.DUMMYFUNCTION("""COMPUTED_VALUE"""),"None.raicmt.none_NON_CMT_LongNV_261220")</f>
        <v>None.raicmt.none_NON_CMT_LongNV_261220</v>
      </c>
      <c r="R102" s="54" t="str">
        <f>IFERROR(__xludf.DUMMYFUNCTION("""COMPUTED_VALUE"""),"NEW_NONE_all_none_261220")</f>
        <v>NEW_NONE_all_none_261220</v>
      </c>
      <c r="S102" s="54" t="str">
        <f>IFERROR(__xludf.DUMMYFUNCTION("""COMPUTED_VALUE"""),"kienthuc_none_NON_LD022")</f>
        <v>kienthuc_none_NON_LD022</v>
      </c>
      <c r="T102" s="54"/>
      <c r="U102" s="56"/>
    </row>
    <row r="103">
      <c r="A103" s="57" t="s">
        <v>338</v>
      </c>
      <c r="B103" s="75" t="s">
        <v>355</v>
      </c>
      <c r="C103" s="54" t="str">
        <f>IFERROR(__xludf.DUMMYFUNCTION("""COMPUTED_VALUE"""),"LD023")</f>
        <v>LD023</v>
      </c>
      <c r="D103" s="55" t="s">
        <v>42</v>
      </c>
      <c r="E103" s="73" t="s">
        <v>53</v>
      </c>
      <c r="F103" s="73" t="s">
        <v>60</v>
      </c>
      <c r="G103" s="73" t="s">
        <v>321</v>
      </c>
      <c r="H103" s="73" t="s">
        <v>336</v>
      </c>
      <c r="I103" s="73" t="s">
        <v>339</v>
      </c>
      <c r="J103" s="73" t="s">
        <v>61</v>
      </c>
      <c r="K103" s="73" t="s">
        <v>61</v>
      </c>
      <c r="L103" s="73" t="s">
        <v>70</v>
      </c>
      <c r="M103" s="73" t="s">
        <v>103</v>
      </c>
      <c r="N103" s="73" t="s">
        <v>340</v>
      </c>
      <c r="O103" s="73" t="s">
        <v>70</v>
      </c>
      <c r="P103" s="73" t="s">
        <v>110</v>
      </c>
      <c r="Q103" s="54" t="str">
        <f>IFERROR(__xludf.DUMMYFUNCTION("""COMPUTED_VALUE"""),"None.raicmt.none_NON_CMT_LongNV_261220")</f>
        <v>None.raicmt.none_NON_CMT_LongNV_261220</v>
      </c>
      <c r="R103" s="54" t="str">
        <f>IFERROR(__xludf.DUMMYFUNCTION("""COMPUTED_VALUE"""),"NEW_NONE_all_none_261220")</f>
        <v>NEW_NONE_all_none_261220</v>
      </c>
      <c r="S103" s="54" t="str">
        <f>IFERROR(__xludf.DUMMYFUNCTION("""COMPUTED_VALUE"""),"kienthuc_none_NON_LD023")</f>
        <v>kienthuc_none_NON_LD023</v>
      </c>
      <c r="T103" s="54"/>
      <c r="U103" s="56"/>
    </row>
    <row r="104">
      <c r="A104" s="57" t="s">
        <v>338</v>
      </c>
      <c r="B104" s="75" t="s">
        <v>356</v>
      </c>
      <c r="C104" s="54" t="str">
        <f>IFERROR(__xludf.DUMMYFUNCTION("""COMPUTED_VALUE"""),"LD024")</f>
        <v>LD024</v>
      </c>
      <c r="D104" s="55" t="s">
        <v>42</v>
      </c>
      <c r="E104" s="73" t="s">
        <v>53</v>
      </c>
      <c r="F104" s="73" t="s">
        <v>60</v>
      </c>
      <c r="G104" s="73" t="s">
        <v>321</v>
      </c>
      <c r="H104" s="73" t="s">
        <v>336</v>
      </c>
      <c r="I104" s="73" t="s">
        <v>339</v>
      </c>
      <c r="J104" s="73" t="s">
        <v>61</v>
      </c>
      <c r="K104" s="73" t="s">
        <v>61</v>
      </c>
      <c r="L104" s="73" t="s">
        <v>70</v>
      </c>
      <c r="M104" s="73" t="s">
        <v>103</v>
      </c>
      <c r="N104" s="73" t="s">
        <v>340</v>
      </c>
      <c r="O104" s="73" t="s">
        <v>70</v>
      </c>
      <c r="P104" s="73" t="s">
        <v>110</v>
      </c>
      <c r="Q104" s="54" t="str">
        <f>IFERROR(__xludf.DUMMYFUNCTION("""COMPUTED_VALUE"""),"None.raicmt.none_NON_CMT_LongNV_261220")</f>
        <v>None.raicmt.none_NON_CMT_LongNV_261220</v>
      </c>
      <c r="R104" s="54" t="str">
        <f>IFERROR(__xludf.DUMMYFUNCTION("""COMPUTED_VALUE"""),"NEW_NONE_all_none_261220")</f>
        <v>NEW_NONE_all_none_261220</v>
      </c>
      <c r="S104" s="54" t="str">
        <f>IFERROR(__xludf.DUMMYFUNCTION("""COMPUTED_VALUE"""),"kienthuc_none_NON_LD024")</f>
        <v>kienthuc_none_NON_LD024</v>
      </c>
      <c r="T104" s="54"/>
      <c r="U104" s="56"/>
    </row>
    <row r="105">
      <c r="A105" s="57" t="s">
        <v>338</v>
      </c>
      <c r="B105" s="75" t="s">
        <v>357</v>
      </c>
      <c r="C105" s="54" t="str">
        <f>IFERROR(__xludf.DUMMYFUNCTION("""COMPUTED_VALUE"""),"LD025")</f>
        <v>LD025</v>
      </c>
      <c r="D105" s="55" t="s">
        <v>42</v>
      </c>
      <c r="E105" s="73" t="s">
        <v>53</v>
      </c>
      <c r="F105" s="73" t="s">
        <v>60</v>
      </c>
      <c r="G105" s="73" t="s">
        <v>321</v>
      </c>
      <c r="H105" s="73" t="s">
        <v>336</v>
      </c>
      <c r="I105" s="73" t="s">
        <v>339</v>
      </c>
      <c r="J105" s="73" t="s">
        <v>61</v>
      </c>
      <c r="K105" s="73" t="s">
        <v>61</v>
      </c>
      <c r="L105" s="73" t="s">
        <v>70</v>
      </c>
      <c r="M105" s="73" t="s">
        <v>103</v>
      </c>
      <c r="N105" s="73" t="s">
        <v>340</v>
      </c>
      <c r="O105" s="73" t="s">
        <v>70</v>
      </c>
      <c r="P105" s="73" t="s">
        <v>110</v>
      </c>
      <c r="Q105" s="54" t="str">
        <f>IFERROR(__xludf.DUMMYFUNCTION("""COMPUTED_VALUE"""),"None.raicmt.none_NON_CMT_LongNV_261220")</f>
        <v>None.raicmt.none_NON_CMT_LongNV_261220</v>
      </c>
      <c r="R105" s="54" t="str">
        <f>IFERROR(__xludf.DUMMYFUNCTION("""COMPUTED_VALUE"""),"NEW_NONE_all_none_261220")</f>
        <v>NEW_NONE_all_none_261220</v>
      </c>
      <c r="S105" s="54" t="str">
        <f>IFERROR(__xludf.DUMMYFUNCTION("""COMPUTED_VALUE"""),"kienthuc_none_NON_LD025")</f>
        <v>kienthuc_none_NON_LD025</v>
      </c>
      <c r="T105" s="54"/>
      <c r="U105" s="56"/>
    </row>
    <row r="106">
      <c r="A106" s="57" t="s">
        <v>338</v>
      </c>
      <c r="B106" s="75" t="s">
        <v>122</v>
      </c>
      <c r="C106" s="54" t="str">
        <f>IFERROR(__xludf.DUMMYFUNCTION("""COMPUTED_VALUE"""),"LD026")</f>
        <v>LD026</v>
      </c>
      <c r="D106" s="55" t="s">
        <v>42</v>
      </c>
      <c r="E106" s="73" t="s">
        <v>53</v>
      </c>
      <c r="F106" s="73" t="s">
        <v>60</v>
      </c>
      <c r="G106" s="73" t="s">
        <v>321</v>
      </c>
      <c r="H106" s="73" t="s">
        <v>336</v>
      </c>
      <c r="I106" s="73" t="s">
        <v>339</v>
      </c>
      <c r="J106" s="73" t="s">
        <v>61</v>
      </c>
      <c r="K106" s="73" t="s">
        <v>61</v>
      </c>
      <c r="L106" s="73" t="s">
        <v>70</v>
      </c>
      <c r="M106" s="73" t="s">
        <v>103</v>
      </c>
      <c r="N106" s="73" t="s">
        <v>340</v>
      </c>
      <c r="O106" s="73" t="s">
        <v>70</v>
      </c>
      <c r="P106" s="73" t="s">
        <v>110</v>
      </c>
      <c r="Q106" s="54" t="str">
        <f>IFERROR(__xludf.DUMMYFUNCTION("""COMPUTED_VALUE"""),"None.raicmt.none_NON_CMT_LongNV_261220")</f>
        <v>None.raicmt.none_NON_CMT_LongNV_261220</v>
      </c>
      <c r="R106" s="54" t="str">
        <f>IFERROR(__xludf.DUMMYFUNCTION("""COMPUTED_VALUE"""),"NEW_NONE_all_none_261220")</f>
        <v>NEW_NONE_all_none_261220</v>
      </c>
      <c r="S106" s="54" t="str">
        <f>IFERROR(__xludf.DUMMYFUNCTION("""COMPUTED_VALUE"""),"kienthuc_none_NON_LD026")</f>
        <v>kienthuc_none_NON_LD026</v>
      </c>
      <c r="T106" s="54"/>
      <c r="U106" s="56"/>
    </row>
    <row r="107">
      <c r="A107" s="57" t="s">
        <v>338</v>
      </c>
      <c r="B107" s="75" t="s">
        <v>361</v>
      </c>
      <c r="C107" s="54" t="str">
        <f>IFERROR(__xludf.DUMMYFUNCTION("""COMPUTED_VALUE"""),"LD027")</f>
        <v>LD027</v>
      </c>
      <c r="D107" s="55" t="s">
        <v>42</v>
      </c>
      <c r="E107" s="73" t="s">
        <v>53</v>
      </c>
      <c r="F107" s="73" t="s">
        <v>60</v>
      </c>
      <c r="G107" s="73" t="s">
        <v>321</v>
      </c>
      <c r="H107" s="73" t="s">
        <v>336</v>
      </c>
      <c r="I107" s="73" t="s">
        <v>339</v>
      </c>
      <c r="J107" s="73" t="s">
        <v>61</v>
      </c>
      <c r="K107" s="73" t="s">
        <v>61</v>
      </c>
      <c r="L107" s="73" t="s">
        <v>70</v>
      </c>
      <c r="M107" s="73" t="s">
        <v>103</v>
      </c>
      <c r="N107" s="73" t="s">
        <v>340</v>
      </c>
      <c r="O107" s="73" t="s">
        <v>70</v>
      </c>
      <c r="P107" s="73" t="s">
        <v>110</v>
      </c>
      <c r="Q107" s="54" t="str">
        <f>IFERROR(__xludf.DUMMYFUNCTION("""COMPUTED_VALUE"""),"None.raicmt.none_NON_CMT_LongNV_261220")</f>
        <v>None.raicmt.none_NON_CMT_LongNV_261220</v>
      </c>
      <c r="R107" s="54" t="str">
        <f>IFERROR(__xludf.DUMMYFUNCTION("""COMPUTED_VALUE"""),"NEW_NONE_all_none_261220")</f>
        <v>NEW_NONE_all_none_261220</v>
      </c>
      <c r="S107" s="54" t="str">
        <f>IFERROR(__xludf.DUMMYFUNCTION("""COMPUTED_VALUE"""),"kienthuc_none_NON_LD027")</f>
        <v>kienthuc_none_NON_LD027</v>
      </c>
      <c r="T107" s="54"/>
      <c r="U107" s="56"/>
    </row>
    <row r="108">
      <c r="A108" s="57" t="s">
        <v>338</v>
      </c>
      <c r="B108" s="75" t="s">
        <v>363</v>
      </c>
      <c r="C108" s="54" t="str">
        <f>IFERROR(__xludf.DUMMYFUNCTION("""COMPUTED_VALUE"""),"LD028")</f>
        <v>LD028</v>
      </c>
      <c r="D108" s="55" t="s">
        <v>42</v>
      </c>
      <c r="E108" s="73" t="s">
        <v>53</v>
      </c>
      <c r="F108" s="73" t="s">
        <v>60</v>
      </c>
      <c r="G108" s="73" t="s">
        <v>321</v>
      </c>
      <c r="H108" s="73" t="s">
        <v>336</v>
      </c>
      <c r="I108" s="73" t="s">
        <v>339</v>
      </c>
      <c r="J108" s="73" t="s">
        <v>61</v>
      </c>
      <c r="K108" s="73" t="s">
        <v>61</v>
      </c>
      <c r="L108" s="73" t="s">
        <v>70</v>
      </c>
      <c r="M108" s="73" t="s">
        <v>103</v>
      </c>
      <c r="N108" s="73" t="s">
        <v>340</v>
      </c>
      <c r="O108" s="73" t="s">
        <v>70</v>
      </c>
      <c r="P108" s="73" t="s">
        <v>110</v>
      </c>
      <c r="Q108" s="54" t="str">
        <f>IFERROR(__xludf.DUMMYFUNCTION("""COMPUTED_VALUE"""),"None.raicmt.none_NON_CMT_LongNV_261220")</f>
        <v>None.raicmt.none_NON_CMT_LongNV_261220</v>
      </c>
      <c r="R108" s="54" t="str">
        <f>IFERROR(__xludf.DUMMYFUNCTION("""COMPUTED_VALUE"""),"NEW_NONE_all_none_261220")</f>
        <v>NEW_NONE_all_none_261220</v>
      </c>
      <c r="S108" s="54" t="str">
        <f>IFERROR(__xludf.DUMMYFUNCTION("""COMPUTED_VALUE"""),"kienthuc_none_NON_LD028")</f>
        <v>kienthuc_none_NON_LD028</v>
      </c>
      <c r="T108" s="54"/>
      <c r="U108" s="56"/>
    </row>
    <row r="109">
      <c r="A109" s="57" t="s">
        <v>338</v>
      </c>
      <c r="B109" s="75" t="s">
        <v>365</v>
      </c>
      <c r="C109" s="54" t="str">
        <f>IFERROR(__xludf.DUMMYFUNCTION("""COMPUTED_VALUE"""),"LD029")</f>
        <v>LD029</v>
      </c>
      <c r="D109" s="55" t="s">
        <v>42</v>
      </c>
      <c r="E109" s="73" t="s">
        <v>53</v>
      </c>
      <c r="F109" s="73" t="s">
        <v>60</v>
      </c>
      <c r="G109" s="73" t="s">
        <v>321</v>
      </c>
      <c r="H109" s="73" t="s">
        <v>336</v>
      </c>
      <c r="I109" s="73" t="s">
        <v>339</v>
      </c>
      <c r="J109" s="73" t="s">
        <v>61</v>
      </c>
      <c r="K109" s="73" t="s">
        <v>61</v>
      </c>
      <c r="L109" s="73" t="s">
        <v>70</v>
      </c>
      <c r="M109" s="73" t="s">
        <v>103</v>
      </c>
      <c r="N109" s="73" t="s">
        <v>340</v>
      </c>
      <c r="O109" s="73" t="s">
        <v>70</v>
      </c>
      <c r="P109" s="73" t="s">
        <v>110</v>
      </c>
      <c r="Q109" s="54" t="str">
        <f>IFERROR(__xludf.DUMMYFUNCTION("""COMPUTED_VALUE"""),"None.raicmt.none_NON_CMT_LongNV_261220")</f>
        <v>None.raicmt.none_NON_CMT_LongNV_261220</v>
      </c>
      <c r="R109" s="54" t="str">
        <f>IFERROR(__xludf.DUMMYFUNCTION("""COMPUTED_VALUE"""),"NEW_NONE_all_none_261220")</f>
        <v>NEW_NONE_all_none_261220</v>
      </c>
      <c r="S109" s="54" t="str">
        <f>IFERROR(__xludf.DUMMYFUNCTION("""COMPUTED_VALUE"""),"kienthuc_none_NON_LD029")</f>
        <v>kienthuc_none_NON_LD029</v>
      </c>
      <c r="T109" s="54"/>
      <c r="U109" s="56"/>
    </row>
    <row r="110">
      <c r="A110" s="57" t="s">
        <v>338</v>
      </c>
      <c r="B110" s="75" t="s">
        <v>366</v>
      </c>
      <c r="C110" s="54" t="str">
        <f>IFERROR(__xludf.DUMMYFUNCTION("""COMPUTED_VALUE"""),"LD030")</f>
        <v>LD030</v>
      </c>
      <c r="D110" s="55" t="s">
        <v>42</v>
      </c>
      <c r="E110" s="73" t="s">
        <v>53</v>
      </c>
      <c r="F110" s="73" t="s">
        <v>60</v>
      </c>
      <c r="G110" s="73" t="s">
        <v>321</v>
      </c>
      <c r="H110" s="73" t="s">
        <v>336</v>
      </c>
      <c r="I110" s="73" t="s">
        <v>339</v>
      </c>
      <c r="J110" s="73" t="s">
        <v>61</v>
      </c>
      <c r="K110" s="73" t="s">
        <v>61</v>
      </c>
      <c r="L110" s="73" t="s">
        <v>70</v>
      </c>
      <c r="M110" s="73" t="s">
        <v>103</v>
      </c>
      <c r="N110" s="73" t="s">
        <v>340</v>
      </c>
      <c r="O110" s="73" t="s">
        <v>70</v>
      </c>
      <c r="P110" s="73" t="s">
        <v>110</v>
      </c>
      <c r="Q110" s="54" t="str">
        <f>IFERROR(__xludf.DUMMYFUNCTION("""COMPUTED_VALUE"""),"None.raicmt.none_NON_CMT_LongNV_261220")</f>
        <v>None.raicmt.none_NON_CMT_LongNV_261220</v>
      </c>
      <c r="R110" s="54" t="str">
        <f>IFERROR(__xludf.DUMMYFUNCTION("""COMPUTED_VALUE"""),"NEW_NONE_all_none_261220")</f>
        <v>NEW_NONE_all_none_261220</v>
      </c>
      <c r="S110" s="54" t="str">
        <f>IFERROR(__xludf.DUMMYFUNCTION("""COMPUTED_VALUE"""),"kienthuc_none_NON_LD030")</f>
        <v>kienthuc_none_NON_LD030</v>
      </c>
      <c r="T110" s="54"/>
      <c r="U110" s="56"/>
    </row>
    <row r="111">
      <c r="A111" s="57" t="s">
        <v>338</v>
      </c>
      <c r="B111" s="75" t="s">
        <v>369</v>
      </c>
      <c r="C111" s="54" t="str">
        <f>IFERROR(__xludf.DUMMYFUNCTION("""COMPUTED_VALUE"""),"LD031")</f>
        <v>LD031</v>
      </c>
      <c r="D111" s="55" t="s">
        <v>42</v>
      </c>
      <c r="E111" s="73" t="s">
        <v>53</v>
      </c>
      <c r="F111" s="73" t="s">
        <v>60</v>
      </c>
      <c r="G111" s="73" t="s">
        <v>321</v>
      </c>
      <c r="H111" s="73" t="s">
        <v>336</v>
      </c>
      <c r="I111" s="73" t="s">
        <v>339</v>
      </c>
      <c r="J111" s="73" t="s">
        <v>61</v>
      </c>
      <c r="K111" s="73" t="s">
        <v>61</v>
      </c>
      <c r="L111" s="73" t="s">
        <v>70</v>
      </c>
      <c r="M111" s="73" t="s">
        <v>103</v>
      </c>
      <c r="N111" s="73" t="s">
        <v>340</v>
      </c>
      <c r="O111" s="73" t="s">
        <v>70</v>
      </c>
      <c r="P111" s="73" t="s">
        <v>110</v>
      </c>
      <c r="Q111" s="54" t="str">
        <f>IFERROR(__xludf.DUMMYFUNCTION("""COMPUTED_VALUE"""),"None.raicmt.none_NON_CMT_LongNV_261220")</f>
        <v>None.raicmt.none_NON_CMT_LongNV_261220</v>
      </c>
      <c r="R111" s="54" t="str">
        <f>IFERROR(__xludf.DUMMYFUNCTION("""COMPUTED_VALUE"""),"NEW_NONE_all_none_261220")</f>
        <v>NEW_NONE_all_none_261220</v>
      </c>
      <c r="S111" s="54" t="str">
        <f>IFERROR(__xludf.DUMMYFUNCTION("""COMPUTED_VALUE"""),"kienthuc_none_NON_LD031")</f>
        <v>kienthuc_none_NON_LD031</v>
      </c>
      <c r="T111" s="54"/>
      <c r="U111" s="56"/>
    </row>
    <row r="112">
      <c r="A112" s="57" t="s">
        <v>371</v>
      </c>
      <c r="B112" s="61" t="s">
        <v>166</v>
      </c>
      <c r="C112" s="54" t="str">
        <f>IFERROR(__xludf.DUMMYFUNCTION("""COMPUTED_VALUE"""),"LD005")</f>
        <v>LD005</v>
      </c>
      <c r="D112" s="55" t="s">
        <v>42</v>
      </c>
      <c r="E112" s="55" t="s">
        <v>79</v>
      </c>
      <c r="F112" s="55" t="s">
        <v>112</v>
      </c>
      <c r="G112" s="55">
        <v>1865.0</v>
      </c>
      <c r="H112" s="55" t="s">
        <v>75</v>
      </c>
      <c r="I112" s="55" t="s">
        <v>372</v>
      </c>
      <c r="J112" s="55" t="s">
        <v>372</v>
      </c>
      <c r="K112" s="73" t="s">
        <v>61</v>
      </c>
      <c r="L112" s="55" t="s">
        <v>253</v>
      </c>
      <c r="M112" s="55" t="s">
        <v>78</v>
      </c>
      <c r="N112" s="55" t="s">
        <v>79</v>
      </c>
      <c r="O112" s="73" t="s">
        <v>70</v>
      </c>
      <c r="P112" s="73" t="s">
        <v>110</v>
      </c>
      <c r="Q112" s="54" t="str">
        <f>IFERROR(__xludf.DUMMYFUNCTION("""COMPUTED_VALUE"""),"Canada.VIdeo1vs1.Contentnew.PTATT_DKO.7687_MES_HuyNV_050121")</f>
        <v>Canada.VIdeo1vs1.Contentnew.PTATT_DKO.7687_MES_HuyNV_050121</v>
      </c>
      <c r="R112" s="54" t="str">
        <f>IFERROR(__xludf.DUMMYFUNCTION("""COMPUTED_VALUE"""),"NEW_Canada_1865_none_050121")</f>
        <v>NEW_Canada_1865_none_050121</v>
      </c>
      <c r="S112" s="54" t="str">
        <f>IFERROR(__xludf.DUMMYFUNCTION("""COMPUTED_VALUE"""),"saletructiep_Canada.VIdeo1vs1.Contentnew.PTATT_NON_LD005")</f>
        <v>saletructiep_Canada.VIdeo1vs1.Contentnew.PTATT_NON_LD005</v>
      </c>
      <c r="T112" s="54"/>
      <c r="U112" s="56"/>
    </row>
    <row r="113">
      <c r="A113" s="57" t="s">
        <v>371</v>
      </c>
      <c r="B113" s="61" t="s">
        <v>166</v>
      </c>
      <c r="C113" s="54" t="str">
        <f>IFERROR(__xludf.DUMMYFUNCTION("""COMPUTED_VALUE"""),"LD005")</f>
        <v>LD005</v>
      </c>
      <c r="D113" s="55" t="s">
        <v>42</v>
      </c>
      <c r="E113" s="55" t="s">
        <v>79</v>
      </c>
      <c r="F113" s="55" t="s">
        <v>129</v>
      </c>
      <c r="G113" s="55">
        <v>1865.0</v>
      </c>
      <c r="H113" s="55" t="s">
        <v>75</v>
      </c>
      <c r="I113" s="55" t="s">
        <v>328</v>
      </c>
      <c r="J113" s="55" t="s">
        <v>328</v>
      </c>
      <c r="K113" s="73" t="s">
        <v>61</v>
      </c>
      <c r="L113" s="55" t="s">
        <v>270</v>
      </c>
      <c r="M113" s="55" t="s">
        <v>78</v>
      </c>
      <c r="N113" s="55" t="s">
        <v>79</v>
      </c>
      <c r="O113" s="73" t="s">
        <v>70</v>
      </c>
      <c r="P113" s="73" t="s">
        <v>110</v>
      </c>
      <c r="Q113" s="54" t="str">
        <f>IFERROR(__xludf.DUMMYFUNCTION("""COMPUTED_VALUE"""),"Australia.VIdeo1vs1.PTATT_MatthewNguyen.7687_MES_HuyNV_050121")</f>
        <v>Australia.VIdeo1vs1.PTATT_MatthewNguyen.7687_MES_HuyNV_050121</v>
      </c>
      <c r="R113" s="54" t="str">
        <f>IFERROR(__xludf.DUMMYFUNCTION("""COMPUTED_VALUE"""),"NEW_Australia_1865_none_050121")</f>
        <v>NEW_Australia_1865_none_050121</v>
      </c>
      <c r="S113" s="54" t="str">
        <f>IFERROR(__xludf.DUMMYFUNCTION("""COMPUTED_VALUE"""),"saletructiep_Australia.VIdeo1vs1.PTATT_NON_LD005")</f>
        <v>saletructiep_Australia.VIdeo1vs1.PTATT_NON_LD005</v>
      </c>
      <c r="T113" s="54"/>
      <c r="U113" s="56"/>
    </row>
    <row r="114">
      <c r="A114" s="57" t="s">
        <v>374</v>
      </c>
      <c r="B114" s="61" t="s">
        <v>375</v>
      </c>
      <c r="C114" s="54" t="str">
        <f>IFERROR(__xludf.DUMMYFUNCTION("""COMPUTED_VALUE"""),"LD041")</f>
        <v>LD041</v>
      </c>
      <c r="D114" s="55" t="s">
        <v>42</v>
      </c>
      <c r="E114" s="55" t="s">
        <v>72</v>
      </c>
      <c r="F114" s="55" t="s">
        <v>60</v>
      </c>
      <c r="G114" s="55" t="s">
        <v>321</v>
      </c>
      <c r="H114" s="55" t="s">
        <v>336</v>
      </c>
      <c r="I114" s="55" t="s">
        <v>337</v>
      </c>
      <c r="J114" s="73" t="s">
        <v>61</v>
      </c>
      <c r="K114" s="73" t="s">
        <v>61</v>
      </c>
      <c r="L114" s="55" t="s">
        <v>70</v>
      </c>
      <c r="M114" s="55" t="s">
        <v>78</v>
      </c>
      <c r="N114" s="55" t="s">
        <v>79</v>
      </c>
      <c r="O114" s="73" t="s">
        <v>70</v>
      </c>
      <c r="P114" s="55" t="s">
        <v>72</v>
      </c>
      <c r="Q114" s="54" t="str">
        <f>IFERROR(__xludf.DUMMYFUNCTION("""COMPUTED_VALUE"""),"None.resale.none_NON_MES_LongNV_090121")</f>
        <v>None.resale.none_NON_MES_LongNV_090121</v>
      </c>
      <c r="R114" s="54" t="str">
        <f>IFERROR(__xludf.DUMMYFUNCTION("""COMPUTED_VALUE"""),"RMK_NONE_all_none_090121")</f>
        <v>RMK_NONE_all_none_090121</v>
      </c>
      <c r="S114" s="54" t="str">
        <f>IFERROR(__xludf.DUMMYFUNCTION("""COMPUTED_VALUE"""),"saletructiep_none_NON_LD041")</f>
        <v>saletructiep_none_NON_LD041</v>
      </c>
      <c r="T114" s="54"/>
      <c r="U114" s="56"/>
    </row>
    <row r="115">
      <c r="A115" s="57" t="s">
        <v>377</v>
      </c>
      <c r="B115" s="61" t="s">
        <v>206</v>
      </c>
      <c r="C115" s="54" t="str">
        <f>IFERROR(__xludf.DUMMYFUNCTION("""COMPUTED_VALUE"""),"LD044")</f>
        <v>LD044</v>
      </c>
      <c r="D115" s="55" t="s">
        <v>42</v>
      </c>
      <c r="E115" s="55" t="s">
        <v>53</v>
      </c>
      <c r="F115" s="55" t="s">
        <v>60</v>
      </c>
      <c r="G115" s="55" t="s">
        <v>378</v>
      </c>
      <c r="H115" s="55" t="s">
        <v>336</v>
      </c>
      <c r="I115" s="55" t="s">
        <v>379</v>
      </c>
      <c r="J115" s="55" t="s">
        <v>380</v>
      </c>
      <c r="K115" s="55" t="s">
        <v>61</v>
      </c>
      <c r="L115" s="55" t="s">
        <v>70</v>
      </c>
      <c r="M115" s="55" t="s">
        <v>78</v>
      </c>
      <c r="N115" s="55" t="s">
        <v>381</v>
      </c>
      <c r="O115" s="55" t="s">
        <v>70</v>
      </c>
      <c r="P115" s="55" t="s">
        <v>70</v>
      </c>
      <c r="Q115" s="54" t="str">
        <f>IFERROR(__xludf.DUMMYFUNCTION("""COMPUTED_VALUE"""),"DangbainhomKGXTA_NON_PIN_LongNV_120121")</f>
        <v>DangbainhomKGXTA_NON_PIN_LongNV_120121</v>
      </c>
      <c r="R115" s="54" t="str">
        <f>IFERROR(__xludf.DUMMYFUNCTION("""COMPUTED_VALUE"""),"NON_NONE_hocsinh_none_120121")</f>
        <v>NON_NONE_hocsinh_none_120121</v>
      </c>
      <c r="S115" s="54" t="str">
        <f>IFERROR(__xludf.DUMMYFUNCTION("""COMPUTED_VALUE"""),"saletructiep_khoahocIELTS_NON_LD044")</f>
        <v>saletructiep_khoahocIELTS_NON_LD044</v>
      </c>
      <c r="T115" s="54"/>
      <c r="U115" s="56"/>
    </row>
    <row r="116">
      <c r="A116" s="66">
        <v>170121.0</v>
      </c>
      <c r="B116" s="75" t="s">
        <v>166</v>
      </c>
      <c r="C116" s="54" t="str">
        <f>IFERROR(__xludf.DUMMYFUNCTION("""COMPUTED_VALUE"""),"LD005")</f>
        <v>LD005</v>
      </c>
      <c r="D116" s="55" t="s">
        <v>42</v>
      </c>
      <c r="E116" s="55" t="s">
        <v>79</v>
      </c>
      <c r="F116" s="55" t="s">
        <v>107</v>
      </c>
      <c r="G116" s="55">
        <v>1865.0</v>
      </c>
      <c r="H116" s="55" t="s">
        <v>336</v>
      </c>
      <c r="I116" s="55" t="s">
        <v>382</v>
      </c>
      <c r="J116" s="55" t="s">
        <v>383</v>
      </c>
      <c r="K116" s="55" t="s">
        <v>61</v>
      </c>
      <c r="L116" s="55" t="s">
        <v>217</v>
      </c>
      <c r="M116" s="55" t="s">
        <v>384</v>
      </c>
      <c r="N116" s="55" t="s">
        <v>79</v>
      </c>
      <c r="O116" s="55" t="s">
        <v>224</v>
      </c>
      <c r="P116" s="73" t="s">
        <v>110</v>
      </c>
      <c r="Q116" s="54" t="str">
        <f>IFERROR(__xludf.DUMMYFUNCTION("""COMPUTED_VALUE"""),"HelloUnitedStates_PTV.9355_MES_LongNV_170121")</f>
        <v>HelloUnitedStates_PTV.9355_MES_LongNV_170121</v>
      </c>
      <c r="R116" s="54" t="str">
        <f>IFERROR(__xludf.DUMMYFUNCTION("""COMPUTED_VALUE"""),"NEW_UnitedStates_1865_none_170121")</f>
        <v>NEW_UnitedStates_1865_none_170121</v>
      </c>
      <c r="S116" s="54" t="str">
        <f>IFERROR(__xludf.DUMMYFUNCTION("""COMPUTED_VALUE"""),"camnhan_HVnail41tuoichiase_PTATT_LD005")</f>
        <v>camnhan_HVnail41tuoichiase_PTATT_LD005</v>
      </c>
      <c r="T116" s="54"/>
      <c r="U116" s="56"/>
    </row>
    <row r="117">
      <c r="A117" s="66">
        <v>190121.0</v>
      </c>
      <c r="B117" s="75" t="s">
        <v>166</v>
      </c>
      <c r="C117" s="54" t="str">
        <f>IFERROR(__xludf.DUMMYFUNCTION("""COMPUTED_VALUE"""),"LD005")</f>
        <v>LD005</v>
      </c>
      <c r="D117" s="55" t="s">
        <v>42</v>
      </c>
      <c r="E117" s="55" t="s">
        <v>79</v>
      </c>
      <c r="F117" s="55" t="s">
        <v>129</v>
      </c>
      <c r="G117" s="55">
        <v>1865.0</v>
      </c>
      <c r="H117" s="55" t="s">
        <v>336</v>
      </c>
      <c r="I117" s="55" t="s">
        <v>386</v>
      </c>
      <c r="J117" s="55" t="s">
        <v>383</v>
      </c>
      <c r="K117" s="55" t="s">
        <v>61</v>
      </c>
      <c r="L117" s="55" t="s">
        <v>217</v>
      </c>
      <c r="M117" s="55" t="s">
        <v>384</v>
      </c>
      <c r="N117" s="55" t="s">
        <v>79</v>
      </c>
      <c r="O117" s="55" t="s">
        <v>224</v>
      </c>
      <c r="P117" s="73" t="s">
        <v>110</v>
      </c>
      <c r="Q117" s="54" t="str">
        <f>IFERROR(__xludf.DUMMYFUNCTION("""COMPUTED_VALUE"""),"HelloAustralia_PTV.9355_MES_LongNV_190121")</f>
        <v>HelloAustralia_PTV.9355_MES_LongNV_190121</v>
      </c>
      <c r="R117" s="54" t="str">
        <f>IFERROR(__xludf.DUMMYFUNCTION("""COMPUTED_VALUE"""),"NEW_Australia_1865_none_190121")</f>
        <v>NEW_Australia_1865_none_190121</v>
      </c>
      <c r="S117" s="54" t="str">
        <f>IFERROR(__xludf.DUMMYFUNCTION("""COMPUTED_VALUE"""),"camnhan_HVnail41tuoichiase_PTATT_LD005")</f>
        <v>camnhan_HVnail41tuoichiase_PTATT_LD005</v>
      </c>
      <c r="T117" s="54"/>
      <c r="U117" s="56"/>
    </row>
    <row r="118">
      <c r="A118" s="66">
        <v>190121.0</v>
      </c>
      <c r="B118" s="75" t="s">
        <v>166</v>
      </c>
      <c r="C118" s="54" t="str">
        <f>IFERROR(__xludf.DUMMYFUNCTION("""COMPUTED_VALUE"""),"LD005")</f>
        <v>LD005</v>
      </c>
      <c r="D118" s="55" t="s">
        <v>42</v>
      </c>
      <c r="E118" s="55" t="s">
        <v>79</v>
      </c>
      <c r="F118" s="55" t="s">
        <v>112</v>
      </c>
      <c r="G118" s="55">
        <v>1865.0</v>
      </c>
      <c r="H118" s="55" t="s">
        <v>336</v>
      </c>
      <c r="I118" s="55" t="s">
        <v>388</v>
      </c>
      <c r="J118" s="55" t="s">
        <v>383</v>
      </c>
      <c r="K118" s="55" t="s">
        <v>61</v>
      </c>
      <c r="L118" s="55" t="s">
        <v>217</v>
      </c>
      <c r="M118" s="55" t="s">
        <v>384</v>
      </c>
      <c r="N118" s="55" t="s">
        <v>79</v>
      </c>
      <c r="O118" s="55" t="s">
        <v>224</v>
      </c>
      <c r="P118" s="73" t="s">
        <v>110</v>
      </c>
      <c r="Q118" s="54" t="str">
        <f>IFERROR(__xludf.DUMMYFUNCTION("""COMPUTED_VALUE"""),"HelloCanada_PTV.9355_MES_LongNV_190121")</f>
        <v>HelloCanada_PTV.9355_MES_LongNV_190121</v>
      </c>
      <c r="R118" s="54" t="str">
        <f>IFERROR(__xludf.DUMMYFUNCTION("""COMPUTED_VALUE"""),"NEW_Canada_1865_none_190121")</f>
        <v>NEW_Canada_1865_none_190121</v>
      </c>
      <c r="S118" s="54" t="str">
        <f>IFERROR(__xludf.DUMMYFUNCTION("""COMPUTED_VALUE"""),"camnhan_HVnail41tuoichiase_PTATT_LD005")</f>
        <v>camnhan_HVnail41tuoichiase_PTATT_LD005</v>
      </c>
      <c r="T118" s="54"/>
      <c r="U118" s="56"/>
    </row>
    <row r="119">
      <c r="A119" s="66">
        <v>190121.0</v>
      </c>
      <c r="B119" s="75" t="s">
        <v>166</v>
      </c>
      <c r="C119" s="54" t="str">
        <f>IFERROR(__xludf.DUMMYFUNCTION("""COMPUTED_VALUE"""),"LD005")</f>
        <v>LD005</v>
      </c>
      <c r="D119" s="55" t="s">
        <v>42</v>
      </c>
      <c r="E119" s="55" t="s">
        <v>79</v>
      </c>
      <c r="F119" s="55" t="s">
        <v>133</v>
      </c>
      <c r="G119" s="55">
        <v>1865.0</v>
      </c>
      <c r="H119" s="55" t="s">
        <v>336</v>
      </c>
      <c r="I119" s="55" t="s">
        <v>389</v>
      </c>
      <c r="J119" s="55" t="s">
        <v>390</v>
      </c>
      <c r="K119" s="55" t="s">
        <v>61</v>
      </c>
      <c r="L119" s="55" t="s">
        <v>217</v>
      </c>
      <c r="M119" s="55" t="s">
        <v>384</v>
      </c>
      <c r="N119" s="55" t="s">
        <v>79</v>
      </c>
      <c r="O119" s="55" t="s">
        <v>224</v>
      </c>
      <c r="P119" s="73" t="s">
        <v>110</v>
      </c>
      <c r="Q119" s="54" t="str">
        <f>IFERROR(__xludf.DUMMYFUNCTION("""COMPUTED_VALUE"""),"HelloJapan_PTV.9355_MES_LongNV_190121")</f>
        <v>HelloJapan_PTV.9355_MES_LongNV_190121</v>
      </c>
      <c r="R119" s="54" t="str">
        <f>IFERROR(__xludf.DUMMYFUNCTION("""COMPUTED_VALUE"""),"NEW_Japan_1865_none_190121")</f>
        <v>NEW_Japan_1865_none_190121</v>
      </c>
      <c r="S119" s="54" t="str">
        <f>IFERROR(__xludf.DUMMYFUNCTION("""COMPUTED_VALUE"""),"camnhan_HVkhachsan32tuoichiase_PTATT_LD005")</f>
        <v>camnhan_HVkhachsan32tuoichiase_PTATT_LD005</v>
      </c>
      <c r="T119" s="54"/>
      <c r="U119" s="56"/>
    </row>
    <row r="120">
      <c r="A120" s="66">
        <v>210120.0</v>
      </c>
      <c r="B120" s="75" t="s">
        <v>166</v>
      </c>
      <c r="C120" s="54" t="str">
        <f>IFERROR(__xludf.DUMMYFUNCTION("""COMPUTED_VALUE"""),"LD005")</f>
        <v>LD005</v>
      </c>
      <c r="D120" s="55" t="s">
        <v>42</v>
      </c>
      <c r="E120" s="55" t="s">
        <v>79</v>
      </c>
      <c r="F120" s="55" t="s">
        <v>107</v>
      </c>
      <c r="G120" s="55">
        <v>1865.0</v>
      </c>
      <c r="H120" s="55" t="s">
        <v>75</v>
      </c>
      <c r="I120" s="55" t="s">
        <v>391</v>
      </c>
      <c r="J120" s="55" t="s">
        <v>391</v>
      </c>
      <c r="K120" s="55" t="s">
        <v>61</v>
      </c>
      <c r="L120" s="55" t="s">
        <v>270</v>
      </c>
      <c r="M120" s="55" t="s">
        <v>78</v>
      </c>
      <c r="N120" s="55" t="s">
        <v>79</v>
      </c>
      <c r="O120" s="55" t="s">
        <v>218</v>
      </c>
      <c r="P120" s="73" t="s">
        <v>110</v>
      </c>
      <c r="Q120" s="54" t="str">
        <f>IFERROR(__xludf.DUMMYFUNCTION("""COMPUTED_VALUE"""),"UnitedStates.PTATTNDL_MatthewNguyen.7687_MES_HuyNV_210120")</f>
        <v>UnitedStates.PTATTNDL_MatthewNguyen.7687_MES_HuyNV_210120</v>
      </c>
      <c r="R120" s="54" t="str">
        <f>IFERROR(__xludf.DUMMYFUNCTION("""COMPUTED_VALUE"""),"NEW_UnitedStates_1865_none_210120")</f>
        <v>NEW_UnitedStates_1865_none_210120</v>
      </c>
      <c r="S120" s="54" t="str">
        <f>IFERROR(__xludf.DUMMYFUNCTION("""COMPUTED_VALUE"""),"saletructiep_UnitedStates.PTATTNDL_PTATTNDL_LD005")</f>
        <v>saletructiep_UnitedStates.PTATTNDL_PTATTNDL_LD005</v>
      </c>
      <c r="T120" s="54"/>
      <c r="U120" s="56"/>
    </row>
    <row r="121">
      <c r="A121" s="66">
        <v>220120.0</v>
      </c>
      <c r="B121" s="61" t="s">
        <v>222</v>
      </c>
      <c r="C121" s="54" t="str">
        <f>IFERROR(__xludf.DUMMYFUNCTION("""COMPUTED_VALUE"""),"LD051")</f>
        <v>LD051</v>
      </c>
      <c r="D121" s="55" t="s">
        <v>42</v>
      </c>
      <c r="E121" s="73" t="s">
        <v>53</v>
      </c>
      <c r="F121" s="73" t="s">
        <v>60</v>
      </c>
      <c r="G121" s="73" t="s">
        <v>321</v>
      </c>
      <c r="H121" s="73" t="s">
        <v>336</v>
      </c>
      <c r="I121" s="73" t="s">
        <v>339</v>
      </c>
      <c r="J121" s="73" t="s">
        <v>61</v>
      </c>
      <c r="K121" s="73" t="s">
        <v>61</v>
      </c>
      <c r="L121" s="73" t="s">
        <v>70</v>
      </c>
      <c r="M121" s="73" t="s">
        <v>103</v>
      </c>
      <c r="N121" s="73" t="s">
        <v>340</v>
      </c>
      <c r="O121" s="73" t="s">
        <v>70</v>
      </c>
      <c r="P121" s="73" t="s">
        <v>110</v>
      </c>
      <c r="Q121" s="54" t="str">
        <f>IFERROR(__xludf.DUMMYFUNCTION("""COMPUTED_VALUE"""),"None.raicmt.none_NON_CMT_LongNV_220120")</f>
        <v>None.raicmt.none_NON_CMT_LongNV_220120</v>
      </c>
      <c r="R121" s="54" t="str">
        <f>IFERROR(__xludf.DUMMYFUNCTION("""COMPUTED_VALUE"""),"NEW_NONE_all_none_220120")</f>
        <v>NEW_NONE_all_none_220120</v>
      </c>
      <c r="S121" s="54" t="str">
        <f>IFERROR(__xludf.DUMMYFUNCTION("""COMPUTED_VALUE"""),"kienthuc_none_NON_LD051")</f>
        <v>kienthuc_none_NON_LD051</v>
      </c>
      <c r="T121" s="54"/>
      <c r="U121" s="56"/>
    </row>
    <row r="122">
      <c r="A122" s="66">
        <v>220120.0</v>
      </c>
      <c r="B122" s="61" t="s">
        <v>206</v>
      </c>
      <c r="C122" s="54" t="str">
        <f>IFERROR(__xludf.DUMMYFUNCTION("""COMPUTED_VALUE"""),"LD044")</f>
        <v>LD044</v>
      </c>
      <c r="D122" s="55" t="s">
        <v>42</v>
      </c>
      <c r="E122" s="73" t="s">
        <v>53</v>
      </c>
      <c r="F122" s="73" t="s">
        <v>60</v>
      </c>
      <c r="G122" s="73" t="s">
        <v>321</v>
      </c>
      <c r="H122" s="73" t="s">
        <v>336</v>
      </c>
      <c r="I122" s="73" t="s">
        <v>339</v>
      </c>
      <c r="J122" s="73" t="s">
        <v>61</v>
      </c>
      <c r="K122" s="73" t="s">
        <v>61</v>
      </c>
      <c r="L122" s="73" t="s">
        <v>70</v>
      </c>
      <c r="M122" s="73" t="s">
        <v>103</v>
      </c>
      <c r="N122" s="73" t="s">
        <v>340</v>
      </c>
      <c r="O122" s="73" t="s">
        <v>70</v>
      </c>
      <c r="P122" s="73" t="s">
        <v>110</v>
      </c>
      <c r="Q122" s="54" t="str">
        <f>IFERROR(__xludf.DUMMYFUNCTION("""COMPUTED_VALUE"""),"None.raicmt.none_NON_CMT_LongNV_220120")</f>
        <v>None.raicmt.none_NON_CMT_LongNV_220120</v>
      </c>
      <c r="R122" s="54" t="str">
        <f>IFERROR(__xludf.DUMMYFUNCTION("""COMPUTED_VALUE"""),"NEW_NONE_all_none_220120")</f>
        <v>NEW_NONE_all_none_220120</v>
      </c>
      <c r="S122" s="54" t="str">
        <f>IFERROR(__xludf.DUMMYFUNCTION("""COMPUTED_VALUE"""),"kienthuc_none_NON_LD044")</f>
        <v>kienthuc_none_NON_LD044</v>
      </c>
      <c r="T122" s="54"/>
      <c r="U122" s="56"/>
    </row>
    <row r="123">
      <c r="A123" s="66">
        <v>220120.0</v>
      </c>
      <c r="B123" s="61" t="s">
        <v>156</v>
      </c>
      <c r="C123" s="54" t="str">
        <f>IFERROR(__xludf.DUMMYFUNCTION("""COMPUTED_VALUE"""),"LD043")</f>
        <v>LD043</v>
      </c>
      <c r="D123" s="55" t="s">
        <v>42</v>
      </c>
      <c r="E123" s="73" t="s">
        <v>53</v>
      </c>
      <c r="F123" s="73" t="s">
        <v>60</v>
      </c>
      <c r="G123" s="73" t="s">
        <v>321</v>
      </c>
      <c r="H123" s="73" t="s">
        <v>336</v>
      </c>
      <c r="I123" s="73" t="s">
        <v>339</v>
      </c>
      <c r="J123" s="73" t="s">
        <v>61</v>
      </c>
      <c r="K123" s="73" t="s">
        <v>61</v>
      </c>
      <c r="L123" s="73" t="s">
        <v>70</v>
      </c>
      <c r="M123" s="73" t="s">
        <v>103</v>
      </c>
      <c r="N123" s="73" t="s">
        <v>340</v>
      </c>
      <c r="O123" s="73" t="s">
        <v>70</v>
      </c>
      <c r="P123" s="73" t="s">
        <v>110</v>
      </c>
      <c r="Q123" s="54" t="str">
        <f>IFERROR(__xludf.DUMMYFUNCTION("""COMPUTED_VALUE"""),"None.raicmt.none_NON_CMT_LongNV_220120")</f>
        <v>None.raicmt.none_NON_CMT_LongNV_220120</v>
      </c>
      <c r="R123" s="54" t="str">
        <f>IFERROR(__xludf.DUMMYFUNCTION("""COMPUTED_VALUE"""),"NEW_NONE_all_none_220120")</f>
        <v>NEW_NONE_all_none_220120</v>
      </c>
      <c r="S123" s="54" t="str">
        <f>IFERROR(__xludf.DUMMYFUNCTION("""COMPUTED_VALUE"""),"kienthuc_none_NON_LD043")</f>
        <v>kienthuc_none_NON_LD043</v>
      </c>
      <c r="T123" s="54"/>
      <c r="U123" s="56"/>
    </row>
    <row r="124">
      <c r="A124" s="66">
        <v>220120.0</v>
      </c>
      <c r="B124" s="61" t="s">
        <v>105</v>
      </c>
      <c r="C124" s="54" t="str">
        <f>IFERROR(__xludf.DUMMYFUNCTION("""COMPUTED_VALUE"""),"LD036")</f>
        <v>LD036</v>
      </c>
      <c r="D124" s="55" t="s">
        <v>42</v>
      </c>
      <c r="E124" s="73" t="s">
        <v>53</v>
      </c>
      <c r="F124" s="73" t="s">
        <v>60</v>
      </c>
      <c r="G124" s="73" t="s">
        <v>321</v>
      </c>
      <c r="H124" s="73" t="s">
        <v>336</v>
      </c>
      <c r="I124" s="73" t="s">
        <v>339</v>
      </c>
      <c r="J124" s="73" t="s">
        <v>61</v>
      </c>
      <c r="K124" s="73" t="s">
        <v>61</v>
      </c>
      <c r="L124" s="73" t="s">
        <v>70</v>
      </c>
      <c r="M124" s="73" t="s">
        <v>103</v>
      </c>
      <c r="N124" s="73" t="s">
        <v>340</v>
      </c>
      <c r="O124" s="73" t="s">
        <v>70</v>
      </c>
      <c r="P124" s="73" t="s">
        <v>110</v>
      </c>
      <c r="Q124" s="54" t="str">
        <f>IFERROR(__xludf.DUMMYFUNCTION("""COMPUTED_VALUE"""),"None.raicmt.none_NON_CMT_LongNV_220120")</f>
        <v>None.raicmt.none_NON_CMT_LongNV_220120</v>
      </c>
      <c r="R124" s="54" t="str">
        <f>IFERROR(__xludf.DUMMYFUNCTION("""COMPUTED_VALUE"""),"NEW_NONE_all_none_220120")</f>
        <v>NEW_NONE_all_none_220120</v>
      </c>
      <c r="S124" s="54" t="str">
        <f>IFERROR(__xludf.DUMMYFUNCTION("""COMPUTED_VALUE"""),"kienthuc_none_NON_LD036")</f>
        <v>kienthuc_none_NON_LD036</v>
      </c>
      <c r="T124" s="54"/>
      <c r="U124" s="56"/>
    </row>
    <row r="125">
      <c r="A125" s="66">
        <v>240121.0</v>
      </c>
      <c r="B125" s="75" t="s">
        <v>166</v>
      </c>
      <c r="C125" s="54" t="str">
        <f>IFERROR(__xludf.DUMMYFUNCTION("""COMPUTED_VALUE"""),"LD005")</f>
        <v>LD005</v>
      </c>
      <c r="D125" s="55" t="s">
        <v>42</v>
      </c>
      <c r="E125" s="55" t="s">
        <v>79</v>
      </c>
      <c r="F125" s="55" t="s">
        <v>174</v>
      </c>
      <c r="G125" s="55">
        <v>1865.0</v>
      </c>
      <c r="H125" s="55" t="s">
        <v>75</v>
      </c>
      <c r="I125" s="55" t="s">
        <v>393</v>
      </c>
      <c r="J125" s="55" t="s">
        <v>393</v>
      </c>
      <c r="K125" s="55" t="s">
        <v>61</v>
      </c>
      <c r="L125" s="55" t="s">
        <v>317</v>
      </c>
      <c r="M125" s="55" t="s">
        <v>78</v>
      </c>
      <c r="N125" s="55" t="s">
        <v>79</v>
      </c>
      <c r="O125" s="55" t="s">
        <v>224</v>
      </c>
      <c r="P125" s="73" t="s">
        <v>110</v>
      </c>
      <c r="Q125" s="54" t="str">
        <f>IFERROR(__xludf.DUMMYFUNCTION("""COMPUTED_VALUE"""),"BiQuyet.Philippines.PTATT_XuBen.5018_MES_HuyNV_240121")</f>
        <v>BiQuyet.Philippines.PTATT_XuBen.5018_MES_HuyNV_240121</v>
      </c>
      <c r="R125" s="54" t="str">
        <f>IFERROR(__xludf.DUMMYFUNCTION("""COMPUTED_VALUE"""),"NEW_Philippines_1865_none_240121")</f>
        <v>NEW_Philippines_1865_none_240121</v>
      </c>
      <c r="S125" s="54" t="str">
        <f>IFERROR(__xludf.DUMMYFUNCTION("""COMPUTED_VALUE"""),"saletructiep_BiQuyet.Philippines.PTATT_PTATT_LD005")</f>
        <v>saletructiep_BiQuyet.Philippines.PTATT_PTATT_LD005</v>
      </c>
      <c r="T125" s="54"/>
      <c r="U125" s="56"/>
    </row>
    <row r="126">
      <c r="A126" s="66">
        <v>250121.0</v>
      </c>
      <c r="B126" s="75" t="s">
        <v>166</v>
      </c>
      <c r="C126" s="54" t="str">
        <f>IFERROR(__xludf.DUMMYFUNCTION("""COMPUTED_VALUE"""),"LD005")</f>
        <v>LD005</v>
      </c>
      <c r="D126" s="55" t="s">
        <v>42</v>
      </c>
      <c r="E126" s="55" t="s">
        <v>79</v>
      </c>
      <c r="F126" s="55" t="s">
        <v>107</v>
      </c>
      <c r="G126" s="55">
        <v>2565.0</v>
      </c>
      <c r="H126" s="55" t="s">
        <v>336</v>
      </c>
      <c r="I126" s="55" t="s">
        <v>382</v>
      </c>
      <c r="J126" s="55" t="s">
        <v>383</v>
      </c>
      <c r="K126" s="55" t="s">
        <v>61</v>
      </c>
      <c r="L126" s="55" t="s">
        <v>395</v>
      </c>
      <c r="M126" s="55" t="s">
        <v>384</v>
      </c>
      <c r="N126" s="55" t="s">
        <v>79</v>
      </c>
      <c r="O126" s="55" t="s">
        <v>224</v>
      </c>
      <c r="P126" s="73" t="s">
        <v>110</v>
      </c>
      <c r="Q126" s="54" t="str">
        <f>IFERROR(__xludf.DUMMYFUNCTION("""COMPUTED_VALUE"""),"HelloUnitedStates_AndyArcillaDuque_MES_LongNV_250121")</f>
        <v>HelloUnitedStates_AndyArcillaDuque_MES_LongNV_250121</v>
      </c>
      <c r="R126" s="54" t="str">
        <f>IFERROR(__xludf.DUMMYFUNCTION("""COMPUTED_VALUE"""),"NEW_UnitedStates_2565_none_250121")</f>
        <v>NEW_UnitedStates_2565_none_250121</v>
      </c>
      <c r="S126" s="54" t="str">
        <f>IFERROR(__xludf.DUMMYFUNCTION("""COMPUTED_VALUE"""),"camnhan_HVnail41tuoichiase_PTATT_LD005")</f>
        <v>camnhan_HVnail41tuoichiase_PTATT_LD005</v>
      </c>
      <c r="T126" s="54"/>
      <c r="U126" s="56"/>
    </row>
    <row r="127">
      <c r="A127" s="77">
        <v>250121.0</v>
      </c>
      <c r="B127" s="61" t="s">
        <v>166</v>
      </c>
      <c r="C127" s="54" t="str">
        <f>IFERROR(__xludf.DUMMYFUNCTION("""COMPUTED_VALUE"""),"LD005")</f>
        <v>LD005</v>
      </c>
      <c r="D127" s="73" t="s">
        <v>42</v>
      </c>
      <c r="E127" s="73" t="s">
        <v>79</v>
      </c>
      <c r="F127" s="55" t="s">
        <v>133</v>
      </c>
      <c r="G127" s="73">
        <v>2565.0</v>
      </c>
      <c r="H127" s="73" t="s">
        <v>336</v>
      </c>
      <c r="I127" s="55" t="s">
        <v>389</v>
      </c>
      <c r="J127" s="55" t="s">
        <v>390</v>
      </c>
      <c r="K127" s="73" t="s">
        <v>61</v>
      </c>
      <c r="L127" s="73" t="s">
        <v>395</v>
      </c>
      <c r="M127" s="73" t="s">
        <v>384</v>
      </c>
      <c r="N127" s="73" t="s">
        <v>79</v>
      </c>
      <c r="O127" s="73" t="s">
        <v>224</v>
      </c>
      <c r="P127" s="73" t="s">
        <v>110</v>
      </c>
      <c r="Q127" s="54" t="str">
        <f>IFERROR(__xludf.DUMMYFUNCTION("""COMPUTED_VALUE"""),"HelloJapan_AndyArcillaDuque_MES_LongNV_250121")</f>
        <v>HelloJapan_AndyArcillaDuque_MES_LongNV_250121</v>
      </c>
      <c r="R127" s="54" t="str">
        <f>IFERROR(__xludf.DUMMYFUNCTION("""COMPUTED_VALUE"""),"NEW_Japan_2565_none_250121")</f>
        <v>NEW_Japan_2565_none_250121</v>
      </c>
      <c r="S127" s="54" t="str">
        <f>IFERROR(__xludf.DUMMYFUNCTION("""COMPUTED_VALUE"""),"camnhan_HVkhachsan32tuoichiase_PTATT_LD005")</f>
        <v>camnhan_HVkhachsan32tuoichiase_PTATT_LD005</v>
      </c>
      <c r="T127" s="54"/>
      <c r="U127" s="56"/>
    </row>
    <row r="128">
      <c r="A128" s="66">
        <v>260121.0</v>
      </c>
      <c r="B128" s="61" t="s">
        <v>166</v>
      </c>
      <c r="C128" s="54" t="str">
        <f>IFERROR(__xludf.DUMMYFUNCTION("""COMPUTED_VALUE"""),"LD005")</f>
        <v>LD005</v>
      </c>
      <c r="D128" s="73" t="s">
        <v>42</v>
      </c>
      <c r="E128" s="73" t="s">
        <v>79</v>
      </c>
      <c r="F128" s="55" t="s">
        <v>397</v>
      </c>
      <c r="G128" s="73">
        <v>2565.0</v>
      </c>
      <c r="H128" s="73" t="s">
        <v>336</v>
      </c>
      <c r="I128" s="55" t="s">
        <v>398</v>
      </c>
      <c r="J128" s="55" t="s">
        <v>390</v>
      </c>
      <c r="K128" s="73" t="s">
        <v>61</v>
      </c>
      <c r="L128" s="73" t="s">
        <v>395</v>
      </c>
      <c r="M128" s="73" t="s">
        <v>384</v>
      </c>
      <c r="N128" s="73" t="s">
        <v>79</v>
      </c>
      <c r="O128" s="73" t="s">
        <v>224</v>
      </c>
      <c r="P128" s="73" t="s">
        <v>110</v>
      </c>
      <c r="Q128" s="54" t="str">
        <f>IFERROR(__xludf.DUMMYFUNCTION("""COMPUTED_VALUE"""),"HelloUnitedArabEmirates_AndyArcillaDuque_MES_LongNV_260121")</f>
        <v>HelloUnitedArabEmirates_AndyArcillaDuque_MES_LongNV_260121</v>
      </c>
      <c r="R128" s="54" t="str">
        <f>IFERROR(__xludf.DUMMYFUNCTION("""COMPUTED_VALUE"""),"NEW_UnitedArabEmirates_2565_none_260121")</f>
        <v>NEW_UnitedArabEmirates_2565_none_260121</v>
      </c>
      <c r="S128" s="54" t="str">
        <f>IFERROR(__xludf.DUMMYFUNCTION("""COMPUTED_VALUE"""),"camnhan_HVkhachsan32tuoichiase_PTATT_LD005")</f>
        <v>camnhan_HVkhachsan32tuoichiase_PTATT_LD005</v>
      </c>
      <c r="T128" s="54"/>
      <c r="U128" s="56"/>
    </row>
    <row r="129">
      <c r="A129" s="64" t="s">
        <v>399</v>
      </c>
      <c r="B129" s="61" t="s">
        <v>166</v>
      </c>
      <c r="C129" s="54" t="str">
        <f>IFERROR(__xludf.DUMMYFUNCTION("""COMPUTED_VALUE"""),"LD005")</f>
        <v>LD005</v>
      </c>
      <c r="D129" s="73" t="s">
        <v>42</v>
      </c>
      <c r="E129" s="73" t="s">
        <v>79</v>
      </c>
      <c r="F129" s="55" t="s">
        <v>107</v>
      </c>
      <c r="G129" s="55">
        <v>1865.0</v>
      </c>
      <c r="H129" s="55" t="s">
        <v>75</v>
      </c>
      <c r="I129" s="55" t="s">
        <v>257</v>
      </c>
      <c r="J129" s="55" t="s">
        <v>257</v>
      </c>
      <c r="K129" s="73" t="s">
        <v>61</v>
      </c>
      <c r="L129" s="55" t="s">
        <v>270</v>
      </c>
      <c r="M129" s="55" t="s">
        <v>78</v>
      </c>
      <c r="N129" s="55" t="s">
        <v>79</v>
      </c>
      <c r="O129" s="55" t="s">
        <v>218</v>
      </c>
      <c r="P129" s="73" t="s">
        <v>110</v>
      </c>
      <c r="Q129" s="54" t="str">
        <f>IFERROR(__xludf.DUMMYFUNCTION("""COMPUTED_VALUE"""),"UnitedStates.AnhBiQuyet.PTATTNDL_MatthewNguyen.7687_MES_HuyNV_010221")</f>
        <v>UnitedStates.AnhBiQuyet.PTATTNDL_MatthewNguyen.7687_MES_HuyNV_010221</v>
      </c>
      <c r="R129" s="54" t="str">
        <f>IFERROR(__xludf.DUMMYFUNCTION("""COMPUTED_VALUE"""),"NEW_UnitedStates_1865_none_010221")</f>
        <v>NEW_UnitedStates_1865_none_010221</v>
      </c>
      <c r="S129" s="54" t="str">
        <f>IFERROR(__xludf.DUMMYFUNCTION("""COMPUTED_VALUE"""),"saletructiep_UnitedStates.AnhBiQuyet.PTATTNDL_PTATTNDL_LD005")</f>
        <v>saletructiep_UnitedStates.AnhBiQuyet.PTATTNDL_PTATTNDL_LD005</v>
      </c>
      <c r="T129" s="54"/>
      <c r="U129" s="56"/>
    </row>
    <row r="130">
      <c r="A130" s="64" t="s">
        <v>399</v>
      </c>
      <c r="B130" s="61" t="s">
        <v>166</v>
      </c>
      <c r="C130" s="54" t="str">
        <f>IFERROR(__xludf.DUMMYFUNCTION("""COMPUTED_VALUE"""),"LD005")</f>
        <v>LD005</v>
      </c>
      <c r="D130" s="73" t="s">
        <v>42</v>
      </c>
      <c r="E130" s="73" t="s">
        <v>79</v>
      </c>
      <c r="F130" s="55" t="s">
        <v>303</v>
      </c>
      <c r="G130" s="55">
        <v>1865.0</v>
      </c>
      <c r="H130" s="55" t="s">
        <v>75</v>
      </c>
      <c r="I130" s="55" t="s">
        <v>400</v>
      </c>
      <c r="J130" s="55" t="s">
        <v>400</v>
      </c>
      <c r="K130" s="73" t="s">
        <v>61</v>
      </c>
      <c r="L130" s="55" t="s">
        <v>270</v>
      </c>
      <c r="M130" s="55" t="s">
        <v>78</v>
      </c>
      <c r="N130" s="55" t="s">
        <v>79</v>
      </c>
      <c r="O130" s="55" t="s">
        <v>218</v>
      </c>
      <c r="P130" s="73" t="s">
        <v>110</v>
      </c>
      <c r="Q130" s="54" t="str">
        <f>IFERROR(__xludf.DUMMYFUNCTION("""COMPUTED_VALUE"""),"Cambodia.Video1Kem1.PTATTNDL_MatthewNguyen.7687_MES_HuyNV_010221")</f>
        <v>Cambodia.Video1Kem1.PTATTNDL_MatthewNguyen.7687_MES_HuyNV_010221</v>
      </c>
      <c r="R130" s="54" t="str">
        <f>IFERROR(__xludf.DUMMYFUNCTION("""COMPUTED_VALUE"""),"NEW_Cambodia_1865_none_010221")</f>
        <v>NEW_Cambodia_1865_none_010221</v>
      </c>
      <c r="S130" s="54" t="str">
        <f>IFERROR(__xludf.DUMMYFUNCTION("""COMPUTED_VALUE"""),"saletructiep_Cambodia.Video1Kem1.PTATTNDL_PTATTNDL_LD005")</f>
        <v>saletructiep_Cambodia.Video1Kem1.PTATTNDL_PTATTNDL_LD005</v>
      </c>
      <c r="T130" s="54"/>
      <c r="U130" s="56"/>
    </row>
    <row r="131">
      <c r="A131" s="64" t="s">
        <v>399</v>
      </c>
      <c r="B131" s="61" t="s">
        <v>166</v>
      </c>
      <c r="C131" s="54" t="str">
        <f>IFERROR(__xludf.DUMMYFUNCTION("""COMPUTED_VALUE"""),"LD005")</f>
        <v>LD005</v>
      </c>
      <c r="D131" s="73" t="s">
        <v>42</v>
      </c>
      <c r="E131" s="73" t="s">
        <v>79</v>
      </c>
      <c r="F131" s="55" t="s">
        <v>199</v>
      </c>
      <c r="G131" s="55">
        <v>1865.0</v>
      </c>
      <c r="H131" s="55" t="s">
        <v>75</v>
      </c>
      <c r="I131" s="55" t="s">
        <v>401</v>
      </c>
      <c r="J131" s="55" t="s">
        <v>401</v>
      </c>
      <c r="K131" s="73" t="s">
        <v>61</v>
      </c>
      <c r="L131" s="55" t="s">
        <v>270</v>
      </c>
      <c r="M131" s="55" t="s">
        <v>78</v>
      </c>
      <c r="N131" s="55" t="s">
        <v>79</v>
      </c>
      <c r="O131" s="55" t="s">
        <v>218</v>
      </c>
      <c r="P131" s="73" t="s">
        <v>110</v>
      </c>
      <c r="Q131" s="54" t="str">
        <f>IFERROR(__xludf.DUMMYFUNCTION("""COMPUTED_VALUE"""),"Vietnam.Video1Kem1.PTATTNDL_MatthewNguyen.7687_MES_HuyNV_010221")</f>
        <v>Vietnam.Video1Kem1.PTATTNDL_MatthewNguyen.7687_MES_HuyNV_010221</v>
      </c>
      <c r="R131" s="54" t="str">
        <f>IFERROR(__xludf.DUMMYFUNCTION("""COMPUTED_VALUE"""),"NEW_Vietnam_1865_none_010221")</f>
        <v>NEW_Vietnam_1865_none_010221</v>
      </c>
      <c r="S131" s="54" t="str">
        <f>IFERROR(__xludf.DUMMYFUNCTION("""COMPUTED_VALUE"""),"saletructiep_Vietnam.Video1Kem1.PTATTNDL_PTATTNDL_LD005")</f>
        <v>saletructiep_Vietnam.Video1Kem1.PTATTNDL_PTATTNDL_LD005</v>
      </c>
      <c r="T131" s="54"/>
      <c r="U131" s="56"/>
    </row>
    <row r="132">
      <c r="A132" s="64" t="s">
        <v>399</v>
      </c>
      <c r="B132" s="61" t="s">
        <v>166</v>
      </c>
      <c r="C132" s="54" t="str">
        <f>IFERROR(__xludf.DUMMYFUNCTION("""COMPUTED_VALUE"""),"LD005")</f>
        <v>LD005</v>
      </c>
      <c r="D132" s="73" t="s">
        <v>42</v>
      </c>
      <c r="E132" s="73" t="s">
        <v>79</v>
      </c>
      <c r="F132" s="55" t="s">
        <v>133</v>
      </c>
      <c r="G132" s="55">
        <v>1865.0</v>
      </c>
      <c r="H132" s="55" t="s">
        <v>75</v>
      </c>
      <c r="I132" s="55" t="s">
        <v>403</v>
      </c>
      <c r="J132" s="55" t="s">
        <v>403</v>
      </c>
      <c r="K132" s="73" t="s">
        <v>61</v>
      </c>
      <c r="L132" s="55" t="s">
        <v>270</v>
      </c>
      <c r="M132" s="55" t="s">
        <v>78</v>
      </c>
      <c r="N132" s="55" t="s">
        <v>79</v>
      </c>
      <c r="O132" s="55" t="s">
        <v>218</v>
      </c>
      <c r="P132" s="73" t="s">
        <v>110</v>
      </c>
      <c r="Q132" s="54" t="str">
        <f>IFERROR(__xludf.DUMMYFUNCTION("""COMPUTED_VALUE"""),"Japan.Video1Kem1.PTATTNDL_MatthewNguyen.7687_MES_HuyNV_010221")</f>
        <v>Japan.Video1Kem1.PTATTNDL_MatthewNguyen.7687_MES_HuyNV_010221</v>
      </c>
      <c r="R132" s="54" t="str">
        <f>IFERROR(__xludf.DUMMYFUNCTION("""COMPUTED_VALUE"""),"NEW_Japan_1865_none_010221")</f>
        <v>NEW_Japan_1865_none_010221</v>
      </c>
      <c r="S132" s="54" t="str">
        <f>IFERROR(__xludf.DUMMYFUNCTION("""COMPUTED_VALUE"""),"saletructiep_Japan.Video1Kem1.PTATTNDL_PTATTNDL_LD005")</f>
        <v>saletructiep_Japan.Video1Kem1.PTATTNDL_PTATTNDL_LD005</v>
      </c>
      <c r="T132" s="54"/>
      <c r="U132" s="56"/>
    </row>
    <row r="133">
      <c r="A133" s="64" t="s">
        <v>399</v>
      </c>
      <c r="B133" s="61" t="s">
        <v>166</v>
      </c>
      <c r="C133" s="54" t="str">
        <f>IFERROR(__xludf.DUMMYFUNCTION("""COMPUTED_VALUE"""),"LD005")</f>
        <v>LD005</v>
      </c>
      <c r="D133" s="73" t="s">
        <v>42</v>
      </c>
      <c r="E133" s="73" t="s">
        <v>79</v>
      </c>
      <c r="F133" s="55" t="s">
        <v>174</v>
      </c>
      <c r="G133" s="55">
        <v>1865.0</v>
      </c>
      <c r="H133" s="55" t="s">
        <v>75</v>
      </c>
      <c r="I133" s="55" t="s">
        <v>404</v>
      </c>
      <c r="J133" s="55" t="s">
        <v>404</v>
      </c>
      <c r="K133" s="73" t="s">
        <v>61</v>
      </c>
      <c r="L133" s="55" t="s">
        <v>270</v>
      </c>
      <c r="M133" s="55" t="s">
        <v>78</v>
      </c>
      <c r="N133" s="55" t="s">
        <v>79</v>
      </c>
      <c r="O133" s="55" t="s">
        <v>218</v>
      </c>
      <c r="P133" s="73" t="s">
        <v>110</v>
      </c>
      <c r="Q133" s="54" t="str">
        <f>IFERROR(__xludf.DUMMYFUNCTION("""COMPUTED_VALUE"""),"Philippines.AnhBiQuyet.PTATTNDL_MatthewNguyen.7687_MES_HuyNV_010221")</f>
        <v>Philippines.AnhBiQuyet.PTATTNDL_MatthewNguyen.7687_MES_HuyNV_010221</v>
      </c>
      <c r="R133" s="54" t="str">
        <f>IFERROR(__xludf.DUMMYFUNCTION("""COMPUTED_VALUE"""),"NEW_Philippines_1865_none_010221")</f>
        <v>NEW_Philippines_1865_none_010221</v>
      </c>
      <c r="S133" s="54" t="str">
        <f>IFERROR(__xludf.DUMMYFUNCTION("""COMPUTED_VALUE"""),"saletructiep_Philippines.AnhBiQuyet.PTATTNDL_PTATTNDL_LD005")</f>
        <v>saletructiep_Philippines.AnhBiQuyet.PTATTNDL_PTATTNDL_LD005</v>
      </c>
      <c r="T133" s="54"/>
      <c r="U133" s="56"/>
    </row>
    <row r="134">
      <c r="A134" s="66">
        <v>260221.0</v>
      </c>
      <c r="B134" s="61" t="s">
        <v>405</v>
      </c>
      <c r="C134" s="54" t="str">
        <f>IFERROR(__xludf.DUMMYFUNCTION("""COMPUTED_VALUE"""),"LD046")</f>
        <v>LD046</v>
      </c>
      <c r="D134" s="55" t="s">
        <v>42</v>
      </c>
      <c r="E134" s="73" t="s">
        <v>79</v>
      </c>
      <c r="F134" s="55" t="s">
        <v>199</v>
      </c>
      <c r="G134" s="55">
        <v>3050.0</v>
      </c>
      <c r="H134" s="55" t="s">
        <v>75</v>
      </c>
      <c r="I134" s="55" t="s">
        <v>407</v>
      </c>
      <c r="J134" s="55" t="s">
        <v>407</v>
      </c>
      <c r="K134" s="73" t="s">
        <v>61</v>
      </c>
      <c r="L134" s="55" t="s">
        <v>317</v>
      </c>
      <c r="M134" s="55" t="s">
        <v>78</v>
      </c>
      <c r="N134" s="55" t="s">
        <v>79</v>
      </c>
      <c r="O134" s="55" t="s">
        <v>224</v>
      </c>
      <c r="P134" s="73" t="s">
        <v>110</v>
      </c>
      <c r="Q134" s="54" t="str">
        <f>IFERROR(__xludf.DUMMYFUNCTION("""COMPUTED_VALUE"""),"VietNam.KIDS.PTATT_XuBen.5018_MES_HuyNV_260221")</f>
        <v>VietNam.KIDS.PTATT_XuBen.5018_MES_HuyNV_260221</v>
      </c>
      <c r="R134" s="54" t="str">
        <f>IFERROR(__xludf.DUMMYFUNCTION("""COMPUTED_VALUE"""),"NEW_Vietnam_3050_none_260221")</f>
        <v>NEW_Vietnam_3050_none_260221</v>
      </c>
      <c r="S134" s="54" t="str">
        <f>IFERROR(__xludf.DUMMYFUNCTION("""COMPUTED_VALUE"""),"saletructiep_VietNam.KIDS.PTATT_PTATT_LD046")</f>
        <v>saletructiep_VietNam.KIDS.PTATT_PTATT_LD046</v>
      </c>
      <c r="T134" s="54"/>
      <c r="U134" s="56"/>
    </row>
    <row r="135">
      <c r="A135" s="64" t="s">
        <v>408</v>
      </c>
      <c r="B135" s="61" t="s">
        <v>166</v>
      </c>
      <c r="C135" s="54" t="str">
        <f>IFERROR(__xludf.DUMMYFUNCTION("""COMPUTED_VALUE"""),"LD005")</f>
        <v>LD005</v>
      </c>
      <c r="D135" s="55" t="s">
        <v>42</v>
      </c>
      <c r="E135" s="73" t="s">
        <v>79</v>
      </c>
      <c r="F135" s="55" t="s">
        <v>129</v>
      </c>
      <c r="G135" s="55">
        <v>1865.0</v>
      </c>
      <c r="H135" s="55" t="s">
        <v>75</v>
      </c>
      <c r="I135" s="55" t="s">
        <v>409</v>
      </c>
      <c r="J135" s="55" t="s">
        <v>409</v>
      </c>
      <c r="K135" s="73" t="s">
        <v>61</v>
      </c>
      <c r="L135" s="55" t="s">
        <v>270</v>
      </c>
      <c r="M135" s="55" t="s">
        <v>78</v>
      </c>
      <c r="N135" s="55" t="s">
        <v>79</v>
      </c>
      <c r="O135" s="73" t="s">
        <v>224</v>
      </c>
      <c r="P135" s="73" t="s">
        <v>110</v>
      </c>
      <c r="Q135" s="54" t="str">
        <f>IFERROR(__xludf.DUMMYFUNCTION("""COMPUTED_VALUE"""),"Australia.Video1Kem1.PTATT_MatthewNguyen.7687_MES_HuyNV_060321")</f>
        <v>Australia.Video1Kem1.PTATT_MatthewNguyen.7687_MES_HuyNV_060321</v>
      </c>
      <c r="R135" s="54" t="str">
        <f>IFERROR(__xludf.DUMMYFUNCTION("""COMPUTED_VALUE"""),"NEW_Australia_1865_none_060321")</f>
        <v>NEW_Australia_1865_none_060321</v>
      </c>
      <c r="S135" s="54" t="str">
        <f>IFERROR(__xludf.DUMMYFUNCTION("""COMPUTED_VALUE"""),"saletructiep_Australia.Video1Kem1.PTATT_PTATT_LD005")</f>
        <v>saletructiep_Australia.Video1Kem1.PTATT_PTATT_LD005</v>
      </c>
      <c r="T135" s="54"/>
      <c r="U135" s="56"/>
    </row>
    <row r="136">
      <c r="A136" s="64" t="s">
        <v>408</v>
      </c>
      <c r="B136" s="61" t="s">
        <v>166</v>
      </c>
      <c r="C136" s="54" t="str">
        <f>IFERROR(__xludf.DUMMYFUNCTION("""COMPUTED_VALUE"""),"LD005")</f>
        <v>LD005</v>
      </c>
      <c r="D136" s="55" t="s">
        <v>42</v>
      </c>
      <c r="E136" s="73" t="s">
        <v>79</v>
      </c>
      <c r="F136" s="55" t="s">
        <v>397</v>
      </c>
      <c r="G136" s="55">
        <v>1865.0</v>
      </c>
      <c r="H136" s="55" t="s">
        <v>75</v>
      </c>
      <c r="I136" s="55" t="s">
        <v>410</v>
      </c>
      <c r="J136" s="55" t="s">
        <v>410</v>
      </c>
      <c r="K136" s="73" t="s">
        <v>61</v>
      </c>
      <c r="L136" s="55" t="s">
        <v>270</v>
      </c>
      <c r="M136" s="55" t="s">
        <v>78</v>
      </c>
      <c r="N136" s="55" t="s">
        <v>79</v>
      </c>
      <c r="O136" s="73" t="s">
        <v>224</v>
      </c>
      <c r="P136" s="73" t="s">
        <v>110</v>
      </c>
      <c r="Q136" s="54" t="str">
        <f>IFERROR(__xludf.DUMMYFUNCTION("""COMPUTED_VALUE"""),"UAE.Video1Kem1.PTATTNDL_MatthewNguyen.7687_MES_HuyNV_060321")</f>
        <v>UAE.Video1Kem1.PTATTNDL_MatthewNguyen.7687_MES_HuyNV_060321</v>
      </c>
      <c r="R136" s="54" t="str">
        <f>IFERROR(__xludf.DUMMYFUNCTION("""COMPUTED_VALUE"""),"NEW_UnitedArabEmirates_1865_none_060321")</f>
        <v>NEW_UnitedArabEmirates_1865_none_060321</v>
      </c>
      <c r="S136" s="54" t="str">
        <f>IFERROR(__xludf.DUMMYFUNCTION("""COMPUTED_VALUE"""),"saletructiep_UAE.Video1Kem1.PTATTNDL_PTATT_LD005")</f>
        <v>saletructiep_UAE.Video1Kem1.PTATTNDL_PTATT_LD005</v>
      </c>
      <c r="T136" s="54"/>
      <c r="U136" s="56"/>
    </row>
    <row r="137">
      <c r="A137" s="64" t="s">
        <v>411</v>
      </c>
      <c r="B137" s="61" t="s">
        <v>166</v>
      </c>
      <c r="C137" s="54" t="str">
        <f>IFERROR(__xludf.DUMMYFUNCTION("""COMPUTED_VALUE"""),"LD005")</f>
        <v>LD005</v>
      </c>
      <c r="D137" s="55" t="s">
        <v>42</v>
      </c>
      <c r="E137" s="73" t="s">
        <v>79</v>
      </c>
      <c r="F137" s="55" t="s">
        <v>112</v>
      </c>
      <c r="G137" s="55">
        <v>1865.0</v>
      </c>
      <c r="H137" s="55" t="s">
        <v>75</v>
      </c>
      <c r="I137" s="55" t="s">
        <v>413</v>
      </c>
      <c r="J137" s="55" t="s">
        <v>413</v>
      </c>
      <c r="K137" s="73" t="s">
        <v>61</v>
      </c>
      <c r="L137" s="55" t="s">
        <v>270</v>
      </c>
      <c r="M137" s="55" t="s">
        <v>78</v>
      </c>
      <c r="N137" s="55" t="s">
        <v>79</v>
      </c>
      <c r="O137" s="55" t="s">
        <v>218</v>
      </c>
      <c r="P137" s="73" t="s">
        <v>110</v>
      </c>
      <c r="Q137" s="54" t="str">
        <f>IFERROR(__xludf.DUMMYFUNCTION("""COMPUTED_VALUE"""),"Canada.Video1Kem1.PTATTNDL_MatthewNguyen.7687_MES_HuyNV_240321")</f>
        <v>Canada.Video1Kem1.PTATTNDL_MatthewNguyen.7687_MES_HuyNV_240321</v>
      </c>
      <c r="R137" s="54" t="str">
        <f>IFERROR(__xludf.DUMMYFUNCTION("""COMPUTED_VALUE"""),"NEW_Canada_1865_none_240321")</f>
        <v>NEW_Canada_1865_none_240321</v>
      </c>
      <c r="S137" s="54" t="str">
        <f>IFERROR(__xludf.DUMMYFUNCTION("""COMPUTED_VALUE"""),"saletructiep_Canada.Video1Kem1.PTATTNDL_PTATTNDL_LD005")</f>
        <v>saletructiep_Canada.Video1Kem1.PTATTNDL_PTATTNDL_LD005</v>
      </c>
      <c r="T137" s="54"/>
      <c r="U137" s="56"/>
    </row>
    <row r="138">
      <c r="A138" s="66">
        <v>210321.0</v>
      </c>
      <c r="B138" s="61" t="s">
        <v>166</v>
      </c>
      <c r="C138" s="54" t="str">
        <f>IFERROR(__xludf.DUMMYFUNCTION("""COMPUTED_VALUE"""),"LD005")</f>
        <v>LD005</v>
      </c>
      <c r="D138" s="55" t="s">
        <v>42</v>
      </c>
      <c r="E138" s="73" t="s">
        <v>79</v>
      </c>
      <c r="F138" s="55" t="s">
        <v>107</v>
      </c>
      <c r="G138" s="55">
        <v>1865.0</v>
      </c>
      <c r="H138" s="55" t="s">
        <v>75</v>
      </c>
      <c r="I138" s="55" t="s">
        <v>414</v>
      </c>
      <c r="J138" s="55" t="s">
        <v>414</v>
      </c>
      <c r="K138" s="73" t="s">
        <v>61</v>
      </c>
      <c r="L138" s="55" t="s">
        <v>317</v>
      </c>
      <c r="M138" s="55" t="s">
        <v>78</v>
      </c>
      <c r="N138" s="55" t="s">
        <v>79</v>
      </c>
      <c r="O138" s="55" t="s">
        <v>415</v>
      </c>
      <c r="P138" s="73" t="s">
        <v>110</v>
      </c>
      <c r="Q138" s="54" t="str">
        <f>IFERROR(__xludf.DUMMYFUNCTION("""COMPUTED_VALUE"""),"UnitedStates.Video1Kem1.TATTPVN_XuBen.5018_MES_HuyNV_210321")</f>
        <v>UnitedStates.Video1Kem1.TATTPVN_XuBen.5018_MES_HuyNV_210321</v>
      </c>
      <c r="R138" s="54" t="str">
        <f>IFERROR(__xludf.DUMMYFUNCTION("""COMPUTED_VALUE"""),"NEW_UnitedStates_1865_none_210321")</f>
        <v>NEW_UnitedStates_1865_none_210321</v>
      </c>
      <c r="S138" s="54" t="str">
        <f>IFERROR(__xludf.DUMMYFUNCTION("""COMPUTED_VALUE"""),"saletructiep_UnitedStates.Video1Kem1.TATTPVN_TATTPVN_LD005")</f>
        <v>saletructiep_UnitedStates.Video1Kem1.TATTPVN_TATTPVN_LD005</v>
      </c>
      <c r="T138" s="54"/>
      <c r="U138" s="56"/>
    </row>
    <row r="139">
      <c r="A139" s="66">
        <v>300321.0</v>
      </c>
      <c r="B139" s="61" t="s">
        <v>416</v>
      </c>
      <c r="C139" s="54" t="str">
        <f>IFERROR(__xludf.DUMMYFUNCTION("""COMPUTED_VALUE"""),"LD067")</f>
        <v>LD067</v>
      </c>
      <c r="D139" s="55" t="s">
        <v>42</v>
      </c>
      <c r="E139" s="73" t="s">
        <v>79</v>
      </c>
      <c r="F139" s="55" t="s">
        <v>107</v>
      </c>
      <c r="G139" s="55">
        <v>1865.0</v>
      </c>
      <c r="H139" s="55" t="s">
        <v>75</v>
      </c>
      <c r="I139" s="55" t="s">
        <v>418</v>
      </c>
      <c r="J139" s="55" t="s">
        <v>418</v>
      </c>
      <c r="K139" s="73" t="s">
        <v>61</v>
      </c>
      <c r="L139" s="55" t="s">
        <v>270</v>
      </c>
      <c r="M139" s="55" t="s">
        <v>78</v>
      </c>
      <c r="N139" s="55" t="s">
        <v>79</v>
      </c>
      <c r="O139" s="55" t="s">
        <v>415</v>
      </c>
      <c r="P139" s="73" t="s">
        <v>110</v>
      </c>
      <c r="Q139" s="54" t="str">
        <f>IFERROR(__xludf.DUMMYFUNCTION("""COMPUTED_VALUE"""),"UnitedStates.LuyenThiQuocTichClone.PTATTNDL_MatthewNguyen.7687_MES_HuyNV_300321")</f>
        <v>UnitedStates.LuyenThiQuocTichClone.PTATTNDL_MatthewNguyen.7687_MES_HuyNV_300321</v>
      </c>
      <c r="R139" s="54" t="str">
        <f>IFERROR(__xludf.DUMMYFUNCTION("""COMPUTED_VALUE"""),"NEW_UnitedStates_1865_none_300321")</f>
        <v>NEW_UnitedStates_1865_none_300321</v>
      </c>
      <c r="S139" s="54" t="str">
        <f>IFERROR(__xludf.DUMMYFUNCTION("""COMPUTED_VALUE"""),"saletructiep_UnitedStates.LuyenThiQuocTichClone.PTATTNDL_TATTPVN_LD067")</f>
        <v>saletructiep_UnitedStates.LuyenThiQuocTichClone.PTATTNDL_TATTPVN_LD067</v>
      </c>
      <c r="T139" s="54"/>
      <c r="U139" s="56"/>
    </row>
    <row r="140">
      <c r="A140" s="66">
        <v>300321.0</v>
      </c>
      <c r="B140" s="61" t="s">
        <v>419</v>
      </c>
      <c r="C140" s="54" t="str">
        <f>IFERROR(__xludf.DUMMYFUNCTION("""COMPUTED_VALUE"""),"LD065")</f>
        <v>LD065</v>
      </c>
      <c r="D140" s="55" t="s">
        <v>42</v>
      </c>
      <c r="E140" s="73" t="s">
        <v>79</v>
      </c>
      <c r="F140" s="55" t="s">
        <v>107</v>
      </c>
      <c r="G140" s="55">
        <v>1865.0</v>
      </c>
      <c r="H140" s="55" t="s">
        <v>75</v>
      </c>
      <c r="I140" s="55" t="s">
        <v>421</v>
      </c>
      <c r="J140" s="55" t="s">
        <v>421</v>
      </c>
      <c r="K140" s="73" t="s">
        <v>61</v>
      </c>
      <c r="L140" s="55" t="s">
        <v>270</v>
      </c>
      <c r="M140" s="55" t="s">
        <v>78</v>
      </c>
      <c r="N140" s="55" t="s">
        <v>79</v>
      </c>
      <c r="O140" s="55" t="s">
        <v>415</v>
      </c>
      <c r="P140" s="73" t="s">
        <v>110</v>
      </c>
      <c r="Q140" s="54" t="str">
        <f>IFERROR(__xludf.DUMMYFUNCTION("""COMPUTED_VALUE"""),"UnitedStates.NailClone.PTATTNDL_MatthewNguyen.7687_MES_HuyNV_300321")</f>
        <v>UnitedStates.NailClone.PTATTNDL_MatthewNguyen.7687_MES_HuyNV_300321</v>
      </c>
      <c r="R140" s="54" t="str">
        <f>IFERROR(__xludf.DUMMYFUNCTION("""COMPUTED_VALUE"""),"NEW_UnitedStates_1865_none_300321")</f>
        <v>NEW_UnitedStates_1865_none_300321</v>
      </c>
      <c r="S140" s="54" t="str">
        <f>IFERROR(__xludf.DUMMYFUNCTION("""COMPUTED_VALUE"""),"saletructiep_UnitedStates.NailClone.PTATTNDL_TATTPVN_LD065")</f>
        <v>saletructiep_UnitedStates.NailClone.PTATTNDL_TATTPVN_LD065</v>
      </c>
      <c r="T140" s="54"/>
      <c r="U140" s="56"/>
    </row>
    <row r="141">
      <c r="A141" s="66">
        <v>220421.0</v>
      </c>
      <c r="B141" s="61" t="s">
        <v>166</v>
      </c>
      <c r="C141" s="54" t="str">
        <f>IFERROR(__xludf.DUMMYFUNCTION("""COMPUTED_VALUE"""),"LD005")</f>
        <v>LD005</v>
      </c>
      <c r="D141" s="55" t="s">
        <v>42</v>
      </c>
      <c r="E141" s="73" t="s">
        <v>79</v>
      </c>
      <c r="F141" s="55" t="s">
        <v>274</v>
      </c>
      <c r="G141" s="55">
        <v>1865.0</v>
      </c>
      <c r="H141" s="55" t="s">
        <v>75</v>
      </c>
      <c r="I141" s="55" t="s">
        <v>277</v>
      </c>
      <c r="J141" s="55" t="s">
        <v>277</v>
      </c>
      <c r="K141" s="73" t="s">
        <v>61</v>
      </c>
      <c r="L141" s="55" t="s">
        <v>317</v>
      </c>
      <c r="M141" s="55" t="s">
        <v>78</v>
      </c>
      <c r="N141" s="55" t="s">
        <v>79</v>
      </c>
      <c r="O141" s="55" t="s">
        <v>218</v>
      </c>
      <c r="P141" s="73" t="s">
        <v>110</v>
      </c>
      <c r="Q141" s="54" t="str">
        <f>IFERROR(__xludf.DUMMYFUNCTION("""COMPUTED_VALUE"""),"UnitedKingdom.AnhBiQuyet.PTATTNDL_XuBen.5018_MES_HuyNV_220421")</f>
        <v>UnitedKingdom.AnhBiQuyet.PTATTNDL_XuBen.5018_MES_HuyNV_220421</v>
      </c>
      <c r="R141" s="54" t="str">
        <f>IFERROR(__xludf.DUMMYFUNCTION("""COMPUTED_VALUE"""),"NEW_UnitedKingdom_1865_none_220421")</f>
        <v>NEW_UnitedKingdom_1865_none_220421</v>
      </c>
      <c r="S141" s="54" t="str">
        <f>IFERROR(__xludf.DUMMYFUNCTION("""COMPUTED_VALUE"""),"saletructiep_UnitedKingdom.AnhBiQuyet.PTATTNDL_PTATTNDL_LD005")</f>
        <v>saletructiep_UnitedKingdom.AnhBiQuyet.PTATTNDL_PTATTNDL_LD005</v>
      </c>
      <c r="T141" s="54"/>
      <c r="U141" s="56"/>
    </row>
    <row r="142">
      <c r="A142" s="66">
        <v>220421.0</v>
      </c>
      <c r="B142" s="61" t="s">
        <v>166</v>
      </c>
      <c r="C142" s="54" t="str">
        <f>IFERROR(__xludf.DUMMYFUNCTION("""COMPUTED_VALUE"""),"LD005")</f>
        <v>LD005</v>
      </c>
      <c r="D142" s="55" t="s">
        <v>42</v>
      </c>
      <c r="E142" s="73" t="s">
        <v>79</v>
      </c>
      <c r="F142" s="55" t="s">
        <v>123</v>
      </c>
      <c r="G142" s="55">
        <v>1865.0</v>
      </c>
      <c r="H142" s="55" t="s">
        <v>75</v>
      </c>
      <c r="I142" s="55" t="s">
        <v>423</v>
      </c>
      <c r="J142" s="55" t="s">
        <v>423</v>
      </c>
      <c r="K142" s="73" t="s">
        <v>61</v>
      </c>
      <c r="L142" s="55" t="s">
        <v>317</v>
      </c>
      <c r="M142" s="55" t="s">
        <v>78</v>
      </c>
      <c r="N142" s="55" t="s">
        <v>79</v>
      </c>
      <c r="O142" s="73" t="s">
        <v>224</v>
      </c>
      <c r="P142" s="73" t="s">
        <v>110</v>
      </c>
      <c r="Q142" s="54" t="str">
        <f>IFERROR(__xludf.DUMMYFUNCTION("""COMPUTED_VALUE"""),"SouthKorea.Video1Kem1.PTATT_XuBen.5018_MES_HuyNV_220421")</f>
        <v>SouthKorea.Video1Kem1.PTATT_XuBen.5018_MES_HuyNV_220421</v>
      </c>
      <c r="R142" s="54" t="str">
        <f>IFERROR(__xludf.DUMMYFUNCTION("""COMPUTED_VALUE"""),"NEW_SouthKorea_1865_none_220421")</f>
        <v>NEW_SouthKorea_1865_none_220421</v>
      </c>
      <c r="S142" s="54" t="str">
        <f>IFERROR(__xludf.DUMMYFUNCTION("""COMPUTED_VALUE"""),"saletructiep_SouthKorea.Video1Kem1.PTATT_PTATT_LD005")</f>
        <v>saletructiep_SouthKorea.Video1Kem1.PTATT_PTATT_LD005</v>
      </c>
      <c r="T142" s="54"/>
      <c r="U142" s="56"/>
    </row>
    <row r="143">
      <c r="A143" s="66">
        <v>230421.0</v>
      </c>
      <c r="B143" s="61" t="s">
        <v>424</v>
      </c>
      <c r="C143" s="54" t="str">
        <f>IFERROR(__xludf.DUMMYFUNCTION("""COMPUTED_VALUE"""),"LD073")</f>
        <v>LD073</v>
      </c>
      <c r="D143" s="55" t="s">
        <v>188</v>
      </c>
      <c r="E143" s="55" t="s">
        <v>193</v>
      </c>
      <c r="F143" s="55" t="s">
        <v>60</v>
      </c>
      <c r="G143" s="55" t="s">
        <v>61</v>
      </c>
      <c r="H143" s="55" t="s">
        <v>426</v>
      </c>
      <c r="I143" s="55" t="s">
        <v>427</v>
      </c>
      <c r="J143" s="55" t="s">
        <v>428</v>
      </c>
      <c r="K143" s="55" t="s">
        <v>61</v>
      </c>
      <c r="L143" s="55" t="s">
        <v>70</v>
      </c>
      <c r="M143" s="55" t="s">
        <v>126</v>
      </c>
      <c r="N143" s="55" t="s">
        <v>193</v>
      </c>
      <c r="O143" s="55" t="s">
        <v>70</v>
      </c>
      <c r="P143" s="55" t="s">
        <v>70</v>
      </c>
      <c r="Q143" s="54" t="str">
        <f>IFERROR(__xludf.DUMMYFUNCTION("""COMPUTED_VALUE"""),"ClickTuWebChinh_NON_SEA_HieuPM_230421")</f>
        <v>ClickTuWebChinh_NON_SEA_HieuPM_230421</v>
      </c>
      <c r="R143" s="54" t="str">
        <f>IFERROR(__xludf.DUMMYFUNCTION("""COMPUTED_VALUE"""),"NON_NONE_none_none_230421")</f>
        <v>NON_NONE_none_none_230421</v>
      </c>
      <c r="S143" s="54" t="str">
        <f>IFERROR(__xludf.DUMMYFUNCTION("""COMPUTED_VALUE"""),"Document_TiengAnhNail_NON_LD073")</f>
        <v>Document_TiengAnhNail_NON_LD073</v>
      </c>
      <c r="T143" s="54"/>
      <c r="U143" s="56"/>
    </row>
    <row r="144">
      <c r="A144" s="77">
        <v>230421.0</v>
      </c>
      <c r="B144" s="61" t="s">
        <v>424</v>
      </c>
      <c r="C144" s="54" t="str">
        <f>IFERROR(__xludf.DUMMYFUNCTION("""COMPUTED_VALUE"""),"LD073")</f>
        <v>LD073</v>
      </c>
      <c r="D144" s="73" t="s">
        <v>188</v>
      </c>
      <c r="E144" s="73" t="s">
        <v>193</v>
      </c>
      <c r="F144" s="73" t="s">
        <v>60</v>
      </c>
      <c r="G144" s="73" t="s">
        <v>61</v>
      </c>
      <c r="H144" s="73" t="s">
        <v>426</v>
      </c>
      <c r="I144" s="73" t="s">
        <v>427</v>
      </c>
      <c r="J144" s="55" t="s">
        <v>430</v>
      </c>
      <c r="K144" s="55" t="s">
        <v>61</v>
      </c>
      <c r="L144" s="55" t="s">
        <v>70</v>
      </c>
      <c r="M144" s="73" t="s">
        <v>126</v>
      </c>
      <c r="N144" s="73" t="s">
        <v>193</v>
      </c>
      <c r="O144" s="73" t="s">
        <v>70</v>
      </c>
      <c r="P144" s="73" t="s">
        <v>70</v>
      </c>
      <c r="Q144" s="54" t="str">
        <f>IFERROR(__xludf.DUMMYFUNCTION("""COMPUTED_VALUE"""),"ClickTuWebChinh_NON_SEA_HieuPM_230421")</f>
        <v>ClickTuWebChinh_NON_SEA_HieuPM_230421</v>
      </c>
      <c r="R144" s="54" t="str">
        <f>IFERROR(__xludf.DUMMYFUNCTION("""COMPUTED_VALUE"""),"NON_NONE_none_none_230421")</f>
        <v>NON_NONE_none_none_230421</v>
      </c>
      <c r="S144" s="54" t="str">
        <f>IFERROR(__xludf.DUMMYFUNCTION("""COMPUTED_VALUE"""),"Document_QuocTichMy_NON_LD073")</f>
        <v>Document_QuocTichMy_NON_LD073</v>
      </c>
      <c r="T144" s="54"/>
      <c r="U144" s="56"/>
    </row>
    <row r="145">
      <c r="A145" s="66">
        <v>270421.0</v>
      </c>
      <c r="B145" s="61" t="s">
        <v>166</v>
      </c>
      <c r="C145" s="54" t="str">
        <f>IFERROR(__xludf.DUMMYFUNCTION("""COMPUTED_VALUE"""),"LD005")</f>
        <v>LD005</v>
      </c>
      <c r="D145" s="73" t="s">
        <v>42</v>
      </c>
      <c r="E145" s="73" t="s">
        <v>79</v>
      </c>
      <c r="F145" s="55" t="s">
        <v>129</v>
      </c>
      <c r="G145" s="73">
        <v>1865.0</v>
      </c>
      <c r="H145" s="73" t="s">
        <v>75</v>
      </c>
      <c r="I145" s="55" t="s">
        <v>431</v>
      </c>
      <c r="J145" s="73" t="s">
        <v>431</v>
      </c>
      <c r="K145" s="55" t="s">
        <v>61</v>
      </c>
      <c r="L145" s="55" t="s">
        <v>270</v>
      </c>
      <c r="M145" s="73" t="s">
        <v>78</v>
      </c>
      <c r="N145" s="73" t="s">
        <v>79</v>
      </c>
      <c r="O145" s="73" t="s">
        <v>224</v>
      </c>
      <c r="P145" s="73" t="s">
        <v>110</v>
      </c>
      <c r="Q145" s="54" t="str">
        <f>IFERROR(__xludf.DUMMYFUNCTION("""COMPUTED_VALUE"""),"Australia.AnhBiQuyet.PTATTNDL_MatthewNguyen.7687_MES_HuyNV_270421")</f>
        <v>Australia.AnhBiQuyet.PTATTNDL_MatthewNguyen.7687_MES_HuyNV_270421</v>
      </c>
      <c r="R145" s="54" t="str">
        <f>IFERROR(__xludf.DUMMYFUNCTION("""COMPUTED_VALUE"""),"NEW_Australia_1865_none_270421")</f>
        <v>NEW_Australia_1865_none_270421</v>
      </c>
      <c r="S145" s="54" t="str">
        <f>IFERROR(__xludf.DUMMYFUNCTION("""COMPUTED_VALUE"""),"saletructiep_Australia.AnhBiQuyet.PTATTNDL_PTATT_LD005")</f>
        <v>saletructiep_Australia.AnhBiQuyet.PTATTNDL_PTATT_LD005</v>
      </c>
      <c r="T145" s="54"/>
      <c r="U145" s="56"/>
    </row>
    <row r="146">
      <c r="A146" s="66">
        <v>140521.0</v>
      </c>
      <c r="B146" s="61" t="s">
        <v>166</v>
      </c>
      <c r="C146" s="54" t="str">
        <f>IFERROR(__xludf.DUMMYFUNCTION("""COMPUTED_VALUE"""),"LD005")</f>
        <v>LD005</v>
      </c>
      <c r="D146" s="73" t="s">
        <v>42</v>
      </c>
      <c r="E146" s="73" t="s">
        <v>79</v>
      </c>
      <c r="F146" s="55" t="s">
        <v>303</v>
      </c>
      <c r="G146" s="73">
        <v>1865.0</v>
      </c>
      <c r="H146" s="73" t="s">
        <v>75</v>
      </c>
      <c r="I146" s="55" t="s">
        <v>433</v>
      </c>
      <c r="J146" s="55" t="s">
        <v>433</v>
      </c>
      <c r="K146" s="55" t="s">
        <v>61</v>
      </c>
      <c r="L146" s="73" t="s">
        <v>270</v>
      </c>
      <c r="M146" s="73" t="s">
        <v>78</v>
      </c>
      <c r="N146" s="73" t="s">
        <v>79</v>
      </c>
      <c r="O146" s="73" t="s">
        <v>224</v>
      </c>
      <c r="P146" s="73" t="s">
        <v>110</v>
      </c>
      <c r="Q146" s="54" t="str">
        <f>IFERROR(__xludf.DUMMYFUNCTION("""COMPUTED_VALUE"""),"Cambodia.VideoOanhnew.PTATTNDL_MatthewNguyen.7687_MES_HuyNV_140521")</f>
        <v>Cambodia.VideoOanhnew.PTATTNDL_MatthewNguyen.7687_MES_HuyNV_140521</v>
      </c>
      <c r="R146" s="54" t="str">
        <f>IFERROR(__xludf.DUMMYFUNCTION("""COMPUTED_VALUE"""),"NEW_Cambodia_1865_none_140521")</f>
        <v>NEW_Cambodia_1865_none_140521</v>
      </c>
      <c r="S146" s="54" t="str">
        <f>IFERROR(__xludf.DUMMYFUNCTION("""COMPUTED_VALUE"""),"saletructiep_Cambodia.VideoOanhnew.PTATTNDL_PTATT_LD005")</f>
        <v>saletructiep_Cambodia.VideoOanhnew.PTATTNDL_PTATT_LD005</v>
      </c>
      <c r="T146" s="54"/>
      <c r="U146" s="56"/>
    </row>
    <row r="147">
      <c r="A147" s="66">
        <v>140521.0</v>
      </c>
      <c r="B147" s="61" t="s">
        <v>166</v>
      </c>
      <c r="C147" s="54" t="str">
        <f>IFERROR(__xludf.DUMMYFUNCTION("""COMPUTED_VALUE"""),"LD005")</f>
        <v>LD005</v>
      </c>
      <c r="D147" s="73" t="s">
        <v>42</v>
      </c>
      <c r="E147" s="73" t="s">
        <v>79</v>
      </c>
      <c r="F147" s="55" t="s">
        <v>119</v>
      </c>
      <c r="G147" s="73">
        <v>1865.0</v>
      </c>
      <c r="H147" s="73" t="s">
        <v>75</v>
      </c>
      <c r="I147" s="55" t="s">
        <v>434</v>
      </c>
      <c r="J147" s="73" t="s">
        <v>434</v>
      </c>
      <c r="K147" s="73" t="s">
        <v>61</v>
      </c>
      <c r="L147" s="73" t="s">
        <v>270</v>
      </c>
      <c r="M147" s="73" t="s">
        <v>78</v>
      </c>
      <c r="N147" s="73" t="s">
        <v>79</v>
      </c>
      <c r="O147" s="73" t="s">
        <v>224</v>
      </c>
      <c r="P147" s="73" t="s">
        <v>110</v>
      </c>
      <c r="Q147" s="54" t="str">
        <f>IFERROR(__xludf.DUMMYFUNCTION("""COMPUTED_VALUE"""),"NewZealand.VideoOanhnew.PTATTNDL_MatthewNguyen.7687_MES_HuyNV_140521")</f>
        <v>NewZealand.VideoOanhnew.PTATTNDL_MatthewNguyen.7687_MES_HuyNV_140521</v>
      </c>
      <c r="R147" s="54" t="str">
        <f>IFERROR(__xludf.DUMMYFUNCTION("""COMPUTED_VALUE"""),"NEW_NewZealand_1865_none_140521")</f>
        <v>NEW_NewZealand_1865_none_140521</v>
      </c>
      <c r="S147" s="54" t="str">
        <f>IFERROR(__xludf.DUMMYFUNCTION("""COMPUTED_VALUE"""),"saletructiep_NewZealand.VideoOanhnew.PTATTNDL_PTATT_LD005")</f>
        <v>saletructiep_NewZealand.VideoOanhnew.PTATTNDL_PTATT_LD005</v>
      </c>
      <c r="T147" s="54"/>
      <c r="U147" s="56"/>
    </row>
    <row r="148">
      <c r="A148" s="66">
        <v>140521.0</v>
      </c>
      <c r="B148" s="61" t="s">
        <v>166</v>
      </c>
      <c r="C148" s="54" t="str">
        <f>IFERROR(__xludf.DUMMYFUNCTION("""COMPUTED_VALUE"""),"LD005")</f>
        <v>LD005</v>
      </c>
      <c r="D148" s="73" t="s">
        <v>42</v>
      </c>
      <c r="E148" s="73" t="s">
        <v>79</v>
      </c>
      <c r="F148" s="55" t="s">
        <v>112</v>
      </c>
      <c r="G148" s="73">
        <v>1865.0</v>
      </c>
      <c r="H148" s="73" t="s">
        <v>75</v>
      </c>
      <c r="I148" s="55" t="s">
        <v>435</v>
      </c>
      <c r="J148" s="55" t="s">
        <v>435</v>
      </c>
      <c r="K148" s="73" t="s">
        <v>61</v>
      </c>
      <c r="L148" s="73" t="s">
        <v>270</v>
      </c>
      <c r="M148" s="73" t="s">
        <v>78</v>
      </c>
      <c r="N148" s="73" t="s">
        <v>79</v>
      </c>
      <c r="O148" s="73" t="s">
        <v>224</v>
      </c>
      <c r="P148" s="73" t="s">
        <v>110</v>
      </c>
      <c r="Q148" s="54" t="str">
        <f>IFERROR(__xludf.DUMMYFUNCTION("""COMPUTED_VALUE"""),"Canada.AnhBiQuyet.PTATT_MatthewNguyen.7687_MES_HuyNV_140521")</f>
        <v>Canada.AnhBiQuyet.PTATT_MatthewNguyen.7687_MES_HuyNV_140521</v>
      </c>
      <c r="R148" s="54" t="str">
        <f>IFERROR(__xludf.DUMMYFUNCTION("""COMPUTED_VALUE"""),"NEW_Canada_1865_none_140521")</f>
        <v>NEW_Canada_1865_none_140521</v>
      </c>
      <c r="S148" s="54" t="str">
        <f>IFERROR(__xludf.DUMMYFUNCTION("""COMPUTED_VALUE"""),"saletructiep_Canada.AnhBiQuyet.PTATT_PTATT_LD005")</f>
        <v>saletructiep_Canada.AnhBiQuyet.PTATT_PTATT_LD005</v>
      </c>
      <c r="T148" s="54"/>
      <c r="U148" s="56"/>
    </row>
    <row r="149">
      <c r="A149" s="66">
        <v>140521.0</v>
      </c>
      <c r="B149" s="61" t="s">
        <v>166</v>
      </c>
      <c r="C149" s="54" t="str">
        <f>IFERROR(__xludf.DUMMYFUNCTION("""COMPUTED_VALUE"""),"LD005")</f>
        <v>LD005</v>
      </c>
      <c r="D149" s="73" t="s">
        <v>42</v>
      </c>
      <c r="E149" s="73" t="s">
        <v>79</v>
      </c>
      <c r="F149" s="55" t="s">
        <v>258</v>
      </c>
      <c r="G149" s="73">
        <v>1865.0</v>
      </c>
      <c r="H149" s="73" t="s">
        <v>75</v>
      </c>
      <c r="I149" s="55" t="s">
        <v>437</v>
      </c>
      <c r="J149" s="55" t="s">
        <v>438</v>
      </c>
      <c r="K149" s="73" t="s">
        <v>61</v>
      </c>
      <c r="L149" s="73" t="s">
        <v>270</v>
      </c>
      <c r="M149" s="73" t="s">
        <v>78</v>
      </c>
      <c r="N149" s="73" t="s">
        <v>79</v>
      </c>
      <c r="O149" s="73" t="s">
        <v>224</v>
      </c>
      <c r="P149" s="73" t="s">
        <v>110</v>
      </c>
      <c r="Q149" s="54" t="str">
        <f>IFERROR(__xludf.DUMMYFUNCTION("""COMPUTED_VALUE"""),"Germany.AnhBiQuyet.PTATT_MatthewNguyen.7687_MES_HuyNV_140521")</f>
        <v>Germany.AnhBiQuyet.PTATT_MatthewNguyen.7687_MES_HuyNV_140521</v>
      </c>
      <c r="R149" s="54" t="str">
        <f>IFERROR(__xludf.DUMMYFUNCTION("""COMPUTED_VALUE"""),"NEW_Germany_1865_none_140521")</f>
        <v>NEW_Germany_1865_none_140521</v>
      </c>
      <c r="S149" s="54" t="str">
        <f>IFERROR(__xludf.DUMMYFUNCTION("""COMPUTED_VALUE"""),"saletructiep_Czechia.AnhBiQuyet.PTATT_PTATT_LD005")</f>
        <v>saletructiep_Czechia.AnhBiQuyet.PTATT_PTATT_LD005</v>
      </c>
      <c r="T149" s="54"/>
      <c r="U149" s="56"/>
    </row>
    <row r="150">
      <c r="A150" s="66">
        <v>290521.0</v>
      </c>
      <c r="B150" s="61" t="s">
        <v>439</v>
      </c>
      <c r="C150" s="54" t="str">
        <f>IFERROR(__xludf.DUMMYFUNCTION("""COMPUTED_VALUE"""),"LD069")</f>
        <v>LD069</v>
      </c>
      <c r="D150" s="73" t="s">
        <v>42</v>
      </c>
      <c r="E150" s="73" t="s">
        <v>79</v>
      </c>
      <c r="F150" s="55" t="s">
        <v>274</v>
      </c>
      <c r="G150" s="73">
        <v>1865.0</v>
      </c>
      <c r="H150" s="73" t="s">
        <v>75</v>
      </c>
      <c r="I150" s="55" t="s">
        <v>440</v>
      </c>
      <c r="J150" s="73" t="s">
        <v>440</v>
      </c>
      <c r="K150" s="73" t="s">
        <v>61</v>
      </c>
      <c r="L150" s="55" t="s">
        <v>317</v>
      </c>
      <c r="M150" s="73" t="s">
        <v>78</v>
      </c>
      <c r="N150" s="73" t="s">
        <v>79</v>
      </c>
      <c r="O150" s="55" t="s">
        <v>218</v>
      </c>
      <c r="P150" s="73" t="s">
        <v>110</v>
      </c>
      <c r="Q150" s="54" t="str">
        <f>IFERROR(__xludf.DUMMYFUNCTION("""COMPUTED_VALUE"""),"UnitedKingdom.VidNail.PTATTNDL_XuBen.5018_MES_HuyNV_290521")</f>
        <v>UnitedKingdom.VidNail.PTATTNDL_XuBen.5018_MES_HuyNV_290521</v>
      </c>
      <c r="R150" s="54" t="str">
        <f>IFERROR(__xludf.DUMMYFUNCTION("""COMPUTED_VALUE"""),"NEW_UnitedKingdom_1865_none_290521")</f>
        <v>NEW_UnitedKingdom_1865_none_290521</v>
      </c>
      <c r="S150" s="54" t="str">
        <f>IFERROR(__xludf.DUMMYFUNCTION("""COMPUTED_VALUE"""),"saletructiep_UnitedKingdom.VidNail.PTATTNDL_PTATTNDL_LD069")</f>
        <v>saletructiep_UnitedKingdom.VidNail.PTATTNDL_PTATTNDL_LD069</v>
      </c>
      <c r="T150" s="54"/>
      <c r="U150" s="56"/>
    </row>
    <row r="151">
      <c r="A151" s="66">
        <v>290521.0</v>
      </c>
      <c r="B151" s="61" t="s">
        <v>166</v>
      </c>
      <c r="C151" s="54" t="str">
        <f>IFERROR(__xludf.DUMMYFUNCTION("""COMPUTED_VALUE"""),"LD005")</f>
        <v>LD005</v>
      </c>
      <c r="D151" s="73" t="s">
        <v>42</v>
      </c>
      <c r="E151" s="73" t="s">
        <v>79</v>
      </c>
      <c r="F151" s="55" t="s">
        <v>123</v>
      </c>
      <c r="G151" s="73">
        <v>1865.0</v>
      </c>
      <c r="H151" s="73" t="s">
        <v>75</v>
      </c>
      <c r="I151" s="55" t="s">
        <v>441</v>
      </c>
      <c r="J151" s="73" t="s">
        <v>441</v>
      </c>
      <c r="K151" s="73" t="s">
        <v>61</v>
      </c>
      <c r="L151" s="73" t="s">
        <v>317</v>
      </c>
      <c r="M151" s="73" t="s">
        <v>78</v>
      </c>
      <c r="N151" s="73" t="s">
        <v>79</v>
      </c>
      <c r="O151" s="73" t="s">
        <v>218</v>
      </c>
      <c r="P151" s="73" t="s">
        <v>110</v>
      </c>
      <c r="Q151" s="54" t="str">
        <f>IFERROR(__xludf.DUMMYFUNCTION("""COMPUTED_VALUE"""),"SouthKorea.VidH4TrungTam.PTATTNDL_XuBen.5018_MES_HuyNV_290521")</f>
        <v>SouthKorea.VidH4TrungTam.PTATTNDL_XuBen.5018_MES_HuyNV_290521</v>
      </c>
      <c r="R151" s="54" t="str">
        <f>IFERROR(__xludf.DUMMYFUNCTION("""COMPUTED_VALUE"""),"NEW_SouthKorea_1865_none_290521")</f>
        <v>NEW_SouthKorea_1865_none_290521</v>
      </c>
      <c r="S151" s="54" t="str">
        <f>IFERROR(__xludf.DUMMYFUNCTION("""COMPUTED_VALUE"""),"saletructiep_SouthKorea.VidH4TrungTam.PTATTNDL_PTATTNDL_LD005")</f>
        <v>saletructiep_SouthKorea.VidH4TrungTam.PTATTNDL_PTATTNDL_LD005</v>
      </c>
      <c r="T151" s="54"/>
      <c r="U151" s="56"/>
    </row>
    <row r="152">
      <c r="A152" s="66">
        <v>10621.0</v>
      </c>
      <c r="B152" s="61" t="s">
        <v>83</v>
      </c>
      <c r="C152" s="54" t="str">
        <f>IFERROR(__xludf.DUMMYFUNCTION("""COMPUTED_VALUE"""),"LD008")</f>
        <v>LD008</v>
      </c>
      <c r="D152" s="55" t="s">
        <v>42</v>
      </c>
      <c r="E152" s="55" t="s">
        <v>95</v>
      </c>
      <c r="F152" s="55" t="s">
        <v>46</v>
      </c>
      <c r="G152" s="55" t="s">
        <v>61</v>
      </c>
      <c r="H152" s="55" t="s">
        <v>214</v>
      </c>
      <c r="I152" s="55" t="s">
        <v>442</v>
      </c>
      <c r="J152" s="55" t="s">
        <v>443</v>
      </c>
      <c r="K152" s="55" t="s">
        <v>61</v>
      </c>
      <c r="L152" s="55" t="s">
        <v>70</v>
      </c>
      <c r="M152" s="55" t="s">
        <v>78</v>
      </c>
      <c r="N152" s="55" t="s">
        <v>79</v>
      </c>
      <c r="O152" s="55" t="s">
        <v>70</v>
      </c>
      <c r="P152" s="55" t="s">
        <v>110</v>
      </c>
      <c r="Q152" s="54" t="str">
        <f>IFERROR(__xludf.DUMMYFUNCTION("""COMPUTED_VALUE"""),"KOLs.DinhLanPhuong_NON_MES_TuanTQ_10621")</f>
        <v>KOLs.DinhLanPhuong_NON_MES_TuanTQ_10621</v>
      </c>
      <c r="R152" s="54" t="str">
        <f>IFERROR(__xludf.DUMMYFUNCTION("""COMPUTED_VALUE"""),"NEW_HN_none_none_10621")</f>
        <v>NEW_HN_none_none_10621</v>
      </c>
      <c r="S152" s="54" t="str">
        <f>IFERROR(__xludf.DUMMYFUNCTION("""COMPUTED_VALUE"""),"saletructiep_MevaBe_NON_LD008")</f>
        <v>saletructiep_MevaBe_NON_LD008</v>
      </c>
      <c r="T152" s="54"/>
      <c r="U152" s="56"/>
    </row>
    <row r="153">
      <c r="A153" s="66">
        <v>110621.0</v>
      </c>
      <c r="B153" s="73" t="s">
        <v>166</v>
      </c>
      <c r="C153" s="54" t="str">
        <f>IFERROR(__xludf.DUMMYFUNCTION("""COMPUTED_VALUE"""),"LD005")</f>
        <v>LD005</v>
      </c>
      <c r="D153" s="73" t="s">
        <v>42</v>
      </c>
      <c r="E153" s="73" t="s">
        <v>79</v>
      </c>
      <c r="F153" s="55" t="s">
        <v>444</v>
      </c>
      <c r="G153" s="73">
        <v>1865.0</v>
      </c>
      <c r="H153" s="73" t="s">
        <v>75</v>
      </c>
      <c r="I153" s="55" t="s">
        <v>446</v>
      </c>
      <c r="J153" s="73" t="s">
        <v>446</v>
      </c>
      <c r="K153" s="73" t="s">
        <v>61</v>
      </c>
      <c r="L153" s="55" t="s">
        <v>270</v>
      </c>
      <c r="M153" s="73" t="s">
        <v>78</v>
      </c>
      <c r="N153" s="73" t="s">
        <v>79</v>
      </c>
      <c r="O153" s="55" t="s">
        <v>415</v>
      </c>
      <c r="P153" s="73" t="s">
        <v>110</v>
      </c>
      <c r="Q153" s="54" t="str">
        <f>IFERROR(__xludf.DUMMYFUNCTION("""COMPUTED_VALUE"""),"China.AnhKhaiGiang.PTATTNDL_MatthewNguyen.7687_MES_HuyNV_110621")</f>
        <v>China.AnhKhaiGiang.PTATTNDL_MatthewNguyen.7687_MES_HuyNV_110621</v>
      </c>
      <c r="R153" s="54" t="str">
        <f>IFERROR(__xludf.DUMMYFUNCTION("""COMPUTED_VALUE"""),"NEW_China_1865_none_110621")</f>
        <v>NEW_China_1865_none_110621</v>
      </c>
      <c r="S153" s="54" t="str">
        <f>IFERROR(__xludf.DUMMYFUNCTION("""COMPUTED_VALUE"""),"saletructiep_China.AnhKhaiGiang.PTATTNDL_TATTPVN_LD005")</f>
        <v>saletructiep_China.AnhKhaiGiang.PTATTNDL_TATTPVN_LD005</v>
      </c>
      <c r="T153" s="54"/>
      <c r="U153" s="56"/>
    </row>
    <row r="154">
      <c r="A154" s="77">
        <v>110621.0</v>
      </c>
      <c r="B154" s="73" t="s">
        <v>166</v>
      </c>
      <c r="C154" s="54" t="str">
        <f>IFERROR(__xludf.DUMMYFUNCTION("""COMPUTED_VALUE"""),"LD005")</f>
        <v>LD005</v>
      </c>
      <c r="D154" s="73" t="s">
        <v>42</v>
      </c>
      <c r="E154" s="73" t="s">
        <v>79</v>
      </c>
      <c r="F154" s="73" t="s">
        <v>444</v>
      </c>
      <c r="G154" s="73">
        <v>1865.0</v>
      </c>
      <c r="H154" s="73" t="s">
        <v>75</v>
      </c>
      <c r="I154" s="55" t="s">
        <v>447</v>
      </c>
      <c r="J154" s="73" t="s">
        <v>447</v>
      </c>
      <c r="K154" s="73" t="s">
        <v>61</v>
      </c>
      <c r="L154" s="73" t="s">
        <v>270</v>
      </c>
      <c r="M154" s="73" t="s">
        <v>78</v>
      </c>
      <c r="N154" s="73" t="s">
        <v>79</v>
      </c>
      <c r="O154" s="73" t="s">
        <v>415</v>
      </c>
      <c r="P154" s="73" t="s">
        <v>110</v>
      </c>
      <c r="Q154" s="54" t="str">
        <f>IFERROR(__xludf.DUMMYFUNCTION("""COMPUTED_VALUE"""),"China.AnhPassport.PTATTNDL_MatthewNguyen.7687_MES_HuyNV_110621")</f>
        <v>China.AnhPassport.PTATTNDL_MatthewNguyen.7687_MES_HuyNV_110621</v>
      </c>
      <c r="R154" s="54" t="str">
        <f>IFERROR(__xludf.DUMMYFUNCTION("""COMPUTED_VALUE"""),"NEW_China_1865_none_110621")</f>
        <v>NEW_China_1865_none_110621</v>
      </c>
      <c r="S154" s="54" t="str">
        <f>IFERROR(__xludf.DUMMYFUNCTION("""COMPUTED_VALUE"""),"saletructiep_China.AnhPassport.PTATTNDL_TATTPVN_LD005")</f>
        <v>saletructiep_China.AnhPassport.PTATTNDL_TATTPVN_LD005</v>
      </c>
      <c r="T154" s="54"/>
      <c r="U154" s="56"/>
    </row>
    <row r="155">
      <c r="A155" s="77">
        <v>110621.0</v>
      </c>
      <c r="B155" s="73" t="s">
        <v>166</v>
      </c>
      <c r="C155" s="54" t="str">
        <f>IFERROR(__xludf.DUMMYFUNCTION("""COMPUTED_VALUE"""),"LD005")</f>
        <v>LD005</v>
      </c>
      <c r="D155" s="73" t="s">
        <v>42</v>
      </c>
      <c r="E155" s="73" t="s">
        <v>79</v>
      </c>
      <c r="F155" s="55" t="s">
        <v>307</v>
      </c>
      <c r="G155" s="73">
        <v>1865.0</v>
      </c>
      <c r="H155" s="73" t="s">
        <v>75</v>
      </c>
      <c r="I155" s="55" t="s">
        <v>448</v>
      </c>
      <c r="J155" s="73" t="s">
        <v>448</v>
      </c>
      <c r="K155" s="73" t="s">
        <v>61</v>
      </c>
      <c r="L155" s="73" t="s">
        <v>270</v>
      </c>
      <c r="M155" s="73" t="s">
        <v>78</v>
      </c>
      <c r="N155" s="73" t="s">
        <v>79</v>
      </c>
      <c r="O155" s="73" t="s">
        <v>415</v>
      </c>
      <c r="P155" s="73" t="s">
        <v>110</v>
      </c>
      <c r="Q155" s="54" t="str">
        <f>IFERROR(__xludf.DUMMYFUNCTION("""COMPUTED_VALUE"""),"HongKong.AnhKhaiGiang.PTATTNDL_MatthewNguyen.7687_MES_HuyNV_110621")</f>
        <v>HongKong.AnhKhaiGiang.PTATTNDL_MatthewNguyen.7687_MES_HuyNV_110621</v>
      </c>
      <c r="R155" s="54" t="str">
        <f>IFERROR(__xludf.DUMMYFUNCTION("""COMPUTED_VALUE"""),"NEW_HongKong_1865_none_110621")</f>
        <v>NEW_HongKong_1865_none_110621</v>
      </c>
      <c r="S155" s="54" t="str">
        <f>IFERROR(__xludf.DUMMYFUNCTION("""COMPUTED_VALUE"""),"saletructiep_HongKong.AnhKhaiGiang.PTATTNDL_TATTPVN_LD005")</f>
        <v>saletructiep_HongKong.AnhKhaiGiang.PTATTNDL_TATTPVN_LD005</v>
      </c>
      <c r="T155" s="54"/>
      <c r="U155" s="56"/>
    </row>
    <row r="156">
      <c r="A156" s="77">
        <v>110621.0</v>
      </c>
      <c r="B156" s="73" t="s">
        <v>166</v>
      </c>
      <c r="C156" s="54" t="str">
        <f>IFERROR(__xludf.DUMMYFUNCTION("""COMPUTED_VALUE"""),"LD005")</f>
        <v>LD005</v>
      </c>
      <c r="D156" s="73" t="s">
        <v>42</v>
      </c>
      <c r="E156" s="73" t="s">
        <v>79</v>
      </c>
      <c r="F156" s="55" t="s">
        <v>272</v>
      </c>
      <c r="G156" s="73">
        <v>1865.0</v>
      </c>
      <c r="H156" s="73" t="s">
        <v>75</v>
      </c>
      <c r="I156" s="55" t="s">
        <v>449</v>
      </c>
      <c r="J156" s="55" t="s">
        <v>449</v>
      </c>
      <c r="K156" s="73" t="s">
        <v>61</v>
      </c>
      <c r="L156" s="73" t="s">
        <v>270</v>
      </c>
      <c r="M156" s="73" t="s">
        <v>78</v>
      </c>
      <c r="N156" s="73" t="s">
        <v>79</v>
      </c>
      <c r="O156" s="73" t="s">
        <v>415</v>
      </c>
      <c r="P156" s="73" t="s">
        <v>110</v>
      </c>
      <c r="Q156" s="54" t="str">
        <f>IFERROR(__xludf.DUMMYFUNCTION("""COMPUTED_VALUE"""),"France.AnhPassport.PTATTNDL_MatthewNguyen.7687_MES_HuyNV_110621")</f>
        <v>France.AnhPassport.PTATTNDL_MatthewNguyen.7687_MES_HuyNV_110621</v>
      </c>
      <c r="R156" s="54" t="str">
        <f>IFERROR(__xludf.DUMMYFUNCTION("""COMPUTED_VALUE"""),"NEW_France_1865_none_110621")</f>
        <v>NEW_France_1865_none_110621</v>
      </c>
      <c r="S156" s="54" t="str">
        <f>IFERROR(__xludf.DUMMYFUNCTION("""COMPUTED_VALUE"""),"saletructiep_France.AnhPassport.PTATTNDL_TATTPVN_LD005")</f>
        <v>saletructiep_France.AnhPassport.PTATTNDL_TATTPVN_LD005</v>
      </c>
      <c r="T156" s="54"/>
      <c r="U156" s="56"/>
    </row>
    <row r="157">
      <c r="A157" s="66">
        <v>130621.0</v>
      </c>
      <c r="B157" s="75" t="s">
        <v>450</v>
      </c>
      <c r="C157" s="54" t="str">
        <f>IFERROR(__xludf.DUMMYFUNCTION("""COMPUTED_VALUE"""),"LD074")</f>
        <v>LD074</v>
      </c>
      <c r="D157" s="73" t="s">
        <v>42</v>
      </c>
      <c r="E157" s="73" t="s">
        <v>79</v>
      </c>
      <c r="F157" s="55" t="s">
        <v>107</v>
      </c>
      <c r="G157" s="73">
        <v>1865.0</v>
      </c>
      <c r="H157" s="73" t="s">
        <v>75</v>
      </c>
      <c r="I157" s="55" t="s">
        <v>452</v>
      </c>
      <c r="J157" s="73" t="s">
        <v>452</v>
      </c>
      <c r="K157" s="73" t="s">
        <v>61</v>
      </c>
      <c r="L157" s="73" t="s">
        <v>270</v>
      </c>
      <c r="M157" s="73" t="s">
        <v>78</v>
      </c>
      <c r="N157" s="73" t="s">
        <v>79</v>
      </c>
      <c r="O157" s="73" t="s">
        <v>415</v>
      </c>
      <c r="P157" s="73" t="s">
        <v>110</v>
      </c>
      <c r="Q157" s="54" t="str">
        <f>IFERROR(__xludf.DUMMYFUNCTION("""COMPUTED_VALUE"""),"UnitedStates.VideoJenneyHuynh.TATTPVN_MatthewNguyen.7687_MES_HuyNV_130621")</f>
        <v>UnitedStates.VideoJenneyHuynh.TATTPVN_MatthewNguyen.7687_MES_HuyNV_130621</v>
      </c>
      <c r="R157" s="54" t="str">
        <f>IFERROR(__xludf.DUMMYFUNCTION("""COMPUTED_VALUE"""),"NEW_UnitedStates_1865_none_130621")</f>
        <v>NEW_UnitedStates_1865_none_130621</v>
      </c>
      <c r="S157" s="54" t="str">
        <f>IFERROR(__xludf.DUMMYFUNCTION("""COMPUTED_VALUE"""),"saletructiep_UnitedStates.VideoJenneyHuynh.TATTPVN_TATTPVN_LD074")</f>
        <v>saletructiep_UnitedStates.VideoJenneyHuynh.TATTPVN_TATTPVN_LD074</v>
      </c>
      <c r="T157" s="54"/>
      <c r="U157" s="56"/>
    </row>
    <row r="158">
      <c r="A158" s="77">
        <v>130621.0</v>
      </c>
      <c r="B158" s="73" t="s">
        <v>450</v>
      </c>
      <c r="C158" s="54" t="str">
        <f>IFERROR(__xludf.DUMMYFUNCTION("""COMPUTED_VALUE"""),"LD074")</f>
        <v>LD074</v>
      </c>
      <c r="D158" s="73" t="s">
        <v>42</v>
      </c>
      <c r="E158" s="73" t="s">
        <v>79</v>
      </c>
      <c r="F158" s="55" t="s">
        <v>199</v>
      </c>
      <c r="G158" s="73">
        <v>1865.0</v>
      </c>
      <c r="H158" s="73" t="s">
        <v>75</v>
      </c>
      <c r="I158" s="55" t="s">
        <v>453</v>
      </c>
      <c r="J158" s="55" t="s">
        <v>453</v>
      </c>
      <c r="K158" s="73" t="s">
        <v>61</v>
      </c>
      <c r="L158" s="73" t="s">
        <v>270</v>
      </c>
      <c r="M158" s="73" t="s">
        <v>78</v>
      </c>
      <c r="N158" s="73" t="s">
        <v>79</v>
      </c>
      <c r="O158" s="73" t="s">
        <v>415</v>
      </c>
      <c r="P158" s="73" t="s">
        <v>110</v>
      </c>
      <c r="Q158" s="54" t="str">
        <f>IFERROR(__xludf.DUMMYFUNCTION("""COMPUTED_VALUE"""),"Vietnam.VideoJenneyHuynh.TATTPVN_MatthewNguyen.7687_MES_HuyNV_130621")</f>
        <v>Vietnam.VideoJenneyHuynh.TATTPVN_MatthewNguyen.7687_MES_HuyNV_130621</v>
      </c>
      <c r="R158" s="54" t="str">
        <f>IFERROR(__xludf.DUMMYFUNCTION("""COMPUTED_VALUE"""),"NEW_Vietnam_1865_none_130621")</f>
        <v>NEW_Vietnam_1865_none_130621</v>
      </c>
      <c r="S158" s="54" t="str">
        <f>IFERROR(__xludf.DUMMYFUNCTION("""COMPUTED_VALUE"""),"saletructiep_Vietnam.VideoJenneyHuynh.TATTPVN_TATTPVN_LD074")</f>
        <v>saletructiep_Vietnam.VideoJenneyHuynh.TATTPVN_TATTPVN_LD074</v>
      </c>
      <c r="T158" s="54"/>
      <c r="U158" s="56"/>
    </row>
    <row r="159">
      <c r="A159" s="66">
        <v>190621.0</v>
      </c>
      <c r="B159" s="73" t="s">
        <v>166</v>
      </c>
      <c r="C159" s="54" t="str">
        <f>IFERROR(__xludf.DUMMYFUNCTION("""COMPUTED_VALUE"""),"LD005")</f>
        <v>LD005</v>
      </c>
      <c r="D159" s="73" t="s">
        <v>42</v>
      </c>
      <c r="E159" s="73" t="s">
        <v>79</v>
      </c>
      <c r="F159" s="73" t="s">
        <v>307</v>
      </c>
      <c r="G159" s="73">
        <v>1865.0</v>
      </c>
      <c r="H159" s="73" t="s">
        <v>75</v>
      </c>
      <c r="I159" s="55" t="s">
        <v>455</v>
      </c>
      <c r="J159" s="73" t="s">
        <v>455</v>
      </c>
      <c r="K159" s="73" t="s">
        <v>61</v>
      </c>
      <c r="L159" s="73" t="s">
        <v>270</v>
      </c>
      <c r="M159" s="73" t="s">
        <v>78</v>
      </c>
      <c r="N159" s="73" t="s">
        <v>79</v>
      </c>
      <c r="O159" s="55" t="s">
        <v>224</v>
      </c>
      <c r="P159" s="73" t="s">
        <v>110</v>
      </c>
      <c r="Q159" s="54" t="str">
        <f>IFERROR(__xludf.DUMMYFUNCTION("""COMPUTED_VALUE"""),"HongKong.AnhKhaiGiang.PTATT_MatthewNguyen.7687_MES_HuyNV_190621")</f>
        <v>HongKong.AnhKhaiGiang.PTATT_MatthewNguyen.7687_MES_HuyNV_190621</v>
      </c>
      <c r="R159" s="54" t="str">
        <f>IFERROR(__xludf.DUMMYFUNCTION("""COMPUTED_VALUE"""),"NEW_HongKong_1865_none_190621")</f>
        <v>NEW_HongKong_1865_none_190621</v>
      </c>
      <c r="S159" s="54" t="str">
        <f>IFERROR(__xludf.DUMMYFUNCTION("""COMPUTED_VALUE"""),"saletructiep_HongKong.AnhKhaiGiang.PTATT_PTATT_LD005")</f>
        <v>saletructiep_HongKong.AnhKhaiGiang.PTATT_PTATT_LD005</v>
      </c>
      <c r="T159" s="54"/>
      <c r="U159" s="56"/>
    </row>
    <row r="160">
      <c r="A160" s="77">
        <v>190621.0</v>
      </c>
      <c r="B160" s="73" t="s">
        <v>166</v>
      </c>
      <c r="C160" s="54" t="str">
        <f>IFERROR(__xludf.DUMMYFUNCTION("""COMPUTED_VALUE"""),"LD005")</f>
        <v>LD005</v>
      </c>
      <c r="D160" s="73" t="s">
        <v>42</v>
      </c>
      <c r="E160" s="73" t="s">
        <v>79</v>
      </c>
      <c r="F160" s="55" t="s">
        <v>444</v>
      </c>
      <c r="G160" s="73">
        <v>1865.0</v>
      </c>
      <c r="H160" s="73" t="s">
        <v>75</v>
      </c>
      <c r="I160" s="55" t="s">
        <v>456</v>
      </c>
      <c r="J160" s="73" t="s">
        <v>456</v>
      </c>
      <c r="K160" s="73" t="s">
        <v>61</v>
      </c>
      <c r="L160" s="73" t="s">
        <v>270</v>
      </c>
      <c r="M160" s="73" t="s">
        <v>78</v>
      </c>
      <c r="N160" s="73" t="s">
        <v>79</v>
      </c>
      <c r="O160" s="73" t="s">
        <v>224</v>
      </c>
      <c r="P160" s="73" t="s">
        <v>110</v>
      </c>
      <c r="Q160" s="54" t="str">
        <f>IFERROR(__xludf.DUMMYFUNCTION("""COMPUTED_VALUE"""),"China.AnhKhaiGiang.PTATT_MatthewNguyen.7687_MES_HuyNV_190621")</f>
        <v>China.AnhKhaiGiang.PTATT_MatthewNguyen.7687_MES_HuyNV_190621</v>
      </c>
      <c r="R160" s="54" t="str">
        <f>IFERROR(__xludf.DUMMYFUNCTION("""COMPUTED_VALUE"""),"NEW_China_1865_none_190621")</f>
        <v>NEW_China_1865_none_190621</v>
      </c>
      <c r="S160" s="54" t="str">
        <f>IFERROR(__xludf.DUMMYFUNCTION("""COMPUTED_VALUE"""),"saletructiep_China.AnhKhaiGiang.PTATT_PTATT_LD005")</f>
        <v>saletructiep_China.AnhKhaiGiang.PTATT_PTATT_LD005</v>
      </c>
      <c r="T160" s="54"/>
      <c r="U160" s="56"/>
    </row>
    <row r="161">
      <c r="A161" s="66">
        <v>230621.0</v>
      </c>
      <c r="B161" s="73" t="s">
        <v>166</v>
      </c>
      <c r="C161" s="54" t="str">
        <f>IFERROR(__xludf.DUMMYFUNCTION("""COMPUTED_VALUE"""),"LD005")</f>
        <v>LD005</v>
      </c>
      <c r="D161" s="73" t="s">
        <v>42</v>
      </c>
      <c r="E161" s="73" t="s">
        <v>79</v>
      </c>
      <c r="F161" s="55" t="s">
        <v>123</v>
      </c>
      <c r="G161" s="73">
        <v>1865.0</v>
      </c>
      <c r="H161" s="73" t="s">
        <v>75</v>
      </c>
      <c r="I161" s="55" t="s">
        <v>458</v>
      </c>
      <c r="J161" s="73" t="s">
        <v>458</v>
      </c>
      <c r="K161" s="73" t="s">
        <v>61</v>
      </c>
      <c r="L161" s="73" t="s">
        <v>270</v>
      </c>
      <c r="M161" s="73" t="s">
        <v>78</v>
      </c>
      <c r="N161" s="73" t="s">
        <v>79</v>
      </c>
      <c r="O161" s="73" t="s">
        <v>224</v>
      </c>
      <c r="P161" s="73" t="s">
        <v>110</v>
      </c>
      <c r="Q161" s="54" t="str">
        <f>IFERROR(__xludf.DUMMYFUNCTION("""COMPUTED_VALUE"""),"SouthKorea.AnhKhaiGiang.PTATT_MatthewNguyen.7687_MES_HuyNV_230621")</f>
        <v>SouthKorea.AnhKhaiGiang.PTATT_MatthewNguyen.7687_MES_HuyNV_230621</v>
      </c>
      <c r="R161" s="54" t="str">
        <f>IFERROR(__xludf.DUMMYFUNCTION("""COMPUTED_VALUE"""),"NEW_SouthKorea_1865_none_230621")</f>
        <v>NEW_SouthKorea_1865_none_230621</v>
      </c>
      <c r="S161" s="54" t="str">
        <f>IFERROR(__xludf.DUMMYFUNCTION("""COMPUTED_VALUE"""),"saletructiep_SouthKorea.AnhKhaiGiang.PTATT_PTATT_LD005")</f>
        <v>saletructiep_SouthKorea.AnhKhaiGiang.PTATT_PTATT_LD005</v>
      </c>
      <c r="T161" s="54"/>
      <c r="U161" s="56"/>
    </row>
    <row r="162">
      <c r="A162" s="66">
        <v>250621.0</v>
      </c>
      <c r="B162" s="73" t="s">
        <v>166</v>
      </c>
      <c r="C162" s="54" t="str">
        <f>IFERROR(__xludf.DUMMYFUNCTION("""COMPUTED_VALUE"""),"LD005")</f>
        <v>LD005</v>
      </c>
      <c r="D162" s="73" t="s">
        <v>42</v>
      </c>
      <c r="E162" s="73" t="s">
        <v>79</v>
      </c>
      <c r="F162" s="73" t="s">
        <v>123</v>
      </c>
      <c r="G162" s="73">
        <v>1865.0</v>
      </c>
      <c r="H162" s="73" t="s">
        <v>75</v>
      </c>
      <c r="I162" s="55" t="s">
        <v>460</v>
      </c>
      <c r="J162" s="73" t="s">
        <v>460</v>
      </c>
      <c r="K162" s="73" t="s">
        <v>61</v>
      </c>
      <c r="L162" s="55" t="s">
        <v>317</v>
      </c>
      <c r="M162" s="73" t="s">
        <v>78</v>
      </c>
      <c r="N162" s="73" t="s">
        <v>79</v>
      </c>
      <c r="O162" s="73" t="s">
        <v>224</v>
      </c>
      <c r="P162" s="73" t="s">
        <v>110</v>
      </c>
      <c r="Q162" s="54" t="str">
        <f>IFERROR(__xludf.DUMMYFUNCTION("""COMPUTED_VALUE"""),"SouthKorea.VideoJenneyHuynh.PATT_XuBen.5018_MES_HuyNV_250621")</f>
        <v>SouthKorea.VideoJenneyHuynh.PATT_XuBen.5018_MES_HuyNV_250621</v>
      </c>
      <c r="R162" s="54" t="str">
        <f>IFERROR(__xludf.DUMMYFUNCTION("""COMPUTED_VALUE"""),"NEW_SouthKorea_1865_none_250621")</f>
        <v>NEW_SouthKorea_1865_none_250621</v>
      </c>
      <c r="S162" s="54" t="str">
        <f>IFERROR(__xludf.DUMMYFUNCTION("""COMPUTED_VALUE"""),"saletructiep_SouthKorea.VideoJenneyHuynh.PATT_PTATT_LD005")</f>
        <v>saletructiep_SouthKorea.VideoJenneyHuynh.PATT_PTATT_LD005</v>
      </c>
      <c r="T162" s="54"/>
      <c r="U162" s="56"/>
    </row>
    <row r="163">
      <c r="A163" s="66">
        <v>290621.0</v>
      </c>
      <c r="B163" s="73" t="s">
        <v>166</v>
      </c>
      <c r="C163" s="54" t="str">
        <f>IFERROR(__xludf.DUMMYFUNCTION("""COMPUTED_VALUE"""),"LD005")</f>
        <v>LD005</v>
      </c>
      <c r="D163" s="73" t="s">
        <v>42</v>
      </c>
      <c r="E163" s="73" t="s">
        <v>79</v>
      </c>
      <c r="F163" s="55" t="s">
        <v>461</v>
      </c>
      <c r="G163" s="73">
        <v>1865.0</v>
      </c>
      <c r="H163" s="73" t="s">
        <v>75</v>
      </c>
      <c r="I163" s="55" t="s">
        <v>462</v>
      </c>
      <c r="J163" s="73" t="s">
        <v>462</v>
      </c>
      <c r="K163" s="73" t="s">
        <v>61</v>
      </c>
      <c r="L163" s="73" t="s">
        <v>317</v>
      </c>
      <c r="M163" s="73" t="s">
        <v>78</v>
      </c>
      <c r="N163" s="73" t="s">
        <v>79</v>
      </c>
      <c r="O163" s="73" t="s">
        <v>224</v>
      </c>
      <c r="P163" s="73" t="s">
        <v>110</v>
      </c>
      <c r="Q163" s="54" t="str">
        <f>IFERROR(__xludf.DUMMYFUNCTION("""COMPUTED_VALUE"""),"CzechRepublic.VideoJenneyHuynh.PATT_XuBen.5018_MES_HuyNV_290621")</f>
        <v>CzechRepublic.VideoJenneyHuynh.PATT_XuBen.5018_MES_HuyNV_290621</v>
      </c>
      <c r="R163" s="54" t="str">
        <f>IFERROR(__xludf.DUMMYFUNCTION("""COMPUTED_VALUE"""),"NEW_CzechRepublic_1865_none_290621")</f>
        <v>NEW_CzechRepublic_1865_none_290621</v>
      </c>
      <c r="S163" s="54" t="str">
        <f>IFERROR(__xludf.DUMMYFUNCTION("""COMPUTED_VALUE"""),"saletructiep_CzechRepublic.VideoJenneyHuynh.PATT_PTATT_LD005")</f>
        <v>saletructiep_CzechRepublic.VideoJenneyHuynh.PATT_PTATT_LD005</v>
      </c>
      <c r="T163" s="54"/>
      <c r="U163" s="56"/>
    </row>
    <row r="164">
      <c r="A164" s="77">
        <v>290621.0</v>
      </c>
      <c r="B164" s="73" t="s">
        <v>166</v>
      </c>
      <c r="C164" s="54" t="str">
        <f>IFERROR(__xludf.DUMMYFUNCTION("""COMPUTED_VALUE"""),"LD005")</f>
        <v>LD005</v>
      </c>
      <c r="D164" s="73" t="s">
        <v>42</v>
      </c>
      <c r="E164" s="73" t="s">
        <v>79</v>
      </c>
      <c r="F164" s="55" t="s">
        <v>274</v>
      </c>
      <c r="G164" s="73">
        <v>1865.0</v>
      </c>
      <c r="H164" s="73" t="s">
        <v>75</v>
      </c>
      <c r="I164" s="55" t="s">
        <v>463</v>
      </c>
      <c r="J164" s="73" t="s">
        <v>463</v>
      </c>
      <c r="K164" s="73" t="s">
        <v>61</v>
      </c>
      <c r="L164" s="73" t="s">
        <v>317</v>
      </c>
      <c r="M164" s="73" t="s">
        <v>78</v>
      </c>
      <c r="N164" s="73" t="s">
        <v>79</v>
      </c>
      <c r="O164" s="73" t="s">
        <v>224</v>
      </c>
      <c r="P164" s="73" t="s">
        <v>110</v>
      </c>
      <c r="Q164" s="54" t="str">
        <f>IFERROR(__xludf.DUMMYFUNCTION("""COMPUTED_VALUE"""),"UnitedKingdom.VideoJenneyHuynh.PATT_XuBen.5018_MES_HuyNV_290621")</f>
        <v>UnitedKingdom.VideoJenneyHuynh.PATT_XuBen.5018_MES_HuyNV_290621</v>
      </c>
      <c r="R164" s="54" t="str">
        <f>IFERROR(__xludf.DUMMYFUNCTION("""COMPUTED_VALUE"""),"NEW_UnitedKingdom_1865_none_290621")</f>
        <v>NEW_UnitedKingdom_1865_none_290621</v>
      </c>
      <c r="S164" s="54" t="str">
        <f>IFERROR(__xludf.DUMMYFUNCTION("""COMPUTED_VALUE"""),"saletructiep_UnitedKingdom.VideoJenneyHuynh.PATT_PTATT_LD005")</f>
        <v>saletructiep_UnitedKingdom.VideoJenneyHuynh.PATT_PTATT_LD005</v>
      </c>
      <c r="T164" s="54"/>
      <c r="U164" s="56"/>
    </row>
    <row r="165">
      <c r="A165" s="64" t="s">
        <v>464</v>
      </c>
      <c r="B165" s="73" t="s">
        <v>166</v>
      </c>
      <c r="C165" s="54" t="str">
        <f>IFERROR(__xludf.DUMMYFUNCTION("""COMPUTED_VALUE"""),"LD005")</f>
        <v>LD005</v>
      </c>
      <c r="D165" s="73" t="s">
        <v>42</v>
      </c>
      <c r="E165" s="73" t="s">
        <v>79</v>
      </c>
      <c r="F165" s="55" t="s">
        <v>465</v>
      </c>
      <c r="G165" s="73">
        <v>1865.0</v>
      </c>
      <c r="H165" s="73" t="s">
        <v>75</v>
      </c>
      <c r="I165" s="55" t="s">
        <v>466</v>
      </c>
      <c r="J165" s="73" t="s">
        <v>466</v>
      </c>
      <c r="K165" s="73" t="s">
        <v>61</v>
      </c>
      <c r="L165" s="55" t="s">
        <v>270</v>
      </c>
      <c r="M165" s="73" t="s">
        <v>78</v>
      </c>
      <c r="N165" s="73" t="s">
        <v>79</v>
      </c>
      <c r="O165" s="73" t="s">
        <v>224</v>
      </c>
      <c r="P165" s="73" t="s">
        <v>110</v>
      </c>
      <c r="Q165" s="54" t="str">
        <f>IFERROR(__xludf.DUMMYFUNCTION("""COMPUTED_VALUE"""),"Austria.Video11Vang.PTATT_MatthewNguyen.7687_MES_HuyNV_060721")</f>
        <v>Austria.Video11Vang.PTATT_MatthewNguyen.7687_MES_HuyNV_060721</v>
      </c>
      <c r="R165" s="54" t="str">
        <f>IFERROR(__xludf.DUMMYFUNCTION("""COMPUTED_VALUE"""),"NEW_Austria_1865_none_060721")</f>
        <v>NEW_Austria_1865_none_060721</v>
      </c>
      <c r="S165" s="54" t="str">
        <f>IFERROR(__xludf.DUMMYFUNCTION("""COMPUTED_VALUE"""),"saletructiep_Austria.Video11Vang.PTATT_PTATT_LD005")</f>
        <v>saletructiep_Austria.Video11Vang.PTATT_PTATT_LD005</v>
      </c>
      <c r="T165" s="54"/>
      <c r="U165" s="56"/>
    </row>
    <row r="166">
      <c r="A166" s="80" t="s">
        <v>464</v>
      </c>
      <c r="B166" s="73" t="s">
        <v>166</v>
      </c>
      <c r="C166" s="54" t="str">
        <f>IFERROR(__xludf.DUMMYFUNCTION("""COMPUTED_VALUE"""),"LD005")</f>
        <v>LD005</v>
      </c>
      <c r="D166" s="73" t="s">
        <v>42</v>
      </c>
      <c r="E166" s="73" t="s">
        <v>79</v>
      </c>
      <c r="F166" s="55" t="s">
        <v>467</v>
      </c>
      <c r="G166" s="73">
        <v>1865.0</v>
      </c>
      <c r="H166" s="73" t="s">
        <v>75</v>
      </c>
      <c r="I166" s="55" t="s">
        <v>468</v>
      </c>
      <c r="J166" s="73" t="s">
        <v>468</v>
      </c>
      <c r="K166" s="73" t="s">
        <v>61</v>
      </c>
      <c r="L166" s="73" t="s">
        <v>270</v>
      </c>
      <c r="M166" s="73" t="s">
        <v>78</v>
      </c>
      <c r="N166" s="73" t="s">
        <v>79</v>
      </c>
      <c r="O166" s="73" t="s">
        <v>224</v>
      </c>
      <c r="P166" s="73" t="s">
        <v>110</v>
      </c>
      <c r="Q166" s="54" t="str">
        <f>IFERROR(__xludf.DUMMYFUNCTION("""COMPUTED_VALUE"""),"Poland.AnhKhaiGiang.PTATT_MatthewNguyen.7687_MES_HuyNV_060721")</f>
        <v>Poland.AnhKhaiGiang.PTATT_MatthewNguyen.7687_MES_HuyNV_060721</v>
      </c>
      <c r="R166" s="54" t="str">
        <f>IFERROR(__xludf.DUMMYFUNCTION("""COMPUTED_VALUE"""),"NEW_Poland_1865_none_060721")</f>
        <v>NEW_Poland_1865_none_060721</v>
      </c>
      <c r="S166" s="54" t="str">
        <f>IFERROR(__xludf.DUMMYFUNCTION("""COMPUTED_VALUE"""),"saletructiep_Poland.AnhKhaiGiang.PTATT_PTATT_LD005")</f>
        <v>saletructiep_Poland.AnhKhaiGiang.PTATT_PTATT_LD005</v>
      </c>
      <c r="T166" s="54"/>
      <c r="U166" s="56"/>
    </row>
    <row r="167">
      <c r="A167" s="80" t="s">
        <v>464</v>
      </c>
      <c r="B167" s="73" t="s">
        <v>166</v>
      </c>
      <c r="C167" s="54" t="str">
        <f>IFERROR(__xludf.DUMMYFUNCTION("""COMPUTED_VALUE"""),"LD005")</f>
        <v>LD005</v>
      </c>
      <c r="D167" s="73" t="s">
        <v>42</v>
      </c>
      <c r="E167" s="73" t="s">
        <v>79</v>
      </c>
      <c r="F167" s="55" t="s">
        <v>469</v>
      </c>
      <c r="G167" s="73">
        <v>1865.0</v>
      </c>
      <c r="H167" s="73" t="s">
        <v>75</v>
      </c>
      <c r="I167" s="55" t="s">
        <v>470</v>
      </c>
      <c r="J167" s="73" t="s">
        <v>470</v>
      </c>
      <c r="K167" s="73" t="s">
        <v>61</v>
      </c>
      <c r="L167" s="73" t="s">
        <v>270</v>
      </c>
      <c r="M167" s="73" t="s">
        <v>78</v>
      </c>
      <c r="N167" s="73" t="s">
        <v>79</v>
      </c>
      <c r="O167" s="73" t="s">
        <v>224</v>
      </c>
      <c r="P167" s="73" t="s">
        <v>110</v>
      </c>
      <c r="Q167" s="54" t="str">
        <f>IFERROR(__xludf.DUMMYFUNCTION("""COMPUTED_VALUE"""),"Belgium.Video11Vang.PTATT_MatthewNguyen.7687_MES_HuyNV_060721")</f>
        <v>Belgium.Video11Vang.PTATT_MatthewNguyen.7687_MES_HuyNV_060721</v>
      </c>
      <c r="R167" s="54" t="str">
        <f>IFERROR(__xludf.DUMMYFUNCTION("""COMPUTED_VALUE"""),"NEW_Belgium_1865_none_060721")</f>
        <v>NEW_Belgium_1865_none_060721</v>
      </c>
      <c r="S167" s="54" t="str">
        <f>IFERROR(__xludf.DUMMYFUNCTION("""COMPUTED_VALUE"""),"saletructiep_Belgium.Video11Vang.PTATT_PTATT_LD005")</f>
        <v>saletructiep_Belgium.Video11Vang.PTATT_PTATT_LD005</v>
      </c>
      <c r="T167" s="54"/>
      <c r="U167" s="56"/>
    </row>
    <row r="168">
      <c r="A168" s="80" t="s">
        <v>464</v>
      </c>
      <c r="B168" s="73" t="s">
        <v>166</v>
      </c>
      <c r="C168" s="54" t="str">
        <f>IFERROR(__xludf.DUMMYFUNCTION("""COMPUTED_VALUE"""),"LD005")</f>
        <v>LD005</v>
      </c>
      <c r="D168" s="73" t="s">
        <v>42</v>
      </c>
      <c r="E168" s="73" t="s">
        <v>79</v>
      </c>
      <c r="F168" s="55" t="s">
        <v>471</v>
      </c>
      <c r="G168" s="73">
        <v>1865.0</v>
      </c>
      <c r="H168" s="73" t="s">
        <v>75</v>
      </c>
      <c r="I168" s="55" t="s">
        <v>472</v>
      </c>
      <c r="J168" s="73" t="s">
        <v>472</v>
      </c>
      <c r="K168" s="73" t="s">
        <v>61</v>
      </c>
      <c r="L168" s="73" t="s">
        <v>270</v>
      </c>
      <c r="M168" s="73" t="s">
        <v>78</v>
      </c>
      <c r="N168" s="73" t="s">
        <v>79</v>
      </c>
      <c r="O168" s="73" t="s">
        <v>224</v>
      </c>
      <c r="P168" s="73" t="s">
        <v>110</v>
      </c>
      <c r="Q168" s="54" t="str">
        <f>IFERROR(__xludf.DUMMYFUNCTION("""COMPUTED_VALUE"""),"Portugal.Video11Vang.PTATT_MatthewNguyen.7687_MES_HuyNV_060721")</f>
        <v>Portugal.Video11Vang.PTATT_MatthewNguyen.7687_MES_HuyNV_060721</v>
      </c>
      <c r="R168" s="54" t="str">
        <f>IFERROR(__xludf.DUMMYFUNCTION("""COMPUTED_VALUE"""),"NEW_Portugal_1865_none_060721")</f>
        <v>NEW_Portugal_1865_none_060721</v>
      </c>
      <c r="S168" s="54" t="str">
        <f>IFERROR(__xludf.DUMMYFUNCTION("""COMPUTED_VALUE"""),"saletructiep_Portugal.Video11Vang.PTATT_PTATT_LD005")</f>
        <v>saletructiep_Portugal.Video11Vang.PTATT_PTATT_LD005</v>
      </c>
      <c r="T168" s="54"/>
      <c r="U168" s="56"/>
    </row>
    <row r="169">
      <c r="A169" s="80" t="s">
        <v>464</v>
      </c>
      <c r="B169" s="73" t="s">
        <v>166</v>
      </c>
      <c r="C169" s="54" t="str">
        <f>IFERROR(__xludf.DUMMYFUNCTION("""COMPUTED_VALUE"""),"LD005")</f>
        <v>LD005</v>
      </c>
      <c r="D169" s="73" t="s">
        <v>42</v>
      </c>
      <c r="E169" s="73" t="s">
        <v>79</v>
      </c>
      <c r="F169" s="55" t="s">
        <v>474</v>
      </c>
      <c r="G169" s="73">
        <v>1865.0</v>
      </c>
      <c r="H169" s="73" t="s">
        <v>75</v>
      </c>
      <c r="I169" s="55" t="s">
        <v>475</v>
      </c>
      <c r="J169" s="73" t="s">
        <v>475</v>
      </c>
      <c r="K169" s="73" t="s">
        <v>61</v>
      </c>
      <c r="L169" s="73" t="s">
        <v>270</v>
      </c>
      <c r="M169" s="73" t="s">
        <v>78</v>
      </c>
      <c r="N169" s="73" t="s">
        <v>79</v>
      </c>
      <c r="O169" s="73" t="s">
        <v>224</v>
      </c>
      <c r="P169" s="73" t="s">
        <v>110</v>
      </c>
      <c r="Q169" s="54" t="str">
        <f>IFERROR(__xludf.DUMMYFUNCTION("""COMPUTED_VALUE"""),"Spain.Video11Vang.PTATT_MatthewNguyen.7687_MES_HuyNV_060721")</f>
        <v>Spain.Video11Vang.PTATT_MatthewNguyen.7687_MES_HuyNV_060721</v>
      </c>
      <c r="R169" s="54" t="str">
        <f>IFERROR(__xludf.DUMMYFUNCTION("""COMPUTED_VALUE"""),"NEW_Spain_1865_none_060721")</f>
        <v>NEW_Spain_1865_none_060721</v>
      </c>
      <c r="S169" s="54" t="str">
        <f>IFERROR(__xludf.DUMMYFUNCTION("""COMPUTED_VALUE"""),"saletructiep_Spain.Video11Vang.PTATT_PTATT_LD005")</f>
        <v>saletructiep_Spain.Video11Vang.PTATT_PTATT_LD005</v>
      </c>
      <c r="T169" s="54"/>
      <c r="U169" s="56"/>
    </row>
    <row r="170">
      <c r="A170" s="64" t="s">
        <v>476</v>
      </c>
      <c r="B170" s="73" t="s">
        <v>166</v>
      </c>
      <c r="C170" s="54" t="str">
        <f>IFERROR(__xludf.DUMMYFUNCTION("""COMPUTED_VALUE"""),"LD005")</f>
        <v>LD005</v>
      </c>
      <c r="D170" s="73" t="s">
        <v>42</v>
      </c>
      <c r="E170" s="73" t="s">
        <v>79</v>
      </c>
      <c r="F170" s="55" t="s">
        <v>112</v>
      </c>
      <c r="G170" s="73">
        <v>1865.0</v>
      </c>
      <c r="H170" s="73" t="s">
        <v>75</v>
      </c>
      <c r="I170" s="55" t="s">
        <v>477</v>
      </c>
      <c r="J170" s="73" t="s">
        <v>477</v>
      </c>
      <c r="K170" s="73" t="s">
        <v>61</v>
      </c>
      <c r="L170" s="55" t="s">
        <v>270</v>
      </c>
      <c r="M170" s="73" t="s">
        <v>78</v>
      </c>
      <c r="N170" s="73" t="s">
        <v>79</v>
      </c>
      <c r="O170" s="73" t="s">
        <v>224</v>
      </c>
      <c r="P170" s="73" t="s">
        <v>110</v>
      </c>
      <c r="Q170" s="54" t="str">
        <f>IFERROR(__xludf.DUMMYFUNCTION("""COMPUTED_VALUE"""),"Canada.AnhKhaiGiang.PTATT_MatthewNguyen.7687_MES_HuyNV_070721")</f>
        <v>Canada.AnhKhaiGiang.PTATT_MatthewNguyen.7687_MES_HuyNV_070721</v>
      </c>
      <c r="R170" s="54" t="str">
        <f>IFERROR(__xludf.DUMMYFUNCTION("""COMPUTED_VALUE"""),"NEW_Canada_1865_none_070721")</f>
        <v>NEW_Canada_1865_none_070721</v>
      </c>
      <c r="S170" s="54" t="str">
        <f>IFERROR(__xludf.DUMMYFUNCTION("""COMPUTED_VALUE"""),"saletructiep_Canada.AnhKhaiGiang.PTATT_PTATT_LD005")</f>
        <v>saletructiep_Canada.AnhKhaiGiang.PTATT_PTATT_LD005</v>
      </c>
      <c r="T170" s="54"/>
      <c r="U170" s="56"/>
    </row>
    <row r="171">
      <c r="A171" s="80" t="s">
        <v>476</v>
      </c>
      <c r="B171" s="73" t="s">
        <v>166</v>
      </c>
      <c r="C171" s="54" t="str">
        <f>IFERROR(__xludf.DUMMYFUNCTION("""COMPUTED_VALUE"""),"LD005")</f>
        <v>LD005</v>
      </c>
      <c r="D171" s="73" t="s">
        <v>42</v>
      </c>
      <c r="E171" s="73" t="s">
        <v>79</v>
      </c>
      <c r="F171" s="55" t="s">
        <v>164</v>
      </c>
      <c r="G171" s="73">
        <v>1865.0</v>
      </c>
      <c r="H171" s="73" t="s">
        <v>75</v>
      </c>
      <c r="I171" s="55" t="s">
        <v>478</v>
      </c>
      <c r="J171" s="73" t="s">
        <v>478</v>
      </c>
      <c r="K171" s="73" t="s">
        <v>61</v>
      </c>
      <c r="L171" s="73" t="s">
        <v>270</v>
      </c>
      <c r="M171" s="73" t="s">
        <v>78</v>
      </c>
      <c r="N171" s="73" t="s">
        <v>79</v>
      </c>
      <c r="O171" s="73" t="s">
        <v>224</v>
      </c>
      <c r="P171" s="73" t="s">
        <v>110</v>
      </c>
      <c r="Q171" s="54" t="str">
        <f>IFERROR(__xludf.DUMMYFUNCTION("""COMPUTED_VALUE"""),"Taiwan.AnhKhaiGiang.PTATT_MatthewNguyen.7687_MES_HuyNV_070721")</f>
        <v>Taiwan.AnhKhaiGiang.PTATT_MatthewNguyen.7687_MES_HuyNV_070721</v>
      </c>
      <c r="R171" s="54" t="str">
        <f>IFERROR(__xludf.DUMMYFUNCTION("""COMPUTED_VALUE"""),"NEW_Taiwan_1865_none_070721")</f>
        <v>NEW_Taiwan_1865_none_070721</v>
      </c>
      <c r="S171" s="54" t="str">
        <f>IFERROR(__xludf.DUMMYFUNCTION("""COMPUTED_VALUE"""),"saletructiep_Taiwan.AnhKhaiGiang.PTATT_PTATT_LD005")</f>
        <v>saletructiep_Taiwan.AnhKhaiGiang.PTATT_PTATT_LD005</v>
      </c>
      <c r="T171" s="54"/>
      <c r="U171" s="56"/>
    </row>
    <row r="172">
      <c r="A172" s="80" t="s">
        <v>476</v>
      </c>
      <c r="B172" s="73" t="s">
        <v>166</v>
      </c>
      <c r="C172" s="54" t="str">
        <f>IFERROR(__xludf.DUMMYFUNCTION("""COMPUTED_VALUE"""),"LD005")</f>
        <v>LD005</v>
      </c>
      <c r="D172" s="73" t="s">
        <v>42</v>
      </c>
      <c r="E172" s="73" t="s">
        <v>79</v>
      </c>
      <c r="F172" s="55" t="s">
        <v>133</v>
      </c>
      <c r="G172" s="73">
        <v>1865.0</v>
      </c>
      <c r="H172" s="73" t="s">
        <v>75</v>
      </c>
      <c r="I172" s="55" t="s">
        <v>480</v>
      </c>
      <c r="J172" s="73" t="s">
        <v>480</v>
      </c>
      <c r="K172" s="73" t="s">
        <v>61</v>
      </c>
      <c r="L172" s="73" t="s">
        <v>270</v>
      </c>
      <c r="M172" s="73" t="s">
        <v>78</v>
      </c>
      <c r="N172" s="73" t="s">
        <v>79</v>
      </c>
      <c r="O172" s="73" t="s">
        <v>224</v>
      </c>
      <c r="P172" s="73" t="s">
        <v>110</v>
      </c>
      <c r="Q172" s="54" t="str">
        <f>IFERROR(__xludf.DUMMYFUNCTION("""COMPUTED_VALUE"""),"Japan.AnhKhaiGiang.PTATT_MatthewNguyen.7687_MES_HuyNV_070721")</f>
        <v>Japan.AnhKhaiGiang.PTATT_MatthewNguyen.7687_MES_HuyNV_070721</v>
      </c>
      <c r="R172" s="54" t="str">
        <f>IFERROR(__xludf.DUMMYFUNCTION("""COMPUTED_VALUE"""),"NEW_Japan_1865_none_070721")</f>
        <v>NEW_Japan_1865_none_070721</v>
      </c>
      <c r="S172" s="54" t="str">
        <f>IFERROR(__xludf.DUMMYFUNCTION("""COMPUTED_VALUE"""),"saletructiep_Japan.AnhKhaiGiang.PTATT_PTATT_LD005")</f>
        <v>saletructiep_Japan.AnhKhaiGiang.PTATT_PTATT_LD005</v>
      </c>
      <c r="T172" s="54"/>
      <c r="U172" s="56"/>
    </row>
    <row r="173">
      <c r="A173" s="80" t="s">
        <v>476</v>
      </c>
      <c r="B173" s="73" t="s">
        <v>166</v>
      </c>
      <c r="C173" s="54" t="str">
        <f>IFERROR(__xludf.DUMMYFUNCTION("""COMPUTED_VALUE"""),"LD005")</f>
        <v>LD005</v>
      </c>
      <c r="D173" s="73" t="s">
        <v>42</v>
      </c>
      <c r="E173" s="73" t="s">
        <v>79</v>
      </c>
      <c r="F173" s="55" t="s">
        <v>107</v>
      </c>
      <c r="G173" s="73">
        <v>1865.0</v>
      </c>
      <c r="H173" s="73" t="s">
        <v>75</v>
      </c>
      <c r="I173" s="55" t="s">
        <v>482</v>
      </c>
      <c r="J173" s="73" t="s">
        <v>482</v>
      </c>
      <c r="K173" s="73" t="s">
        <v>61</v>
      </c>
      <c r="L173" s="73" t="s">
        <v>270</v>
      </c>
      <c r="M173" s="73" t="s">
        <v>78</v>
      </c>
      <c r="N173" s="73" t="s">
        <v>79</v>
      </c>
      <c r="O173" s="73" t="s">
        <v>224</v>
      </c>
      <c r="P173" s="73" t="s">
        <v>110</v>
      </c>
      <c r="Q173" s="54" t="str">
        <f>IFERROR(__xludf.DUMMYFUNCTION("""COMPUTED_VALUE"""),"UnitedStates.VideoH4TrungTam.PTATT_MatthewNguyen.7687_MES_HuyNV_070721")</f>
        <v>UnitedStates.VideoH4TrungTam.PTATT_MatthewNguyen.7687_MES_HuyNV_070721</v>
      </c>
      <c r="R173" s="54" t="str">
        <f>IFERROR(__xludf.DUMMYFUNCTION("""COMPUTED_VALUE"""),"NEW_UnitedStates_1865_none_070721")</f>
        <v>NEW_UnitedStates_1865_none_070721</v>
      </c>
      <c r="S173" s="54" t="str">
        <f>IFERROR(__xludf.DUMMYFUNCTION("""COMPUTED_VALUE"""),"saletructiep_UnitedStates.VideoH4TrungTam.PTATT_PTATT_LD005")</f>
        <v>saletructiep_UnitedStates.VideoH4TrungTam.PTATT_PTATT_LD005</v>
      </c>
      <c r="T173" s="54"/>
      <c r="U173" s="56"/>
    </row>
    <row r="174">
      <c r="A174" s="64" t="s">
        <v>483</v>
      </c>
      <c r="B174" s="73" t="s">
        <v>166</v>
      </c>
      <c r="C174" s="54" t="str">
        <f>IFERROR(__xludf.DUMMYFUNCTION("""COMPUTED_VALUE"""),"LD005")</f>
        <v>LD005</v>
      </c>
      <c r="D174" s="73" t="s">
        <v>42</v>
      </c>
      <c r="E174" s="73" t="s">
        <v>79</v>
      </c>
      <c r="F174" s="55" t="s">
        <v>182</v>
      </c>
      <c r="G174" s="73">
        <v>1865.0</v>
      </c>
      <c r="H174" s="73" t="s">
        <v>75</v>
      </c>
      <c r="I174" s="55" t="s">
        <v>484</v>
      </c>
      <c r="J174" s="55" t="s">
        <v>484</v>
      </c>
      <c r="K174" s="73" t="s">
        <v>61</v>
      </c>
      <c r="L174" s="73" t="s">
        <v>270</v>
      </c>
      <c r="M174" s="73" t="s">
        <v>78</v>
      </c>
      <c r="N174" s="73" t="s">
        <v>79</v>
      </c>
      <c r="O174" s="73" t="s">
        <v>224</v>
      </c>
      <c r="P174" s="73" t="s">
        <v>110</v>
      </c>
      <c r="Q174" s="54" t="str">
        <f>IFERROR(__xludf.DUMMYFUNCTION("""COMPUTED_VALUE"""),"Malaysia.AnhKhaiGiang.PTATT_MatthewNguyen.7687_MES_HuyNV_090721")</f>
        <v>Malaysia.AnhKhaiGiang.PTATT_MatthewNguyen.7687_MES_HuyNV_090721</v>
      </c>
      <c r="R174" s="54" t="str">
        <f>IFERROR(__xludf.DUMMYFUNCTION("""COMPUTED_VALUE"""),"NEW_Malaysia_1865_none_090721")</f>
        <v>NEW_Malaysia_1865_none_090721</v>
      </c>
      <c r="S174" s="54" t="str">
        <f>IFERROR(__xludf.DUMMYFUNCTION("""COMPUTED_VALUE"""),"saletructiep_Malaysia.AnhKhaiGiang.PTATT_PTATT_LD005")</f>
        <v>saletructiep_Malaysia.AnhKhaiGiang.PTATT_PTATT_LD005</v>
      </c>
      <c r="T174" s="54"/>
      <c r="U174" s="56"/>
    </row>
    <row r="175">
      <c r="A175" s="80" t="s">
        <v>483</v>
      </c>
      <c r="B175" s="73" t="s">
        <v>166</v>
      </c>
      <c r="C175" s="54" t="str">
        <f>IFERROR(__xludf.DUMMYFUNCTION("""COMPUTED_VALUE"""),"LD005")</f>
        <v>LD005</v>
      </c>
      <c r="D175" s="73" t="s">
        <v>42</v>
      </c>
      <c r="E175" s="73" t="s">
        <v>79</v>
      </c>
      <c r="F175" s="55" t="s">
        <v>162</v>
      </c>
      <c r="G175" s="73">
        <v>1865.0</v>
      </c>
      <c r="H175" s="73" t="s">
        <v>75</v>
      </c>
      <c r="I175" s="55" t="s">
        <v>485</v>
      </c>
      <c r="J175" s="55" t="s">
        <v>485</v>
      </c>
      <c r="K175" s="73" t="s">
        <v>61</v>
      </c>
      <c r="L175" s="73" t="s">
        <v>270</v>
      </c>
      <c r="M175" s="73" t="s">
        <v>78</v>
      </c>
      <c r="N175" s="73" t="s">
        <v>79</v>
      </c>
      <c r="O175" s="73" t="s">
        <v>224</v>
      </c>
      <c r="P175" s="73" t="s">
        <v>110</v>
      </c>
      <c r="Q175" s="54" t="str">
        <f>IFERROR(__xludf.DUMMYFUNCTION("""COMPUTED_VALUE"""),"Singapore.AnhKhaiGiang.PTATT_MatthewNguyen.7687_MES_HuyNV_090721")</f>
        <v>Singapore.AnhKhaiGiang.PTATT_MatthewNguyen.7687_MES_HuyNV_090721</v>
      </c>
      <c r="R175" s="54" t="str">
        <f>IFERROR(__xludf.DUMMYFUNCTION("""COMPUTED_VALUE"""),"NEW_Singapore_1865_none_090721")</f>
        <v>NEW_Singapore_1865_none_090721</v>
      </c>
      <c r="S175" s="54" t="str">
        <f>IFERROR(__xludf.DUMMYFUNCTION("""COMPUTED_VALUE"""),"saletructiep_Singapore.AnhKhaiGiang.PTATT_PTATT_LD005")</f>
        <v>saletructiep_Singapore.AnhKhaiGiang.PTATT_PTATT_LD005</v>
      </c>
      <c r="T175" s="54"/>
      <c r="U175" s="56"/>
    </row>
    <row r="176">
      <c r="A176" s="80" t="s">
        <v>483</v>
      </c>
      <c r="B176" s="73" t="s">
        <v>166</v>
      </c>
      <c r="C176" s="54" t="str">
        <f>IFERROR(__xludf.DUMMYFUNCTION("""COMPUTED_VALUE"""),"LD005")</f>
        <v>LD005</v>
      </c>
      <c r="D176" s="73" t="s">
        <v>42</v>
      </c>
      <c r="E176" s="73" t="s">
        <v>79</v>
      </c>
      <c r="F176" s="55" t="s">
        <v>280</v>
      </c>
      <c r="G176" s="73">
        <v>1865.0</v>
      </c>
      <c r="H176" s="73" t="s">
        <v>75</v>
      </c>
      <c r="I176" s="55" t="s">
        <v>487</v>
      </c>
      <c r="J176" s="55" t="s">
        <v>487</v>
      </c>
      <c r="K176" s="73" t="s">
        <v>61</v>
      </c>
      <c r="L176" s="73" t="s">
        <v>270</v>
      </c>
      <c r="M176" s="73" t="s">
        <v>78</v>
      </c>
      <c r="N176" s="73" t="s">
        <v>79</v>
      </c>
      <c r="O176" s="73" t="s">
        <v>224</v>
      </c>
      <c r="P176" s="73" t="s">
        <v>110</v>
      </c>
      <c r="Q176" s="54" t="str">
        <f>IFERROR(__xludf.DUMMYFUNCTION("""COMPUTED_VALUE"""),"Indonesia.AnhKhaiGiang.PTATT_MatthewNguyen.7687_MES_HuyNV_090721")</f>
        <v>Indonesia.AnhKhaiGiang.PTATT_MatthewNguyen.7687_MES_HuyNV_090721</v>
      </c>
      <c r="R176" s="54" t="str">
        <f>IFERROR(__xludf.DUMMYFUNCTION("""COMPUTED_VALUE"""),"NEW_Indonesia_1865_none_090721")</f>
        <v>NEW_Indonesia_1865_none_090721</v>
      </c>
      <c r="S176" s="54" t="str">
        <f>IFERROR(__xludf.DUMMYFUNCTION("""COMPUTED_VALUE"""),"saletructiep_Indonesia.AnhKhaiGiang.PTATT_PTATT_LD005")</f>
        <v>saletructiep_Indonesia.AnhKhaiGiang.PTATT_PTATT_LD005</v>
      </c>
      <c r="T176" s="54"/>
      <c r="U176" s="56"/>
    </row>
    <row r="177">
      <c r="A177" s="80" t="s">
        <v>483</v>
      </c>
      <c r="B177" s="73" t="s">
        <v>166</v>
      </c>
      <c r="C177" s="54" t="str">
        <f>IFERROR(__xludf.DUMMYFUNCTION("""COMPUTED_VALUE"""),"LD005")</f>
        <v>LD005</v>
      </c>
      <c r="D177" s="73" t="s">
        <v>42</v>
      </c>
      <c r="E177" s="73" t="s">
        <v>79</v>
      </c>
      <c r="F177" s="55" t="s">
        <v>488</v>
      </c>
      <c r="G177" s="73">
        <v>1865.0</v>
      </c>
      <c r="H177" s="73" t="s">
        <v>75</v>
      </c>
      <c r="I177" s="55" t="s">
        <v>489</v>
      </c>
      <c r="J177" s="55" t="s">
        <v>489</v>
      </c>
      <c r="K177" s="73" t="s">
        <v>61</v>
      </c>
      <c r="L177" s="73" t="s">
        <v>270</v>
      </c>
      <c r="M177" s="73" t="s">
        <v>78</v>
      </c>
      <c r="N177" s="73" t="s">
        <v>79</v>
      </c>
      <c r="O177" s="73" t="s">
        <v>224</v>
      </c>
      <c r="P177" s="73" t="s">
        <v>110</v>
      </c>
      <c r="Q177" s="54" t="str">
        <f>IFERROR(__xludf.DUMMYFUNCTION("""COMPUTED_VALUE"""),"Thailand.AnhKhaiGiang.PTATT_MatthewNguyen.7687_MES_HuyNV_090721")</f>
        <v>Thailand.AnhKhaiGiang.PTATT_MatthewNguyen.7687_MES_HuyNV_090721</v>
      </c>
      <c r="R177" s="54" t="str">
        <f>IFERROR(__xludf.DUMMYFUNCTION("""COMPUTED_VALUE"""),"NEW_Thailand_1865_none_090721")</f>
        <v>NEW_Thailand_1865_none_090721</v>
      </c>
      <c r="S177" s="54" t="str">
        <f>IFERROR(__xludf.DUMMYFUNCTION("""COMPUTED_VALUE"""),"saletructiep_Thailand.AnhKhaiGiang.PTATT_PTATT_LD005")</f>
        <v>saletructiep_Thailand.AnhKhaiGiang.PTATT_PTATT_LD005</v>
      </c>
      <c r="T177" s="54"/>
      <c r="U177" s="56"/>
    </row>
    <row r="178">
      <c r="A178" s="80" t="s">
        <v>483</v>
      </c>
      <c r="B178" s="73" t="s">
        <v>166</v>
      </c>
      <c r="C178" s="54" t="str">
        <f>IFERROR(__xludf.DUMMYFUNCTION("""COMPUTED_VALUE"""),"LD005")</f>
        <v>LD005</v>
      </c>
      <c r="D178" s="73" t="s">
        <v>42</v>
      </c>
      <c r="E178" s="73" t="s">
        <v>79</v>
      </c>
      <c r="F178" s="55" t="s">
        <v>112</v>
      </c>
      <c r="G178" s="73">
        <v>1865.0</v>
      </c>
      <c r="H178" s="73" t="s">
        <v>75</v>
      </c>
      <c r="I178" s="55" t="s">
        <v>491</v>
      </c>
      <c r="J178" s="55" t="s">
        <v>491</v>
      </c>
      <c r="K178" s="73" t="s">
        <v>61</v>
      </c>
      <c r="L178" s="55" t="s">
        <v>317</v>
      </c>
      <c r="M178" s="73" t="s">
        <v>78</v>
      </c>
      <c r="N178" s="73" t="s">
        <v>79</v>
      </c>
      <c r="O178" s="73" t="s">
        <v>224</v>
      </c>
      <c r="P178" s="73" t="s">
        <v>110</v>
      </c>
      <c r="Q178" s="54" t="str">
        <f>IFERROR(__xludf.DUMMYFUNCTION("""COMPUTED_VALUE"""),"Canada.VideoH4TrungTam.PTATT_XuBen.5018_MES_HuyNV_090721")</f>
        <v>Canada.VideoH4TrungTam.PTATT_XuBen.5018_MES_HuyNV_090721</v>
      </c>
      <c r="R178" s="54" t="str">
        <f>IFERROR(__xludf.DUMMYFUNCTION("""COMPUTED_VALUE"""),"NEW_Canada_1865_none_090721")</f>
        <v>NEW_Canada_1865_none_090721</v>
      </c>
      <c r="S178" s="54" t="str">
        <f>IFERROR(__xludf.DUMMYFUNCTION("""COMPUTED_VALUE"""),"saletructiep_Canada.VideoH4TrungTam.PTATT_PTATT_LD005")</f>
        <v>saletructiep_Canada.VideoH4TrungTam.PTATT_PTATT_LD005</v>
      </c>
      <c r="T178" s="54"/>
      <c r="U178" s="56"/>
    </row>
    <row r="179">
      <c r="A179" s="64" t="s">
        <v>492</v>
      </c>
      <c r="B179" s="73" t="s">
        <v>166</v>
      </c>
      <c r="C179" s="54" t="str">
        <f>IFERROR(__xludf.DUMMYFUNCTION("""COMPUTED_VALUE"""),"LD005")</f>
        <v>LD005</v>
      </c>
      <c r="D179" s="73" t="s">
        <v>42</v>
      </c>
      <c r="E179" s="73" t="s">
        <v>79</v>
      </c>
      <c r="F179" s="55" t="s">
        <v>307</v>
      </c>
      <c r="G179" s="73">
        <v>1865.0</v>
      </c>
      <c r="H179" s="73" t="s">
        <v>75</v>
      </c>
      <c r="I179" s="55" t="s">
        <v>493</v>
      </c>
      <c r="J179" s="55" t="s">
        <v>493</v>
      </c>
      <c r="K179" s="73" t="s">
        <v>61</v>
      </c>
      <c r="L179" s="73" t="s">
        <v>317</v>
      </c>
      <c r="M179" s="73" t="s">
        <v>78</v>
      </c>
      <c r="N179" s="73" t="s">
        <v>79</v>
      </c>
      <c r="O179" s="73" t="s">
        <v>224</v>
      </c>
      <c r="P179" s="73" t="s">
        <v>110</v>
      </c>
      <c r="Q179" s="54" t="str">
        <f>IFERROR(__xludf.DUMMYFUNCTION("""COMPUTED_VALUE"""),"HongKong.VideoH4TrungTam.PTATT_XuBen.5018_MES_HuyNV_130721")</f>
        <v>HongKong.VideoH4TrungTam.PTATT_XuBen.5018_MES_HuyNV_130721</v>
      </c>
      <c r="R179" s="54" t="str">
        <f>IFERROR(__xludf.DUMMYFUNCTION("""COMPUTED_VALUE"""),"NEW_HongKong_1865_none_130721")</f>
        <v>NEW_HongKong_1865_none_130721</v>
      </c>
      <c r="S179" s="54" t="str">
        <f>IFERROR(__xludf.DUMMYFUNCTION("""COMPUTED_VALUE"""),"saletructiep_HongKong.VideoH4TrungTam.PTATT_PTATT_LD005")</f>
        <v>saletructiep_HongKong.VideoH4TrungTam.PTATT_PTATT_LD005</v>
      </c>
      <c r="T179" s="54"/>
      <c r="U179" s="56"/>
    </row>
    <row r="180">
      <c r="A180" s="80" t="s">
        <v>492</v>
      </c>
      <c r="B180" s="73" t="s">
        <v>166</v>
      </c>
      <c r="C180" s="54" t="str">
        <f>IFERROR(__xludf.DUMMYFUNCTION("""COMPUTED_VALUE"""),"LD005")</f>
        <v>LD005</v>
      </c>
      <c r="D180" s="73" t="s">
        <v>42</v>
      </c>
      <c r="E180" s="73" t="s">
        <v>79</v>
      </c>
      <c r="F180" s="55" t="s">
        <v>162</v>
      </c>
      <c r="G180" s="73">
        <v>1865.0</v>
      </c>
      <c r="H180" s="73" t="s">
        <v>75</v>
      </c>
      <c r="I180" s="55" t="s">
        <v>494</v>
      </c>
      <c r="J180" s="55" t="s">
        <v>494</v>
      </c>
      <c r="K180" s="73" t="s">
        <v>61</v>
      </c>
      <c r="L180" s="73" t="s">
        <v>317</v>
      </c>
      <c r="M180" s="73" t="s">
        <v>78</v>
      </c>
      <c r="N180" s="73" t="s">
        <v>79</v>
      </c>
      <c r="O180" s="73" t="s">
        <v>224</v>
      </c>
      <c r="P180" s="73" t="s">
        <v>110</v>
      </c>
      <c r="Q180" s="54" t="str">
        <f>IFERROR(__xludf.DUMMYFUNCTION("""COMPUTED_VALUE"""),"Singapore.VideoH4TrungTam.PTATT_XuBen.5018_MES_HuyNV_130721")</f>
        <v>Singapore.VideoH4TrungTam.PTATT_XuBen.5018_MES_HuyNV_130721</v>
      </c>
      <c r="R180" s="54" t="str">
        <f>IFERROR(__xludf.DUMMYFUNCTION("""COMPUTED_VALUE"""),"NEW_Singapore_1865_none_130721")</f>
        <v>NEW_Singapore_1865_none_130721</v>
      </c>
      <c r="S180" s="54" t="str">
        <f>IFERROR(__xludf.DUMMYFUNCTION("""COMPUTED_VALUE"""),"saletructiep_Singapore.VideoH4TrungTam.PTATT_PTATT_LD005")</f>
        <v>saletructiep_Singapore.VideoH4TrungTam.PTATT_PTATT_LD005</v>
      </c>
      <c r="T180" s="54"/>
      <c r="U180" s="56"/>
    </row>
    <row r="181">
      <c r="A181" s="64" t="s">
        <v>495</v>
      </c>
      <c r="B181" s="73" t="s">
        <v>166</v>
      </c>
      <c r="C181" s="54" t="str">
        <f>IFERROR(__xludf.DUMMYFUNCTION("""COMPUTED_VALUE"""),"LD005")</f>
        <v>LD005</v>
      </c>
      <c r="D181" s="73" t="s">
        <v>42</v>
      </c>
      <c r="E181" s="73" t="s">
        <v>79</v>
      </c>
      <c r="F181" s="55" t="s">
        <v>444</v>
      </c>
      <c r="G181" s="73">
        <v>1865.0</v>
      </c>
      <c r="H181" s="73" t="s">
        <v>75</v>
      </c>
      <c r="I181" s="55" t="s">
        <v>496</v>
      </c>
      <c r="J181" s="55" t="s">
        <v>496</v>
      </c>
      <c r="K181" s="73" t="s">
        <v>61</v>
      </c>
      <c r="L181" s="73" t="s">
        <v>317</v>
      </c>
      <c r="M181" s="73" t="s">
        <v>78</v>
      </c>
      <c r="N181" s="73" t="s">
        <v>79</v>
      </c>
      <c r="O181" s="73" t="s">
        <v>224</v>
      </c>
      <c r="P181" s="73" t="s">
        <v>110</v>
      </c>
      <c r="Q181" s="54" t="str">
        <f>IFERROR(__xludf.DUMMYFUNCTION("""COMPUTED_VALUE"""),"China.VideoH4TrungTam.PTATT_XuBen.5018_MES_HuyNV_140721")</f>
        <v>China.VideoH4TrungTam.PTATT_XuBen.5018_MES_HuyNV_140721</v>
      </c>
      <c r="R181" s="54" t="str">
        <f>IFERROR(__xludf.DUMMYFUNCTION("""COMPUTED_VALUE"""),"NEW_China_1865_none_140721")</f>
        <v>NEW_China_1865_none_140721</v>
      </c>
      <c r="S181" s="54" t="str">
        <f>IFERROR(__xludf.DUMMYFUNCTION("""COMPUTED_VALUE"""),"saletructiep_China.VideoH4TrungTam.PTATT_PTATT_LD005")</f>
        <v>saletructiep_China.VideoH4TrungTam.PTATT_PTATT_LD005</v>
      </c>
      <c r="T181" s="54"/>
      <c r="U181" s="56"/>
    </row>
    <row r="182">
      <c r="A182" s="80" t="s">
        <v>495</v>
      </c>
      <c r="B182" s="73" t="s">
        <v>166</v>
      </c>
      <c r="C182" s="54" t="str">
        <f>IFERROR(__xludf.DUMMYFUNCTION("""COMPUTED_VALUE"""),"LD005")</f>
        <v>LD005</v>
      </c>
      <c r="D182" s="73" t="s">
        <v>42</v>
      </c>
      <c r="E182" s="73" t="s">
        <v>79</v>
      </c>
      <c r="F182" s="55" t="s">
        <v>164</v>
      </c>
      <c r="G182" s="73">
        <v>1865.0</v>
      </c>
      <c r="H182" s="73" t="s">
        <v>75</v>
      </c>
      <c r="I182" s="55" t="s">
        <v>497</v>
      </c>
      <c r="J182" s="73" t="s">
        <v>497</v>
      </c>
      <c r="K182" s="73" t="s">
        <v>61</v>
      </c>
      <c r="L182" s="73" t="s">
        <v>317</v>
      </c>
      <c r="M182" s="73" t="s">
        <v>78</v>
      </c>
      <c r="N182" s="73" t="s">
        <v>79</v>
      </c>
      <c r="O182" s="73" t="s">
        <v>224</v>
      </c>
      <c r="P182" s="73" t="s">
        <v>110</v>
      </c>
      <c r="Q182" s="54" t="str">
        <f>IFERROR(__xludf.DUMMYFUNCTION("""COMPUTED_VALUE"""),"Taiwan.VideoH4TrungTam.PTATT_XuBen.5018_MES_HuyNV_140721")</f>
        <v>Taiwan.VideoH4TrungTam.PTATT_XuBen.5018_MES_HuyNV_140721</v>
      </c>
      <c r="R182" s="54" t="str">
        <f>IFERROR(__xludf.DUMMYFUNCTION("""COMPUTED_VALUE"""),"NEW_Taiwan_1865_none_140721")</f>
        <v>NEW_Taiwan_1865_none_140721</v>
      </c>
      <c r="S182" s="54" t="str">
        <f>IFERROR(__xludf.DUMMYFUNCTION("""COMPUTED_VALUE"""),"saletructiep_Taiwan.VideoH4TrungTam.PTATT_PTATT_LD005")</f>
        <v>saletructiep_Taiwan.VideoH4TrungTam.PTATT_PTATT_LD005</v>
      </c>
      <c r="T182" s="54"/>
      <c r="U182" s="56"/>
    </row>
    <row r="183">
      <c r="A183" s="80" t="s">
        <v>495</v>
      </c>
      <c r="B183" s="73" t="s">
        <v>166</v>
      </c>
      <c r="C183" s="54" t="str">
        <f>IFERROR(__xludf.DUMMYFUNCTION("""COMPUTED_VALUE"""),"LD005")</f>
        <v>LD005</v>
      </c>
      <c r="D183" s="73" t="s">
        <v>42</v>
      </c>
      <c r="E183" s="73" t="s">
        <v>79</v>
      </c>
      <c r="F183" s="55" t="s">
        <v>129</v>
      </c>
      <c r="G183" s="73">
        <v>1865.0</v>
      </c>
      <c r="H183" s="73" t="s">
        <v>75</v>
      </c>
      <c r="I183" s="55" t="s">
        <v>498</v>
      </c>
      <c r="J183" s="73" t="s">
        <v>498</v>
      </c>
      <c r="K183" s="73" t="s">
        <v>61</v>
      </c>
      <c r="L183" s="73" t="s">
        <v>317</v>
      </c>
      <c r="M183" s="73" t="s">
        <v>78</v>
      </c>
      <c r="N183" s="73" t="s">
        <v>79</v>
      </c>
      <c r="O183" s="73" t="s">
        <v>224</v>
      </c>
      <c r="P183" s="73" t="s">
        <v>110</v>
      </c>
      <c r="Q183" s="54" t="str">
        <f>IFERROR(__xludf.DUMMYFUNCTION("""COMPUTED_VALUE"""),"Australia.VideoH4TrungTam.PTATT_XuBen.5018_MES_HuyNV_140721")</f>
        <v>Australia.VideoH4TrungTam.PTATT_XuBen.5018_MES_HuyNV_140721</v>
      </c>
      <c r="R183" s="54" t="str">
        <f>IFERROR(__xludf.DUMMYFUNCTION("""COMPUTED_VALUE"""),"NEW_Australia_1865_none_140721")</f>
        <v>NEW_Australia_1865_none_140721</v>
      </c>
      <c r="S183" s="54" t="str">
        <f>IFERROR(__xludf.DUMMYFUNCTION("""COMPUTED_VALUE"""),"saletructiep_Australia.VideoH4TrungTam.PTATT_PTATT_LD005")</f>
        <v>saletructiep_Australia.VideoH4TrungTam.PTATT_PTATT_LD005</v>
      </c>
      <c r="T183" s="54"/>
      <c r="U183" s="56"/>
    </row>
    <row r="184">
      <c r="A184" s="80" t="s">
        <v>495</v>
      </c>
      <c r="B184" s="73" t="s">
        <v>166</v>
      </c>
      <c r="C184" s="54" t="str">
        <f>IFERROR(__xludf.DUMMYFUNCTION("""COMPUTED_VALUE"""),"LD005")</f>
        <v>LD005</v>
      </c>
      <c r="D184" s="73" t="s">
        <v>42</v>
      </c>
      <c r="E184" s="73" t="s">
        <v>79</v>
      </c>
      <c r="F184" s="55" t="s">
        <v>123</v>
      </c>
      <c r="G184" s="73">
        <v>1865.0</v>
      </c>
      <c r="H184" s="73" t="s">
        <v>75</v>
      </c>
      <c r="I184" s="55" t="s">
        <v>500</v>
      </c>
      <c r="J184" s="73" t="s">
        <v>500</v>
      </c>
      <c r="K184" s="73" t="s">
        <v>61</v>
      </c>
      <c r="L184" s="73" t="s">
        <v>317</v>
      </c>
      <c r="M184" s="73" t="s">
        <v>78</v>
      </c>
      <c r="N184" s="73" t="s">
        <v>79</v>
      </c>
      <c r="O184" s="73" t="s">
        <v>224</v>
      </c>
      <c r="P184" s="73" t="s">
        <v>110</v>
      </c>
      <c r="Q184" s="54" t="str">
        <f>IFERROR(__xludf.DUMMYFUNCTION("""COMPUTED_VALUE"""),"SouthKorea.VideoH4TrungTam.PTATT_XuBen.5018_MES_HuyNV_140721")</f>
        <v>SouthKorea.VideoH4TrungTam.PTATT_XuBen.5018_MES_HuyNV_140721</v>
      </c>
      <c r="R184" s="54" t="str">
        <f>IFERROR(__xludf.DUMMYFUNCTION("""COMPUTED_VALUE"""),"NEW_SouthKorea_1865_none_140721")</f>
        <v>NEW_SouthKorea_1865_none_140721</v>
      </c>
      <c r="S184" s="54" t="str">
        <f>IFERROR(__xludf.DUMMYFUNCTION("""COMPUTED_VALUE"""),"saletructiep_SouthKorea.VideoH4TrungTam.PTATT_PTATT_LD005")</f>
        <v>saletructiep_SouthKorea.VideoH4TrungTam.PTATT_PTATT_LD005</v>
      </c>
      <c r="T184" s="54"/>
      <c r="U184" s="56"/>
    </row>
    <row r="185">
      <c r="A185" s="80" t="s">
        <v>495</v>
      </c>
      <c r="B185" s="73" t="s">
        <v>166</v>
      </c>
      <c r="C185" s="54" t="str">
        <f>IFERROR(__xludf.DUMMYFUNCTION("""COMPUTED_VALUE"""),"LD005")</f>
        <v>LD005</v>
      </c>
      <c r="D185" s="73" t="s">
        <v>42</v>
      </c>
      <c r="E185" s="55" t="s">
        <v>69</v>
      </c>
      <c r="F185" s="55" t="s">
        <v>461</v>
      </c>
      <c r="G185" s="73">
        <v>1865.0</v>
      </c>
      <c r="H185" s="73" t="s">
        <v>75</v>
      </c>
      <c r="I185" s="55" t="s">
        <v>501</v>
      </c>
      <c r="J185" s="55" t="s">
        <v>501</v>
      </c>
      <c r="K185" s="73" t="s">
        <v>61</v>
      </c>
      <c r="L185" s="73" t="s">
        <v>317</v>
      </c>
      <c r="M185" s="73" t="s">
        <v>78</v>
      </c>
      <c r="N185" s="55" t="s">
        <v>69</v>
      </c>
      <c r="O185" s="73" t="s">
        <v>224</v>
      </c>
      <c r="P185" s="73" t="s">
        <v>110</v>
      </c>
      <c r="Q185" s="54" t="str">
        <f>IFERROR(__xludf.DUMMYFUNCTION("""COMPUTED_VALUE"""),"CzechRepublic.VideoH4TrungTam.PTATT_XuBen.5018_CVS_HuyNV_140721")</f>
        <v>CzechRepublic.VideoH4TrungTam.PTATT_XuBen.5018_CVS_HuyNV_140721</v>
      </c>
      <c r="R185" s="54" t="str">
        <f>IFERROR(__xludf.DUMMYFUNCTION("""COMPUTED_VALUE"""),"NEW_CzechRepublic_1865_none_140721")</f>
        <v>NEW_CzechRepublic_1865_none_140721</v>
      </c>
      <c r="S185" s="54" t="str">
        <f>IFERROR(__xludf.DUMMYFUNCTION("""COMPUTED_VALUE"""),"saletructiep_CzechRepublic.VideoH4TrungTam.PTATT_PTATT_LD005")</f>
        <v>saletructiep_CzechRepublic.VideoH4TrungTam.PTATT_PTATT_LD005</v>
      </c>
      <c r="T185" s="54"/>
      <c r="U185" s="56"/>
    </row>
    <row r="186">
      <c r="A186" s="80" t="s">
        <v>495</v>
      </c>
      <c r="B186" s="73" t="s">
        <v>166</v>
      </c>
      <c r="C186" s="54" t="str">
        <f>IFERROR(__xludf.DUMMYFUNCTION("""COMPUTED_VALUE"""),"LD005")</f>
        <v>LD005</v>
      </c>
      <c r="D186" s="73" t="s">
        <v>42</v>
      </c>
      <c r="E186" s="73" t="s">
        <v>79</v>
      </c>
      <c r="F186" s="55" t="s">
        <v>274</v>
      </c>
      <c r="G186" s="73">
        <v>1865.0</v>
      </c>
      <c r="H186" s="73" t="s">
        <v>75</v>
      </c>
      <c r="I186" s="55" t="s">
        <v>502</v>
      </c>
      <c r="J186" s="55" t="s">
        <v>502</v>
      </c>
      <c r="K186" s="73" t="s">
        <v>61</v>
      </c>
      <c r="L186" s="73" t="s">
        <v>317</v>
      </c>
      <c r="M186" s="73" t="s">
        <v>78</v>
      </c>
      <c r="N186" s="73" t="s">
        <v>69</v>
      </c>
      <c r="O186" s="73" t="s">
        <v>224</v>
      </c>
      <c r="P186" s="73" t="s">
        <v>110</v>
      </c>
      <c r="Q186" s="54" t="str">
        <f>IFERROR(__xludf.DUMMYFUNCTION("""COMPUTED_VALUE"""),"UnitedKingdom.VideoH4TrungTam.PTATT_XuBen.5018_CVS_HuyNV_140721")</f>
        <v>UnitedKingdom.VideoH4TrungTam.PTATT_XuBen.5018_CVS_HuyNV_140721</v>
      </c>
      <c r="R186" s="54" t="str">
        <f>IFERROR(__xludf.DUMMYFUNCTION("""COMPUTED_VALUE"""),"NEW_UnitedKingdom_1865_none_140721")</f>
        <v>NEW_UnitedKingdom_1865_none_140721</v>
      </c>
      <c r="S186" s="54" t="str">
        <f>IFERROR(__xludf.DUMMYFUNCTION("""COMPUTED_VALUE"""),"saletructiep_UnitedKingdom.VideoH4TrungTam.PTATT_PTATT_LD005")</f>
        <v>saletructiep_UnitedKingdom.VideoH4TrungTam.PTATT_PTATT_LD005</v>
      </c>
      <c r="T186" s="54"/>
      <c r="U186" s="56"/>
    </row>
    <row r="187">
      <c r="A187" s="64" t="s">
        <v>504</v>
      </c>
      <c r="B187" s="73" t="s">
        <v>166</v>
      </c>
      <c r="C187" s="54" t="str">
        <f>IFERROR(__xludf.DUMMYFUNCTION("""COMPUTED_VALUE"""),"LD005")</f>
        <v>LD005</v>
      </c>
      <c r="D187" s="73" t="s">
        <v>42</v>
      </c>
      <c r="E187" s="55" t="s">
        <v>69</v>
      </c>
      <c r="F187" s="55" t="s">
        <v>133</v>
      </c>
      <c r="G187" s="73">
        <v>1865.0</v>
      </c>
      <c r="H187" s="73" t="s">
        <v>75</v>
      </c>
      <c r="I187" s="55" t="s">
        <v>505</v>
      </c>
      <c r="J187" s="73" t="s">
        <v>505</v>
      </c>
      <c r="K187" s="73" t="s">
        <v>61</v>
      </c>
      <c r="L187" s="73" t="s">
        <v>317</v>
      </c>
      <c r="M187" s="73" t="s">
        <v>78</v>
      </c>
      <c r="N187" s="73" t="s">
        <v>69</v>
      </c>
      <c r="O187" s="73" t="s">
        <v>224</v>
      </c>
      <c r="P187" s="73" t="s">
        <v>110</v>
      </c>
      <c r="Q187" s="54" t="str">
        <f>IFERROR(__xludf.DUMMYFUNCTION("""COMPUTED_VALUE"""),"Japan.VideoH4TrungTam.PTATT_XuBen.5018_CVS_HuyNV_190721")</f>
        <v>Japan.VideoH4TrungTam.PTATT_XuBen.5018_CVS_HuyNV_190721</v>
      </c>
      <c r="R187" s="54" t="str">
        <f>IFERROR(__xludf.DUMMYFUNCTION("""COMPUTED_VALUE"""),"NEW_Japan_1865_none_190721")</f>
        <v>NEW_Japan_1865_none_190721</v>
      </c>
      <c r="S187" s="54" t="str">
        <f>IFERROR(__xludf.DUMMYFUNCTION("""COMPUTED_VALUE"""),"saletructiep_Japan.VideoH4TrungTam.PTATT_PTATT_LD005")</f>
        <v>saletructiep_Japan.VideoH4TrungTam.PTATT_PTATT_LD005</v>
      </c>
      <c r="T187" s="54"/>
      <c r="U187" s="56"/>
    </row>
    <row r="188">
      <c r="A188" s="80" t="s">
        <v>495</v>
      </c>
      <c r="B188" s="73" t="s">
        <v>166</v>
      </c>
      <c r="C188" s="54" t="str">
        <f>IFERROR(__xludf.DUMMYFUNCTION("""COMPUTED_VALUE"""),"LD005")</f>
        <v>LD005</v>
      </c>
      <c r="D188" s="73" t="s">
        <v>42</v>
      </c>
      <c r="E188" s="73" t="s">
        <v>79</v>
      </c>
      <c r="F188" s="73" t="s">
        <v>461</v>
      </c>
      <c r="G188" s="73">
        <v>1865.0</v>
      </c>
      <c r="H188" s="73" t="s">
        <v>75</v>
      </c>
      <c r="I188" s="73" t="s">
        <v>501</v>
      </c>
      <c r="J188" s="73" t="s">
        <v>501</v>
      </c>
      <c r="K188" s="73" t="s">
        <v>61</v>
      </c>
      <c r="L188" s="73" t="s">
        <v>317</v>
      </c>
      <c r="M188" s="73" t="s">
        <v>78</v>
      </c>
      <c r="N188" s="73" t="s">
        <v>69</v>
      </c>
      <c r="O188" s="73" t="s">
        <v>224</v>
      </c>
      <c r="P188" s="73" t="s">
        <v>110</v>
      </c>
      <c r="Q188" s="54" t="str">
        <f>IFERROR(__xludf.DUMMYFUNCTION("""COMPUTED_VALUE"""),"CzechRepublic.VideoH4TrungTam.PTATT_XuBen.5018_CVS_HuyNV_140721")</f>
        <v>CzechRepublic.VideoH4TrungTam.PTATT_XuBen.5018_CVS_HuyNV_140721</v>
      </c>
      <c r="R188" s="54" t="str">
        <f>IFERROR(__xludf.DUMMYFUNCTION("""COMPUTED_VALUE"""),"NEW_CzechRepublic_1865_none_140721")</f>
        <v>NEW_CzechRepublic_1865_none_140721</v>
      </c>
      <c r="S188" s="54" t="str">
        <f>IFERROR(__xludf.DUMMYFUNCTION("""COMPUTED_VALUE"""),"saletructiep_CzechRepublic.VideoH4TrungTam.PTATT_PTATT_LD005")</f>
        <v>saletructiep_CzechRepublic.VideoH4TrungTam.PTATT_PTATT_LD005</v>
      </c>
      <c r="T188" s="54"/>
      <c r="U188" s="56"/>
    </row>
    <row r="189">
      <c r="A189" s="64" t="s">
        <v>506</v>
      </c>
      <c r="B189" s="73" t="s">
        <v>166</v>
      </c>
      <c r="C189" s="54" t="str">
        <f>IFERROR(__xludf.DUMMYFUNCTION("""COMPUTED_VALUE"""),"LD005")</f>
        <v>LD005</v>
      </c>
      <c r="D189" s="73" t="s">
        <v>42</v>
      </c>
      <c r="E189" s="73" t="s">
        <v>79</v>
      </c>
      <c r="F189" s="55" t="s">
        <v>112</v>
      </c>
      <c r="G189" s="73">
        <v>1865.0</v>
      </c>
      <c r="H189" s="73" t="s">
        <v>75</v>
      </c>
      <c r="I189" s="55" t="s">
        <v>491</v>
      </c>
      <c r="J189" s="73" t="s">
        <v>491</v>
      </c>
      <c r="K189" s="73" t="s">
        <v>61</v>
      </c>
      <c r="L189" s="73" t="s">
        <v>317</v>
      </c>
      <c r="M189" s="73" t="s">
        <v>78</v>
      </c>
      <c r="N189" s="55" t="s">
        <v>79</v>
      </c>
      <c r="O189" s="73" t="s">
        <v>224</v>
      </c>
      <c r="P189" s="73" t="s">
        <v>110</v>
      </c>
      <c r="Q189" s="54" t="str">
        <f>IFERROR(__xludf.DUMMYFUNCTION("""COMPUTED_VALUE"""),"Canada.VideoH4TrungTam.PTATT_XuBen.5018_MES_HuyNV_210721")</f>
        <v>Canada.VideoH4TrungTam.PTATT_XuBen.5018_MES_HuyNV_210721</v>
      </c>
      <c r="R189" s="54" t="str">
        <f>IFERROR(__xludf.DUMMYFUNCTION("""COMPUTED_VALUE"""),"NEW_Canada_1865_none_210721")</f>
        <v>NEW_Canada_1865_none_210721</v>
      </c>
      <c r="S189" s="54" t="str">
        <f>IFERROR(__xludf.DUMMYFUNCTION("""COMPUTED_VALUE"""),"saletructiep_Canada.VideoH4TrungTam.PTATT_PTATT_LD005")</f>
        <v>saletructiep_Canada.VideoH4TrungTam.PTATT_PTATT_LD005</v>
      </c>
      <c r="T189" s="54"/>
      <c r="U189" s="56"/>
    </row>
    <row r="190">
      <c r="A190" s="64" t="s">
        <v>508</v>
      </c>
      <c r="B190" s="73" t="s">
        <v>166</v>
      </c>
      <c r="C190" s="54" t="str">
        <f>IFERROR(__xludf.DUMMYFUNCTION("""COMPUTED_VALUE"""),"LD005")</f>
        <v>LD005</v>
      </c>
      <c r="D190" s="73" t="s">
        <v>42</v>
      </c>
      <c r="E190" s="73" t="s">
        <v>79</v>
      </c>
      <c r="F190" s="55" t="s">
        <v>174</v>
      </c>
      <c r="G190" s="73">
        <v>1865.0</v>
      </c>
      <c r="H190" s="73" t="s">
        <v>75</v>
      </c>
      <c r="I190" s="55" t="s">
        <v>509</v>
      </c>
      <c r="J190" s="73" t="s">
        <v>509</v>
      </c>
      <c r="K190" s="73" t="s">
        <v>61</v>
      </c>
      <c r="L190" s="73" t="s">
        <v>317</v>
      </c>
      <c r="M190" s="73" t="s">
        <v>78</v>
      </c>
      <c r="N190" s="73" t="s">
        <v>79</v>
      </c>
      <c r="O190" s="73" t="s">
        <v>224</v>
      </c>
      <c r="P190" s="73" t="s">
        <v>110</v>
      </c>
      <c r="Q190" s="54" t="str">
        <f>IFERROR(__xludf.DUMMYFUNCTION("""COMPUTED_VALUE"""),"Philippines.VideoH4TrungTam.PTATT_XuBen.5018_MES_HuyNV_070821")</f>
        <v>Philippines.VideoH4TrungTam.PTATT_XuBen.5018_MES_HuyNV_070821</v>
      </c>
      <c r="R190" s="54" t="str">
        <f>IFERROR(__xludf.DUMMYFUNCTION("""COMPUTED_VALUE"""),"NEW_Philippines_1865_none_070821")</f>
        <v>NEW_Philippines_1865_none_070821</v>
      </c>
      <c r="S190" s="54" t="str">
        <f>IFERROR(__xludf.DUMMYFUNCTION("""COMPUTED_VALUE"""),"saletructiep_Philippines.VideoH4TrungTam.PTATT_PTATT_LD005")</f>
        <v>saletructiep_Philippines.VideoH4TrungTam.PTATT_PTATT_LD005</v>
      </c>
      <c r="T190" s="54"/>
      <c r="U190" s="56"/>
    </row>
    <row r="191">
      <c r="A191" s="80" t="s">
        <v>508</v>
      </c>
      <c r="B191" s="73" t="s">
        <v>166</v>
      </c>
      <c r="C191" s="54" t="str">
        <f>IFERROR(__xludf.DUMMYFUNCTION("""COMPUTED_VALUE"""),"LD005")</f>
        <v>LD005</v>
      </c>
      <c r="D191" s="73" t="s">
        <v>42</v>
      </c>
      <c r="E191" s="73" t="s">
        <v>79</v>
      </c>
      <c r="F191" s="55" t="s">
        <v>258</v>
      </c>
      <c r="G191" s="73">
        <v>1865.0</v>
      </c>
      <c r="H191" s="73" t="s">
        <v>75</v>
      </c>
      <c r="I191" s="55" t="s">
        <v>510</v>
      </c>
      <c r="J191" s="73" t="s">
        <v>510</v>
      </c>
      <c r="K191" s="73" t="s">
        <v>61</v>
      </c>
      <c r="L191" s="73" t="s">
        <v>317</v>
      </c>
      <c r="M191" s="73" t="s">
        <v>78</v>
      </c>
      <c r="N191" s="73" t="s">
        <v>79</v>
      </c>
      <c r="O191" s="73" t="s">
        <v>224</v>
      </c>
      <c r="P191" s="73" t="s">
        <v>110</v>
      </c>
      <c r="Q191" s="54" t="str">
        <f>IFERROR(__xludf.DUMMYFUNCTION("""COMPUTED_VALUE"""),"Germany.VideoH4TrungTam.PTATT_XuBen.5018_MES_HuyNV_070821")</f>
        <v>Germany.VideoH4TrungTam.PTATT_XuBen.5018_MES_HuyNV_070821</v>
      </c>
      <c r="R191" s="54" t="str">
        <f>IFERROR(__xludf.DUMMYFUNCTION("""COMPUTED_VALUE"""),"NEW_Germany_1865_none_070821")</f>
        <v>NEW_Germany_1865_none_070821</v>
      </c>
      <c r="S191" s="54" t="str">
        <f>IFERROR(__xludf.DUMMYFUNCTION("""COMPUTED_VALUE"""),"saletructiep_Germany.VideoH4TrungTam.PTATT_PTATT_LD005")</f>
        <v>saletructiep_Germany.VideoH4TrungTam.PTATT_PTATT_LD005</v>
      </c>
      <c r="T191" s="54"/>
      <c r="U191" s="56"/>
    </row>
    <row r="192">
      <c r="A192" s="80" t="s">
        <v>508</v>
      </c>
      <c r="B192" s="73" t="s">
        <v>166</v>
      </c>
      <c r="C192" s="54" t="str">
        <f>IFERROR(__xludf.DUMMYFUNCTION("""COMPUTED_VALUE"""),"LD005")</f>
        <v>LD005</v>
      </c>
      <c r="D192" s="73" t="s">
        <v>42</v>
      </c>
      <c r="E192" s="73" t="s">
        <v>79</v>
      </c>
      <c r="F192" s="55" t="s">
        <v>119</v>
      </c>
      <c r="G192" s="73">
        <v>1865.0</v>
      </c>
      <c r="H192" s="73" t="s">
        <v>75</v>
      </c>
      <c r="I192" s="55" t="s">
        <v>512</v>
      </c>
      <c r="J192" s="55" t="s">
        <v>512</v>
      </c>
      <c r="K192" s="73" t="s">
        <v>61</v>
      </c>
      <c r="L192" s="73" t="s">
        <v>317</v>
      </c>
      <c r="M192" s="73" t="s">
        <v>78</v>
      </c>
      <c r="N192" s="73" t="s">
        <v>79</v>
      </c>
      <c r="O192" s="73" t="s">
        <v>224</v>
      </c>
      <c r="P192" s="73" t="s">
        <v>110</v>
      </c>
      <c r="Q192" s="54" t="str">
        <f>IFERROR(__xludf.DUMMYFUNCTION("""COMPUTED_VALUE"""),"NewZealand.VideoH4TrungTam.PTATT_XuBen.5018_MES_HuyNV_070821")</f>
        <v>NewZealand.VideoH4TrungTam.PTATT_XuBen.5018_MES_HuyNV_070821</v>
      </c>
      <c r="R192" s="54" t="str">
        <f>IFERROR(__xludf.DUMMYFUNCTION("""COMPUTED_VALUE"""),"NEW_NewZealand_1865_none_070821")</f>
        <v>NEW_NewZealand_1865_none_070821</v>
      </c>
      <c r="S192" s="54" t="str">
        <f>IFERROR(__xludf.DUMMYFUNCTION("""COMPUTED_VALUE"""),"saletructiep_NewZealand.VideoH4TrungTam.PTATT_PTATT_LD005")</f>
        <v>saletructiep_NewZealand.VideoH4TrungTam.PTATT_PTATT_LD005</v>
      </c>
      <c r="T192" s="54"/>
      <c r="U192" s="56"/>
    </row>
    <row r="193">
      <c r="A193" s="80" t="s">
        <v>508</v>
      </c>
      <c r="B193" s="73" t="s">
        <v>166</v>
      </c>
      <c r="C193" s="54" t="str">
        <f>IFERROR(__xludf.DUMMYFUNCTION("""COMPUTED_VALUE"""),"LD005")</f>
        <v>LD005</v>
      </c>
      <c r="D193" s="73" t="s">
        <v>42</v>
      </c>
      <c r="E193" s="73" t="s">
        <v>79</v>
      </c>
      <c r="F193" s="55" t="s">
        <v>272</v>
      </c>
      <c r="G193" s="73">
        <v>1865.0</v>
      </c>
      <c r="H193" s="73" t="s">
        <v>75</v>
      </c>
      <c r="I193" s="55" t="s">
        <v>513</v>
      </c>
      <c r="J193" s="73" t="s">
        <v>513</v>
      </c>
      <c r="K193" s="73" t="s">
        <v>61</v>
      </c>
      <c r="L193" s="73" t="s">
        <v>317</v>
      </c>
      <c r="M193" s="73" t="s">
        <v>78</v>
      </c>
      <c r="N193" s="73" t="s">
        <v>79</v>
      </c>
      <c r="O193" s="73" t="s">
        <v>224</v>
      </c>
      <c r="P193" s="73" t="s">
        <v>110</v>
      </c>
      <c r="Q193" s="54" t="str">
        <f>IFERROR(__xludf.DUMMYFUNCTION("""COMPUTED_VALUE"""),"France.VideoH4TrungTam.PTATT_XuBen.5018_MES_HuyNV_070821")</f>
        <v>France.VideoH4TrungTam.PTATT_XuBen.5018_MES_HuyNV_070821</v>
      </c>
      <c r="R193" s="54" t="str">
        <f>IFERROR(__xludf.DUMMYFUNCTION("""COMPUTED_VALUE"""),"NEW_France_1865_none_070821")</f>
        <v>NEW_France_1865_none_070821</v>
      </c>
      <c r="S193" s="54" t="str">
        <f>IFERROR(__xludf.DUMMYFUNCTION("""COMPUTED_VALUE"""),"saletructiep_France.VideoH4TrungTam.PTATT_PTATT_LD005")</f>
        <v>saletructiep_France.VideoH4TrungTam.PTATT_PTATT_LD005</v>
      </c>
      <c r="T193" s="54"/>
      <c r="U193" s="56"/>
    </row>
    <row r="194">
      <c r="A194" s="80" t="s">
        <v>508</v>
      </c>
      <c r="B194" s="73" t="s">
        <v>166</v>
      </c>
      <c r="C194" s="54" t="str">
        <f>IFERROR(__xludf.DUMMYFUNCTION("""COMPUTED_VALUE"""),"LD005")</f>
        <v>LD005</v>
      </c>
      <c r="D194" s="73" t="s">
        <v>42</v>
      </c>
      <c r="E194" s="73" t="s">
        <v>79</v>
      </c>
      <c r="F194" s="55" t="s">
        <v>514</v>
      </c>
      <c r="G194" s="73">
        <v>1865.0</v>
      </c>
      <c r="H194" s="73" t="s">
        <v>75</v>
      </c>
      <c r="I194" s="55" t="s">
        <v>515</v>
      </c>
      <c r="J194" s="55" t="s">
        <v>515</v>
      </c>
      <c r="K194" s="73" t="s">
        <v>61</v>
      </c>
      <c r="L194" s="73" t="s">
        <v>317</v>
      </c>
      <c r="M194" s="73" t="s">
        <v>78</v>
      </c>
      <c r="N194" s="73" t="s">
        <v>79</v>
      </c>
      <c r="O194" s="73" t="s">
        <v>224</v>
      </c>
      <c r="P194" s="73" t="s">
        <v>110</v>
      </c>
      <c r="Q194" s="54" t="str">
        <f>IFERROR(__xludf.DUMMYFUNCTION("""COMPUTED_VALUE"""),"Italy.VideoH4TrungTam.PTATT_XuBen.5018_MES_HuyNV_070821")</f>
        <v>Italy.VideoH4TrungTam.PTATT_XuBen.5018_MES_HuyNV_070821</v>
      </c>
      <c r="R194" s="54" t="str">
        <f>IFERROR(__xludf.DUMMYFUNCTION("""COMPUTED_VALUE"""),"NEW_Italy_1865_none_070821")</f>
        <v>NEW_Italy_1865_none_070821</v>
      </c>
      <c r="S194" s="54" t="str">
        <f>IFERROR(__xludf.DUMMYFUNCTION("""COMPUTED_VALUE"""),"saletructiep_Italy.VideoH4TrungTam.PTATT_PTATT_LD005")</f>
        <v>saletructiep_Italy.VideoH4TrungTam.PTATT_PTATT_LD005</v>
      </c>
      <c r="T194" s="54"/>
      <c r="U194" s="56"/>
    </row>
    <row r="195">
      <c r="A195" s="80" t="s">
        <v>508</v>
      </c>
      <c r="B195" s="73" t="s">
        <v>166</v>
      </c>
      <c r="C195" s="54" t="str">
        <f>IFERROR(__xludf.DUMMYFUNCTION("""COMPUTED_VALUE"""),"LD005")</f>
        <v>LD005</v>
      </c>
      <c r="D195" s="73" t="s">
        <v>42</v>
      </c>
      <c r="E195" s="73" t="s">
        <v>79</v>
      </c>
      <c r="F195" s="55" t="s">
        <v>467</v>
      </c>
      <c r="G195" s="73">
        <v>1865.0</v>
      </c>
      <c r="H195" s="73" t="s">
        <v>75</v>
      </c>
      <c r="I195" s="55" t="s">
        <v>517</v>
      </c>
      <c r="J195" s="73" t="s">
        <v>517</v>
      </c>
      <c r="K195" s="73" t="s">
        <v>61</v>
      </c>
      <c r="L195" s="73" t="s">
        <v>317</v>
      </c>
      <c r="M195" s="73" t="s">
        <v>78</v>
      </c>
      <c r="N195" s="73" t="s">
        <v>79</v>
      </c>
      <c r="O195" s="73" t="s">
        <v>224</v>
      </c>
      <c r="P195" s="73" t="s">
        <v>110</v>
      </c>
      <c r="Q195" s="54" t="str">
        <f>IFERROR(__xludf.DUMMYFUNCTION("""COMPUTED_VALUE"""),"Poland.VideoH4TrungTam.PTATT_XuBen.5018_MES_HuyNV_070821")</f>
        <v>Poland.VideoH4TrungTam.PTATT_XuBen.5018_MES_HuyNV_070821</v>
      </c>
      <c r="R195" s="54" t="str">
        <f>IFERROR(__xludf.DUMMYFUNCTION("""COMPUTED_VALUE"""),"NEW_Poland_1865_none_070821")</f>
        <v>NEW_Poland_1865_none_070821</v>
      </c>
      <c r="S195" s="54" t="str">
        <f>IFERROR(__xludf.DUMMYFUNCTION("""COMPUTED_VALUE"""),"saletructiep_Poland.VideoH4TrungTam.PTATT_PTATT_LD005")</f>
        <v>saletructiep_Poland.VideoH4TrungTam.PTATT_PTATT_LD005</v>
      </c>
      <c r="T195" s="54"/>
      <c r="U195" s="56"/>
    </row>
    <row r="196">
      <c r="A196" s="80" t="s">
        <v>508</v>
      </c>
      <c r="B196" s="73" t="s">
        <v>166</v>
      </c>
      <c r="C196" s="54" t="str">
        <f>IFERROR(__xludf.DUMMYFUNCTION("""COMPUTED_VALUE"""),"LD005")</f>
        <v>LD005</v>
      </c>
      <c r="D196" s="73" t="s">
        <v>42</v>
      </c>
      <c r="E196" s="73" t="s">
        <v>79</v>
      </c>
      <c r="F196" s="55" t="s">
        <v>518</v>
      </c>
      <c r="G196" s="73">
        <v>1865.0</v>
      </c>
      <c r="H196" s="73" t="s">
        <v>75</v>
      </c>
      <c r="I196" s="55" t="s">
        <v>519</v>
      </c>
      <c r="J196" s="73" t="s">
        <v>519</v>
      </c>
      <c r="K196" s="73" t="s">
        <v>61</v>
      </c>
      <c r="L196" s="73" t="s">
        <v>317</v>
      </c>
      <c r="M196" s="73" t="s">
        <v>78</v>
      </c>
      <c r="N196" s="73" t="s">
        <v>79</v>
      </c>
      <c r="O196" s="73" t="s">
        <v>224</v>
      </c>
      <c r="P196" s="73" t="s">
        <v>110</v>
      </c>
      <c r="Q196" s="54" t="str">
        <f>IFERROR(__xludf.DUMMYFUNCTION("""COMPUTED_VALUE"""),"Laos.VideoH4TrungTam.PTATT_XuBen.5018_MES_HuyNV_070821")</f>
        <v>Laos.VideoH4TrungTam.PTATT_XuBen.5018_MES_HuyNV_070821</v>
      </c>
      <c r="R196" s="54" t="str">
        <f>IFERROR(__xludf.DUMMYFUNCTION("""COMPUTED_VALUE"""),"NEW_Laos_1865_none_070821")</f>
        <v>NEW_Laos_1865_none_070821</v>
      </c>
      <c r="S196" s="54" t="str">
        <f>IFERROR(__xludf.DUMMYFUNCTION("""COMPUTED_VALUE"""),"saletructiep_Laos.VideoH4TrungTam.PTATT_PTATT_LD005")</f>
        <v>saletructiep_Laos.VideoH4TrungTam.PTATT_PTATT_LD005</v>
      </c>
      <c r="T196" s="54"/>
      <c r="U196" s="56"/>
    </row>
    <row r="197">
      <c r="A197" s="80" t="s">
        <v>508</v>
      </c>
      <c r="B197" s="73" t="s">
        <v>166</v>
      </c>
      <c r="C197" s="54" t="str">
        <f>IFERROR(__xludf.DUMMYFUNCTION("""COMPUTED_VALUE"""),"LD005")</f>
        <v>LD005</v>
      </c>
      <c r="D197" s="73" t="s">
        <v>42</v>
      </c>
      <c r="E197" s="73" t="s">
        <v>79</v>
      </c>
      <c r="F197" s="55" t="s">
        <v>303</v>
      </c>
      <c r="G197" s="73">
        <v>1865.0</v>
      </c>
      <c r="H197" s="73" t="s">
        <v>75</v>
      </c>
      <c r="I197" s="55" t="s">
        <v>520</v>
      </c>
      <c r="J197" s="73" t="s">
        <v>520</v>
      </c>
      <c r="K197" s="73" t="s">
        <v>61</v>
      </c>
      <c r="L197" s="73" t="s">
        <v>317</v>
      </c>
      <c r="M197" s="73" t="s">
        <v>78</v>
      </c>
      <c r="N197" s="73" t="s">
        <v>79</v>
      </c>
      <c r="O197" s="73" t="s">
        <v>224</v>
      </c>
      <c r="P197" s="73" t="s">
        <v>110</v>
      </c>
      <c r="Q197" s="54" t="str">
        <f>IFERROR(__xludf.DUMMYFUNCTION("""COMPUTED_VALUE"""),"Cambodia.VideoH4TrungTam.PTATT_XuBen.5018_MES_HuyNV_070821")</f>
        <v>Cambodia.VideoH4TrungTam.PTATT_XuBen.5018_MES_HuyNV_070821</v>
      </c>
      <c r="R197" s="54" t="str">
        <f>IFERROR(__xludf.DUMMYFUNCTION("""COMPUTED_VALUE"""),"NEW_Cambodia_1865_none_070821")</f>
        <v>NEW_Cambodia_1865_none_070821</v>
      </c>
      <c r="S197" s="54" t="str">
        <f>IFERROR(__xludf.DUMMYFUNCTION("""COMPUTED_VALUE"""),"saletructiep_Cambodia.VideoH4TrungTam.PTATT_PTATT_LD005")</f>
        <v>saletructiep_Cambodia.VideoH4TrungTam.PTATT_PTATT_LD005</v>
      </c>
      <c r="T197" s="54"/>
      <c r="U197" s="56"/>
    </row>
    <row r="198">
      <c r="A198" s="66">
        <v>180921.0</v>
      </c>
      <c r="B198" s="73" t="s">
        <v>166</v>
      </c>
      <c r="C198" s="54" t="str">
        <f>IFERROR(__xludf.DUMMYFUNCTION("""COMPUTED_VALUE"""),"LD005")</f>
        <v>LD005</v>
      </c>
      <c r="D198" s="73" t="s">
        <v>42</v>
      </c>
      <c r="E198" s="73" t="s">
        <v>79</v>
      </c>
      <c r="F198" s="55" t="s">
        <v>112</v>
      </c>
      <c r="G198" s="73">
        <v>1865.0</v>
      </c>
      <c r="H198" s="73" t="s">
        <v>75</v>
      </c>
      <c r="I198" s="55" t="s">
        <v>522</v>
      </c>
      <c r="J198" s="55" t="s">
        <v>522</v>
      </c>
      <c r="K198" s="73" t="s">
        <v>61</v>
      </c>
      <c r="L198" s="73" t="s">
        <v>317</v>
      </c>
      <c r="M198" s="73" t="s">
        <v>78</v>
      </c>
      <c r="N198" s="73" t="s">
        <v>79</v>
      </c>
      <c r="O198" s="73" t="s">
        <v>224</v>
      </c>
      <c r="P198" s="73" t="s">
        <v>110</v>
      </c>
      <c r="Q198" s="54" t="str">
        <f>IFERROR(__xludf.DUMMYFUNCTION("""COMPUTED_VALUE"""),"Canada.VidVTV.PTATT_XuBen.5018_MES_HuyNV_180921")</f>
        <v>Canada.VidVTV.PTATT_XuBen.5018_MES_HuyNV_180921</v>
      </c>
      <c r="R198" s="54" t="str">
        <f>IFERROR(__xludf.DUMMYFUNCTION("""COMPUTED_VALUE"""),"NEW_Canada_1865_none_180921")</f>
        <v>NEW_Canada_1865_none_180921</v>
      </c>
      <c r="S198" s="54" t="str">
        <f>IFERROR(__xludf.DUMMYFUNCTION("""COMPUTED_VALUE"""),"saletructiep_Canada.VidVTV.PTATT_PTATT_LD005")</f>
        <v>saletructiep_Canada.VidVTV.PTATT_PTATT_LD005</v>
      </c>
      <c r="T198" s="54"/>
      <c r="U198" s="56"/>
    </row>
    <row r="199">
      <c r="A199" s="66">
        <v>180921.0</v>
      </c>
      <c r="B199" s="73" t="s">
        <v>166</v>
      </c>
      <c r="C199" s="54" t="str">
        <f>IFERROR(__xludf.DUMMYFUNCTION("""COMPUTED_VALUE"""),"LD005")</f>
        <v>LD005</v>
      </c>
      <c r="D199" s="73" t="s">
        <v>42</v>
      </c>
      <c r="E199" s="73" t="s">
        <v>79</v>
      </c>
      <c r="F199" s="55" t="s">
        <v>129</v>
      </c>
      <c r="G199" s="73">
        <v>1865.0</v>
      </c>
      <c r="H199" s="73" t="s">
        <v>75</v>
      </c>
      <c r="I199" s="55" t="s">
        <v>523</v>
      </c>
      <c r="J199" s="55" t="s">
        <v>523</v>
      </c>
      <c r="K199" s="73" t="s">
        <v>61</v>
      </c>
      <c r="L199" s="73" t="s">
        <v>317</v>
      </c>
      <c r="M199" s="73" t="s">
        <v>78</v>
      </c>
      <c r="N199" s="73" t="s">
        <v>79</v>
      </c>
      <c r="O199" s="73" t="s">
        <v>224</v>
      </c>
      <c r="P199" s="73" t="s">
        <v>110</v>
      </c>
      <c r="Q199" s="54" t="str">
        <f>IFERROR(__xludf.DUMMYFUNCTION("""COMPUTED_VALUE"""),"Australia.VidVTV.PTATT_XuBen.5018_MES_HuyNV_180921")</f>
        <v>Australia.VidVTV.PTATT_XuBen.5018_MES_HuyNV_180921</v>
      </c>
      <c r="R199" s="54" t="str">
        <f>IFERROR(__xludf.DUMMYFUNCTION("""COMPUTED_VALUE"""),"NEW_Australia_1865_none_180921")</f>
        <v>NEW_Australia_1865_none_180921</v>
      </c>
      <c r="S199" s="54" t="str">
        <f>IFERROR(__xludf.DUMMYFUNCTION("""COMPUTED_VALUE"""),"saletructiep_Australia.VidVTV.PTATT_PTATT_LD005")</f>
        <v>saletructiep_Australia.VidVTV.PTATT_PTATT_LD005</v>
      </c>
      <c r="T199" s="54"/>
      <c r="U199" s="56"/>
    </row>
    <row r="200">
      <c r="A200" s="66">
        <v>200921.0</v>
      </c>
      <c r="B200" s="73" t="s">
        <v>166</v>
      </c>
      <c r="C200" s="54" t="str">
        <f>IFERROR(__xludf.DUMMYFUNCTION("""COMPUTED_VALUE"""),"LD005")</f>
        <v>LD005</v>
      </c>
      <c r="D200" s="73" t="s">
        <v>42</v>
      </c>
      <c r="E200" s="73" t="s">
        <v>79</v>
      </c>
      <c r="F200" s="55" t="s">
        <v>107</v>
      </c>
      <c r="G200" s="73">
        <v>1865.0</v>
      </c>
      <c r="H200" s="73" t="s">
        <v>75</v>
      </c>
      <c r="I200" s="55" t="s">
        <v>524</v>
      </c>
      <c r="J200" s="55" t="s">
        <v>524</v>
      </c>
      <c r="K200" s="73" t="s">
        <v>61</v>
      </c>
      <c r="L200" s="73" t="s">
        <v>317</v>
      </c>
      <c r="M200" s="73" t="s">
        <v>78</v>
      </c>
      <c r="N200" s="73" t="s">
        <v>79</v>
      </c>
      <c r="O200" s="73" t="s">
        <v>224</v>
      </c>
      <c r="P200" s="73" t="s">
        <v>110</v>
      </c>
      <c r="Q200" s="54" t="str">
        <f>IFERROR(__xludf.DUMMYFUNCTION("""COMPUTED_VALUE"""),"UnitedStates.VidVTV.PTATT_XuBen.5018_MES_HuyNV_200921")</f>
        <v>UnitedStates.VidVTV.PTATT_XuBen.5018_MES_HuyNV_200921</v>
      </c>
      <c r="R200" s="54" t="str">
        <f>IFERROR(__xludf.DUMMYFUNCTION("""COMPUTED_VALUE"""),"NEW_UnitedStates_1865_none_200921")</f>
        <v>NEW_UnitedStates_1865_none_200921</v>
      </c>
      <c r="S200" s="54" t="str">
        <f>IFERROR(__xludf.DUMMYFUNCTION("""COMPUTED_VALUE"""),"saletructiep_UnitedStates.VidVTV.PTATT_PTATT_LD005")</f>
        <v>saletructiep_UnitedStates.VidVTV.PTATT_PTATT_LD005</v>
      </c>
      <c r="T200" s="54"/>
      <c r="U200" s="56"/>
    </row>
    <row r="201">
      <c r="A201" s="66">
        <v>200921.0</v>
      </c>
      <c r="B201" s="73" t="s">
        <v>166</v>
      </c>
      <c r="C201" s="54" t="str">
        <f>IFERROR(__xludf.DUMMYFUNCTION("""COMPUTED_VALUE"""),"LD005")</f>
        <v>LD005</v>
      </c>
      <c r="D201" s="73" t="s">
        <v>42</v>
      </c>
      <c r="E201" s="73" t="s">
        <v>79</v>
      </c>
      <c r="F201" s="55" t="s">
        <v>162</v>
      </c>
      <c r="G201" s="73">
        <v>1865.0</v>
      </c>
      <c r="H201" s="73" t="s">
        <v>75</v>
      </c>
      <c r="I201" s="55" t="s">
        <v>526</v>
      </c>
      <c r="J201" s="55" t="s">
        <v>526</v>
      </c>
      <c r="K201" s="73" t="s">
        <v>61</v>
      </c>
      <c r="L201" s="73" t="s">
        <v>317</v>
      </c>
      <c r="M201" s="73" t="s">
        <v>78</v>
      </c>
      <c r="N201" s="73" t="s">
        <v>79</v>
      </c>
      <c r="O201" s="73" t="s">
        <v>224</v>
      </c>
      <c r="P201" s="73" t="s">
        <v>110</v>
      </c>
      <c r="Q201" s="54" t="str">
        <f>IFERROR(__xludf.DUMMYFUNCTION("""COMPUTED_VALUE"""),"Singapore.VidVTV.PTATT_XuBen.5018_MES_HuyNV_200921")</f>
        <v>Singapore.VidVTV.PTATT_XuBen.5018_MES_HuyNV_200921</v>
      </c>
      <c r="R201" s="54" t="str">
        <f>IFERROR(__xludf.DUMMYFUNCTION("""COMPUTED_VALUE"""),"NEW_Singapore_1865_none_200921")</f>
        <v>NEW_Singapore_1865_none_200921</v>
      </c>
      <c r="S201" s="54" t="str">
        <f>IFERROR(__xludf.DUMMYFUNCTION("""COMPUTED_VALUE"""),"saletructiep_Singapore.VidVTV.PTATT_PTATT_LD005")</f>
        <v>saletructiep_Singapore.VidVTV.PTATT_PTATT_LD005</v>
      </c>
      <c r="T201" s="54"/>
      <c r="U201" s="56"/>
    </row>
    <row r="202">
      <c r="A202" s="66">
        <v>200921.0</v>
      </c>
      <c r="B202" s="73" t="s">
        <v>166</v>
      </c>
      <c r="C202" s="54" t="str">
        <f>IFERROR(__xludf.DUMMYFUNCTION("""COMPUTED_VALUE"""),"LD005")</f>
        <v>LD005</v>
      </c>
      <c r="D202" s="73" t="s">
        <v>42</v>
      </c>
      <c r="E202" s="73" t="s">
        <v>79</v>
      </c>
      <c r="F202" s="55" t="s">
        <v>119</v>
      </c>
      <c r="G202" s="73">
        <v>1865.0</v>
      </c>
      <c r="H202" s="73" t="s">
        <v>75</v>
      </c>
      <c r="I202" s="55" t="s">
        <v>528</v>
      </c>
      <c r="J202" s="55" t="s">
        <v>528</v>
      </c>
      <c r="K202" s="73" t="s">
        <v>61</v>
      </c>
      <c r="L202" s="73" t="s">
        <v>317</v>
      </c>
      <c r="M202" s="73" t="s">
        <v>78</v>
      </c>
      <c r="N202" s="73" t="s">
        <v>79</v>
      </c>
      <c r="O202" s="73" t="s">
        <v>224</v>
      </c>
      <c r="P202" s="73" t="s">
        <v>110</v>
      </c>
      <c r="Q202" s="54" t="str">
        <f>IFERROR(__xludf.DUMMYFUNCTION("""COMPUTED_VALUE"""),"NewZealand.VidVTV.PTATT_XuBen.5018_MES_HuyNV_200921")</f>
        <v>NewZealand.VidVTV.PTATT_XuBen.5018_MES_HuyNV_200921</v>
      </c>
      <c r="R202" s="54" t="str">
        <f>IFERROR(__xludf.DUMMYFUNCTION("""COMPUTED_VALUE"""),"NEW_NewZealand_1865_none_200921")</f>
        <v>NEW_NewZealand_1865_none_200921</v>
      </c>
      <c r="S202" s="54" t="str">
        <f>IFERROR(__xludf.DUMMYFUNCTION("""COMPUTED_VALUE"""),"saletructiep_NewZealand.VidVTV.PTATT_PTATT_LD005")</f>
        <v>saletructiep_NewZealand.VidVTV.PTATT_PTATT_LD005</v>
      </c>
      <c r="T202" s="54"/>
      <c r="U202" s="56"/>
    </row>
    <row r="203">
      <c r="A203" s="66">
        <v>200921.0</v>
      </c>
      <c r="B203" s="73" t="s">
        <v>166</v>
      </c>
      <c r="C203" s="54" t="str">
        <f>IFERROR(__xludf.DUMMYFUNCTION("""COMPUTED_VALUE"""),"LD005")</f>
        <v>LD005</v>
      </c>
      <c r="D203" s="73" t="s">
        <v>42</v>
      </c>
      <c r="E203" s="73" t="s">
        <v>79</v>
      </c>
      <c r="F203" s="55" t="s">
        <v>461</v>
      </c>
      <c r="G203" s="73">
        <v>1865.0</v>
      </c>
      <c r="H203" s="73" t="s">
        <v>75</v>
      </c>
      <c r="I203" s="55" t="s">
        <v>529</v>
      </c>
      <c r="J203" s="55" t="s">
        <v>529</v>
      </c>
      <c r="K203" s="73" t="s">
        <v>61</v>
      </c>
      <c r="L203" s="73" t="s">
        <v>317</v>
      </c>
      <c r="M203" s="73" t="s">
        <v>78</v>
      </c>
      <c r="N203" s="73" t="s">
        <v>79</v>
      </c>
      <c r="O203" s="73" t="s">
        <v>224</v>
      </c>
      <c r="P203" s="73" t="s">
        <v>110</v>
      </c>
      <c r="Q203" s="54" t="str">
        <f>IFERROR(__xludf.DUMMYFUNCTION("""COMPUTED_VALUE"""),"CzechRepublic.VidVTV.PTATT_XuBen.5018_MES_HuyNV_200921")</f>
        <v>CzechRepublic.VidVTV.PTATT_XuBen.5018_MES_HuyNV_200921</v>
      </c>
      <c r="R203" s="54" t="str">
        <f>IFERROR(__xludf.DUMMYFUNCTION("""COMPUTED_VALUE"""),"NEW_CzechRepublic_1865_none_200921")</f>
        <v>NEW_CzechRepublic_1865_none_200921</v>
      </c>
      <c r="S203" s="54" t="str">
        <f>IFERROR(__xludf.DUMMYFUNCTION("""COMPUTED_VALUE"""),"saletructiep_CzechRepublic.VidVTV.PTATT_PTATT_LD005")</f>
        <v>saletructiep_CzechRepublic.VidVTV.PTATT_PTATT_LD005</v>
      </c>
      <c r="T203" s="54"/>
      <c r="U203" s="56"/>
    </row>
    <row r="204">
      <c r="A204" s="66">
        <v>210921.0</v>
      </c>
      <c r="B204" s="73" t="s">
        <v>166</v>
      </c>
      <c r="C204" s="54" t="str">
        <f>IFERROR(__xludf.DUMMYFUNCTION("""COMPUTED_VALUE"""),"LD005")</f>
        <v>LD005</v>
      </c>
      <c r="D204" s="73" t="s">
        <v>42</v>
      </c>
      <c r="E204" s="73" t="s">
        <v>79</v>
      </c>
      <c r="F204" s="55" t="s">
        <v>307</v>
      </c>
      <c r="G204" s="73">
        <v>1865.0</v>
      </c>
      <c r="H204" s="73" t="s">
        <v>75</v>
      </c>
      <c r="I204" s="55" t="s">
        <v>530</v>
      </c>
      <c r="J204" s="55" t="s">
        <v>530</v>
      </c>
      <c r="K204" s="73" t="s">
        <v>61</v>
      </c>
      <c r="L204" s="73" t="s">
        <v>317</v>
      </c>
      <c r="M204" s="73" t="s">
        <v>78</v>
      </c>
      <c r="N204" s="73" t="s">
        <v>79</v>
      </c>
      <c r="O204" s="73" t="s">
        <v>224</v>
      </c>
      <c r="P204" s="73" t="s">
        <v>110</v>
      </c>
      <c r="Q204" s="54" t="str">
        <f>IFERROR(__xludf.DUMMYFUNCTION("""COMPUTED_VALUE"""),"HongKong.VidVTV.PTATT_XuBen.5018_MES_HuyNV_210921")</f>
        <v>HongKong.VidVTV.PTATT_XuBen.5018_MES_HuyNV_210921</v>
      </c>
      <c r="R204" s="54" t="str">
        <f>IFERROR(__xludf.DUMMYFUNCTION("""COMPUTED_VALUE"""),"NEW_HongKong_1865_none_210921")</f>
        <v>NEW_HongKong_1865_none_210921</v>
      </c>
      <c r="S204" s="54" t="str">
        <f>IFERROR(__xludf.DUMMYFUNCTION("""COMPUTED_VALUE"""),"saletructiep_HongKong.VidVTV.PTATT_PTATT_LD005")</f>
        <v>saletructiep_HongKong.VidVTV.PTATT_PTATT_LD005</v>
      </c>
      <c r="T204" s="54"/>
      <c r="U204" s="56"/>
    </row>
    <row r="205">
      <c r="A205" s="66">
        <v>210921.0</v>
      </c>
      <c r="B205" s="73" t="s">
        <v>166</v>
      </c>
      <c r="C205" s="54" t="str">
        <f>IFERROR(__xludf.DUMMYFUNCTION("""COMPUTED_VALUE"""),"LD005")</f>
        <v>LD005</v>
      </c>
      <c r="D205" s="73" t="s">
        <v>42</v>
      </c>
      <c r="E205" s="73" t="s">
        <v>79</v>
      </c>
      <c r="F205" s="55" t="s">
        <v>164</v>
      </c>
      <c r="G205" s="73">
        <v>1865.0</v>
      </c>
      <c r="H205" s="73" t="s">
        <v>75</v>
      </c>
      <c r="I205" s="55" t="s">
        <v>531</v>
      </c>
      <c r="J205" s="55" t="s">
        <v>531</v>
      </c>
      <c r="K205" s="73" t="s">
        <v>61</v>
      </c>
      <c r="L205" s="73" t="s">
        <v>317</v>
      </c>
      <c r="M205" s="73" t="s">
        <v>78</v>
      </c>
      <c r="N205" s="73" t="s">
        <v>79</v>
      </c>
      <c r="O205" s="73" t="s">
        <v>224</v>
      </c>
      <c r="P205" s="73" t="s">
        <v>110</v>
      </c>
      <c r="Q205" s="54" t="str">
        <f>IFERROR(__xludf.DUMMYFUNCTION("""COMPUTED_VALUE"""),"Taiwan.VidVTV.PTATT_XuBen.5018_MES_HuyNV_210921")</f>
        <v>Taiwan.VidVTV.PTATT_XuBen.5018_MES_HuyNV_210921</v>
      </c>
      <c r="R205" s="54" t="str">
        <f>IFERROR(__xludf.DUMMYFUNCTION("""COMPUTED_VALUE"""),"NEW_Taiwan_1865_none_210921")</f>
        <v>NEW_Taiwan_1865_none_210921</v>
      </c>
      <c r="S205" s="54" t="str">
        <f>IFERROR(__xludf.DUMMYFUNCTION("""COMPUTED_VALUE"""),"saletructiep_Taiwan.VidVTV.PTATT_PTATT_LD005")</f>
        <v>saletructiep_Taiwan.VidVTV.PTATT_PTATT_LD005</v>
      </c>
      <c r="T205" s="54"/>
      <c r="U205" s="56"/>
    </row>
    <row r="206">
      <c r="A206" s="66">
        <v>210921.0</v>
      </c>
      <c r="B206" s="73" t="s">
        <v>166</v>
      </c>
      <c r="C206" s="54" t="str">
        <f>IFERROR(__xludf.DUMMYFUNCTION("""COMPUTED_VALUE"""),"LD005")</f>
        <v>LD005</v>
      </c>
      <c r="D206" s="73" t="s">
        <v>42</v>
      </c>
      <c r="E206" s="73" t="s">
        <v>79</v>
      </c>
      <c r="F206" s="55" t="s">
        <v>174</v>
      </c>
      <c r="G206" s="73">
        <v>1865.0</v>
      </c>
      <c r="H206" s="73" t="s">
        <v>75</v>
      </c>
      <c r="I206" s="55" t="s">
        <v>533</v>
      </c>
      <c r="J206" s="55" t="s">
        <v>533</v>
      </c>
      <c r="K206" s="73" t="s">
        <v>61</v>
      </c>
      <c r="L206" s="73" t="s">
        <v>317</v>
      </c>
      <c r="M206" s="73" t="s">
        <v>78</v>
      </c>
      <c r="N206" s="73" t="s">
        <v>79</v>
      </c>
      <c r="O206" s="73" t="s">
        <v>224</v>
      </c>
      <c r="P206" s="73" t="s">
        <v>110</v>
      </c>
      <c r="Q206" s="54" t="str">
        <f>IFERROR(__xludf.DUMMYFUNCTION("""COMPUTED_VALUE"""),"Philippines.VidVTV.PTATT_XuBen.5018_MES_HuyNV_210921")</f>
        <v>Philippines.VidVTV.PTATT_XuBen.5018_MES_HuyNV_210921</v>
      </c>
      <c r="R206" s="54" t="str">
        <f>IFERROR(__xludf.DUMMYFUNCTION("""COMPUTED_VALUE"""),"NEW_Philippines_1865_none_210921")</f>
        <v>NEW_Philippines_1865_none_210921</v>
      </c>
      <c r="S206" s="54" t="str">
        <f>IFERROR(__xludf.DUMMYFUNCTION("""COMPUTED_VALUE"""),"saletructiep_Philippines.VidVTV.PTATT_PTATT_LD005")</f>
        <v>saletructiep_Philippines.VidVTV.PTATT_PTATT_LD005</v>
      </c>
      <c r="T206" s="54"/>
      <c r="U206" s="56"/>
    </row>
    <row r="207">
      <c r="A207" s="66">
        <v>111021.0</v>
      </c>
      <c r="B207" s="73" t="s">
        <v>166</v>
      </c>
      <c r="C207" s="54" t="str">
        <f>IFERROR(__xludf.DUMMYFUNCTION("""COMPUTED_VALUE"""),"LD005")</f>
        <v>LD005</v>
      </c>
      <c r="D207" s="73" t="s">
        <v>42</v>
      </c>
      <c r="E207" s="73" t="s">
        <v>79</v>
      </c>
      <c r="F207" s="55" t="s">
        <v>182</v>
      </c>
      <c r="G207" s="73">
        <v>1865.0</v>
      </c>
      <c r="H207" s="73" t="s">
        <v>75</v>
      </c>
      <c r="I207" s="55" t="s">
        <v>534</v>
      </c>
      <c r="J207" s="55" t="s">
        <v>534</v>
      </c>
      <c r="K207" s="73" t="s">
        <v>61</v>
      </c>
      <c r="L207" s="73" t="s">
        <v>317</v>
      </c>
      <c r="M207" s="73" t="s">
        <v>78</v>
      </c>
      <c r="N207" s="73" t="s">
        <v>79</v>
      </c>
      <c r="O207" s="73" t="s">
        <v>224</v>
      </c>
      <c r="P207" s="73" t="s">
        <v>110</v>
      </c>
      <c r="Q207" s="54" t="str">
        <f>IFERROR(__xludf.DUMMYFUNCTION("""COMPUTED_VALUE"""),"Malaysia.VidVTV.PTATT_XuBen.5018_MES_HuyNV_111021")</f>
        <v>Malaysia.VidVTV.PTATT_XuBen.5018_MES_HuyNV_111021</v>
      </c>
      <c r="R207" s="54" t="str">
        <f>IFERROR(__xludf.DUMMYFUNCTION("""COMPUTED_VALUE"""),"NEW_Malaysia_1865_none_111021")</f>
        <v>NEW_Malaysia_1865_none_111021</v>
      </c>
      <c r="S207" s="54" t="str">
        <f>IFERROR(__xludf.DUMMYFUNCTION("""COMPUTED_VALUE"""),"saletructiep_Malaysia.VidVTV.PTATT_PTATT_LD005")</f>
        <v>saletructiep_Malaysia.VidVTV.PTATT_PTATT_LD005</v>
      </c>
      <c r="T207" s="54"/>
      <c r="U207" s="56"/>
    </row>
    <row r="208">
      <c r="A208" s="66">
        <v>181021.0</v>
      </c>
      <c r="B208" s="73" t="s">
        <v>166</v>
      </c>
      <c r="C208" s="54" t="str">
        <f>IFERROR(__xludf.DUMMYFUNCTION("""COMPUTED_VALUE"""),"LD005")</f>
        <v>LD005</v>
      </c>
      <c r="D208" s="73" t="s">
        <v>42</v>
      </c>
      <c r="E208" s="73" t="s">
        <v>79</v>
      </c>
      <c r="F208" s="55" t="s">
        <v>274</v>
      </c>
      <c r="G208" s="73">
        <v>1865.0</v>
      </c>
      <c r="H208" s="73" t="s">
        <v>75</v>
      </c>
      <c r="I208" s="55" t="s">
        <v>536</v>
      </c>
      <c r="J208" s="55" t="s">
        <v>536</v>
      </c>
      <c r="K208" s="73" t="s">
        <v>61</v>
      </c>
      <c r="L208" s="73" t="s">
        <v>317</v>
      </c>
      <c r="M208" s="73" t="s">
        <v>78</v>
      </c>
      <c r="N208" s="55" t="s">
        <v>69</v>
      </c>
      <c r="O208" s="73" t="s">
        <v>224</v>
      </c>
      <c r="P208" s="73" t="s">
        <v>110</v>
      </c>
      <c r="Q208" s="54" t="str">
        <f>IFERROR(__xludf.DUMMYFUNCTION("""COMPUTED_VALUE"""),"UnitedKingdom.VidVTV.PTATT_XuBen.5018_CVS_HuyNV_181021")</f>
        <v>UnitedKingdom.VidVTV.PTATT_XuBen.5018_CVS_HuyNV_181021</v>
      </c>
      <c r="R208" s="54" t="str">
        <f>IFERROR(__xludf.DUMMYFUNCTION("""COMPUTED_VALUE"""),"NEW_UnitedKingdom_1865_none_181021")</f>
        <v>NEW_UnitedKingdom_1865_none_181021</v>
      </c>
      <c r="S208" s="54" t="str">
        <f>IFERROR(__xludf.DUMMYFUNCTION("""COMPUTED_VALUE"""),"saletructiep_UnitedKingdom.VidVTV.PTATT_PTATT_LD005")</f>
        <v>saletructiep_UnitedKingdom.VidVTV.PTATT_PTATT_LD005</v>
      </c>
      <c r="T208" s="54"/>
      <c r="U208" s="56"/>
    </row>
    <row r="209">
      <c r="A209" s="66">
        <v>221021.0</v>
      </c>
      <c r="B209" s="61" t="s">
        <v>206</v>
      </c>
      <c r="C209" s="54" t="str">
        <f>IFERROR(__xludf.DUMMYFUNCTION("""COMPUTED_VALUE"""),"LD044")</f>
        <v>LD044</v>
      </c>
      <c r="D209" s="55" t="s">
        <v>537</v>
      </c>
      <c r="E209" s="55" t="s">
        <v>538</v>
      </c>
      <c r="F209" s="55" t="s">
        <v>539</v>
      </c>
      <c r="G209" s="55">
        <v>2865.0</v>
      </c>
      <c r="H209" s="55" t="s">
        <v>540</v>
      </c>
      <c r="I209" s="55" t="s">
        <v>541</v>
      </c>
      <c r="J209" s="55" t="s">
        <v>542</v>
      </c>
      <c r="K209" s="73" t="s">
        <v>61</v>
      </c>
      <c r="L209" s="55" t="s">
        <v>70</v>
      </c>
      <c r="M209" s="55" t="s">
        <v>116</v>
      </c>
      <c r="N209" s="55" t="s">
        <v>70</v>
      </c>
      <c r="O209" s="55" t="s">
        <v>70</v>
      </c>
      <c r="P209" s="55" t="s">
        <v>72</v>
      </c>
      <c r="Q209" s="54" t="str">
        <f>IFERROR(__xludf.DUMMYFUNCTION("""COMPUTED_VALUE"""),"WelcomeSeries2021_NON_NON_HaNV_221021")</f>
        <v>WelcomeSeries2021_NON_NON_HaNV_221021</v>
      </c>
      <c r="R209" s="54" t="str">
        <f>IFERROR(__xludf.DUMMYFUNCTION("""COMPUTED_VALUE"""),"RMK_ALL_2865_none_221021")</f>
        <v>RMK_ALL_2865_none_221021</v>
      </c>
      <c r="S209" s="54" t="str">
        <f>IFERROR(__xludf.DUMMYFUNCTION("""COMPUTED_VALUE"""),"khac_WelcomeSeries2021.List1600_NON_LD044")</f>
        <v>khac_WelcomeSeries2021.List1600_NON_LD044</v>
      </c>
      <c r="T209" s="54"/>
      <c r="U209" s="56"/>
    </row>
    <row r="210">
      <c r="A210" s="77">
        <v>221021.0</v>
      </c>
      <c r="B210" s="73" t="s">
        <v>206</v>
      </c>
      <c r="C210" s="54" t="str">
        <f>IFERROR(__xludf.DUMMYFUNCTION("""COMPUTED_VALUE"""),"LD044")</f>
        <v>LD044</v>
      </c>
      <c r="D210" s="73" t="s">
        <v>537</v>
      </c>
      <c r="E210" s="73" t="s">
        <v>538</v>
      </c>
      <c r="F210" s="73" t="s">
        <v>539</v>
      </c>
      <c r="G210" s="73">
        <v>2865.0</v>
      </c>
      <c r="H210" s="73" t="s">
        <v>540</v>
      </c>
      <c r="I210" s="73" t="s">
        <v>541</v>
      </c>
      <c r="J210" s="55" t="s">
        <v>544</v>
      </c>
      <c r="K210" s="73" t="s">
        <v>61</v>
      </c>
      <c r="L210" s="73" t="s">
        <v>70</v>
      </c>
      <c r="M210" s="73" t="s">
        <v>116</v>
      </c>
      <c r="N210" s="73" t="s">
        <v>70</v>
      </c>
      <c r="O210" s="73" t="s">
        <v>70</v>
      </c>
      <c r="P210" s="73" t="s">
        <v>72</v>
      </c>
      <c r="Q210" s="54" t="str">
        <f>IFERROR(__xludf.DUMMYFUNCTION("""COMPUTED_VALUE"""),"WelcomeSeries2021_NON_NON_HaNV_221021")</f>
        <v>WelcomeSeries2021_NON_NON_HaNV_221021</v>
      </c>
      <c r="R210" s="54" t="str">
        <f>IFERROR(__xludf.DUMMYFUNCTION("""COMPUTED_VALUE"""),"RMK_ALL_2865_none_221021")</f>
        <v>RMK_ALL_2865_none_221021</v>
      </c>
      <c r="S210" s="54" t="str">
        <f>IFERROR(__xludf.DUMMYFUNCTION("""COMPUTED_VALUE"""),"khac_WelcomeSeries2021.List3200.Email1_NON_LD044")</f>
        <v>khac_WelcomeSeries2021.List3200.Email1_NON_LD044</v>
      </c>
      <c r="T210" s="54"/>
      <c r="U210" s="56"/>
    </row>
    <row r="211">
      <c r="A211" s="64" t="s">
        <v>545</v>
      </c>
      <c r="B211" s="73" t="s">
        <v>166</v>
      </c>
      <c r="C211" s="54" t="str">
        <f>IFERROR(__xludf.DUMMYFUNCTION("""COMPUTED_VALUE"""),"LD005")</f>
        <v>LD005</v>
      </c>
      <c r="D211" s="73" t="s">
        <v>42</v>
      </c>
      <c r="E211" s="73" t="s">
        <v>79</v>
      </c>
      <c r="F211" s="55" t="s">
        <v>274</v>
      </c>
      <c r="G211" s="73">
        <v>1865.0</v>
      </c>
      <c r="H211" s="73" t="s">
        <v>75</v>
      </c>
      <c r="I211" s="55" t="s">
        <v>546</v>
      </c>
      <c r="J211" s="55" t="s">
        <v>546</v>
      </c>
      <c r="K211" s="73" t="s">
        <v>61</v>
      </c>
      <c r="L211" s="73" t="s">
        <v>317</v>
      </c>
      <c r="M211" s="73" t="s">
        <v>78</v>
      </c>
      <c r="N211" s="73" t="s">
        <v>79</v>
      </c>
      <c r="O211" s="73" t="s">
        <v>224</v>
      </c>
      <c r="P211" s="73" t="s">
        <v>110</v>
      </c>
      <c r="Q211" s="54" t="str">
        <f>IFERROR(__xludf.DUMMYFUNCTION("""COMPUTED_VALUE"""),"HongKong.H4TrungTam.PTATT_XuBen.5018_MES_HuyNV_091121")</f>
        <v>HongKong.H4TrungTam.PTATT_XuBen.5018_MES_HuyNV_091121</v>
      </c>
      <c r="R211" s="54" t="str">
        <f>IFERROR(__xludf.DUMMYFUNCTION("""COMPUTED_VALUE"""),"NEW_UnitedKingdom_1865_none_091121")</f>
        <v>NEW_UnitedKingdom_1865_none_091121</v>
      </c>
      <c r="S211" s="54" t="str">
        <f>IFERROR(__xludf.DUMMYFUNCTION("""COMPUTED_VALUE"""),"saletructiep_HongKong.H4TrungTam.PTATT_PTATT_LD005")</f>
        <v>saletructiep_HongKong.H4TrungTam.PTATT_PTATT_LD005</v>
      </c>
      <c r="T211" s="54"/>
      <c r="U211" s="56"/>
    </row>
    <row r="212">
      <c r="A212" s="64" t="s">
        <v>545</v>
      </c>
      <c r="B212" s="73" t="s">
        <v>166</v>
      </c>
      <c r="C212" s="54" t="str">
        <f>IFERROR(__xludf.DUMMYFUNCTION("""COMPUTED_VALUE"""),"LD005")</f>
        <v>LD005</v>
      </c>
      <c r="D212" s="73" t="s">
        <v>42</v>
      </c>
      <c r="E212" s="73" t="s">
        <v>79</v>
      </c>
      <c r="F212" s="55" t="s">
        <v>162</v>
      </c>
      <c r="G212" s="73">
        <v>1865.0</v>
      </c>
      <c r="H212" s="73" t="s">
        <v>75</v>
      </c>
      <c r="I212" s="55" t="s">
        <v>547</v>
      </c>
      <c r="J212" s="55" t="s">
        <v>547</v>
      </c>
      <c r="K212" s="73" t="s">
        <v>61</v>
      </c>
      <c r="L212" s="73" t="s">
        <v>317</v>
      </c>
      <c r="M212" s="73" t="s">
        <v>78</v>
      </c>
      <c r="N212" s="73" t="s">
        <v>79</v>
      </c>
      <c r="O212" s="73" t="s">
        <v>224</v>
      </c>
      <c r="P212" s="73" t="s">
        <v>110</v>
      </c>
      <c r="Q212" s="54" t="str">
        <f>IFERROR(__xludf.DUMMYFUNCTION("""COMPUTED_VALUE"""),"Singapore.H4TrungTam.PTATT_XuBen.5018_MES_HuyNV_091121")</f>
        <v>Singapore.H4TrungTam.PTATT_XuBen.5018_MES_HuyNV_091121</v>
      </c>
      <c r="R212" s="54" t="str">
        <f>IFERROR(__xludf.DUMMYFUNCTION("""COMPUTED_VALUE"""),"NEW_Singapore_1865_none_091121")</f>
        <v>NEW_Singapore_1865_none_091121</v>
      </c>
      <c r="S212" s="54" t="str">
        <f>IFERROR(__xludf.DUMMYFUNCTION("""COMPUTED_VALUE"""),"saletructiep_Singapore.H4TrungTam.PTATT_PTATT_LD005")</f>
        <v>saletructiep_Singapore.H4TrungTam.PTATT_PTATT_LD005</v>
      </c>
      <c r="T212" s="54"/>
      <c r="U212" s="56"/>
    </row>
    <row r="213">
      <c r="A213" s="64" t="s">
        <v>545</v>
      </c>
      <c r="B213" s="73" t="s">
        <v>166</v>
      </c>
      <c r="C213" s="54" t="str">
        <f>IFERROR(__xludf.DUMMYFUNCTION("""COMPUTED_VALUE"""),"LD005")</f>
        <v>LD005</v>
      </c>
      <c r="D213" s="73" t="s">
        <v>42</v>
      </c>
      <c r="E213" s="73" t="s">
        <v>79</v>
      </c>
      <c r="F213" s="55" t="s">
        <v>549</v>
      </c>
      <c r="G213" s="73">
        <v>1865.0</v>
      </c>
      <c r="H213" s="73" t="s">
        <v>75</v>
      </c>
      <c r="I213" s="55" t="s">
        <v>550</v>
      </c>
      <c r="J213" s="55" t="s">
        <v>550</v>
      </c>
      <c r="K213" s="73" t="s">
        <v>61</v>
      </c>
      <c r="L213" s="73" t="s">
        <v>317</v>
      </c>
      <c r="M213" s="73" t="s">
        <v>78</v>
      </c>
      <c r="N213" s="73" t="s">
        <v>79</v>
      </c>
      <c r="O213" s="73" t="s">
        <v>224</v>
      </c>
      <c r="P213" s="73" t="s">
        <v>110</v>
      </c>
      <c r="Q213" s="54" t="str">
        <f>IFERROR(__xludf.DUMMYFUNCTION("""COMPUTED_VALUE"""),"Kazakhstan.H4TrungTam.PTATT_XuBen.5018_MES_HuyNV_091121")</f>
        <v>Kazakhstan.H4TrungTam.PTATT_XuBen.5018_MES_HuyNV_091121</v>
      </c>
      <c r="R213" s="54" t="str">
        <f>IFERROR(__xludf.DUMMYFUNCTION("""COMPUTED_VALUE"""),"NEW_Kazakhstan_1865_none_091121")</f>
        <v>NEW_Kazakhstan_1865_none_091121</v>
      </c>
      <c r="S213" s="54" t="str">
        <f>IFERROR(__xludf.DUMMYFUNCTION("""COMPUTED_VALUE"""),"saletructiep_Kazakhstan.H4TrungTam.PTATT_PTATT_LD005")</f>
        <v>saletructiep_Kazakhstan.H4TrungTam.PTATT_PTATT_LD005</v>
      </c>
      <c r="T213" s="54"/>
      <c r="U213" s="56"/>
    </row>
    <row r="214">
      <c r="A214" s="64" t="s">
        <v>545</v>
      </c>
      <c r="B214" s="73" t="s">
        <v>166</v>
      </c>
      <c r="C214" s="54" t="str">
        <f>IFERROR(__xludf.DUMMYFUNCTION("""COMPUTED_VALUE"""),"LD005")</f>
        <v>LD005</v>
      </c>
      <c r="D214" s="73" t="s">
        <v>42</v>
      </c>
      <c r="E214" s="73" t="s">
        <v>79</v>
      </c>
      <c r="F214" s="55" t="s">
        <v>488</v>
      </c>
      <c r="G214" s="73">
        <v>1865.0</v>
      </c>
      <c r="H214" s="73" t="s">
        <v>75</v>
      </c>
      <c r="I214" s="55" t="s">
        <v>552</v>
      </c>
      <c r="J214" s="55" t="s">
        <v>552</v>
      </c>
      <c r="K214" s="73" t="s">
        <v>61</v>
      </c>
      <c r="L214" s="73" t="s">
        <v>317</v>
      </c>
      <c r="M214" s="73" t="s">
        <v>78</v>
      </c>
      <c r="N214" s="73" t="s">
        <v>79</v>
      </c>
      <c r="O214" s="73" t="s">
        <v>224</v>
      </c>
      <c r="P214" s="73" t="s">
        <v>110</v>
      </c>
      <c r="Q214" s="54" t="str">
        <f>IFERROR(__xludf.DUMMYFUNCTION("""COMPUTED_VALUE"""),"Thailand.H4TrungTam.PTATT_XuBen.5018_MES_HuyNV_091121")</f>
        <v>Thailand.H4TrungTam.PTATT_XuBen.5018_MES_HuyNV_091121</v>
      </c>
      <c r="R214" s="54" t="str">
        <f>IFERROR(__xludf.DUMMYFUNCTION("""COMPUTED_VALUE"""),"NEW_Thailand_1865_none_091121")</f>
        <v>NEW_Thailand_1865_none_091121</v>
      </c>
      <c r="S214" s="54" t="str">
        <f>IFERROR(__xludf.DUMMYFUNCTION("""COMPUTED_VALUE"""),"saletructiep_Thailand.H4TrungTam.PTATT_PTATT_LD005")</f>
        <v>saletructiep_Thailand.H4TrungTam.PTATT_PTATT_LD005</v>
      </c>
      <c r="T214" s="54"/>
      <c r="U214" s="56"/>
    </row>
    <row r="215">
      <c r="A215" s="80" t="s">
        <v>545</v>
      </c>
      <c r="B215" s="73" t="s">
        <v>166</v>
      </c>
      <c r="C215" s="54" t="str">
        <f>IFERROR(__xludf.DUMMYFUNCTION("""COMPUTED_VALUE"""),"LD005")</f>
        <v>LD005</v>
      </c>
      <c r="D215" s="73" t="s">
        <v>42</v>
      </c>
      <c r="E215" s="73" t="s">
        <v>79</v>
      </c>
      <c r="F215" s="55" t="s">
        <v>280</v>
      </c>
      <c r="G215" s="73">
        <v>1865.0</v>
      </c>
      <c r="H215" s="73" t="s">
        <v>75</v>
      </c>
      <c r="I215" s="55" t="s">
        <v>553</v>
      </c>
      <c r="J215" s="73" t="s">
        <v>553</v>
      </c>
      <c r="K215" s="73" t="s">
        <v>61</v>
      </c>
      <c r="L215" s="73" t="s">
        <v>317</v>
      </c>
      <c r="M215" s="73" t="s">
        <v>78</v>
      </c>
      <c r="N215" s="73" t="s">
        <v>79</v>
      </c>
      <c r="O215" s="73" t="s">
        <v>224</v>
      </c>
      <c r="P215" s="73" t="s">
        <v>110</v>
      </c>
      <c r="Q215" s="54" t="str">
        <f>IFERROR(__xludf.DUMMYFUNCTION("""COMPUTED_VALUE"""),"Indonesia.H4TrungTam.PTATT_XuBen.5018_MES_HuyNV_091121")</f>
        <v>Indonesia.H4TrungTam.PTATT_XuBen.5018_MES_HuyNV_091121</v>
      </c>
      <c r="R215" s="54" t="str">
        <f>IFERROR(__xludf.DUMMYFUNCTION("""COMPUTED_VALUE"""),"NEW_Indonesia_1865_none_091121")</f>
        <v>NEW_Indonesia_1865_none_091121</v>
      </c>
      <c r="S215" s="54" t="str">
        <f>IFERROR(__xludf.DUMMYFUNCTION("""COMPUTED_VALUE"""),"saletructiep_Indonesia.H4TrungTam.PTATT_PTATT_LD005")</f>
        <v>saletructiep_Indonesia.H4TrungTam.PTATT_PTATT_LD005</v>
      </c>
      <c r="T215" s="54"/>
      <c r="U215" s="56"/>
    </row>
    <row r="216">
      <c r="A216" s="82" t="s">
        <v>554</v>
      </c>
      <c r="B216" s="73" t="s">
        <v>166</v>
      </c>
      <c r="C216" s="54" t="str">
        <f>IFERROR(__xludf.DUMMYFUNCTION("""COMPUTED_VALUE"""),"LD005")</f>
        <v>LD005</v>
      </c>
      <c r="D216" s="73" t="s">
        <v>42</v>
      </c>
      <c r="E216" s="73" t="s">
        <v>79</v>
      </c>
      <c r="F216" s="55" t="s">
        <v>112</v>
      </c>
      <c r="G216" s="73">
        <v>1865.0</v>
      </c>
      <c r="H216" s="73" t="s">
        <v>75</v>
      </c>
      <c r="I216" s="55" t="s">
        <v>555</v>
      </c>
      <c r="J216" s="55" t="s">
        <v>555</v>
      </c>
      <c r="K216" s="73" t="s">
        <v>61</v>
      </c>
      <c r="L216" s="73" t="s">
        <v>317</v>
      </c>
      <c r="M216" s="73" t="s">
        <v>78</v>
      </c>
      <c r="N216" s="73" t="s">
        <v>79</v>
      </c>
      <c r="O216" s="73" t="s">
        <v>224</v>
      </c>
      <c r="P216" s="73" t="s">
        <v>110</v>
      </c>
      <c r="Q216" s="54" t="str">
        <f>IFERROR(__xludf.DUMMYFUNCTION("""COMPUTED_VALUE"""),"Canada.H4TrungTam.PTATT_XuBen.5018_MES_HuyNV_121121")</f>
        <v>Canada.H4TrungTam.PTATT_XuBen.5018_MES_HuyNV_121121</v>
      </c>
      <c r="R216" s="54" t="str">
        <f>IFERROR(__xludf.DUMMYFUNCTION("""COMPUTED_VALUE"""),"NEW_Canada_1865_none_121121")</f>
        <v>NEW_Canada_1865_none_121121</v>
      </c>
      <c r="S216" s="54" t="str">
        <f>IFERROR(__xludf.DUMMYFUNCTION("""COMPUTED_VALUE"""),"saletructiep_Canada.H4TrungTam.PTATT_PTATT_LD005")</f>
        <v>saletructiep_Canada.H4TrungTam.PTATT_PTATT_LD005</v>
      </c>
      <c r="T216" s="54"/>
      <c r="U216" s="56"/>
    </row>
    <row r="217">
      <c r="A217" s="82" t="s">
        <v>554</v>
      </c>
      <c r="B217" s="73" t="s">
        <v>166</v>
      </c>
      <c r="C217" s="54" t="str">
        <f>IFERROR(__xludf.DUMMYFUNCTION("""COMPUTED_VALUE"""),"LD005")</f>
        <v>LD005</v>
      </c>
      <c r="D217" s="73" t="s">
        <v>42</v>
      </c>
      <c r="E217" s="73" t="s">
        <v>79</v>
      </c>
      <c r="F217" s="55" t="s">
        <v>397</v>
      </c>
      <c r="G217" s="73">
        <v>1865.0</v>
      </c>
      <c r="H217" s="73" t="s">
        <v>75</v>
      </c>
      <c r="I217" s="55" t="s">
        <v>557</v>
      </c>
      <c r="J217" s="73" t="s">
        <v>557</v>
      </c>
      <c r="K217" s="73" t="s">
        <v>61</v>
      </c>
      <c r="L217" s="73" t="s">
        <v>317</v>
      </c>
      <c r="M217" s="73" t="s">
        <v>78</v>
      </c>
      <c r="N217" s="73" t="s">
        <v>79</v>
      </c>
      <c r="O217" s="73" t="s">
        <v>224</v>
      </c>
      <c r="P217" s="73" t="s">
        <v>110</v>
      </c>
      <c r="Q217" s="54" t="str">
        <f>IFERROR(__xludf.DUMMYFUNCTION("""COMPUTED_VALUE"""),"UnitedArabEmirates.H4TrungTam.PTATT_XuBen.5018_MES_HuyNV_121121")</f>
        <v>UnitedArabEmirates.H4TrungTam.PTATT_XuBen.5018_MES_HuyNV_121121</v>
      </c>
      <c r="R217" s="54" t="str">
        <f>IFERROR(__xludf.DUMMYFUNCTION("""COMPUTED_VALUE"""),"NEW_UnitedArabEmirates_1865_none_121121")</f>
        <v>NEW_UnitedArabEmirates_1865_none_121121</v>
      </c>
      <c r="S217" s="54" t="str">
        <f>IFERROR(__xludf.DUMMYFUNCTION("""COMPUTED_VALUE"""),"saletructiep_UnitedArabEmirates.H4TrungTam.PTATT_PTATT_LD005")</f>
        <v>saletructiep_UnitedArabEmirates.H4TrungTam.PTATT_PTATT_LD005</v>
      </c>
      <c r="T217" s="54"/>
      <c r="U217" s="56"/>
    </row>
    <row r="218">
      <c r="A218" s="82" t="s">
        <v>554</v>
      </c>
      <c r="B218" s="73" t="s">
        <v>166</v>
      </c>
      <c r="C218" s="54" t="str">
        <f>IFERROR(__xludf.DUMMYFUNCTION("""COMPUTED_VALUE"""),"LD005")</f>
        <v>LD005</v>
      </c>
      <c r="D218" s="73" t="s">
        <v>42</v>
      </c>
      <c r="E218" s="73" t="s">
        <v>79</v>
      </c>
      <c r="F218" s="55" t="s">
        <v>272</v>
      </c>
      <c r="G218" s="73">
        <v>1865.0</v>
      </c>
      <c r="H218" s="73" t="s">
        <v>75</v>
      </c>
      <c r="I218" s="55" t="s">
        <v>558</v>
      </c>
      <c r="J218" s="73" t="s">
        <v>558</v>
      </c>
      <c r="K218" s="73" t="s">
        <v>61</v>
      </c>
      <c r="L218" s="73" t="s">
        <v>317</v>
      </c>
      <c r="M218" s="73" t="s">
        <v>78</v>
      </c>
      <c r="N218" s="73" t="s">
        <v>79</v>
      </c>
      <c r="O218" s="73" t="s">
        <v>224</v>
      </c>
      <c r="P218" s="73" t="s">
        <v>110</v>
      </c>
      <c r="Q218" s="54" t="str">
        <f>IFERROR(__xludf.DUMMYFUNCTION("""COMPUTED_VALUE"""),"France.H4TrungTam.PTATT_XuBen.5018_MES_HuyNV_121121")</f>
        <v>France.H4TrungTam.PTATT_XuBen.5018_MES_HuyNV_121121</v>
      </c>
      <c r="R218" s="54" t="str">
        <f>IFERROR(__xludf.DUMMYFUNCTION("""COMPUTED_VALUE"""),"NEW_France_1865_none_121121")</f>
        <v>NEW_France_1865_none_121121</v>
      </c>
      <c r="S218" s="54" t="str">
        <f>IFERROR(__xludf.DUMMYFUNCTION("""COMPUTED_VALUE"""),"saletructiep_France.H4TrungTam.PTATT_PTATT_LD005")</f>
        <v>saletructiep_France.H4TrungTam.PTATT_PTATT_LD005</v>
      </c>
      <c r="T218" s="54"/>
      <c r="U218" s="56"/>
    </row>
    <row r="219">
      <c r="A219" s="80" t="s">
        <v>554</v>
      </c>
      <c r="B219" s="73" t="s">
        <v>166</v>
      </c>
      <c r="C219" s="54" t="str">
        <f>IFERROR(__xludf.DUMMYFUNCTION("""COMPUTED_VALUE"""),"LD005")</f>
        <v>LD005</v>
      </c>
      <c r="D219" s="73" t="s">
        <v>42</v>
      </c>
      <c r="E219" s="73" t="s">
        <v>79</v>
      </c>
      <c r="F219" s="55" t="s">
        <v>258</v>
      </c>
      <c r="G219" s="73">
        <v>1865.0</v>
      </c>
      <c r="H219" s="73" t="s">
        <v>75</v>
      </c>
      <c r="I219" s="55" t="s">
        <v>559</v>
      </c>
      <c r="J219" s="73" t="s">
        <v>559</v>
      </c>
      <c r="K219" s="73" t="s">
        <v>61</v>
      </c>
      <c r="L219" s="73" t="s">
        <v>317</v>
      </c>
      <c r="M219" s="73" t="s">
        <v>78</v>
      </c>
      <c r="N219" s="73" t="s">
        <v>79</v>
      </c>
      <c r="O219" s="73" t="s">
        <v>224</v>
      </c>
      <c r="P219" s="73" t="s">
        <v>110</v>
      </c>
      <c r="Q219" s="54" t="str">
        <f>IFERROR(__xludf.DUMMYFUNCTION("""COMPUTED_VALUE"""),"Germany.H4TrungTam.PTATT_XuBen.5018_MES_HuyNV_121121")</f>
        <v>Germany.H4TrungTam.PTATT_XuBen.5018_MES_HuyNV_121121</v>
      </c>
      <c r="R219" s="54" t="str">
        <f>IFERROR(__xludf.DUMMYFUNCTION("""COMPUTED_VALUE"""),"NEW_Germany_1865_none_121121")</f>
        <v>NEW_Germany_1865_none_121121</v>
      </c>
      <c r="S219" s="54" t="str">
        <f>IFERROR(__xludf.DUMMYFUNCTION("""COMPUTED_VALUE"""),"saletructiep_Germany.H4TrungTam.PTATT_PTATT_LD005")</f>
        <v>saletructiep_Germany.H4TrungTam.PTATT_PTATT_LD005</v>
      </c>
      <c r="T219" s="54"/>
      <c r="U219" s="56"/>
    </row>
    <row r="220">
      <c r="A220" s="64" t="s">
        <v>561</v>
      </c>
      <c r="B220" s="73" t="s">
        <v>166</v>
      </c>
      <c r="C220" s="54" t="str">
        <f>IFERROR(__xludf.DUMMYFUNCTION("""COMPUTED_VALUE"""),"LD005")</f>
        <v>LD005</v>
      </c>
      <c r="D220" s="73" t="s">
        <v>42</v>
      </c>
      <c r="E220" s="73" t="s">
        <v>79</v>
      </c>
      <c r="F220" s="55" t="s">
        <v>274</v>
      </c>
      <c r="G220" s="73">
        <v>1865.0</v>
      </c>
      <c r="H220" s="73" t="s">
        <v>75</v>
      </c>
      <c r="I220" s="55" t="s">
        <v>562</v>
      </c>
      <c r="J220" s="55" t="s">
        <v>562</v>
      </c>
      <c r="K220" s="73" t="s">
        <v>61</v>
      </c>
      <c r="L220" s="73" t="s">
        <v>317</v>
      </c>
      <c r="M220" s="73" t="s">
        <v>78</v>
      </c>
      <c r="N220" s="73" t="s">
        <v>79</v>
      </c>
      <c r="O220" s="73" t="s">
        <v>224</v>
      </c>
      <c r="P220" s="73" t="s">
        <v>110</v>
      </c>
      <c r="Q220" s="54" t="str">
        <f>IFERROR(__xludf.DUMMYFUNCTION("""COMPUTED_VALUE"""),"UnitedKingdom.H4TrungTam.PTATT_XuBen.5018_MES_HuyNV_131121")</f>
        <v>UnitedKingdom.H4TrungTam.PTATT_XuBen.5018_MES_HuyNV_131121</v>
      </c>
      <c r="R220" s="54" t="str">
        <f>IFERROR(__xludf.DUMMYFUNCTION("""COMPUTED_VALUE"""),"NEW_UnitedKingdom_1865_none_131121")</f>
        <v>NEW_UnitedKingdom_1865_none_131121</v>
      </c>
      <c r="S220" s="54" t="str">
        <f>IFERROR(__xludf.DUMMYFUNCTION("""COMPUTED_VALUE"""),"saletructiep_UnitedKingdom.H4TrungTam.PTATT_PTATT_LD005")</f>
        <v>saletructiep_UnitedKingdom.H4TrungTam.PTATT_PTATT_LD005</v>
      </c>
      <c r="T220" s="54"/>
      <c r="U220" s="56"/>
    </row>
    <row r="221">
      <c r="A221" s="66">
        <v>161121.0</v>
      </c>
      <c r="B221" s="61" t="s">
        <v>83</v>
      </c>
      <c r="C221" s="54" t="str">
        <f>IFERROR(__xludf.DUMMYFUNCTION("""COMPUTED_VALUE"""),"LD008")</f>
        <v>LD008</v>
      </c>
      <c r="D221" s="55" t="s">
        <v>42</v>
      </c>
      <c r="E221" s="55" t="s">
        <v>563</v>
      </c>
      <c r="F221" s="55" t="s">
        <v>199</v>
      </c>
      <c r="G221" s="55">
        <v>1825.0</v>
      </c>
      <c r="H221" s="55" t="s">
        <v>91</v>
      </c>
      <c r="I221" s="61" t="s">
        <v>564</v>
      </c>
      <c r="J221" s="73" t="s">
        <v>566</v>
      </c>
      <c r="K221" s="55" t="s">
        <v>61</v>
      </c>
      <c r="L221" s="73" t="s">
        <v>317</v>
      </c>
      <c r="M221" s="55" t="s">
        <v>103</v>
      </c>
      <c r="N221" s="55" t="s">
        <v>563</v>
      </c>
      <c r="O221" s="55" t="s">
        <v>415</v>
      </c>
      <c r="P221" s="55" t="s">
        <v>110</v>
      </c>
      <c r="Q221" s="54" t="str">
        <f>IFERROR(__xludf.DUMMYFUNCTION("""COMPUTED_VALUE"""),"VietNam.kienthuc.TATTPVN_XuBen.5018_REC_DuyenNTM_161121")</f>
        <v>VietNam.kienthuc.TATTPVN_XuBen.5018_REC_DuyenNTM_161121</v>
      </c>
      <c r="R221" s="54" t="str">
        <f>IFERROR(__xludf.DUMMYFUNCTION("""COMPUTED_VALUE"""),"NEW_Vietnam_1825_none_161121")</f>
        <v>NEW_Vietnam_1825_none_161121</v>
      </c>
      <c r="S221" s="54" t="str">
        <f>IFERROR(__xludf.DUMMYFUNCTION("""COMPUTED_VALUE"""),"kienthuc_VietNam.kienthuc.TATTP_TATTPVN_LD008")</f>
        <v>kienthuc_VietNam.kienthuc.TATTP_TATTPVN_LD008</v>
      </c>
      <c r="T221" s="54"/>
      <c r="U221" s="56"/>
    </row>
    <row r="222">
      <c r="A222" s="66">
        <v>161121.0</v>
      </c>
      <c r="B222" s="61" t="s">
        <v>83</v>
      </c>
      <c r="C222" s="54" t="str">
        <f>IFERROR(__xludf.DUMMYFUNCTION("""COMPUTED_VALUE"""),"LD008")</f>
        <v>LD008</v>
      </c>
      <c r="D222" s="55" t="s">
        <v>42</v>
      </c>
      <c r="E222" s="55" t="s">
        <v>563</v>
      </c>
      <c r="F222" s="55" t="s">
        <v>199</v>
      </c>
      <c r="G222" s="55">
        <v>1825.0</v>
      </c>
      <c r="H222" s="55" t="s">
        <v>568</v>
      </c>
      <c r="I222" s="55" t="s">
        <v>569</v>
      </c>
      <c r="J222" s="73" t="s">
        <v>570</v>
      </c>
      <c r="K222" s="55" t="s">
        <v>61</v>
      </c>
      <c r="L222" s="73" t="s">
        <v>317</v>
      </c>
      <c r="M222" s="55" t="s">
        <v>103</v>
      </c>
      <c r="N222" s="55" t="s">
        <v>563</v>
      </c>
      <c r="O222" s="55" t="s">
        <v>415</v>
      </c>
      <c r="P222" s="55" t="s">
        <v>110</v>
      </c>
      <c r="Q222" s="54" t="str">
        <f>IFERROR(__xludf.DUMMYFUNCTION("""COMPUTED_VALUE"""),"Vietnam.kienthuc.TATTPVN_XuBen.5018_REC_LinhDK_161121")</f>
        <v>Vietnam.kienthuc.TATTPVN_XuBen.5018_REC_LinhDK_161121</v>
      </c>
      <c r="R222" s="54" t="str">
        <f>IFERROR(__xludf.DUMMYFUNCTION("""COMPUTED_VALUE"""),"NEW_Vietnam_1825_none_161121")</f>
        <v>NEW_Vietnam_1825_none_161121</v>
      </c>
      <c r="S222" s="54" t="str">
        <f>IFERROR(__xludf.DUMMYFUNCTION("""COMPUTED_VALUE"""),"kienthuc_Vietnam.kienthuc.TATTP_TATTPVN_LD008")</f>
        <v>kienthuc_Vietnam.kienthuc.TATTP_TATTPVN_LD008</v>
      </c>
      <c r="T222" s="54"/>
      <c r="U222" s="56"/>
    </row>
    <row r="223">
      <c r="A223" s="66">
        <v>181121.0</v>
      </c>
      <c r="B223" s="75" t="s">
        <v>83</v>
      </c>
      <c r="C223" s="54" t="str">
        <f>IFERROR(__xludf.DUMMYFUNCTION("""COMPUTED_VALUE"""),"LD008")</f>
        <v>LD008</v>
      </c>
      <c r="D223" s="55" t="s">
        <v>42</v>
      </c>
      <c r="E223" s="55" t="s">
        <v>313</v>
      </c>
      <c r="F223" s="55" t="s">
        <v>199</v>
      </c>
      <c r="G223" s="55">
        <v>1825.0</v>
      </c>
      <c r="H223" s="55" t="s">
        <v>568</v>
      </c>
      <c r="I223" s="55" t="s">
        <v>569</v>
      </c>
      <c r="J223" s="55" t="s">
        <v>569</v>
      </c>
      <c r="K223" s="55" t="s">
        <v>61</v>
      </c>
      <c r="L223" s="55" t="s">
        <v>317</v>
      </c>
      <c r="M223" s="55" t="s">
        <v>103</v>
      </c>
      <c r="N223" s="55" t="s">
        <v>313</v>
      </c>
      <c r="O223" s="55" t="s">
        <v>415</v>
      </c>
      <c r="P223" s="55" t="s">
        <v>110</v>
      </c>
      <c r="Q223" s="54" t="str">
        <f>IFERROR(__xludf.DUMMYFUNCTION("""COMPUTED_VALUE"""),"Vietnam.kienthuc.TATTPVN_XuBen.5018_ENG_LinhDK_181121")</f>
        <v>Vietnam.kienthuc.TATTPVN_XuBen.5018_ENG_LinhDK_181121</v>
      </c>
      <c r="R223" s="54" t="str">
        <f>IFERROR(__xludf.DUMMYFUNCTION("""COMPUTED_VALUE"""),"NEW_Vietnam_1825_none_181121")</f>
        <v>NEW_Vietnam_1825_none_181121</v>
      </c>
      <c r="S223" s="54" t="str">
        <f>IFERROR(__xludf.DUMMYFUNCTION("""COMPUTED_VALUE"""),"kienthuc_Vietnam.kienthuc.TATTPVN_TATTPVN_LD008")</f>
        <v>kienthuc_Vietnam.kienthuc.TATTPVN_TATTPVN_LD008</v>
      </c>
      <c r="T223" s="54"/>
      <c r="U223" s="56"/>
    </row>
    <row r="224">
      <c r="A224" s="66">
        <v>181121.0</v>
      </c>
      <c r="B224" s="75" t="s">
        <v>83</v>
      </c>
      <c r="C224" s="54" t="str">
        <f>IFERROR(__xludf.DUMMYFUNCTION("""COMPUTED_VALUE"""),"LD008")</f>
        <v>LD008</v>
      </c>
      <c r="D224" s="55" t="s">
        <v>42</v>
      </c>
      <c r="E224" s="55" t="s">
        <v>313</v>
      </c>
      <c r="F224" s="55" t="s">
        <v>199</v>
      </c>
      <c r="G224" s="55">
        <v>1825.0</v>
      </c>
      <c r="H224" s="55" t="s">
        <v>91</v>
      </c>
      <c r="I224" s="55" t="s">
        <v>569</v>
      </c>
      <c r="J224" s="55" t="s">
        <v>569</v>
      </c>
      <c r="K224" s="55" t="s">
        <v>61</v>
      </c>
      <c r="L224" s="55" t="s">
        <v>317</v>
      </c>
      <c r="M224" s="55" t="s">
        <v>103</v>
      </c>
      <c r="N224" s="55" t="s">
        <v>313</v>
      </c>
      <c r="O224" s="55" t="s">
        <v>415</v>
      </c>
      <c r="P224" s="55" t="s">
        <v>110</v>
      </c>
      <c r="Q224" s="54" t="str">
        <f>IFERROR(__xludf.DUMMYFUNCTION("""COMPUTED_VALUE"""),"Vietnam.kienthuc.TATTPVN_XuBen.5018_ENG_DuyenNTM_181121")</f>
        <v>Vietnam.kienthuc.TATTPVN_XuBen.5018_ENG_DuyenNTM_181121</v>
      </c>
      <c r="R224" s="54" t="str">
        <f>IFERROR(__xludf.DUMMYFUNCTION("""COMPUTED_VALUE"""),"NEW_Vietnam_1825_none_181121")</f>
        <v>NEW_Vietnam_1825_none_181121</v>
      </c>
      <c r="S224" s="54" t="str">
        <f>IFERROR(__xludf.DUMMYFUNCTION("""COMPUTED_VALUE"""),"kienthuc_Vietnam.kienthuc.TATTPVN_TATTPVN_LD008")</f>
        <v>kienthuc_Vietnam.kienthuc.TATTPVN_TATTPVN_LD008</v>
      </c>
      <c r="T224" s="54"/>
      <c r="U224" s="56"/>
    </row>
    <row r="225">
      <c r="A225" s="66">
        <v>191121.0</v>
      </c>
      <c r="B225" s="61" t="s">
        <v>350</v>
      </c>
      <c r="C225" s="54" t="str">
        <f>IFERROR(__xludf.DUMMYFUNCTION("""COMPUTED_VALUE"""),"LD020")</f>
        <v>LD020</v>
      </c>
      <c r="D225" s="55" t="s">
        <v>42</v>
      </c>
      <c r="E225" s="55" t="s">
        <v>125</v>
      </c>
      <c r="F225" s="55" t="s">
        <v>199</v>
      </c>
      <c r="G225" s="55">
        <v>1825.0</v>
      </c>
      <c r="H225" s="55" t="s">
        <v>568</v>
      </c>
      <c r="I225" s="55" t="s">
        <v>569</v>
      </c>
      <c r="J225" s="55" t="s">
        <v>569</v>
      </c>
      <c r="K225" s="55" t="s">
        <v>61</v>
      </c>
      <c r="L225" s="55" t="s">
        <v>317</v>
      </c>
      <c r="M225" s="55" t="s">
        <v>103</v>
      </c>
      <c r="N225" s="55" t="s">
        <v>125</v>
      </c>
      <c r="O225" s="55" t="s">
        <v>415</v>
      </c>
      <c r="P225" s="55" t="s">
        <v>110</v>
      </c>
      <c r="Q225" s="54" t="str">
        <f>IFERROR(__xludf.DUMMYFUNCTION("""COMPUTED_VALUE"""),"Vietnam.kienthuc.TATTPVN_XuBen.5018_CTW_LinhDK_191121")</f>
        <v>Vietnam.kienthuc.TATTPVN_XuBen.5018_CTW_LinhDK_191121</v>
      </c>
      <c r="R225" s="54" t="str">
        <f>IFERROR(__xludf.DUMMYFUNCTION("""COMPUTED_VALUE"""),"NEW_Vietnam_1825_none_191121")</f>
        <v>NEW_Vietnam_1825_none_191121</v>
      </c>
      <c r="S225" s="54" t="str">
        <f>IFERROR(__xludf.DUMMYFUNCTION("""COMPUTED_VALUE"""),"kienthuc_Vietnam.kienthuc.TATTPVN_TATTPVN_LD020")</f>
        <v>kienthuc_Vietnam.kienthuc.TATTPVN_TATTPVN_LD020</v>
      </c>
      <c r="T225" s="54"/>
      <c r="U225" s="56"/>
    </row>
    <row r="226">
      <c r="A226" s="66">
        <v>191121.0</v>
      </c>
      <c r="B226" s="61" t="s">
        <v>571</v>
      </c>
      <c r="C226" s="54" t="str">
        <f>IFERROR(__xludf.DUMMYFUNCTION("""COMPUTED_VALUE"""),"LD075")</f>
        <v>LD075</v>
      </c>
      <c r="D226" s="55" t="s">
        <v>42</v>
      </c>
      <c r="E226" s="55" t="s">
        <v>125</v>
      </c>
      <c r="F226" s="55" t="s">
        <v>199</v>
      </c>
      <c r="G226" s="55">
        <v>1825.0</v>
      </c>
      <c r="H226" s="55" t="s">
        <v>568</v>
      </c>
      <c r="I226" s="55" t="s">
        <v>572</v>
      </c>
      <c r="J226" s="55" t="s">
        <v>572</v>
      </c>
      <c r="K226" s="55" t="s">
        <v>61</v>
      </c>
      <c r="L226" s="55" t="s">
        <v>317</v>
      </c>
      <c r="M226" s="55" t="s">
        <v>118</v>
      </c>
      <c r="N226" s="55" t="s">
        <v>125</v>
      </c>
      <c r="O226" s="55" t="s">
        <v>415</v>
      </c>
      <c r="P226" s="55" t="s">
        <v>110</v>
      </c>
      <c r="Q226" s="54" t="str">
        <f>IFERROR(__xludf.DUMMYFUNCTION("""COMPUTED_VALUE"""),"Vietnam.test.TATTPVN_XuBen.5018_CTW_LinhDK_191121")</f>
        <v>Vietnam.test.TATTPVN_XuBen.5018_CTW_LinhDK_191121</v>
      </c>
      <c r="R226" s="54" t="str">
        <f>IFERROR(__xludf.DUMMYFUNCTION("""COMPUTED_VALUE"""),"NEW_Vietnam_1825_none_191121")</f>
        <v>NEW_Vietnam_1825_none_191121</v>
      </c>
      <c r="S226" s="54" t="str">
        <f>IFERROR(__xludf.DUMMYFUNCTION("""COMPUTED_VALUE"""),"test_Vietnam.test.TATTPVN_TATTPVN_LD075")</f>
        <v>test_Vietnam.test.TATTPVN_TATTPVN_LD075</v>
      </c>
      <c r="T226" s="54"/>
      <c r="U226" s="56"/>
    </row>
    <row r="227">
      <c r="A227" s="66">
        <v>191121.0</v>
      </c>
      <c r="B227" s="61" t="s">
        <v>573</v>
      </c>
      <c r="C227" s="54" t="str">
        <f>IFERROR(__xludf.DUMMYFUNCTION("""COMPUTED_VALUE"""),"LD076")</f>
        <v>LD076</v>
      </c>
      <c r="D227" s="55" t="s">
        <v>42</v>
      </c>
      <c r="E227" s="55" t="s">
        <v>125</v>
      </c>
      <c r="F227" s="55" t="s">
        <v>199</v>
      </c>
      <c r="G227" s="55">
        <v>1825.0</v>
      </c>
      <c r="H227" s="55" t="s">
        <v>568</v>
      </c>
      <c r="I227" s="55" t="s">
        <v>569</v>
      </c>
      <c r="J227" s="83" t="s">
        <v>569</v>
      </c>
      <c r="K227" s="55" t="s">
        <v>61</v>
      </c>
      <c r="L227" s="55" t="s">
        <v>317</v>
      </c>
      <c r="M227" s="55" t="s">
        <v>103</v>
      </c>
      <c r="N227" s="55" t="s">
        <v>125</v>
      </c>
      <c r="O227" s="55" t="s">
        <v>415</v>
      </c>
      <c r="P227" s="55" t="s">
        <v>110</v>
      </c>
      <c r="Q227" s="54" t="str">
        <f>IFERROR(__xludf.DUMMYFUNCTION("""COMPUTED_VALUE"""),"Vietnam.kienthuc.TATTPVN_XuBen.5018_CTW_LinhDK_191121")</f>
        <v>Vietnam.kienthuc.TATTPVN_XuBen.5018_CTW_LinhDK_191121</v>
      </c>
      <c r="R227" s="54" t="str">
        <f>IFERROR(__xludf.DUMMYFUNCTION("""COMPUTED_VALUE"""),"NEW_Vietnam_1825_none_191121")</f>
        <v>NEW_Vietnam_1825_none_191121</v>
      </c>
      <c r="S227" s="54" t="str">
        <f>IFERROR(__xludf.DUMMYFUNCTION("""COMPUTED_VALUE"""),"kienthuc_Vietnam.kienthuc.TATTPVN_TATTPVN_LD076")</f>
        <v>kienthuc_Vietnam.kienthuc.TATTPVN_TATTPVN_LD076</v>
      </c>
      <c r="T227" s="54"/>
      <c r="U227" s="56"/>
    </row>
    <row r="228">
      <c r="A228" s="66">
        <v>261121.0</v>
      </c>
      <c r="B228" s="73" t="s">
        <v>166</v>
      </c>
      <c r="C228" s="54" t="str">
        <f>IFERROR(__xludf.DUMMYFUNCTION("""COMPUTED_VALUE"""),"LD005")</f>
        <v>LD005</v>
      </c>
      <c r="D228" s="73" t="s">
        <v>42</v>
      </c>
      <c r="E228" s="73" t="s">
        <v>79</v>
      </c>
      <c r="F228" s="55" t="s">
        <v>182</v>
      </c>
      <c r="G228" s="73">
        <v>1865.0</v>
      </c>
      <c r="H228" s="73" t="s">
        <v>75</v>
      </c>
      <c r="I228" s="55" t="s">
        <v>574</v>
      </c>
      <c r="J228" s="55" t="s">
        <v>574</v>
      </c>
      <c r="K228" s="73" t="s">
        <v>61</v>
      </c>
      <c r="L228" s="73" t="s">
        <v>317</v>
      </c>
      <c r="M228" s="73" t="s">
        <v>78</v>
      </c>
      <c r="N228" s="73" t="s">
        <v>79</v>
      </c>
      <c r="O228" s="73" t="s">
        <v>224</v>
      </c>
      <c r="P228" s="73" t="s">
        <v>110</v>
      </c>
      <c r="Q228" s="54" t="str">
        <f>IFERROR(__xludf.DUMMYFUNCTION("""COMPUTED_VALUE"""),"Malaysia.H4TrungTam.PTATT_XuBen.5018_MES_HuyNV_261121")</f>
        <v>Malaysia.H4TrungTam.PTATT_XuBen.5018_MES_HuyNV_261121</v>
      </c>
      <c r="R228" s="54" t="str">
        <f>IFERROR(__xludf.DUMMYFUNCTION("""COMPUTED_VALUE"""),"NEW_Malaysia_1865_none_261121")</f>
        <v>NEW_Malaysia_1865_none_261121</v>
      </c>
      <c r="S228" s="54" t="str">
        <f>IFERROR(__xludf.DUMMYFUNCTION("""COMPUTED_VALUE"""),"saletructiep_Malaysia.H4TrungTam.PTATT_PTATT_LD005")</f>
        <v>saletructiep_Malaysia.H4TrungTam.PTATT_PTATT_LD005</v>
      </c>
      <c r="T228" s="54"/>
      <c r="U228" s="56"/>
    </row>
    <row r="229">
      <c r="A229" s="77">
        <v>261121.0</v>
      </c>
      <c r="B229" s="73" t="s">
        <v>166</v>
      </c>
      <c r="C229" s="54" t="str">
        <f>IFERROR(__xludf.DUMMYFUNCTION("""COMPUTED_VALUE"""),"LD005")</f>
        <v>LD005</v>
      </c>
      <c r="D229" s="73" t="s">
        <v>42</v>
      </c>
      <c r="E229" s="73" t="s">
        <v>79</v>
      </c>
      <c r="F229" s="55" t="s">
        <v>162</v>
      </c>
      <c r="G229" s="73">
        <v>1865.0</v>
      </c>
      <c r="H229" s="73" t="s">
        <v>75</v>
      </c>
      <c r="I229" s="55" t="s">
        <v>547</v>
      </c>
      <c r="J229" s="55" t="s">
        <v>547</v>
      </c>
      <c r="K229" s="73" t="s">
        <v>61</v>
      </c>
      <c r="L229" s="73" t="s">
        <v>317</v>
      </c>
      <c r="M229" s="73" t="s">
        <v>78</v>
      </c>
      <c r="N229" s="73" t="s">
        <v>79</v>
      </c>
      <c r="O229" s="73" t="s">
        <v>224</v>
      </c>
      <c r="P229" s="73" t="s">
        <v>110</v>
      </c>
      <c r="Q229" s="54" t="str">
        <f>IFERROR(__xludf.DUMMYFUNCTION("""COMPUTED_VALUE"""),"Singapore.H4TrungTam.PTATT_XuBen.5018_MES_HuyNV_261121")</f>
        <v>Singapore.H4TrungTam.PTATT_XuBen.5018_MES_HuyNV_261121</v>
      </c>
      <c r="R229" s="54" t="str">
        <f>IFERROR(__xludf.DUMMYFUNCTION("""COMPUTED_VALUE"""),"NEW_Singapore_1865_none_261121")</f>
        <v>NEW_Singapore_1865_none_261121</v>
      </c>
      <c r="S229" s="54" t="str">
        <f>IFERROR(__xludf.DUMMYFUNCTION("""COMPUTED_VALUE"""),"saletructiep_Singapore.H4TrungTam.PTATT_PTATT_LD005")</f>
        <v>saletructiep_Singapore.H4TrungTam.PTATT_PTATT_LD005</v>
      </c>
      <c r="T229" s="54"/>
      <c r="U229" s="56"/>
    </row>
    <row r="230">
      <c r="A230" s="77">
        <v>261121.0</v>
      </c>
      <c r="B230" s="73" t="s">
        <v>166</v>
      </c>
      <c r="C230" s="54" t="str">
        <f>IFERROR(__xludf.DUMMYFUNCTION("""COMPUTED_VALUE"""),"LD005")</f>
        <v>LD005</v>
      </c>
      <c r="D230" s="73" t="s">
        <v>42</v>
      </c>
      <c r="E230" s="73" t="s">
        <v>79</v>
      </c>
      <c r="F230" s="55" t="s">
        <v>133</v>
      </c>
      <c r="G230" s="73">
        <v>1865.0</v>
      </c>
      <c r="H230" s="73" t="s">
        <v>75</v>
      </c>
      <c r="I230" s="55" t="s">
        <v>575</v>
      </c>
      <c r="J230" s="55" t="s">
        <v>575</v>
      </c>
      <c r="K230" s="73" t="s">
        <v>61</v>
      </c>
      <c r="L230" s="73" t="s">
        <v>317</v>
      </c>
      <c r="M230" s="73" t="s">
        <v>78</v>
      </c>
      <c r="N230" s="73" t="s">
        <v>79</v>
      </c>
      <c r="O230" s="73" t="s">
        <v>224</v>
      </c>
      <c r="P230" s="73" t="s">
        <v>110</v>
      </c>
      <c r="Q230" s="54" t="str">
        <f>IFERROR(__xludf.DUMMYFUNCTION("""COMPUTED_VALUE"""),"Japan.H4TrungTam.PTATT_XuBen.5018_MES_HuyNV_261121")</f>
        <v>Japan.H4TrungTam.PTATT_XuBen.5018_MES_HuyNV_261121</v>
      </c>
      <c r="R230" s="54" t="str">
        <f>IFERROR(__xludf.DUMMYFUNCTION("""COMPUTED_VALUE"""),"NEW_Japan_1865_none_261121")</f>
        <v>NEW_Japan_1865_none_261121</v>
      </c>
      <c r="S230" s="54" t="str">
        <f>IFERROR(__xludf.DUMMYFUNCTION("""COMPUTED_VALUE"""),"saletructiep_Japan.H4TrungTam.PTATT_PTATT_LD005")</f>
        <v>saletructiep_Japan.H4TrungTam.PTATT_PTATT_LD005</v>
      </c>
      <c r="T230" s="54"/>
      <c r="U230" s="56"/>
    </row>
    <row r="231">
      <c r="A231" s="64" t="s">
        <v>576</v>
      </c>
      <c r="B231" s="73" t="s">
        <v>166</v>
      </c>
      <c r="C231" s="54" t="str">
        <f>IFERROR(__xludf.DUMMYFUNCTION("""COMPUTED_VALUE"""),"LD005")</f>
        <v>LD005</v>
      </c>
      <c r="D231" s="73" t="s">
        <v>42</v>
      </c>
      <c r="E231" s="73" t="s">
        <v>79</v>
      </c>
      <c r="F231" s="55" t="s">
        <v>182</v>
      </c>
      <c r="G231" s="73">
        <v>1865.0</v>
      </c>
      <c r="H231" s="73" t="s">
        <v>75</v>
      </c>
      <c r="I231" s="55" t="s">
        <v>577</v>
      </c>
      <c r="J231" s="55" t="s">
        <v>577</v>
      </c>
      <c r="K231" s="73" t="s">
        <v>61</v>
      </c>
      <c r="L231" s="73" t="s">
        <v>317</v>
      </c>
      <c r="M231" s="73" t="s">
        <v>78</v>
      </c>
      <c r="N231" s="73" t="s">
        <v>79</v>
      </c>
      <c r="O231" s="73" t="s">
        <v>224</v>
      </c>
      <c r="P231" s="73" t="s">
        <v>110</v>
      </c>
      <c r="Q231" s="54" t="str">
        <f>IFERROR(__xludf.DUMMYFUNCTION("""COMPUTED_VALUE"""),"Malaysia.IntroLopHoc.PTATT_XuBen.5018_MES_HuyNV_061221")</f>
        <v>Malaysia.IntroLopHoc.PTATT_XuBen.5018_MES_HuyNV_061221</v>
      </c>
      <c r="R231" s="54" t="str">
        <f>IFERROR(__xludf.DUMMYFUNCTION("""COMPUTED_VALUE"""),"NEW_Malaysia_1865_none_061221")</f>
        <v>NEW_Malaysia_1865_none_061221</v>
      </c>
      <c r="S231" s="54" t="str">
        <f>IFERROR(__xludf.DUMMYFUNCTION("""COMPUTED_VALUE"""),"saletructiep_Malaysia.IntroLopHoc.PTATT_PTATT_LD005")</f>
        <v>saletructiep_Malaysia.IntroLopHoc.PTATT_PTATT_LD005</v>
      </c>
      <c r="T231" s="54"/>
      <c r="U231" s="56"/>
    </row>
    <row r="232">
      <c r="A232" s="80" t="s">
        <v>576</v>
      </c>
      <c r="B232" s="73" t="s">
        <v>166</v>
      </c>
      <c r="C232" s="54" t="str">
        <f>IFERROR(__xludf.DUMMYFUNCTION("""COMPUTED_VALUE"""),"LD005")</f>
        <v>LD005</v>
      </c>
      <c r="D232" s="73" t="s">
        <v>42</v>
      </c>
      <c r="E232" s="73" t="s">
        <v>79</v>
      </c>
      <c r="F232" s="73" t="s">
        <v>397</v>
      </c>
      <c r="G232" s="73">
        <v>1865.0</v>
      </c>
      <c r="H232" s="73" t="s">
        <v>75</v>
      </c>
      <c r="I232" s="55" t="s">
        <v>578</v>
      </c>
      <c r="J232" s="55" t="s">
        <v>578</v>
      </c>
      <c r="K232" s="73" t="s">
        <v>61</v>
      </c>
      <c r="L232" s="73" t="s">
        <v>317</v>
      </c>
      <c r="M232" s="73" t="s">
        <v>78</v>
      </c>
      <c r="N232" s="73" t="s">
        <v>79</v>
      </c>
      <c r="O232" s="73" t="s">
        <v>224</v>
      </c>
      <c r="P232" s="73" t="s">
        <v>110</v>
      </c>
      <c r="Q232" s="54" t="str">
        <f>IFERROR(__xludf.DUMMYFUNCTION("""COMPUTED_VALUE"""),"UnitedArabEmirates.IntroLopHoc.PTATT_XuBen.5018_MES_HuyNV_061221")</f>
        <v>UnitedArabEmirates.IntroLopHoc.PTATT_XuBen.5018_MES_HuyNV_061221</v>
      </c>
      <c r="R232" s="54" t="str">
        <f>IFERROR(__xludf.DUMMYFUNCTION("""COMPUTED_VALUE"""),"NEW_UnitedArabEmirates_1865_none_061221")</f>
        <v>NEW_UnitedArabEmirates_1865_none_061221</v>
      </c>
      <c r="S232" s="54" t="str">
        <f>IFERROR(__xludf.DUMMYFUNCTION("""COMPUTED_VALUE"""),"saletructiep_UnitedArabEmirates.IntroLopHoc.PTATT_PTATT_LD005")</f>
        <v>saletructiep_UnitedArabEmirates.IntroLopHoc.PTATT_PTATT_LD005</v>
      </c>
      <c r="T232" s="54"/>
      <c r="U232" s="56"/>
    </row>
    <row r="233">
      <c r="A233" s="80" t="s">
        <v>576</v>
      </c>
      <c r="B233" s="73" t="s">
        <v>166</v>
      </c>
      <c r="C233" s="54" t="str">
        <f>IFERROR(__xludf.DUMMYFUNCTION("""COMPUTED_VALUE"""),"LD005")</f>
        <v>LD005</v>
      </c>
      <c r="D233" s="73" t="s">
        <v>42</v>
      </c>
      <c r="E233" s="73" t="s">
        <v>79</v>
      </c>
      <c r="F233" s="55" t="s">
        <v>112</v>
      </c>
      <c r="G233" s="73">
        <v>1865.0</v>
      </c>
      <c r="H233" s="73" t="s">
        <v>75</v>
      </c>
      <c r="I233" s="55" t="s">
        <v>579</v>
      </c>
      <c r="J233" s="55" t="s">
        <v>579</v>
      </c>
      <c r="K233" s="73" t="s">
        <v>61</v>
      </c>
      <c r="L233" s="73" t="s">
        <v>317</v>
      </c>
      <c r="M233" s="73" t="s">
        <v>78</v>
      </c>
      <c r="N233" s="73" t="s">
        <v>79</v>
      </c>
      <c r="O233" s="73" t="s">
        <v>224</v>
      </c>
      <c r="P233" s="73" t="s">
        <v>110</v>
      </c>
      <c r="Q233" s="54" t="str">
        <f>IFERROR(__xludf.DUMMYFUNCTION("""COMPUTED_VALUE"""),"Canada.IntroLopHoc.PTATT_XuBen.5018_MES_HuyNV_061221")</f>
        <v>Canada.IntroLopHoc.PTATT_XuBen.5018_MES_HuyNV_061221</v>
      </c>
      <c r="R233" s="54" t="str">
        <f>IFERROR(__xludf.DUMMYFUNCTION("""COMPUTED_VALUE"""),"NEW_Canada_1865_none_061221")</f>
        <v>NEW_Canada_1865_none_061221</v>
      </c>
      <c r="S233" s="54" t="str">
        <f>IFERROR(__xludf.DUMMYFUNCTION("""COMPUTED_VALUE"""),"saletructiep_Canada.IntroLopHoc.PTATT_PTATT_LD005")</f>
        <v>saletructiep_Canada.IntroLopHoc.PTATT_PTATT_LD005</v>
      </c>
      <c r="T233" s="54"/>
      <c r="U233" s="56"/>
    </row>
    <row r="234">
      <c r="A234" s="66">
        <v>101221.0</v>
      </c>
      <c r="B234" s="61" t="s">
        <v>357</v>
      </c>
      <c r="C234" s="54" t="str">
        <f>IFERROR(__xludf.DUMMYFUNCTION("""COMPUTED_VALUE"""),"LD025")</f>
        <v>LD025</v>
      </c>
      <c r="D234" s="55" t="s">
        <v>42</v>
      </c>
      <c r="E234" s="55" t="s">
        <v>125</v>
      </c>
      <c r="F234" s="55" t="s">
        <v>199</v>
      </c>
      <c r="G234" s="55">
        <v>2235.0</v>
      </c>
      <c r="H234" s="55" t="s">
        <v>568</v>
      </c>
      <c r="I234" s="55" t="s">
        <v>580</v>
      </c>
      <c r="J234" s="55" t="s">
        <v>580</v>
      </c>
      <c r="K234" s="55" t="s">
        <v>61</v>
      </c>
      <c r="L234" s="55" t="s">
        <v>317</v>
      </c>
      <c r="M234" s="55" t="s">
        <v>136</v>
      </c>
      <c r="N234" s="55" t="s">
        <v>125</v>
      </c>
      <c r="O234" s="55" t="s">
        <v>415</v>
      </c>
      <c r="P234" s="55" t="s">
        <v>110</v>
      </c>
      <c r="Q234" s="54" t="str">
        <f>IFERROR(__xludf.DUMMYFUNCTION("""COMPUTED_VALUE"""),"Vietnam.quatanguudai.TATTPVN_XuBen.5018_CTW_LinhDK_101221")</f>
        <v>Vietnam.quatanguudai.TATTPVN_XuBen.5018_CTW_LinhDK_101221</v>
      </c>
      <c r="R234" s="54" t="str">
        <f>IFERROR(__xludf.DUMMYFUNCTION("""COMPUTED_VALUE"""),"NEW_Vietnam_2235_none_101221")</f>
        <v>NEW_Vietnam_2235_none_101221</v>
      </c>
      <c r="S234" s="54" t="str">
        <f>IFERROR(__xludf.DUMMYFUNCTION("""COMPUTED_VALUE"""),"quatanguudai_Vietnam.quatanguudai.TATTPVN_TATTPVN_LD025")</f>
        <v>quatanguudai_Vietnam.quatanguudai.TATTPVN_TATTPVN_LD025</v>
      </c>
      <c r="T234" s="54"/>
      <c r="U234" s="56"/>
    </row>
    <row r="235">
      <c r="A235" s="66">
        <v>131221.0</v>
      </c>
      <c r="B235" s="73" t="s">
        <v>166</v>
      </c>
      <c r="C235" s="54" t="str">
        <f>IFERROR(__xludf.DUMMYFUNCTION("""COMPUTED_VALUE"""),"LD005")</f>
        <v>LD005</v>
      </c>
      <c r="D235" s="73" t="s">
        <v>42</v>
      </c>
      <c r="E235" s="73" t="s">
        <v>79</v>
      </c>
      <c r="F235" s="55" t="s">
        <v>129</v>
      </c>
      <c r="G235" s="73">
        <v>1865.0</v>
      </c>
      <c r="H235" s="73" t="s">
        <v>75</v>
      </c>
      <c r="I235" s="55" t="s">
        <v>581</v>
      </c>
      <c r="J235" s="73" t="s">
        <v>581</v>
      </c>
      <c r="K235" s="73" t="s">
        <v>61</v>
      </c>
      <c r="L235" s="73" t="s">
        <v>317</v>
      </c>
      <c r="M235" s="73" t="s">
        <v>78</v>
      </c>
      <c r="N235" s="73" t="s">
        <v>79</v>
      </c>
      <c r="O235" s="73" t="s">
        <v>224</v>
      </c>
      <c r="P235" s="73" t="s">
        <v>110</v>
      </c>
      <c r="Q235" s="54" t="str">
        <f>IFERROR(__xludf.DUMMYFUNCTION("""COMPUTED_VALUE"""),"Australia.H4TrungTam.PTATT_XuBen.5018_MES_HuyNV_131221")</f>
        <v>Australia.H4TrungTam.PTATT_XuBen.5018_MES_HuyNV_131221</v>
      </c>
      <c r="R235" s="54" t="str">
        <f>IFERROR(__xludf.DUMMYFUNCTION("""COMPUTED_VALUE"""),"NEW_Australia_1865_none_131221")</f>
        <v>NEW_Australia_1865_none_131221</v>
      </c>
      <c r="S235" s="54" t="str">
        <f>IFERROR(__xludf.DUMMYFUNCTION("""COMPUTED_VALUE"""),"saletructiep_Australia.H4TrungTam.PTATT_PTATT_LD005")</f>
        <v>saletructiep_Australia.H4TrungTam.PTATT_PTATT_LD005</v>
      </c>
      <c r="T235" s="54"/>
      <c r="U235" s="56"/>
    </row>
    <row r="236">
      <c r="A236" s="77">
        <v>131221.0</v>
      </c>
      <c r="B236" s="73" t="s">
        <v>166</v>
      </c>
      <c r="C236" s="54" t="str">
        <f>IFERROR(__xludf.DUMMYFUNCTION("""COMPUTED_VALUE"""),"LD005")</f>
        <v>LD005</v>
      </c>
      <c r="D236" s="73" t="s">
        <v>42</v>
      </c>
      <c r="E236" s="73" t="s">
        <v>79</v>
      </c>
      <c r="F236" s="55" t="s">
        <v>518</v>
      </c>
      <c r="G236" s="73">
        <v>1865.0</v>
      </c>
      <c r="H236" s="73" t="s">
        <v>75</v>
      </c>
      <c r="I236" s="55" t="s">
        <v>582</v>
      </c>
      <c r="J236" s="55" t="s">
        <v>582</v>
      </c>
      <c r="K236" s="73" t="s">
        <v>61</v>
      </c>
      <c r="L236" s="73" t="s">
        <v>317</v>
      </c>
      <c r="M236" s="73" t="s">
        <v>78</v>
      </c>
      <c r="N236" s="73" t="s">
        <v>79</v>
      </c>
      <c r="O236" s="73" t="s">
        <v>224</v>
      </c>
      <c r="P236" s="73" t="s">
        <v>110</v>
      </c>
      <c r="Q236" s="54" t="str">
        <f>IFERROR(__xludf.DUMMYFUNCTION("""COMPUTED_VALUE"""),"Laos.H4TrungTam.PTATT_XuBen.5018_MES_HuyNV_131221")</f>
        <v>Laos.H4TrungTam.PTATT_XuBen.5018_MES_HuyNV_131221</v>
      </c>
      <c r="R236" s="54" t="str">
        <f>IFERROR(__xludf.DUMMYFUNCTION("""COMPUTED_VALUE"""),"NEW_Laos_1865_none_131221")</f>
        <v>NEW_Laos_1865_none_131221</v>
      </c>
      <c r="S236" s="54" t="str">
        <f>IFERROR(__xludf.DUMMYFUNCTION("""COMPUTED_VALUE"""),"saletructiep_Laos.H4TrungTam.PTATT_PTATT_LD005")</f>
        <v>saletructiep_Laos.H4TrungTam.PTATT_PTATT_LD005</v>
      </c>
      <c r="T236" s="54"/>
      <c r="U236" s="56"/>
    </row>
    <row r="237">
      <c r="A237" s="77">
        <v>131221.0</v>
      </c>
      <c r="B237" s="73" t="s">
        <v>166</v>
      </c>
      <c r="C237" s="54" t="str">
        <f>IFERROR(__xludf.DUMMYFUNCTION("""COMPUTED_VALUE"""),"LD005")</f>
        <v>LD005</v>
      </c>
      <c r="D237" s="73" t="s">
        <v>42</v>
      </c>
      <c r="E237" s="73" t="s">
        <v>79</v>
      </c>
      <c r="F237" s="55" t="s">
        <v>174</v>
      </c>
      <c r="G237" s="73">
        <v>1865.0</v>
      </c>
      <c r="H237" s="55" t="s">
        <v>75</v>
      </c>
      <c r="I237" s="55" t="s">
        <v>583</v>
      </c>
      <c r="J237" s="55" t="s">
        <v>583</v>
      </c>
      <c r="K237" s="73" t="s">
        <v>61</v>
      </c>
      <c r="L237" s="73" t="s">
        <v>317</v>
      </c>
      <c r="M237" s="73" t="s">
        <v>78</v>
      </c>
      <c r="N237" s="73" t="s">
        <v>79</v>
      </c>
      <c r="O237" s="73" t="s">
        <v>224</v>
      </c>
      <c r="P237" s="73" t="s">
        <v>110</v>
      </c>
      <c r="Q237" s="54" t="str">
        <f>IFERROR(__xludf.DUMMYFUNCTION("""COMPUTED_VALUE"""),"Philippines.H4TrungTam.PTATT_XuBen.5018_MES_HuyNV_131221")</f>
        <v>Philippines.H4TrungTam.PTATT_XuBen.5018_MES_HuyNV_131221</v>
      </c>
      <c r="R237" s="54" t="str">
        <f>IFERROR(__xludf.DUMMYFUNCTION("""COMPUTED_VALUE"""),"NEW_Philippines_1865_none_131221")</f>
        <v>NEW_Philippines_1865_none_131221</v>
      </c>
      <c r="S237" s="54" t="str">
        <f>IFERROR(__xludf.DUMMYFUNCTION("""COMPUTED_VALUE"""),"saletructiep_Philippines.H4TrungTam.PTATT_PTATT_LD005")</f>
        <v>saletructiep_Philippines.H4TrungTam.PTATT_PTATT_LD005</v>
      </c>
      <c r="T237" s="54"/>
      <c r="U237" s="56"/>
    </row>
    <row r="238">
      <c r="A238" s="77">
        <v>131221.0</v>
      </c>
      <c r="B238" s="73" t="s">
        <v>166</v>
      </c>
      <c r="C238" s="54" t="str">
        <f>IFERROR(__xludf.DUMMYFUNCTION("""COMPUTED_VALUE"""),"LD005")</f>
        <v>LD005</v>
      </c>
      <c r="D238" s="73" t="s">
        <v>42</v>
      </c>
      <c r="E238" s="73" t="s">
        <v>79</v>
      </c>
      <c r="F238" s="55" t="s">
        <v>584</v>
      </c>
      <c r="G238" s="73">
        <v>1865.0</v>
      </c>
      <c r="H238" s="73" t="s">
        <v>75</v>
      </c>
      <c r="I238" s="55" t="s">
        <v>585</v>
      </c>
      <c r="J238" s="73" t="s">
        <v>585</v>
      </c>
      <c r="K238" s="73" t="s">
        <v>61</v>
      </c>
      <c r="L238" s="73" t="s">
        <v>317</v>
      </c>
      <c r="M238" s="73" t="s">
        <v>78</v>
      </c>
      <c r="N238" s="73" t="s">
        <v>79</v>
      </c>
      <c r="O238" s="73" t="s">
        <v>224</v>
      </c>
      <c r="P238" s="73" t="s">
        <v>110</v>
      </c>
      <c r="Q238" s="54" t="str">
        <f>IFERROR(__xludf.DUMMYFUNCTION("""COMPUTED_VALUE"""),"Myanmar.H4TrungTam.PTATT_XuBen.5018_MES_HuyNV_131221")</f>
        <v>Myanmar.H4TrungTam.PTATT_XuBen.5018_MES_HuyNV_131221</v>
      </c>
      <c r="R238" s="54" t="str">
        <f>IFERROR(__xludf.DUMMYFUNCTION("""COMPUTED_VALUE"""),"NEW_Myanmar_1865_none_131221")</f>
        <v>NEW_Myanmar_1865_none_131221</v>
      </c>
      <c r="S238" s="54" t="str">
        <f>IFERROR(__xludf.DUMMYFUNCTION("""COMPUTED_VALUE"""),"saletructiep_Myanmar.H4TrungTam.PTATT_PTATT_LD005")</f>
        <v>saletructiep_Myanmar.H4TrungTam.PTATT_PTATT_LD005</v>
      </c>
      <c r="T238" s="54"/>
      <c r="U238" s="56"/>
    </row>
    <row r="239">
      <c r="A239" s="77">
        <v>131221.0</v>
      </c>
      <c r="B239" s="73" t="s">
        <v>166</v>
      </c>
      <c r="C239" s="54" t="str">
        <f>IFERROR(__xludf.DUMMYFUNCTION("""COMPUTED_VALUE"""),"LD005")</f>
        <v>LD005</v>
      </c>
      <c r="D239" s="73" t="s">
        <v>42</v>
      </c>
      <c r="E239" s="73" t="s">
        <v>79</v>
      </c>
      <c r="F239" s="55" t="s">
        <v>164</v>
      </c>
      <c r="G239" s="73">
        <v>1865.0</v>
      </c>
      <c r="H239" s="73" t="s">
        <v>75</v>
      </c>
      <c r="I239" s="55" t="s">
        <v>586</v>
      </c>
      <c r="J239" s="55" t="s">
        <v>586</v>
      </c>
      <c r="K239" s="73" t="s">
        <v>61</v>
      </c>
      <c r="L239" s="73" t="s">
        <v>317</v>
      </c>
      <c r="M239" s="73" t="s">
        <v>78</v>
      </c>
      <c r="N239" s="73" t="s">
        <v>79</v>
      </c>
      <c r="O239" s="73" t="s">
        <v>224</v>
      </c>
      <c r="P239" s="73" t="s">
        <v>110</v>
      </c>
      <c r="Q239" s="54" t="str">
        <f>IFERROR(__xludf.DUMMYFUNCTION("""COMPUTED_VALUE"""),"Taiwan.H4TrungTam.PTATT_XuBen.5018_MES_HuyNV_131221")</f>
        <v>Taiwan.H4TrungTam.PTATT_XuBen.5018_MES_HuyNV_131221</v>
      </c>
      <c r="R239" s="54" t="str">
        <f>IFERROR(__xludf.DUMMYFUNCTION("""COMPUTED_VALUE"""),"NEW_Taiwan_1865_none_131221")</f>
        <v>NEW_Taiwan_1865_none_131221</v>
      </c>
      <c r="S239" s="54" t="str">
        <f>IFERROR(__xludf.DUMMYFUNCTION("""COMPUTED_VALUE"""),"saletructiep_Taiwan.H4TrungTam.PTATT_PTATT_LD005")</f>
        <v>saletructiep_Taiwan.H4TrungTam.PTATT_PTATT_LD005</v>
      </c>
      <c r="T239" s="54"/>
      <c r="U239" s="56"/>
    </row>
    <row r="240">
      <c r="A240" s="66">
        <v>241221.0</v>
      </c>
      <c r="B240" s="73" t="s">
        <v>587</v>
      </c>
      <c r="C240" s="54" t="str">
        <f>IFERROR(__xludf.DUMMYFUNCTION("""COMPUTED_VALUE"""),"LD078")</f>
        <v>LD078</v>
      </c>
      <c r="D240" s="73" t="s">
        <v>42</v>
      </c>
      <c r="E240" s="55" t="s">
        <v>69</v>
      </c>
      <c r="F240" s="55" t="s">
        <v>199</v>
      </c>
      <c r="G240" s="73">
        <v>1865.0</v>
      </c>
      <c r="H240" s="73" t="s">
        <v>75</v>
      </c>
      <c r="I240" s="55" t="s">
        <v>588</v>
      </c>
      <c r="J240" s="73" t="s">
        <v>588</v>
      </c>
      <c r="K240" s="73" t="s">
        <v>61</v>
      </c>
      <c r="L240" s="73" t="s">
        <v>317</v>
      </c>
      <c r="M240" s="55" t="s">
        <v>589</v>
      </c>
      <c r="N240" s="55" t="s">
        <v>69</v>
      </c>
      <c r="O240" s="73" t="s">
        <v>224</v>
      </c>
      <c r="P240" s="73" t="s">
        <v>110</v>
      </c>
      <c r="Q240" s="54" t="str">
        <f>IFERROR(__xludf.DUMMYFUNCTION("""COMPUTED_VALUE"""),"Tailieu.SachDanVanPhong.PTATT_XuBen.5018_CVS_HuyNV_241221")</f>
        <v>Tailieu.SachDanVanPhong.PTATT_XuBen.5018_CVS_HuyNV_241221</v>
      </c>
      <c r="R240" s="54" t="str">
        <f>IFERROR(__xludf.DUMMYFUNCTION("""COMPUTED_VALUE"""),"NEW_Vietnam_1865_none_241221")</f>
        <v>NEW_Vietnam_1865_none_241221</v>
      </c>
      <c r="S240" s="54" t="str">
        <f>IFERROR(__xludf.DUMMYFUNCTION("""COMPUTED_VALUE"""),"tips_Tailieu.SachDanVanPhong.PTATT_PTATT_LD078")</f>
        <v>tips_Tailieu.SachDanVanPhong.PTATT_PTATT_LD078</v>
      </c>
      <c r="T240" s="54"/>
      <c r="U240" s="56"/>
    </row>
    <row r="241">
      <c r="A241" s="77">
        <v>241221.0</v>
      </c>
      <c r="B241" s="75" t="s">
        <v>357</v>
      </c>
      <c r="C241" s="54" t="str">
        <f>IFERROR(__xludf.DUMMYFUNCTION("""COMPUTED_VALUE"""),"LD025")</f>
        <v>LD025</v>
      </c>
      <c r="D241" s="73" t="s">
        <v>42</v>
      </c>
      <c r="E241" s="73" t="s">
        <v>69</v>
      </c>
      <c r="F241" s="73" t="s">
        <v>199</v>
      </c>
      <c r="G241" s="73">
        <v>1865.0</v>
      </c>
      <c r="H241" s="73" t="s">
        <v>75</v>
      </c>
      <c r="I241" s="55" t="s">
        <v>590</v>
      </c>
      <c r="J241" s="55" t="s">
        <v>590</v>
      </c>
      <c r="K241" s="73" t="s">
        <v>61</v>
      </c>
      <c r="L241" s="73" t="s">
        <v>317</v>
      </c>
      <c r="M241" s="73" t="s">
        <v>589</v>
      </c>
      <c r="N241" s="73" t="s">
        <v>69</v>
      </c>
      <c r="O241" s="73" t="s">
        <v>224</v>
      </c>
      <c r="P241" s="73" t="s">
        <v>110</v>
      </c>
      <c r="Q241" s="54" t="str">
        <f>IFERROR(__xludf.DUMMYFUNCTION("""COMPUTED_VALUE"""),"Tailieu.MarketLeader.PTATT_XuBen.5018_CVS_HuyNV_241221")</f>
        <v>Tailieu.MarketLeader.PTATT_XuBen.5018_CVS_HuyNV_241221</v>
      </c>
      <c r="R241" s="54" t="str">
        <f>IFERROR(__xludf.DUMMYFUNCTION("""COMPUTED_VALUE"""),"NEW_Vietnam_1865_none_241221")</f>
        <v>NEW_Vietnam_1865_none_241221</v>
      </c>
      <c r="S241" s="54" t="str">
        <f>IFERROR(__xludf.DUMMYFUNCTION("""COMPUTED_VALUE"""),"tips_Tailieu.MarketLeader.PTATT_PTATT_LD025")</f>
        <v>tips_Tailieu.MarketLeader.PTATT_PTATT_LD025</v>
      </c>
      <c r="T241" s="54"/>
      <c r="U241" s="56"/>
    </row>
    <row r="242">
      <c r="A242" s="77">
        <v>241221.0</v>
      </c>
      <c r="B242" s="73" t="s">
        <v>166</v>
      </c>
      <c r="C242" s="54" t="str">
        <f>IFERROR(__xludf.DUMMYFUNCTION("""COMPUTED_VALUE"""),"LD005")</f>
        <v>LD005</v>
      </c>
      <c r="D242" s="73" t="s">
        <v>42</v>
      </c>
      <c r="E242" s="73" t="s">
        <v>79</v>
      </c>
      <c r="F242" s="55" t="s">
        <v>307</v>
      </c>
      <c r="G242" s="73">
        <v>1865.0</v>
      </c>
      <c r="H242" s="73" t="s">
        <v>75</v>
      </c>
      <c r="I242" s="55" t="s">
        <v>546</v>
      </c>
      <c r="J242" s="55" t="s">
        <v>546</v>
      </c>
      <c r="K242" s="73" t="s">
        <v>61</v>
      </c>
      <c r="L242" s="73" t="s">
        <v>317</v>
      </c>
      <c r="M242" s="73" t="s">
        <v>78</v>
      </c>
      <c r="N242" s="73" t="s">
        <v>79</v>
      </c>
      <c r="O242" s="73" t="s">
        <v>224</v>
      </c>
      <c r="P242" s="73" t="s">
        <v>110</v>
      </c>
      <c r="Q242" s="54" t="str">
        <f>IFERROR(__xludf.DUMMYFUNCTION("""COMPUTED_VALUE"""),"HongKong.H4TrungTam.PTATT_XuBen.5018_MES_HuyNV_241221")</f>
        <v>HongKong.H4TrungTam.PTATT_XuBen.5018_MES_HuyNV_241221</v>
      </c>
      <c r="R242" s="54" t="str">
        <f>IFERROR(__xludf.DUMMYFUNCTION("""COMPUTED_VALUE"""),"NEW_HongKong_1865_none_241221")</f>
        <v>NEW_HongKong_1865_none_241221</v>
      </c>
      <c r="S242" s="54" t="str">
        <f>IFERROR(__xludf.DUMMYFUNCTION("""COMPUTED_VALUE"""),"saletructiep_HongKong.H4TrungTam.PTATT_PTATT_LD005")</f>
        <v>saletructiep_HongKong.H4TrungTam.PTATT_PTATT_LD005</v>
      </c>
      <c r="T242" s="54"/>
      <c r="U242" s="56"/>
    </row>
    <row r="243">
      <c r="A243" s="77">
        <v>241221.0</v>
      </c>
      <c r="B243" s="73" t="s">
        <v>166</v>
      </c>
      <c r="C243" s="54" t="str">
        <f>IFERROR(__xludf.DUMMYFUNCTION("""COMPUTED_VALUE"""),"LD005")</f>
        <v>LD005</v>
      </c>
      <c r="D243" s="73" t="s">
        <v>42</v>
      </c>
      <c r="E243" s="73" t="s">
        <v>79</v>
      </c>
      <c r="F243" s="55" t="s">
        <v>280</v>
      </c>
      <c r="G243" s="73">
        <v>1865.0</v>
      </c>
      <c r="H243" s="73" t="s">
        <v>75</v>
      </c>
      <c r="I243" s="55" t="s">
        <v>553</v>
      </c>
      <c r="J243" s="73" t="s">
        <v>553</v>
      </c>
      <c r="K243" s="73" t="s">
        <v>61</v>
      </c>
      <c r="L243" s="73" t="s">
        <v>317</v>
      </c>
      <c r="M243" s="73" t="s">
        <v>78</v>
      </c>
      <c r="N243" s="73" t="s">
        <v>79</v>
      </c>
      <c r="O243" s="73" t="s">
        <v>224</v>
      </c>
      <c r="P243" s="73" t="s">
        <v>110</v>
      </c>
      <c r="Q243" s="54" t="str">
        <f>IFERROR(__xludf.DUMMYFUNCTION("""COMPUTED_VALUE"""),"Indonesia.H4TrungTam.PTATT_XuBen.5018_MES_HuyNV_241221")</f>
        <v>Indonesia.H4TrungTam.PTATT_XuBen.5018_MES_HuyNV_241221</v>
      </c>
      <c r="R243" s="54" t="str">
        <f>IFERROR(__xludf.DUMMYFUNCTION("""COMPUTED_VALUE"""),"NEW_Indonesia_1865_none_241221")</f>
        <v>NEW_Indonesia_1865_none_241221</v>
      </c>
      <c r="S243" s="54" t="str">
        <f>IFERROR(__xludf.DUMMYFUNCTION("""COMPUTED_VALUE"""),"saletructiep_Indonesia.H4TrungTam.PTATT_PTATT_LD005")</f>
        <v>saletructiep_Indonesia.H4TrungTam.PTATT_PTATT_LD005</v>
      </c>
      <c r="T243" s="54"/>
      <c r="U243" s="56"/>
    </row>
    <row r="244">
      <c r="A244" s="66">
        <v>291221.0</v>
      </c>
      <c r="B244" s="73" t="s">
        <v>166</v>
      </c>
      <c r="C244" s="54" t="str">
        <f>IFERROR(__xludf.DUMMYFUNCTION("""COMPUTED_VALUE"""),"LD005")</f>
        <v>LD005</v>
      </c>
      <c r="D244" s="73" t="s">
        <v>42</v>
      </c>
      <c r="E244" s="73" t="s">
        <v>79</v>
      </c>
      <c r="F244" s="55" t="s">
        <v>164</v>
      </c>
      <c r="G244" s="73">
        <v>1865.0</v>
      </c>
      <c r="H244" s="73" t="s">
        <v>75</v>
      </c>
      <c r="I244" s="55" t="s">
        <v>591</v>
      </c>
      <c r="J244" s="73" t="s">
        <v>591</v>
      </c>
      <c r="K244" s="73" t="s">
        <v>61</v>
      </c>
      <c r="L244" s="73" t="s">
        <v>317</v>
      </c>
      <c r="M244" s="73" t="s">
        <v>78</v>
      </c>
      <c r="N244" s="73" t="s">
        <v>79</v>
      </c>
      <c r="O244" s="73" t="s">
        <v>224</v>
      </c>
      <c r="P244" s="73" t="s">
        <v>110</v>
      </c>
      <c r="Q244" s="54" t="str">
        <f>IFERROR(__xludf.DUMMYFUNCTION("""COMPUTED_VALUE"""),"Taiwan.VTV.PTATT_XuBen.5018_MES_HuyNV_291221")</f>
        <v>Taiwan.VTV.PTATT_XuBen.5018_MES_HuyNV_291221</v>
      </c>
      <c r="R244" s="54" t="str">
        <f>IFERROR(__xludf.DUMMYFUNCTION("""COMPUTED_VALUE"""),"NEW_Taiwan_1865_none_291221")</f>
        <v>NEW_Taiwan_1865_none_291221</v>
      </c>
      <c r="S244" s="54" t="str">
        <f>IFERROR(__xludf.DUMMYFUNCTION("""COMPUTED_VALUE"""),"saletructiep_Taiwan.VTV.PTATT_PTATT_LD005")</f>
        <v>saletructiep_Taiwan.VTV.PTATT_PTATT_LD005</v>
      </c>
      <c r="T244" s="54"/>
      <c r="U244" s="56"/>
    </row>
    <row r="245">
      <c r="A245" s="66">
        <v>291221.0</v>
      </c>
      <c r="B245" s="73" t="s">
        <v>166</v>
      </c>
      <c r="C245" s="54" t="str">
        <f>IFERROR(__xludf.DUMMYFUNCTION("""COMPUTED_VALUE"""),"LD005")</f>
        <v>LD005</v>
      </c>
      <c r="D245" s="73" t="s">
        <v>42</v>
      </c>
      <c r="E245" s="73" t="s">
        <v>79</v>
      </c>
      <c r="F245" s="55" t="s">
        <v>174</v>
      </c>
      <c r="G245" s="73">
        <v>1865.0</v>
      </c>
      <c r="H245" s="73" t="s">
        <v>75</v>
      </c>
      <c r="I245" s="55" t="s">
        <v>592</v>
      </c>
      <c r="J245" s="55" t="s">
        <v>592</v>
      </c>
      <c r="K245" s="73" t="s">
        <v>61</v>
      </c>
      <c r="L245" s="73" t="s">
        <v>317</v>
      </c>
      <c r="M245" s="73" t="s">
        <v>78</v>
      </c>
      <c r="N245" s="73" t="s">
        <v>79</v>
      </c>
      <c r="O245" s="73" t="s">
        <v>224</v>
      </c>
      <c r="P245" s="73" t="s">
        <v>110</v>
      </c>
      <c r="Q245" s="54" t="str">
        <f>IFERROR(__xludf.DUMMYFUNCTION("""COMPUTED_VALUE"""),"Philippines.VTV.PTATT_XuBen.5018_MES_HuyNV_291221")</f>
        <v>Philippines.VTV.PTATT_XuBen.5018_MES_HuyNV_291221</v>
      </c>
      <c r="R245" s="54" t="str">
        <f>IFERROR(__xludf.DUMMYFUNCTION("""COMPUTED_VALUE"""),"NEW_Philippines_1865_none_291221")</f>
        <v>NEW_Philippines_1865_none_291221</v>
      </c>
      <c r="S245" s="54" t="str">
        <f>IFERROR(__xludf.DUMMYFUNCTION("""COMPUTED_VALUE"""),"saletructiep_Philippines.VTV.PTATT_PTATT_LD005")</f>
        <v>saletructiep_Philippines.VTV.PTATT_PTATT_LD005</v>
      </c>
      <c r="T245" s="54"/>
      <c r="U245" s="56"/>
    </row>
    <row r="246">
      <c r="A246" s="66">
        <v>291221.0</v>
      </c>
      <c r="B246" s="73" t="s">
        <v>166</v>
      </c>
      <c r="C246" s="54" t="str">
        <f>IFERROR(__xludf.DUMMYFUNCTION("""COMPUTED_VALUE"""),"LD005")</f>
        <v>LD005</v>
      </c>
      <c r="D246" s="73" t="s">
        <v>42</v>
      </c>
      <c r="E246" s="73" t="s">
        <v>79</v>
      </c>
      <c r="F246" s="55" t="s">
        <v>129</v>
      </c>
      <c r="G246" s="73">
        <v>1865.0</v>
      </c>
      <c r="H246" s="73" t="s">
        <v>75</v>
      </c>
      <c r="I246" s="55" t="s">
        <v>593</v>
      </c>
      <c r="J246" s="55" t="s">
        <v>593</v>
      </c>
      <c r="K246" s="73" t="s">
        <v>61</v>
      </c>
      <c r="L246" s="73" t="s">
        <v>317</v>
      </c>
      <c r="M246" s="73" t="s">
        <v>78</v>
      </c>
      <c r="N246" s="73" t="s">
        <v>79</v>
      </c>
      <c r="O246" s="73" t="s">
        <v>224</v>
      </c>
      <c r="P246" s="73" t="s">
        <v>110</v>
      </c>
      <c r="Q246" s="54" t="str">
        <f>IFERROR(__xludf.DUMMYFUNCTION("""COMPUTED_VALUE"""),"Australia.VTV.PTATT_XuBen.5018_MES_HuyNV_291221")</f>
        <v>Australia.VTV.PTATT_XuBen.5018_MES_HuyNV_291221</v>
      </c>
      <c r="R246" s="54" t="str">
        <f>IFERROR(__xludf.DUMMYFUNCTION("""COMPUTED_VALUE"""),"NEW_Australia_1865_none_291221")</f>
        <v>NEW_Australia_1865_none_291221</v>
      </c>
      <c r="S246" s="54" t="str">
        <f>IFERROR(__xludf.DUMMYFUNCTION("""COMPUTED_VALUE"""),"saletructiep_Australia.VTV.PTATT_PTATT_LD005")</f>
        <v>saletructiep_Australia.VTV.PTATT_PTATT_LD005</v>
      </c>
      <c r="T246" s="54"/>
      <c r="U246" s="56"/>
    </row>
    <row r="247">
      <c r="A247" s="77">
        <v>291221.0</v>
      </c>
      <c r="B247" s="61" t="s">
        <v>131</v>
      </c>
      <c r="C247" s="54" t="str">
        <f>IFERROR(__xludf.DUMMYFUNCTION("""COMPUTED_VALUE"""),"LD071")</f>
        <v>LD071</v>
      </c>
      <c r="D247" s="55" t="s">
        <v>42</v>
      </c>
      <c r="E247" s="55" t="s">
        <v>72</v>
      </c>
      <c r="F247" s="55" t="s">
        <v>60</v>
      </c>
      <c r="G247" s="73">
        <v>1865.0</v>
      </c>
      <c r="H247" s="55" t="s">
        <v>91</v>
      </c>
      <c r="I247" s="55"/>
      <c r="J247" s="54"/>
      <c r="K247" s="54"/>
      <c r="L247" s="55"/>
      <c r="M247" s="55"/>
      <c r="N247" s="54"/>
      <c r="O247" s="54"/>
      <c r="P247" s="54"/>
      <c r="Q247" s="54" t="str">
        <f>IFERROR(__xludf.DUMMYFUNCTION("""COMPUTED_VALUE"""),"!!!")</f>
        <v>!!!</v>
      </c>
      <c r="R247" s="54" t="str">
        <f>IFERROR(__xludf.DUMMYFUNCTION("""COMPUTED_VALUE"""),"!!!")</f>
        <v>!!!</v>
      </c>
      <c r="S247" s="54" t="str">
        <f>IFERROR(__xludf.DUMMYFUNCTION("""COMPUTED_VALUE"""),"!!!")</f>
        <v>!!!</v>
      </c>
      <c r="T247" s="54"/>
      <c r="U247" s="56"/>
    </row>
    <row r="248">
      <c r="A248" s="64" t="s">
        <v>594</v>
      </c>
      <c r="B248" s="73" t="s">
        <v>166</v>
      </c>
      <c r="C248" s="54" t="str">
        <f>IFERROR(__xludf.DUMMYFUNCTION("""COMPUTED_VALUE"""),"LD005")</f>
        <v>LD005</v>
      </c>
      <c r="D248" s="55" t="s">
        <v>42</v>
      </c>
      <c r="E248" s="73" t="s">
        <v>79</v>
      </c>
      <c r="F248" s="55" t="s">
        <v>112</v>
      </c>
      <c r="G248" s="55">
        <v>1834.0</v>
      </c>
      <c r="H248" s="73" t="s">
        <v>75</v>
      </c>
      <c r="I248" s="55" t="s">
        <v>595</v>
      </c>
      <c r="J248" s="55" t="s">
        <v>595</v>
      </c>
      <c r="K248" s="73" t="s">
        <v>61</v>
      </c>
      <c r="L248" s="73" t="s">
        <v>317</v>
      </c>
      <c r="M248" s="73" t="s">
        <v>78</v>
      </c>
      <c r="N248" s="73" t="s">
        <v>79</v>
      </c>
      <c r="O248" s="73" t="s">
        <v>224</v>
      </c>
      <c r="P248" s="73" t="s">
        <v>110</v>
      </c>
      <c r="Q248" s="54" t="str">
        <f>IFERROR(__xludf.DUMMYFUNCTION("""COMPUTED_VALUE"""),"Canada.VTV.PTATT_XuBen.5018_MES_HuyNV_020122")</f>
        <v>Canada.VTV.PTATT_XuBen.5018_MES_HuyNV_020122</v>
      </c>
      <c r="R248" s="54" t="str">
        <f>IFERROR(__xludf.DUMMYFUNCTION("""COMPUTED_VALUE"""),"NEW_Canada_1834_none_020122")</f>
        <v>NEW_Canada_1834_none_020122</v>
      </c>
      <c r="S248" s="54" t="str">
        <f>IFERROR(__xludf.DUMMYFUNCTION("""COMPUTED_VALUE"""),"saletructiep_Canada.VTV.PTATT_PTATT_LD005")</f>
        <v>saletructiep_Canada.VTV.PTATT_PTATT_LD005</v>
      </c>
      <c r="T248" s="54"/>
      <c r="U248" s="56"/>
    </row>
    <row r="249">
      <c r="A249" s="80" t="s">
        <v>594</v>
      </c>
      <c r="B249" s="73" t="s">
        <v>166</v>
      </c>
      <c r="C249" s="54" t="str">
        <f>IFERROR(__xludf.DUMMYFUNCTION("""COMPUTED_VALUE"""),"LD005")</f>
        <v>LD005</v>
      </c>
      <c r="D249" s="73" t="s">
        <v>42</v>
      </c>
      <c r="E249" s="73" t="s">
        <v>79</v>
      </c>
      <c r="F249" s="55" t="s">
        <v>162</v>
      </c>
      <c r="G249" s="73">
        <v>1834.0</v>
      </c>
      <c r="H249" s="73" t="s">
        <v>75</v>
      </c>
      <c r="I249" s="55" t="s">
        <v>596</v>
      </c>
      <c r="J249" s="55" t="s">
        <v>596</v>
      </c>
      <c r="K249" s="73" t="s">
        <v>61</v>
      </c>
      <c r="L249" s="73" t="s">
        <v>317</v>
      </c>
      <c r="M249" s="73" t="s">
        <v>78</v>
      </c>
      <c r="N249" s="73" t="s">
        <v>79</v>
      </c>
      <c r="O249" s="73" t="s">
        <v>224</v>
      </c>
      <c r="P249" s="73" t="s">
        <v>110</v>
      </c>
      <c r="Q249" s="54" t="str">
        <f>IFERROR(__xludf.DUMMYFUNCTION("""COMPUTED_VALUE"""),"Singapore.VTV.PTATT_XuBen.5018_MES_HuyNV_020122")</f>
        <v>Singapore.VTV.PTATT_XuBen.5018_MES_HuyNV_020122</v>
      </c>
      <c r="R249" s="54" t="str">
        <f>IFERROR(__xludf.DUMMYFUNCTION("""COMPUTED_VALUE"""),"NEW_Singapore_1834_none_020122")</f>
        <v>NEW_Singapore_1834_none_020122</v>
      </c>
      <c r="S249" s="54" t="str">
        <f>IFERROR(__xludf.DUMMYFUNCTION("""COMPUTED_VALUE"""),"saletructiep_Singapore.VTV.PTATT_PTATT_LD005")</f>
        <v>saletructiep_Singapore.VTV.PTATT_PTATT_LD005</v>
      </c>
      <c r="T249" s="54"/>
      <c r="U249" s="56"/>
    </row>
    <row r="250">
      <c r="A250" s="80" t="s">
        <v>594</v>
      </c>
      <c r="B250" s="73" t="s">
        <v>166</v>
      </c>
      <c r="C250" s="54" t="str">
        <f>IFERROR(__xludf.DUMMYFUNCTION("""COMPUTED_VALUE"""),"LD005")</f>
        <v>LD005</v>
      </c>
      <c r="D250" s="73" t="s">
        <v>42</v>
      </c>
      <c r="E250" s="73" t="s">
        <v>79</v>
      </c>
      <c r="F250" s="55" t="s">
        <v>274</v>
      </c>
      <c r="G250" s="73">
        <v>1834.0</v>
      </c>
      <c r="H250" s="73" t="s">
        <v>75</v>
      </c>
      <c r="I250" s="55" t="s">
        <v>597</v>
      </c>
      <c r="J250" s="55" t="s">
        <v>597</v>
      </c>
      <c r="K250" s="73" t="s">
        <v>61</v>
      </c>
      <c r="L250" s="73" t="s">
        <v>317</v>
      </c>
      <c r="M250" s="73" t="s">
        <v>78</v>
      </c>
      <c r="N250" s="73" t="s">
        <v>79</v>
      </c>
      <c r="O250" s="73" t="s">
        <v>224</v>
      </c>
      <c r="P250" s="73" t="s">
        <v>110</v>
      </c>
      <c r="Q250" s="54" t="str">
        <f>IFERROR(__xludf.DUMMYFUNCTION("""COMPUTED_VALUE"""),"UnitedKingdom.VTV.PTATT_XuBen.5018_MES_HuyNV_020122")</f>
        <v>UnitedKingdom.VTV.PTATT_XuBen.5018_MES_HuyNV_020122</v>
      </c>
      <c r="R250" s="54" t="str">
        <f>IFERROR(__xludf.DUMMYFUNCTION("""COMPUTED_VALUE"""),"NEW_UnitedKingdom_1834_none_020122")</f>
        <v>NEW_UnitedKingdom_1834_none_020122</v>
      </c>
      <c r="S250" s="54" t="str">
        <f>IFERROR(__xludf.DUMMYFUNCTION("""COMPUTED_VALUE"""),"saletructiep_UnitedKingdom.VTV.PTATT_PTATT_LD005")</f>
        <v>saletructiep_UnitedKingdom.VTV.PTATT_PTATT_LD005</v>
      </c>
      <c r="T250" s="54"/>
      <c r="U250" s="56"/>
    </row>
    <row r="251">
      <c r="A251" s="80" t="s">
        <v>594</v>
      </c>
      <c r="B251" s="73" t="s">
        <v>166</v>
      </c>
      <c r="C251" s="54" t="str">
        <f>IFERROR(__xludf.DUMMYFUNCTION("""COMPUTED_VALUE"""),"LD005")</f>
        <v>LD005</v>
      </c>
      <c r="D251" s="73" t="s">
        <v>42</v>
      </c>
      <c r="E251" s="73" t="s">
        <v>79</v>
      </c>
      <c r="F251" s="55" t="s">
        <v>258</v>
      </c>
      <c r="G251" s="73">
        <v>1834.0</v>
      </c>
      <c r="H251" s="73" t="s">
        <v>75</v>
      </c>
      <c r="I251" s="55" t="s">
        <v>598</v>
      </c>
      <c r="J251" s="55" t="s">
        <v>598</v>
      </c>
      <c r="K251" s="73" t="s">
        <v>61</v>
      </c>
      <c r="L251" s="73" t="s">
        <v>317</v>
      </c>
      <c r="M251" s="73" t="s">
        <v>78</v>
      </c>
      <c r="N251" s="73" t="s">
        <v>79</v>
      </c>
      <c r="O251" s="73" t="s">
        <v>224</v>
      </c>
      <c r="P251" s="73" t="s">
        <v>110</v>
      </c>
      <c r="Q251" s="54" t="str">
        <f>IFERROR(__xludf.DUMMYFUNCTION("""COMPUTED_VALUE"""),"Germany.VTV.PTATT_XuBen.5018_MES_HuyNV_020122")</f>
        <v>Germany.VTV.PTATT_XuBen.5018_MES_HuyNV_020122</v>
      </c>
      <c r="R251" s="54" t="str">
        <f>IFERROR(__xludf.DUMMYFUNCTION("""COMPUTED_VALUE"""),"NEW_Germany_1834_none_020122")</f>
        <v>NEW_Germany_1834_none_020122</v>
      </c>
      <c r="S251" s="54" t="str">
        <f>IFERROR(__xludf.DUMMYFUNCTION("""COMPUTED_VALUE"""),"saletructiep_Germany.VTV.PTATT_PTATT_LD005")</f>
        <v>saletructiep_Germany.VTV.PTATT_PTATT_LD005</v>
      </c>
      <c r="T251" s="54"/>
      <c r="U251" s="56"/>
    </row>
    <row r="252">
      <c r="A252" s="80" t="s">
        <v>594</v>
      </c>
      <c r="B252" s="73" t="s">
        <v>166</v>
      </c>
      <c r="C252" s="54" t="str">
        <f>IFERROR(__xludf.DUMMYFUNCTION("""COMPUTED_VALUE"""),"LD005")</f>
        <v>LD005</v>
      </c>
      <c r="D252" s="73" t="s">
        <v>42</v>
      </c>
      <c r="E252" s="73" t="s">
        <v>79</v>
      </c>
      <c r="F252" s="55" t="s">
        <v>461</v>
      </c>
      <c r="G252" s="73">
        <v>1834.0</v>
      </c>
      <c r="H252" s="73" t="s">
        <v>75</v>
      </c>
      <c r="I252" s="55" t="s">
        <v>599</v>
      </c>
      <c r="J252" s="55" t="s">
        <v>599</v>
      </c>
      <c r="K252" s="73" t="s">
        <v>61</v>
      </c>
      <c r="L252" s="73" t="s">
        <v>317</v>
      </c>
      <c r="M252" s="73" t="s">
        <v>78</v>
      </c>
      <c r="N252" s="73" t="s">
        <v>79</v>
      </c>
      <c r="O252" s="73" t="s">
        <v>224</v>
      </c>
      <c r="P252" s="73" t="s">
        <v>110</v>
      </c>
      <c r="Q252" s="54" t="str">
        <f>IFERROR(__xludf.DUMMYFUNCTION("""COMPUTED_VALUE"""),"CzechRepublic.VTV.PTATT_XuBen.5018_MES_HuyNV_020122")</f>
        <v>CzechRepublic.VTV.PTATT_XuBen.5018_MES_HuyNV_020122</v>
      </c>
      <c r="R252" s="54" t="str">
        <f>IFERROR(__xludf.DUMMYFUNCTION("""COMPUTED_VALUE"""),"NEW_CzechRepublic_1834_none_020122")</f>
        <v>NEW_CzechRepublic_1834_none_020122</v>
      </c>
      <c r="S252" s="54" t="str">
        <f>IFERROR(__xludf.DUMMYFUNCTION("""COMPUTED_VALUE"""),"saletructiep_CzechRepublic.VTV.PTATT_PTATT_LD005")</f>
        <v>saletructiep_CzechRepublic.VTV.PTATT_PTATT_LD005</v>
      </c>
      <c r="T252" s="54"/>
      <c r="U252" s="56"/>
    </row>
    <row r="253">
      <c r="A253" s="80" t="s">
        <v>594</v>
      </c>
      <c r="B253" s="73" t="s">
        <v>166</v>
      </c>
      <c r="C253" s="54" t="str">
        <f>IFERROR(__xludf.DUMMYFUNCTION("""COMPUTED_VALUE"""),"LD005")</f>
        <v>LD005</v>
      </c>
      <c r="D253" s="73" t="s">
        <v>42</v>
      </c>
      <c r="E253" s="73" t="s">
        <v>79</v>
      </c>
      <c r="F253" s="55" t="s">
        <v>182</v>
      </c>
      <c r="G253" s="73">
        <v>1834.0</v>
      </c>
      <c r="H253" s="73" t="s">
        <v>75</v>
      </c>
      <c r="I253" s="55" t="s">
        <v>600</v>
      </c>
      <c r="J253" s="55" t="s">
        <v>600</v>
      </c>
      <c r="K253" s="73" t="s">
        <v>61</v>
      </c>
      <c r="L253" s="73" t="s">
        <v>317</v>
      </c>
      <c r="M253" s="73" t="s">
        <v>78</v>
      </c>
      <c r="N253" s="73" t="s">
        <v>79</v>
      </c>
      <c r="O253" s="73" t="s">
        <v>224</v>
      </c>
      <c r="P253" s="73" t="s">
        <v>110</v>
      </c>
      <c r="Q253" s="54" t="str">
        <f>IFERROR(__xludf.DUMMYFUNCTION("""COMPUTED_VALUE"""),"Malaysia.VTV.PTATT_XuBen.5018_MES_HuyNV_020122")</f>
        <v>Malaysia.VTV.PTATT_XuBen.5018_MES_HuyNV_020122</v>
      </c>
      <c r="R253" s="54" t="str">
        <f>IFERROR(__xludf.DUMMYFUNCTION("""COMPUTED_VALUE"""),"NEW_Malaysia_1834_none_020122")</f>
        <v>NEW_Malaysia_1834_none_020122</v>
      </c>
      <c r="S253" s="54" t="str">
        <f>IFERROR(__xludf.DUMMYFUNCTION("""COMPUTED_VALUE"""),"saletructiep_Malaysia.VTV.PTATT_PTATT_LD005")</f>
        <v>saletructiep_Malaysia.VTV.PTATT_PTATT_LD005</v>
      </c>
      <c r="T253" s="54"/>
      <c r="U253" s="56"/>
    </row>
    <row r="254">
      <c r="A254" s="80" t="s">
        <v>594</v>
      </c>
      <c r="B254" s="73" t="s">
        <v>166</v>
      </c>
      <c r="C254" s="54" t="str">
        <f>IFERROR(__xludf.DUMMYFUNCTION("""COMPUTED_VALUE"""),"LD005")</f>
        <v>LD005</v>
      </c>
      <c r="D254" s="73" t="s">
        <v>42</v>
      </c>
      <c r="E254" s="73" t="s">
        <v>79</v>
      </c>
      <c r="F254" s="55" t="s">
        <v>119</v>
      </c>
      <c r="G254" s="73">
        <v>1834.0</v>
      </c>
      <c r="H254" s="73" t="s">
        <v>75</v>
      </c>
      <c r="I254" s="55" t="s">
        <v>601</v>
      </c>
      <c r="J254" s="55" t="s">
        <v>601</v>
      </c>
      <c r="K254" s="73" t="s">
        <v>61</v>
      </c>
      <c r="L254" s="73" t="s">
        <v>317</v>
      </c>
      <c r="M254" s="73" t="s">
        <v>78</v>
      </c>
      <c r="N254" s="73" t="s">
        <v>79</v>
      </c>
      <c r="O254" s="73" t="s">
        <v>224</v>
      </c>
      <c r="P254" s="73" t="s">
        <v>110</v>
      </c>
      <c r="Q254" s="54" t="str">
        <f>IFERROR(__xludf.DUMMYFUNCTION("""COMPUTED_VALUE"""),"NewZealand.VTV.PTATT_XuBen.5018_MES_HuyNV_020122")</f>
        <v>NewZealand.VTV.PTATT_XuBen.5018_MES_HuyNV_020122</v>
      </c>
      <c r="R254" s="54" t="str">
        <f>IFERROR(__xludf.DUMMYFUNCTION("""COMPUTED_VALUE"""),"NEW_NewZealand_1834_none_020122")</f>
        <v>NEW_NewZealand_1834_none_020122</v>
      </c>
      <c r="S254" s="54" t="str">
        <f>IFERROR(__xludf.DUMMYFUNCTION("""COMPUTED_VALUE"""),"saletructiep_NewZealand.VTV.PTATT_PTATT_LD005")</f>
        <v>saletructiep_NewZealand.VTV.PTATT_PTATT_LD005</v>
      </c>
      <c r="T254" s="54"/>
      <c r="U254" s="56"/>
    </row>
    <row r="255">
      <c r="A255" s="64" t="s">
        <v>602</v>
      </c>
      <c r="B255" s="73" t="s">
        <v>166</v>
      </c>
      <c r="C255" s="54" t="str">
        <f>IFERROR(__xludf.DUMMYFUNCTION("""COMPUTED_VALUE"""),"LD005")</f>
        <v>LD005</v>
      </c>
      <c r="D255" s="55" t="s">
        <v>603</v>
      </c>
      <c r="E255" s="55" t="s">
        <v>604</v>
      </c>
      <c r="F255" s="55" t="s">
        <v>199</v>
      </c>
      <c r="G255" s="55" t="s">
        <v>605</v>
      </c>
      <c r="H255" s="55" t="s">
        <v>341</v>
      </c>
      <c r="I255" s="55" t="s">
        <v>341</v>
      </c>
      <c r="J255" s="55" t="s">
        <v>605</v>
      </c>
      <c r="K255" s="55" t="s">
        <v>61</v>
      </c>
      <c r="L255" s="55" t="s">
        <v>70</v>
      </c>
      <c r="M255" s="55" t="s">
        <v>116</v>
      </c>
      <c r="N255" s="55" t="s">
        <v>606</v>
      </c>
      <c r="O255" s="55" t="s">
        <v>70</v>
      </c>
      <c r="P255" s="55" t="s">
        <v>70</v>
      </c>
      <c r="Q255" s="54" t="str">
        <f>IFERROR(__xludf.DUMMYFUNCTION("""COMPUTED_VALUE"""),"DuongNB_NON_LEAK_DuongNB_020722")</f>
        <v>DuongNB_NON_LEAK_DuongNB_020722</v>
      </c>
      <c r="R255" s="54" t="str">
        <f>IFERROR(__xludf.DUMMYFUNCTION("""COMPUTED_VALUE"""),"NON_Vietnam_non_none_020722")</f>
        <v>NON_Vietnam_non_none_020722</v>
      </c>
      <c r="S255" s="54" t="str">
        <f>IFERROR(__xludf.DUMMYFUNCTION("""COMPUTED_VALUE"""),"khac_non_NON_LD005")</f>
        <v>khac_non_NON_LD005</v>
      </c>
      <c r="T255" s="54"/>
      <c r="U255" s="56"/>
    </row>
    <row r="256">
      <c r="A256" s="64" t="s">
        <v>602</v>
      </c>
      <c r="B256" s="73" t="s">
        <v>166</v>
      </c>
      <c r="C256" s="54" t="str">
        <f>IFERROR(__xludf.DUMMYFUNCTION("""COMPUTED_VALUE"""),"LD005")</f>
        <v>LD005</v>
      </c>
      <c r="D256" s="55" t="s">
        <v>603</v>
      </c>
      <c r="E256" s="55" t="s">
        <v>604</v>
      </c>
      <c r="F256" s="55" t="s">
        <v>199</v>
      </c>
      <c r="G256" s="55" t="s">
        <v>605</v>
      </c>
      <c r="H256" s="55" t="s">
        <v>91</v>
      </c>
      <c r="I256" s="55" t="s">
        <v>91</v>
      </c>
      <c r="J256" s="55" t="s">
        <v>605</v>
      </c>
      <c r="K256" s="55" t="s">
        <v>61</v>
      </c>
      <c r="L256" s="55" t="s">
        <v>70</v>
      </c>
      <c r="M256" s="55" t="s">
        <v>116</v>
      </c>
      <c r="N256" s="55" t="s">
        <v>606</v>
      </c>
      <c r="O256" s="55" t="s">
        <v>70</v>
      </c>
      <c r="P256" s="55" t="s">
        <v>70</v>
      </c>
      <c r="Q256" s="84" t="str">
        <f>IFERROR(__xludf.DUMMYFUNCTION("""COMPUTED_VALUE"""),"DuyenNTM_NON_LEAK_DuyenNTM_020722")</f>
        <v>DuyenNTM_NON_LEAK_DuyenNTM_020722</v>
      </c>
      <c r="R256" s="84" t="str">
        <f>IFERROR(__xludf.DUMMYFUNCTION("""COMPUTED_VALUE"""),"NON_Vietnam_non_none_020722")</f>
        <v>NON_Vietnam_non_none_020722</v>
      </c>
      <c r="S256" s="84" t="str">
        <f>IFERROR(__xludf.DUMMYFUNCTION("""COMPUTED_VALUE"""),"khac_non_NON_LD005")</f>
        <v>khac_non_NON_LD005</v>
      </c>
      <c r="T256" s="54"/>
      <c r="U256" s="56"/>
    </row>
    <row r="257">
      <c r="A257" s="85" t="s">
        <v>602</v>
      </c>
      <c r="B257" s="73" t="s">
        <v>166</v>
      </c>
      <c r="C257" s="86" t="str">
        <f>IFERROR(__xludf.DUMMYFUNCTION("""COMPUTED_VALUE"""),"LD005")</f>
        <v>LD005</v>
      </c>
      <c r="D257" s="86" t="s">
        <v>603</v>
      </c>
      <c r="E257" s="86" t="s">
        <v>604</v>
      </c>
      <c r="F257" s="86" t="s">
        <v>199</v>
      </c>
      <c r="G257" s="86" t="s">
        <v>605</v>
      </c>
      <c r="H257" s="87" t="s">
        <v>568</v>
      </c>
      <c r="I257" s="87" t="s">
        <v>568</v>
      </c>
      <c r="J257" s="86" t="s">
        <v>605</v>
      </c>
      <c r="K257" s="86" t="s">
        <v>61</v>
      </c>
      <c r="L257" s="86" t="s">
        <v>70</v>
      </c>
      <c r="M257" s="86" t="s">
        <v>116</v>
      </c>
      <c r="N257" s="86" t="s">
        <v>606</v>
      </c>
      <c r="O257" s="86" t="s">
        <v>70</v>
      </c>
      <c r="P257" s="86" t="s">
        <v>70</v>
      </c>
      <c r="Q257" s="86" t="str">
        <f>IFERROR(__xludf.DUMMYFUNCTION("""COMPUTED_VALUE"""),"LinhDK_NON_LEAK_LinhDK_020722")</f>
        <v>LinhDK_NON_LEAK_LinhDK_020722</v>
      </c>
      <c r="R257" s="86" t="str">
        <f>IFERROR(__xludf.DUMMYFUNCTION("""COMPUTED_VALUE"""),"NON_Vietnam_non_none_020722")</f>
        <v>NON_Vietnam_non_none_020722</v>
      </c>
      <c r="S257" s="86" t="str">
        <f>IFERROR(__xludf.DUMMYFUNCTION("""COMPUTED_VALUE"""),"khac_non_NON_LD005")</f>
        <v>khac_non_NON_LD005</v>
      </c>
      <c r="T257" s="54"/>
      <c r="U257" s="56"/>
    </row>
    <row r="258">
      <c r="A258" s="80" t="s">
        <v>594</v>
      </c>
      <c r="B258" s="73" t="s">
        <v>166</v>
      </c>
      <c r="C258" s="54" t="str">
        <f>IFERROR(__xludf.DUMMYFUNCTION("""COMPUTED_VALUE"""),"LD005")</f>
        <v>LD005</v>
      </c>
      <c r="D258" s="73" t="s">
        <v>42</v>
      </c>
      <c r="E258" s="73" t="s">
        <v>79</v>
      </c>
      <c r="F258" s="55" t="s">
        <v>307</v>
      </c>
      <c r="G258" s="73">
        <v>1834.0</v>
      </c>
      <c r="H258" s="73" t="s">
        <v>75</v>
      </c>
      <c r="I258" s="55" t="s">
        <v>607</v>
      </c>
      <c r="J258" s="55" t="s">
        <v>607</v>
      </c>
      <c r="K258" s="73" t="s">
        <v>61</v>
      </c>
      <c r="L258" s="73" t="s">
        <v>317</v>
      </c>
      <c r="M258" s="73" t="s">
        <v>78</v>
      </c>
      <c r="N258" s="73" t="s">
        <v>79</v>
      </c>
      <c r="O258" s="73" t="s">
        <v>224</v>
      </c>
      <c r="P258" s="73" t="s">
        <v>110</v>
      </c>
      <c r="Q258" s="54" t="str">
        <f>IFERROR(__xludf.DUMMYFUNCTION("""COMPUTED_VALUE"""),"HongKong.VTV.PTATT_XuBen.5018_MES_HuyNV_020122")</f>
        <v>HongKong.VTV.PTATT_XuBen.5018_MES_HuyNV_020122</v>
      </c>
      <c r="R258" s="54" t="str">
        <f>IFERROR(__xludf.DUMMYFUNCTION("""COMPUTED_VALUE"""),"NEW_HongKong_1834_none_020122")</f>
        <v>NEW_HongKong_1834_none_020122</v>
      </c>
      <c r="S258" s="54" t="str">
        <f>IFERROR(__xludf.DUMMYFUNCTION("""COMPUTED_VALUE"""),"saletructiep_HongKong.VTV.PTATT_PTATT_LD005")</f>
        <v>saletructiep_HongKong.VTV.PTATT_PTATT_LD005</v>
      </c>
      <c r="T258" s="54"/>
      <c r="U258" s="56"/>
    </row>
    <row r="259">
      <c r="A259" s="80" t="s">
        <v>594</v>
      </c>
      <c r="B259" s="73" t="s">
        <v>166</v>
      </c>
      <c r="C259" s="54" t="str">
        <f>IFERROR(__xludf.DUMMYFUNCTION("""COMPUTED_VALUE"""),"LD005")</f>
        <v>LD005</v>
      </c>
      <c r="D259" s="73" t="s">
        <v>42</v>
      </c>
      <c r="E259" s="73" t="s">
        <v>79</v>
      </c>
      <c r="F259" s="55" t="s">
        <v>608</v>
      </c>
      <c r="G259" s="73">
        <v>1834.0</v>
      </c>
      <c r="H259" s="73" t="s">
        <v>75</v>
      </c>
      <c r="I259" s="55" t="s">
        <v>609</v>
      </c>
      <c r="J259" s="55" t="s">
        <v>609</v>
      </c>
      <c r="K259" s="73" t="s">
        <v>61</v>
      </c>
      <c r="L259" s="73" t="s">
        <v>317</v>
      </c>
      <c r="M259" s="73" t="s">
        <v>78</v>
      </c>
      <c r="N259" s="73" t="s">
        <v>79</v>
      </c>
      <c r="O259" s="73" t="s">
        <v>224</v>
      </c>
      <c r="P259" s="73" t="s">
        <v>110</v>
      </c>
      <c r="Q259" s="54" t="str">
        <f>IFERROR(__xludf.DUMMYFUNCTION("""COMPUTED_VALUE"""),"Macao.VTV.PTATT_XuBen.5018_MES_HuyNV_020122")</f>
        <v>Macao.VTV.PTATT_XuBen.5018_MES_HuyNV_020122</v>
      </c>
      <c r="R259" s="54" t="str">
        <f>IFERROR(__xludf.DUMMYFUNCTION("""COMPUTED_VALUE"""),"NEW_Macao_1834_none_020122")</f>
        <v>NEW_Macao_1834_none_020122</v>
      </c>
      <c r="S259" s="54" t="str">
        <f>IFERROR(__xludf.DUMMYFUNCTION("""COMPUTED_VALUE"""),"saletructiep_Macao.VTV.PTATT_PTATT_LD005")</f>
        <v>saletructiep_Macao.VTV.PTATT_PTATT_LD005</v>
      </c>
      <c r="T259" s="54"/>
      <c r="U259" s="56"/>
    </row>
    <row r="260">
      <c r="A260" s="80" t="s">
        <v>594</v>
      </c>
      <c r="B260" s="73" t="s">
        <v>166</v>
      </c>
      <c r="C260" s="54" t="str">
        <f>IFERROR(__xludf.DUMMYFUNCTION("""COMPUTED_VALUE"""),"LD005")</f>
        <v>LD005</v>
      </c>
      <c r="D260" s="73" t="s">
        <v>42</v>
      </c>
      <c r="E260" s="73" t="s">
        <v>79</v>
      </c>
      <c r="F260" s="55" t="s">
        <v>610</v>
      </c>
      <c r="G260" s="73">
        <v>1834.0</v>
      </c>
      <c r="H260" s="73" t="s">
        <v>75</v>
      </c>
      <c r="I260" s="55" t="s">
        <v>611</v>
      </c>
      <c r="J260" s="55" t="s">
        <v>611</v>
      </c>
      <c r="K260" s="73" t="s">
        <v>61</v>
      </c>
      <c r="L260" s="73" t="s">
        <v>317</v>
      </c>
      <c r="M260" s="73" t="s">
        <v>78</v>
      </c>
      <c r="N260" s="73" t="s">
        <v>79</v>
      </c>
      <c r="O260" s="73" t="s">
        <v>224</v>
      </c>
      <c r="P260" s="73" t="s">
        <v>110</v>
      </c>
      <c r="Q260" s="54" t="str">
        <f>IFERROR(__xludf.DUMMYFUNCTION("""COMPUTED_VALUE"""),"Qatar.VTV.PTATT_XuBen.5018_MES_HuyNV_020122")</f>
        <v>Qatar.VTV.PTATT_XuBen.5018_MES_HuyNV_020122</v>
      </c>
      <c r="R260" s="54" t="str">
        <f>IFERROR(__xludf.DUMMYFUNCTION("""COMPUTED_VALUE"""),"NEW_Qatar_1834_none_020122")</f>
        <v>NEW_Qatar_1834_none_020122</v>
      </c>
      <c r="S260" s="54" t="str">
        <f>IFERROR(__xludf.DUMMYFUNCTION("""COMPUTED_VALUE"""),"saletructiep_Qatar.VTV.PTATT_PTATT_LD005")</f>
        <v>saletructiep_Qatar.VTV.PTATT_PTATT_LD005</v>
      </c>
      <c r="T260" s="54"/>
      <c r="U260" s="56"/>
    </row>
    <row r="261">
      <c r="A261" s="64" t="s">
        <v>612</v>
      </c>
      <c r="B261" s="73" t="s">
        <v>166</v>
      </c>
      <c r="C261" s="54" t="str">
        <f>IFERROR(__xludf.DUMMYFUNCTION("""COMPUTED_VALUE"""),"LD005")</f>
        <v>LD005</v>
      </c>
      <c r="D261" s="73" t="s">
        <v>42</v>
      </c>
      <c r="E261" s="73" t="s">
        <v>79</v>
      </c>
      <c r="F261" s="55" t="s">
        <v>164</v>
      </c>
      <c r="G261" s="73">
        <v>1834.0</v>
      </c>
      <c r="H261" s="73" t="s">
        <v>75</v>
      </c>
      <c r="I261" s="55" t="s">
        <v>586</v>
      </c>
      <c r="J261" s="55" t="s">
        <v>586</v>
      </c>
      <c r="K261" s="73" t="s">
        <v>61</v>
      </c>
      <c r="L261" s="73" t="s">
        <v>317</v>
      </c>
      <c r="M261" s="73" t="s">
        <v>78</v>
      </c>
      <c r="N261" s="73" t="s">
        <v>79</v>
      </c>
      <c r="O261" s="73" t="s">
        <v>224</v>
      </c>
      <c r="P261" s="73" t="s">
        <v>110</v>
      </c>
      <c r="Q261" s="54" t="str">
        <f>IFERROR(__xludf.DUMMYFUNCTION("""COMPUTED_VALUE"""),"Taiwan.H4TrungTam.PTATT_XuBen.5018_MES_HuyNV_210222")</f>
        <v>Taiwan.H4TrungTam.PTATT_XuBen.5018_MES_HuyNV_210222</v>
      </c>
      <c r="R261" s="54" t="str">
        <f>IFERROR(__xludf.DUMMYFUNCTION("""COMPUTED_VALUE"""),"NEW_Taiwan_1834_none_210222")</f>
        <v>NEW_Taiwan_1834_none_210222</v>
      </c>
      <c r="S261" s="54" t="str">
        <f>IFERROR(__xludf.DUMMYFUNCTION("""COMPUTED_VALUE"""),"saletructiep_Taiwan.H4TrungTam.PTATT_PTATT_LD005")</f>
        <v>saletructiep_Taiwan.H4TrungTam.PTATT_PTATT_LD005</v>
      </c>
      <c r="T261" s="54"/>
      <c r="U261" s="56"/>
    </row>
    <row r="262">
      <c r="A262" s="64" t="s">
        <v>613</v>
      </c>
      <c r="B262" s="73" t="s">
        <v>166</v>
      </c>
      <c r="C262" s="54" t="str">
        <f>IFERROR(__xludf.DUMMYFUNCTION("""COMPUTED_VALUE"""),"LD005")</f>
        <v>LD005</v>
      </c>
      <c r="D262" s="73" t="s">
        <v>42</v>
      </c>
      <c r="E262" s="73" t="s">
        <v>79</v>
      </c>
      <c r="F262" s="55" t="s">
        <v>614</v>
      </c>
      <c r="G262" s="73">
        <v>1834.0</v>
      </c>
      <c r="H262" s="73" t="s">
        <v>75</v>
      </c>
      <c r="I262" s="55" t="s">
        <v>615</v>
      </c>
      <c r="J262" s="55" t="s">
        <v>615</v>
      </c>
      <c r="K262" s="73" t="s">
        <v>61</v>
      </c>
      <c r="L262" s="73" t="s">
        <v>317</v>
      </c>
      <c r="M262" s="73" t="s">
        <v>78</v>
      </c>
      <c r="N262" s="73" t="s">
        <v>79</v>
      </c>
      <c r="O262" s="73" t="s">
        <v>224</v>
      </c>
      <c r="P262" s="73" t="s">
        <v>110</v>
      </c>
      <c r="Q262" s="54" t="str">
        <f>IFERROR(__xludf.DUMMYFUNCTION("""COMPUTED_VALUE"""),"Korea.H4TrungTam.PTATT_XuBen.5018_MES_HuyNV_020322")</f>
        <v>Korea.H4TrungTam.PTATT_XuBen.5018_MES_HuyNV_020322</v>
      </c>
      <c r="R262" s="54" t="str">
        <f>IFERROR(__xludf.DUMMYFUNCTION("""COMPUTED_VALUE"""),"NEW_Korea_1834_none_020322")</f>
        <v>NEW_Korea_1834_none_020322</v>
      </c>
      <c r="S262" s="54" t="str">
        <f>IFERROR(__xludf.DUMMYFUNCTION("""COMPUTED_VALUE"""),"saletructiep_Korea.H4TrungTam.PTATT_PTATT_LD005")</f>
        <v>saletructiep_Korea.H4TrungTam.PTATT_PTATT_LD005</v>
      </c>
      <c r="T262" s="54"/>
      <c r="U262" s="56"/>
    </row>
    <row r="263">
      <c r="A263" s="64" t="s">
        <v>613</v>
      </c>
      <c r="B263" s="73" t="s">
        <v>166</v>
      </c>
      <c r="C263" s="54" t="str">
        <f>IFERROR(__xludf.DUMMYFUNCTION("""COMPUTED_VALUE"""),"LD005")</f>
        <v>LD005</v>
      </c>
      <c r="D263" s="73" t="s">
        <v>42</v>
      </c>
      <c r="E263" s="73" t="s">
        <v>79</v>
      </c>
      <c r="F263" s="55" t="s">
        <v>112</v>
      </c>
      <c r="G263" s="73">
        <v>1834.0</v>
      </c>
      <c r="H263" s="73" t="s">
        <v>75</v>
      </c>
      <c r="I263" s="55" t="s">
        <v>555</v>
      </c>
      <c r="J263" s="55" t="s">
        <v>555</v>
      </c>
      <c r="K263" s="73" t="s">
        <v>61</v>
      </c>
      <c r="L263" s="73" t="s">
        <v>317</v>
      </c>
      <c r="M263" s="73" t="s">
        <v>78</v>
      </c>
      <c r="N263" s="73" t="s">
        <v>79</v>
      </c>
      <c r="O263" s="73" t="s">
        <v>224</v>
      </c>
      <c r="P263" s="73" t="s">
        <v>110</v>
      </c>
      <c r="Q263" s="54" t="str">
        <f>IFERROR(__xludf.DUMMYFUNCTION("""COMPUTED_VALUE"""),"Canada.H4TrungTam.PTATT_XuBen.5018_MES_HuyNV_020322")</f>
        <v>Canada.H4TrungTam.PTATT_XuBen.5018_MES_HuyNV_020322</v>
      </c>
      <c r="R263" s="54" t="str">
        <f>IFERROR(__xludf.DUMMYFUNCTION("""COMPUTED_VALUE"""),"NEW_Canada_1834_none_020322")</f>
        <v>NEW_Canada_1834_none_020322</v>
      </c>
      <c r="S263" s="54" t="str">
        <f>IFERROR(__xludf.DUMMYFUNCTION("""COMPUTED_VALUE"""),"saletructiep_Canada.H4TrungTam.PTATT_PTATT_LD005")</f>
        <v>saletructiep_Canada.H4TrungTam.PTATT_PTATT_LD005</v>
      </c>
      <c r="T263" s="54"/>
      <c r="U263" s="56"/>
    </row>
    <row r="264">
      <c r="A264" s="64" t="s">
        <v>613</v>
      </c>
      <c r="B264" s="73" t="s">
        <v>166</v>
      </c>
      <c r="C264" s="54" t="str">
        <f>IFERROR(__xludf.DUMMYFUNCTION("""COMPUTED_VALUE"""),"LD005")</f>
        <v>LD005</v>
      </c>
      <c r="D264" s="73" t="s">
        <v>42</v>
      </c>
      <c r="E264" s="73" t="s">
        <v>79</v>
      </c>
      <c r="F264" s="55" t="s">
        <v>162</v>
      </c>
      <c r="G264" s="73">
        <v>1834.0</v>
      </c>
      <c r="H264" s="73" t="s">
        <v>75</v>
      </c>
      <c r="I264" s="55" t="s">
        <v>547</v>
      </c>
      <c r="J264" s="55" t="s">
        <v>547</v>
      </c>
      <c r="K264" s="73" t="s">
        <v>61</v>
      </c>
      <c r="L264" s="73" t="s">
        <v>317</v>
      </c>
      <c r="M264" s="73" t="s">
        <v>78</v>
      </c>
      <c r="N264" s="73" t="s">
        <v>79</v>
      </c>
      <c r="O264" s="73" t="s">
        <v>224</v>
      </c>
      <c r="P264" s="73" t="s">
        <v>110</v>
      </c>
      <c r="Q264" s="54" t="str">
        <f>IFERROR(__xludf.DUMMYFUNCTION("""COMPUTED_VALUE"""),"Singapore.H4TrungTam.PTATT_XuBen.5018_MES_HuyNV_020322")</f>
        <v>Singapore.H4TrungTam.PTATT_XuBen.5018_MES_HuyNV_020322</v>
      </c>
      <c r="R264" s="54" t="str">
        <f>IFERROR(__xludf.DUMMYFUNCTION("""COMPUTED_VALUE"""),"NEW_Singapore_1834_none_020322")</f>
        <v>NEW_Singapore_1834_none_020322</v>
      </c>
      <c r="S264" s="54" t="str">
        <f>IFERROR(__xludf.DUMMYFUNCTION("""COMPUTED_VALUE"""),"saletructiep_Singapore.H4TrungTam.PTATT_PTATT_LD005")</f>
        <v>saletructiep_Singapore.H4TrungTam.PTATT_PTATT_LD005</v>
      </c>
      <c r="T264" s="54"/>
      <c r="U264" s="56"/>
    </row>
    <row r="265">
      <c r="A265" s="64" t="s">
        <v>613</v>
      </c>
      <c r="B265" s="73" t="s">
        <v>166</v>
      </c>
      <c r="C265" s="54" t="str">
        <f>IFERROR(__xludf.DUMMYFUNCTION("""COMPUTED_VALUE"""),"LD005")</f>
        <v>LD005</v>
      </c>
      <c r="D265" s="73" t="s">
        <v>42</v>
      </c>
      <c r="E265" s="73" t="s">
        <v>79</v>
      </c>
      <c r="F265" s="55" t="s">
        <v>616</v>
      </c>
      <c r="G265" s="73">
        <v>1834.0</v>
      </c>
      <c r="H265" s="73" t="s">
        <v>75</v>
      </c>
      <c r="I265" s="55" t="s">
        <v>617</v>
      </c>
      <c r="J265" s="55" t="s">
        <v>617</v>
      </c>
      <c r="K265" s="73" t="s">
        <v>61</v>
      </c>
      <c r="L265" s="73" t="s">
        <v>317</v>
      </c>
      <c r="M265" s="73" t="s">
        <v>78</v>
      </c>
      <c r="N265" s="73" t="s">
        <v>79</v>
      </c>
      <c r="O265" s="73" t="s">
        <v>224</v>
      </c>
      <c r="P265" s="73" t="s">
        <v>110</v>
      </c>
      <c r="Q265" s="54" t="str">
        <f>IFERROR(__xludf.DUMMYFUNCTION("""COMPUTED_VALUE"""),"India.H4TrungTam.PTATT_XuBen.5018_MES_HuyNV_020322")</f>
        <v>India.H4TrungTam.PTATT_XuBen.5018_MES_HuyNV_020322</v>
      </c>
      <c r="R265" s="54" t="str">
        <f>IFERROR(__xludf.DUMMYFUNCTION("""COMPUTED_VALUE"""),"NEW_India_1834_none_020322")</f>
        <v>NEW_India_1834_none_020322</v>
      </c>
      <c r="S265" s="54" t="str">
        <f>IFERROR(__xludf.DUMMYFUNCTION("""COMPUTED_VALUE"""),"saletructiep_India.H4TrungTam.PTATT_PTATT_LD005")</f>
        <v>saletructiep_India.H4TrungTam.PTATT_PTATT_LD005</v>
      </c>
      <c r="T265" s="54"/>
      <c r="U265" s="56"/>
    </row>
    <row r="266">
      <c r="A266" s="64" t="s">
        <v>618</v>
      </c>
      <c r="B266" s="73" t="s">
        <v>166</v>
      </c>
      <c r="C266" s="54" t="str">
        <f>IFERROR(__xludf.DUMMYFUNCTION("""COMPUTED_VALUE"""),"LD005")</f>
        <v>LD005</v>
      </c>
      <c r="D266" s="73" t="s">
        <v>42</v>
      </c>
      <c r="E266" s="73" t="s">
        <v>79</v>
      </c>
      <c r="F266" s="55" t="s">
        <v>107</v>
      </c>
      <c r="G266" s="73">
        <v>1834.0</v>
      </c>
      <c r="H266" s="73" t="s">
        <v>75</v>
      </c>
      <c r="I266" s="55" t="s">
        <v>619</v>
      </c>
      <c r="J266" s="55" t="s">
        <v>619</v>
      </c>
      <c r="K266" s="73" t="s">
        <v>61</v>
      </c>
      <c r="L266" s="73" t="s">
        <v>317</v>
      </c>
      <c r="M266" s="73" t="s">
        <v>78</v>
      </c>
      <c r="N266" s="73" t="s">
        <v>79</v>
      </c>
      <c r="O266" s="73" t="s">
        <v>224</v>
      </c>
      <c r="P266" s="73" t="s">
        <v>110</v>
      </c>
      <c r="Q266" s="54" t="str">
        <f>IFERROR(__xludf.DUMMYFUNCTION("""COMPUTED_VALUE"""),"UnitedStates.AnhThongBao.PTATT_XuBen.5018_MES_HuyNV_030322")</f>
        <v>UnitedStates.AnhThongBao.PTATT_XuBen.5018_MES_HuyNV_030322</v>
      </c>
      <c r="R266" s="54" t="str">
        <f>IFERROR(__xludf.DUMMYFUNCTION("""COMPUTED_VALUE"""),"NEW_UnitedStates_1834_none_030322")</f>
        <v>NEW_UnitedStates_1834_none_030322</v>
      </c>
      <c r="S266" s="54" t="str">
        <f>IFERROR(__xludf.DUMMYFUNCTION("""COMPUTED_VALUE"""),"saletructiep_UnitedStates.AnhThongBao.PTATT_PTATT_LD005")</f>
        <v>saletructiep_UnitedStates.AnhThongBao.PTATT_PTATT_LD005</v>
      </c>
      <c r="T266" s="54"/>
      <c r="U266" s="56"/>
    </row>
    <row r="267">
      <c r="A267" s="64" t="s">
        <v>618</v>
      </c>
      <c r="B267" s="73" t="s">
        <v>166</v>
      </c>
      <c r="C267" s="54" t="str">
        <f>IFERROR(__xludf.DUMMYFUNCTION("""COMPUTED_VALUE"""),"LD005")</f>
        <v>LD005</v>
      </c>
      <c r="D267" s="73" t="s">
        <v>42</v>
      </c>
      <c r="E267" s="73" t="s">
        <v>79</v>
      </c>
      <c r="F267" s="55" t="s">
        <v>133</v>
      </c>
      <c r="G267" s="73">
        <v>1834.0</v>
      </c>
      <c r="H267" s="73" t="s">
        <v>75</v>
      </c>
      <c r="I267" s="55" t="s">
        <v>620</v>
      </c>
      <c r="J267" s="55" t="s">
        <v>620</v>
      </c>
      <c r="K267" s="73" t="s">
        <v>61</v>
      </c>
      <c r="L267" s="73" t="s">
        <v>317</v>
      </c>
      <c r="M267" s="73" t="s">
        <v>78</v>
      </c>
      <c r="N267" s="73" t="s">
        <v>79</v>
      </c>
      <c r="O267" s="73" t="s">
        <v>224</v>
      </c>
      <c r="P267" s="73" t="s">
        <v>110</v>
      </c>
      <c r="Q267" s="54" t="str">
        <f>IFERROR(__xludf.DUMMYFUNCTION("""COMPUTED_VALUE"""),"Japan.AnhThongBao.PTATT_XuBen.5018_MES_HuyNV_030322")</f>
        <v>Japan.AnhThongBao.PTATT_XuBen.5018_MES_HuyNV_030322</v>
      </c>
      <c r="R267" s="54" t="str">
        <f>IFERROR(__xludf.DUMMYFUNCTION("""COMPUTED_VALUE"""),"NEW_Japan_1834_none_030322")</f>
        <v>NEW_Japan_1834_none_030322</v>
      </c>
      <c r="S267" s="54" t="str">
        <f>IFERROR(__xludf.DUMMYFUNCTION("""COMPUTED_VALUE"""),"saletructiep_Japan.AnhThongBao.PTATT_PTATT_LD005")</f>
        <v>saletructiep_Japan.AnhThongBao.PTATT_PTATT_LD005</v>
      </c>
      <c r="T267" s="54"/>
      <c r="U267" s="56"/>
    </row>
    <row r="268">
      <c r="A268" s="64" t="s">
        <v>618</v>
      </c>
      <c r="B268" s="73" t="s">
        <v>166</v>
      </c>
      <c r="C268" s="54" t="str">
        <f>IFERROR(__xludf.DUMMYFUNCTION("""COMPUTED_VALUE"""),"LD005")</f>
        <v>LD005</v>
      </c>
      <c r="D268" s="73" t="s">
        <v>42</v>
      </c>
      <c r="E268" s="73" t="s">
        <v>79</v>
      </c>
      <c r="F268" s="55" t="s">
        <v>112</v>
      </c>
      <c r="G268" s="73">
        <v>1834.0</v>
      </c>
      <c r="H268" s="73" t="s">
        <v>75</v>
      </c>
      <c r="I268" s="55" t="s">
        <v>621</v>
      </c>
      <c r="J268" s="55" t="s">
        <v>621</v>
      </c>
      <c r="K268" s="73" t="s">
        <v>61</v>
      </c>
      <c r="L268" s="73" t="s">
        <v>317</v>
      </c>
      <c r="M268" s="73" t="s">
        <v>78</v>
      </c>
      <c r="N268" s="73" t="s">
        <v>79</v>
      </c>
      <c r="O268" s="73" t="s">
        <v>224</v>
      </c>
      <c r="P268" s="73" t="s">
        <v>110</v>
      </c>
      <c r="Q268" s="54" t="str">
        <f>IFERROR(__xludf.DUMMYFUNCTION("""COMPUTED_VALUE"""),"Canada.AnhThongBao.PTATT_XuBen.5018_MES_HuyNV_030322")</f>
        <v>Canada.AnhThongBao.PTATT_XuBen.5018_MES_HuyNV_030322</v>
      </c>
      <c r="R268" s="54" t="str">
        <f>IFERROR(__xludf.DUMMYFUNCTION("""COMPUTED_VALUE"""),"NEW_Canada_1834_none_030322")</f>
        <v>NEW_Canada_1834_none_030322</v>
      </c>
      <c r="S268" s="54" t="str">
        <f>IFERROR(__xludf.DUMMYFUNCTION("""COMPUTED_VALUE"""),"saletructiep_Canada.AnhThongBao.PTATT_PTATT_LD005")</f>
        <v>saletructiep_Canada.AnhThongBao.PTATT_PTATT_LD005</v>
      </c>
      <c r="T268" s="54"/>
      <c r="U268" s="56"/>
    </row>
    <row r="269">
      <c r="A269" s="64" t="s">
        <v>622</v>
      </c>
      <c r="B269" s="73" t="s">
        <v>166</v>
      </c>
      <c r="C269" s="54" t="str">
        <f>IFERROR(__xludf.DUMMYFUNCTION("""COMPUTED_VALUE"""),"LD005")</f>
        <v>LD005</v>
      </c>
      <c r="D269" s="73" t="s">
        <v>42</v>
      </c>
      <c r="E269" s="73" t="s">
        <v>79</v>
      </c>
      <c r="F269" s="55" t="s">
        <v>129</v>
      </c>
      <c r="G269" s="73">
        <v>1834.0</v>
      </c>
      <c r="H269" s="73" t="s">
        <v>75</v>
      </c>
      <c r="I269" s="55" t="s">
        <v>623</v>
      </c>
      <c r="J269" s="55" t="s">
        <v>623</v>
      </c>
      <c r="K269" s="73" t="s">
        <v>61</v>
      </c>
      <c r="L269" s="73" t="s">
        <v>317</v>
      </c>
      <c r="M269" s="73" t="s">
        <v>78</v>
      </c>
      <c r="N269" s="73" t="s">
        <v>79</v>
      </c>
      <c r="O269" s="73" t="s">
        <v>224</v>
      </c>
      <c r="P269" s="73" t="s">
        <v>110</v>
      </c>
      <c r="Q269" s="54" t="str">
        <f>IFERROR(__xludf.DUMMYFUNCTION("""COMPUTED_VALUE"""),"Australia.AnhThongBao.PTATT_XuBen.5018_MES_HuyNV_040322")</f>
        <v>Australia.AnhThongBao.PTATT_XuBen.5018_MES_HuyNV_040322</v>
      </c>
      <c r="R269" s="54" t="str">
        <f>IFERROR(__xludf.DUMMYFUNCTION("""COMPUTED_VALUE"""),"NEW_Australia_1834_none_040322")</f>
        <v>NEW_Australia_1834_none_040322</v>
      </c>
      <c r="S269" s="54" t="str">
        <f>IFERROR(__xludf.DUMMYFUNCTION("""COMPUTED_VALUE"""),"saletructiep_Australia.AnhThongBao.PTATT_PTATT_LD005")</f>
        <v>saletructiep_Australia.AnhThongBao.PTATT_PTATT_LD005</v>
      </c>
      <c r="T269" s="54"/>
      <c r="U269" s="56"/>
    </row>
    <row r="270">
      <c r="A270" s="64" t="s">
        <v>624</v>
      </c>
      <c r="B270" s="73" t="s">
        <v>166</v>
      </c>
      <c r="C270" s="54" t="str">
        <f>IFERROR(__xludf.DUMMYFUNCTION("""COMPUTED_VALUE"""),"LD005")</f>
        <v>LD005</v>
      </c>
      <c r="D270" s="73" t="s">
        <v>42</v>
      </c>
      <c r="E270" s="73" t="s">
        <v>79</v>
      </c>
      <c r="F270" s="55" t="s">
        <v>625</v>
      </c>
      <c r="G270" s="73">
        <v>1834.0</v>
      </c>
      <c r="H270" s="73" t="s">
        <v>75</v>
      </c>
      <c r="I270" s="55" t="s">
        <v>626</v>
      </c>
      <c r="J270" s="55" t="s">
        <v>626</v>
      </c>
      <c r="K270" s="73" t="s">
        <v>61</v>
      </c>
      <c r="L270" s="73" t="s">
        <v>317</v>
      </c>
      <c r="M270" s="73" t="s">
        <v>78</v>
      </c>
      <c r="N270" s="73" t="s">
        <v>79</v>
      </c>
      <c r="O270" s="73" t="s">
        <v>224</v>
      </c>
      <c r="P270" s="73" t="s">
        <v>110</v>
      </c>
      <c r="Q270" s="54" t="str">
        <f>IFERROR(__xludf.DUMMYFUNCTION("""COMPUTED_VALUE"""),"KoreaSouth.AnhThongBao.PTATT_XuBen.5018_MES_HuyNV_060322")</f>
        <v>KoreaSouth.AnhThongBao.PTATT_XuBen.5018_MES_HuyNV_060322</v>
      </c>
      <c r="R270" s="54" t="str">
        <f>IFERROR(__xludf.DUMMYFUNCTION("""COMPUTED_VALUE"""),"NEW_KoreaSouth_1834_none_060322")</f>
        <v>NEW_KoreaSouth_1834_none_060322</v>
      </c>
      <c r="S270" s="54" t="str">
        <f>IFERROR(__xludf.DUMMYFUNCTION("""COMPUTED_VALUE"""),"saletructiep_KoreaSouth.AnhThongBao.PTATT_PTATT_LD005")</f>
        <v>saletructiep_KoreaSouth.AnhThongBao.PTATT_PTATT_LD005</v>
      </c>
      <c r="T270" s="54"/>
      <c r="U270" s="56"/>
    </row>
    <row r="271">
      <c r="A271" s="80" t="s">
        <v>624</v>
      </c>
      <c r="B271" s="73" t="s">
        <v>166</v>
      </c>
      <c r="C271" s="54" t="str">
        <f>IFERROR(__xludf.DUMMYFUNCTION("""COMPUTED_VALUE"""),"LD005")</f>
        <v>LD005</v>
      </c>
      <c r="D271" s="73" t="s">
        <v>42</v>
      </c>
      <c r="E271" s="73" t="s">
        <v>79</v>
      </c>
      <c r="F271" s="55" t="s">
        <v>162</v>
      </c>
      <c r="G271" s="73">
        <v>1834.0</v>
      </c>
      <c r="H271" s="73" t="s">
        <v>75</v>
      </c>
      <c r="I271" s="55" t="s">
        <v>627</v>
      </c>
      <c r="J271" s="55" t="s">
        <v>627</v>
      </c>
      <c r="K271" s="73" t="s">
        <v>61</v>
      </c>
      <c r="L271" s="73" t="s">
        <v>317</v>
      </c>
      <c r="M271" s="73" t="s">
        <v>78</v>
      </c>
      <c r="N271" s="73" t="s">
        <v>79</v>
      </c>
      <c r="O271" s="73" t="s">
        <v>224</v>
      </c>
      <c r="P271" s="73" t="s">
        <v>110</v>
      </c>
      <c r="Q271" s="54" t="str">
        <f>IFERROR(__xludf.DUMMYFUNCTION("""COMPUTED_VALUE"""),"Singapore.AnhThongBao.PTATT_XuBen.5018_MES_HuyNV_060322")</f>
        <v>Singapore.AnhThongBao.PTATT_XuBen.5018_MES_HuyNV_060322</v>
      </c>
      <c r="R271" s="54" t="str">
        <f>IFERROR(__xludf.DUMMYFUNCTION("""COMPUTED_VALUE"""),"NEW_Singapore_1834_none_060322")</f>
        <v>NEW_Singapore_1834_none_060322</v>
      </c>
      <c r="S271" s="54" t="str">
        <f>IFERROR(__xludf.DUMMYFUNCTION("""COMPUTED_VALUE"""),"saletructiep_Singapore.AnhThongBao.PTATT_PTATT_LD005")</f>
        <v>saletructiep_Singapore.AnhThongBao.PTATT_PTATT_LD005</v>
      </c>
      <c r="T271" s="54"/>
      <c r="U271" s="56"/>
    </row>
    <row r="272">
      <c r="A272" s="66">
        <v>140322.0</v>
      </c>
      <c r="B272" s="73" t="s">
        <v>166</v>
      </c>
      <c r="C272" s="54" t="str">
        <f>IFERROR(__xludf.DUMMYFUNCTION("""COMPUTED_VALUE"""),"LD005")</f>
        <v>LD005</v>
      </c>
      <c r="D272" s="73" t="s">
        <v>42</v>
      </c>
      <c r="E272" s="73" t="s">
        <v>79</v>
      </c>
      <c r="F272" s="55" t="s">
        <v>608</v>
      </c>
      <c r="G272" s="73">
        <v>1834.0</v>
      </c>
      <c r="H272" s="73" t="s">
        <v>75</v>
      </c>
      <c r="I272" s="55" t="s">
        <v>628</v>
      </c>
      <c r="J272" s="55" t="s">
        <v>628</v>
      </c>
      <c r="K272" s="73" t="s">
        <v>61</v>
      </c>
      <c r="L272" s="73" t="s">
        <v>317</v>
      </c>
      <c r="M272" s="73" t="s">
        <v>78</v>
      </c>
      <c r="N272" s="73" t="s">
        <v>79</v>
      </c>
      <c r="O272" s="73" t="s">
        <v>224</v>
      </c>
      <c r="P272" s="73" t="s">
        <v>110</v>
      </c>
      <c r="Q272" s="54" t="str">
        <f>IFERROR(__xludf.DUMMYFUNCTION("""COMPUTED_VALUE"""),"Macao.AnhThongBao.PTATT_XuBen.5018_MES_HuyNV_140322")</f>
        <v>Macao.AnhThongBao.PTATT_XuBen.5018_MES_HuyNV_140322</v>
      </c>
      <c r="R272" s="54" t="str">
        <f>IFERROR(__xludf.DUMMYFUNCTION("""COMPUTED_VALUE"""),"NEW_Macao_1834_none_140322")</f>
        <v>NEW_Macao_1834_none_140322</v>
      </c>
      <c r="S272" s="54" t="str">
        <f>IFERROR(__xludf.DUMMYFUNCTION("""COMPUTED_VALUE"""),"saletructiep_Macao.AnhThongBao.PTATT_PTATT_LD005")</f>
        <v>saletructiep_Macao.AnhThongBao.PTATT_PTATT_LD005</v>
      </c>
      <c r="T272" s="54"/>
      <c r="U272" s="56"/>
    </row>
    <row r="273">
      <c r="A273" s="66">
        <v>140322.0</v>
      </c>
      <c r="B273" s="73" t="s">
        <v>166</v>
      </c>
      <c r="C273" s="54" t="str">
        <f>IFERROR(__xludf.DUMMYFUNCTION("""COMPUTED_VALUE"""),"LD005")</f>
        <v>LD005</v>
      </c>
      <c r="D273" s="73" t="s">
        <v>42</v>
      </c>
      <c r="E273" s="73" t="s">
        <v>79</v>
      </c>
      <c r="F273" s="55" t="s">
        <v>174</v>
      </c>
      <c r="G273" s="73">
        <v>1834.0</v>
      </c>
      <c r="H273" s="73" t="s">
        <v>75</v>
      </c>
      <c r="I273" s="55" t="s">
        <v>629</v>
      </c>
      <c r="J273" s="55" t="s">
        <v>629</v>
      </c>
      <c r="K273" s="73" t="s">
        <v>61</v>
      </c>
      <c r="L273" s="73" t="s">
        <v>317</v>
      </c>
      <c r="M273" s="73" t="s">
        <v>78</v>
      </c>
      <c r="N273" s="73" t="s">
        <v>79</v>
      </c>
      <c r="O273" s="73" t="s">
        <v>224</v>
      </c>
      <c r="P273" s="73" t="s">
        <v>110</v>
      </c>
      <c r="Q273" s="54" t="str">
        <f>IFERROR(__xludf.DUMMYFUNCTION("""COMPUTED_VALUE"""),"Philippines.AnhThongBao.PTATT_XuBen.5018_MES_HuyNV_140322")</f>
        <v>Philippines.AnhThongBao.PTATT_XuBen.5018_MES_HuyNV_140322</v>
      </c>
      <c r="R273" s="54" t="str">
        <f>IFERROR(__xludf.DUMMYFUNCTION("""COMPUTED_VALUE"""),"NEW_Philippines_1834_none_140322")</f>
        <v>NEW_Philippines_1834_none_140322</v>
      </c>
      <c r="S273" s="54" t="str">
        <f>IFERROR(__xludf.DUMMYFUNCTION("""COMPUTED_VALUE"""),"saletructiep_Philippines.AnhThongBao.PTATT_PTATT_LD005")</f>
        <v>saletructiep_Philippines.AnhThongBao.PTATT_PTATT_LD005</v>
      </c>
      <c r="T273" s="54"/>
      <c r="U273" s="56"/>
    </row>
    <row r="274">
      <c r="A274" s="77">
        <v>100322.0</v>
      </c>
      <c r="B274" s="61" t="s">
        <v>80</v>
      </c>
      <c r="C274" s="54" t="str">
        <f>IFERROR(__xludf.DUMMYFUNCTION("""COMPUTED_VALUE"""),"LD003")</f>
        <v>LD003</v>
      </c>
      <c r="D274" s="55" t="s">
        <v>630</v>
      </c>
      <c r="E274" s="55" t="s">
        <v>631</v>
      </c>
      <c r="F274" s="55" t="s">
        <v>60</v>
      </c>
      <c r="G274" s="55" t="s">
        <v>61</v>
      </c>
      <c r="H274" s="55" t="s">
        <v>336</v>
      </c>
      <c r="I274" s="55" t="s">
        <v>632</v>
      </c>
      <c r="J274" s="55" t="s">
        <v>61</v>
      </c>
      <c r="K274" s="55" t="s">
        <v>61</v>
      </c>
      <c r="L274" s="55" t="s">
        <v>70</v>
      </c>
      <c r="M274" s="55" t="s">
        <v>116</v>
      </c>
      <c r="N274" s="55" t="s">
        <v>70</v>
      </c>
      <c r="O274" s="55" t="s">
        <v>70</v>
      </c>
      <c r="P274" s="73" t="s">
        <v>110</v>
      </c>
      <c r="Q274" s="54" t="str">
        <f>IFERROR(__xludf.DUMMYFUNCTION("""COMPUTED_VALUE"""),"GroupTuXay_NON_NON_LongNV_100322")</f>
        <v>GroupTuXay_NON_NON_LongNV_100322</v>
      </c>
      <c r="R274" s="54" t="str">
        <f>IFERROR(__xludf.DUMMYFUNCTION("""COMPUTED_VALUE"""),"NEW_NONE_none_none_100322")</f>
        <v>NEW_NONE_none_none_100322</v>
      </c>
      <c r="S274" s="54" t="str">
        <f>IFERROR(__xludf.DUMMYFUNCTION("""COMPUTED_VALUE"""),"khac_none_NON_LD003")</f>
        <v>khac_none_NON_LD003</v>
      </c>
      <c r="T274" s="54"/>
      <c r="U274" s="56"/>
    </row>
    <row r="275">
      <c r="A275" s="66">
        <v>140322.0</v>
      </c>
      <c r="B275" s="73" t="s">
        <v>166</v>
      </c>
      <c r="C275" s="54" t="str">
        <f>IFERROR(__xludf.DUMMYFUNCTION("""COMPUTED_VALUE"""),"LD005")</f>
        <v>LD005</v>
      </c>
      <c r="D275" s="73" t="s">
        <v>42</v>
      </c>
      <c r="E275" s="73" t="s">
        <v>79</v>
      </c>
      <c r="F275" s="55" t="s">
        <v>461</v>
      </c>
      <c r="G275" s="73">
        <v>1834.0</v>
      </c>
      <c r="H275" s="73" t="s">
        <v>75</v>
      </c>
      <c r="I275" s="55" t="s">
        <v>633</v>
      </c>
      <c r="J275" s="55" t="s">
        <v>633</v>
      </c>
      <c r="K275" s="55" t="s">
        <v>61</v>
      </c>
      <c r="L275" s="55" t="s">
        <v>317</v>
      </c>
      <c r="M275" s="55" t="s">
        <v>78</v>
      </c>
      <c r="N275" s="55" t="s">
        <v>79</v>
      </c>
      <c r="O275" s="55" t="s">
        <v>224</v>
      </c>
      <c r="P275" s="73" t="s">
        <v>110</v>
      </c>
      <c r="Q275" s="54" t="str">
        <f>IFERROR(__xludf.DUMMYFUNCTION("""COMPUTED_VALUE"""),"CzechRepublic.AnhThongBao.PTATT_XuBen.5018_MES_HuyNV_140322")</f>
        <v>CzechRepublic.AnhThongBao.PTATT_XuBen.5018_MES_HuyNV_140322</v>
      </c>
      <c r="R275" s="54" t="str">
        <f>IFERROR(__xludf.DUMMYFUNCTION("""COMPUTED_VALUE"""),"NEW_CzechRepublic_1834_none_140322")</f>
        <v>NEW_CzechRepublic_1834_none_140322</v>
      </c>
      <c r="S275" s="54" t="str">
        <f>IFERROR(__xludf.DUMMYFUNCTION("""COMPUTED_VALUE"""),"saletructiep_CzechRepublic.AnhThongBao.PTATT_PTATT_LD005")</f>
        <v>saletructiep_CzechRepublic.AnhThongBao.PTATT_PTATT_LD005</v>
      </c>
      <c r="T275" s="54"/>
      <c r="U275" s="56"/>
    </row>
    <row r="276">
      <c r="A276" s="66">
        <v>140322.0</v>
      </c>
      <c r="B276" s="73" t="s">
        <v>166</v>
      </c>
      <c r="C276" s="54" t="str">
        <f>IFERROR(__xludf.DUMMYFUNCTION("""COMPUTED_VALUE"""),"LD005")</f>
        <v>LD005</v>
      </c>
      <c r="D276" s="73" t="s">
        <v>42</v>
      </c>
      <c r="E276" s="73" t="s">
        <v>79</v>
      </c>
      <c r="F276" s="55" t="s">
        <v>119</v>
      </c>
      <c r="G276" s="73">
        <v>1834.0</v>
      </c>
      <c r="H276" s="73" t="s">
        <v>75</v>
      </c>
      <c r="I276" s="55" t="s">
        <v>634</v>
      </c>
      <c r="J276" s="55" t="s">
        <v>634</v>
      </c>
      <c r="K276" s="73" t="s">
        <v>61</v>
      </c>
      <c r="L276" s="73" t="s">
        <v>317</v>
      </c>
      <c r="M276" s="73" t="s">
        <v>78</v>
      </c>
      <c r="N276" s="73" t="s">
        <v>79</v>
      </c>
      <c r="O276" s="73" t="s">
        <v>224</v>
      </c>
      <c r="P276" s="73" t="s">
        <v>110</v>
      </c>
      <c r="Q276" s="54" t="str">
        <f>IFERROR(__xludf.DUMMYFUNCTION("""COMPUTED_VALUE"""),"NewZealand.AnhThongBao.PTATT_XuBen.5018_MES_HuyNV_140322")</f>
        <v>NewZealand.AnhThongBao.PTATT_XuBen.5018_MES_HuyNV_140322</v>
      </c>
      <c r="R276" s="54" t="str">
        <f>IFERROR(__xludf.DUMMYFUNCTION("""COMPUTED_VALUE"""),"NEW_NewZealand_1834_none_140322")</f>
        <v>NEW_NewZealand_1834_none_140322</v>
      </c>
      <c r="S276" s="54" t="str">
        <f>IFERROR(__xludf.DUMMYFUNCTION("""COMPUTED_VALUE"""),"saletructiep_NewZealand.AnhThongBao.PTATT_PTATT_LD005")</f>
        <v>saletructiep_NewZealand.AnhThongBao.PTATT_PTATT_LD005</v>
      </c>
      <c r="T276" s="54"/>
      <c r="U276" s="56"/>
    </row>
    <row r="277">
      <c r="A277" s="66">
        <v>160322.0</v>
      </c>
      <c r="B277" s="73" t="s">
        <v>166</v>
      </c>
      <c r="C277" s="54" t="str">
        <f>IFERROR(__xludf.DUMMYFUNCTION("""COMPUTED_VALUE"""),"LD005")</f>
        <v>LD005</v>
      </c>
      <c r="D277" s="73" t="s">
        <v>42</v>
      </c>
      <c r="E277" s="55" t="s">
        <v>79</v>
      </c>
      <c r="F277" s="55" t="s">
        <v>199</v>
      </c>
      <c r="G277" s="73">
        <v>1834.0</v>
      </c>
      <c r="H277" s="73" t="s">
        <v>75</v>
      </c>
      <c r="I277" s="55" t="s">
        <v>635</v>
      </c>
      <c r="J277" s="73" t="s">
        <v>635</v>
      </c>
      <c r="K277" s="73" t="s">
        <v>61</v>
      </c>
      <c r="L277" s="73" t="s">
        <v>317</v>
      </c>
      <c r="M277" s="73" t="s">
        <v>78</v>
      </c>
      <c r="N277" s="73" t="s">
        <v>79</v>
      </c>
      <c r="O277" s="73" t="s">
        <v>224</v>
      </c>
      <c r="P277" s="73" t="s">
        <v>110</v>
      </c>
      <c r="Q277" s="54" t="str">
        <f>IFERROR(__xludf.DUMMYFUNCTION("""COMPUTED_VALUE"""),"Vietnam.IELTS.AnhLoTrinh.PTATT_XuBen.5018_MES_HuyNV_160322")</f>
        <v>Vietnam.IELTS.AnhLoTrinh.PTATT_XuBen.5018_MES_HuyNV_160322</v>
      </c>
      <c r="R277" s="54" t="str">
        <f>IFERROR(__xludf.DUMMYFUNCTION("""COMPUTED_VALUE"""),"NEW_Vietnam_1834_none_160322")</f>
        <v>NEW_Vietnam_1834_none_160322</v>
      </c>
      <c r="S277" s="54" t="str">
        <f>IFERROR(__xludf.DUMMYFUNCTION("""COMPUTED_VALUE"""),"saletructiep_Vietnam.IELTS.AnhLoTrinh.PTATT_PTATT_LD005")</f>
        <v>saletructiep_Vietnam.IELTS.AnhLoTrinh.PTATT_PTATT_LD005</v>
      </c>
      <c r="T277" s="54"/>
      <c r="U277" s="56"/>
    </row>
    <row r="278">
      <c r="A278" s="66">
        <v>160322.0</v>
      </c>
      <c r="B278" s="73" t="s">
        <v>166</v>
      </c>
      <c r="C278" s="54" t="str">
        <f>IFERROR(__xludf.DUMMYFUNCTION("""COMPUTED_VALUE"""),"LD005")</f>
        <v>LD005</v>
      </c>
      <c r="D278" s="73" t="s">
        <v>42</v>
      </c>
      <c r="E278" s="73" t="s">
        <v>79</v>
      </c>
      <c r="F278" s="55" t="s">
        <v>274</v>
      </c>
      <c r="G278" s="73">
        <v>1834.0</v>
      </c>
      <c r="H278" s="73" t="s">
        <v>75</v>
      </c>
      <c r="I278" s="55" t="s">
        <v>636</v>
      </c>
      <c r="J278" s="73" t="s">
        <v>636</v>
      </c>
      <c r="K278" s="73" t="s">
        <v>61</v>
      </c>
      <c r="L278" s="73" t="s">
        <v>317</v>
      </c>
      <c r="M278" s="73" t="s">
        <v>78</v>
      </c>
      <c r="N278" s="73" t="s">
        <v>79</v>
      </c>
      <c r="O278" s="73" t="s">
        <v>224</v>
      </c>
      <c r="P278" s="73" t="s">
        <v>110</v>
      </c>
      <c r="Q278" s="54" t="str">
        <f>IFERROR(__xludf.DUMMYFUNCTION("""COMPUTED_VALUE"""),"UnitedKingdom.AnhThongBao.PTATT_XuBen.5018_MES_HuyNV_160322")</f>
        <v>UnitedKingdom.AnhThongBao.PTATT_XuBen.5018_MES_HuyNV_160322</v>
      </c>
      <c r="R278" s="54" t="str">
        <f>IFERROR(__xludf.DUMMYFUNCTION("""COMPUTED_VALUE"""),"NEW_UnitedKingdom_1834_none_160322")</f>
        <v>NEW_UnitedKingdom_1834_none_160322</v>
      </c>
      <c r="S278" s="54" t="str">
        <f>IFERROR(__xludf.DUMMYFUNCTION("""COMPUTED_VALUE"""),"saletructiep_UnitedKingdom.AnhThongBao.PTATT_PTATT_LD005")</f>
        <v>saletructiep_UnitedKingdom.AnhThongBao.PTATT_PTATT_LD005</v>
      </c>
      <c r="T278" s="54"/>
      <c r="U278" s="56"/>
    </row>
    <row r="279">
      <c r="A279" s="66">
        <v>210322.0</v>
      </c>
      <c r="B279" s="73" t="s">
        <v>166</v>
      </c>
      <c r="C279" s="54" t="str">
        <f>IFERROR(__xludf.DUMMYFUNCTION("""COMPUTED_VALUE"""),"LD005")</f>
        <v>LD005</v>
      </c>
      <c r="D279" s="73" t="s">
        <v>42</v>
      </c>
      <c r="E279" s="73" t="s">
        <v>79</v>
      </c>
      <c r="F279" s="55" t="s">
        <v>199</v>
      </c>
      <c r="G279" s="73">
        <v>1834.0</v>
      </c>
      <c r="H279" s="73" t="s">
        <v>75</v>
      </c>
      <c r="I279" s="55" t="s">
        <v>637</v>
      </c>
      <c r="J279" s="55" t="s">
        <v>637</v>
      </c>
      <c r="K279" s="73" t="s">
        <v>61</v>
      </c>
      <c r="L279" s="73" t="s">
        <v>317</v>
      </c>
      <c r="M279" s="73" t="s">
        <v>78</v>
      </c>
      <c r="N279" s="73" t="s">
        <v>79</v>
      </c>
      <c r="O279" s="73" t="s">
        <v>224</v>
      </c>
      <c r="P279" s="73" t="s">
        <v>110</v>
      </c>
      <c r="Q279" s="54" t="str">
        <f>IFERROR(__xludf.DUMMYFUNCTION("""COMPUTED_VALUE"""),"Vietnam.VideoSVTinhLe.PTATT_XuBen.5018_MES_HuyNV_210322")</f>
        <v>Vietnam.VideoSVTinhLe.PTATT_XuBen.5018_MES_HuyNV_210322</v>
      </c>
      <c r="R279" s="54" t="str">
        <f>IFERROR(__xludf.DUMMYFUNCTION("""COMPUTED_VALUE"""),"NEW_Vietnam_1834_none_210322")</f>
        <v>NEW_Vietnam_1834_none_210322</v>
      </c>
      <c r="S279" s="54" t="str">
        <f>IFERROR(__xludf.DUMMYFUNCTION("""COMPUTED_VALUE"""),"saletructiep_Vietnam.VideoSVTinhLe.PTATT_PTATT_LD005")</f>
        <v>saletructiep_Vietnam.VideoSVTinhLe.PTATT_PTATT_LD005</v>
      </c>
      <c r="T279" s="54"/>
      <c r="U279" s="56"/>
    </row>
    <row r="280">
      <c r="A280" s="66">
        <v>240322.0</v>
      </c>
      <c r="B280" s="73" t="s">
        <v>166</v>
      </c>
      <c r="C280" s="54" t="str">
        <f>IFERROR(__xludf.DUMMYFUNCTION("""COMPUTED_VALUE"""),"LD005")</f>
        <v>LD005</v>
      </c>
      <c r="D280" s="73" t="s">
        <v>42</v>
      </c>
      <c r="E280" s="73" t="s">
        <v>79</v>
      </c>
      <c r="F280" s="55" t="s">
        <v>397</v>
      </c>
      <c r="G280" s="73">
        <v>1834.0</v>
      </c>
      <c r="H280" s="73" t="s">
        <v>75</v>
      </c>
      <c r="I280" s="55" t="s">
        <v>638</v>
      </c>
      <c r="J280" s="55" t="s">
        <v>638</v>
      </c>
      <c r="K280" s="73" t="s">
        <v>61</v>
      </c>
      <c r="L280" s="73" t="s">
        <v>317</v>
      </c>
      <c r="M280" s="73" t="s">
        <v>78</v>
      </c>
      <c r="N280" s="73" t="s">
        <v>79</v>
      </c>
      <c r="O280" s="73" t="s">
        <v>224</v>
      </c>
      <c r="P280" s="73" t="s">
        <v>110</v>
      </c>
      <c r="Q280" s="54" t="str">
        <f>IFERROR(__xludf.DUMMYFUNCTION("""COMPUTED_VALUE"""),"UnitedArabEmirates.AnhThongBao.PTATT_XuBen.5018_MES_HuyNV_240322")</f>
        <v>UnitedArabEmirates.AnhThongBao.PTATT_XuBen.5018_MES_HuyNV_240322</v>
      </c>
      <c r="R280" s="54" t="str">
        <f>IFERROR(__xludf.DUMMYFUNCTION("""COMPUTED_VALUE"""),"NEW_UnitedArabEmirates_1834_none_240322")</f>
        <v>NEW_UnitedArabEmirates_1834_none_240322</v>
      </c>
      <c r="S280" s="54" t="str">
        <f>IFERROR(__xludf.DUMMYFUNCTION("""COMPUTED_VALUE"""),"saletructiep_UnitedArabEmirates.AnhThongBao.PTATT_PTATT_LD005")</f>
        <v>saletructiep_UnitedArabEmirates.AnhThongBao.PTATT_PTATT_LD005</v>
      </c>
      <c r="T280" s="54"/>
      <c r="U280" s="56"/>
    </row>
    <row r="281">
      <c r="A281" s="66">
        <v>240322.0</v>
      </c>
      <c r="B281" s="73" t="s">
        <v>166</v>
      </c>
      <c r="C281" s="54" t="str">
        <f>IFERROR(__xludf.DUMMYFUNCTION("""COMPUTED_VALUE"""),"LD005")</f>
        <v>LD005</v>
      </c>
      <c r="D281" s="73" t="s">
        <v>42</v>
      </c>
      <c r="E281" s="73" t="s">
        <v>79</v>
      </c>
      <c r="F281" s="55" t="s">
        <v>258</v>
      </c>
      <c r="G281" s="73">
        <v>1834.0</v>
      </c>
      <c r="H281" s="73" t="s">
        <v>75</v>
      </c>
      <c r="I281" s="55" t="s">
        <v>639</v>
      </c>
      <c r="J281" s="55" t="s">
        <v>639</v>
      </c>
      <c r="K281" s="73" t="s">
        <v>61</v>
      </c>
      <c r="L281" s="73" t="s">
        <v>317</v>
      </c>
      <c r="M281" s="73" t="s">
        <v>78</v>
      </c>
      <c r="N281" s="73" t="s">
        <v>79</v>
      </c>
      <c r="O281" s="73" t="s">
        <v>224</v>
      </c>
      <c r="P281" s="73" t="s">
        <v>110</v>
      </c>
      <c r="Q281" s="54" t="str">
        <f>IFERROR(__xludf.DUMMYFUNCTION("""COMPUTED_VALUE"""),"Germany.AnhThongBao.PTATT_XuBen.5018_MES_HuyNV_240322")</f>
        <v>Germany.AnhThongBao.PTATT_XuBen.5018_MES_HuyNV_240322</v>
      </c>
      <c r="R281" s="54" t="str">
        <f>IFERROR(__xludf.DUMMYFUNCTION("""COMPUTED_VALUE"""),"NEW_Germany_1834_none_240322")</f>
        <v>NEW_Germany_1834_none_240322</v>
      </c>
      <c r="S281" s="54" t="str">
        <f>IFERROR(__xludf.DUMMYFUNCTION("""COMPUTED_VALUE"""),"saletructiep_Germany.AnhThongBao.PTATT_PTATT_LD005")</f>
        <v>saletructiep_Germany.AnhThongBao.PTATT_PTATT_LD005</v>
      </c>
      <c r="T281" s="54"/>
      <c r="U281" s="56"/>
    </row>
    <row r="282">
      <c r="A282" s="66">
        <v>240322.0</v>
      </c>
      <c r="B282" s="73" t="s">
        <v>166</v>
      </c>
      <c r="C282" s="54" t="str">
        <f>IFERROR(__xludf.DUMMYFUNCTION("""COMPUTED_VALUE"""),"LD005")</f>
        <v>LD005</v>
      </c>
      <c r="D282" s="73" t="s">
        <v>42</v>
      </c>
      <c r="E282" s="73" t="s">
        <v>79</v>
      </c>
      <c r="F282" s="55" t="s">
        <v>272</v>
      </c>
      <c r="G282" s="73">
        <v>1834.0</v>
      </c>
      <c r="H282" s="73" t="s">
        <v>75</v>
      </c>
      <c r="I282" s="55" t="s">
        <v>640</v>
      </c>
      <c r="J282" s="55" t="s">
        <v>640</v>
      </c>
      <c r="K282" s="73" t="s">
        <v>61</v>
      </c>
      <c r="L282" s="73" t="s">
        <v>317</v>
      </c>
      <c r="M282" s="73" t="s">
        <v>78</v>
      </c>
      <c r="N282" s="73" t="s">
        <v>79</v>
      </c>
      <c r="O282" s="73" t="s">
        <v>224</v>
      </c>
      <c r="P282" s="73" t="s">
        <v>110</v>
      </c>
      <c r="Q282" s="54" t="str">
        <f>IFERROR(__xludf.DUMMYFUNCTION("""COMPUTED_VALUE"""),"France.AnhThongBao.PTATT_XuBen.5018_MES_HuyNV_240322")</f>
        <v>France.AnhThongBao.PTATT_XuBen.5018_MES_HuyNV_240322</v>
      </c>
      <c r="R282" s="54" t="str">
        <f>IFERROR(__xludf.DUMMYFUNCTION("""COMPUTED_VALUE"""),"NEW_France_1834_none_240322")</f>
        <v>NEW_France_1834_none_240322</v>
      </c>
      <c r="S282" s="54" t="str">
        <f>IFERROR(__xludf.DUMMYFUNCTION("""COMPUTED_VALUE"""),"saletructiep_France.AnhThongBao.PTATT_PTATT_LD005")</f>
        <v>saletructiep_France.AnhThongBao.PTATT_PTATT_LD005</v>
      </c>
      <c r="T282" s="54"/>
      <c r="U282" s="56"/>
    </row>
    <row r="283">
      <c r="A283" s="66">
        <v>300322.0</v>
      </c>
      <c r="B283" s="73" t="s">
        <v>450</v>
      </c>
      <c r="C283" s="54" t="str">
        <f>IFERROR(__xludf.DUMMYFUNCTION("""COMPUTED_VALUE"""),"LD074")</f>
        <v>LD074</v>
      </c>
      <c r="D283" s="73" t="s">
        <v>42</v>
      </c>
      <c r="E283" s="73" t="s">
        <v>79</v>
      </c>
      <c r="F283" s="55" t="s">
        <v>107</v>
      </c>
      <c r="G283" s="73">
        <v>1834.0</v>
      </c>
      <c r="H283" s="73" t="s">
        <v>75</v>
      </c>
      <c r="I283" s="55" t="s">
        <v>641</v>
      </c>
      <c r="J283" s="55" t="s">
        <v>641</v>
      </c>
      <c r="K283" s="73" t="s">
        <v>61</v>
      </c>
      <c r="L283" s="73" t="s">
        <v>317</v>
      </c>
      <c r="M283" s="73" t="s">
        <v>78</v>
      </c>
      <c r="N283" s="73" t="s">
        <v>79</v>
      </c>
      <c r="O283" s="73" t="s">
        <v>224</v>
      </c>
      <c r="P283" s="73" t="s">
        <v>110</v>
      </c>
      <c r="Q283" s="54" t="str">
        <f>IFERROR(__xludf.DUMMYFUNCTION("""COMPUTED_VALUE"""),"UnitedStates.IELTS.AnhVang.PTATT_XuBen.5018_MES_HuyNV_300322")</f>
        <v>UnitedStates.IELTS.AnhVang.PTATT_XuBen.5018_MES_HuyNV_300322</v>
      </c>
      <c r="R283" s="54" t="str">
        <f>IFERROR(__xludf.DUMMYFUNCTION("""COMPUTED_VALUE"""),"NEW_UnitedStates_1834_none_300322")</f>
        <v>NEW_UnitedStates_1834_none_300322</v>
      </c>
      <c r="S283" s="54" t="str">
        <f>IFERROR(__xludf.DUMMYFUNCTION("""COMPUTED_VALUE"""),"saletructiep_UnitedStates.IELTS.AnhVang.PTATT_PTATT_LD074")</f>
        <v>saletructiep_UnitedStates.IELTS.AnhVang.PTATT_PTATT_LD074</v>
      </c>
      <c r="T283" s="54"/>
      <c r="U283" s="56"/>
    </row>
    <row r="284">
      <c r="A284" s="64" t="s">
        <v>642</v>
      </c>
      <c r="B284" s="73" t="s">
        <v>166</v>
      </c>
      <c r="C284" s="54" t="str">
        <f>IFERROR(__xludf.DUMMYFUNCTION("""COMPUTED_VALUE"""),"LD005")</f>
        <v>LD005</v>
      </c>
      <c r="D284" s="73" t="s">
        <v>42</v>
      </c>
      <c r="E284" s="73" t="s">
        <v>79</v>
      </c>
      <c r="F284" s="55" t="s">
        <v>107</v>
      </c>
      <c r="G284" s="73">
        <v>1834.0</v>
      </c>
      <c r="H284" s="73" t="s">
        <v>75</v>
      </c>
      <c r="I284" s="55" t="s">
        <v>643</v>
      </c>
      <c r="J284" s="55" t="s">
        <v>643</v>
      </c>
      <c r="K284" s="73" t="s">
        <v>61</v>
      </c>
      <c r="L284" s="73" t="s">
        <v>317</v>
      </c>
      <c r="M284" s="73" t="s">
        <v>78</v>
      </c>
      <c r="N284" s="73" t="s">
        <v>79</v>
      </c>
      <c r="O284" s="73" t="s">
        <v>224</v>
      </c>
      <c r="P284" s="73" t="s">
        <v>110</v>
      </c>
      <c r="Q284" s="54" t="str">
        <f>IFERROR(__xludf.DUMMYFUNCTION("""COMPUTED_VALUE"""),"UnitedStates.AnhMoLopexcell.PTATT_XuBen.5018_MES_HuyNV_010422")</f>
        <v>UnitedStates.AnhMoLopexcell.PTATT_XuBen.5018_MES_HuyNV_010422</v>
      </c>
      <c r="R284" s="54" t="str">
        <f>IFERROR(__xludf.DUMMYFUNCTION("""COMPUTED_VALUE"""),"NEW_UnitedStates_1834_none_010422")</f>
        <v>NEW_UnitedStates_1834_none_010422</v>
      </c>
      <c r="S284" s="54" t="str">
        <f>IFERROR(__xludf.DUMMYFUNCTION("""COMPUTED_VALUE"""),"saletructiep_UnitedStates.AnhMoLopexcell.PTATT_PTATT_LD005")</f>
        <v>saletructiep_UnitedStates.AnhMoLopexcell.PTATT_PTATT_LD005</v>
      </c>
      <c r="T284" s="54"/>
      <c r="U284" s="56"/>
    </row>
    <row r="285">
      <c r="A285" s="64" t="s">
        <v>642</v>
      </c>
      <c r="B285" s="73" t="s">
        <v>166</v>
      </c>
      <c r="C285" s="54" t="str">
        <f>IFERROR(__xludf.DUMMYFUNCTION("""COMPUTED_VALUE"""),"LD005")</f>
        <v>LD005</v>
      </c>
      <c r="D285" s="73" t="s">
        <v>42</v>
      </c>
      <c r="E285" s="73" t="s">
        <v>79</v>
      </c>
      <c r="F285" s="55" t="s">
        <v>133</v>
      </c>
      <c r="G285" s="73">
        <v>1834.0</v>
      </c>
      <c r="H285" s="73" t="s">
        <v>75</v>
      </c>
      <c r="I285" s="55" t="s">
        <v>644</v>
      </c>
      <c r="J285" s="55" t="s">
        <v>644</v>
      </c>
      <c r="K285" s="73" t="s">
        <v>61</v>
      </c>
      <c r="L285" s="73" t="s">
        <v>317</v>
      </c>
      <c r="M285" s="73" t="s">
        <v>78</v>
      </c>
      <c r="N285" s="73" t="s">
        <v>79</v>
      </c>
      <c r="O285" s="73" t="s">
        <v>224</v>
      </c>
      <c r="P285" s="73" t="s">
        <v>110</v>
      </c>
      <c r="Q285" s="54" t="str">
        <f>IFERROR(__xludf.DUMMYFUNCTION("""COMPUTED_VALUE"""),"Japan.AnhMoLopexcell.PTATT_XuBen.5018_MES_HuyNV_010422")</f>
        <v>Japan.AnhMoLopexcell.PTATT_XuBen.5018_MES_HuyNV_010422</v>
      </c>
      <c r="R285" s="54" t="str">
        <f>IFERROR(__xludf.DUMMYFUNCTION("""COMPUTED_VALUE"""),"NEW_Japan_1834_none_010422")</f>
        <v>NEW_Japan_1834_none_010422</v>
      </c>
      <c r="S285" s="54" t="str">
        <f>IFERROR(__xludf.DUMMYFUNCTION("""COMPUTED_VALUE"""),"saletructiep_Japan.AnhMoLopexcell.PTATT_PTATT_LD005")</f>
        <v>saletructiep_Japan.AnhMoLopexcell.PTATT_PTATT_LD005</v>
      </c>
      <c r="T285" s="54"/>
      <c r="U285" s="56"/>
    </row>
    <row r="286">
      <c r="A286" s="80" t="s">
        <v>642</v>
      </c>
      <c r="B286" s="73" t="s">
        <v>166</v>
      </c>
      <c r="C286" s="54" t="str">
        <f>IFERROR(__xludf.DUMMYFUNCTION("""COMPUTED_VALUE"""),"LD005")</f>
        <v>LD005</v>
      </c>
      <c r="D286" s="73" t="s">
        <v>42</v>
      </c>
      <c r="E286" s="73" t="s">
        <v>79</v>
      </c>
      <c r="F286" s="55" t="s">
        <v>119</v>
      </c>
      <c r="G286" s="73">
        <v>1834.0</v>
      </c>
      <c r="H286" s="73" t="s">
        <v>75</v>
      </c>
      <c r="I286" s="55" t="s">
        <v>645</v>
      </c>
      <c r="J286" s="55" t="s">
        <v>645</v>
      </c>
      <c r="K286" s="73" t="s">
        <v>61</v>
      </c>
      <c r="L286" s="73" t="s">
        <v>317</v>
      </c>
      <c r="M286" s="73" t="s">
        <v>78</v>
      </c>
      <c r="N286" s="73" t="s">
        <v>79</v>
      </c>
      <c r="O286" s="73" t="s">
        <v>224</v>
      </c>
      <c r="P286" s="73" t="s">
        <v>110</v>
      </c>
      <c r="Q286" s="54" t="str">
        <f>IFERROR(__xludf.DUMMYFUNCTION("""COMPUTED_VALUE"""),"NewZealand.AnhMoLopexcell.PTATT_XuBen.5018_MES_HuyNV_010422")</f>
        <v>NewZealand.AnhMoLopexcell.PTATT_XuBen.5018_MES_HuyNV_010422</v>
      </c>
      <c r="R286" s="54" t="str">
        <f>IFERROR(__xludf.DUMMYFUNCTION("""COMPUTED_VALUE"""),"NEW_NewZealand_1834_none_010422")</f>
        <v>NEW_NewZealand_1834_none_010422</v>
      </c>
      <c r="S286" s="54" t="str">
        <f>IFERROR(__xludf.DUMMYFUNCTION("""COMPUTED_VALUE"""),"saletructiep_NewZealand.AnhMoLopexcell.PTATT_PTATT_LD005")</f>
        <v>saletructiep_NewZealand.AnhMoLopexcell.PTATT_PTATT_LD005</v>
      </c>
      <c r="T286" s="54"/>
      <c r="U286" s="56"/>
    </row>
    <row r="287">
      <c r="A287" s="80" t="s">
        <v>642</v>
      </c>
      <c r="B287" s="73" t="s">
        <v>166</v>
      </c>
      <c r="C287" s="54" t="str">
        <f>IFERROR(__xludf.DUMMYFUNCTION("""COMPUTED_VALUE"""),"LD005")</f>
        <v>LD005</v>
      </c>
      <c r="D287" s="73" t="s">
        <v>42</v>
      </c>
      <c r="E287" s="73" t="s">
        <v>79</v>
      </c>
      <c r="F287" s="55" t="s">
        <v>461</v>
      </c>
      <c r="G287" s="73">
        <v>1834.0</v>
      </c>
      <c r="H287" s="73" t="s">
        <v>75</v>
      </c>
      <c r="I287" s="55" t="s">
        <v>646</v>
      </c>
      <c r="J287" s="55" t="s">
        <v>646</v>
      </c>
      <c r="K287" s="73" t="s">
        <v>61</v>
      </c>
      <c r="L287" s="73" t="s">
        <v>317</v>
      </c>
      <c r="M287" s="73" t="s">
        <v>78</v>
      </c>
      <c r="N287" s="73" t="s">
        <v>79</v>
      </c>
      <c r="O287" s="73" t="s">
        <v>224</v>
      </c>
      <c r="P287" s="73" t="s">
        <v>110</v>
      </c>
      <c r="Q287" s="54" t="str">
        <f>IFERROR(__xludf.DUMMYFUNCTION("""COMPUTED_VALUE"""),"CzechRepublic.AnhMoLopexcell.PTATT_XuBen.5018_MES_HuyNV_010422")</f>
        <v>CzechRepublic.AnhMoLopexcell.PTATT_XuBen.5018_MES_HuyNV_010422</v>
      </c>
      <c r="R287" s="54" t="str">
        <f>IFERROR(__xludf.DUMMYFUNCTION("""COMPUTED_VALUE"""),"NEW_CzechRepublic_1834_none_010422")</f>
        <v>NEW_CzechRepublic_1834_none_010422</v>
      </c>
      <c r="S287" s="54" t="str">
        <f>IFERROR(__xludf.DUMMYFUNCTION("""COMPUTED_VALUE"""),"saletructiep_CzechRepublic.AnhMoLopexcell.PTATT_PTATT_LD005")</f>
        <v>saletructiep_CzechRepublic.AnhMoLopexcell.PTATT_PTATT_LD005</v>
      </c>
      <c r="T287" s="54"/>
      <c r="U287" s="56"/>
    </row>
    <row r="288">
      <c r="A288" s="64" t="s">
        <v>647</v>
      </c>
      <c r="B288" s="73" t="s">
        <v>166</v>
      </c>
      <c r="C288" s="54" t="str">
        <f>IFERROR(__xludf.DUMMYFUNCTION("""COMPUTED_VALUE"""),"LD005")</f>
        <v>LD005</v>
      </c>
      <c r="D288" s="73" t="s">
        <v>42</v>
      </c>
      <c r="E288" s="73" t="s">
        <v>79</v>
      </c>
      <c r="F288" s="55" t="s">
        <v>107</v>
      </c>
      <c r="G288" s="73">
        <v>1834.0</v>
      </c>
      <c r="H288" s="73" t="s">
        <v>75</v>
      </c>
      <c r="I288" s="55" t="s">
        <v>648</v>
      </c>
      <c r="J288" s="55" t="s">
        <v>648</v>
      </c>
      <c r="K288" s="73" t="s">
        <v>61</v>
      </c>
      <c r="L288" s="73" t="s">
        <v>317</v>
      </c>
      <c r="M288" s="73" t="s">
        <v>78</v>
      </c>
      <c r="N288" s="73" t="s">
        <v>79</v>
      </c>
      <c r="O288" s="73" t="s">
        <v>224</v>
      </c>
      <c r="P288" s="73" t="s">
        <v>110</v>
      </c>
      <c r="Q288" s="54" t="str">
        <f>IFERROR(__xludf.DUMMYFUNCTION("""COMPUTED_VALUE"""),"UnitedStates.AnhShortThongBao.PTATT_XuBen.5018_MES_HuyNV_020422")</f>
        <v>UnitedStates.AnhShortThongBao.PTATT_XuBen.5018_MES_HuyNV_020422</v>
      </c>
      <c r="R288" s="54" t="str">
        <f>IFERROR(__xludf.DUMMYFUNCTION("""COMPUTED_VALUE"""),"NEW_UnitedStates_1834_none_020422")</f>
        <v>NEW_UnitedStates_1834_none_020422</v>
      </c>
      <c r="S288" s="54" t="str">
        <f>IFERROR(__xludf.DUMMYFUNCTION("""COMPUTED_VALUE"""),"saletructiep_UnitedStates.AnhShortThongBao.PTATT_PTATT_LD005")</f>
        <v>saletructiep_UnitedStates.AnhShortThongBao.PTATT_PTATT_LD005</v>
      </c>
      <c r="T288" s="54"/>
      <c r="U288" s="56"/>
    </row>
    <row r="289">
      <c r="A289" s="64" t="s">
        <v>647</v>
      </c>
      <c r="B289" s="73" t="s">
        <v>166</v>
      </c>
      <c r="C289" s="54" t="str">
        <f>IFERROR(__xludf.DUMMYFUNCTION("""COMPUTED_VALUE"""),"LD005")</f>
        <v>LD005</v>
      </c>
      <c r="D289" s="73" t="s">
        <v>42</v>
      </c>
      <c r="E289" s="73" t="s">
        <v>79</v>
      </c>
      <c r="F289" s="55" t="s">
        <v>133</v>
      </c>
      <c r="G289" s="73">
        <v>1834.0</v>
      </c>
      <c r="H289" s="73" t="s">
        <v>75</v>
      </c>
      <c r="I289" s="55" t="s">
        <v>649</v>
      </c>
      <c r="J289" s="55" t="s">
        <v>649</v>
      </c>
      <c r="K289" s="73" t="s">
        <v>61</v>
      </c>
      <c r="L289" s="73" t="s">
        <v>317</v>
      </c>
      <c r="M289" s="73" t="s">
        <v>78</v>
      </c>
      <c r="N289" s="73" t="s">
        <v>79</v>
      </c>
      <c r="O289" s="73" t="s">
        <v>224</v>
      </c>
      <c r="P289" s="73" t="s">
        <v>110</v>
      </c>
      <c r="Q289" s="54" t="str">
        <f>IFERROR(__xludf.DUMMYFUNCTION("""COMPUTED_VALUE"""),"Japan.AnhShortThongBao.PTATT_XuBen.5018_MES_HuyNV_020422")</f>
        <v>Japan.AnhShortThongBao.PTATT_XuBen.5018_MES_HuyNV_020422</v>
      </c>
      <c r="R289" s="54" t="str">
        <f>IFERROR(__xludf.DUMMYFUNCTION("""COMPUTED_VALUE"""),"NEW_Japan_1834_none_020422")</f>
        <v>NEW_Japan_1834_none_020422</v>
      </c>
      <c r="S289" s="54" t="str">
        <f>IFERROR(__xludf.DUMMYFUNCTION("""COMPUTED_VALUE"""),"saletructiep_Japan.AnhShortThongBao.PTATT_PTATT_LD005")</f>
        <v>saletructiep_Japan.AnhShortThongBao.PTATT_PTATT_LD005</v>
      </c>
      <c r="T289" s="54"/>
      <c r="U289" s="56"/>
    </row>
    <row r="290">
      <c r="A290" s="64" t="s">
        <v>647</v>
      </c>
      <c r="B290" s="73" t="s">
        <v>166</v>
      </c>
      <c r="C290" s="54" t="str">
        <f>IFERROR(__xludf.DUMMYFUNCTION("""COMPUTED_VALUE"""),"LD005")</f>
        <v>LD005</v>
      </c>
      <c r="D290" s="73" t="s">
        <v>42</v>
      </c>
      <c r="E290" s="73" t="s">
        <v>79</v>
      </c>
      <c r="F290" s="55" t="s">
        <v>625</v>
      </c>
      <c r="G290" s="73">
        <v>1834.0</v>
      </c>
      <c r="H290" s="73" t="s">
        <v>75</v>
      </c>
      <c r="I290" s="55" t="s">
        <v>650</v>
      </c>
      <c r="J290" s="55" t="s">
        <v>650</v>
      </c>
      <c r="K290" s="73" t="s">
        <v>61</v>
      </c>
      <c r="L290" s="73" t="s">
        <v>317</v>
      </c>
      <c r="M290" s="73" t="s">
        <v>78</v>
      </c>
      <c r="N290" s="73" t="s">
        <v>79</v>
      </c>
      <c r="O290" s="73" t="s">
        <v>224</v>
      </c>
      <c r="P290" s="73" t="s">
        <v>110</v>
      </c>
      <c r="Q290" s="54" t="str">
        <f>IFERROR(__xludf.DUMMYFUNCTION("""COMPUTED_VALUE"""),"KoreaSouth.AnhShortThongBao.PTATT_XuBen.5018_MES_HuyNV_020422")</f>
        <v>KoreaSouth.AnhShortThongBao.PTATT_XuBen.5018_MES_HuyNV_020422</v>
      </c>
      <c r="R290" s="54" t="str">
        <f>IFERROR(__xludf.DUMMYFUNCTION("""COMPUTED_VALUE"""),"NEW_KoreaSouth_1834_none_020422")</f>
        <v>NEW_KoreaSouth_1834_none_020422</v>
      </c>
      <c r="S290" s="54" t="str">
        <f>IFERROR(__xludf.DUMMYFUNCTION("""COMPUTED_VALUE"""),"saletructiep_KoreaSouth.AnhShortThongBao.PTATT_PTATT_LD005")</f>
        <v>saletructiep_KoreaSouth.AnhShortThongBao.PTATT_PTATT_LD005</v>
      </c>
      <c r="T290" s="54"/>
      <c r="U290" s="56"/>
    </row>
    <row r="291">
      <c r="A291" s="64" t="s">
        <v>647</v>
      </c>
      <c r="B291" s="73" t="s">
        <v>166</v>
      </c>
      <c r="C291" s="54" t="str">
        <f>IFERROR(__xludf.DUMMYFUNCTION("""COMPUTED_VALUE"""),"LD005")</f>
        <v>LD005</v>
      </c>
      <c r="D291" s="73" t="s">
        <v>42</v>
      </c>
      <c r="E291" s="73" t="s">
        <v>79</v>
      </c>
      <c r="F291" s="55" t="s">
        <v>164</v>
      </c>
      <c r="G291" s="73">
        <v>1834.0</v>
      </c>
      <c r="H291" s="73" t="s">
        <v>75</v>
      </c>
      <c r="I291" s="55" t="s">
        <v>651</v>
      </c>
      <c r="J291" s="55" t="s">
        <v>651</v>
      </c>
      <c r="K291" s="73" t="s">
        <v>61</v>
      </c>
      <c r="L291" s="73" t="s">
        <v>317</v>
      </c>
      <c r="M291" s="73" t="s">
        <v>78</v>
      </c>
      <c r="N291" s="73" t="s">
        <v>79</v>
      </c>
      <c r="O291" s="73" t="s">
        <v>224</v>
      </c>
      <c r="P291" s="73" t="s">
        <v>110</v>
      </c>
      <c r="Q291" s="54" t="str">
        <f>IFERROR(__xludf.DUMMYFUNCTION("""COMPUTED_VALUE"""),"Taiwan.AnhShortThongBao.PTATT_XuBen.5018_MES_HuyNV_020422")</f>
        <v>Taiwan.AnhShortThongBao.PTATT_XuBen.5018_MES_HuyNV_020422</v>
      </c>
      <c r="R291" s="54" t="str">
        <f>IFERROR(__xludf.DUMMYFUNCTION("""COMPUTED_VALUE"""),"NEW_Taiwan_1834_none_020422")</f>
        <v>NEW_Taiwan_1834_none_020422</v>
      </c>
      <c r="S291" s="54" t="str">
        <f>IFERROR(__xludf.DUMMYFUNCTION("""COMPUTED_VALUE"""),"saletructiep_Taiwan.AnhShortThongBao.PTATT_PTATT_LD005")</f>
        <v>saletructiep_Taiwan.AnhShortThongBao.PTATT_PTATT_LD005</v>
      </c>
      <c r="T291" s="54"/>
      <c r="U291" s="56"/>
    </row>
    <row r="292">
      <c r="A292" s="64" t="s">
        <v>647</v>
      </c>
      <c r="B292" s="73" t="s">
        <v>166</v>
      </c>
      <c r="C292" s="54" t="str">
        <f>IFERROR(__xludf.DUMMYFUNCTION("""COMPUTED_VALUE"""),"LD005")</f>
        <v>LD005</v>
      </c>
      <c r="D292" s="73" t="s">
        <v>42</v>
      </c>
      <c r="E292" s="73" t="s">
        <v>79</v>
      </c>
      <c r="F292" s="55" t="s">
        <v>112</v>
      </c>
      <c r="G292" s="73">
        <v>1834.0</v>
      </c>
      <c r="H292" s="73" t="s">
        <v>75</v>
      </c>
      <c r="I292" s="55" t="s">
        <v>652</v>
      </c>
      <c r="J292" s="55" t="s">
        <v>652</v>
      </c>
      <c r="K292" s="73" t="s">
        <v>61</v>
      </c>
      <c r="L292" s="73" t="s">
        <v>317</v>
      </c>
      <c r="M292" s="73" t="s">
        <v>78</v>
      </c>
      <c r="N292" s="73" t="s">
        <v>79</v>
      </c>
      <c r="O292" s="73" t="s">
        <v>224</v>
      </c>
      <c r="P292" s="73" t="s">
        <v>110</v>
      </c>
      <c r="Q292" s="54" t="str">
        <f>IFERROR(__xludf.DUMMYFUNCTION("""COMPUTED_VALUE"""),"Canada.AnhShortThongBao.PTATT_XuBen.5018_MES_HuyNV_020422")</f>
        <v>Canada.AnhShortThongBao.PTATT_XuBen.5018_MES_HuyNV_020422</v>
      </c>
      <c r="R292" s="54" t="str">
        <f>IFERROR(__xludf.DUMMYFUNCTION("""COMPUTED_VALUE"""),"NEW_Canada_1834_none_020422")</f>
        <v>NEW_Canada_1834_none_020422</v>
      </c>
      <c r="S292" s="54" t="str">
        <f>IFERROR(__xludf.DUMMYFUNCTION("""COMPUTED_VALUE"""),"saletructiep_Canada.AnhShortThongBao.PTATT_PTATT_LD005")</f>
        <v>saletructiep_Canada.AnhShortThongBao.PTATT_PTATT_LD005</v>
      </c>
      <c r="T292" s="54"/>
      <c r="U292" s="56"/>
    </row>
    <row r="293">
      <c r="A293" s="64" t="s">
        <v>647</v>
      </c>
      <c r="B293" s="73" t="s">
        <v>166</v>
      </c>
      <c r="C293" s="54" t="str">
        <f>IFERROR(__xludf.DUMMYFUNCTION("""COMPUTED_VALUE"""),"LD005")</f>
        <v>LD005</v>
      </c>
      <c r="D293" s="73" t="s">
        <v>42</v>
      </c>
      <c r="E293" s="73" t="s">
        <v>79</v>
      </c>
      <c r="F293" s="55" t="s">
        <v>608</v>
      </c>
      <c r="G293" s="73">
        <v>1834.0</v>
      </c>
      <c r="H293" s="73" t="s">
        <v>75</v>
      </c>
      <c r="I293" s="55" t="s">
        <v>653</v>
      </c>
      <c r="J293" s="55" t="s">
        <v>653</v>
      </c>
      <c r="K293" s="73" t="s">
        <v>61</v>
      </c>
      <c r="L293" s="73" t="s">
        <v>317</v>
      </c>
      <c r="M293" s="73" t="s">
        <v>78</v>
      </c>
      <c r="N293" s="73" t="s">
        <v>79</v>
      </c>
      <c r="O293" s="73" t="s">
        <v>224</v>
      </c>
      <c r="P293" s="73" t="s">
        <v>110</v>
      </c>
      <c r="Q293" s="54" t="str">
        <f>IFERROR(__xludf.DUMMYFUNCTION("""COMPUTED_VALUE"""),"Macao.AnhShortThongBao.PTATT_XuBen.5018_MES_HuyNV_020422")</f>
        <v>Macao.AnhShortThongBao.PTATT_XuBen.5018_MES_HuyNV_020422</v>
      </c>
      <c r="R293" s="54" t="str">
        <f>IFERROR(__xludf.DUMMYFUNCTION("""COMPUTED_VALUE"""),"NEW_Macao_1834_none_020422")</f>
        <v>NEW_Macao_1834_none_020422</v>
      </c>
      <c r="S293" s="54" t="str">
        <f>IFERROR(__xludf.DUMMYFUNCTION("""COMPUTED_VALUE"""),"saletructiep_Macao.AnhShortThongBao.PTATT_PTATT_LD005")</f>
        <v>saletructiep_Macao.AnhShortThongBao.PTATT_PTATT_LD005</v>
      </c>
      <c r="T293" s="54"/>
      <c r="U293" s="56"/>
    </row>
    <row r="294">
      <c r="A294" s="64" t="s">
        <v>654</v>
      </c>
      <c r="B294" s="73" t="s">
        <v>166</v>
      </c>
      <c r="C294" s="54" t="str">
        <f>IFERROR(__xludf.DUMMYFUNCTION("""COMPUTED_VALUE"""),"LD005")</f>
        <v>LD005</v>
      </c>
      <c r="D294" s="73" t="s">
        <v>42</v>
      </c>
      <c r="E294" s="73" t="s">
        <v>79</v>
      </c>
      <c r="F294" s="55" t="s">
        <v>625</v>
      </c>
      <c r="G294" s="73">
        <v>1834.0</v>
      </c>
      <c r="H294" s="73" t="s">
        <v>75</v>
      </c>
      <c r="I294" s="55" t="s">
        <v>655</v>
      </c>
      <c r="J294" s="55" t="s">
        <v>655</v>
      </c>
      <c r="K294" s="73" t="s">
        <v>61</v>
      </c>
      <c r="L294" s="73" t="s">
        <v>317</v>
      </c>
      <c r="M294" s="73" t="s">
        <v>78</v>
      </c>
      <c r="N294" s="73" t="s">
        <v>79</v>
      </c>
      <c r="O294" s="73" t="s">
        <v>224</v>
      </c>
      <c r="P294" s="73" t="s">
        <v>110</v>
      </c>
      <c r="Q294" s="54" t="str">
        <f>IFERROR(__xludf.DUMMYFUNCTION("""COMPUTED_VALUE"""),"KoreaSouth.VideoH4.PTATT_XuBen.5018_MES_HuyNV_050422")</f>
        <v>KoreaSouth.VideoH4.PTATT_XuBen.5018_MES_HuyNV_050422</v>
      </c>
      <c r="R294" s="54" t="str">
        <f>IFERROR(__xludf.DUMMYFUNCTION("""COMPUTED_VALUE"""),"NEW_KoreaSouth_1834_none_050422")</f>
        <v>NEW_KoreaSouth_1834_none_050422</v>
      </c>
      <c r="S294" s="54" t="str">
        <f>IFERROR(__xludf.DUMMYFUNCTION("""COMPUTED_VALUE"""),"saletructiep_KoreaSouth.VideoH4.PTATT_PTATT_LD005")</f>
        <v>saletructiep_KoreaSouth.VideoH4.PTATT_PTATT_LD005</v>
      </c>
      <c r="T294" s="54"/>
      <c r="U294" s="56"/>
    </row>
    <row r="295">
      <c r="A295" s="64" t="s">
        <v>647</v>
      </c>
      <c r="B295" s="73" t="s">
        <v>166</v>
      </c>
      <c r="C295" s="54" t="str">
        <f>IFERROR(__xludf.DUMMYFUNCTION("""COMPUTED_VALUE"""),"LD005")</f>
        <v>LD005</v>
      </c>
      <c r="D295" s="73" t="s">
        <v>42</v>
      </c>
      <c r="E295" s="73" t="s">
        <v>79</v>
      </c>
      <c r="F295" s="55" t="s">
        <v>112</v>
      </c>
      <c r="G295" s="73">
        <v>1834.0</v>
      </c>
      <c r="H295" s="73" t="s">
        <v>75</v>
      </c>
      <c r="I295" s="55" t="s">
        <v>656</v>
      </c>
      <c r="J295" s="55" t="s">
        <v>656</v>
      </c>
      <c r="K295" s="73" t="s">
        <v>61</v>
      </c>
      <c r="L295" s="73" t="s">
        <v>317</v>
      </c>
      <c r="M295" s="73" t="s">
        <v>78</v>
      </c>
      <c r="N295" s="73" t="s">
        <v>79</v>
      </c>
      <c r="O295" s="73" t="s">
        <v>224</v>
      </c>
      <c r="P295" s="73" t="s">
        <v>110</v>
      </c>
      <c r="Q295" s="54" t="str">
        <f>IFERROR(__xludf.DUMMYFUNCTION("""COMPUTED_VALUE"""),"Canada.VideoH4.PTATT_XuBen.5018_MES_HuyNV_020422")</f>
        <v>Canada.VideoH4.PTATT_XuBen.5018_MES_HuyNV_020422</v>
      </c>
      <c r="R295" s="54" t="str">
        <f>IFERROR(__xludf.DUMMYFUNCTION("""COMPUTED_VALUE"""),"NEW_Canada_1834_none_020422")</f>
        <v>NEW_Canada_1834_none_020422</v>
      </c>
      <c r="S295" s="54" t="str">
        <f>IFERROR(__xludf.DUMMYFUNCTION("""COMPUTED_VALUE"""),"saletructiep_Canada.VideoH4.PTATT_PTATT_LD005")</f>
        <v>saletructiep_Canada.VideoH4.PTATT_PTATT_LD005</v>
      </c>
      <c r="T295" s="54"/>
      <c r="U295" s="56"/>
    </row>
    <row r="296">
      <c r="A296" s="64" t="s">
        <v>657</v>
      </c>
      <c r="B296" s="73" t="s">
        <v>166</v>
      </c>
      <c r="C296" s="54" t="str">
        <f>IFERROR(__xludf.DUMMYFUNCTION("""COMPUTED_VALUE"""),"LD005")</f>
        <v>LD005</v>
      </c>
      <c r="D296" s="73" t="s">
        <v>42</v>
      </c>
      <c r="E296" s="73" t="s">
        <v>79</v>
      </c>
      <c r="F296" s="55" t="s">
        <v>133</v>
      </c>
      <c r="G296" s="73">
        <v>1834.0</v>
      </c>
      <c r="H296" s="73" t="s">
        <v>75</v>
      </c>
      <c r="I296" s="55" t="s">
        <v>658</v>
      </c>
      <c r="J296" s="55" t="s">
        <v>658</v>
      </c>
      <c r="K296" s="73" t="s">
        <v>61</v>
      </c>
      <c r="L296" s="73" t="s">
        <v>317</v>
      </c>
      <c r="M296" s="73" t="s">
        <v>78</v>
      </c>
      <c r="N296" s="73" t="s">
        <v>79</v>
      </c>
      <c r="O296" s="73" t="s">
        <v>224</v>
      </c>
      <c r="P296" s="73" t="s">
        <v>110</v>
      </c>
      <c r="Q296" s="54" t="str">
        <f>IFERROR(__xludf.DUMMYFUNCTION("""COMPUTED_VALUE"""),"Japan.AnhThongBao2.PTATT_XuBen.5018_MES_HuyNV_070422")</f>
        <v>Japan.AnhThongBao2.PTATT_XuBen.5018_MES_HuyNV_070422</v>
      </c>
      <c r="R296" s="54" t="str">
        <f>IFERROR(__xludf.DUMMYFUNCTION("""COMPUTED_VALUE"""),"NEW_Japan_1834_none_070422")</f>
        <v>NEW_Japan_1834_none_070422</v>
      </c>
      <c r="S296" s="54" t="str">
        <f>IFERROR(__xludf.DUMMYFUNCTION("""COMPUTED_VALUE"""),"saletructiep_Japan.AnhThongBao2.PTATT_PTATT_LD005")</f>
        <v>saletructiep_Japan.AnhThongBao2.PTATT_PTATT_LD005</v>
      </c>
      <c r="T296" s="54"/>
      <c r="U296" s="56"/>
    </row>
    <row r="297">
      <c r="A297" s="64" t="s">
        <v>657</v>
      </c>
      <c r="B297" s="73" t="s">
        <v>166</v>
      </c>
      <c r="C297" s="54" t="str">
        <f>IFERROR(__xludf.DUMMYFUNCTION("""COMPUTED_VALUE"""),"LD005")</f>
        <v>LD005</v>
      </c>
      <c r="D297" s="73" t="s">
        <v>42</v>
      </c>
      <c r="E297" s="73" t="s">
        <v>79</v>
      </c>
      <c r="F297" s="55" t="s">
        <v>112</v>
      </c>
      <c r="G297" s="73">
        <v>1834.0</v>
      </c>
      <c r="H297" s="73" t="s">
        <v>75</v>
      </c>
      <c r="I297" s="55" t="s">
        <v>659</v>
      </c>
      <c r="J297" s="55" t="s">
        <v>659</v>
      </c>
      <c r="K297" s="73" t="s">
        <v>61</v>
      </c>
      <c r="L297" s="73" t="s">
        <v>317</v>
      </c>
      <c r="M297" s="73" t="s">
        <v>78</v>
      </c>
      <c r="N297" s="73" t="s">
        <v>79</v>
      </c>
      <c r="O297" s="73" t="s">
        <v>224</v>
      </c>
      <c r="P297" s="73" t="s">
        <v>110</v>
      </c>
      <c r="Q297" s="54" t="str">
        <f>IFERROR(__xludf.DUMMYFUNCTION("""COMPUTED_VALUE"""),"Canada.AnhThongBao2.PTATT_XuBen.5018_MES_HuyNV_070422")</f>
        <v>Canada.AnhThongBao2.PTATT_XuBen.5018_MES_HuyNV_070422</v>
      </c>
      <c r="R297" s="54" t="str">
        <f>IFERROR(__xludf.DUMMYFUNCTION("""COMPUTED_VALUE"""),"NEW_Canada_1834_none_070422")</f>
        <v>NEW_Canada_1834_none_070422</v>
      </c>
      <c r="S297" s="54" t="str">
        <f>IFERROR(__xludf.DUMMYFUNCTION("""COMPUTED_VALUE"""),"saletructiep_Canada.AnhThongBao2.PTATT_PTATT_LD005")</f>
        <v>saletructiep_Canada.AnhThongBao2.PTATT_PTATT_LD005</v>
      </c>
      <c r="T297" s="54"/>
      <c r="U297" s="56"/>
    </row>
    <row r="298">
      <c r="A298" s="64" t="s">
        <v>660</v>
      </c>
      <c r="B298" s="73" t="s">
        <v>166</v>
      </c>
      <c r="C298" s="54" t="str">
        <f>IFERROR(__xludf.DUMMYFUNCTION("""COMPUTED_VALUE"""),"LD005")</f>
        <v>LD005</v>
      </c>
      <c r="D298" s="73" t="s">
        <v>42</v>
      </c>
      <c r="E298" s="73" t="s">
        <v>79</v>
      </c>
      <c r="F298" s="55" t="s">
        <v>129</v>
      </c>
      <c r="G298" s="73">
        <v>1834.0</v>
      </c>
      <c r="H298" s="73" t="s">
        <v>75</v>
      </c>
      <c r="I298" s="55" t="s">
        <v>661</v>
      </c>
      <c r="J298" s="73" t="s">
        <v>661</v>
      </c>
      <c r="K298" s="73" t="s">
        <v>61</v>
      </c>
      <c r="L298" s="73" t="s">
        <v>317</v>
      </c>
      <c r="M298" s="73" t="s">
        <v>78</v>
      </c>
      <c r="N298" s="73" t="s">
        <v>79</v>
      </c>
      <c r="O298" s="73" t="s">
        <v>224</v>
      </c>
      <c r="P298" s="73" t="s">
        <v>110</v>
      </c>
      <c r="Q298" s="54" t="str">
        <f>IFERROR(__xludf.DUMMYFUNCTION("""COMPUTED_VALUE"""),"Australia.AnhThongBao2.PTATT_XuBen.5018_MES_HuyNV_080422")</f>
        <v>Australia.AnhThongBao2.PTATT_XuBen.5018_MES_HuyNV_080422</v>
      </c>
      <c r="R298" s="54" t="str">
        <f>IFERROR(__xludf.DUMMYFUNCTION("""COMPUTED_VALUE"""),"NEW_Australia_1834_none_080422")</f>
        <v>NEW_Australia_1834_none_080422</v>
      </c>
      <c r="S298" s="54" t="str">
        <f>IFERROR(__xludf.DUMMYFUNCTION("""COMPUTED_VALUE"""),"saletructiep_Australia.AnhThongBao2.PTATT_PTATT_LD005")</f>
        <v>saletructiep_Australia.AnhThongBao2.PTATT_PTATT_LD005</v>
      </c>
      <c r="T298" s="54"/>
      <c r="U298" s="56"/>
    </row>
    <row r="299">
      <c r="A299" s="80" t="s">
        <v>660</v>
      </c>
      <c r="B299" s="73" t="s">
        <v>166</v>
      </c>
      <c r="C299" s="54" t="str">
        <f>IFERROR(__xludf.DUMMYFUNCTION("""COMPUTED_VALUE"""),"LD005")</f>
        <v>LD005</v>
      </c>
      <c r="D299" s="73" t="s">
        <v>42</v>
      </c>
      <c r="E299" s="73" t="s">
        <v>79</v>
      </c>
      <c r="F299" s="55" t="s">
        <v>625</v>
      </c>
      <c r="G299" s="73">
        <v>1834.0</v>
      </c>
      <c r="H299" s="73" t="s">
        <v>75</v>
      </c>
      <c r="I299" s="55" t="s">
        <v>662</v>
      </c>
      <c r="J299" s="55" t="s">
        <v>662</v>
      </c>
      <c r="K299" s="73" t="s">
        <v>61</v>
      </c>
      <c r="L299" s="73" t="s">
        <v>317</v>
      </c>
      <c r="M299" s="73" t="s">
        <v>78</v>
      </c>
      <c r="N299" s="73" t="s">
        <v>79</v>
      </c>
      <c r="O299" s="73" t="s">
        <v>224</v>
      </c>
      <c r="P299" s="73" t="s">
        <v>110</v>
      </c>
      <c r="Q299" s="54" t="str">
        <f>IFERROR(__xludf.DUMMYFUNCTION("""COMPUTED_VALUE"""),"KoreaSouth.AnhThongBao2.PTATT_XuBen.5018_MES_HuyNV_080422")</f>
        <v>KoreaSouth.AnhThongBao2.PTATT_XuBen.5018_MES_HuyNV_080422</v>
      </c>
      <c r="R299" s="54" t="str">
        <f>IFERROR(__xludf.DUMMYFUNCTION("""COMPUTED_VALUE"""),"NEW_KoreaSouth_1834_none_080422")</f>
        <v>NEW_KoreaSouth_1834_none_080422</v>
      </c>
      <c r="S299" s="54" t="str">
        <f>IFERROR(__xludf.DUMMYFUNCTION("""COMPUTED_VALUE"""),"saletructiep_KoreaSouth.AnhThongBao2.PTATT_PTATT_LD005")</f>
        <v>saletructiep_KoreaSouth.AnhThongBao2.PTATT_PTATT_LD005</v>
      </c>
      <c r="T299" s="54"/>
      <c r="U299" s="56"/>
    </row>
    <row r="300">
      <c r="A300" s="80" t="s">
        <v>660</v>
      </c>
      <c r="B300" s="73" t="s">
        <v>166</v>
      </c>
      <c r="C300" s="54" t="str">
        <f>IFERROR(__xludf.DUMMYFUNCTION("""COMPUTED_VALUE"""),"LD005")</f>
        <v>LD005</v>
      </c>
      <c r="D300" s="73" t="s">
        <v>42</v>
      </c>
      <c r="E300" s="73" t="s">
        <v>79</v>
      </c>
      <c r="F300" s="55" t="s">
        <v>182</v>
      </c>
      <c r="G300" s="73">
        <v>1834.0</v>
      </c>
      <c r="H300" s="73" t="s">
        <v>75</v>
      </c>
      <c r="I300" s="55" t="s">
        <v>663</v>
      </c>
      <c r="J300" s="73" t="s">
        <v>663</v>
      </c>
      <c r="K300" s="73" t="s">
        <v>61</v>
      </c>
      <c r="L300" s="73" t="s">
        <v>317</v>
      </c>
      <c r="M300" s="73" t="s">
        <v>78</v>
      </c>
      <c r="N300" s="73" t="s">
        <v>79</v>
      </c>
      <c r="O300" s="73" t="s">
        <v>224</v>
      </c>
      <c r="P300" s="73" t="s">
        <v>110</v>
      </c>
      <c r="Q300" s="54" t="str">
        <f>IFERROR(__xludf.DUMMYFUNCTION("""COMPUTED_VALUE"""),"Malaysia.AnhThongBao2.PTATT_XuBen.5018_MES_HuyNV_080422")</f>
        <v>Malaysia.AnhThongBao2.PTATT_XuBen.5018_MES_HuyNV_080422</v>
      </c>
      <c r="R300" s="54" t="str">
        <f>IFERROR(__xludf.DUMMYFUNCTION("""COMPUTED_VALUE"""),"NEW_Malaysia_1834_none_080422")</f>
        <v>NEW_Malaysia_1834_none_080422</v>
      </c>
      <c r="S300" s="54" t="str">
        <f>IFERROR(__xludf.DUMMYFUNCTION("""COMPUTED_VALUE"""),"saletructiep_Malaysia.AnhThongBao2.PTATT_PTATT_LD005")</f>
        <v>saletructiep_Malaysia.AnhThongBao2.PTATT_PTATT_LD005</v>
      </c>
      <c r="T300" s="54"/>
      <c r="U300" s="56"/>
    </row>
    <row r="301">
      <c r="A301" s="66">
        <v>220422.0</v>
      </c>
      <c r="B301" s="73" t="s">
        <v>166</v>
      </c>
      <c r="C301" s="54" t="str">
        <f>IFERROR(__xludf.DUMMYFUNCTION("""COMPUTED_VALUE"""),"LD005")</f>
        <v>LD005</v>
      </c>
      <c r="D301" s="73" t="s">
        <v>42</v>
      </c>
      <c r="E301" s="73" t="s">
        <v>79</v>
      </c>
      <c r="F301" s="55" t="s">
        <v>107</v>
      </c>
      <c r="G301" s="73">
        <v>1834.0</v>
      </c>
      <c r="H301" s="73" t="s">
        <v>75</v>
      </c>
      <c r="I301" s="55" t="s">
        <v>664</v>
      </c>
      <c r="J301" s="55" t="s">
        <v>664</v>
      </c>
      <c r="K301" s="73" t="s">
        <v>61</v>
      </c>
      <c r="L301" s="73" t="s">
        <v>317</v>
      </c>
      <c r="M301" s="73" t="s">
        <v>78</v>
      </c>
      <c r="N301" s="73" t="s">
        <v>79</v>
      </c>
      <c r="O301" s="73" t="s">
        <v>224</v>
      </c>
      <c r="P301" s="73" t="s">
        <v>110</v>
      </c>
      <c r="Q301" s="54" t="str">
        <f>IFERROR(__xludf.DUMMYFUNCTION("""COMPUTED_VALUE"""),"UnitedStates.HopDongDaoTao.PTATT_XuBen.5018_MES_HuyNV_220422")</f>
        <v>UnitedStates.HopDongDaoTao.PTATT_XuBen.5018_MES_HuyNV_220422</v>
      </c>
      <c r="R301" s="54" t="str">
        <f>IFERROR(__xludf.DUMMYFUNCTION("""COMPUTED_VALUE"""),"NEW_UnitedStates_1834_none_220422")</f>
        <v>NEW_UnitedStates_1834_none_220422</v>
      </c>
      <c r="S301" s="54" t="str">
        <f>IFERROR(__xludf.DUMMYFUNCTION("""COMPUTED_VALUE"""),"saletructiep_UnitedStates.HopDongDaoTao.PTATT_PTATT_LD005")</f>
        <v>saletructiep_UnitedStates.HopDongDaoTao.PTATT_PTATT_LD005</v>
      </c>
      <c r="T301" s="54"/>
      <c r="U301" s="56"/>
    </row>
    <row r="302">
      <c r="A302" s="66">
        <v>220422.0</v>
      </c>
      <c r="B302" s="73" t="s">
        <v>166</v>
      </c>
      <c r="C302" s="54" t="str">
        <f>IFERROR(__xludf.DUMMYFUNCTION("""COMPUTED_VALUE"""),"LD005")</f>
        <v>LD005</v>
      </c>
      <c r="D302" s="73" t="s">
        <v>42</v>
      </c>
      <c r="E302" s="73" t="s">
        <v>79</v>
      </c>
      <c r="F302" s="55" t="s">
        <v>112</v>
      </c>
      <c r="G302" s="73">
        <v>1834.0</v>
      </c>
      <c r="H302" s="73" t="s">
        <v>75</v>
      </c>
      <c r="I302" s="55" t="s">
        <v>665</v>
      </c>
      <c r="J302" s="55" t="s">
        <v>665</v>
      </c>
      <c r="K302" s="73" t="s">
        <v>61</v>
      </c>
      <c r="L302" s="73" t="s">
        <v>317</v>
      </c>
      <c r="M302" s="73" t="s">
        <v>78</v>
      </c>
      <c r="N302" s="73" t="s">
        <v>79</v>
      </c>
      <c r="O302" s="73" t="s">
        <v>224</v>
      </c>
      <c r="P302" s="73" t="s">
        <v>110</v>
      </c>
      <c r="Q302" s="54" t="str">
        <f>IFERROR(__xludf.DUMMYFUNCTION("""COMPUTED_VALUE"""),"Canada.HopDongDaoTao.PTATT_XuBen.5018_MES_HuyNV_220422")</f>
        <v>Canada.HopDongDaoTao.PTATT_XuBen.5018_MES_HuyNV_220422</v>
      </c>
      <c r="R302" s="54" t="str">
        <f>IFERROR(__xludf.DUMMYFUNCTION("""COMPUTED_VALUE"""),"NEW_Canada_1834_none_220422")</f>
        <v>NEW_Canada_1834_none_220422</v>
      </c>
      <c r="S302" s="54" t="str">
        <f>IFERROR(__xludf.DUMMYFUNCTION("""COMPUTED_VALUE"""),"saletructiep_Canada.HopDongDaoTao.PTATT_PTATT_LD005")</f>
        <v>saletructiep_Canada.HopDongDaoTao.PTATT_PTATT_LD005</v>
      </c>
      <c r="T302" s="54"/>
      <c r="U302" s="56"/>
    </row>
    <row r="303">
      <c r="A303" s="64" t="s">
        <v>666</v>
      </c>
      <c r="B303" s="73" t="s">
        <v>166</v>
      </c>
      <c r="C303" s="54" t="str">
        <f>IFERROR(__xludf.DUMMYFUNCTION("""COMPUTED_VALUE"""),"LD005")</f>
        <v>LD005</v>
      </c>
      <c r="D303" s="73" t="s">
        <v>42</v>
      </c>
      <c r="E303" s="73" t="s">
        <v>79</v>
      </c>
      <c r="F303" s="55" t="s">
        <v>625</v>
      </c>
      <c r="G303" s="73">
        <v>1834.0</v>
      </c>
      <c r="H303" s="73" t="s">
        <v>75</v>
      </c>
      <c r="I303" s="55" t="s">
        <v>667</v>
      </c>
      <c r="J303" s="55" t="s">
        <v>667</v>
      </c>
      <c r="K303" s="73" t="s">
        <v>61</v>
      </c>
      <c r="L303" s="73" t="s">
        <v>317</v>
      </c>
      <c r="M303" s="73" t="s">
        <v>78</v>
      </c>
      <c r="N303" s="73" t="s">
        <v>79</v>
      </c>
      <c r="O303" s="73" t="s">
        <v>224</v>
      </c>
      <c r="P303" s="73" t="s">
        <v>110</v>
      </c>
      <c r="Q303" s="54" t="str">
        <f>IFERROR(__xludf.DUMMYFUNCTION("""COMPUTED_VALUE"""),"KoreaSouth.HopDongDaoTao.PTATT_XuBen.5018_MES_HuyNV_030522")</f>
        <v>KoreaSouth.HopDongDaoTao.PTATT_XuBen.5018_MES_HuyNV_030522</v>
      </c>
      <c r="R303" s="54" t="str">
        <f>IFERROR(__xludf.DUMMYFUNCTION("""COMPUTED_VALUE"""),"NEW_KoreaSouth_1834_none_030522")</f>
        <v>NEW_KoreaSouth_1834_none_030522</v>
      </c>
      <c r="S303" s="54" t="str">
        <f>IFERROR(__xludf.DUMMYFUNCTION("""COMPUTED_VALUE"""),"saletructiep_KoreaSouth.HopDongDaoTao.PTATT_PTATT_LD005")</f>
        <v>saletructiep_KoreaSouth.HopDongDaoTao.PTATT_PTATT_LD005</v>
      </c>
      <c r="T303" s="54"/>
      <c r="U303" s="56"/>
    </row>
    <row r="304">
      <c r="A304" s="64" t="s">
        <v>666</v>
      </c>
      <c r="B304" s="73" t="s">
        <v>166</v>
      </c>
      <c r="C304" s="54" t="str">
        <f>IFERROR(__xludf.DUMMYFUNCTION("""COMPUTED_VALUE"""),"LD005")</f>
        <v>LD005</v>
      </c>
      <c r="D304" s="73" t="s">
        <v>42</v>
      </c>
      <c r="E304" s="73" t="s">
        <v>79</v>
      </c>
      <c r="F304" s="55" t="s">
        <v>129</v>
      </c>
      <c r="G304" s="73">
        <v>1834.0</v>
      </c>
      <c r="H304" s="73" t="s">
        <v>75</v>
      </c>
      <c r="I304" s="55" t="s">
        <v>668</v>
      </c>
      <c r="J304" s="55" t="s">
        <v>668</v>
      </c>
      <c r="K304" s="73" t="s">
        <v>61</v>
      </c>
      <c r="L304" s="73" t="s">
        <v>317</v>
      </c>
      <c r="M304" s="73" t="s">
        <v>78</v>
      </c>
      <c r="N304" s="73" t="s">
        <v>79</v>
      </c>
      <c r="O304" s="73" t="s">
        <v>224</v>
      </c>
      <c r="P304" s="73" t="s">
        <v>110</v>
      </c>
      <c r="Q304" s="54" t="str">
        <f>IFERROR(__xludf.DUMMYFUNCTION("""COMPUTED_VALUE"""),"Australia.HopDongDaoTao.PTATT_XuBen.5018_MES_HuyNV_030522")</f>
        <v>Australia.HopDongDaoTao.PTATT_XuBen.5018_MES_HuyNV_030522</v>
      </c>
      <c r="R304" s="54" t="str">
        <f>IFERROR(__xludf.DUMMYFUNCTION("""COMPUTED_VALUE"""),"NEW_Australia_1834_none_030522")</f>
        <v>NEW_Australia_1834_none_030522</v>
      </c>
      <c r="S304" s="54" t="str">
        <f>IFERROR(__xludf.DUMMYFUNCTION("""COMPUTED_VALUE"""),"saletructiep_Australia.HopDongDaoTao.PTATT_PTATT_LD005")</f>
        <v>saletructiep_Australia.HopDongDaoTao.PTATT_PTATT_LD005</v>
      </c>
      <c r="T304" s="54"/>
      <c r="U304" s="56"/>
    </row>
    <row r="305">
      <c r="A305" s="64" t="s">
        <v>666</v>
      </c>
      <c r="B305" s="73" t="s">
        <v>166</v>
      </c>
      <c r="C305" s="54" t="str">
        <f>IFERROR(__xludf.DUMMYFUNCTION("""COMPUTED_VALUE"""),"LD005")</f>
        <v>LD005</v>
      </c>
      <c r="D305" s="73" t="s">
        <v>42</v>
      </c>
      <c r="E305" s="73" t="s">
        <v>79</v>
      </c>
      <c r="F305" s="55" t="s">
        <v>133</v>
      </c>
      <c r="G305" s="73">
        <v>1834.0</v>
      </c>
      <c r="H305" s="73" t="s">
        <v>75</v>
      </c>
      <c r="I305" s="55" t="s">
        <v>669</v>
      </c>
      <c r="J305" s="55" t="s">
        <v>669</v>
      </c>
      <c r="K305" s="73" t="s">
        <v>61</v>
      </c>
      <c r="L305" s="73" t="s">
        <v>317</v>
      </c>
      <c r="M305" s="73" t="s">
        <v>78</v>
      </c>
      <c r="N305" s="73" t="s">
        <v>79</v>
      </c>
      <c r="O305" s="73" t="s">
        <v>224</v>
      </c>
      <c r="P305" s="73" t="s">
        <v>110</v>
      </c>
      <c r="Q305" s="54" t="str">
        <f>IFERROR(__xludf.DUMMYFUNCTION("""COMPUTED_VALUE"""),"Japan.HopDongDaoTao.PTATT_XuBen.5018_MES_HuyNV_030522")</f>
        <v>Japan.HopDongDaoTao.PTATT_XuBen.5018_MES_HuyNV_030522</v>
      </c>
      <c r="R305" s="54" t="str">
        <f>IFERROR(__xludf.DUMMYFUNCTION("""COMPUTED_VALUE"""),"NEW_Japan_1834_none_030522")</f>
        <v>NEW_Japan_1834_none_030522</v>
      </c>
      <c r="S305" s="54" t="str">
        <f>IFERROR(__xludf.DUMMYFUNCTION("""COMPUTED_VALUE"""),"saletructiep_Japan.HopDongDaoTao.PTATT_PTATT_LD005")</f>
        <v>saletructiep_Japan.HopDongDaoTao.PTATT_PTATT_LD005</v>
      </c>
      <c r="T305" s="54"/>
      <c r="U305" s="56"/>
    </row>
    <row r="306">
      <c r="A306" s="64" t="s">
        <v>666</v>
      </c>
      <c r="B306" s="73" t="s">
        <v>166</v>
      </c>
      <c r="C306" s="54" t="str">
        <f>IFERROR(__xludf.DUMMYFUNCTION("""COMPUTED_VALUE"""),"LD005")</f>
        <v>LD005</v>
      </c>
      <c r="D306" s="73" t="s">
        <v>42</v>
      </c>
      <c r="E306" s="73" t="s">
        <v>79</v>
      </c>
      <c r="F306" s="55" t="s">
        <v>461</v>
      </c>
      <c r="G306" s="73">
        <v>1834.0</v>
      </c>
      <c r="H306" s="73" t="s">
        <v>75</v>
      </c>
      <c r="I306" s="55" t="s">
        <v>670</v>
      </c>
      <c r="J306" s="55" t="s">
        <v>670</v>
      </c>
      <c r="K306" s="73" t="s">
        <v>61</v>
      </c>
      <c r="L306" s="73" t="s">
        <v>317</v>
      </c>
      <c r="M306" s="73" t="s">
        <v>78</v>
      </c>
      <c r="N306" s="73" t="s">
        <v>79</v>
      </c>
      <c r="O306" s="73" t="s">
        <v>224</v>
      </c>
      <c r="P306" s="73" t="s">
        <v>110</v>
      </c>
      <c r="Q306" s="54" t="str">
        <f>IFERROR(__xludf.DUMMYFUNCTION("""COMPUTED_VALUE"""),"CzechRepublic.HopDongDaoTao.PTATT_XuBen.5018_MES_HuyNV_030522")</f>
        <v>CzechRepublic.HopDongDaoTao.PTATT_XuBen.5018_MES_HuyNV_030522</v>
      </c>
      <c r="R306" s="54" t="str">
        <f>IFERROR(__xludf.DUMMYFUNCTION("""COMPUTED_VALUE"""),"NEW_CzechRepublic_1834_none_030522")</f>
        <v>NEW_CzechRepublic_1834_none_030522</v>
      </c>
      <c r="S306" s="54" t="str">
        <f>IFERROR(__xludf.DUMMYFUNCTION("""COMPUTED_VALUE"""),"saletructiep_CzechRepublic.HopDongDaoTao.PTATT_PTATT_LD005")</f>
        <v>saletructiep_CzechRepublic.HopDongDaoTao.PTATT_PTATT_LD005</v>
      </c>
      <c r="T306" s="54"/>
      <c r="U306" s="56"/>
    </row>
    <row r="307">
      <c r="A307" s="64" t="s">
        <v>666</v>
      </c>
      <c r="B307" s="73" t="s">
        <v>166</v>
      </c>
      <c r="C307" s="54" t="str">
        <f>IFERROR(__xludf.DUMMYFUNCTION("""COMPUTED_VALUE"""),"LD005")</f>
        <v>LD005</v>
      </c>
      <c r="D307" s="73" t="s">
        <v>42</v>
      </c>
      <c r="E307" s="73" t="s">
        <v>79</v>
      </c>
      <c r="F307" s="55" t="s">
        <v>119</v>
      </c>
      <c r="G307" s="73">
        <v>1834.0</v>
      </c>
      <c r="H307" s="73" t="s">
        <v>75</v>
      </c>
      <c r="I307" s="55" t="s">
        <v>671</v>
      </c>
      <c r="J307" s="55" t="s">
        <v>671</v>
      </c>
      <c r="K307" s="73" t="s">
        <v>61</v>
      </c>
      <c r="L307" s="73" t="s">
        <v>317</v>
      </c>
      <c r="M307" s="73" t="s">
        <v>78</v>
      </c>
      <c r="N307" s="73" t="s">
        <v>79</v>
      </c>
      <c r="O307" s="73" t="s">
        <v>224</v>
      </c>
      <c r="P307" s="73" t="s">
        <v>110</v>
      </c>
      <c r="Q307" s="54" t="str">
        <f>IFERROR(__xludf.DUMMYFUNCTION("""COMPUTED_VALUE"""),"NewZealand.HopDongDaoTao.PTATT_XuBen.5018_MES_HuyNV_030522")</f>
        <v>NewZealand.HopDongDaoTao.PTATT_XuBen.5018_MES_HuyNV_030522</v>
      </c>
      <c r="R307" s="54" t="str">
        <f>IFERROR(__xludf.DUMMYFUNCTION("""COMPUTED_VALUE"""),"NEW_NewZealand_1834_none_030522")</f>
        <v>NEW_NewZealand_1834_none_030522</v>
      </c>
      <c r="S307" s="54" t="str">
        <f>IFERROR(__xludf.DUMMYFUNCTION("""COMPUTED_VALUE"""),"saletructiep_NewZealand.HopDongDaoTao.PTATT_PTATT_LD005")</f>
        <v>saletructiep_NewZealand.HopDongDaoTao.PTATT_PTATT_LD005</v>
      </c>
      <c r="T307" s="54"/>
      <c r="U307" s="56"/>
    </row>
    <row r="308">
      <c r="A308" s="64" t="s">
        <v>672</v>
      </c>
      <c r="B308" s="73" t="s">
        <v>166</v>
      </c>
      <c r="C308" s="54" t="str">
        <f>IFERROR(__xludf.DUMMYFUNCTION("""COMPUTED_VALUE"""),"LD005")</f>
        <v>LD005</v>
      </c>
      <c r="D308" s="73" t="s">
        <v>42</v>
      </c>
      <c r="E308" s="73" t="s">
        <v>79</v>
      </c>
      <c r="F308" s="55" t="s">
        <v>539</v>
      </c>
      <c r="G308" s="73">
        <v>1834.0</v>
      </c>
      <c r="H308" s="73" t="s">
        <v>75</v>
      </c>
      <c r="I308" s="55" t="s">
        <v>673</v>
      </c>
      <c r="J308" s="55" t="s">
        <v>673</v>
      </c>
      <c r="K308" s="73" t="s">
        <v>61</v>
      </c>
      <c r="L308" s="73" t="s">
        <v>317</v>
      </c>
      <c r="M308" s="73" t="s">
        <v>78</v>
      </c>
      <c r="N308" s="73" t="s">
        <v>79</v>
      </c>
      <c r="O308" s="73" t="s">
        <v>224</v>
      </c>
      <c r="P308" s="73" t="s">
        <v>110</v>
      </c>
      <c r="Q308" s="54" t="str">
        <f>IFERROR(__xludf.DUMMYFUNCTION("""COMPUTED_VALUE"""),"ALL.VideoH4TrungTam.PTATT_XuBen.5018_MES_HuyNV_040522")</f>
        <v>ALL.VideoH4TrungTam.PTATT_XuBen.5018_MES_HuyNV_040522</v>
      </c>
      <c r="R308" s="54" t="str">
        <f>IFERROR(__xludf.DUMMYFUNCTION("""COMPUTED_VALUE"""),"NEW_ALL_1834_none_040522")</f>
        <v>NEW_ALL_1834_none_040522</v>
      </c>
      <c r="S308" s="54" t="str">
        <f>IFERROR(__xludf.DUMMYFUNCTION("""COMPUTED_VALUE"""),"saletructiep_ALL.VideoH4TrungTam.PTATT_PTATT_LD005")</f>
        <v>saletructiep_ALL.VideoH4TrungTam.PTATT_PTATT_LD005</v>
      </c>
      <c r="T308" s="54"/>
      <c r="U308" s="56"/>
    </row>
    <row r="309">
      <c r="A309" s="64" t="s">
        <v>672</v>
      </c>
      <c r="B309" s="73" t="s">
        <v>166</v>
      </c>
      <c r="C309" s="54" t="str">
        <f>IFERROR(__xludf.DUMMYFUNCTION("""COMPUTED_VALUE"""),"LD005")</f>
        <v>LD005</v>
      </c>
      <c r="D309" s="73" t="s">
        <v>42</v>
      </c>
      <c r="E309" s="73" t="s">
        <v>79</v>
      </c>
      <c r="F309" s="55" t="s">
        <v>674</v>
      </c>
      <c r="G309" s="73">
        <v>1834.0</v>
      </c>
      <c r="H309" s="73" t="s">
        <v>75</v>
      </c>
      <c r="I309" s="55" t="s">
        <v>675</v>
      </c>
      <c r="J309" s="55" t="s">
        <v>675</v>
      </c>
      <c r="K309" s="73" t="s">
        <v>61</v>
      </c>
      <c r="L309" s="73" t="s">
        <v>317</v>
      </c>
      <c r="M309" s="73" t="s">
        <v>78</v>
      </c>
      <c r="N309" s="73" t="s">
        <v>79</v>
      </c>
      <c r="O309" s="73" t="s">
        <v>224</v>
      </c>
      <c r="P309" s="73" t="s">
        <v>110</v>
      </c>
      <c r="Q309" s="54" t="str">
        <f>IFERROR(__xludf.DUMMYFUNCTION("""COMPUTED_VALUE"""),"Europe.VideoH4TrungTam.PTATT_XuBen.5018_MES_HuyNV_040522")</f>
        <v>Europe.VideoH4TrungTam.PTATT_XuBen.5018_MES_HuyNV_040522</v>
      </c>
      <c r="R309" s="54" t="str">
        <f>IFERROR(__xludf.DUMMYFUNCTION("""COMPUTED_VALUE"""),"NEW_Europe_1834_none_040522")</f>
        <v>NEW_Europe_1834_none_040522</v>
      </c>
      <c r="S309" s="54" t="str">
        <f>IFERROR(__xludf.DUMMYFUNCTION("""COMPUTED_VALUE"""),"saletructiep_Europe.VideoH4TrungTam.PTATT_PTATT_LD005")</f>
        <v>saletructiep_Europe.VideoH4TrungTam.PTATT_PTATT_LD005</v>
      </c>
      <c r="T309" s="54"/>
      <c r="U309" s="56"/>
    </row>
    <row r="310">
      <c r="A310" s="64" t="s">
        <v>676</v>
      </c>
      <c r="B310" s="73" t="s">
        <v>166</v>
      </c>
      <c r="C310" s="54" t="str">
        <f>IFERROR(__xludf.DUMMYFUNCTION("""COMPUTED_VALUE"""),"LD005")</f>
        <v>LD005</v>
      </c>
      <c r="D310" s="73" t="s">
        <v>42</v>
      </c>
      <c r="E310" s="73" t="s">
        <v>79</v>
      </c>
      <c r="F310" s="55" t="s">
        <v>199</v>
      </c>
      <c r="G310" s="73">
        <v>1834.0</v>
      </c>
      <c r="H310" s="73" t="s">
        <v>75</v>
      </c>
      <c r="I310" s="55" t="s">
        <v>677</v>
      </c>
      <c r="J310" s="55" t="s">
        <v>677</v>
      </c>
      <c r="K310" s="73" t="s">
        <v>61</v>
      </c>
      <c r="L310" s="73" t="s">
        <v>317</v>
      </c>
      <c r="M310" s="73" t="s">
        <v>78</v>
      </c>
      <c r="N310" s="73" t="s">
        <v>79</v>
      </c>
      <c r="O310" s="73" t="s">
        <v>224</v>
      </c>
      <c r="P310" s="73" t="s">
        <v>110</v>
      </c>
      <c r="Q310" s="54" t="str">
        <f>IFERROR(__xludf.DUMMYFUNCTION("""COMPUTED_VALUE"""),"Vietnam.VideoH4TrungTam.PTATT_XuBen.5018_MES_HuyNV_060522")</f>
        <v>Vietnam.VideoH4TrungTam.PTATT_XuBen.5018_MES_HuyNV_060522</v>
      </c>
      <c r="R310" s="54" t="str">
        <f>IFERROR(__xludf.DUMMYFUNCTION("""COMPUTED_VALUE"""),"NEW_Vietnam_1834_none_060522")</f>
        <v>NEW_Vietnam_1834_none_060522</v>
      </c>
      <c r="S310" s="54" t="str">
        <f>IFERROR(__xludf.DUMMYFUNCTION("""COMPUTED_VALUE"""),"saletructiep_Vietnam.VideoH4TrungTam.PTATT_PTATT_LD005")</f>
        <v>saletructiep_Vietnam.VideoH4TrungTam.PTATT_PTATT_LD005</v>
      </c>
      <c r="T310" s="54"/>
      <c r="U310" s="56"/>
    </row>
    <row r="311">
      <c r="A311" s="64" t="s">
        <v>678</v>
      </c>
      <c r="B311" s="61" t="s">
        <v>166</v>
      </c>
      <c r="C311" s="54" t="str">
        <f>IFERROR(__xludf.DUMMYFUNCTION("""COMPUTED_VALUE"""),"LD005")</f>
        <v>LD005</v>
      </c>
      <c r="D311" s="73" t="s">
        <v>42</v>
      </c>
      <c r="E311" s="73" t="s">
        <v>79</v>
      </c>
      <c r="F311" s="55" t="s">
        <v>539</v>
      </c>
      <c r="G311" s="73">
        <v>1834.0</v>
      </c>
      <c r="H311" s="73" t="s">
        <v>75</v>
      </c>
      <c r="I311" s="55" t="s">
        <v>679</v>
      </c>
      <c r="J311" s="55" t="s">
        <v>679</v>
      </c>
      <c r="K311" s="73" t="s">
        <v>61</v>
      </c>
      <c r="L311" s="73" t="s">
        <v>317</v>
      </c>
      <c r="M311" s="73" t="s">
        <v>78</v>
      </c>
      <c r="N311" s="73" t="s">
        <v>79</v>
      </c>
      <c r="O311" s="73" t="s">
        <v>224</v>
      </c>
      <c r="P311" s="73" t="s">
        <v>110</v>
      </c>
      <c r="Q311" s="54" t="str">
        <f>IFERROR(__xludf.DUMMYFUNCTION("""COMPUTED_VALUE"""),"ALL.HopDongDaoTao.PTATT_XuBen.5018_MES_HuyNV_100522")</f>
        <v>ALL.HopDongDaoTao.PTATT_XuBen.5018_MES_HuyNV_100522</v>
      </c>
      <c r="R311" s="54" t="str">
        <f>IFERROR(__xludf.DUMMYFUNCTION("""COMPUTED_VALUE"""),"NEW_ALL_1834_none_100522")</f>
        <v>NEW_ALL_1834_none_100522</v>
      </c>
      <c r="S311" s="54" t="str">
        <f>IFERROR(__xludf.DUMMYFUNCTION("""COMPUTED_VALUE"""),"saletructiep_ALL.HopDongDaoTao.PTATT_PTATT_LD005")</f>
        <v>saletructiep_ALL.HopDongDaoTao.PTATT_PTATT_LD005</v>
      </c>
      <c r="T311" s="54"/>
      <c r="U311" s="56"/>
    </row>
    <row r="312">
      <c r="A312" s="64" t="s">
        <v>680</v>
      </c>
      <c r="B312" s="61" t="s">
        <v>166</v>
      </c>
      <c r="C312" s="54" t="str">
        <f>IFERROR(__xludf.DUMMYFUNCTION("""COMPUTED_VALUE"""),"LD005")</f>
        <v>LD005</v>
      </c>
      <c r="D312" s="73" t="s">
        <v>42</v>
      </c>
      <c r="E312" s="73" t="s">
        <v>79</v>
      </c>
      <c r="F312" s="55" t="s">
        <v>107</v>
      </c>
      <c r="G312" s="73">
        <v>1834.0</v>
      </c>
      <c r="H312" s="73" t="s">
        <v>75</v>
      </c>
      <c r="I312" s="55" t="s">
        <v>681</v>
      </c>
      <c r="J312" s="55" t="s">
        <v>681</v>
      </c>
      <c r="K312" s="73" t="s">
        <v>61</v>
      </c>
      <c r="L312" s="73" t="s">
        <v>317</v>
      </c>
      <c r="M312" s="73" t="s">
        <v>78</v>
      </c>
      <c r="N312" s="73" t="s">
        <v>79</v>
      </c>
      <c r="O312" s="73" t="s">
        <v>224</v>
      </c>
      <c r="P312" s="73" t="s">
        <v>110</v>
      </c>
      <c r="Q312" s="54" t="str">
        <f>IFERROR(__xludf.DUMMYFUNCTION("""COMPUTED_VALUE"""),"UnitedStates.GreenBoard.PTATT_XuBen.5018_MES_HuyNV_110522")</f>
        <v>UnitedStates.GreenBoard.PTATT_XuBen.5018_MES_HuyNV_110522</v>
      </c>
      <c r="R312" s="54" t="str">
        <f>IFERROR(__xludf.DUMMYFUNCTION("""COMPUTED_VALUE"""),"NEW_UnitedStates_1834_none_110522")</f>
        <v>NEW_UnitedStates_1834_none_110522</v>
      </c>
      <c r="S312" s="54" t="str">
        <f>IFERROR(__xludf.DUMMYFUNCTION("""COMPUTED_VALUE"""),"saletructiep_UnitedStates.GreenBoard.PTATT_PTATT_LD005")</f>
        <v>saletructiep_UnitedStates.GreenBoard.PTATT_PTATT_LD005</v>
      </c>
      <c r="T312" s="54"/>
      <c r="U312" s="56"/>
    </row>
    <row r="313">
      <c r="A313" s="64" t="s">
        <v>680</v>
      </c>
      <c r="B313" s="61" t="s">
        <v>166</v>
      </c>
      <c r="C313" s="54" t="str">
        <f>IFERROR(__xludf.DUMMYFUNCTION("""COMPUTED_VALUE"""),"LD005")</f>
        <v>LD005</v>
      </c>
      <c r="D313" s="73" t="s">
        <v>42</v>
      </c>
      <c r="E313" s="73" t="s">
        <v>79</v>
      </c>
      <c r="F313" s="55" t="s">
        <v>112</v>
      </c>
      <c r="G313" s="73">
        <v>1834.0</v>
      </c>
      <c r="H313" s="73" t="s">
        <v>75</v>
      </c>
      <c r="I313" s="55" t="s">
        <v>682</v>
      </c>
      <c r="J313" s="55" t="s">
        <v>682</v>
      </c>
      <c r="K313" s="73" t="s">
        <v>61</v>
      </c>
      <c r="L313" s="73" t="s">
        <v>317</v>
      </c>
      <c r="M313" s="73" t="s">
        <v>78</v>
      </c>
      <c r="N313" s="73" t="s">
        <v>79</v>
      </c>
      <c r="O313" s="73" t="s">
        <v>224</v>
      </c>
      <c r="P313" s="73" t="s">
        <v>110</v>
      </c>
      <c r="Q313" s="54" t="str">
        <f>IFERROR(__xludf.DUMMYFUNCTION("""COMPUTED_VALUE"""),"Canada.GreenBoard.PTATT_XuBen.5018_MES_HuyNV_110522")</f>
        <v>Canada.GreenBoard.PTATT_XuBen.5018_MES_HuyNV_110522</v>
      </c>
      <c r="R313" s="54" t="str">
        <f>IFERROR(__xludf.DUMMYFUNCTION("""COMPUTED_VALUE"""),"NEW_Canada_1834_none_110522")</f>
        <v>NEW_Canada_1834_none_110522</v>
      </c>
      <c r="S313" s="54" t="str">
        <f>IFERROR(__xludf.DUMMYFUNCTION("""COMPUTED_VALUE"""),"saletructiep_Canada.GreenBoard.PTATT_PTATT_LD005")</f>
        <v>saletructiep_Canada.GreenBoard.PTATT_PTATT_LD005</v>
      </c>
      <c r="T313" s="54"/>
      <c r="U313" s="56"/>
    </row>
    <row r="314">
      <c r="A314" s="64" t="s">
        <v>680</v>
      </c>
      <c r="B314" s="61" t="s">
        <v>166</v>
      </c>
      <c r="C314" s="54" t="str">
        <f>IFERROR(__xludf.DUMMYFUNCTION("""COMPUTED_VALUE"""),"LD005")</f>
        <v>LD005</v>
      </c>
      <c r="D314" s="73" t="s">
        <v>42</v>
      </c>
      <c r="E314" s="73" t="s">
        <v>79</v>
      </c>
      <c r="F314" s="55" t="s">
        <v>133</v>
      </c>
      <c r="G314" s="73">
        <v>1834.0</v>
      </c>
      <c r="H314" s="73" t="s">
        <v>75</v>
      </c>
      <c r="I314" s="55" t="s">
        <v>683</v>
      </c>
      <c r="J314" s="55" t="s">
        <v>683</v>
      </c>
      <c r="K314" s="73" t="s">
        <v>61</v>
      </c>
      <c r="L314" s="73" t="s">
        <v>317</v>
      </c>
      <c r="M314" s="73" t="s">
        <v>78</v>
      </c>
      <c r="N314" s="73" t="s">
        <v>79</v>
      </c>
      <c r="O314" s="73" t="s">
        <v>224</v>
      </c>
      <c r="P314" s="73" t="s">
        <v>110</v>
      </c>
      <c r="Q314" s="54" t="str">
        <f>IFERROR(__xludf.DUMMYFUNCTION("""COMPUTED_VALUE"""),"Japan.GreenBoard.PTATT_XuBen.5018_MES_HuyNV_110522")</f>
        <v>Japan.GreenBoard.PTATT_XuBen.5018_MES_HuyNV_110522</v>
      </c>
      <c r="R314" s="54" t="str">
        <f>IFERROR(__xludf.DUMMYFUNCTION("""COMPUTED_VALUE"""),"NEW_Japan_1834_none_110522")</f>
        <v>NEW_Japan_1834_none_110522</v>
      </c>
      <c r="S314" s="54" t="str">
        <f>IFERROR(__xludf.DUMMYFUNCTION("""COMPUTED_VALUE"""),"saletructiep_Japan.GreenBoard.PTATT_PTATT_LD005")</f>
        <v>saletructiep_Japan.GreenBoard.PTATT_PTATT_LD005</v>
      </c>
      <c r="T314" s="54"/>
      <c r="U314" s="56"/>
    </row>
    <row r="315">
      <c r="A315" s="64" t="s">
        <v>680</v>
      </c>
      <c r="B315" s="61" t="s">
        <v>166</v>
      </c>
      <c r="C315" s="54" t="str">
        <f>IFERROR(__xludf.DUMMYFUNCTION("""COMPUTED_VALUE"""),"LD005")</f>
        <v>LD005</v>
      </c>
      <c r="D315" s="73" t="s">
        <v>42</v>
      </c>
      <c r="E315" s="73" t="s">
        <v>79</v>
      </c>
      <c r="F315" s="55" t="s">
        <v>625</v>
      </c>
      <c r="G315" s="73">
        <v>1834.0</v>
      </c>
      <c r="H315" s="73" t="s">
        <v>75</v>
      </c>
      <c r="I315" s="55" t="s">
        <v>684</v>
      </c>
      <c r="J315" s="55" t="s">
        <v>684</v>
      </c>
      <c r="K315" s="73" t="s">
        <v>61</v>
      </c>
      <c r="L315" s="73" t="s">
        <v>317</v>
      </c>
      <c r="M315" s="73" t="s">
        <v>78</v>
      </c>
      <c r="N315" s="73" t="s">
        <v>79</v>
      </c>
      <c r="O315" s="73" t="s">
        <v>224</v>
      </c>
      <c r="P315" s="73" t="s">
        <v>110</v>
      </c>
      <c r="Q315" s="54" t="str">
        <f>IFERROR(__xludf.DUMMYFUNCTION("""COMPUTED_VALUE"""),"KoreaSouth.GreenBoard.PTATT_XuBen.5018_MES_HuyNV_110522")</f>
        <v>KoreaSouth.GreenBoard.PTATT_XuBen.5018_MES_HuyNV_110522</v>
      </c>
      <c r="R315" s="54" t="str">
        <f>IFERROR(__xludf.DUMMYFUNCTION("""COMPUTED_VALUE"""),"NEW_KoreaSouth_1834_none_110522")</f>
        <v>NEW_KoreaSouth_1834_none_110522</v>
      </c>
      <c r="S315" s="54" t="str">
        <f>IFERROR(__xludf.DUMMYFUNCTION("""COMPUTED_VALUE"""),"saletructiep_KoreaSouth.GreenBoard.PTATT_PTATT_LD005")</f>
        <v>saletructiep_KoreaSouth.GreenBoard.PTATT_PTATT_LD005</v>
      </c>
      <c r="T315" s="54"/>
      <c r="U315" s="56"/>
    </row>
    <row r="316">
      <c r="A316" s="64" t="s">
        <v>680</v>
      </c>
      <c r="B316" s="61" t="s">
        <v>166</v>
      </c>
      <c r="C316" s="54" t="str">
        <f>IFERROR(__xludf.DUMMYFUNCTION("""COMPUTED_VALUE"""),"LD005")</f>
        <v>LD005</v>
      </c>
      <c r="D316" s="73" t="s">
        <v>42</v>
      </c>
      <c r="E316" s="73" t="s">
        <v>79</v>
      </c>
      <c r="F316" s="55" t="s">
        <v>129</v>
      </c>
      <c r="G316" s="73">
        <v>1834.0</v>
      </c>
      <c r="H316" s="73" t="s">
        <v>75</v>
      </c>
      <c r="I316" s="55" t="s">
        <v>685</v>
      </c>
      <c r="J316" s="55" t="s">
        <v>685</v>
      </c>
      <c r="K316" s="73" t="s">
        <v>61</v>
      </c>
      <c r="L316" s="73" t="s">
        <v>317</v>
      </c>
      <c r="M316" s="73" t="s">
        <v>78</v>
      </c>
      <c r="N316" s="73" t="s">
        <v>79</v>
      </c>
      <c r="O316" s="73" t="s">
        <v>224</v>
      </c>
      <c r="P316" s="73" t="s">
        <v>110</v>
      </c>
      <c r="Q316" s="54" t="str">
        <f>IFERROR(__xludf.DUMMYFUNCTION("""COMPUTED_VALUE"""),"Australia.GreenBoard.PTATT_XuBen.5018_MES_HuyNV_110522")</f>
        <v>Australia.GreenBoard.PTATT_XuBen.5018_MES_HuyNV_110522</v>
      </c>
      <c r="R316" s="54" t="str">
        <f>IFERROR(__xludf.DUMMYFUNCTION("""COMPUTED_VALUE"""),"NEW_Australia_1834_none_110522")</f>
        <v>NEW_Australia_1834_none_110522</v>
      </c>
      <c r="S316" s="54" t="str">
        <f>IFERROR(__xludf.DUMMYFUNCTION("""COMPUTED_VALUE"""),"saletructiep_Australia.GreenBoard.PTATT_PTATT_LD005")</f>
        <v>saletructiep_Australia.GreenBoard.PTATT_PTATT_LD005</v>
      </c>
      <c r="T316" s="54"/>
      <c r="U316" s="56"/>
    </row>
    <row r="317">
      <c r="A317" s="64" t="s">
        <v>686</v>
      </c>
      <c r="B317" s="61" t="s">
        <v>166</v>
      </c>
      <c r="C317" s="54" t="str">
        <f>IFERROR(__xludf.DUMMYFUNCTION("""COMPUTED_VALUE"""),"LD005")</f>
        <v>LD005</v>
      </c>
      <c r="D317" s="73" t="s">
        <v>42</v>
      </c>
      <c r="E317" s="73" t="s">
        <v>79</v>
      </c>
      <c r="F317" s="55" t="s">
        <v>107</v>
      </c>
      <c r="G317" s="73">
        <v>1834.0</v>
      </c>
      <c r="H317" s="73" t="s">
        <v>75</v>
      </c>
      <c r="I317" s="55" t="s">
        <v>687</v>
      </c>
      <c r="J317" s="55" t="s">
        <v>687</v>
      </c>
      <c r="K317" s="73" t="s">
        <v>61</v>
      </c>
      <c r="L317" s="73" t="s">
        <v>317</v>
      </c>
      <c r="M317" s="73" t="s">
        <v>78</v>
      </c>
      <c r="N317" s="73" t="s">
        <v>79</v>
      </c>
      <c r="O317" s="73" t="s">
        <v>224</v>
      </c>
      <c r="P317" s="73" t="s">
        <v>110</v>
      </c>
      <c r="Q317" s="54" t="str">
        <f>IFERROR(__xludf.DUMMYFUNCTION("""COMPUTED_VALUE"""),"UnitedStates.VideoH4TrungTam.TATTTD_XuBen.5018_MES_HuyNV_140522")</f>
        <v>UnitedStates.VideoH4TrungTam.TATTTD_XuBen.5018_MES_HuyNV_140522</v>
      </c>
      <c r="R317" s="54" t="str">
        <f>IFERROR(__xludf.DUMMYFUNCTION("""COMPUTED_VALUE"""),"NEW_UnitedStates_1834_none_140522")</f>
        <v>NEW_UnitedStates_1834_none_140522</v>
      </c>
      <c r="S317" s="54" t="str">
        <f>IFERROR(__xludf.DUMMYFUNCTION("""COMPUTED_VALUE"""),"saletructiep_UnitedStates.VideoH4TrungTam.TATTTD_PTATT_LD005")</f>
        <v>saletructiep_UnitedStates.VideoH4TrungTam.TATTTD_PTATT_LD005</v>
      </c>
      <c r="T317" s="54"/>
      <c r="U317" s="56"/>
    </row>
    <row r="318">
      <c r="A318" s="64" t="s">
        <v>686</v>
      </c>
      <c r="B318" s="61" t="s">
        <v>166</v>
      </c>
      <c r="C318" s="54" t="str">
        <f>IFERROR(__xludf.DUMMYFUNCTION("""COMPUTED_VALUE"""),"LD005")</f>
        <v>LD005</v>
      </c>
      <c r="D318" s="73" t="s">
        <v>42</v>
      </c>
      <c r="E318" s="73" t="s">
        <v>79</v>
      </c>
      <c r="F318" s="55" t="s">
        <v>133</v>
      </c>
      <c r="G318" s="73">
        <v>1834.0</v>
      </c>
      <c r="H318" s="73" t="s">
        <v>75</v>
      </c>
      <c r="I318" s="55" t="s">
        <v>688</v>
      </c>
      <c r="J318" s="55" t="s">
        <v>688</v>
      </c>
      <c r="K318" s="73" t="s">
        <v>61</v>
      </c>
      <c r="L318" s="73" t="s">
        <v>317</v>
      </c>
      <c r="M318" s="73" t="s">
        <v>78</v>
      </c>
      <c r="N318" s="73" t="s">
        <v>79</v>
      </c>
      <c r="O318" s="73" t="s">
        <v>224</v>
      </c>
      <c r="P318" s="73" t="s">
        <v>110</v>
      </c>
      <c r="Q318" s="54" t="str">
        <f>IFERROR(__xludf.DUMMYFUNCTION("""COMPUTED_VALUE"""),"Japan.VideoH4TrungTam.TATTTD_XuBen.5018_MES_HuyNV_140522")</f>
        <v>Japan.VideoH4TrungTam.TATTTD_XuBen.5018_MES_HuyNV_140522</v>
      </c>
      <c r="R318" s="54" t="str">
        <f>IFERROR(__xludf.DUMMYFUNCTION("""COMPUTED_VALUE"""),"NEW_Japan_1834_none_140522")</f>
        <v>NEW_Japan_1834_none_140522</v>
      </c>
      <c r="S318" s="54" t="str">
        <f>IFERROR(__xludf.DUMMYFUNCTION("""COMPUTED_VALUE"""),"saletructiep_Japan.VideoH4TrungTam.TATTTD_PTATT_LD005")</f>
        <v>saletructiep_Japan.VideoH4TrungTam.TATTTD_PTATT_LD005</v>
      </c>
      <c r="T318" s="54"/>
      <c r="U318" s="56"/>
    </row>
    <row r="319">
      <c r="A319" s="66">
        <v>230522.0</v>
      </c>
      <c r="B319" s="61" t="s">
        <v>166</v>
      </c>
      <c r="C319" s="54" t="str">
        <f>IFERROR(__xludf.DUMMYFUNCTION("""COMPUTED_VALUE"""),"LD005")</f>
        <v>LD005</v>
      </c>
      <c r="D319" s="73" t="s">
        <v>42</v>
      </c>
      <c r="E319" s="73" t="s">
        <v>79</v>
      </c>
      <c r="F319" s="55" t="s">
        <v>107</v>
      </c>
      <c r="G319" s="73">
        <v>1834.0</v>
      </c>
      <c r="H319" s="73" t="s">
        <v>75</v>
      </c>
      <c r="I319" s="55" t="s">
        <v>689</v>
      </c>
      <c r="J319" s="55" t="s">
        <v>689</v>
      </c>
      <c r="K319" s="73" t="s">
        <v>61</v>
      </c>
      <c r="L319" s="73" t="s">
        <v>317</v>
      </c>
      <c r="M319" s="73" t="s">
        <v>78</v>
      </c>
      <c r="N319" s="73" t="s">
        <v>79</v>
      </c>
      <c r="O319" s="73" t="s">
        <v>224</v>
      </c>
      <c r="P319" s="73" t="s">
        <v>110</v>
      </c>
      <c r="Q319" s="54" t="str">
        <f>IFERROR(__xludf.DUMMYFUNCTION("""COMPUTED_VALUE"""),"UnitedStates.AnhThongBao12.PTATT_XuBen.5018_MES_HuyNV_230522")</f>
        <v>UnitedStates.AnhThongBao12.PTATT_XuBen.5018_MES_HuyNV_230522</v>
      </c>
      <c r="R319" s="54" t="str">
        <f>IFERROR(__xludf.DUMMYFUNCTION("""COMPUTED_VALUE"""),"NEW_UnitedStates_1834_none_230522")</f>
        <v>NEW_UnitedStates_1834_none_230522</v>
      </c>
      <c r="S319" s="54" t="str">
        <f>IFERROR(__xludf.DUMMYFUNCTION("""COMPUTED_VALUE"""),"saletructiep_UnitedStates.AnhThongBao12.PTATT_PTATT_LD005")</f>
        <v>saletructiep_UnitedStates.AnhThongBao12.PTATT_PTATT_LD005</v>
      </c>
      <c r="T319" s="54"/>
      <c r="U319" s="56"/>
    </row>
    <row r="320">
      <c r="A320" s="66">
        <v>230522.0</v>
      </c>
      <c r="B320" s="61" t="s">
        <v>166</v>
      </c>
      <c r="C320" s="54" t="str">
        <f>IFERROR(__xludf.DUMMYFUNCTION("""COMPUTED_VALUE"""),"LD005")</f>
        <v>LD005</v>
      </c>
      <c r="D320" s="73" t="s">
        <v>42</v>
      </c>
      <c r="E320" s="73" t="s">
        <v>79</v>
      </c>
      <c r="F320" s="55" t="s">
        <v>133</v>
      </c>
      <c r="G320" s="73">
        <v>1834.0</v>
      </c>
      <c r="H320" s="73" t="s">
        <v>75</v>
      </c>
      <c r="I320" s="55" t="s">
        <v>690</v>
      </c>
      <c r="J320" s="55" t="s">
        <v>690</v>
      </c>
      <c r="K320" s="73" t="s">
        <v>61</v>
      </c>
      <c r="L320" s="73" t="s">
        <v>317</v>
      </c>
      <c r="M320" s="73" t="s">
        <v>78</v>
      </c>
      <c r="N320" s="73" t="s">
        <v>79</v>
      </c>
      <c r="O320" s="73" t="s">
        <v>224</v>
      </c>
      <c r="P320" s="73" t="s">
        <v>110</v>
      </c>
      <c r="Q320" s="54" t="str">
        <f>IFERROR(__xludf.DUMMYFUNCTION("""COMPUTED_VALUE"""),"Japan.AnhThongBao12.PTATT_XuBen.5018_MES_HuyNV_230522")</f>
        <v>Japan.AnhThongBao12.PTATT_XuBen.5018_MES_HuyNV_230522</v>
      </c>
      <c r="R320" s="54" t="str">
        <f>IFERROR(__xludf.DUMMYFUNCTION("""COMPUTED_VALUE"""),"NEW_Japan_1834_none_230522")</f>
        <v>NEW_Japan_1834_none_230522</v>
      </c>
      <c r="S320" s="54" t="str">
        <f>IFERROR(__xludf.DUMMYFUNCTION("""COMPUTED_VALUE"""),"saletructiep_Japan.AnhThongBao12.PTATT_PTATT_LD005")</f>
        <v>saletructiep_Japan.AnhThongBao12.PTATT_PTATT_LD005</v>
      </c>
      <c r="T320" s="54"/>
      <c r="U320" s="56"/>
    </row>
    <row r="321">
      <c r="A321" s="66">
        <v>230522.0</v>
      </c>
      <c r="B321" s="61" t="s">
        <v>166</v>
      </c>
      <c r="C321" s="54" t="str">
        <f>IFERROR(__xludf.DUMMYFUNCTION("""COMPUTED_VALUE"""),"LD005")</f>
        <v>LD005</v>
      </c>
      <c r="D321" s="73" t="s">
        <v>42</v>
      </c>
      <c r="E321" s="73" t="s">
        <v>79</v>
      </c>
      <c r="F321" s="55" t="s">
        <v>625</v>
      </c>
      <c r="G321" s="73">
        <v>1834.0</v>
      </c>
      <c r="H321" s="73" t="s">
        <v>75</v>
      </c>
      <c r="I321" s="55" t="s">
        <v>691</v>
      </c>
      <c r="J321" s="55" t="s">
        <v>691</v>
      </c>
      <c r="K321" s="73" t="s">
        <v>61</v>
      </c>
      <c r="L321" s="73" t="s">
        <v>317</v>
      </c>
      <c r="M321" s="73" t="s">
        <v>78</v>
      </c>
      <c r="N321" s="73" t="s">
        <v>79</v>
      </c>
      <c r="O321" s="73" t="s">
        <v>224</v>
      </c>
      <c r="P321" s="73" t="s">
        <v>110</v>
      </c>
      <c r="Q321" s="54" t="str">
        <f>IFERROR(__xludf.DUMMYFUNCTION("""COMPUTED_VALUE"""),"KoreaSouth.AnhThongBao12.PTATT_XuBen.5018_MES_HuyNV_230522")</f>
        <v>KoreaSouth.AnhThongBao12.PTATT_XuBen.5018_MES_HuyNV_230522</v>
      </c>
      <c r="R321" s="54" t="str">
        <f>IFERROR(__xludf.DUMMYFUNCTION("""COMPUTED_VALUE"""),"NEW_KoreaSouth_1834_none_230522")</f>
        <v>NEW_KoreaSouth_1834_none_230522</v>
      </c>
      <c r="S321" s="54" t="str">
        <f>IFERROR(__xludf.DUMMYFUNCTION("""COMPUTED_VALUE"""),"saletructiep_KoreaSouth.AnhThongBao12.PTATT_PTATT_LD005")</f>
        <v>saletructiep_KoreaSouth.AnhThongBao12.PTATT_PTATT_LD005</v>
      </c>
      <c r="T321" s="54"/>
      <c r="U321" s="56"/>
    </row>
    <row r="322">
      <c r="A322" s="66">
        <v>230522.0</v>
      </c>
      <c r="B322" s="61" t="s">
        <v>166</v>
      </c>
      <c r="C322" s="54" t="str">
        <f>IFERROR(__xludf.DUMMYFUNCTION("""COMPUTED_VALUE"""),"LD005")</f>
        <v>LD005</v>
      </c>
      <c r="D322" s="73" t="s">
        <v>42</v>
      </c>
      <c r="E322" s="73" t="s">
        <v>79</v>
      </c>
      <c r="F322" s="55" t="s">
        <v>129</v>
      </c>
      <c r="G322" s="73">
        <v>1834.0</v>
      </c>
      <c r="H322" s="73" t="s">
        <v>75</v>
      </c>
      <c r="I322" s="55" t="s">
        <v>692</v>
      </c>
      <c r="J322" s="55" t="s">
        <v>692</v>
      </c>
      <c r="K322" s="73" t="s">
        <v>61</v>
      </c>
      <c r="L322" s="73" t="s">
        <v>317</v>
      </c>
      <c r="M322" s="73" t="s">
        <v>78</v>
      </c>
      <c r="N322" s="73" t="s">
        <v>79</v>
      </c>
      <c r="O322" s="73" t="s">
        <v>224</v>
      </c>
      <c r="P322" s="73" t="s">
        <v>110</v>
      </c>
      <c r="Q322" s="54" t="str">
        <f>IFERROR(__xludf.DUMMYFUNCTION("""COMPUTED_VALUE"""),"Australia.AnhThongBao12.PTATT_XuBen.5018_MES_HuyNV_230522")</f>
        <v>Australia.AnhThongBao12.PTATT_XuBen.5018_MES_HuyNV_230522</v>
      </c>
      <c r="R322" s="54" t="str">
        <f>IFERROR(__xludf.DUMMYFUNCTION("""COMPUTED_VALUE"""),"NEW_Australia_1834_none_230522")</f>
        <v>NEW_Australia_1834_none_230522</v>
      </c>
      <c r="S322" s="54" t="str">
        <f>IFERROR(__xludf.DUMMYFUNCTION("""COMPUTED_VALUE"""),"saletructiep_Australia.AnhThongBao12.PTATT_PTATT_LD005")</f>
        <v>saletructiep_Australia.AnhThongBao12.PTATT_PTATT_LD005</v>
      </c>
      <c r="T322" s="54"/>
      <c r="U322" s="56"/>
    </row>
    <row r="323">
      <c r="A323" s="66">
        <v>240522.0</v>
      </c>
      <c r="B323" s="61" t="s">
        <v>166</v>
      </c>
      <c r="C323" s="54" t="str">
        <f>IFERROR(__xludf.DUMMYFUNCTION("""COMPUTED_VALUE"""),"LD005")</f>
        <v>LD005</v>
      </c>
      <c r="D323" s="73" t="s">
        <v>42</v>
      </c>
      <c r="E323" s="73" t="s">
        <v>79</v>
      </c>
      <c r="F323" s="55" t="s">
        <v>164</v>
      </c>
      <c r="G323" s="73">
        <v>1834.0</v>
      </c>
      <c r="H323" s="73" t="s">
        <v>75</v>
      </c>
      <c r="I323" s="55" t="s">
        <v>693</v>
      </c>
      <c r="J323" s="55" t="s">
        <v>693</v>
      </c>
      <c r="K323" s="73" t="s">
        <v>61</v>
      </c>
      <c r="L323" s="73" t="s">
        <v>317</v>
      </c>
      <c r="M323" s="73" t="s">
        <v>78</v>
      </c>
      <c r="N323" s="73" t="s">
        <v>79</v>
      </c>
      <c r="O323" s="73" t="s">
        <v>224</v>
      </c>
      <c r="P323" s="73" t="s">
        <v>110</v>
      </c>
      <c r="Q323" s="54" t="str">
        <f>IFERROR(__xludf.DUMMYFUNCTION("""COMPUTED_VALUE"""),"Taiwan.AnhThongBao12.PTATT_XuBen.5018_MES_HuyNV_240522")</f>
        <v>Taiwan.AnhThongBao12.PTATT_XuBen.5018_MES_HuyNV_240522</v>
      </c>
      <c r="R323" s="54" t="str">
        <f>IFERROR(__xludf.DUMMYFUNCTION("""COMPUTED_VALUE"""),"NEW_Taiwan_1834_none_240522")</f>
        <v>NEW_Taiwan_1834_none_240522</v>
      </c>
      <c r="S323" s="54" t="str">
        <f>IFERROR(__xludf.DUMMYFUNCTION("""COMPUTED_VALUE"""),"saletructiep_Taiwan.AnhThongBao12.PTATT_PTATT_LD005")</f>
        <v>saletructiep_Taiwan.AnhThongBao12.PTATT_PTATT_LD005</v>
      </c>
      <c r="T323" s="54"/>
      <c r="U323" s="56"/>
    </row>
    <row r="324">
      <c r="A324" s="66">
        <v>240522.0</v>
      </c>
      <c r="B324" s="61" t="s">
        <v>166</v>
      </c>
      <c r="C324" s="54" t="str">
        <f>IFERROR(__xludf.DUMMYFUNCTION("""COMPUTED_VALUE"""),"LD005")</f>
        <v>LD005</v>
      </c>
      <c r="D324" s="73" t="s">
        <v>42</v>
      </c>
      <c r="E324" s="73" t="s">
        <v>79</v>
      </c>
      <c r="F324" s="55" t="s">
        <v>182</v>
      </c>
      <c r="G324" s="73">
        <v>1834.0</v>
      </c>
      <c r="H324" s="73" t="s">
        <v>75</v>
      </c>
      <c r="I324" s="55" t="s">
        <v>694</v>
      </c>
      <c r="J324" s="55" t="s">
        <v>694</v>
      </c>
      <c r="K324" s="73" t="s">
        <v>61</v>
      </c>
      <c r="L324" s="73" t="s">
        <v>317</v>
      </c>
      <c r="M324" s="73" t="s">
        <v>78</v>
      </c>
      <c r="N324" s="73" t="s">
        <v>79</v>
      </c>
      <c r="O324" s="73" t="s">
        <v>224</v>
      </c>
      <c r="P324" s="73" t="s">
        <v>110</v>
      </c>
      <c r="Q324" s="54" t="str">
        <f>IFERROR(__xludf.DUMMYFUNCTION("""COMPUTED_VALUE"""),"Malaysia.AnhThongBao12.PTATT_XuBen.5018_MES_HuyNV_240522")</f>
        <v>Malaysia.AnhThongBao12.PTATT_XuBen.5018_MES_HuyNV_240522</v>
      </c>
      <c r="R324" s="54" t="str">
        <f>IFERROR(__xludf.DUMMYFUNCTION("""COMPUTED_VALUE"""),"NEW_Malaysia_1834_none_240522")</f>
        <v>NEW_Malaysia_1834_none_240522</v>
      </c>
      <c r="S324" s="54" t="str">
        <f>IFERROR(__xludf.DUMMYFUNCTION("""COMPUTED_VALUE"""),"saletructiep_Malaysia.AnhThongBao12.PTATT_PTATT_LD005")</f>
        <v>saletructiep_Malaysia.AnhThongBao12.PTATT_PTATT_LD005</v>
      </c>
      <c r="T324" s="54"/>
      <c r="U324" s="56"/>
    </row>
    <row r="325">
      <c r="A325" s="66">
        <v>240522.0</v>
      </c>
      <c r="B325" s="61" t="s">
        <v>166</v>
      </c>
      <c r="C325" s="54" t="str">
        <f>IFERROR(__xludf.DUMMYFUNCTION("""COMPUTED_VALUE"""),"LD005")</f>
        <v>LD005</v>
      </c>
      <c r="D325" s="73" t="s">
        <v>42</v>
      </c>
      <c r="E325" s="73" t="s">
        <v>79</v>
      </c>
      <c r="F325" s="55" t="s">
        <v>174</v>
      </c>
      <c r="G325" s="73">
        <v>1834.0</v>
      </c>
      <c r="H325" s="73" t="s">
        <v>75</v>
      </c>
      <c r="I325" s="55" t="s">
        <v>695</v>
      </c>
      <c r="J325" s="55" t="s">
        <v>695</v>
      </c>
      <c r="K325" s="73" t="s">
        <v>61</v>
      </c>
      <c r="L325" s="73" t="s">
        <v>317</v>
      </c>
      <c r="M325" s="73" t="s">
        <v>78</v>
      </c>
      <c r="N325" s="73" t="s">
        <v>79</v>
      </c>
      <c r="O325" s="73" t="s">
        <v>224</v>
      </c>
      <c r="P325" s="73" t="s">
        <v>110</v>
      </c>
      <c r="Q325" s="54" t="str">
        <f>IFERROR(__xludf.DUMMYFUNCTION("""COMPUTED_VALUE"""),"Philippines.AnhThongBao12.PTATT_XuBen.5018_MES_HuyNV_240522")</f>
        <v>Philippines.AnhThongBao12.PTATT_XuBen.5018_MES_HuyNV_240522</v>
      </c>
      <c r="R325" s="54" t="str">
        <f>IFERROR(__xludf.DUMMYFUNCTION("""COMPUTED_VALUE"""),"NEW_Philippines_1834_none_240522")</f>
        <v>NEW_Philippines_1834_none_240522</v>
      </c>
      <c r="S325" s="54" t="str">
        <f>IFERROR(__xludf.DUMMYFUNCTION("""COMPUTED_VALUE"""),"saletructiep_Philippines.AnhThongBao12.PTATT_PTATT_LD005")</f>
        <v>saletructiep_Philippines.AnhThongBao12.PTATT_PTATT_LD005</v>
      </c>
      <c r="T325" s="54"/>
      <c r="U325" s="56"/>
    </row>
    <row r="326">
      <c r="A326" s="66">
        <v>240522.0</v>
      </c>
      <c r="B326" s="61" t="s">
        <v>166</v>
      </c>
      <c r="C326" s="54" t="str">
        <f>IFERROR(__xludf.DUMMYFUNCTION("""COMPUTED_VALUE"""),"LD005")</f>
        <v>LD005</v>
      </c>
      <c r="D326" s="73" t="s">
        <v>42</v>
      </c>
      <c r="E326" s="73" t="s">
        <v>79</v>
      </c>
      <c r="F326" s="55" t="s">
        <v>112</v>
      </c>
      <c r="G326" s="73">
        <v>1834.0</v>
      </c>
      <c r="H326" s="73" t="s">
        <v>75</v>
      </c>
      <c r="I326" s="55" t="s">
        <v>696</v>
      </c>
      <c r="J326" s="55" t="s">
        <v>696</v>
      </c>
      <c r="K326" s="73" t="s">
        <v>61</v>
      </c>
      <c r="L326" s="73" t="s">
        <v>317</v>
      </c>
      <c r="M326" s="73" t="s">
        <v>78</v>
      </c>
      <c r="N326" s="73" t="s">
        <v>79</v>
      </c>
      <c r="O326" s="73" t="s">
        <v>224</v>
      </c>
      <c r="P326" s="73" t="s">
        <v>110</v>
      </c>
      <c r="Q326" s="54" t="str">
        <f>IFERROR(__xludf.DUMMYFUNCTION("""COMPUTED_VALUE"""),"Canada.AnhThongBao12.PTATT_XuBen.5018_MES_HuyNV_240522")</f>
        <v>Canada.AnhThongBao12.PTATT_XuBen.5018_MES_HuyNV_240522</v>
      </c>
      <c r="R326" s="54" t="str">
        <f>IFERROR(__xludf.DUMMYFUNCTION("""COMPUTED_VALUE"""),"NEW_Canada_1834_none_240522")</f>
        <v>NEW_Canada_1834_none_240522</v>
      </c>
      <c r="S326" s="54" t="str">
        <f>IFERROR(__xludf.DUMMYFUNCTION("""COMPUTED_VALUE"""),"saletructiep_Canada.AnhThongBao12.PTATT_PTATT_LD005")</f>
        <v>saletructiep_Canada.AnhThongBao12.PTATT_PTATT_LD005</v>
      </c>
      <c r="T326" s="54"/>
      <c r="U326" s="56"/>
    </row>
    <row r="327">
      <c r="A327" s="66">
        <v>240522.0</v>
      </c>
      <c r="B327" s="61" t="s">
        <v>166</v>
      </c>
      <c r="C327" s="54" t="str">
        <f>IFERROR(__xludf.DUMMYFUNCTION("""COMPUTED_VALUE"""),"LD005")</f>
        <v>LD005</v>
      </c>
      <c r="D327" s="73" t="s">
        <v>42</v>
      </c>
      <c r="E327" s="73" t="s">
        <v>79</v>
      </c>
      <c r="F327" s="55" t="s">
        <v>539</v>
      </c>
      <c r="G327" s="73">
        <v>1834.0</v>
      </c>
      <c r="H327" s="73" t="s">
        <v>75</v>
      </c>
      <c r="I327" s="55" t="s">
        <v>697</v>
      </c>
      <c r="J327" s="55" t="s">
        <v>697</v>
      </c>
      <c r="K327" s="73" t="s">
        <v>61</v>
      </c>
      <c r="L327" s="73" t="s">
        <v>317</v>
      </c>
      <c r="M327" s="73" t="s">
        <v>78</v>
      </c>
      <c r="N327" s="73" t="s">
        <v>79</v>
      </c>
      <c r="O327" s="73" t="s">
        <v>224</v>
      </c>
      <c r="P327" s="73" t="s">
        <v>110</v>
      </c>
      <c r="Q327" s="54" t="str">
        <f>IFERROR(__xludf.DUMMYFUNCTION("""COMPUTED_VALUE"""),"ALL.HopDongDaoTao2.PTATT_XuBen.5018_MES_HuyNV_240522")</f>
        <v>ALL.HopDongDaoTao2.PTATT_XuBen.5018_MES_HuyNV_240522</v>
      </c>
      <c r="R327" s="54" t="str">
        <f>IFERROR(__xludf.DUMMYFUNCTION("""COMPUTED_VALUE"""),"NEW_ALL_1834_none_240522")</f>
        <v>NEW_ALL_1834_none_240522</v>
      </c>
      <c r="S327" s="54" t="str">
        <f>IFERROR(__xludf.DUMMYFUNCTION("""COMPUTED_VALUE"""),"saletructiep_ALL.HopDongDaoTao2.PTATT_PTATT_LD005")</f>
        <v>saletructiep_ALL.HopDongDaoTao2.PTATT_PTATT_LD005</v>
      </c>
      <c r="T327" s="54"/>
      <c r="U327" s="56"/>
    </row>
    <row r="328">
      <c r="A328" s="66">
        <v>240522.0</v>
      </c>
      <c r="B328" s="61" t="s">
        <v>166</v>
      </c>
      <c r="C328" s="54" t="str">
        <f>IFERROR(__xludf.DUMMYFUNCTION("""COMPUTED_VALUE"""),"LD005")</f>
        <v>LD005</v>
      </c>
      <c r="D328" s="73" t="s">
        <v>42</v>
      </c>
      <c r="E328" s="73" t="s">
        <v>79</v>
      </c>
      <c r="F328" s="55" t="s">
        <v>107</v>
      </c>
      <c r="G328" s="73">
        <v>1834.0</v>
      </c>
      <c r="H328" s="73" t="s">
        <v>75</v>
      </c>
      <c r="I328" s="55" t="s">
        <v>698</v>
      </c>
      <c r="J328" s="55" t="s">
        <v>698</v>
      </c>
      <c r="K328" s="73" t="s">
        <v>61</v>
      </c>
      <c r="L328" s="73" t="s">
        <v>317</v>
      </c>
      <c r="M328" s="73" t="s">
        <v>78</v>
      </c>
      <c r="N328" s="73" t="s">
        <v>79</v>
      </c>
      <c r="O328" s="73" t="s">
        <v>224</v>
      </c>
      <c r="P328" s="73" t="s">
        <v>110</v>
      </c>
      <c r="Q328" s="54" t="str">
        <f>IFERROR(__xludf.DUMMYFUNCTION("""COMPUTED_VALUE"""),"UnitedStates.HopDongDaoTao2.PTATT_XuBen.5018_MES_HuyNV_240522")</f>
        <v>UnitedStates.HopDongDaoTao2.PTATT_XuBen.5018_MES_HuyNV_240522</v>
      </c>
      <c r="R328" s="54" t="str">
        <f>IFERROR(__xludf.DUMMYFUNCTION("""COMPUTED_VALUE"""),"NEW_UnitedStates_1834_none_240522")</f>
        <v>NEW_UnitedStates_1834_none_240522</v>
      </c>
      <c r="S328" s="54" t="str">
        <f>IFERROR(__xludf.DUMMYFUNCTION("""COMPUTED_VALUE"""),"saletructiep_UnitedStates.HopDongDaoTao2.PTATT_PTATT_LD005")</f>
        <v>saletructiep_UnitedStates.HopDongDaoTao2.PTATT_PTATT_LD005</v>
      </c>
      <c r="T328" s="54"/>
      <c r="U328" s="56"/>
    </row>
    <row r="329">
      <c r="A329" s="66">
        <v>250522.0</v>
      </c>
      <c r="B329" s="61" t="s">
        <v>166</v>
      </c>
      <c r="C329" s="54" t="str">
        <f>IFERROR(__xludf.DUMMYFUNCTION("""COMPUTED_VALUE"""),"LD005")</f>
        <v>LD005</v>
      </c>
      <c r="D329" s="73" t="s">
        <v>42</v>
      </c>
      <c r="E329" s="73" t="s">
        <v>79</v>
      </c>
      <c r="F329" s="55" t="s">
        <v>129</v>
      </c>
      <c r="G329" s="73">
        <v>1834.0</v>
      </c>
      <c r="H329" s="73" t="s">
        <v>75</v>
      </c>
      <c r="I329" s="55" t="s">
        <v>699</v>
      </c>
      <c r="J329" s="55" t="s">
        <v>699</v>
      </c>
      <c r="K329" s="73" t="s">
        <v>61</v>
      </c>
      <c r="L329" s="73" t="s">
        <v>317</v>
      </c>
      <c r="M329" s="73" t="s">
        <v>78</v>
      </c>
      <c r="N329" s="73" t="s">
        <v>79</v>
      </c>
      <c r="O329" s="73" t="s">
        <v>224</v>
      </c>
      <c r="P329" s="73" t="s">
        <v>110</v>
      </c>
      <c r="Q329" s="54" t="str">
        <f>IFERROR(__xludf.DUMMYFUNCTION("""COMPUTED_VALUE"""),"Australia.HopDongDaoTao2.PTATT_XuBen.5018_MES_HuyNV_250522")</f>
        <v>Australia.HopDongDaoTao2.PTATT_XuBen.5018_MES_HuyNV_250522</v>
      </c>
      <c r="R329" s="54" t="str">
        <f>IFERROR(__xludf.DUMMYFUNCTION("""COMPUTED_VALUE"""),"NEW_Australia_1834_none_250522")</f>
        <v>NEW_Australia_1834_none_250522</v>
      </c>
      <c r="S329" s="54" t="str">
        <f>IFERROR(__xludf.DUMMYFUNCTION("""COMPUTED_VALUE"""),"saletructiep_Australia.HopDongDaoTao2.PTATT_PTATT_LD005")</f>
        <v>saletructiep_Australia.HopDongDaoTao2.PTATT_PTATT_LD005</v>
      </c>
      <c r="T329" s="54"/>
      <c r="U329" s="56"/>
    </row>
    <row r="330">
      <c r="A330" s="77">
        <v>250522.0</v>
      </c>
      <c r="B330" s="73" t="s">
        <v>166</v>
      </c>
      <c r="C330" s="54" t="str">
        <f>IFERROR(__xludf.DUMMYFUNCTION("""COMPUTED_VALUE"""),"LD005")</f>
        <v>LD005</v>
      </c>
      <c r="D330" s="73" t="s">
        <v>42</v>
      </c>
      <c r="E330" s="73" t="s">
        <v>79</v>
      </c>
      <c r="F330" s="73" t="s">
        <v>625</v>
      </c>
      <c r="G330" s="73">
        <v>1834.0</v>
      </c>
      <c r="H330" s="73" t="s">
        <v>75</v>
      </c>
      <c r="I330" s="55" t="s">
        <v>700</v>
      </c>
      <c r="J330" s="55" t="s">
        <v>700</v>
      </c>
      <c r="K330" s="73" t="s">
        <v>61</v>
      </c>
      <c r="L330" s="73" t="s">
        <v>317</v>
      </c>
      <c r="M330" s="73" t="s">
        <v>78</v>
      </c>
      <c r="N330" s="73" t="s">
        <v>79</v>
      </c>
      <c r="O330" s="73" t="s">
        <v>224</v>
      </c>
      <c r="P330" s="73" t="s">
        <v>110</v>
      </c>
      <c r="Q330" s="54" t="str">
        <f>IFERROR(__xludf.DUMMYFUNCTION("""COMPUTED_VALUE"""),"KoreaSouth.HopDongDaoTao2.PTATT_XuBen.5018_MES_HuyNV_250522")</f>
        <v>KoreaSouth.HopDongDaoTao2.PTATT_XuBen.5018_MES_HuyNV_250522</v>
      </c>
      <c r="R330" s="54" t="str">
        <f>IFERROR(__xludf.DUMMYFUNCTION("""COMPUTED_VALUE"""),"NEW_KoreaSouth_1834_none_250522")</f>
        <v>NEW_KoreaSouth_1834_none_250522</v>
      </c>
      <c r="S330" s="54" t="str">
        <f>IFERROR(__xludf.DUMMYFUNCTION("""COMPUTED_VALUE"""),"saletructiep_KoreaSouth.HopDongDaoTao2.PTATT_PTATT_LD005")</f>
        <v>saletructiep_KoreaSouth.HopDongDaoTao2.PTATT_PTATT_LD005</v>
      </c>
      <c r="T330" s="54"/>
      <c r="U330" s="56"/>
    </row>
    <row r="331">
      <c r="A331" s="77">
        <v>250522.0</v>
      </c>
      <c r="B331" s="73" t="s">
        <v>166</v>
      </c>
      <c r="C331" s="54" t="str">
        <f>IFERROR(__xludf.DUMMYFUNCTION("""COMPUTED_VALUE"""),"LD005")</f>
        <v>LD005</v>
      </c>
      <c r="D331" s="73" t="s">
        <v>42</v>
      </c>
      <c r="E331" s="73" t="s">
        <v>79</v>
      </c>
      <c r="F331" s="55" t="s">
        <v>133</v>
      </c>
      <c r="G331" s="73">
        <v>1834.0</v>
      </c>
      <c r="H331" s="73" t="s">
        <v>75</v>
      </c>
      <c r="I331" s="55" t="s">
        <v>701</v>
      </c>
      <c r="J331" s="73" t="s">
        <v>701</v>
      </c>
      <c r="K331" s="73" t="s">
        <v>61</v>
      </c>
      <c r="L331" s="73" t="s">
        <v>317</v>
      </c>
      <c r="M331" s="73" t="s">
        <v>78</v>
      </c>
      <c r="N331" s="73" t="s">
        <v>79</v>
      </c>
      <c r="O331" s="73" t="s">
        <v>224</v>
      </c>
      <c r="P331" s="73" t="s">
        <v>110</v>
      </c>
      <c r="Q331" s="54" t="str">
        <f>IFERROR(__xludf.DUMMYFUNCTION("""COMPUTED_VALUE"""),"Japan.HopDongDaoTao2.PTATT_XuBen.5018_MES_HuyNV_250522")</f>
        <v>Japan.HopDongDaoTao2.PTATT_XuBen.5018_MES_HuyNV_250522</v>
      </c>
      <c r="R331" s="54" t="str">
        <f>IFERROR(__xludf.DUMMYFUNCTION("""COMPUTED_VALUE"""),"NEW_Japan_1834_none_250522")</f>
        <v>NEW_Japan_1834_none_250522</v>
      </c>
      <c r="S331" s="54" t="str">
        <f>IFERROR(__xludf.DUMMYFUNCTION("""COMPUTED_VALUE"""),"saletructiep_Japan.HopDongDaoTao2.PTATT_PTATT_LD005")</f>
        <v>saletructiep_Japan.HopDongDaoTao2.PTATT_PTATT_LD005</v>
      </c>
      <c r="T331" s="54"/>
      <c r="U331" s="56"/>
    </row>
    <row r="332">
      <c r="A332" s="66">
        <v>270522.0</v>
      </c>
      <c r="B332" s="61" t="s">
        <v>166</v>
      </c>
      <c r="C332" s="54" t="str">
        <f>IFERROR(__xludf.DUMMYFUNCTION("""COMPUTED_VALUE"""),"LD005")</f>
        <v>LD005</v>
      </c>
      <c r="D332" s="73" t="s">
        <v>42</v>
      </c>
      <c r="E332" s="73" t="s">
        <v>79</v>
      </c>
      <c r="F332" s="55" t="s">
        <v>162</v>
      </c>
      <c r="G332" s="73">
        <v>1834.0</v>
      </c>
      <c r="H332" s="73" t="s">
        <v>75</v>
      </c>
      <c r="I332" s="55" t="s">
        <v>702</v>
      </c>
      <c r="J332" s="55" t="s">
        <v>702</v>
      </c>
      <c r="K332" s="73" t="s">
        <v>61</v>
      </c>
      <c r="L332" s="73" t="s">
        <v>317</v>
      </c>
      <c r="M332" s="73" t="s">
        <v>78</v>
      </c>
      <c r="N332" s="73" t="s">
        <v>79</v>
      </c>
      <c r="O332" s="73" t="s">
        <v>224</v>
      </c>
      <c r="P332" s="73" t="s">
        <v>110</v>
      </c>
      <c r="Q332" s="54" t="str">
        <f>IFERROR(__xludf.DUMMYFUNCTION("""COMPUTED_VALUE"""),"Singapore.AnhThongBao12.PTATT_XuBen.5018_MES_HuyNV_270522")</f>
        <v>Singapore.AnhThongBao12.PTATT_XuBen.5018_MES_HuyNV_270522</v>
      </c>
      <c r="R332" s="54" t="str">
        <f>IFERROR(__xludf.DUMMYFUNCTION("""COMPUTED_VALUE"""),"NEW_Singapore_1834_none_270522")</f>
        <v>NEW_Singapore_1834_none_270522</v>
      </c>
      <c r="S332" s="54" t="str">
        <f>IFERROR(__xludf.DUMMYFUNCTION("""COMPUTED_VALUE"""),"saletructiep_Singapore.AnhThongBao12.PTATT_PTATT_LD005")</f>
        <v>saletructiep_Singapore.AnhThongBao12.PTATT_PTATT_LD005</v>
      </c>
      <c r="T332" s="54"/>
      <c r="U332" s="56"/>
    </row>
    <row r="333">
      <c r="A333" s="66">
        <v>270522.0</v>
      </c>
      <c r="B333" s="61" t="s">
        <v>166</v>
      </c>
      <c r="C333" s="54" t="str">
        <f>IFERROR(__xludf.DUMMYFUNCTION("""COMPUTED_VALUE"""),"LD005")</f>
        <v>LD005</v>
      </c>
      <c r="D333" s="73" t="s">
        <v>42</v>
      </c>
      <c r="E333" s="73" t="s">
        <v>79</v>
      </c>
      <c r="F333" s="55" t="s">
        <v>107</v>
      </c>
      <c r="G333" s="73">
        <v>1834.0</v>
      </c>
      <c r="H333" s="73" t="s">
        <v>75</v>
      </c>
      <c r="I333" s="55" t="s">
        <v>681</v>
      </c>
      <c r="J333" s="55" t="s">
        <v>681</v>
      </c>
      <c r="K333" s="73" t="s">
        <v>61</v>
      </c>
      <c r="L333" s="73" t="s">
        <v>317</v>
      </c>
      <c r="M333" s="73" t="s">
        <v>78</v>
      </c>
      <c r="N333" s="73" t="s">
        <v>79</v>
      </c>
      <c r="O333" s="73" t="s">
        <v>224</v>
      </c>
      <c r="P333" s="73" t="s">
        <v>110</v>
      </c>
      <c r="Q333" s="54" t="str">
        <f>IFERROR(__xludf.DUMMYFUNCTION("""COMPUTED_VALUE"""),"UnitedStates.GreenBoard.PTATT_XuBen.5018_MES_HuyNV_270522")</f>
        <v>UnitedStates.GreenBoard.PTATT_XuBen.5018_MES_HuyNV_270522</v>
      </c>
      <c r="R333" s="54" t="str">
        <f>IFERROR(__xludf.DUMMYFUNCTION("""COMPUTED_VALUE"""),"NEW_UnitedStates_1834_none_270522")</f>
        <v>NEW_UnitedStates_1834_none_270522</v>
      </c>
      <c r="S333" s="54" t="str">
        <f>IFERROR(__xludf.DUMMYFUNCTION("""COMPUTED_VALUE"""),"saletructiep_UnitedStates.GreenBoard.PTATT_PTATT_LD005")</f>
        <v>saletructiep_UnitedStates.GreenBoard.PTATT_PTATT_LD005</v>
      </c>
      <c r="T333" s="54"/>
      <c r="U333" s="56"/>
    </row>
    <row r="334">
      <c r="A334" s="66">
        <v>270522.0</v>
      </c>
      <c r="B334" s="61" t="s">
        <v>166</v>
      </c>
      <c r="C334" s="54" t="str">
        <f>IFERROR(__xludf.DUMMYFUNCTION("""COMPUTED_VALUE"""),"LD005")</f>
        <v>LD005</v>
      </c>
      <c r="D334" s="73" t="s">
        <v>42</v>
      </c>
      <c r="E334" s="73" t="s">
        <v>79</v>
      </c>
      <c r="F334" s="55" t="s">
        <v>133</v>
      </c>
      <c r="G334" s="73">
        <v>1834.0</v>
      </c>
      <c r="H334" s="73" t="s">
        <v>75</v>
      </c>
      <c r="I334" s="55" t="s">
        <v>683</v>
      </c>
      <c r="J334" s="55" t="s">
        <v>683</v>
      </c>
      <c r="K334" s="73" t="s">
        <v>61</v>
      </c>
      <c r="L334" s="73" t="s">
        <v>317</v>
      </c>
      <c r="M334" s="73" t="s">
        <v>78</v>
      </c>
      <c r="N334" s="73" t="s">
        <v>79</v>
      </c>
      <c r="O334" s="73" t="s">
        <v>224</v>
      </c>
      <c r="P334" s="73" t="s">
        <v>110</v>
      </c>
      <c r="Q334" s="54" t="str">
        <f>IFERROR(__xludf.DUMMYFUNCTION("""COMPUTED_VALUE"""),"Japan.GreenBoard.PTATT_XuBen.5018_MES_HuyNV_270522")</f>
        <v>Japan.GreenBoard.PTATT_XuBen.5018_MES_HuyNV_270522</v>
      </c>
      <c r="R334" s="54" t="str">
        <f>IFERROR(__xludf.DUMMYFUNCTION("""COMPUTED_VALUE"""),"NEW_Japan_1834_none_270522")</f>
        <v>NEW_Japan_1834_none_270522</v>
      </c>
      <c r="S334" s="54" t="str">
        <f>IFERROR(__xludf.DUMMYFUNCTION("""COMPUTED_VALUE"""),"saletructiep_Japan.GreenBoard.PTATT_PTATT_LD005")</f>
        <v>saletructiep_Japan.GreenBoard.PTATT_PTATT_LD005</v>
      </c>
      <c r="T334" s="54"/>
      <c r="U334" s="56"/>
    </row>
    <row r="335">
      <c r="A335" s="66">
        <v>270522.0</v>
      </c>
      <c r="B335" s="61" t="s">
        <v>166</v>
      </c>
      <c r="C335" s="54" t="str">
        <f>IFERROR(__xludf.DUMMYFUNCTION("""COMPUTED_VALUE"""),"LD005")</f>
        <v>LD005</v>
      </c>
      <c r="D335" s="73" t="s">
        <v>42</v>
      </c>
      <c r="E335" s="73" t="s">
        <v>79</v>
      </c>
      <c r="F335" s="55" t="s">
        <v>625</v>
      </c>
      <c r="G335" s="73">
        <v>1834.0</v>
      </c>
      <c r="H335" s="73" t="s">
        <v>75</v>
      </c>
      <c r="I335" s="55" t="s">
        <v>684</v>
      </c>
      <c r="J335" s="55" t="s">
        <v>684</v>
      </c>
      <c r="K335" s="73" t="s">
        <v>61</v>
      </c>
      <c r="L335" s="73" t="s">
        <v>317</v>
      </c>
      <c r="M335" s="73" t="s">
        <v>78</v>
      </c>
      <c r="N335" s="73" t="s">
        <v>79</v>
      </c>
      <c r="O335" s="73" t="s">
        <v>224</v>
      </c>
      <c r="P335" s="73" t="s">
        <v>110</v>
      </c>
      <c r="Q335" s="54" t="str">
        <f>IFERROR(__xludf.DUMMYFUNCTION("""COMPUTED_VALUE"""),"KoreaSouth.GreenBoard.PTATT_XuBen.5018_MES_HuyNV_270522")</f>
        <v>KoreaSouth.GreenBoard.PTATT_XuBen.5018_MES_HuyNV_270522</v>
      </c>
      <c r="R335" s="54" t="str">
        <f>IFERROR(__xludf.DUMMYFUNCTION("""COMPUTED_VALUE"""),"NEW_KoreaSouth_1834_none_270522")</f>
        <v>NEW_KoreaSouth_1834_none_270522</v>
      </c>
      <c r="S335" s="54" t="str">
        <f>IFERROR(__xludf.DUMMYFUNCTION("""COMPUTED_VALUE"""),"saletructiep_KoreaSouth.GreenBoard.PTATT_PTATT_LD005")</f>
        <v>saletructiep_KoreaSouth.GreenBoard.PTATT_PTATT_LD005</v>
      </c>
      <c r="T335" s="54"/>
      <c r="U335" s="56"/>
    </row>
    <row r="336">
      <c r="A336" s="66">
        <v>270522.0</v>
      </c>
      <c r="B336" s="61" t="s">
        <v>166</v>
      </c>
      <c r="C336" s="54" t="str">
        <f>IFERROR(__xludf.DUMMYFUNCTION("""COMPUTED_VALUE"""),"LD005")</f>
        <v>LD005</v>
      </c>
      <c r="D336" s="73" t="s">
        <v>42</v>
      </c>
      <c r="E336" s="73" t="s">
        <v>79</v>
      </c>
      <c r="F336" s="55" t="s">
        <v>112</v>
      </c>
      <c r="G336" s="73">
        <v>1834.0</v>
      </c>
      <c r="H336" s="73" t="s">
        <v>75</v>
      </c>
      <c r="I336" s="55" t="s">
        <v>682</v>
      </c>
      <c r="J336" s="55" t="s">
        <v>682</v>
      </c>
      <c r="K336" s="73" t="s">
        <v>61</v>
      </c>
      <c r="L336" s="73" t="s">
        <v>317</v>
      </c>
      <c r="M336" s="73" t="s">
        <v>78</v>
      </c>
      <c r="N336" s="73" t="s">
        <v>79</v>
      </c>
      <c r="O336" s="73" t="s">
        <v>224</v>
      </c>
      <c r="P336" s="73" t="s">
        <v>110</v>
      </c>
      <c r="Q336" s="54" t="str">
        <f>IFERROR(__xludf.DUMMYFUNCTION("""COMPUTED_VALUE"""),"Canada.GreenBoard.PTATT_XuBen.5018_MES_HuyNV_270522")</f>
        <v>Canada.GreenBoard.PTATT_XuBen.5018_MES_HuyNV_270522</v>
      </c>
      <c r="R336" s="54" t="str">
        <f>IFERROR(__xludf.DUMMYFUNCTION("""COMPUTED_VALUE"""),"NEW_Canada_1834_none_270522")</f>
        <v>NEW_Canada_1834_none_270522</v>
      </c>
      <c r="S336" s="54" t="str">
        <f>IFERROR(__xludf.DUMMYFUNCTION("""COMPUTED_VALUE"""),"saletructiep_Canada.GreenBoard.PTATT_PTATT_LD005")</f>
        <v>saletructiep_Canada.GreenBoard.PTATT_PTATT_LD005</v>
      </c>
      <c r="T336" s="54"/>
      <c r="U336" s="56"/>
    </row>
    <row r="337">
      <c r="A337" s="66">
        <v>270522.0</v>
      </c>
      <c r="B337" s="61" t="s">
        <v>166</v>
      </c>
      <c r="C337" s="54" t="str">
        <f>IFERROR(__xludf.DUMMYFUNCTION("""COMPUTED_VALUE"""),"LD005")</f>
        <v>LD005</v>
      </c>
      <c r="D337" s="73" t="s">
        <v>42</v>
      </c>
      <c r="E337" s="73" t="s">
        <v>79</v>
      </c>
      <c r="F337" s="55" t="s">
        <v>129</v>
      </c>
      <c r="G337" s="73">
        <v>1834.0</v>
      </c>
      <c r="H337" s="73" t="s">
        <v>75</v>
      </c>
      <c r="I337" s="55" t="s">
        <v>685</v>
      </c>
      <c r="J337" s="55" t="s">
        <v>685</v>
      </c>
      <c r="K337" s="73" t="s">
        <v>61</v>
      </c>
      <c r="L337" s="73" t="s">
        <v>317</v>
      </c>
      <c r="M337" s="73" t="s">
        <v>78</v>
      </c>
      <c r="N337" s="73" t="s">
        <v>79</v>
      </c>
      <c r="O337" s="73" t="s">
        <v>224</v>
      </c>
      <c r="P337" s="73" t="s">
        <v>110</v>
      </c>
      <c r="Q337" s="54" t="str">
        <f>IFERROR(__xludf.DUMMYFUNCTION("""COMPUTED_VALUE"""),"Australia.GreenBoard.PTATT_XuBen.5018_MES_HuyNV_270522")</f>
        <v>Australia.GreenBoard.PTATT_XuBen.5018_MES_HuyNV_270522</v>
      </c>
      <c r="R337" s="54" t="str">
        <f>IFERROR(__xludf.DUMMYFUNCTION("""COMPUTED_VALUE"""),"NEW_Australia_1834_none_270522")</f>
        <v>NEW_Australia_1834_none_270522</v>
      </c>
      <c r="S337" s="54" t="str">
        <f>IFERROR(__xludf.DUMMYFUNCTION("""COMPUTED_VALUE"""),"saletructiep_Australia.GreenBoard.PTATT_PTATT_LD005")</f>
        <v>saletructiep_Australia.GreenBoard.PTATT_PTATT_LD005</v>
      </c>
      <c r="T337" s="54"/>
      <c r="U337" s="56"/>
    </row>
    <row r="338">
      <c r="A338" s="66">
        <v>290522.0</v>
      </c>
      <c r="B338" s="61" t="s">
        <v>166</v>
      </c>
      <c r="C338" s="54" t="str">
        <f>IFERROR(__xludf.DUMMYFUNCTION("""COMPUTED_VALUE"""),"LD005")</f>
        <v>LD005</v>
      </c>
      <c r="D338" s="73" t="s">
        <v>42</v>
      </c>
      <c r="E338" s="73" t="s">
        <v>79</v>
      </c>
      <c r="F338" s="55" t="s">
        <v>107</v>
      </c>
      <c r="G338" s="73">
        <v>1834.0</v>
      </c>
      <c r="H338" s="73" t="s">
        <v>75</v>
      </c>
      <c r="I338" s="55" t="s">
        <v>703</v>
      </c>
      <c r="J338" s="55" t="s">
        <v>703</v>
      </c>
      <c r="K338" s="73" t="s">
        <v>61</v>
      </c>
      <c r="L338" s="73" t="s">
        <v>317</v>
      </c>
      <c r="M338" s="73" t="s">
        <v>78</v>
      </c>
      <c r="N338" s="73" t="s">
        <v>79</v>
      </c>
      <c r="O338" s="73" t="s">
        <v>224</v>
      </c>
      <c r="P338" s="73" t="s">
        <v>110</v>
      </c>
      <c r="Q338" s="54" t="str">
        <f>IFERROR(__xludf.DUMMYFUNCTION("""COMPUTED_VALUE"""),"UnitedStates.BaeminxPatado.PTATT_XuBen.5018_MES_HuyNV_290522")</f>
        <v>UnitedStates.BaeminxPatado.PTATT_XuBen.5018_MES_HuyNV_290522</v>
      </c>
      <c r="R338" s="54" t="str">
        <f>IFERROR(__xludf.DUMMYFUNCTION("""COMPUTED_VALUE"""),"NEW_UnitedStates_1834_none_290522")</f>
        <v>NEW_UnitedStates_1834_none_290522</v>
      </c>
      <c r="S338" s="54" t="str">
        <f>IFERROR(__xludf.DUMMYFUNCTION("""COMPUTED_VALUE"""),"saletructiep_UnitedStates.BaeminxPatado.PTATT_PTATT_LD005")</f>
        <v>saletructiep_UnitedStates.BaeminxPatado.PTATT_PTATT_LD005</v>
      </c>
      <c r="T338" s="54"/>
      <c r="U338" s="56"/>
    </row>
    <row r="339">
      <c r="A339" s="66">
        <v>290522.0</v>
      </c>
      <c r="B339" s="61" t="s">
        <v>166</v>
      </c>
      <c r="C339" s="54" t="str">
        <f>IFERROR(__xludf.DUMMYFUNCTION("""COMPUTED_VALUE"""),"LD005")</f>
        <v>LD005</v>
      </c>
      <c r="D339" s="73" t="s">
        <v>42</v>
      </c>
      <c r="E339" s="73" t="s">
        <v>79</v>
      </c>
      <c r="F339" s="55" t="s">
        <v>625</v>
      </c>
      <c r="G339" s="73">
        <v>1834.0</v>
      </c>
      <c r="H339" s="73" t="s">
        <v>75</v>
      </c>
      <c r="I339" s="55" t="s">
        <v>704</v>
      </c>
      <c r="J339" s="55" t="s">
        <v>704</v>
      </c>
      <c r="K339" s="73" t="s">
        <v>61</v>
      </c>
      <c r="L339" s="73" t="s">
        <v>317</v>
      </c>
      <c r="M339" s="73" t="s">
        <v>78</v>
      </c>
      <c r="N339" s="73" t="s">
        <v>79</v>
      </c>
      <c r="O339" s="73" t="s">
        <v>224</v>
      </c>
      <c r="P339" s="73" t="s">
        <v>110</v>
      </c>
      <c r="Q339" s="54" t="str">
        <f>IFERROR(__xludf.DUMMYFUNCTION("""COMPUTED_VALUE"""),"KoreaSouth.BaeminxPatado.PTATT_XuBen.5018_MES_HuyNV_290522")</f>
        <v>KoreaSouth.BaeminxPatado.PTATT_XuBen.5018_MES_HuyNV_290522</v>
      </c>
      <c r="R339" s="54" t="str">
        <f>IFERROR(__xludf.DUMMYFUNCTION("""COMPUTED_VALUE"""),"NEW_KoreaSouth_1834_none_290522")</f>
        <v>NEW_KoreaSouth_1834_none_290522</v>
      </c>
      <c r="S339" s="54" t="str">
        <f>IFERROR(__xludf.DUMMYFUNCTION("""COMPUTED_VALUE"""),"saletructiep_KoreaSouth.BaeminxPatado.PTATT_PTATT_LD005")</f>
        <v>saletructiep_KoreaSouth.BaeminxPatado.PTATT_PTATT_LD005</v>
      </c>
      <c r="T339" s="54"/>
      <c r="U339" s="56"/>
    </row>
    <row r="340">
      <c r="A340" s="66">
        <v>290522.0</v>
      </c>
      <c r="B340" s="61" t="s">
        <v>166</v>
      </c>
      <c r="C340" s="54" t="str">
        <f>IFERROR(__xludf.DUMMYFUNCTION("""COMPUTED_VALUE"""),"LD005")</f>
        <v>LD005</v>
      </c>
      <c r="D340" s="73" t="s">
        <v>42</v>
      </c>
      <c r="E340" s="73" t="s">
        <v>79</v>
      </c>
      <c r="F340" s="55" t="s">
        <v>133</v>
      </c>
      <c r="G340" s="73">
        <v>1834.0</v>
      </c>
      <c r="H340" s="73" t="s">
        <v>75</v>
      </c>
      <c r="I340" s="55" t="s">
        <v>705</v>
      </c>
      <c r="J340" s="55" t="s">
        <v>705</v>
      </c>
      <c r="K340" s="73" t="s">
        <v>61</v>
      </c>
      <c r="L340" s="73" t="s">
        <v>317</v>
      </c>
      <c r="M340" s="73" t="s">
        <v>78</v>
      </c>
      <c r="N340" s="73" t="s">
        <v>79</v>
      </c>
      <c r="O340" s="73" t="s">
        <v>224</v>
      </c>
      <c r="P340" s="73" t="s">
        <v>110</v>
      </c>
      <c r="Q340" s="54" t="str">
        <f>IFERROR(__xludf.DUMMYFUNCTION("""COMPUTED_VALUE"""),"Japan.BaeminxPatado.PTATT_XuBen.5018_MES_HuyNV_290522")</f>
        <v>Japan.BaeminxPatado.PTATT_XuBen.5018_MES_HuyNV_290522</v>
      </c>
      <c r="R340" s="54" t="str">
        <f>IFERROR(__xludf.DUMMYFUNCTION("""COMPUTED_VALUE"""),"NEW_Japan_1834_none_290522")</f>
        <v>NEW_Japan_1834_none_290522</v>
      </c>
      <c r="S340" s="54" t="str">
        <f>IFERROR(__xludf.DUMMYFUNCTION("""COMPUTED_VALUE"""),"saletructiep_Japan.BaeminxPatado.PTATT_PTATT_LD005")</f>
        <v>saletructiep_Japan.BaeminxPatado.PTATT_PTATT_LD005</v>
      </c>
      <c r="T340" s="54"/>
      <c r="U340" s="56"/>
    </row>
    <row r="341">
      <c r="A341" s="66">
        <v>290522.0</v>
      </c>
      <c r="B341" s="61" t="s">
        <v>166</v>
      </c>
      <c r="C341" s="54" t="str">
        <f>IFERROR(__xludf.DUMMYFUNCTION("""COMPUTED_VALUE"""),"LD005")</f>
        <v>LD005</v>
      </c>
      <c r="D341" s="73" t="s">
        <v>42</v>
      </c>
      <c r="E341" s="73" t="s">
        <v>79</v>
      </c>
      <c r="F341" s="55" t="s">
        <v>174</v>
      </c>
      <c r="G341" s="73">
        <v>1834.0</v>
      </c>
      <c r="H341" s="73" t="s">
        <v>75</v>
      </c>
      <c r="I341" s="55" t="s">
        <v>706</v>
      </c>
      <c r="J341" s="55" t="s">
        <v>706</v>
      </c>
      <c r="K341" s="73" t="s">
        <v>61</v>
      </c>
      <c r="L341" s="73" t="s">
        <v>317</v>
      </c>
      <c r="M341" s="73" t="s">
        <v>78</v>
      </c>
      <c r="N341" s="73" t="s">
        <v>79</v>
      </c>
      <c r="O341" s="73" t="s">
        <v>224</v>
      </c>
      <c r="P341" s="73" t="s">
        <v>110</v>
      </c>
      <c r="Q341" s="54" t="str">
        <f>IFERROR(__xludf.DUMMYFUNCTION("""COMPUTED_VALUE"""),"Philippines.BaeminxPatado.PTATT_XuBen.5018_MES_HuyNV_290522")</f>
        <v>Philippines.BaeminxPatado.PTATT_XuBen.5018_MES_HuyNV_290522</v>
      </c>
      <c r="R341" s="54" t="str">
        <f>IFERROR(__xludf.DUMMYFUNCTION("""COMPUTED_VALUE"""),"NEW_Philippines_1834_none_290522")</f>
        <v>NEW_Philippines_1834_none_290522</v>
      </c>
      <c r="S341" s="54" t="str">
        <f>IFERROR(__xludf.DUMMYFUNCTION("""COMPUTED_VALUE"""),"saletructiep_Philippines.BaeminxPatado.PTATT_PTATT_LD005")</f>
        <v>saletructiep_Philippines.BaeminxPatado.PTATT_PTATT_LD005</v>
      </c>
      <c r="T341" s="54"/>
      <c r="U341" s="56"/>
    </row>
    <row r="342">
      <c r="A342" s="66">
        <v>290522.0</v>
      </c>
      <c r="B342" s="61" t="s">
        <v>166</v>
      </c>
      <c r="C342" s="54" t="str">
        <f>IFERROR(__xludf.DUMMYFUNCTION("""COMPUTED_VALUE"""),"LD005")</f>
        <v>LD005</v>
      </c>
      <c r="D342" s="73" t="s">
        <v>42</v>
      </c>
      <c r="E342" s="73" t="s">
        <v>79</v>
      </c>
      <c r="F342" s="55" t="s">
        <v>129</v>
      </c>
      <c r="G342" s="73">
        <v>1834.0</v>
      </c>
      <c r="H342" s="73" t="s">
        <v>75</v>
      </c>
      <c r="I342" s="55" t="s">
        <v>707</v>
      </c>
      <c r="J342" s="55" t="s">
        <v>707</v>
      </c>
      <c r="K342" s="73" t="s">
        <v>61</v>
      </c>
      <c r="L342" s="73" t="s">
        <v>317</v>
      </c>
      <c r="M342" s="73" t="s">
        <v>78</v>
      </c>
      <c r="N342" s="73" t="s">
        <v>79</v>
      </c>
      <c r="O342" s="73" t="s">
        <v>224</v>
      </c>
      <c r="P342" s="73" t="s">
        <v>110</v>
      </c>
      <c r="Q342" s="54" t="str">
        <f>IFERROR(__xludf.DUMMYFUNCTION("""COMPUTED_VALUE"""),"Australia.BaeminxPatado.PTATT_XuBen.5018_MES_HuyNV_290522")</f>
        <v>Australia.BaeminxPatado.PTATT_XuBen.5018_MES_HuyNV_290522</v>
      </c>
      <c r="R342" s="54" t="str">
        <f>IFERROR(__xludf.DUMMYFUNCTION("""COMPUTED_VALUE"""),"NEW_Australia_1834_none_290522")</f>
        <v>NEW_Australia_1834_none_290522</v>
      </c>
      <c r="S342" s="54" t="str">
        <f>IFERROR(__xludf.DUMMYFUNCTION("""COMPUTED_VALUE"""),"saletructiep_Australia.BaeminxPatado.PTATT_PTATT_LD005")</f>
        <v>saletructiep_Australia.BaeminxPatado.PTATT_PTATT_LD005</v>
      </c>
      <c r="T342" s="54"/>
      <c r="U342" s="56"/>
    </row>
    <row r="343">
      <c r="A343" s="66">
        <v>290522.0</v>
      </c>
      <c r="B343" s="61" t="s">
        <v>166</v>
      </c>
      <c r="C343" s="54" t="str">
        <f>IFERROR(__xludf.DUMMYFUNCTION("""COMPUTED_VALUE"""),"LD005")</f>
        <v>LD005</v>
      </c>
      <c r="D343" s="73" t="s">
        <v>42</v>
      </c>
      <c r="E343" s="73" t="s">
        <v>79</v>
      </c>
      <c r="F343" s="55" t="s">
        <v>112</v>
      </c>
      <c r="G343" s="73">
        <v>1834.0</v>
      </c>
      <c r="H343" s="73" t="s">
        <v>75</v>
      </c>
      <c r="I343" s="55" t="s">
        <v>708</v>
      </c>
      <c r="J343" s="55" t="s">
        <v>708</v>
      </c>
      <c r="K343" s="73" t="s">
        <v>61</v>
      </c>
      <c r="L343" s="73" t="s">
        <v>317</v>
      </c>
      <c r="M343" s="73" t="s">
        <v>78</v>
      </c>
      <c r="N343" s="73" t="s">
        <v>79</v>
      </c>
      <c r="O343" s="73" t="s">
        <v>224</v>
      </c>
      <c r="P343" s="73" t="s">
        <v>110</v>
      </c>
      <c r="Q343" s="54" t="str">
        <f>IFERROR(__xludf.DUMMYFUNCTION("""COMPUTED_VALUE"""),"Canada.BaeminxPatado.PTATT_XuBen.5018_MES_HuyNV_290522")</f>
        <v>Canada.BaeminxPatado.PTATT_XuBen.5018_MES_HuyNV_290522</v>
      </c>
      <c r="R343" s="54" t="str">
        <f>IFERROR(__xludf.DUMMYFUNCTION("""COMPUTED_VALUE"""),"NEW_Canada_1834_none_290522")</f>
        <v>NEW_Canada_1834_none_290522</v>
      </c>
      <c r="S343" s="54" t="str">
        <f>IFERROR(__xludf.DUMMYFUNCTION("""COMPUTED_VALUE"""),"saletructiep_Canada.BaeminxPatado.PTATT_PTATT_LD005")</f>
        <v>saletructiep_Canada.BaeminxPatado.PTATT_PTATT_LD005</v>
      </c>
      <c r="T343" s="54"/>
      <c r="U343" s="56"/>
    </row>
    <row r="344">
      <c r="A344" s="66">
        <v>290522.0</v>
      </c>
      <c r="B344" s="61" t="s">
        <v>166</v>
      </c>
      <c r="C344" s="54" t="str">
        <f>IFERROR(__xludf.DUMMYFUNCTION("""COMPUTED_VALUE"""),"LD005")</f>
        <v>LD005</v>
      </c>
      <c r="D344" s="73" t="s">
        <v>42</v>
      </c>
      <c r="E344" s="73" t="s">
        <v>79</v>
      </c>
      <c r="F344" s="55" t="s">
        <v>164</v>
      </c>
      <c r="G344" s="73">
        <v>1834.0</v>
      </c>
      <c r="H344" s="73" t="s">
        <v>75</v>
      </c>
      <c r="I344" s="55" t="s">
        <v>709</v>
      </c>
      <c r="J344" s="55" t="s">
        <v>709</v>
      </c>
      <c r="K344" s="73" t="s">
        <v>61</v>
      </c>
      <c r="L344" s="73" t="s">
        <v>317</v>
      </c>
      <c r="M344" s="73" t="s">
        <v>78</v>
      </c>
      <c r="N344" s="73" t="s">
        <v>79</v>
      </c>
      <c r="O344" s="73" t="s">
        <v>224</v>
      </c>
      <c r="P344" s="73" t="s">
        <v>110</v>
      </c>
      <c r="Q344" s="54" t="str">
        <f>IFERROR(__xludf.DUMMYFUNCTION("""COMPUTED_VALUE"""),"Taiwan.BaeminxPatado.PTATT_XuBen.5018_MES_HuyNV_290522")</f>
        <v>Taiwan.BaeminxPatado.PTATT_XuBen.5018_MES_HuyNV_290522</v>
      </c>
      <c r="R344" s="54" t="str">
        <f>IFERROR(__xludf.DUMMYFUNCTION("""COMPUTED_VALUE"""),"NEW_Taiwan_1834_none_290522")</f>
        <v>NEW_Taiwan_1834_none_290522</v>
      </c>
      <c r="S344" s="54" t="str">
        <f>IFERROR(__xludf.DUMMYFUNCTION("""COMPUTED_VALUE"""),"saletructiep_Taiwan.BaeminxPatado.PTATT_PTATT_LD005")</f>
        <v>saletructiep_Taiwan.BaeminxPatado.PTATT_PTATT_LD005</v>
      </c>
      <c r="T344" s="54"/>
      <c r="U344" s="56"/>
    </row>
    <row r="345">
      <c r="A345" s="66">
        <v>290522.0</v>
      </c>
      <c r="B345" s="61" t="s">
        <v>166</v>
      </c>
      <c r="C345" s="54" t="str">
        <f>IFERROR(__xludf.DUMMYFUNCTION("""COMPUTED_VALUE"""),"LD005")</f>
        <v>LD005</v>
      </c>
      <c r="D345" s="73" t="s">
        <v>42</v>
      </c>
      <c r="E345" s="73" t="s">
        <v>79</v>
      </c>
      <c r="F345" s="55" t="s">
        <v>182</v>
      </c>
      <c r="G345" s="73">
        <v>1834.0</v>
      </c>
      <c r="H345" s="73" t="s">
        <v>75</v>
      </c>
      <c r="I345" s="55" t="s">
        <v>710</v>
      </c>
      <c r="J345" s="55" t="s">
        <v>710</v>
      </c>
      <c r="K345" s="73" t="s">
        <v>61</v>
      </c>
      <c r="L345" s="73" t="s">
        <v>317</v>
      </c>
      <c r="M345" s="73" t="s">
        <v>78</v>
      </c>
      <c r="N345" s="73" t="s">
        <v>79</v>
      </c>
      <c r="O345" s="73" t="s">
        <v>224</v>
      </c>
      <c r="P345" s="73" t="s">
        <v>110</v>
      </c>
      <c r="Q345" s="54" t="str">
        <f>IFERROR(__xludf.DUMMYFUNCTION("""COMPUTED_VALUE"""),"Malaysia.BaeminxPatado.PTATT_XuBen.5018_MES_HuyNV_290522")</f>
        <v>Malaysia.BaeminxPatado.PTATT_XuBen.5018_MES_HuyNV_290522</v>
      </c>
      <c r="R345" s="54" t="str">
        <f>IFERROR(__xludf.DUMMYFUNCTION("""COMPUTED_VALUE"""),"NEW_Malaysia_1834_none_290522")</f>
        <v>NEW_Malaysia_1834_none_290522</v>
      </c>
      <c r="S345" s="54" t="str">
        <f>IFERROR(__xludf.DUMMYFUNCTION("""COMPUTED_VALUE"""),"saletructiep_Malaysia.BaeminxPatado.PTATT_PTATT_LD005")</f>
        <v>saletructiep_Malaysia.BaeminxPatado.PTATT_PTATT_LD005</v>
      </c>
      <c r="T345" s="54"/>
      <c r="U345" s="56"/>
    </row>
    <row r="346">
      <c r="A346" s="64" t="s">
        <v>711</v>
      </c>
      <c r="B346" s="75" t="s">
        <v>712</v>
      </c>
      <c r="C346" s="54" t="str">
        <f>IFERROR(__xludf.DUMMYFUNCTION("""COMPUTED_VALUE"""),"LD109")</f>
        <v>LD109</v>
      </c>
      <c r="D346" s="73" t="s">
        <v>42</v>
      </c>
      <c r="E346" s="73" t="s">
        <v>79</v>
      </c>
      <c r="F346" s="55" t="s">
        <v>107</v>
      </c>
      <c r="G346" s="73">
        <v>1834.0</v>
      </c>
      <c r="H346" s="73" t="s">
        <v>75</v>
      </c>
      <c r="I346" s="55" t="s">
        <v>713</v>
      </c>
      <c r="J346" s="55" t="s">
        <v>713</v>
      </c>
      <c r="K346" s="73" t="s">
        <v>61</v>
      </c>
      <c r="L346" s="73" t="s">
        <v>317</v>
      </c>
      <c r="M346" s="73" t="s">
        <v>78</v>
      </c>
      <c r="N346" s="73" t="s">
        <v>79</v>
      </c>
      <c r="O346" s="73" t="s">
        <v>224</v>
      </c>
      <c r="P346" s="73" t="s">
        <v>110</v>
      </c>
      <c r="Q346" s="54" t="str">
        <f>IFERROR(__xludf.DUMMYFUNCTION("""COMPUTED_VALUE"""),"UnitedStates.HoaKy.PTATT_XuBen.5018_MES_HuyNV_010622")</f>
        <v>UnitedStates.HoaKy.PTATT_XuBen.5018_MES_HuyNV_010622</v>
      </c>
      <c r="R346" s="54" t="str">
        <f>IFERROR(__xludf.DUMMYFUNCTION("""COMPUTED_VALUE"""),"NEW_UnitedStates_1834_none_010622")</f>
        <v>NEW_UnitedStates_1834_none_010622</v>
      </c>
      <c r="S346" s="54" t="str">
        <f>IFERROR(__xludf.DUMMYFUNCTION("""COMPUTED_VALUE"""),"saletructiep_UnitedStates.HoaKy.PTATT_PTATT_LD109")</f>
        <v>saletructiep_UnitedStates.HoaKy.PTATT_PTATT_LD109</v>
      </c>
      <c r="T346" s="54"/>
      <c r="U346" s="56"/>
    </row>
    <row r="347">
      <c r="A347" s="64" t="s">
        <v>711</v>
      </c>
      <c r="B347" s="73" t="s">
        <v>166</v>
      </c>
      <c r="C347" s="54" t="str">
        <f>IFERROR(__xludf.DUMMYFUNCTION("""COMPUTED_VALUE"""),"LD005")</f>
        <v>LD005</v>
      </c>
      <c r="D347" s="73" t="s">
        <v>42</v>
      </c>
      <c r="E347" s="73" t="s">
        <v>79</v>
      </c>
      <c r="F347" s="55" t="s">
        <v>129</v>
      </c>
      <c r="G347" s="73">
        <v>1834.0</v>
      </c>
      <c r="H347" s="73" t="s">
        <v>75</v>
      </c>
      <c r="I347" s="55" t="s">
        <v>714</v>
      </c>
      <c r="J347" s="55" t="s">
        <v>714</v>
      </c>
      <c r="K347" s="73" t="s">
        <v>61</v>
      </c>
      <c r="L347" s="73" t="s">
        <v>317</v>
      </c>
      <c r="M347" s="73" t="s">
        <v>78</v>
      </c>
      <c r="N347" s="73" t="s">
        <v>79</v>
      </c>
      <c r="O347" s="73" t="s">
        <v>224</v>
      </c>
      <c r="P347" s="73" t="s">
        <v>110</v>
      </c>
      <c r="Q347" s="54" t="str">
        <f>IFERROR(__xludf.DUMMYFUNCTION("""COMPUTED_VALUE"""),"Australia.Uc.PTATT_XuBen.5018_MES_HuyNV_010622")</f>
        <v>Australia.Uc.PTATT_XuBen.5018_MES_HuyNV_010622</v>
      </c>
      <c r="R347" s="54" t="str">
        <f>IFERROR(__xludf.DUMMYFUNCTION("""COMPUTED_VALUE"""),"NEW_Australia_1834_none_010622")</f>
        <v>NEW_Australia_1834_none_010622</v>
      </c>
      <c r="S347" s="54" t="str">
        <f>IFERROR(__xludf.DUMMYFUNCTION("""COMPUTED_VALUE"""),"saletructiep_Australia.Uc.PTATT_PTATT_LD005")</f>
        <v>saletructiep_Australia.Uc.PTATT_PTATT_LD005</v>
      </c>
      <c r="T347" s="54"/>
      <c r="U347" s="56"/>
    </row>
    <row r="348">
      <c r="A348" s="64" t="s">
        <v>711</v>
      </c>
      <c r="B348" s="73" t="s">
        <v>166</v>
      </c>
      <c r="C348" s="54" t="str">
        <f>IFERROR(__xludf.DUMMYFUNCTION("""COMPUTED_VALUE"""),"LD005")</f>
        <v>LD005</v>
      </c>
      <c r="D348" s="73" t="s">
        <v>42</v>
      </c>
      <c r="E348" s="73" t="s">
        <v>79</v>
      </c>
      <c r="F348" s="55" t="s">
        <v>133</v>
      </c>
      <c r="G348" s="73">
        <v>1834.0</v>
      </c>
      <c r="H348" s="73" t="s">
        <v>75</v>
      </c>
      <c r="I348" s="55" t="s">
        <v>715</v>
      </c>
      <c r="J348" s="55" t="s">
        <v>715</v>
      </c>
      <c r="K348" s="73" t="s">
        <v>61</v>
      </c>
      <c r="L348" s="73" t="s">
        <v>317</v>
      </c>
      <c r="M348" s="73" t="s">
        <v>78</v>
      </c>
      <c r="N348" s="73" t="s">
        <v>79</v>
      </c>
      <c r="O348" s="73" t="s">
        <v>224</v>
      </c>
      <c r="P348" s="73" t="s">
        <v>110</v>
      </c>
      <c r="Q348" s="54" t="str">
        <f>IFERROR(__xludf.DUMMYFUNCTION("""COMPUTED_VALUE"""),"Japan.Nhat.PTATT_XuBen.5018_MES_HuyNV_010622")</f>
        <v>Japan.Nhat.PTATT_XuBen.5018_MES_HuyNV_010622</v>
      </c>
      <c r="R348" s="54" t="str">
        <f>IFERROR(__xludf.DUMMYFUNCTION("""COMPUTED_VALUE"""),"NEW_Japan_1834_none_010622")</f>
        <v>NEW_Japan_1834_none_010622</v>
      </c>
      <c r="S348" s="54" t="str">
        <f>IFERROR(__xludf.DUMMYFUNCTION("""COMPUTED_VALUE"""),"saletructiep_Japan.Nhat.PTATT_PTATT_LD005")</f>
        <v>saletructiep_Japan.Nhat.PTATT_PTATT_LD005</v>
      </c>
      <c r="T348" s="54"/>
      <c r="U348" s="56"/>
    </row>
    <row r="349">
      <c r="A349" s="64" t="s">
        <v>711</v>
      </c>
      <c r="B349" s="73" t="s">
        <v>166</v>
      </c>
      <c r="C349" s="54" t="str">
        <f>IFERROR(__xludf.DUMMYFUNCTION("""COMPUTED_VALUE"""),"LD005")</f>
        <v>LD005</v>
      </c>
      <c r="D349" s="73" t="s">
        <v>42</v>
      </c>
      <c r="E349" s="73" t="s">
        <v>79</v>
      </c>
      <c r="F349" s="55" t="s">
        <v>625</v>
      </c>
      <c r="G349" s="73">
        <v>1834.0</v>
      </c>
      <c r="H349" s="73" t="s">
        <v>75</v>
      </c>
      <c r="I349" s="55" t="s">
        <v>716</v>
      </c>
      <c r="J349" s="55" t="s">
        <v>716</v>
      </c>
      <c r="K349" s="73" t="s">
        <v>61</v>
      </c>
      <c r="L349" s="73" t="s">
        <v>317</v>
      </c>
      <c r="M349" s="73" t="s">
        <v>78</v>
      </c>
      <c r="N349" s="73" t="s">
        <v>79</v>
      </c>
      <c r="O349" s="73" t="s">
        <v>224</v>
      </c>
      <c r="P349" s="73" t="s">
        <v>110</v>
      </c>
      <c r="Q349" s="54" t="str">
        <f>IFERROR(__xludf.DUMMYFUNCTION("""COMPUTED_VALUE"""),"KoreaSouth.Han.PTATT_XuBen.5018_MES_HuyNV_010622")</f>
        <v>KoreaSouth.Han.PTATT_XuBen.5018_MES_HuyNV_010622</v>
      </c>
      <c r="R349" s="54" t="str">
        <f>IFERROR(__xludf.DUMMYFUNCTION("""COMPUTED_VALUE"""),"NEW_KoreaSouth_1834_none_010622")</f>
        <v>NEW_KoreaSouth_1834_none_010622</v>
      </c>
      <c r="S349" s="54" t="str">
        <f>IFERROR(__xludf.DUMMYFUNCTION("""COMPUTED_VALUE"""),"saletructiep_KoreaSouth.Han.PTATT_PTATT_LD005")</f>
        <v>saletructiep_KoreaSouth.Han.PTATT_PTATT_LD005</v>
      </c>
      <c r="T349" s="54"/>
      <c r="U349" s="56"/>
    </row>
    <row r="350">
      <c r="A350" s="64" t="s">
        <v>711</v>
      </c>
      <c r="B350" s="75" t="s">
        <v>712</v>
      </c>
      <c r="C350" s="54" t="str">
        <f>IFERROR(__xludf.DUMMYFUNCTION("""COMPUTED_VALUE"""),"LD109")</f>
        <v>LD109</v>
      </c>
      <c r="D350" s="73" t="s">
        <v>42</v>
      </c>
      <c r="E350" s="73" t="s">
        <v>79</v>
      </c>
      <c r="F350" s="55" t="s">
        <v>107</v>
      </c>
      <c r="G350" s="73">
        <v>1834.0</v>
      </c>
      <c r="H350" s="73" t="s">
        <v>75</v>
      </c>
      <c r="I350" s="55" t="s">
        <v>717</v>
      </c>
      <c r="J350" s="55" t="s">
        <v>717</v>
      </c>
      <c r="K350" s="73" t="s">
        <v>61</v>
      </c>
      <c r="L350" s="73" t="s">
        <v>317</v>
      </c>
      <c r="M350" s="73" t="s">
        <v>78</v>
      </c>
      <c r="N350" s="73" t="s">
        <v>79</v>
      </c>
      <c r="O350" s="73" t="s">
        <v>224</v>
      </c>
      <c r="P350" s="73" t="s">
        <v>110</v>
      </c>
      <c r="Q350" s="54" t="str">
        <f>IFERROR(__xludf.DUMMYFUNCTION("""COMPUTED_VALUE"""),"UnitedStates.Cauhoi.PTATT_XuBen.5018_MES_HuyNV_010622")</f>
        <v>UnitedStates.Cauhoi.PTATT_XuBen.5018_MES_HuyNV_010622</v>
      </c>
      <c r="R350" s="54" t="str">
        <f>IFERROR(__xludf.DUMMYFUNCTION("""COMPUTED_VALUE"""),"NEW_UnitedStates_1834_none_010622")</f>
        <v>NEW_UnitedStates_1834_none_010622</v>
      </c>
      <c r="S350" s="54" t="str">
        <f>IFERROR(__xludf.DUMMYFUNCTION("""COMPUTED_VALUE"""),"saletructiep_UnitedStates.Cauhoi.PTATT_PTATT_LD109")</f>
        <v>saletructiep_UnitedStates.Cauhoi.PTATT_PTATT_LD109</v>
      </c>
      <c r="T350" s="54"/>
      <c r="U350" s="56"/>
    </row>
    <row r="351">
      <c r="A351" s="64" t="s">
        <v>711</v>
      </c>
      <c r="B351" s="75" t="s">
        <v>712</v>
      </c>
      <c r="C351" s="54" t="str">
        <f>IFERROR(__xludf.DUMMYFUNCTION("""COMPUTED_VALUE"""),"LD109")</f>
        <v>LD109</v>
      </c>
      <c r="D351" s="73" t="s">
        <v>42</v>
      </c>
      <c r="E351" s="73" t="s">
        <v>79</v>
      </c>
      <c r="F351" s="55" t="s">
        <v>164</v>
      </c>
      <c r="G351" s="73">
        <v>1834.0</v>
      </c>
      <c r="H351" s="73" t="s">
        <v>75</v>
      </c>
      <c r="I351" s="55" t="s">
        <v>718</v>
      </c>
      <c r="J351" s="55" t="s">
        <v>718</v>
      </c>
      <c r="K351" s="73" t="s">
        <v>61</v>
      </c>
      <c r="L351" s="73" t="s">
        <v>317</v>
      </c>
      <c r="M351" s="73" t="s">
        <v>78</v>
      </c>
      <c r="N351" s="73" t="s">
        <v>79</v>
      </c>
      <c r="O351" s="73" t="s">
        <v>224</v>
      </c>
      <c r="P351" s="73" t="s">
        <v>110</v>
      </c>
      <c r="Q351" s="54" t="str">
        <f>IFERROR(__xludf.DUMMYFUNCTION("""COMPUTED_VALUE"""),"Taiwan.Cauhoi.PTATT_XuBen.5018_MES_HuyNV_010622")</f>
        <v>Taiwan.Cauhoi.PTATT_XuBen.5018_MES_HuyNV_010622</v>
      </c>
      <c r="R351" s="54" t="str">
        <f>IFERROR(__xludf.DUMMYFUNCTION("""COMPUTED_VALUE"""),"NEW_Taiwan_1834_none_010622")</f>
        <v>NEW_Taiwan_1834_none_010622</v>
      </c>
      <c r="S351" s="54" t="str">
        <f>IFERROR(__xludf.DUMMYFUNCTION("""COMPUTED_VALUE"""),"saletructiep_Taiwan.Cauhoi.PTATT_PTATT_LD109")</f>
        <v>saletructiep_Taiwan.Cauhoi.PTATT_PTATT_LD109</v>
      </c>
      <c r="T351" s="54"/>
      <c r="U351" s="56"/>
    </row>
    <row r="352">
      <c r="A352" s="64" t="s">
        <v>711</v>
      </c>
      <c r="B352" s="75" t="s">
        <v>712</v>
      </c>
      <c r="C352" s="54" t="str">
        <f>IFERROR(__xludf.DUMMYFUNCTION("""COMPUTED_VALUE"""),"LD109")</f>
        <v>LD109</v>
      </c>
      <c r="D352" s="73" t="s">
        <v>42</v>
      </c>
      <c r="E352" s="73" t="s">
        <v>79</v>
      </c>
      <c r="F352" s="55" t="s">
        <v>625</v>
      </c>
      <c r="G352" s="73">
        <v>1834.0</v>
      </c>
      <c r="H352" s="73" t="s">
        <v>75</v>
      </c>
      <c r="I352" s="55" t="s">
        <v>719</v>
      </c>
      <c r="J352" s="55" t="s">
        <v>719</v>
      </c>
      <c r="K352" s="73" t="s">
        <v>61</v>
      </c>
      <c r="L352" s="73" t="s">
        <v>317</v>
      </c>
      <c r="M352" s="73" t="s">
        <v>78</v>
      </c>
      <c r="N352" s="73" t="s">
        <v>79</v>
      </c>
      <c r="O352" s="73" t="s">
        <v>224</v>
      </c>
      <c r="P352" s="73" t="s">
        <v>110</v>
      </c>
      <c r="Q352" s="54" t="str">
        <f>IFERROR(__xludf.DUMMYFUNCTION("""COMPUTED_VALUE"""),"KoreaSouth.Cauhoi.PTATT_XuBen.5018_MES_HuyNV_010622")</f>
        <v>KoreaSouth.Cauhoi.PTATT_XuBen.5018_MES_HuyNV_010622</v>
      </c>
      <c r="R352" s="54" t="str">
        <f>IFERROR(__xludf.DUMMYFUNCTION("""COMPUTED_VALUE"""),"NEW_KoreaSouth_1834_none_010622")</f>
        <v>NEW_KoreaSouth_1834_none_010622</v>
      </c>
      <c r="S352" s="54" t="str">
        <f>IFERROR(__xludf.DUMMYFUNCTION("""COMPUTED_VALUE"""),"saletructiep_KoreaSouth.Cauhoi.PTATT_PTATT_LD109")</f>
        <v>saletructiep_KoreaSouth.Cauhoi.PTATT_PTATT_LD109</v>
      </c>
      <c r="T352" s="54"/>
      <c r="U352" s="56"/>
    </row>
    <row r="353">
      <c r="A353" s="64" t="s">
        <v>711</v>
      </c>
      <c r="B353" s="75" t="s">
        <v>712</v>
      </c>
      <c r="C353" s="54" t="str">
        <f>IFERROR(__xludf.DUMMYFUNCTION("""COMPUTED_VALUE"""),"LD109")</f>
        <v>LD109</v>
      </c>
      <c r="D353" s="73" t="s">
        <v>42</v>
      </c>
      <c r="E353" s="73" t="s">
        <v>79</v>
      </c>
      <c r="F353" s="55" t="s">
        <v>133</v>
      </c>
      <c r="G353" s="73">
        <v>1834.0</v>
      </c>
      <c r="H353" s="73" t="s">
        <v>75</v>
      </c>
      <c r="I353" s="55" t="s">
        <v>720</v>
      </c>
      <c r="J353" s="55" t="s">
        <v>720</v>
      </c>
      <c r="K353" s="73" t="s">
        <v>61</v>
      </c>
      <c r="L353" s="73" t="s">
        <v>317</v>
      </c>
      <c r="M353" s="73" t="s">
        <v>78</v>
      </c>
      <c r="N353" s="73" t="s">
        <v>79</v>
      </c>
      <c r="O353" s="73" t="s">
        <v>224</v>
      </c>
      <c r="P353" s="73" t="s">
        <v>110</v>
      </c>
      <c r="Q353" s="54" t="str">
        <f>IFERROR(__xludf.DUMMYFUNCTION("""COMPUTED_VALUE"""),"Japan.Cauhoi.PTATT_XuBen.5018_MES_HuyNV_010622")</f>
        <v>Japan.Cauhoi.PTATT_XuBen.5018_MES_HuyNV_010622</v>
      </c>
      <c r="R353" s="54" t="str">
        <f>IFERROR(__xludf.DUMMYFUNCTION("""COMPUTED_VALUE"""),"NEW_Japan_1834_none_010622")</f>
        <v>NEW_Japan_1834_none_010622</v>
      </c>
      <c r="S353" s="54" t="str">
        <f>IFERROR(__xludf.DUMMYFUNCTION("""COMPUTED_VALUE"""),"saletructiep_Japan.Cauhoi.PTATT_PTATT_LD109")</f>
        <v>saletructiep_Japan.Cauhoi.PTATT_PTATT_LD109</v>
      </c>
      <c r="T353" s="54"/>
      <c r="U353" s="56"/>
    </row>
    <row r="354">
      <c r="A354" s="64" t="s">
        <v>721</v>
      </c>
      <c r="B354" s="75" t="s">
        <v>712</v>
      </c>
      <c r="C354" s="54" t="str">
        <f>IFERROR(__xludf.DUMMYFUNCTION("""COMPUTED_VALUE"""),"LD109")</f>
        <v>LD109</v>
      </c>
      <c r="D354" s="73" t="s">
        <v>42</v>
      </c>
      <c r="E354" s="73" t="s">
        <v>79</v>
      </c>
      <c r="F354" s="55" t="s">
        <v>107</v>
      </c>
      <c r="G354" s="73">
        <v>1834.0</v>
      </c>
      <c r="H354" s="73" t="s">
        <v>75</v>
      </c>
      <c r="I354" s="55" t="s">
        <v>722</v>
      </c>
      <c r="J354" s="55" t="s">
        <v>722</v>
      </c>
      <c r="K354" s="73" t="s">
        <v>61</v>
      </c>
      <c r="L354" s="73" t="s">
        <v>317</v>
      </c>
      <c r="M354" s="73" t="s">
        <v>78</v>
      </c>
      <c r="N354" s="73" t="s">
        <v>79</v>
      </c>
      <c r="O354" s="73" t="s">
        <v>224</v>
      </c>
      <c r="P354" s="73" t="s">
        <v>110</v>
      </c>
      <c r="Q354" s="54" t="str">
        <f>IFERROR(__xludf.DUMMYFUNCTION("""COMPUTED_VALUE"""),"UnitedStates.ChacChanGioi.PTATT_XuBen.5018_MES_HuyNV_060622")</f>
        <v>UnitedStates.ChacChanGioi.PTATT_XuBen.5018_MES_HuyNV_060622</v>
      </c>
      <c r="R354" s="54" t="str">
        <f>IFERROR(__xludf.DUMMYFUNCTION("""COMPUTED_VALUE"""),"NEW_UnitedStates_1834_none_060622")</f>
        <v>NEW_UnitedStates_1834_none_060622</v>
      </c>
      <c r="S354" s="54" t="str">
        <f>IFERROR(__xludf.DUMMYFUNCTION("""COMPUTED_VALUE"""),"saletructiep_UnitedStates.ChacChanGioi.PTATT_PTATT_LD109")</f>
        <v>saletructiep_UnitedStates.ChacChanGioi.PTATT_PTATT_LD109</v>
      </c>
      <c r="T354" s="54"/>
      <c r="U354" s="56"/>
    </row>
    <row r="355">
      <c r="A355" s="64" t="s">
        <v>721</v>
      </c>
      <c r="B355" s="75" t="s">
        <v>712</v>
      </c>
      <c r="C355" s="54" t="str">
        <f>IFERROR(__xludf.DUMMYFUNCTION("""COMPUTED_VALUE"""),"LD109")</f>
        <v>LD109</v>
      </c>
      <c r="D355" s="73" t="s">
        <v>42</v>
      </c>
      <c r="E355" s="73" t="s">
        <v>79</v>
      </c>
      <c r="F355" s="55" t="s">
        <v>133</v>
      </c>
      <c r="G355" s="73">
        <v>1834.0</v>
      </c>
      <c r="H355" s="73" t="s">
        <v>75</v>
      </c>
      <c r="I355" s="55" t="s">
        <v>723</v>
      </c>
      <c r="J355" s="55" t="s">
        <v>723</v>
      </c>
      <c r="K355" s="73" t="s">
        <v>61</v>
      </c>
      <c r="L355" s="73" t="s">
        <v>317</v>
      </c>
      <c r="M355" s="73" t="s">
        <v>78</v>
      </c>
      <c r="N355" s="73" t="s">
        <v>79</v>
      </c>
      <c r="O355" s="73" t="s">
        <v>224</v>
      </c>
      <c r="P355" s="73" t="s">
        <v>110</v>
      </c>
      <c r="Q355" s="54" t="str">
        <f>IFERROR(__xludf.DUMMYFUNCTION("""COMPUTED_VALUE"""),"Japan.ChacChanGioi.PTATT_XuBen.5018_MES_HuyNV_060622")</f>
        <v>Japan.ChacChanGioi.PTATT_XuBen.5018_MES_HuyNV_060622</v>
      </c>
      <c r="R355" s="54" t="str">
        <f>IFERROR(__xludf.DUMMYFUNCTION("""COMPUTED_VALUE"""),"NEW_Japan_1834_none_060622")</f>
        <v>NEW_Japan_1834_none_060622</v>
      </c>
      <c r="S355" s="54" t="str">
        <f>IFERROR(__xludf.DUMMYFUNCTION("""COMPUTED_VALUE"""),"saletructiep_Japan.ChacChanGioi.PTATT_PTATT_LD109")</f>
        <v>saletructiep_Japan.ChacChanGioi.PTATT_PTATT_LD109</v>
      </c>
      <c r="T355" s="54"/>
      <c r="U355" s="56"/>
    </row>
    <row r="356">
      <c r="A356" s="64" t="s">
        <v>721</v>
      </c>
      <c r="B356" s="75" t="s">
        <v>712</v>
      </c>
      <c r="C356" s="54" t="str">
        <f>IFERROR(__xludf.DUMMYFUNCTION("""COMPUTED_VALUE"""),"LD109")</f>
        <v>LD109</v>
      </c>
      <c r="D356" s="73" t="s">
        <v>42</v>
      </c>
      <c r="E356" s="73" t="s">
        <v>79</v>
      </c>
      <c r="F356" s="55" t="s">
        <v>625</v>
      </c>
      <c r="G356" s="73">
        <v>1834.0</v>
      </c>
      <c r="H356" s="73" t="s">
        <v>75</v>
      </c>
      <c r="I356" s="55" t="s">
        <v>724</v>
      </c>
      <c r="J356" s="55" t="s">
        <v>724</v>
      </c>
      <c r="K356" s="73" t="s">
        <v>61</v>
      </c>
      <c r="L356" s="73" t="s">
        <v>317</v>
      </c>
      <c r="M356" s="73" t="s">
        <v>78</v>
      </c>
      <c r="N356" s="73" t="s">
        <v>79</v>
      </c>
      <c r="O356" s="73" t="s">
        <v>224</v>
      </c>
      <c r="P356" s="73" t="s">
        <v>110</v>
      </c>
      <c r="Q356" s="54" t="str">
        <f>IFERROR(__xludf.DUMMYFUNCTION("""COMPUTED_VALUE"""),"KoreaSouth.ChacChanGioi.PTATT_XuBen.5018_MES_HuyNV_060622")</f>
        <v>KoreaSouth.ChacChanGioi.PTATT_XuBen.5018_MES_HuyNV_060622</v>
      </c>
      <c r="R356" s="54" t="str">
        <f>IFERROR(__xludf.DUMMYFUNCTION("""COMPUTED_VALUE"""),"NEW_KoreaSouth_1834_none_060622")</f>
        <v>NEW_KoreaSouth_1834_none_060622</v>
      </c>
      <c r="S356" s="54" t="str">
        <f>IFERROR(__xludf.DUMMYFUNCTION("""COMPUTED_VALUE"""),"saletructiep_KoreaSouth.ChacChanGioi.PTATT_PTATT_LD109")</f>
        <v>saletructiep_KoreaSouth.ChacChanGioi.PTATT_PTATT_LD109</v>
      </c>
      <c r="T356" s="54"/>
      <c r="U356" s="56"/>
    </row>
    <row r="357">
      <c r="A357" s="88" t="s">
        <v>721</v>
      </c>
      <c r="B357" s="89" t="s">
        <v>712</v>
      </c>
      <c r="C357" s="54" t="str">
        <f>IFERROR(__xludf.DUMMYFUNCTION("""COMPUTED_VALUE"""),"LD109")</f>
        <v>LD109</v>
      </c>
      <c r="D357" s="73" t="s">
        <v>42</v>
      </c>
      <c r="E357" s="73" t="s">
        <v>79</v>
      </c>
      <c r="F357" s="55" t="s">
        <v>129</v>
      </c>
      <c r="G357" s="73">
        <v>1834.0</v>
      </c>
      <c r="H357" s="73" t="s">
        <v>75</v>
      </c>
      <c r="I357" s="55" t="s">
        <v>725</v>
      </c>
      <c r="J357" s="55" t="s">
        <v>725</v>
      </c>
      <c r="K357" s="73" t="s">
        <v>61</v>
      </c>
      <c r="L357" s="73" t="s">
        <v>317</v>
      </c>
      <c r="M357" s="73" t="s">
        <v>78</v>
      </c>
      <c r="N357" s="73" t="s">
        <v>79</v>
      </c>
      <c r="O357" s="73" t="s">
        <v>224</v>
      </c>
      <c r="P357" s="73" t="s">
        <v>110</v>
      </c>
      <c r="Q357" s="54" t="str">
        <f>IFERROR(__xludf.DUMMYFUNCTION("""COMPUTED_VALUE"""),"Australia.ChacChanGioi.PTATT_XuBen.5018_MES_HuyNV_060622")</f>
        <v>Australia.ChacChanGioi.PTATT_XuBen.5018_MES_HuyNV_060622</v>
      </c>
      <c r="R357" s="54" t="str">
        <f>IFERROR(__xludf.DUMMYFUNCTION("""COMPUTED_VALUE"""),"NEW_Australia_1834_none_060622")</f>
        <v>NEW_Australia_1834_none_060622</v>
      </c>
      <c r="S357" s="54" t="str">
        <f>IFERROR(__xludf.DUMMYFUNCTION("""COMPUTED_VALUE"""),"saletructiep_Australia.ChacChanGioi.PTATT_PTATT_LD109")</f>
        <v>saletructiep_Australia.ChacChanGioi.PTATT_PTATT_LD109</v>
      </c>
      <c r="T357" s="54"/>
      <c r="U357" s="56"/>
    </row>
    <row r="358">
      <c r="A358" s="90" t="s">
        <v>726</v>
      </c>
      <c r="B358" s="73" t="s">
        <v>166</v>
      </c>
      <c r="C358" s="54" t="str">
        <f>IFERROR(__xludf.DUMMYFUNCTION("""COMPUTED_VALUE"""),"LD005")</f>
        <v>LD005</v>
      </c>
      <c r="D358" s="73" t="s">
        <v>42</v>
      </c>
      <c r="E358" s="73" t="s">
        <v>79</v>
      </c>
      <c r="F358" s="55" t="s">
        <v>539</v>
      </c>
      <c r="G358" s="73">
        <v>1834.0</v>
      </c>
      <c r="H358" s="73" t="s">
        <v>75</v>
      </c>
      <c r="I358" s="55" t="s">
        <v>727</v>
      </c>
      <c r="J358" s="55" t="s">
        <v>727</v>
      </c>
      <c r="K358" s="73" t="s">
        <v>61</v>
      </c>
      <c r="L358" s="73" t="s">
        <v>317</v>
      </c>
      <c r="M358" s="73" t="s">
        <v>78</v>
      </c>
      <c r="N358" s="73" t="s">
        <v>79</v>
      </c>
      <c r="O358" s="73" t="s">
        <v>224</v>
      </c>
      <c r="P358" s="73" t="s">
        <v>110</v>
      </c>
      <c r="Q358" s="54" t="str">
        <f>IFERROR(__xludf.DUMMYFUNCTION("""COMPUTED_VALUE"""),"ALL.VideoH4.ChacChanGioi.PTATT_XuBen.5018_MES_HuyNV_070622")</f>
        <v>ALL.VideoH4.ChacChanGioi.PTATT_XuBen.5018_MES_HuyNV_070622</v>
      </c>
      <c r="R358" s="54" t="str">
        <f>IFERROR(__xludf.DUMMYFUNCTION("""COMPUTED_VALUE"""),"NEW_ALL_1834_none_070622")</f>
        <v>NEW_ALL_1834_none_070622</v>
      </c>
      <c r="S358" s="54" t="str">
        <f>IFERROR(__xludf.DUMMYFUNCTION("""COMPUTED_VALUE"""),"saletructiep_ALL.VideoH4.ChacChanGioi.PTATT_PTATT_LD005")</f>
        <v>saletructiep_ALL.VideoH4.ChacChanGioi.PTATT_PTATT_LD005</v>
      </c>
      <c r="T358" s="54"/>
      <c r="U358" s="56"/>
    </row>
    <row r="359">
      <c r="A359" s="90" t="s">
        <v>726</v>
      </c>
      <c r="B359" s="73" t="s">
        <v>166</v>
      </c>
      <c r="C359" s="54" t="str">
        <f>IFERROR(__xludf.DUMMYFUNCTION("""COMPUTED_VALUE"""),"LD005")</f>
        <v>LD005</v>
      </c>
      <c r="D359" s="73" t="s">
        <v>42</v>
      </c>
      <c r="E359" s="73" t="s">
        <v>79</v>
      </c>
      <c r="F359" s="55" t="s">
        <v>397</v>
      </c>
      <c r="G359" s="73">
        <v>1834.0</v>
      </c>
      <c r="H359" s="73" t="s">
        <v>75</v>
      </c>
      <c r="I359" s="55" t="s">
        <v>728</v>
      </c>
      <c r="J359" s="55" t="s">
        <v>728</v>
      </c>
      <c r="K359" s="73" t="s">
        <v>61</v>
      </c>
      <c r="L359" s="73" t="s">
        <v>317</v>
      </c>
      <c r="M359" s="73" t="s">
        <v>78</v>
      </c>
      <c r="N359" s="73" t="s">
        <v>79</v>
      </c>
      <c r="O359" s="73" t="s">
        <v>224</v>
      </c>
      <c r="P359" s="73" t="s">
        <v>110</v>
      </c>
      <c r="Q359" s="54" t="str">
        <f>IFERROR(__xludf.DUMMYFUNCTION("""COMPUTED_VALUE"""),"UnitedArabEmirates.VideoH4.ChacChanGioi.PTATT_XuBen.5018_MES_HuyNV_070622")</f>
        <v>UnitedArabEmirates.VideoH4.ChacChanGioi.PTATT_XuBen.5018_MES_HuyNV_070622</v>
      </c>
      <c r="R359" s="54" t="str">
        <f>IFERROR(__xludf.DUMMYFUNCTION("""COMPUTED_VALUE"""),"NEW_UnitedArabEmirates_1834_none_070622")</f>
        <v>NEW_UnitedArabEmirates_1834_none_070622</v>
      </c>
      <c r="S359" s="54" t="str">
        <f>IFERROR(__xludf.DUMMYFUNCTION("""COMPUTED_VALUE"""),"saletructiep_UnitedArabEmirates.VideoH4.ChacChanGioi.PTATT_PTATT_LD005")</f>
        <v>saletructiep_UnitedArabEmirates.VideoH4.ChacChanGioi.PTATT_PTATT_LD005</v>
      </c>
      <c r="T359" s="54"/>
      <c r="U359" s="56"/>
    </row>
    <row r="360">
      <c r="A360" s="90" t="s">
        <v>726</v>
      </c>
      <c r="B360" s="73" t="s">
        <v>166</v>
      </c>
      <c r="C360" s="54" t="str">
        <f>IFERROR(__xludf.DUMMYFUNCTION("""COMPUTED_VALUE"""),"LD005")</f>
        <v>LD005</v>
      </c>
      <c r="D360" s="73" t="s">
        <v>42</v>
      </c>
      <c r="E360" s="73" t="s">
        <v>79</v>
      </c>
      <c r="F360" s="55" t="s">
        <v>107</v>
      </c>
      <c r="G360" s="73">
        <v>1834.0</v>
      </c>
      <c r="H360" s="73" t="s">
        <v>75</v>
      </c>
      <c r="I360" s="55" t="s">
        <v>729</v>
      </c>
      <c r="J360" s="55" t="s">
        <v>729</v>
      </c>
      <c r="K360" s="73" t="s">
        <v>61</v>
      </c>
      <c r="L360" s="73" t="s">
        <v>317</v>
      </c>
      <c r="M360" s="73" t="s">
        <v>78</v>
      </c>
      <c r="N360" s="73" t="s">
        <v>79</v>
      </c>
      <c r="O360" s="73" t="s">
        <v>224</v>
      </c>
      <c r="P360" s="73" t="s">
        <v>110</v>
      </c>
      <c r="Q360" s="54" t="str">
        <f>IFERROR(__xludf.DUMMYFUNCTION("""COMPUTED_VALUE"""),"UnitedStates.VideoH4.ChacChanGioi.PTATT_XuBen.5018_MES_HuyNV_070622")</f>
        <v>UnitedStates.VideoH4.ChacChanGioi.PTATT_XuBen.5018_MES_HuyNV_070622</v>
      </c>
      <c r="R360" s="54" t="str">
        <f>IFERROR(__xludf.DUMMYFUNCTION("""COMPUTED_VALUE"""),"NEW_UnitedStates_1834_none_070622")</f>
        <v>NEW_UnitedStates_1834_none_070622</v>
      </c>
      <c r="S360" s="54" t="str">
        <f>IFERROR(__xludf.DUMMYFUNCTION("""COMPUTED_VALUE"""),"saletructiep_UnitedStates.VideoH4.ChacChanGioi.PTATT_PTATT_LD005")</f>
        <v>saletructiep_UnitedStates.VideoH4.ChacChanGioi.PTATT_PTATT_LD005</v>
      </c>
      <c r="T360" s="54"/>
      <c r="U360" s="56"/>
    </row>
    <row r="361">
      <c r="A361" s="90" t="s">
        <v>726</v>
      </c>
      <c r="B361" s="73" t="s">
        <v>166</v>
      </c>
      <c r="C361" s="54" t="str">
        <f>IFERROR(__xludf.DUMMYFUNCTION("""COMPUTED_VALUE"""),"LD005")</f>
        <v>LD005</v>
      </c>
      <c r="D361" s="73" t="s">
        <v>42</v>
      </c>
      <c r="E361" s="73" t="s">
        <v>79</v>
      </c>
      <c r="F361" s="55" t="s">
        <v>107</v>
      </c>
      <c r="G361" s="73">
        <v>1834.0</v>
      </c>
      <c r="H361" s="73" t="s">
        <v>75</v>
      </c>
      <c r="I361" s="55" t="s">
        <v>619</v>
      </c>
      <c r="J361" s="55" t="s">
        <v>619</v>
      </c>
      <c r="K361" s="73" t="s">
        <v>61</v>
      </c>
      <c r="L361" s="73" t="s">
        <v>317</v>
      </c>
      <c r="M361" s="73" t="s">
        <v>78</v>
      </c>
      <c r="N361" s="73" t="s">
        <v>79</v>
      </c>
      <c r="O361" s="73" t="s">
        <v>224</v>
      </c>
      <c r="P361" s="73" t="s">
        <v>110</v>
      </c>
      <c r="Q361" s="54" t="str">
        <f>IFERROR(__xludf.DUMMYFUNCTION("""COMPUTED_VALUE"""),"UnitedStates.AnhThongBao.PTATT_XuBen.5018_MES_HuyNV_070622")</f>
        <v>UnitedStates.AnhThongBao.PTATT_XuBen.5018_MES_HuyNV_070622</v>
      </c>
      <c r="R361" s="54" t="str">
        <f>IFERROR(__xludf.DUMMYFUNCTION("""COMPUTED_VALUE"""),"NEW_UnitedStates_1834_none_070622")</f>
        <v>NEW_UnitedStates_1834_none_070622</v>
      </c>
      <c r="S361" s="54" t="str">
        <f>IFERROR(__xludf.DUMMYFUNCTION("""COMPUTED_VALUE"""),"saletructiep_UnitedStates.AnhThongBao.PTATT_PTATT_LD005")</f>
        <v>saletructiep_UnitedStates.AnhThongBao.PTATT_PTATT_LD005</v>
      </c>
      <c r="T361" s="54"/>
      <c r="U361" s="56"/>
    </row>
    <row r="362">
      <c r="A362" s="90" t="s">
        <v>730</v>
      </c>
      <c r="B362" s="73" t="s">
        <v>166</v>
      </c>
      <c r="C362" s="54" t="str">
        <f>IFERROR(__xludf.DUMMYFUNCTION("""COMPUTED_VALUE"""),"LD005")</f>
        <v>LD005</v>
      </c>
      <c r="D362" s="73" t="s">
        <v>42</v>
      </c>
      <c r="E362" s="73" t="s">
        <v>79</v>
      </c>
      <c r="F362" s="55" t="s">
        <v>133</v>
      </c>
      <c r="G362" s="73">
        <v>1834.0</v>
      </c>
      <c r="H362" s="73" t="s">
        <v>75</v>
      </c>
      <c r="I362" s="55" t="s">
        <v>731</v>
      </c>
      <c r="J362" s="55" t="s">
        <v>731</v>
      </c>
      <c r="K362" s="73" t="s">
        <v>61</v>
      </c>
      <c r="L362" s="73" t="s">
        <v>317</v>
      </c>
      <c r="M362" s="73" t="s">
        <v>78</v>
      </c>
      <c r="N362" s="73" t="s">
        <v>79</v>
      </c>
      <c r="O362" s="73" t="s">
        <v>224</v>
      </c>
      <c r="P362" s="73" t="s">
        <v>110</v>
      </c>
      <c r="Q362" s="54" t="str">
        <f>IFERROR(__xludf.DUMMYFUNCTION("""COMPUTED_VALUE"""),"Japan.VideoH4.ChacChanGioi.PTATT_XuBen.5018_MES_HuyNV_080622")</f>
        <v>Japan.VideoH4.ChacChanGioi.PTATT_XuBen.5018_MES_HuyNV_080622</v>
      </c>
      <c r="R362" s="54" t="str">
        <f>IFERROR(__xludf.DUMMYFUNCTION("""COMPUTED_VALUE"""),"NEW_Japan_1834_none_080622")</f>
        <v>NEW_Japan_1834_none_080622</v>
      </c>
      <c r="S362" s="54" t="str">
        <f>IFERROR(__xludf.DUMMYFUNCTION("""COMPUTED_VALUE"""),"saletructiep_Japan.VideoH4.ChacChanGioi.PTATT_PTATT_LD005")</f>
        <v>saletructiep_Japan.VideoH4.ChacChanGioi.PTATT_PTATT_LD005</v>
      </c>
      <c r="T362" s="54"/>
      <c r="U362" s="56"/>
    </row>
    <row r="363">
      <c r="A363" s="90" t="s">
        <v>730</v>
      </c>
      <c r="B363" s="73" t="s">
        <v>166</v>
      </c>
      <c r="C363" s="54" t="str">
        <f>IFERROR(__xludf.DUMMYFUNCTION("""COMPUTED_VALUE"""),"LD005")</f>
        <v>LD005</v>
      </c>
      <c r="D363" s="73" t="s">
        <v>42</v>
      </c>
      <c r="E363" s="73" t="s">
        <v>79</v>
      </c>
      <c r="F363" s="55" t="s">
        <v>625</v>
      </c>
      <c r="G363" s="73">
        <v>1834.0</v>
      </c>
      <c r="H363" s="73" t="s">
        <v>75</v>
      </c>
      <c r="I363" s="55" t="s">
        <v>732</v>
      </c>
      <c r="J363" s="55" t="s">
        <v>732</v>
      </c>
      <c r="K363" s="73" t="s">
        <v>61</v>
      </c>
      <c r="L363" s="73" t="s">
        <v>317</v>
      </c>
      <c r="M363" s="73" t="s">
        <v>78</v>
      </c>
      <c r="N363" s="73" t="s">
        <v>79</v>
      </c>
      <c r="O363" s="73" t="s">
        <v>224</v>
      </c>
      <c r="P363" s="73" t="s">
        <v>110</v>
      </c>
      <c r="Q363" s="54" t="str">
        <f>IFERROR(__xludf.DUMMYFUNCTION("""COMPUTED_VALUE"""),"KoreaSouth.VideoH4.ChacChanGioi.PTATT_XuBen.5018_MES_HuyNV_080622")</f>
        <v>KoreaSouth.VideoH4.ChacChanGioi.PTATT_XuBen.5018_MES_HuyNV_080622</v>
      </c>
      <c r="R363" s="54" t="str">
        <f>IFERROR(__xludf.DUMMYFUNCTION("""COMPUTED_VALUE"""),"NEW_KoreaSouth_1834_none_080622")</f>
        <v>NEW_KoreaSouth_1834_none_080622</v>
      </c>
      <c r="S363" s="54" t="str">
        <f>IFERROR(__xludf.DUMMYFUNCTION("""COMPUTED_VALUE"""),"saletructiep_KoreaSouth.VideoH4.ChacChanGioi.PTATT_PTATT_LD005")</f>
        <v>saletructiep_KoreaSouth.VideoH4.ChacChanGioi.PTATT_PTATT_LD005</v>
      </c>
      <c r="T363" s="54"/>
      <c r="U363" s="56"/>
    </row>
    <row r="364">
      <c r="A364" s="90" t="s">
        <v>730</v>
      </c>
      <c r="B364" s="73" t="s">
        <v>166</v>
      </c>
      <c r="C364" s="54" t="str">
        <f>IFERROR(__xludf.DUMMYFUNCTION("""COMPUTED_VALUE"""),"LD005")</f>
        <v>LD005</v>
      </c>
      <c r="D364" s="73" t="s">
        <v>42</v>
      </c>
      <c r="E364" s="73" t="s">
        <v>79</v>
      </c>
      <c r="F364" s="55" t="s">
        <v>129</v>
      </c>
      <c r="G364" s="73">
        <v>1834.0</v>
      </c>
      <c r="H364" s="73" t="s">
        <v>75</v>
      </c>
      <c r="I364" s="55" t="s">
        <v>733</v>
      </c>
      <c r="J364" s="73" t="s">
        <v>733</v>
      </c>
      <c r="K364" s="73" t="s">
        <v>61</v>
      </c>
      <c r="L364" s="73" t="s">
        <v>317</v>
      </c>
      <c r="M364" s="73" t="s">
        <v>78</v>
      </c>
      <c r="N364" s="73" t="s">
        <v>79</v>
      </c>
      <c r="O364" s="73" t="s">
        <v>224</v>
      </c>
      <c r="P364" s="73" t="s">
        <v>110</v>
      </c>
      <c r="Q364" s="54" t="str">
        <f>IFERROR(__xludf.DUMMYFUNCTION("""COMPUTED_VALUE"""),"Australia.VideoH4.ChacChanGioi.PTATT_XuBen.5018_MES_HuyNV_080622")</f>
        <v>Australia.VideoH4.ChacChanGioi.PTATT_XuBen.5018_MES_HuyNV_080622</v>
      </c>
      <c r="R364" s="54" t="str">
        <f>IFERROR(__xludf.DUMMYFUNCTION("""COMPUTED_VALUE"""),"NEW_Australia_1834_none_080622")</f>
        <v>NEW_Australia_1834_none_080622</v>
      </c>
      <c r="S364" s="54" t="str">
        <f>IFERROR(__xludf.DUMMYFUNCTION("""COMPUTED_VALUE"""),"saletructiep_Australia.VideoH4.ChacChanGioi.PTATT_PTATT_LD005")</f>
        <v>saletructiep_Australia.VideoH4.ChacChanGioi.PTATT_PTATT_LD005</v>
      </c>
      <c r="T364" s="54"/>
      <c r="U364" s="56"/>
    </row>
    <row r="365">
      <c r="A365" s="90" t="s">
        <v>730</v>
      </c>
      <c r="B365" s="73" t="s">
        <v>166</v>
      </c>
      <c r="C365" s="54" t="str">
        <f>IFERROR(__xludf.DUMMYFUNCTION("""COMPUTED_VALUE"""),"LD005")</f>
        <v>LD005</v>
      </c>
      <c r="D365" s="73" t="s">
        <v>42</v>
      </c>
      <c r="E365" s="73" t="s">
        <v>79</v>
      </c>
      <c r="F365" s="55" t="s">
        <v>164</v>
      </c>
      <c r="G365" s="73">
        <v>1834.0</v>
      </c>
      <c r="H365" s="73" t="s">
        <v>75</v>
      </c>
      <c r="I365" s="55" t="s">
        <v>734</v>
      </c>
      <c r="J365" s="55" t="s">
        <v>734</v>
      </c>
      <c r="K365" s="73" t="s">
        <v>61</v>
      </c>
      <c r="L365" s="73" t="s">
        <v>317</v>
      </c>
      <c r="M365" s="73" t="s">
        <v>78</v>
      </c>
      <c r="N365" s="73" t="s">
        <v>79</v>
      </c>
      <c r="O365" s="73" t="s">
        <v>224</v>
      </c>
      <c r="P365" s="73" t="s">
        <v>110</v>
      </c>
      <c r="Q365" s="54" t="str">
        <f>IFERROR(__xludf.DUMMYFUNCTION("""COMPUTED_VALUE"""),"Taiwan.VideoH4.ChacChanGioi.PTATT_XuBen.5018_MES_HuyNV_080622")</f>
        <v>Taiwan.VideoH4.ChacChanGioi.PTATT_XuBen.5018_MES_HuyNV_080622</v>
      </c>
      <c r="R365" s="54" t="str">
        <f>IFERROR(__xludf.DUMMYFUNCTION("""COMPUTED_VALUE"""),"NEW_Taiwan_1834_none_080622")</f>
        <v>NEW_Taiwan_1834_none_080622</v>
      </c>
      <c r="S365" s="54" t="str">
        <f>IFERROR(__xludf.DUMMYFUNCTION("""COMPUTED_VALUE"""),"saletructiep_Taiwan.VideoH4.ChacChanGioi.PTATT_PTATT_LD005")</f>
        <v>saletructiep_Taiwan.VideoH4.ChacChanGioi.PTATT_PTATT_LD005</v>
      </c>
      <c r="T365" s="54"/>
      <c r="U365" s="56"/>
    </row>
    <row r="366">
      <c r="A366" s="90" t="s">
        <v>735</v>
      </c>
      <c r="B366" s="73" t="s">
        <v>166</v>
      </c>
      <c r="C366" s="54" t="str">
        <f>IFERROR(__xludf.DUMMYFUNCTION("""COMPUTED_VALUE"""),"LD005")</f>
        <v>LD005</v>
      </c>
      <c r="D366" s="73" t="s">
        <v>42</v>
      </c>
      <c r="E366" s="73" t="s">
        <v>79</v>
      </c>
      <c r="F366" s="55" t="s">
        <v>199</v>
      </c>
      <c r="G366" s="73">
        <v>1834.0</v>
      </c>
      <c r="H366" s="73" t="s">
        <v>75</v>
      </c>
      <c r="I366" s="55" t="s">
        <v>736</v>
      </c>
      <c r="J366" s="55" t="s">
        <v>736</v>
      </c>
      <c r="K366" s="73" t="s">
        <v>61</v>
      </c>
      <c r="L366" s="73" t="s">
        <v>317</v>
      </c>
      <c r="M366" s="73" t="s">
        <v>78</v>
      </c>
      <c r="N366" s="73" t="s">
        <v>79</v>
      </c>
      <c r="O366" s="73" t="s">
        <v>224</v>
      </c>
      <c r="P366" s="73" t="s">
        <v>110</v>
      </c>
      <c r="Q366" s="54" t="str">
        <f>IFERROR(__xludf.DUMMYFUNCTION("""COMPUTED_VALUE"""),"Vietnam.VideoH4.ChacChanGioi.PTATT_XuBen.5018_MES_HuyNV_090622")</f>
        <v>Vietnam.VideoH4.ChacChanGioi.PTATT_XuBen.5018_MES_HuyNV_090622</v>
      </c>
      <c r="R366" s="54" t="str">
        <f>IFERROR(__xludf.DUMMYFUNCTION("""COMPUTED_VALUE"""),"NEW_Vietnam_1834_none_090622")</f>
        <v>NEW_Vietnam_1834_none_090622</v>
      </c>
      <c r="S366" s="54" t="str">
        <f>IFERROR(__xludf.DUMMYFUNCTION("""COMPUTED_VALUE"""),"saletructiep_Vietnam.VideoH4.ChacChanGioi.PTATT_PTATT_LD005")</f>
        <v>saletructiep_Vietnam.VideoH4.ChacChanGioi.PTATT_PTATT_LD005</v>
      </c>
      <c r="T366" s="54"/>
      <c r="U366" s="56"/>
    </row>
    <row r="367">
      <c r="A367" s="90" t="s">
        <v>735</v>
      </c>
      <c r="B367" s="73" t="s">
        <v>166</v>
      </c>
      <c r="C367" s="54" t="str">
        <f>IFERROR(__xludf.DUMMYFUNCTION("""COMPUTED_VALUE"""),"LD005")</f>
        <v>LD005</v>
      </c>
      <c r="D367" s="73" t="s">
        <v>42</v>
      </c>
      <c r="E367" s="73" t="s">
        <v>79</v>
      </c>
      <c r="F367" s="55" t="s">
        <v>162</v>
      </c>
      <c r="G367" s="73">
        <v>1834.0</v>
      </c>
      <c r="H367" s="73" t="s">
        <v>75</v>
      </c>
      <c r="I367" s="55" t="s">
        <v>737</v>
      </c>
      <c r="J367" s="55" t="s">
        <v>737</v>
      </c>
      <c r="K367" s="73" t="s">
        <v>61</v>
      </c>
      <c r="L367" s="73" t="s">
        <v>317</v>
      </c>
      <c r="M367" s="73" t="s">
        <v>78</v>
      </c>
      <c r="N367" s="73" t="s">
        <v>79</v>
      </c>
      <c r="O367" s="73" t="s">
        <v>224</v>
      </c>
      <c r="P367" s="73" t="s">
        <v>110</v>
      </c>
      <c r="Q367" s="54" t="str">
        <f>IFERROR(__xludf.DUMMYFUNCTION("""COMPUTED_VALUE"""),"Singapore.VideoH4.ChacChanGioi.PTATT_XuBen.5018_MES_HuyNV_090622")</f>
        <v>Singapore.VideoH4.ChacChanGioi.PTATT_XuBen.5018_MES_HuyNV_090622</v>
      </c>
      <c r="R367" s="54" t="str">
        <f>IFERROR(__xludf.DUMMYFUNCTION("""COMPUTED_VALUE"""),"NEW_Singapore_1834_none_090622")</f>
        <v>NEW_Singapore_1834_none_090622</v>
      </c>
      <c r="S367" s="54" t="str">
        <f>IFERROR(__xludf.DUMMYFUNCTION("""COMPUTED_VALUE"""),"saletructiep_Singapore.VideoH4.ChacChanGioi.PTATT_PTATT_LD005")</f>
        <v>saletructiep_Singapore.VideoH4.ChacChanGioi.PTATT_PTATT_LD005</v>
      </c>
      <c r="T367" s="54"/>
      <c r="U367" s="56"/>
    </row>
    <row r="368">
      <c r="A368" s="90" t="s">
        <v>738</v>
      </c>
      <c r="B368" s="86" t="s">
        <v>166</v>
      </c>
      <c r="C368" s="54" t="str">
        <f>IFERROR(__xludf.DUMMYFUNCTION("""COMPUTED_VALUE"""),"LD005")</f>
        <v>LD005</v>
      </c>
      <c r="D368" s="73" t="s">
        <v>42</v>
      </c>
      <c r="E368" s="73" t="s">
        <v>79</v>
      </c>
      <c r="F368" s="55" t="s">
        <v>107</v>
      </c>
      <c r="G368" s="73">
        <v>1834.0</v>
      </c>
      <c r="H368" s="73" t="s">
        <v>75</v>
      </c>
      <c r="I368" s="55" t="s">
        <v>739</v>
      </c>
      <c r="J368" s="55" t="s">
        <v>739</v>
      </c>
      <c r="K368" s="73" t="s">
        <v>61</v>
      </c>
      <c r="L368" s="73" t="s">
        <v>317</v>
      </c>
      <c r="M368" s="73" t="s">
        <v>78</v>
      </c>
      <c r="N368" s="73" t="s">
        <v>79</v>
      </c>
      <c r="O368" s="73" t="s">
        <v>224</v>
      </c>
      <c r="P368" s="73" t="s">
        <v>110</v>
      </c>
      <c r="Q368" s="54" t="str">
        <f>IFERROR(__xludf.DUMMYFUNCTION("""COMPUTED_VALUE"""),"UnitedStates.4Anh.ChacChanGioi.PTATT_XuBen.5018_MES_HuyNV_110622")</f>
        <v>UnitedStates.4Anh.ChacChanGioi.PTATT_XuBen.5018_MES_HuyNV_110622</v>
      </c>
      <c r="R368" s="54" t="str">
        <f>IFERROR(__xludf.DUMMYFUNCTION("""COMPUTED_VALUE"""),"NEW_UnitedStates_1834_none_110622")</f>
        <v>NEW_UnitedStates_1834_none_110622</v>
      </c>
      <c r="S368" s="54" t="str">
        <f>IFERROR(__xludf.DUMMYFUNCTION("""COMPUTED_VALUE"""),"saletructiep_UnitedStates.4Anh.ChacChanGioi.PTATT_PTATT_LD005")</f>
        <v>saletructiep_UnitedStates.4Anh.ChacChanGioi.PTATT_PTATT_LD005</v>
      </c>
      <c r="T368" s="54"/>
      <c r="U368" s="56"/>
    </row>
    <row r="369">
      <c r="A369" s="80" t="s">
        <v>738</v>
      </c>
      <c r="B369" s="54" t="s">
        <v>166</v>
      </c>
      <c r="C369" s="54" t="str">
        <f>IFERROR(__xludf.DUMMYFUNCTION("""COMPUTED_VALUE"""),"LD005")</f>
        <v>LD005</v>
      </c>
      <c r="D369" s="73" t="s">
        <v>42</v>
      </c>
      <c r="E369" s="73" t="s">
        <v>79</v>
      </c>
      <c r="F369" s="55" t="s">
        <v>133</v>
      </c>
      <c r="G369" s="73">
        <v>1834.0</v>
      </c>
      <c r="H369" s="73" t="s">
        <v>75</v>
      </c>
      <c r="I369" s="55" t="s">
        <v>740</v>
      </c>
      <c r="J369" s="55" t="s">
        <v>740</v>
      </c>
      <c r="K369" s="73" t="s">
        <v>61</v>
      </c>
      <c r="L369" s="73" t="s">
        <v>317</v>
      </c>
      <c r="M369" s="73" t="s">
        <v>78</v>
      </c>
      <c r="N369" s="73" t="s">
        <v>79</v>
      </c>
      <c r="O369" s="73" t="s">
        <v>224</v>
      </c>
      <c r="P369" s="73" t="s">
        <v>110</v>
      </c>
      <c r="Q369" s="54" t="str">
        <f>IFERROR(__xludf.DUMMYFUNCTION("""COMPUTED_VALUE"""),"Japan.4Anh.ChacChanGioi.PTATT_XuBen.5018_MES_HuyNV_110622")</f>
        <v>Japan.4Anh.ChacChanGioi.PTATT_XuBen.5018_MES_HuyNV_110622</v>
      </c>
      <c r="R369" s="54" t="str">
        <f>IFERROR(__xludf.DUMMYFUNCTION("""COMPUTED_VALUE"""),"NEW_Japan_1834_none_110622")</f>
        <v>NEW_Japan_1834_none_110622</v>
      </c>
      <c r="S369" s="54" t="str">
        <f>IFERROR(__xludf.DUMMYFUNCTION("""COMPUTED_VALUE"""),"saletructiep_Japan.4Anh.ChacChanGioi.PTATT_PTATT_LD005")</f>
        <v>saletructiep_Japan.4Anh.ChacChanGioi.PTATT_PTATT_LD005</v>
      </c>
      <c r="T369" s="54"/>
      <c r="U369" s="56"/>
    </row>
    <row r="370">
      <c r="A370" s="64" t="s">
        <v>741</v>
      </c>
      <c r="B370" s="54" t="s">
        <v>166</v>
      </c>
      <c r="C370" s="54" t="str">
        <f>IFERROR(__xludf.DUMMYFUNCTION("""COMPUTED_VALUE"""),"LD005")</f>
        <v>LD005</v>
      </c>
      <c r="D370" s="73" t="s">
        <v>42</v>
      </c>
      <c r="E370" s="73" t="s">
        <v>79</v>
      </c>
      <c r="F370" s="55" t="s">
        <v>107</v>
      </c>
      <c r="G370" s="73">
        <v>1834.0</v>
      </c>
      <c r="H370" s="73" t="s">
        <v>75</v>
      </c>
      <c r="I370" s="55" t="s">
        <v>742</v>
      </c>
      <c r="J370" s="55" t="s">
        <v>742</v>
      </c>
      <c r="K370" s="73" t="s">
        <v>61</v>
      </c>
      <c r="L370" s="73" t="s">
        <v>317</v>
      </c>
      <c r="M370" s="73" t="s">
        <v>78</v>
      </c>
      <c r="N370" s="73" t="s">
        <v>79</v>
      </c>
      <c r="O370" s="73" t="s">
        <v>224</v>
      </c>
      <c r="P370" s="73" t="s">
        <v>110</v>
      </c>
      <c r="Q370" s="54" t="str">
        <f>IFERROR(__xludf.DUMMYFUNCTION("""COMPUTED_VALUE"""),"UnitedStates.Shortcontent.PTATT_XuBen.5018_MES_HuyNV_170622")</f>
        <v>UnitedStates.Shortcontent.PTATT_XuBen.5018_MES_HuyNV_170622</v>
      </c>
      <c r="R370" s="54" t="str">
        <f>IFERROR(__xludf.DUMMYFUNCTION("""COMPUTED_VALUE"""),"NEW_UnitedStates_1834_none_170622")</f>
        <v>NEW_UnitedStates_1834_none_170622</v>
      </c>
      <c r="S370" s="54" t="str">
        <f>IFERROR(__xludf.DUMMYFUNCTION("""COMPUTED_VALUE"""),"saletructiep_UnitedStates.Shortcontent.PTATT_PTATT_LD005")</f>
        <v>saletructiep_UnitedStates.Shortcontent.PTATT_PTATT_LD005</v>
      </c>
      <c r="T370" s="54"/>
      <c r="U370" s="56"/>
    </row>
    <row r="371">
      <c r="A371" s="64" t="s">
        <v>741</v>
      </c>
      <c r="B371" s="54" t="s">
        <v>166</v>
      </c>
      <c r="C371" s="54" t="str">
        <f>IFERROR(__xludf.DUMMYFUNCTION("""COMPUTED_VALUE"""),"LD005")</f>
        <v>LD005</v>
      </c>
      <c r="D371" s="73" t="s">
        <v>42</v>
      </c>
      <c r="E371" s="73" t="s">
        <v>79</v>
      </c>
      <c r="F371" s="55" t="s">
        <v>625</v>
      </c>
      <c r="G371" s="73">
        <v>1834.0</v>
      </c>
      <c r="H371" s="73" t="s">
        <v>75</v>
      </c>
      <c r="I371" s="55" t="s">
        <v>743</v>
      </c>
      <c r="J371" s="55" t="s">
        <v>743</v>
      </c>
      <c r="K371" s="73" t="s">
        <v>61</v>
      </c>
      <c r="L371" s="73" t="s">
        <v>317</v>
      </c>
      <c r="M371" s="73" t="s">
        <v>78</v>
      </c>
      <c r="N371" s="73" t="s">
        <v>79</v>
      </c>
      <c r="O371" s="73" t="s">
        <v>224</v>
      </c>
      <c r="P371" s="73" t="s">
        <v>110</v>
      </c>
      <c r="Q371" s="54" t="str">
        <f>IFERROR(__xludf.DUMMYFUNCTION("""COMPUTED_VALUE"""),"KoreaSouth.Shortcontent.PTATT_XuBen.5018_MES_HuyNV_170622")</f>
        <v>KoreaSouth.Shortcontent.PTATT_XuBen.5018_MES_HuyNV_170622</v>
      </c>
      <c r="R371" s="54" t="str">
        <f>IFERROR(__xludf.DUMMYFUNCTION("""COMPUTED_VALUE"""),"NEW_KoreaSouth_1834_none_170622")</f>
        <v>NEW_KoreaSouth_1834_none_170622</v>
      </c>
      <c r="S371" s="54" t="str">
        <f>IFERROR(__xludf.DUMMYFUNCTION("""COMPUTED_VALUE"""),"saletructiep_KoreaSouth.Shortcontent.PTATT_PTATT_LD005")</f>
        <v>saletructiep_KoreaSouth.Shortcontent.PTATT_PTATT_LD005</v>
      </c>
      <c r="T371" s="54"/>
      <c r="U371" s="56"/>
    </row>
    <row r="372">
      <c r="A372" s="64" t="s">
        <v>741</v>
      </c>
      <c r="B372" s="54" t="s">
        <v>166</v>
      </c>
      <c r="C372" s="54" t="str">
        <f>IFERROR(__xludf.DUMMYFUNCTION("""COMPUTED_VALUE"""),"LD005")</f>
        <v>LD005</v>
      </c>
      <c r="D372" s="73" t="s">
        <v>42</v>
      </c>
      <c r="E372" s="73" t="s">
        <v>79</v>
      </c>
      <c r="F372" s="55" t="s">
        <v>133</v>
      </c>
      <c r="G372" s="73">
        <v>1834.0</v>
      </c>
      <c r="H372" s="73" t="s">
        <v>75</v>
      </c>
      <c r="I372" s="55" t="s">
        <v>744</v>
      </c>
      <c r="J372" s="55" t="s">
        <v>744</v>
      </c>
      <c r="K372" s="73" t="s">
        <v>61</v>
      </c>
      <c r="L372" s="73" t="s">
        <v>317</v>
      </c>
      <c r="M372" s="73" t="s">
        <v>78</v>
      </c>
      <c r="N372" s="73" t="s">
        <v>79</v>
      </c>
      <c r="O372" s="73" t="s">
        <v>224</v>
      </c>
      <c r="P372" s="73" t="s">
        <v>110</v>
      </c>
      <c r="Q372" s="54" t="str">
        <f>IFERROR(__xludf.DUMMYFUNCTION("""COMPUTED_VALUE"""),"Japan.Shortcontent.PTATT_XuBen.5018_MES_HuyNV_170622")</f>
        <v>Japan.Shortcontent.PTATT_XuBen.5018_MES_HuyNV_170622</v>
      </c>
      <c r="R372" s="54" t="str">
        <f>IFERROR(__xludf.DUMMYFUNCTION("""COMPUTED_VALUE"""),"NEW_Japan_1834_none_170622")</f>
        <v>NEW_Japan_1834_none_170622</v>
      </c>
      <c r="S372" s="54" t="str">
        <f>IFERROR(__xludf.DUMMYFUNCTION("""COMPUTED_VALUE"""),"saletructiep_Japan.Shortcontent.PTATT_PTATT_LD005")</f>
        <v>saletructiep_Japan.Shortcontent.PTATT_PTATT_LD005</v>
      </c>
      <c r="T372" s="54"/>
      <c r="U372" s="56"/>
    </row>
    <row r="373">
      <c r="A373" s="64" t="s">
        <v>741</v>
      </c>
      <c r="B373" s="54" t="s">
        <v>166</v>
      </c>
      <c r="C373" s="54" t="str">
        <f>IFERROR(__xludf.DUMMYFUNCTION("""COMPUTED_VALUE"""),"LD005")</f>
        <v>LD005</v>
      </c>
      <c r="D373" s="73" t="s">
        <v>42</v>
      </c>
      <c r="E373" s="73" t="s">
        <v>79</v>
      </c>
      <c r="F373" s="55" t="s">
        <v>129</v>
      </c>
      <c r="G373" s="73">
        <v>1834.0</v>
      </c>
      <c r="H373" s="73" t="s">
        <v>75</v>
      </c>
      <c r="I373" s="55" t="s">
        <v>745</v>
      </c>
      <c r="J373" s="55" t="s">
        <v>745</v>
      </c>
      <c r="K373" s="73" t="s">
        <v>61</v>
      </c>
      <c r="L373" s="73" t="s">
        <v>317</v>
      </c>
      <c r="M373" s="73" t="s">
        <v>78</v>
      </c>
      <c r="N373" s="73" t="s">
        <v>79</v>
      </c>
      <c r="O373" s="73" t="s">
        <v>224</v>
      </c>
      <c r="P373" s="73" t="s">
        <v>110</v>
      </c>
      <c r="Q373" s="54" t="str">
        <f>IFERROR(__xludf.DUMMYFUNCTION("""COMPUTED_VALUE"""),"Australia.Shortcontent.PTATT_XuBen.5018_MES_HuyNV_170622")</f>
        <v>Australia.Shortcontent.PTATT_XuBen.5018_MES_HuyNV_170622</v>
      </c>
      <c r="R373" s="54" t="str">
        <f>IFERROR(__xludf.DUMMYFUNCTION("""COMPUTED_VALUE"""),"NEW_Australia_1834_none_170622")</f>
        <v>NEW_Australia_1834_none_170622</v>
      </c>
      <c r="S373" s="54" t="str">
        <f>IFERROR(__xludf.DUMMYFUNCTION("""COMPUTED_VALUE"""),"saletructiep_Australia.Shortcontent.PTATT_PTATT_LD005")</f>
        <v>saletructiep_Australia.Shortcontent.PTATT_PTATT_LD005</v>
      </c>
      <c r="T373" s="54"/>
      <c r="U373" s="56"/>
    </row>
    <row r="374">
      <c r="A374" s="66">
        <v>200622.0</v>
      </c>
      <c r="B374" s="54" t="s">
        <v>166</v>
      </c>
      <c r="C374" s="54" t="str">
        <f>IFERROR(__xludf.DUMMYFUNCTION("""COMPUTED_VALUE"""),"LD005")</f>
        <v>LD005</v>
      </c>
      <c r="D374" s="73" t="s">
        <v>42</v>
      </c>
      <c r="E374" s="73" t="s">
        <v>79</v>
      </c>
      <c r="F374" s="55" t="s">
        <v>107</v>
      </c>
      <c r="G374" s="73">
        <v>1834.0</v>
      </c>
      <c r="H374" s="73" t="s">
        <v>75</v>
      </c>
      <c r="I374" s="55" t="s">
        <v>746</v>
      </c>
      <c r="J374" s="55" t="s">
        <v>746</v>
      </c>
      <c r="K374" s="73" t="s">
        <v>61</v>
      </c>
      <c r="L374" s="73" t="s">
        <v>317</v>
      </c>
      <c r="M374" s="73" t="s">
        <v>78</v>
      </c>
      <c r="N374" s="73" t="s">
        <v>79</v>
      </c>
      <c r="O374" s="73" t="s">
        <v>224</v>
      </c>
      <c r="P374" s="73" t="s">
        <v>110</v>
      </c>
      <c r="Q374" s="54" t="str">
        <f>IFERROR(__xludf.DUMMYFUNCTION("""COMPUTED_VALUE"""),"UnitedStates.ContentSau2Nam.PTATT_XuBen.5018_MES_HuyNV_200622")</f>
        <v>UnitedStates.ContentSau2Nam.PTATT_XuBen.5018_MES_HuyNV_200622</v>
      </c>
      <c r="R374" s="54" t="str">
        <f>IFERROR(__xludf.DUMMYFUNCTION("""COMPUTED_VALUE"""),"NEW_UnitedStates_1834_none_200622")</f>
        <v>NEW_UnitedStates_1834_none_200622</v>
      </c>
      <c r="S374" s="54" t="str">
        <f>IFERROR(__xludf.DUMMYFUNCTION("""COMPUTED_VALUE"""),"saletructiep_UnitedStates.ContentSau2Nam.PTATT_PTATT_LD005")</f>
        <v>saletructiep_UnitedStates.ContentSau2Nam.PTATT_PTATT_LD005</v>
      </c>
      <c r="T374" s="54"/>
      <c r="U374" s="56"/>
    </row>
    <row r="375">
      <c r="A375" s="66">
        <v>200622.0</v>
      </c>
      <c r="B375" s="54" t="s">
        <v>166</v>
      </c>
      <c r="C375" s="54" t="str">
        <f>IFERROR(__xludf.DUMMYFUNCTION("""COMPUTED_VALUE"""),"LD005")</f>
        <v>LD005</v>
      </c>
      <c r="D375" s="73" t="s">
        <v>42</v>
      </c>
      <c r="E375" s="73" t="s">
        <v>79</v>
      </c>
      <c r="F375" s="55" t="s">
        <v>133</v>
      </c>
      <c r="G375" s="73">
        <v>1834.0</v>
      </c>
      <c r="H375" s="73" t="s">
        <v>75</v>
      </c>
      <c r="I375" s="55" t="s">
        <v>747</v>
      </c>
      <c r="J375" s="55" t="s">
        <v>747</v>
      </c>
      <c r="K375" s="73" t="s">
        <v>61</v>
      </c>
      <c r="L375" s="73" t="s">
        <v>317</v>
      </c>
      <c r="M375" s="73" t="s">
        <v>78</v>
      </c>
      <c r="N375" s="73" t="s">
        <v>79</v>
      </c>
      <c r="O375" s="73" t="s">
        <v>224</v>
      </c>
      <c r="P375" s="73" t="s">
        <v>110</v>
      </c>
      <c r="Q375" s="54" t="str">
        <f>IFERROR(__xludf.DUMMYFUNCTION("""COMPUTED_VALUE"""),"Japan.ContentSau2Nam.PTATT_XuBen.5018_MES_HuyNV_200622")</f>
        <v>Japan.ContentSau2Nam.PTATT_XuBen.5018_MES_HuyNV_200622</v>
      </c>
      <c r="R375" s="54" t="str">
        <f>IFERROR(__xludf.DUMMYFUNCTION("""COMPUTED_VALUE"""),"NEW_Japan_1834_none_200622")</f>
        <v>NEW_Japan_1834_none_200622</v>
      </c>
      <c r="S375" s="54" t="str">
        <f>IFERROR(__xludf.DUMMYFUNCTION("""COMPUTED_VALUE"""),"saletructiep_Japan.ContentSau2Nam.PTATT_PTATT_LD005")</f>
        <v>saletructiep_Japan.ContentSau2Nam.PTATT_PTATT_LD005</v>
      </c>
      <c r="T375" s="54"/>
      <c r="U375" s="56"/>
    </row>
    <row r="376">
      <c r="A376" s="66">
        <v>210622.0</v>
      </c>
      <c r="B376" s="54" t="s">
        <v>166</v>
      </c>
      <c r="C376" s="54" t="str">
        <f>IFERROR(__xludf.DUMMYFUNCTION("""COMPUTED_VALUE"""),"LD005")</f>
        <v>LD005</v>
      </c>
      <c r="D376" s="73" t="s">
        <v>42</v>
      </c>
      <c r="E376" s="73" t="s">
        <v>79</v>
      </c>
      <c r="F376" s="55" t="s">
        <v>397</v>
      </c>
      <c r="G376" s="73">
        <v>1834.0</v>
      </c>
      <c r="H376" s="73" t="s">
        <v>75</v>
      </c>
      <c r="I376" s="55" t="s">
        <v>748</v>
      </c>
      <c r="J376" s="55" t="s">
        <v>748</v>
      </c>
      <c r="K376" s="73" t="s">
        <v>61</v>
      </c>
      <c r="L376" s="73" t="s">
        <v>317</v>
      </c>
      <c r="M376" s="73" t="s">
        <v>78</v>
      </c>
      <c r="N376" s="73" t="s">
        <v>79</v>
      </c>
      <c r="O376" s="73" t="s">
        <v>224</v>
      </c>
      <c r="P376" s="73" t="s">
        <v>110</v>
      </c>
      <c r="Q376" s="54" t="str">
        <f>IFERROR(__xludf.DUMMYFUNCTION("""COMPUTED_VALUE"""),"UnitedArabEmirates.AnhGlobal.PTATT_XuBen.5018_MES_HuyNV_210622")</f>
        <v>UnitedArabEmirates.AnhGlobal.PTATT_XuBen.5018_MES_HuyNV_210622</v>
      </c>
      <c r="R376" s="54" t="str">
        <f>IFERROR(__xludf.DUMMYFUNCTION("""COMPUTED_VALUE"""),"NEW_UnitedArabEmirates_1834_none_210622")</f>
        <v>NEW_UnitedArabEmirates_1834_none_210622</v>
      </c>
      <c r="S376" s="54" t="str">
        <f>IFERROR(__xludf.DUMMYFUNCTION("""COMPUTED_VALUE"""),"saletructiep_UnitedArabEmirates.AnhGlobal.PTATT_PTATT_LD005")</f>
        <v>saletructiep_UnitedArabEmirates.AnhGlobal.PTATT_PTATT_LD005</v>
      </c>
      <c r="T376" s="54"/>
      <c r="U376" s="56"/>
    </row>
    <row r="377">
      <c r="A377" s="66">
        <v>210622.0</v>
      </c>
      <c r="B377" s="54" t="s">
        <v>166</v>
      </c>
      <c r="C377" s="54" t="str">
        <f>IFERROR(__xludf.DUMMYFUNCTION("""COMPUTED_VALUE"""),"LD005")</f>
        <v>LD005</v>
      </c>
      <c r="D377" s="73" t="s">
        <v>42</v>
      </c>
      <c r="E377" s="73" t="s">
        <v>79</v>
      </c>
      <c r="F377" s="55" t="s">
        <v>107</v>
      </c>
      <c r="G377" s="73">
        <v>1834.0</v>
      </c>
      <c r="H377" s="73" t="s">
        <v>75</v>
      </c>
      <c r="I377" s="55" t="s">
        <v>749</v>
      </c>
      <c r="J377" s="55" t="s">
        <v>749</v>
      </c>
      <c r="K377" s="73" t="s">
        <v>61</v>
      </c>
      <c r="L377" s="73" t="s">
        <v>317</v>
      </c>
      <c r="M377" s="73" t="s">
        <v>78</v>
      </c>
      <c r="N377" s="73" t="s">
        <v>79</v>
      </c>
      <c r="O377" s="73" t="s">
        <v>224</v>
      </c>
      <c r="P377" s="73" t="s">
        <v>110</v>
      </c>
      <c r="Q377" s="54" t="str">
        <f>IFERROR(__xludf.DUMMYFUNCTION("""COMPUTED_VALUE"""),"UnitedStates.AnhGlobal.PTATT_XuBen.5018_MES_HuyNV_210622")</f>
        <v>UnitedStates.AnhGlobal.PTATT_XuBen.5018_MES_HuyNV_210622</v>
      </c>
      <c r="R377" s="54" t="str">
        <f>IFERROR(__xludf.DUMMYFUNCTION("""COMPUTED_VALUE"""),"NEW_UnitedStates_1834_none_210622")</f>
        <v>NEW_UnitedStates_1834_none_210622</v>
      </c>
      <c r="S377" s="54" t="str">
        <f>IFERROR(__xludf.DUMMYFUNCTION("""COMPUTED_VALUE"""),"saletructiep_UnitedStates.AnhGlobal.PTATT_PTATT_LD005")</f>
        <v>saletructiep_UnitedStates.AnhGlobal.PTATT_PTATT_LD005</v>
      </c>
      <c r="T377" s="54"/>
      <c r="U377" s="56"/>
    </row>
    <row r="378">
      <c r="A378" s="66">
        <v>210622.0</v>
      </c>
      <c r="B378" s="54" t="s">
        <v>166</v>
      </c>
      <c r="C378" s="54" t="str">
        <f>IFERROR(__xludf.DUMMYFUNCTION("""COMPUTED_VALUE"""),"LD005")</f>
        <v>LD005</v>
      </c>
      <c r="D378" s="73" t="s">
        <v>42</v>
      </c>
      <c r="E378" s="73" t="s">
        <v>79</v>
      </c>
      <c r="F378" s="55" t="s">
        <v>129</v>
      </c>
      <c r="G378" s="73">
        <v>1834.0</v>
      </c>
      <c r="H378" s="73" t="s">
        <v>75</v>
      </c>
      <c r="I378" s="55" t="s">
        <v>750</v>
      </c>
      <c r="J378" s="55" t="s">
        <v>750</v>
      </c>
      <c r="K378" s="73" t="s">
        <v>61</v>
      </c>
      <c r="L378" s="73" t="s">
        <v>317</v>
      </c>
      <c r="M378" s="73" t="s">
        <v>78</v>
      </c>
      <c r="N378" s="73" t="s">
        <v>79</v>
      </c>
      <c r="O378" s="73" t="s">
        <v>224</v>
      </c>
      <c r="P378" s="73" t="s">
        <v>110</v>
      </c>
      <c r="Q378" s="54" t="str">
        <f>IFERROR(__xludf.DUMMYFUNCTION("""COMPUTED_VALUE"""),"Australia.AnhGlobal.PTATT_XuBen.5018_MES_HuyNV_210622")</f>
        <v>Australia.AnhGlobal.PTATT_XuBen.5018_MES_HuyNV_210622</v>
      </c>
      <c r="R378" s="54" t="str">
        <f>IFERROR(__xludf.DUMMYFUNCTION("""COMPUTED_VALUE"""),"NEW_Australia_1834_none_210622")</f>
        <v>NEW_Australia_1834_none_210622</v>
      </c>
      <c r="S378" s="54" t="str">
        <f>IFERROR(__xludf.DUMMYFUNCTION("""COMPUTED_VALUE"""),"saletructiep_Australia.AnhGlobal.PTATT_PTATT_LD005")</f>
        <v>saletructiep_Australia.AnhGlobal.PTATT_PTATT_LD005</v>
      </c>
      <c r="T378" s="54"/>
      <c r="U378" s="56"/>
    </row>
    <row r="379">
      <c r="A379" s="66">
        <v>240622.0</v>
      </c>
      <c r="B379" s="54" t="s">
        <v>166</v>
      </c>
      <c r="C379" s="54" t="str">
        <f>IFERROR(__xludf.DUMMYFUNCTION("""COMPUTED_VALUE"""),"LD005")</f>
        <v>LD005</v>
      </c>
      <c r="D379" s="73" t="s">
        <v>42</v>
      </c>
      <c r="E379" s="73" t="s">
        <v>79</v>
      </c>
      <c r="F379" s="55" t="s">
        <v>397</v>
      </c>
      <c r="G379" s="73">
        <v>1834.0</v>
      </c>
      <c r="H379" s="73" t="s">
        <v>75</v>
      </c>
      <c r="I379" s="55" t="s">
        <v>728</v>
      </c>
      <c r="J379" s="55" t="s">
        <v>728</v>
      </c>
      <c r="K379" s="73" t="s">
        <v>61</v>
      </c>
      <c r="L379" s="73" t="s">
        <v>317</v>
      </c>
      <c r="M379" s="73" t="s">
        <v>78</v>
      </c>
      <c r="N379" s="73" t="s">
        <v>79</v>
      </c>
      <c r="O379" s="73" t="s">
        <v>224</v>
      </c>
      <c r="P379" s="73" t="s">
        <v>110</v>
      </c>
      <c r="Q379" s="54" t="str">
        <f>IFERROR(__xludf.DUMMYFUNCTION("""COMPUTED_VALUE"""),"UnitedArabEmirates.VideoH4.ChacChanGioi.PTATT_XuBen.5018_MES_HuyNV_240622")</f>
        <v>UnitedArabEmirates.VideoH4.ChacChanGioi.PTATT_XuBen.5018_MES_HuyNV_240622</v>
      </c>
      <c r="R379" s="54" t="str">
        <f>IFERROR(__xludf.DUMMYFUNCTION("""COMPUTED_VALUE"""),"NEW_UnitedArabEmirates_1834_none_240622")</f>
        <v>NEW_UnitedArabEmirates_1834_none_240622</v>
      </c>
      <c r="S379" s="54" t="str">
        <f>IFERROR(__xludf.DUMMYFUNCTION("""COMPUTED_VALUE"""),"saletructiep_UnitedArabEmirates.VideoH4.ChacChanGioi.PTATT_PTATT_LD005")</f>
        <v>saletructiep_UnitedArabEmirates.VideoH4.ChacChanGioi.PTATT_PTATT_LD005</v>
      </c>
      <c r="T379" s="54"/>
      <c r="U379" s="56"/>
    </row>
    <row r="380">
      <c r="A380" s="66">
        <v>240622.0</v>
      </c>
      <c r="B380" s="54" t="s">
        <v>166</v>
      </c>
      <c r="C380" s="54" t="str">
        <f>IFERROR(__xludf.DUMMYFUNCTION("""COMPUTED_VALUE"""),"LD005")</f>
        <v>LD005</v>
      </c>
      <c r="D380" s="73" t="s">
        <v>42</v>
      </c>
      <c r="E380" s="73" t="s">
        <v>79</v>
      </c>
      <c r="F380" s="55" t="s">
        <v>112</v>
      </c>
      <c r="G380" s="73">
        <v>1834.0</v>
      </c>
      <c r="H380" s="73" t="s">
        <v>75</v>
      </c>
      <c r="I380" s="55" t="s">
        <v>751</v>
      </c>
      <c r="J380" s="55" t="s">
        <v>751</v>
      </c>
      <c r="K380" s="73" t="s">
        <v>61</v>
      </c>
      <c r="L380" s="73" t="s">
        <v>317</v>
      </c>
      <c r="M380" s="73" t="s">
        <v>78</v>
      </c>
      <c r="N380" s="73" t="s">
        <v>79</v>
      </c>
      <c r="O380" s="73" t="s">
        <v>224</v>
      </c>
      <c r="P380" s="73" t="s">
        <v>110</v>
      </c>
      <c r="Q380" s="54" t="str">
        <f>IFERROR(__xludf.DUMMYFUNCTION("""COMPUTED_VALUE"""),"Canada.VideoH4.ChacChanGioi.PTATT_XuBen.5018_MES_HuyNV_240622")</f>
        <v>Canada.VideoH4.ChacChanGioi.PTATT_XuBen.5018_MES_HuyNV_240622</v>
      </c>
      <c r="R380" s="54" t="str">
        <f>IFERROR(__xludf.DUMMYFUNCTION("""COMPUTED_VALUE"""),"NEW_Canada_1834_none_240622")</f>
        <v>NEW_Canada_1834_none_240622</v>
      </c>
      <c r="S380" s="54" t="str">
        <f>IFERROR(__xludf.DUMMYFUNCTION("""COMPUTED_VALUE"""),"saletructiep_Canada.VideoH4.ChacChanGioi.PTATT_PTATT_LD005")</f>
        <v>saletructiep_Canada.VideoH4.ChacChanGioi.PTATT_PTATT_LD005</v>
      </c>
      <c r="T380" s="54"/>
      <c r="U380" s="56"/>
    </row>
    <row r="381">
      <c r="A381" s="66">
        <v>240622.0</v>
      </c>
      <c r="B381" s="54" t="s">
        <v>166</v>
      </c>
      <c r="C381" s="54" t="str">
        <f>IFERROR(__xludf.DUMMYFUNCTION("""COMPUTED_VALUE"""),"LD005")</f>
        <v>LD005</v>
      </c>
      <c r="D381" s="73" t="s">
        <v>42</v>
      </c>
      <c r="E381" s="73" t="s">
        <v>79</v>
      </c>
      <c r="F381" s="55" t="s">
        <v>107</v>
      </c>
      <c r="G381" s="73">
        <v>1834.0</v>
      </c>
      <c r="H381" s="73" t="s">
        <v>75</v>
      </c>
      <c r="I381" s="55" t="s">
        <v>752</v>
      </c>
      <c r="J381" s="55" t="s">
        <v>752</v>
      </c>
      <c r="K381" s="73" t="s">
        <v>61</v>
      </c>
      <c r="L381" s="73" t="s">
        <v>317</v>
      </c>
      <c r="M381" s="73" t="s">
        <v>78</v>
      </c>
      <c r="N381" s="73" t="s">
        <v>79</v>
      </c>
      <c r="O381" s="73" t="s">
        <v>224</v>
      </c>
      <c r="P381" s="73" t="s">
        <v>110</v>
      </c>
      <c r="Q381" s="54" t="str">
        <f>IFERROR(__xludf.DUMMYFUNCTION("""COMPUTED_VALUE"""),"UnitedStates.AnhMuaHe.PTATT_XuBen.5018_MES_HuyNV_240622")</f>
        <v>UnitedStates.AnhMuaHe.PTATT_XuBen.5018_MES_HuyNV_240622</v>
      </c>
      <c r="R381" s="54" t="str">
        <f>IFERROR(__xludf.DUMMYFUNCTION("""COMPUTED_VALUE"""),"NEW_UnitedStates_1834_none_240622")</f>
        <v>NEW_UnitedStates_1834_none_240622</v>
      </c>
      <c r="S381" s="54" t="str">
        <f>IFERROR(__xludf.DUMMYFUNCTION("""COMPUTED_VALUE"""),"saletructiep_UnitedStates.AnhMuaHe.PTATT_PTATT_LD005")</f>
        <v>saletructiep_UnitedStates.AnhMuaHe.PTATT_PTATT_LD005</v>
      </c>
      <c r="T381" s="54"/>
      <c r="U381" s="56"/>
    </row>
    <row r="382">
      <c r="A382" s="66">
        <v>240622.0</v>
      </c>
      <c r="B382" s="54" t="s">
        <v>166</v>
      </c>
      <c r="C382" s="54" t="str">
        <f>IFERROR(__xludf.DUMMYFUNCTION("""COMPUTED_VALUE"""),"LD005")</f>
        <v>LD005</v>
      </c>
      <c r="D382" s="73" t="s">
        <v>42</v>
      </c>
      <c r="E382" s="73" t="s">
        <v>79</v>
      </c>
      <c r="F382" s="55" t="s">
        <v>129</v>
      </c>
      <c r="G382" s="73">
        <v>1834.0</v>
      </c>
      <c r="H382" s="73" t="s">
        <v>75</v>
      </c>
      <c r="I382" s="55" t="s">
        <v>753</v>
      </c>
      <c r="J382" s="55" t="s">
        <v>753</v>
      </c>
      <c r="K382" s="73" t="s">
        <v>61</v>
      </c>
      <c r="L382" s="73" t="s">
        <v>317</v>
      </c>
      <c r="M382" s="73" t="s">
        <v>78</v>
      </c>
      <c r="N382" s="73" t="s">
        <v>79</v>
      </c>
      <c r="O382" s="73" t="s">
        <v>224</v>
      </c>
      <c r="P382" s="73" t="s">
        <v>110</v>
      </c>
      <c r="Q382" s="54" t="str">
        <f>IFERROR(__xludf.DUMMYFUNCTION("""COMPUTED_VALUE"""),"Australia.AnhMuaHe.PTATT_XuBen.5018_MES_HuyNV_240622")</f>
        <v>Australia.AnhMuaHe.PTATT_XuBen.5018_MES_HuyNV_240622</v>
      </c>
      <c r="R382" s="54" t="str">
        <f>IFERROR(__xludf.DUMMYFUNCTION("""COMPUTED_VALUE"""),"NEW_Australia_1834_none_240622")</f>
        <v>NEW_Australia_1834_none_240622</v>
      </c>
      <c r="S382" s="54" t="str">
        <f>IFERROR(__xludf.DUMMYFUNCTION("""COMPUTED_VALUE"""),"saletructiep_Australia.AnhMuaHe.PTATT_PTATT_LD005")</f>
        <v>saletructiep_Australia.AnhMuaHe.PTATT_PTATT_LD005</v>
      </c>
      <c r="T382" s="54"/>
      <c r="U382" s="56"/>
    </row>
    <row r="383">
      <c r="A383" s="66">
        <v>240622.0</v>
      </c>
      <c r="B383" s="54" t="s">
        <v>166</v>
      </c>
      <c r="C383" s="54" t="str">
        <f>IFERROR(__xludf.DUMMYFUNCTION("""COMPUTED_VALUE"""),"LD005")</f>
        <v>LD005</v>
      </c>
      <c r="D383" s="73" t="s">
        <v>42</v>
      </c>
      <c r="E383" s="73" t="s">
        <v>79</v>
      </c>
      <c r="F383" s="55" t="s">
        <v>162</v>
      </c>
      <c r="G383" s="73">
        <v>1834.0</v>
      </c>
      <c r="H383" s="73" t="s">
        <v>75</v>
      </c>
      <c r="I383" s="55" t="s">
        <v>754</v>
      </c>
      <c r="J383" s="55" t="s">
        <v>754</v>
      </c>
      <c r="K383" s="73" t="s">
        <v>61</v>
      </c>
      <c r="L383" s="73" t="s">
        <v>317</v>
      </c>
      <c r="M383" s="73" t="s">
        <v>78</v>
      </c>
      <c r="N383" s="73" t="s">
        <v>79</v>
      </c>
      <c r="O383" s="73" t="s">
        <v>224</v>
      </c>
      <c r="P383" s="73" t="s">
        <v>110</v>
      </c>
      <c r="Q383" s="54" t="str">
        <f>IFERROR(__xludf.DUMMYFUNCTION("""COMPUTED_VALUE"""),"Singapore.AnhMuaHe.PTATT_XuBen.5018_MES_HuyNV_240622")</f>
        <v>Singapore.AnhMuaHe.PTATT_XuBen.5018_MES_HuyNV_240622</v>
      </c>
      <c r="R383" s="54" t="str">
        <f>IFERROR(__xludf.DUMMYFUNCTION("""COMPUTED_VALUE"""),"NEW_Singapore_1834_none_240622")</f>
        <v>NEW_Singapore_1834_none_240622</v>
      </c>
      <c r="S383" s="54" t="str">
        <f>IFERROR(__xludf.DUMMYFUNCTION("""COMPUTED_VALUE"""),"saletructiep_Singapore.AnhMuaHe.PTATT_PTATT_LD005")</f>
        <v>saletructiep_Singapore.AnhMuaHe.PTATT_PTATT_LD005</v>
      </c>
      <c r="T383" s="54"/>
      <c r="U383" s="56"/>
    </row>
    <row r="384">
      <c r="A384" s="66">
        <v>240622.0</v>
      </c>
      <c r="B384" s="54" t="s">
        <v>166</v>
      </c>
      <c r="C384" s="54" t="str">
        <f>IFERROR(__xludf.DUMMYFUNCTION("""COMPUTED_VALUE"""),"LD005")</f>
        <v>LD005</v>
      </c>
      <c r="D384" s="73" t="s">
        <v>42</v>
      </c>
      <c r="E384" s="73" t="s">
        <v>79</v>
      </c>
      <c r="F384" s="55" t="s">
        <v>174</v>
      </c>
      <c r="G384" s="73">
        <v>1834.0</v>
      </c>
      <c r="H384" s="73" t="s">
        <v>75</v>
      </c>
      <c r="I384" s="55" t="s">
        <v>755</v>
      </c>
      <c r="J384" s="55" t="s">
        <v>755</v>
      </c>
      <c r="K384" s="73" t="s">
        <v>61</v>
      </c>
      <c r="L384" s="73" t="s">
        <v>317</v>
      </c>
      <c r="M384" s="73" t="s">
        <v>78</v>
      </c>
      <c r="N384" s="73" t="s">
        <v>79</v>
      </c>
      <c r="O384" s="73" t="s">
        <v>224</v>
      </c>
      <c r="P384" s="73" t="s">
        <v>110</v>
      </c>
      <c r="Q384" s="54" t="str">
        <f>IFERROR(__xludf.DUMMYFUNCTION("""COMPUTED_VALUE"""),"Philippines.AnhMuaHe.PTATT_XuBen.5018_MES_HuyNV_240622")</f>
        <v>Philippines.AnhMuaHe.PTATT_XuBen.5018_MES_HuyNV_240622</v>
      </c>
      <c r="R384" s="54" t="str">
        <f>IFERROR(__xludf.DUMMYFUNCTION("""COMPUTED_VALUE"""),"NEW_Philippines_1834_none_240622")</f>
        <v>NEW_Philippines_1834_none_240622</v>
      </c>
      <c r="S384" s="54" t="str">
        <f>IFERROR(__xludf.DUMMYFUNCTION("""COMPUTED_VALUE"""),"saletructiep_Philippines.AnhMuaHe.PTATT_PTATT_LD005")</f>
        <v>saletructiep_Philippines.AnhMuaHe.PTATT_PTATT_LD005</v>
      </c>
      <c r="T384" s="54"/>
      <c r="U384" s="56"/>
    </row>
    <row r="385">
      <c r="A385" s="66">
        <v>240622.0</v>
      </c>
      <c r="B385" s="54" t="s">
        <v>166</v>
      </c>
      <c r="C385" s="54" t="str">
        <f>IFERROR(__xludf.DUMMYFUNCTION("""COMPUTED_VALUE"""),"LD005")</f>
        <v>LD005</v>
      </c>
      <c r="D385" s="73" t="s">
        <v>42</v>
      </c>
      <c r="E385" s="73" t="s">
        <v>79</v>
      </c>
      <c r="F385" s="55" t="s">
        <v>182</v>
      </c>
      <c r="G385" s="73">
        <v>1834.0</v>
      </c>
      <c r="H385" s="73" t="s">
        <v>75</v>
      </c>
      <c r="I385" s="55" t="s">
        <v>756</v>
      </c>
      <c r="J385" s="55" t="s">
        <v>756</v>
      </c>
      <c r="K385" s="73" t="s">
        <v>61</v>
      </c>
      <c r="L385" s="73" t="s">
        <v>317</v>
      </c>
      <c r="M385" s="73" t="s">
        <v>78</v>
      </c>
      <c r="N385" s="73" t="s">
        <v>79</v>
      </c>
      <c r="O385" s="73" t="s">
        <v>224</v>
      </c>
      <c r="P385" s="73" t="s">
        <v>110</v>
      </c>
      <c r="Q385" s="54" t="str">
        <f>IFERROR(__xludf.DUMMYFUNCTION("""COMPUTED_VALUE"""),"Malaysia.AnhMuaHe.PTATT_XuBen.5018_MES_HuyNV_240622")</f>
        <v>Malaysia.AnhMuaHe.PTATT_XuBen.5018_MES_HuyNV_240622</v>
      </c>
      <c r="R385" s="54" t="str">
        <f>IFERROR(__xludf.DUMMYFUNCTION("""COMPUTED_VALUE"""),"NEW_Malaysia_1834_none_240622")</f>
        <v>NEW_Malaysia_1834_none_240622</v>
      </c>
      <c r="S385" s="54" t="str">
        <f>IFERROR(__xludf.DUMMYFUNCTION("""COMPUTED_VALUE"""),"saletructiep_Malaysia.AnhMuaHe.PTATT_PTATT_LD005")</f>
        <v>saletructiep_Malaysia.AnhMuaHe.PTATT_PTATT_LD005</v>
      </c>
      <c r="T385" s="54"/>
      <c r="U385" s="56"/>
    </row>
    <row r="386">
      <c r="A386" s="66">
        <v>240622.0</v>
      </c>
      <c r="B386" s="54" t="s">
        <v>166</v>
      </c>
      <c r="C386" s="54" t="str">
        <f>IFERROR(__xludf.DUMMYFUNCTION("""COMPUTED_VALUE"""),"LD005")</f>
        <v>LD005</v>
      </c>
      <c r="D386" s="73" t="s">
        <v>42</v>
      </c>
      <c r="E386" s="73" t="s">
        <v>79</v>
      </c>
      <c r="F386" s="55" t="s">
        <v>164</v>
      </c>
      <c r="G386" s="73">
        <v>1834.0</v>
      </c>
      <c r="H386" s="73" t="s">
        <v>75</v>
      </c>
      <c r="I386" s="55" t="s">
        <v>757</v>
      </c>
      <c r="J386" s="55" t="s">
        <v>757</v>
      </c>
      <c r="K386" s="73" t="s">
        <v>61</v>
      </c>
      <c r="L386" s="73" t="s">
        <v>317</v>
      </c>
      <c r="M386" s="73" t="s">
        <v>78</v>
      </c>
      <c r="N386" s="73" t="s">
        <v>79</v>
      </c>
      <c r="O386" s="73" t="s">
        <v>224</v>
      </c>
      <c r="P386" s="73" t="s">
        <v>110</v>
      </c>
      <c r="Q386" s="54" t="str">
        <f>IFERROR(__xludf.DUMMYFUNCTION("""COMPUTED_VALUE"""),"Taiwan.AnhMuaHe.PTATT_XuBen.5018_MES_HuyNV_240622")</f>
        <v>Taiwan.AnhMuaHe.PTATT_XuBen.5018_MES_HuyNV_240622</v>
      </c>
      <c r="R386" s="54" t="str">
        <f>IFERROR(__xludf.DUMMYFUNCTION("""COMPUTED_VALUE"""),"NEW_Taiwan_1834_none_240622")</f>
        <v>NEW_Taiwan_1834_none_240622</v>
      </c>
      <c r="S386" s="54" t="str">
        <f>IFERROR(__xludf.DUMMYFUNCTION("""COMPUTED_VALUE"""),"saletructiep_Taiwan.AnhMuaHe.PTATT_PTATT_LD005")</f>
        <v>saletructiep_Taiwan.AnhMuaHe.PTATT_PTATT_LD005</v>
      </c>
      <c r="T386" s="54"/>
      <c r="U386" s="56"/>
    </row>
    <row r="387">
      <c r="A387" s="66">
        <v>240622.0</v>
      </c>
      <c r="B387" s="54" t="s">
        <v>166</v>
      </c>
      <c r="C387" s="54" t="str">
        <f>IFERROR(__xludf.DUMMYFUNCTION("""COMPUTED_VALUE"""),"LD005")</f>
        <v>LD005</v>
      </c>
      <c r="D387" s="73" t="s">
        <v>42</v>
      </c>
      <c r="E387" s="73" t="s">
        <v>79</v>
      </c>
      <c r="F387" s="55" t="s">
        <v>625</v>
      </c>
      <c r="G387" s="73">
        <v>1834.0</v>
      </c>
      <c r="H387" s="73" t="s">
        <v>75</v>
      </c>
      <c r="I387" s="55" t="s">
        <v>758</v>
      </c>
      <c r="J387" s="55" t="s">
        <v>758</v>
      </c>
      <c r="K387" s="73" t="s">
        <v>61</v>
      </c>
      <c r="L387" s="73" t="s">
        <v>317</v>
      </c>
      <c r="M387" s="73" t="s">
        <v>78</v>
      </c>
      <c r="N387" s="73" t="s">
        <v>79</v>
      </c>
      <c r="O387" s="73" t="s">
        <v>224</v>
      </c>
      <c r="P387" s="73" t="s">
        <v>110</v>
      </c>
      <c r="Q387" s="54" t="str">
        <f>IFERROR(__xludf.DUMMYFUNCTION("""COMPUTED_VALUE"""),"KoreaSouth.AnhMuaHe.PTATT_XuBen.5018_MES_HuyNV_240622")</f>
        <v>KoreaSouth.AnhMuaHe.PTATT_XuBen.5018_MES_HuyNV_240622</v>
      </c>
      <c r="R387" s="54" t="str">
        <f>IFERROR(__xludf.DUMMYFUNCTION("""COMPUTED_VALUE"""),"NEW_KoreaSouth_1834_none_240622")</f>
        <v>NEW_KoreaSouth_1834_none_240622</v>
      </c>
      <c r="S387" s="54" t="str">
        <f>IFERROR(__xludf.DUMMYFUNCTION("""COMPUTED_VALUE"""),"saletructiep_KoreaSouth.AnhMuaHe.PTATT_PTATT_LD005")</f>
        <v>saletructiep_KoreaSouth.AnhMuaHe.PTATT_PTATT_LD005</v>
      </c>
      <c r="T387" s="54"/>
      <c r="U387" s="56"/>
    </row>
    <row r="388">
      <c r="A388" s="64" t="s">
        <v>759</v>
      </c>
      <c r="B388" s="54" t="s">
        <v>166</v>
      </c>
      <c r="C388" s="54" t="str">
        <f>IFERROR(__xludf.DUMMYFUNCTION("""COMPUTED_VALUE"""),"LD005")</f>
        <v>LD005</v>
      </c>
      <c r="D388" s="73" t="s">
        <v>42</v>
      </c>
      <c r="E388" s="73" t="s">
        <v>79</v>
      </c>
      <c r="F388" s="55" t="s">
        <v>107</v>
      </c>
      <c r="G388" s="73">
        <v>1834.0</v>
      </c>
      <c r="H388" s="73" t="s">
        <v>75</v>
      </c>
      <c r="I388" s="55" t="s">
        <v>760</v>
      </c>
      <c r="J388" s="55" t="s">
        <v>760</v>
      </c>
      <c r="K388" s="73" t="s">
        <v>61</v>
      </c>
      <c r="L388" s="73" t="s">
        <v>317</v>
      </c>
      <c r="M388" s="73" t="s">
        <v>78</v>
      </c>
      <c r="N388" s="73" t="s">
        <v>79</v>
      </c>
      <c r="O388" s="73" t="s">
        <v>224</v>
      </c>
      <c r="P388" s="73" t="s">
        <v>110</v>
      </c>
      <c r="Q388" s="54" t="str">
        <f>IFERROR(__xludf.DUMMYFUNCTION("""COMPUTED_VALUE"""),"UnitedStates.4Anh.PTATT_XuBen.5018_MES_HuyNV_010722")</f>
        <v>UnitedStates.4Anh.PTATT_XuBen.5018_MES_HuyNV_010722</v>
      </c>
      <c r="R388" s="54" t="str">
        <f>IFERROR(__xludf.DUMMYFUNCTION("""COMPUTED_VALUE"""),"NEW_UnitedStates_1834_none_010722")</f>
        <v>NEW_UnitedStates_1834_none_010722</v>
      </c>
      <c r="S388" s="54" t="str">
        <f>IFERROR(__xludf.DUMMYFUNCTION("""COMPUTED_VALUE"""),"saletructiep_UnitedStates.4Anh.PTATT_PTATT_LD005")</f>
        <v>saletructiep_UnitedStates.4Anh.PTATT_PTATT_LD005</v>
      </c>
      <c r="T388" s="54"/>
      <c r="U388" s="56"/>
    </row>
    <row r="389">
      <c r="A389" s="64" t="s">
        <v>759</v>
      </c>
      <c r="B389" s="54" t="s">
        <v>166</v>
      </c>
      <c r="C389" s="54" t="str">
        <f>IFERROR(__xludf.DUMMYFUNCTION("""COMPUTED_VALUE"""),"LD005")</f>
        <v>LD005</v>
      </c>
      <c r="D389" s="73" t="s">
        <v>42</v>
      </c>
      <c r="E389" s="55" t="s">
        <v>69</v>
      </c>
      <c r="F389" s="55" t="s">
        <v>133</v>
      </c>
      <c r="G389" s="73">
        <v>1834.0</v>
      </c>
      <c r="H389" s="73" t="s">
        <v>75</v>
      </c>
      <c r="I389" s="55" t="s">
        <v>761</v>
      </c>
      <c r="J389" s="55" t="s">
        <v>761</v>
      </c>
      <c r="K389" s="73" t="s">
        <v>61</v>
      </c>
      <c r="L389" s="73" t="s">
        <v>317</v>
      </c>
      <c r="M389" s="73" t="s">
        <v>78</v>
      </c>
      <c r="N389" s="55" t="s">
        <v>69</v>
      </c>
      <c r="O389" s="73" t="s">
        <v>224</v>
      </c>
      <c r="P389" s="73" t="s">
        <v>110</v>
      </c>
      <c r="Q389" s="54" t="str">
        <f>IFERROR(__xludf.DUMMYFUNCTION("""COMPUTED_VALUE"""),"Japan.4Anh.PTATT_XuBen.5018_CVS_HuyNV_010722")</f>
        <v>Japan.4Anh.PTATT_XuBen.5018_CVS_HuyNV_010722</v>
      </c>
      <c r="R389" s="54" t="str">
        <f>IFERROR(__xludf.DUMMYFUNCTION("""COMPUTED_VALUE"""),"NEW_Japan_1834_none_010722")</f>
        <v>NEW_Japan_1834_none_010722</v>
      </c>
      <c r="S389" s="54" t="str">
        <f>IFERROR(__xludf.DUMMYFUNCTION("""COMPUTED_VALUE"""),"saletructiep_Japan.4Anh.PTATT_PTATT_LD005")</f>
        <v>saletructiep_Japan.4Anh.PTATT_PTATT_LD005</v>
      </c>
      <c r="T389" s="54"/>
      <c r="U389" s="56"/>
    </row>
    <row r="390">
      <c r="A390" s="64" t="s">
        <v>759</v>
      </c>
      <c r="B390" s="54" t="s">
        <v>166</v>
      </c>
      <c r="C390" s="54" t="str">
        <f>IFERROR(__xludf.DUMMYFUNCTION("""COMPUTED_VALUE"""),"LD005")</f>
        <v>LD005</v>
      </c>
      <c r="D390" s="73" t="s">
        <v>42</v>
      </c>
      <c r="E390" s="55" t="s">
        <v>69</v>
      </c>
      <c r="F390" s="55" t="s">
        <v>625</v>
      </c>
      <c r="G390" s="73">
        <v>1834.0</v>
      </c>
      <c r="H390" s="73" t="s">
        <v>75</v>
      </c>
      <c r="I390" s="55" t="s">
        <v>762</v>
      </c>
      <c r="J390" s="55" t="s">
        <v>762</v>
      </c>
      <c r="K390" s="73" t="s">
        <v>61</v>
      </c>
      <c r="L390" s="73" t="s">
        <v>317</v>
      </c>
      <c r="M390" s="73" t="s">
        <v>78</v>
      </c>
      <c r="N390" s="73" t="s">
        <v>79</v>
      </c>
      <c r="O390" s="73" t="s">
        <v>224</v>
      </c>
      <c r="P390" s="73" t="s">
        <v>110</v>
      </c>
      <c r="Q390" s="54" t="str">
        <f>IFERROR(__xludf.DUMMYFUNCTION("""COMPUTED_VALUE"""),"KoreaSouth.4Anh.PTATT_XuBen.5018_MES_HuyNV_010722")</f>
        <v>KoreaSouth.4Anh.PTATT_XuBen.5018_MES_HuyNV_010722</v>
      </c>
      <c r="R390" s="54" t="str">
        <f>IFERROR(__xludf.DUMMYFUNCTION("""COMPUTED_VALUE"""),"NEW_KoreaSouth_1834_none_010722")</f>
        <v>NEW_KoreaSouth_1834_none_010722</v>
      </c>
      <c r="S390" s="54" t="str">
        <f>IFERROR(__xludf.DUMMYFUNCTION("""COMPUTED_VALUE"""),"saletructiep_KoreaSouth.4Anh.PTATT_PTATT_LD005")</f>
        <v>saletructiep_KoreaSouth.4Anh.PTATT_PTATT_LD005</v>
      </c>
      <c r="T390" s="54"/>
      <c r="U390" s="56"/>
    </row>
    <row r="391">
      <c r="A391" s="64" t="s">
        <v>763</v>
      </c>
      <c r="B391" s="54" t="s">
        <v>166</v>
      </c>
      <c r="C391" s="54" t="str">
        <f>IFERROR(__xludf.DUMMYFUNCTION("""COMPUTED_VALUE"""),"LD005")</f>
        <v>LD005</v>
      </c>
      <c r="D391" s="73" t="s">
        <v>42</v>
      </c>
      <c r="E391" s="55" t="s">
        <v>79</v>
      </c>
      <c r="F391" s="55" t="s">
        <v>107</v>
      </c>
      <c r="G391" s="73">
        <v>1834.0</v>
      </c>
      <c r="H391" s="73" t="s">
        <v>75</v>
      </c>
      <c r="I391" s="55" t="s">
        <v>764</v>
      </c>
      <c r="J391" s="55" t="s">
        <v>764</v>
      </c>
      <c r="K391" s="73" t="s">
        <v>61</v>
      </c>
      <c r="L391" s="73" t="s">
        <v>317</v>
      </c>
      <c r="M391" s="73" t="s">
        <v>78</v>
      </c>
      <c r="N391" s="73" t="s">
        <v>79</v>
      </c>
      <c r="O391" s="73" t="s">
        <v>224</v>
      </c>
      <c r="P391" s="73" t="s">
        <v>110</v>
      </c>
      <c r="Q391" s="54" t="str">
        <f>IFERROR(__xludf.DUMMYFUNCTION("""COMPUTED_VALUE"""),"UnitedStates.1AnhXanh.PTATT_XuBen.5018_MES_HuyNV_040722")</f>
        <v>UnitedStates.1AnhXanh.PTATT_XuBen.5018_MES_HuyNV_040722</v>
      </c>
      <c r="R391" s="54" t="str">
        <f>IFERROR(__xludf.DUMMYFUNCTION("""COMPUTED_VALUE"""),"NEW_UnitedStates_1834_none_040722")</f>
        <v>NEW_UnitedStates_1834_none_040722</v>
      </c>
      <c r="S391" s="54" t="str">
        <f>IFERROR(__xludf.DUMMYFUNCTION("""COMPUTED_VALUE"""),"saletructiep_UnitedStates.1AnhXanh.PTATT_PTATT_LD005")</f>
        <v>saletructiep_UnitedStates.1AnhXanh.PTATT_PTATT_LD005</v>
      </c>
      <c r="T391" s="54"/>
      <c r="U391" s="56"/>
    </row>
    <row r="392">
      <c r="A392" s="64" t="s">
        <v>763</v>
      </c>
      <c r="B392" s="54" t="s">
        <v>166</v>
      </c>
      <c r="C392" s="54" t="str">
        <f>IFERROR(__xludf.DUMMYFUNCTION("""COMPUTED_VALUE"""),"LD005")</f>
        <v>LD005</v>
      </c>
      <c r="D392" s="73" t="s">
        <v>42</v>
      </c>
      <c r="E392" s="55" t="s">
        <v>79</v>
      </c>
      <c r="F392" s="55" t="s">
        <v>625</v>
      </c>
      <c r="G392" s="73">
        <v>1834.0</v>
      </c>
      <c r="H392" s="73" t="s">
        <v>75</v>
      </c>
      <c r="I392" s="55" t="s">
        <v>765</v>
      </c>
      <c r="J392" s="55" t="s">
        <v>765</v>
      </c>
      <c r="K392" s="73" t="s">
        <v>61</v>
      </c>
      <c r="L392" s="73" t="s">
        <v>317</v>
      </c>
      <c r="M392" s="73" t="s">
        <v>78</v>
      </c>
      <c r="N392" s="73" t="s">
        <v>79</v>
      </c>
      <c r="O392" s="73" t="s">
        <v>224</v>
      </c>
      <c r="P392" s="73" t="s">
        <v>110</v>
      </c>
      <c r="Q392" s="54" t="str">
        <f>IFERROR(__xludf.DUMMYFUNCTION("""COMPUTED_VALUE"""),"KoreaSouth.1AnhXanh.PTATT_XuBen.5018_MES_HuyNV_040722")</f>
        <v>KoreaSouth.1AnhXanh.PTATT_XuBen.5018_MES_HuyNV_040722</v>
      </c>
      <c r="R392" s="54" t="str">
        <f>IFERROR(__xludf.DUMMYFUNCTION("""COMPUTED_VALUE"""),"NEW_KoreaSouth_1834_none_040722")</f>
        <v>NEW_KoreaSouth_1834_none_040722</v>
      </c>
      <c r="S392" s="54" t="str">
        <f>IFERROR(__xludf.DUMMYFUNCTION("""COMPUTED_VALUE"""),"saletructiep_KoreaSouth.1AnhXanh.PTATT_PTATT_LD005")</f>
        <v>saletructiep_KoreaSouth.1AnhXanh.PTATT_PTATT_LD005</v>
      </c>
      <c r="T392" s="54"/>
      <c r="U392" s="56"/>
    </row>
    <row r="393">
      <c r="A393" s="64" t="s">
        <v>763</v>
      </c>
      <c r="B393" s="54" t="s">
        <v>166</v>
      </c>
      <c r="C393" s="54" t="str">
        <f>IFERROR(__xludf.DUMMYFUNCTION("""COMPUTED_VALUE"""),"LD005")</f>
        <v>LD005</v>
      </c>
      <c r="D393" s="73" t="s">
        <v>42</v>
      </c>
      <c r="E393" s="73" t="s">
        <v>79</v>
      </c>
      <c r="F393" s="55" t="s">
        <v>129</v>
      </c>
      <c r="G393" s="73">
        <v>1834.0</v>
      </c>
      <c r="H393" s="73" t="s">
        <v>75</v>
      </c>
      <c r="I393" s="55" t="s">
        <v>766</v>
      </c>
      <c r="J393" s="55" t="s">
        <v>766</v>
      </c>
      <c r="K393" s="73" t="s">
        <v>61</v>
      </c>
      <c r="L393" s="73" t="s">
        <v>317</v>
      </c>
      <c r="M393" s="73" t="s">
        <v>78</v>
      </c>
      <c r="N393" s="73" t="s">
        <v>79</v>
      </c>
      <c r="O393" s="73" t="s">
        <v>224</v>
      </c>
      <c r="P393" s="73" t="s">
        <v>110</v>
      </c>
      <c r="Q393" s="54" t="str">
        <f>IFERROR(__xludf.DUMMYFUNCTION("""COMPUTED_VALUE"""),"Australia.1AnhXanh.PTATT_XuBen.5018_MES_HuyNV_040722")</f>
        <v>Australia.1AnhXanh.PTATT_XuBen.5018_MES_HuyNV_040722</v>
      </c>
      <c r="R393" s="54" t="str">
        <f>IFERROR(__xludf.DUMMYFUNCTION("""COMPUTED_VALUE"""),"NEW_Australia_1834_none_040722")</f>
        <v>NEW_Australia_1834_none_040722</v>
      </c>
      <c r="S393" s="54" t="str">
        <f>IFERROR(__xludf.DUMMYFUNCTION("""COMPUTED_VALUE"""),"saletructiep_Australia.1AnhXanh.PTATT_PTATT_LD005")</f>
        <v>saletructiep_Australia.1AnhXanh.PTATT_PTATT_LD005</v>
      </c>
      <c r="T393" s="54"/>
      <c r="U393" s="56"/>
    </row>
    <row r="394">
      <c r="A394" s="64" t="s">
        <v>763</v>
      </c>
      <c r="B394" s="54" t="s">
        <v>166</v>
      </c>
      <c r="C394" s="54" t="str">
        <f>IFERROR(__xludf.DUMMYFUNCTION("""COMPUTED_VALUE"""),"LD005")</f>
        <v>LD005</v>
      </c>
      <c r="D394" s="73" t="s">
        <v>42</v>
      </c>
      <c r="E394" s="55" t="s">
        <v>125</v>
      </c>
      <c r="F394" s="55" t="s">
        <v>164</v>
      </c>
      <c r="G394" s="73">
        <v>1834.0</v>
      </c>
      <c r="H394" s="73" t="s">
        <v>75</v>
      </c>
      <c r="I394" s="55" t="s">
        <v>767</v>
      </c>
      <c r="J394" s="55" t="s">
        <v>767</v>
      </c>
      <c r="K394" s="73" t="s">
        <v>61</v>
      </c>
      <c r="L394" s="73" t="s">
        <v>317</v>
      </c>
      <c r="M394" s="73" t="s">
        <v>78</v>
      </c>
      <c r="N394" s="73" t="s">
        <v>79</v>
      </c>
      <c r="O394" s="73" t="s">
        <v>224</v>
      </c>
      <c r="P394" s="73" t="s">
        <v>110</v>
      </c>
      <c r="Q394" s="54" t="str">
        <f>IFERROR(__xludf.DUMMYFUNCTION("""COMPUTED_VALUE"""),"Taiwan.1AnhXanh.PTATT_XuBen.5018_MES_HuyNV_040722")</f>
        <v>Taiwan.1AnhXanh.PTATT_XuBen.5018_MES_HuyNV_040722</v>
      </c>
      <c r="R394" s="54" t="str">
        <f>IFERROR(__xludf.DUMMYFUNCTION("""COMPUTED_VALUE"""),"NEW_Taiwan_1834_none_040722")</f>
        <v>NEW_Taiwan_1834_none_040722</v>
      </c>
      <c r="S394" s="54" t="str">
        <f>IFERROR(__xludf.DUMMYFUNCTION("""COMPUTED_VALUE"""),"saletructiep_Taiwan.1AnhXanh.PTATT_PTATT_LD005")</f>
        <v>saletructiep_Taiwan.1AnhXanh.PTATT_PTATT_LD005</v>
      </c>
      <c r="T394" s="54"/>
      <c r="U394" s="56"/>
    </row>
    <row r="395">
      <c r="A395" s="82" t="s">
        <v>768</v>
      </c>
      <c r="B395" s="75" t="s">
        <v>769</v>
      </c>
      <c r="C395" s="54" t="str">
        <f>IFERROR(__xludf.DUMMYFUNCTION("""COMPUTED_VALUE"""),"LD114")</f>
        <v>LD114</v>
      </c>
      <c r="D395" s="73" t="s">
        <v>42</v>
      </c>
      <c r="E395" s="55" t="s">
        <v>69</v>
      </c>
      <c r="F395" s="55" t="s">
        <v>199</v>
      </c>
      <c r="G395" s="73">
        <v>1834.0</v>
      </c>
      <c r="H395" s="73" t="s">
        <v>75</v>
      </c>
      <c r="I395" s="55" t="s">
        <v>677</v>
      </c>
      <c r="J395" s="55" t="s">
        <v>677</v>
      </c>
      <c r="K395" s="73" t="s">
        <v>61</v>
      </c>
      <c r="L395" s="73" t="s">
        <v>317</v>
      </c>
      <c r="M395" s="73" t="s">
        <v>78</v>
      </c>
      <c r="N395" s="73" t="s">
        <v>79</v>
      </c>
      <c r="O395" s="73" t="s">
        <v>224</v>
      </c>
      <c r="P395" s="73" t="s">
        <v>110</v>
      </c>
      <c r="Q395" s="54" t="str">
        <f>IFERROR(__xludf.DUMMYFUNCTION("""COMPUTED_VALUE"""),"Vietnam.VideoH4TrungTam.PTATT_XuBen.5018_MES_HuyNV_050722")</f>
        <v>Vietnam.VideoH4TrungTam.PTATT_XuBen.5018_MES_HuyNV_050722</v>
      </c>
      <c r="R395" s="54" t="str">
        <f>IFERROR(__xludf.DUMMYFUNCTION("""COMPUTED_VALUE"""),"NEW_Vietnam_1834_none_050722")</f>
        <v>NEW_Vietnam_1834_none_050722</v>
      </c>
      <c r="S395" s="54" t="str">
        <f>IFERROR(__xludf.DUMMYFUNCTION("""COMPUTED_VALUE"""),"saletructiep_Vietnam.VideoH4TrungTam.PTATT_PTATT_LD114")</f>
        <v>saletructiep_Vietnam.VideoH4TrungTam.PTATT_PTATT_LD114</v>
      </c>
      <c r="T395" s="54"/>
      <c r="U395" s="56"/>
    </row>
    <row r="396">
      <c r="A396" s="82" t="s">
        <v>770</v>
      </c>
      <c r="B396" s="61" t="s">
        <v>712</v>
      </c>
      <c r="C396" s="54" t="str">
        <f>IFERROR(__xludf.DUMMYFUNCTION("""COMPUTED_VALUE"""),"LD109")</f>
        <v>LD109</v>
      </c>
      <c r="D396" s="73" t="s">
        <v>42</v>
      </c>
      <c r="E396" s="55" t="s">
        <v>79</v>
      </c>
      <c r="F396" s="55" t="s">
        <v>107</v>
      </c>
      <c r="G396" s="73">
        <v>1834.0</v>
      </c>
      <c r="H396" s="73" t="s">
        <v>75</v>
      </c>
      <c r="I396" s="55" t="s">
        <v>771</v>
      </c>
      <c r="J396" s="55" t="s">
        <v>771</v>
      </c>
      <c r="K396" s="73" t="s">
        <v>61</v>
      </c>
      <c r="L396" s="73" t="s">
        <v>317</v>
      </c>
      <c r="M396" s="73" t="s">
        <v>78</v>
      </c>
      <c r="N396" s="73" t="s">
        <v>79</v>
      </c>
      <c r="O396" s="73" t="s">
        <v>224</v>
      </c>
      <c r="P396" s="73" t="s">
        <v>110</v>
      </c>
      <c r="Q396" s="54" t="str">
        <f>IFERROR(__xludf.DUMMYFUNCTION("""COMPUTED_VALUE"""),"UnitedStates.AnhThongBao.TATTTD_XuBen.5018_MES_HuyNV_060722")</f>
        <v>UnitedStates.AnhThongBao.TATTTD_XuBen.5018_MES_HuyNV_060722</v>
      </c>
      <c r="R396" s="54" t="str">
        <f>IFERROR(__xludf.DUMMYFUNCTION("""COMPUTED_VALUE"""),"NEW_UnitedStates_1834_none_060722")</f>
        <v>NEW_UnitedStates_1834_none_060722</v>
      </c>
      <c r="S396" s="54" t="str">
        <f>IFERROR(__xludf.DUMMYFUNCTION("""COMPUTED_VALUE"""),"saletructiep_UnitedStates.AnhThongBao.TATTTD_PTATT_LD109")</f>
        <v>saletructiep_UnitedStates.AnhThongBao.TATTTD_PTATT_LD109</v>
      </c>
      <c r="T396" s="54"/>
      <c r="U396" s="56"/>
    </row>
    <row r="397">
      <c r="A397" s="82" t="s">
        <v>770</v>
      </c>
      <c r="B397" s="61" t="s">
        <v>772</v>
      </c>
      <c r="C397" s="54" t="str">
        <f>IFERROR(__xludf.DUMMYFUNCTION("""COMPUTED_VALUE"""),"LD115")</f>
        <v>LD115</v>
      </c>
      <c r="D397" s="73" t="s">
        <v>42</v>
      </c>
      <c r="E397" s="55" t="s">
        <v>69</v>
      </c>
      <c r="F397" s="55" t="s">
        <v>133</v>
      </c>
      <c r="G397" s="73">
        <v>1834.0</v>
      </c>
      <c r="H397" s="73" t="s">
        <v>75</v>
      </c>
      <c r="I397" s="55" t="s">
        <v>773</v>
      </c>
      <c r="J397" s="55" t="s">
        <v>773</v>
      </c>
      <c r="K397" s="73" t="s">
        <v>61</v>
      </c>
      <c r="L397" s="73" t="s">
        <v>317</v>
      </c>
      <c r="M397" s="73" t="s">
        <v>78</v>
      </c>
      <c r="N397" s="73" t="s">
        <v>79</v>
      </c>
      <c r="O397" s="73" t="s">
        <v>224</v>
      </c>
      <c r="P397" s="73" t="s">
        <v>110</v>
      </c>
      <c r="Q397" s="54" t="str">
        <f>IFERROR(__xludf.DUMMYFUNCTION("""COMPUTED_VALUE"""),"Japan.AnhThongBao.TATTTD_XuBen.5018_MES_HuyNV_060722")</f>
        <v>Japan.AnhThongBao.TATTTD_XuBen.5018_MES_HuyNV_060722</v>
      </c>
      <c r="R397" s="54" t="str">
        <f>IFERROR(__xludf.DUMMYFUNCTION("""COMPUTED_VALUE"""),"NEW_Japan_1834_none_060722")</f>
        <v>NEW_Japan_1834_none_060722</v>
      </c>
      <c r="S397" s="54" t="str">
        <f>IFERROR(__xludf.DUMMYFUNCTION("""COMPUTED_VALUE"""),"saletructiep_Japan.AnhThongBao.TATTTD_PTATT_LD115")</f>
        <v>saletructiep_Japan.AnhThongBao.TATTTD_PTATT_LD115</v>
      </c>
      <c r="T397" s="54"/>
      <c r="U397" s="56"/>
    </row>
    <row r="398">
      <c r="A398" s="82" t="s">
        <v>770</v>
      </c>
      <c r="B398" s="54" t="s">
        <v>166</v>
      </c>
      <c r="C398" s="54" t="str">
        <f>IFERROR(__xludf.DUMMYFUNCTION("""COMPUTED_VALUE"""),"LD005")</f>
        <v>LD005</v>
      </c>
      <c r="D398" s="73" t="s">
        <v>42</v>
      </c>
      <c r="E398" s="55" t="s">
        <v>79</v>
      </c>
      <c r="F398" s="55" t="s">
        <v>625</v>
      </c>
      <c r="G398" s="73">
        <v>1834.0</v>
      </c>
      <c r="H398" s="73" t="s">
        <v>75</v>
      </c>
      <c r="I398" s="55" t="s">
        <v>774</v>
      </c>
      <c r="J398" s="55" t="s">
        <v>774</v>
      </c>
      <c r="K398" s="73" t="s">
        <v>61</v>
      </c>
      <c r="L398" s="73" t="s">
        <v>317</v>
      </c>
      <c r="M398" s="73" t="s">
        <v>78</v>
      </c>
      <c r="N398" s="73" t="s">
        <v>79</v>
      </c>
      <c r="O398" s="73" t="s">
        <v>224</v>
      </c>
      <c r="P398" s="73" t="s">
        <v>110</v>
      </c>
      <c r="Q398" s="54" t="str">
        <f>IFERROR(__xludf.DUMMYFUNCTION("""COMPUTED_VALUE"""),"KoreaSouth.AnhThongBao.TATTTD_XuBen.5018_MES_HuyNV_060722")</f>
        <v>KoreaSouth.AnhThongBao.TATTTD_XuBen.5018_MES_HuyNV_060722</v>
      </c>
      <c r="R398" s="54" t="str">
        <f>IFERROR(__xludf.DUMMYFUNCTION("""COMPUTED_VALUE"""),"NEW_KoreaSouth_1834_none_060722")</f>
        <v>NEW_KoreaSouth_1834_none_060722</v>
      </c>
      <c r="S398" s="54" t="str">
        <f>IFERROR(__xludf.DUMMYFUNCTION("""COMPUTED_VALUE"""),"saletructiep_KoreaSouth.AnhThongBao.TATTTD_PTATT_LD005")</f>
        <v>saletructiep_KoreaSouth.AnhThongBao.TATTTD_PTATT_LD005</v>
      </c>
      <c r="T398" s="54"/>
      <c r="U398" s="56"/>
    </row>
    <row r="399">
      <c r="A399" s="82" t="s">
        <v>770</v>
      </c>
      <c r="B399" s="54" t="s">
        <v>166</v>
      </c>
      <c r="C399" s="54" t="str">
        <f>IFERROR(__xludf.DUMMYFUNCTION("""COMPUTED_VALUE"""),"LD005")</f>
        <v>LD005</v>
      </c>
      <c r="D399" s="73" t="s">
        <v>42</v>
      </c>
      <c r="E399" s="55" t="s">
        <v>79</v>
      </c>
      <c r="F399" s="55" t="s">
        <v>129</v>
      </c>
      <c r="G399" s="73">
        <v>1834.0</v>
      </c>
      <c r="H399" s="73" t="s">
        <v>75</v>
      </c>
      <c r="I399" s="55" t="s">
        <v>775</v>
      </c>
      <c r="J399" s="55" t="s">
        <v>775</v>
      </c>
      <c r="K399" s="73" t="s">
        <v>61</v>
      </c>
      <c r="L399" s="73" t="s">
        <v>317</v>
      </c>
      <c r="M399" s="73" t="s">
        <v>78</v>
      </c>
      <c r="N399" s="73" t="s">
        <v>79</v>
      </c>
      <c r="O399" s="73" t="s">
        <v>224</v>
      </c>
      <c r="P399" s="73" t="s">
        <v>110</v>
      </c>
      <c r="Q399" s="54" t="str">
        <f>IFERROR(__xludf.DUMMYFUNCTION("""COMPUTED_VALUE"""),"Australia.AnhThongBao.TATTTD_XuBen.5018_MES_HuyNV_060722")</f>
        <v>Australia.AnhThongBao.TATTTD_XuBen.5018_MES_HuyNV_060722</v>
      </c>
      <c r="R399" s="54" t="str">
        <f>IFERROR(__xludf.DUMMYFUNCTION("""COMPUTED_VALUE"""),"NEW_Australia_1834_none_060722")</f>
        <v>NEW_Australia_1834_none_060722</v>
      </c>
      <c r="S399" s="54" t="str">
        <f>IFERROR(__xludf.DUMMYFUNCTION("""COMPUTED_VALUE"""),"saletructiep_Australia.AnhThongBao.TATTTD_PTATT_LD005")</f>
        <v>saletructiep_Australia.AnhThongBao.TATTTD_PTATT_LD005</v>
      </c>
      <c r="T399" s="54"/>
      <c r="U399" s="56"/>
    </row>
    <row r="400">
      <c r="A400" s="82" t="s">
        <v>770</v>
      </c>
      <c r="B400" s="61" t="s">
        <v>712</v>
      </c>
      <c r="C400" s="54" t="str">
        <f>IFERROR(__xludf.DUMMYFUNCTION("""COMPUTED_VALUE"""),"LD109")</f>
        <v>LD109</v>
      </c>
      <c r="D400" s="73" t="s">
        <v>42</v>
      </c>
      <c r="E400" s="55" t="s">
        <v>69</v>
      </c>
      <c r="F400" s="55" t="s">
        <v>107</v>
      </c>
      <c r="G400" s="73">
        <v>1834.0</v>
      </c>
      <c r="H400" s="73" t="s">
        <v>75</v>
      </c>
      <c r="I400" s="55" t="s">
        <v>648</v>
      </c>
      <c r="J400" s="55" t="s">
        <v>648</v>
      </c>
      <c r="K400" s="73" t="s">
        <v>61</v>
      </c>
      <c r="L400" s="73" t="s">
        <v>317</v>
      </c>
      <c r="M400" s="73" t="s">
        <v>78</v>
      </c>
      <c r="N400" s="55" t="s">
        <v>69</v>
      </c>
      <c r="O400" s="73" t="s">
        <v>224</v>
      </c>
      <c r="P400" s="73" t="s">
        <v>110</v>
      </c>
      <c r="Q400" s="54" t="str">
        <f>IFERROR(__xludf.DUMMYFUNCTION("""COMPUTED_VALUE"""),"UnitedStates.AnhShortThongBao.PTATT_XuBen.5018_CVS_HuyNV_060722")</f>
        <v>UnitedStates.AnhShortThongBao.PTATT_XuBen.5018_CVS_HuyNV_060722</v>
      </c>
      <c r="R400" s="54" t="str">
        <f>IFERROR(__xludf.DUMMYFUNCTION("""COMPUTED_VALUE"""),"NEW_UnitedStates_1834_none_060722")</f>
        <v>NEW_UnitedStates_1834_none_060722</v>
      </c>
      <c r="S400" s="54" t="str">
        <f>IFERROR(__xludf.DUMMYFUNCTION("""COMPUTED_VALUE"""),"saletructiep_UnitedStates.AnhShortThongBao.PTATT_PTATT_LD109")</f>
        <v>saletructiep_UnitedStates.AnhShortThongBao.PTATT_PTATT_LD109</v>
      </c>
      <c r="T400" s="54"/>
      <c r="U400" s="56"/>
    </row>
    <row r="401">
      <c r="A401" s="82" t="s">
        <v>770</v>
      </c>
      <c r="B401" s="61" t="s">
        <v>772</v>
      </c>
      <c r="C401" s="54" t="str">
        <f>IFERROR(__xludf.DUMMYFUNCTION("""COMPUTED_VALUE"""),"LD115")</f>
        <v>LD115</v>
      </c>
      <c r="D401" s="73" t="s">
        <v>42</v>
      </c>
      <c r="E401" s="55" t="s">
        <v>69</v>
      </c>
      <c r="F401" s="55" t="s">
        <v>133</v>
      </c>
      <c r="G401" s="73">
        <v>1834.0</v>
      </c>
      <c r="H401" s="73" t="s">
        <v>75</v>
      </c>
      <c r="I401" s="55" t="s">
        <v>649</v>
      </c>
      <c r="J401" s="55" t="s">
        <v>649</v>
      </c>
      <c r="K401" s="73" t="s">
        <v>61</v>
      </c>
      <c r="L401" s="73" t="s">
        <v>317</v>
      </c>
      <c r="M401" s="73" t="s">
        <v>78</v>
      </c>
      <c r="N401" s="73" t="s">
        <v>69</v>
      </c>
      <c r="O401" s="73" t="s">
        <v>224</v>
      </c>
      <c r="P401" s="73" t="s">
        <v>110</v>
      </c>
      <c r="Q401" s="54" t="str">
        <f>IFERROR(__xludf.DUMMYFUNCTION("""COMPUTED_VALUE"""),"Japan.AnhShortThongBao.PTATT_XuBen.5018_CVS_HuyNV_060722")</f>
        <v>Japan.AnhShortThongBao.PTATT_XuBen.5018_CVS_HuyNV_060722</v>
      </c>
      <c r="R401" s="54" t="str">
        <f>IFERROR(__xludf.DUMMYFUNCTION("""COMPUTED_VALUE"""),"NEW_Japan_1834_none_060722")</f>
        <v>NEW_Japan_1834_none_060722</v>
      </c>
      <c r="S401" s="54" t="str">
        <f>IFERROR(__xludf.DUMMYFUNCTION("""COMPUTED_VALUE"""),"saletructiep_Japan.AnhShortThongBao.PTATT_PTATT_LD115")</f>
        <v>saletructiep_Japan.AnhShortThongBao.PTATT_PTATT_LD115</v>
      </c>
      <c r="T401" s="54"/>
      <c r="U401" s="56"/>
    </row>
    <row r="402">
      <c r="A402" s="82" t="s">
        <v>770</v>
      </c>
      <c r="B402" s="61" t="s">
        <v>776</v>
      </c>
      <c r="C402" s="54" t="str">
        <f>IFERROR(__xludf.DUMMYFUNCTION("""COMPUTED_VALUE"""),"LD117")</f>
        <v>LD117</v>
      </c>
      <c r="D402" s="73" t="s">
        <v>42</v>
      </c>
      <c r="E402" s="55" t="s">
        <v>69</v>
      </c>
      <c r="F402" s="55" t="s">
        <v>625</v>
      </c>
      <c r="G402" s="73">
        <v>1834.0</v>
      </c>
      <c r="H402" s="73" t="s">
        <v>75</v>
      </c>
      <c r="I402" s="55" t="s">
        <v>650</v>
      </c>
      <c r="J402" s="55" t="s">
        <v>650</v>
      </c>
      <c r="K402" s="73" t="s">
        <v>61</v>
      </c>
      <c r="L402" s="73" t="s">
        <v>317</v>
      </c>
      <c r="M402" s="73" t="s">
        <v>78</v>
      </c>
      <c r="N402" s="73" t="s">
        <v>69</v>
      </c>
      <c r="O402" s="73" t="s">
        <v>224</v>
      </c>
      <c r="P402" s="73" t="s">
        <v>110</v>
      </c>
      <c r="Q402" s="54" t="str">
        <f>IFERROR(__xludf.DUMMYFUNCTION("""COMPUTED_VALUE"""),"KoreaSouth.AnhShortThongBao.PTATT_XuBen.5018_CVS_HuyNV_060722")</f>
        <v>KoreaSouth.AnhShortThongBao.PTATT_XuBen.5018_CVS_HuyNV_060722</v>
      </c>
      <c r="R402" s="54" t="str">
        <f>IFERROR(__xludf.DUMMYFUNCTION("""COMPUTED_VALUE"""),"NEW_KoreaSouth_1834_none_060722")</f>
        <v>NEW_KoreaSouth_1834_none_060722</v>
      </c>
      <c r="S402" s="54" t="str">
        <f>IFERROR(__xludf.DUMMYFUNCTION("""COMPUTED_VALUE"""),"saletructiep_KoreaSouth.AnhShortThongBao.PTATT_PTATT_LD117")</f>
        <v>saletructiep_KoreaSouth.AnhShortThongBao.PTATT_PTATT_LD117</v>
      </c>
      <c r="T402" s="54"/>
      <c r="U402" s="56"/>
    </row>
    <row r="403">
      <c r="A403" s="82" t="s">
        <v>770</v>
      </c>
      <c r="B403" s="61" t="s">
        <v>777</v>
      </c>
      <c r="C403" s="54" t="str">
        <f>IFERROR(__xludf.DUMMYFUNCTION("""COMPUTED_VALUE"""),"LD068")</f>
        <v>LD068</v>
      </c>
      <c r="D403" s="73" t="s">
        <v>42</v>
      </c>
      <c r="E403" s="73" t="s">
        <v>69</v>
      </c>
      <c r="F403" s="55" t="s">
        <v>674</v>
      </c>
      <c r="G403" s="73">
        <v>1834.0</v>
      </c>
      <c r="H403" s="73" t="s">
        <v>75</v>
      </c>
      <c r="I403" s="55" t="s">
        <v>778</v>
      </c>
      <c r="J403" s="55" t="s">
        <v>778</v>
      </c>
      <c r="K403" s="73" t="s">
        <v>61</v>
      </c>
      <c r="L403" s="73" t="s">
        <v>317</v>
      </c>
      <c r="M403" s="73" t="s">
        <v>78</v>
      </c>
      <c r="N403" s="73" t="s">
        <v>69</v>
      </c>
      <c r="O403" s="73" t="s">
        <v>224</v>
      </c>
      <c r="P403" s="73" t="s">
        <v>110</v>
      </c>
      <c r="Q403" s="54" t="str">
        <f>IFERROR(__xludf.DUMMYFUNCTION("""COMPUTED_VALUE"""),"Europe.AnhShortThongBao.PTATT_XuBen.5018_CVS_HuyNV_060722")</f>
        <v>Europe.AnhShortThongBao.PTATT_XuBen.5018_CVS_HuyNV_060722</v>
      </c>
      <c r="R403" s="54" t="str">
        <f>IFERROR(__xludf.DUMMYFUNCTION("""COMPUTED_VALUE"""),"NEW_Europe_1834_none_060722")</f>
        <v>NEW_Europe_1834_none_060722</v>
      </c>
      <c r="S403" s="54" t="str">
        <f>IFERROR(__xludf.DUMMYFUNCTION("""COMPUTED_VALUE"""),"saletructiep_Europe.AnhShortThongBao.PTATT_PTATT_LD068")</f>
        <v>saletructiep_Europe.AnhShortThongBao.PTATT_PTATT_LD068</v>
      </c>
      <c r="T403" s="54"/>
      <c r="U403" s="56"/>
    </row>
    <row r="404">
      <c r="A404" s="82" t="s">
        <v>779</v>
      </c>
      <c r="B404" s="61" t="s">
        <v>777</v>
      </c>
      <c r="C404" s="54" t="str">
        <f>IFERROR(__xludf.DUMMYFUNCTION("""COMPUTED_VALUE"""),"LD068")</f>
        <v>LD068</v>
      </c>
      <c r="D404" s="73" t="s">
        <v>42</v>
      </c>
      <c r="E404" s="73" t="s">
        <v>69</v>
      </c>
      <c r="F404" s="55" t="s">
        <v>129</v>
      </c>
      <c r="G404" s="73">
        <v>1834.0</v>
      </c>
      <c r="H404" s="73" t="s">
        <v>75</v>
      </c>
      <c r="I404" s="55" t="s">
        <v>780</v>
      </c>
      <c r="J404" s="55" t="s">
        <v>780</v>
      </c>
      <c r="K404" s="73" t="s">
        <v>61</v>
      </c>
      <c r="L404" s="73" t="s">
        <v>317</v>
      </c>
      <c r="M404" s="73" t="s">
        <v>78</v>
      </c>
      <c r="N404" s="73" t="s">
        <v>69</v>
      </c>
      <c r="O404" s="73" t="s">
        <v>224</v>
      </c>
      <c r="P404" s="73" t="s">
        <v>110</v>
      </c>
      <c r="Q404" s="54" t="str">
        <f>IFERROR(__xludf.DUMMYFUNCTION("""COMPUTED_VALUE"""),"Australia.AnhShortThongBao.PTATT_XuBen.5018_CVS_HuyNV_070722")</f>
        <v>Australia.AnhShortThongBao.PTATT_XuBen.5018_CVS_HuyNV_070722</v>
      </c>
      <c r="R404" s="54" t="str">
        <f>IFERROR(__xludf.DUMMYFUNCTION("""COMPUTED_VALUE"""),"NEW_Australia_1834_none_070722")</f>
        <v>NEW_Australia_1834_none_070722</v>
      </c>
      <c r="S404" s="54" t="str">
        <f>IFERROR(__xludf.DUMMYFUNCTION("""COMPUTED_VALUE"""),"saletructiep_Australia.AnhShortThongBao.PTATT_PTATT_LD068")</f>
        <v>saletructiep_Australia.AnhShortThongBao.PTATT_PTATT_LD068</v>
      </c>
      <c r="T404" s="54"/>
      <c r="U404" s="56"/>
    </row>
    <row r="405">
      <c r="A405" s="82" t="s">
        <v>779</v>
      </c>
      <c r="B405" s="61" t="s">
        <v>777</v>
      </c>
      <c r="C405" s="54" t="str">
        <f>IFERROR(__xludf.DUMMYFUNCTION("""COMPUTED_VALUE"""),"LD068")</f>
        <v>LD068</v>
      </c>
      <c r="D405" s="91" t="s">
        <v>42</v>
      </c>
      <c r="E405" s="73" t="s">
        <v>69</v>
      </c>
      <c r="F405" s="55" t="s">
        <v>461</v>
      </c>
      <c r="G405" s="73">
        <v>1834.0</v>
      </c>
      <c r="H405" s="73" t="s">
        <v>75</v>
      </c>
      <c r="I405" s="55" t="s">
        <v>781</v>
      </c>
      <c r="J405" s="55" t="s">
        <v>781</v>
      </c>
      <c r="K405" s="73" t="s">
        <v>61</v>
      </c>
      <c r="L405" s="73" t="s">
        <v>317</v>
      </c>
      <c r="M405" s="73" t="s">
        <v>78</v>
      </c>
      <c r="N405" s="73" t="s">
        <v>69</v>
      </c>
      <c r="O405" s="73" t="s">
        <v>224</v>
      </c>
      <c r="P405" s="73" t="s">
        <v>110</v>
      </c>
      <c r="Q405" s="54" t="str">
        <f>IFERROR(__xludf.DUMMYFUNCTION("""COMPUTED_VALUE"""),"CzechRepublic.AnhShortThongBao.PTATT_XuBen.5018_CVS_HuyNV_070722")</f>
        <v>CzechRepublic.AnhShortThongBao.PTATT_XuBen.5018_CVS_HuyNV_070722</v>
      </c>
      <c r="R405" s="54" t="str">
        <f>IFERROR(__xludf.DUMMYFUNCTION("""COMPUTED_VALUE"""),"NEW_CzechRepublic_1834_none_070722")</f>
        <v>NEW_CzechRepublic_1834_none_070722</v>
      </c>
      <c r="S405" s="54" t="str">
        <f>IFERROR(__xludf.DUMMYFUNCTION("""COMPUTED_VALUE"""),"saletructiep_CzechRepublic.AnhShortThongBao.PTATT_PTATT_LD068")</f>
        <v>saletructiep_CzechRepublic.AnhShortThongBao.PTATT_PTATT_LD068</v>
      </c>
      <c r="T405" s="54"/>
      <c r="U405" s="56"/>
    </row>
    <row r="406">
      <c r="A406" s="82" t="s">
        <v>779</v>
      </c>
      <c r="B406" s="61" t="s">
        <v>777</v>
      </c>
      <c r="C406" s="54" t="str">
        <f>IFERROR(__xludf.DUMMYFUNCTION("""COMPUTED_VALUE"""),"LD068")</f>
        <v>LD068</v>
      </c>
      <c r="D406" s="73" t="s">
        <v>42</v>
      </c>
      <c r="E406" s="73" t="s">
        <v>69</v>
      </c>
      <c r="F406" s="55" t="s">
        <v>164</v>
      </c>
      <c r="G406" s="73">
        <v>1834.0</v>
      </c>
      <c r="H406" s="73" t="s">
        <v>75</v>
      </c>
      <c r="I406" s="55" t="s">
        <v>651</v>
      </c>
      <c r="J406" s="55" t="s">
        <v>651</v>
      </c>
      <c r="K406" s="73" t="s">
        <v>61</v>
      </c>
      <c r="L406" s="73" t="s">
        <v>317</v>
      </c>
      <c r="M406" s="73" t="s">
        <v>78</v>
      </c>
      <c r="N406" s="73" t="s">
        <v>69</v>
      </c>
      <c r="O406" s="73" t="s">
        <v>224</v>
      </c>
      <c r="P406" s="73" t="s">
        <v>110</v>
      </c>
      <c r="Q406" s="54" t="str">
        <f>IFERROR(__xludf.DUMMYFUNCTION("""COMPUTED_VALUE"""),"Taiwan.AnhShortThongBao.PTATT_XuBen.5018_CVS_HuyNV_070722")</f>
        <v>Taiwan.AnhShortThongBao.PTATT_XuBen.5018_CVS_HuyNV_070722</v>
      </c>
      <c r="R406" s="54" t="str">
        <f>IFERROR(__xludf.DUMMYFUNCTION("""COMPUTED_VALUE"""),"NEW_Taiwan_1834_none_070722")</f>
        <v>NEW_Taiwan_1834_none_070722</v>
      </c>
      <c r="S406" s="54" t="str">
        <f>IFERROR(__xludf.DUMMYFUNCTION("""COMPUTED_VALUE"""),"saletructiep_Taiwan.AnhShortThongBao.PTATT_PTATT_LD068")</f>
        <v>saletructiep_Taiwan.AnhShortThongBao.PTATT_PTATT_LD068</v>
      </c>
      <c r="T406" s="54"/>
      <c r="U406" s="56"/>
    </row>
    <row r="407">
      <c r="A407" s="80" t="s">
        <v>779</v>
      </c>
      <c r="B407" s="73" t="s">
        <v>777</v>
      </c>
      <c r="C407" s="54" t="str">
        <f>IFERROR(__xludf.DUMMYFUNCTION("""COMPUTED_VALUE"""),"LD068")</f>
        <v>LD068</v>
      </c>
      <c r="D407" s="73" t="s">
        <v>42</v>
      </c>
      <c r="E407" s="73" t="s">
        <v>69</v>
      </c>
      <c r="F407" s="55" t="s">
        <v>162</v>
      </c>
      <c r="G407" s="73">
        <v>1834.0</v>
      </c>
      <c r="H407" s="73" t="s">
        <v>75</v>
      </c>
      <c r="I407" s="55" t="s">
        <v>782</v>
      </c>
      <c r="J407" s="55" t="s">
        <v>782</v>
      </c>
      <c r="K407" s="73" t="s">
        <v>61</v>
      </c>
      <c r="L407" s="73" t="s">
        <v>317</v>
      </c>
      <c r="M407" s="73" t="s">
        <v>78</v>
      </c>
      <c r="N407" s="73" t="s">
        <v>69</v>
      </c>
      <c r="O407" s="73" t="s">
        <v>224</v>
      </c>
      <c r="P407" s="73" t="s">
        <v>110</v>
      </c>
      <c r="Q407" s="54" t="str">
        <f>IFERROR(__xludf.DUMMYFUNCTION("""COMPUTED_VALUE"""),"Singapore.AnhShortThongBao.PTATT_XuBen.5018_CVS_HuyNV_070722")</f>
        <v>Singapore.AnhShortThongBao.PTATT_XuBen.5018_CVS_HuyNV_070722</v>
      </c>
      <c r="R407" s="54" t="str">
        <f>IFERROR(__xludf.DUMMYFUNCTION("""COMPUTED_VALUE"""),"NEW_Singapore_1834_none_070722")</f>
        <v>NEW_Singapore_1834_none_070722</v>
      </c>
      <c r="S407" s="54" t="str">
        <f>IFERROR(__xludf.DUMMYFUNCTION("""COMPUTED_VALUE"""),"saletructiep_Singapore.AnhShortThongBao.PTATT_PTATT_LD068")</f>
        <v>saletructiep_Singapore.AnhShortThongBao.PTATT_PTATT_LD068</v>
      </c>
      <c r="T407" s="54"/>
      <c r="U407" s="56"/>
    </row>
    <row r="408">
      <c r="A408" s="82" t="s">
        <v>783</v>
      </c>
      <c r="B408" s="61" t="s">
        <v>712</v>
      </c>
      <c r="C408" s="54" t="str">
        <f>IFERROR(__xludf.DUMMYFUNCTION("""COMPUTED_VALUE"""),"LD109")</f>
        <v>LD109</v>
      </c>
      <c r="D408" s="73" t="s">
        <v>42</v>
      </c>
      <c r="E408" s="55" t="s">
        <v>69</v>
      </c>
      <c r="F408" s="55" t="s">
        <v>107</v>
      </c>
      <c r="G408" s="73">
        <v>1834.0</v>
      </c>
      <c r="H408" s="73" t="s">
        <v>75</v>
      </c>
      <c r="I408" s="55" t="s">
        <v>784</v>
      </c>
      <c r="J408" s="55" t="s">
        <v>784</v>
      </c>
      <c r="K408" s="73" t="s">
        <v>61</v>
      </c>
      <c r="L408" s="73" t="s">
        <v>317</v>
      </c>
      <c r="M408" s="73" t="s">
        <v>78</v>
      </c>
      <c r="N408" s="73" t="s">
        <v>69</v>
      </c>
      <c r="O408" s="73" t="s">
        <v>224</v>
      </c>
      <c r="P408" s="73" t="s">
        <v>110</v>
      </c>
      <c r="Q408" s="54" t="str">
        <f>IFERROR(__xludf.DUMMYFUNCTION("""COMPUTED_VALUE"""),"UnitedStates.AnhShortThongBao.TATTTD_XuBen.5018_CVS_HuyNV_090722")</f>
        <v>UnitedStates.AnhShortThongBao.TATTTD_XuBen.5018_CVS_HuyNV_090722</v>
      </c>
      <c r="R408" s="54" t="str">
        <f>IFERROR(__xludf.DUMMYFUNCTION("""COMPUTED_VALUE"""),"NEW_UnitedStates_1834_none_090722")</f>
        <v>NEW_UnitedStates_1834_none_090722</v>
      </c>
      <c r="S408" s="54" t="str">
        <f>IFERROR(__xludf.DUMMYFUNCTION("""COMPUTED_VALUE"""),"saletructiep_UnitedStates.AnhShortThongBao.TATTTD_PTATT_LD109")</f>
        <v>saletructiep_UnitedStates.AnhShortThongBao.TATTTD_PTATT_LD109</v>
      </c>
      <c r="T408" s="54"/>
      <c r="U408" s="56"/>
    </row>
    <row r="409">
      <c r="A409" s="82" t="s">
        <v>783</v>
      </c>
      <c r="B409" s="61" t="s">
        <v>772</v>
      </c>
      <c r="C409" s="54" t="str">
        <f>IFERROR(__xludf.DUMMYFUNCTION("""COMPUTED_VALUE"""),"LD115")</f>
        <v>LD115</v>
      </c>
      <c r="D409" s="73" t="s">
        <v>42</v>
      </c>
      <c r="E409" s="55" t="s">
        <v>69</v>
      </c>
      <c r="F409" s="55" t="s">
        <v>133</v>
      </c>
      <c r="G409" s="73">
        <v>1834.0</v>
      </c>
      <c r="H409" s="73" t="s">
        <v>75</v>
      </c>
      <c r="I409" s="55" t="s">
        <v>785</v>
      </c>
      <c r="J409" s="55" t="s">
        <v>785</v>
      </c>
      <c r="K409" s="73" t="s">
        <v>61</v>
      </c>
      <c r="L409" s="73" t="s">
        <v>317</v>
      </c>
      <c r="M409" s="73" t="s">
        <v>78</v>
      </c>
      <c r="N409" s="73" t="s">
        <v>69</v>
      </c>
      <c r="O409" s="73" t="s">
        <v>224</v>
      </c>
      <c r="P409" s="73" t="s">
        <v>110</v>
      </c>
      <c r="Q409" s="92" t="str">
        <f>IFERROR(__xludf.DUMMYFUNCTION("""COMPUTED_VALUE"""),"Japan.AnhShortThongBao.TATTTD_XuBen.5018_CVS_HuyNV_090722")</f>
        <v>Japan.AnhShortThongBao.TATTTD_XuBen.5018_CVS_HuyNV_090722</v>
      </c>
      <c r="R409" s="92" t="str">
        <f>IFERROR(__xludf.DUMMYFUNCTION("""COMPUTED_VALUE"""),"NEW_Japan_1834_none_090722")</f>
        <v>NEW_Japan_1834_none_090722</v>
      </c>
      <c r="S409" s="92" t="str">
        <f>IFERROR(__xludf.DUMMYFUNCTION("""COMPUTED_VALUE"""),"saletructiep_Japan.AnhShortThongBao.TATTTD_PTATT_LD115")</f>
        <v>saletructiep_Japan.AnhShortThongBao.TATTTD_PTATT_LD115</v>
      </c>
      <c r="T409" s="92"/>
      <c r="U409" s="56"/>
    </row>
    <row r="410">
      <c r="A410" s="82" t="s">
        <v>783</v>
      </c>
      <c r="B410" s="61" t="s">
        <v>776</v>
      </c>
      <c r="C410" s="54" t="str">
        <f>IFERROR(__xludf.DUMMYFUNCTION("""COMPUTED_VALUE"""),"LD117")</f>
        <v>LD117</v>
      </c>
      <c r="D410" s="73" t="s">
        <v>42</v>
      </c>
      <c r="E410" s="73" t="s">
        <v>69</v>
      </c>
      <c r="F410" s="73" t="s">
        <v>625</v>
      </c>
      <c r="G410" s="73">
        <v>1834.0</v>
      </c>
      <c r="H410" s="73" t="s">
        <v>75</v>
      </c>
      <c r="I410" s="55" t="s">
        <v>786</v>
      </c>
      <c r="J410" s="73" t="s">
        <v>786</v>
      </c>
      <c r="K410" s="73" t="s">
        <v>61</v>
      </c>
      <c r="L410" s="73" t="s">
        <v>317</v>
      </c>
      <c r="M410" s="73" t="s">
        <v>78</v>
      </c>
      <c r="N410" s="73" t="s">
        <v>69</v>
      </c>
      <c r="O410" s="73" t="s">
        <v>224</v>
      </c>
      <c r="P410" s="73" t="s">
        <v>110</v>
      </c>
      <c r="Q410" s="54" t="str">
        <f>IFERROR(__xludf.DUMMYFUNCTION("""COMPUTED_VALUE"""),"KoreaSouth.AnhShortThongBao.TATTTD_XuBen.5018_CVS_HuyNV_090722")</f>
        <v>KoreaSouth.AnhShortThongBao.TATTTD_XuBen.5018_CVS_HuyNV_090722</v>
      </c>
      <c r="R410" s="54" t="str">
        <f>IFERROR(__xludf.DUMMYFUNCTION("""COMPUTED_VALUE"""),"NEW_KoreaSouth_1834_none_090722")</f>
        <v>NEW_KoreaSouth_1834_none_090722</v>
      </c>
      <c r="S410" s="54" t="str">
        <f>IFERROR(__xludf.DUMMYFUNCTION("""COMPUTED_VALUE"""),"saletructiep_KoreaSouth.AnhShortThongBao.TATTTD_PTATT_LD117")</f>
        <v>saletructiep_KoreaSouth.AnhShortThongBao.TATTTD_PTATT_LD117</v>
      </c>
      <c r="T410" s="54"/>
      <c r="U410" s="56"/>
    </row>
    <row r="411">
      <c r="A411" s="82" t="s">
        <v>783</v>
      </c>
      <c r="B411" s="61" t="s">
        <v>777</v>
      </c>
      <c r="C411" s="54" t="str">
        <f>IFERROR(__xludf.DUMMYFUNCTION("""COMPUTED_VALUE"""),"LD068")</f>
        <v>LD068</v>
      </c>
      <c r="D411" s="73" t="s">
        <v>42</v>
      </c>
      <c r="E411" s="73" t="s">
        <v>69</v>
      </c>
      <c r="F411" s="73" t="s">
        <v>674</v>
      </c>
      <c r="G411" s="73">
        <v>1834.0</v>
      </c>
      <c r="H411" s="73" t="s">
        <v>75</v>
      </c>
      <c r="I411" s="55" t="s">
        <v>787</v>
      </c>
      <c r="J411" s="55" t="s">
        <v>787</v>
      </c>
      <c r="K411" s="73" t="s">
        <v>61</v>
      </c>
      <c r="L411" s="73" t="s">
        <v>317</v>
      </c>
      <c r="M411" s="73" t="s">
        <v>78</v>
      </c>
      <c r="N411" s="73" t="s">
        <v>69</v>
      </c>
      <c r="O411" s="73" t="s">
        <v>224</v>
      </c>
      <c r="P411" s="73" t="s">
        <v>110</v>
      </c>
      <c r="Q411" s="54" t="str">
        <f>IFERROR(__xludf.DUMMYFUNCTION("""COMPUTED_VALUE"""),"Europe.AnhShortThongBao.TATTTD_XuBen.5018_CVS_HuyNV_090722")</f>
        <v>Europe.AnhShortThongBao.TATTTD_XuBen.5018_CVS_HuyNV_090722</v>
      </c>
      <c r="R411" s="54" t="str">
        <f>IFERROR(__xludf.DUMMYFUNCTION("""COMPUTED_VALUE"""),"NEW_Europe_1834_none_090722")</f>
        <v>NEW_Europe_1834_none_090722</v>
      </c>
      <c r="S411" s="54" t="str">
        <f>IFERROR(__xludf.DUMMYFUNCTION("""COMPUTED_VALUE"""),"saletructiep_Europe.AnhShortThongBao.TATTTD_PTATT_LD068")</f>
        <v>saletructiep_Europe.AnhShortThongBao.TATTTD_PTATT_LD068</v>
      </c>
      <c r="T411" s="54"/>
      <c r="U411" s="56"/>
    </row>
    <row r="412">
      <c r="A412" s="82" t="s">
        <v>783</v>
      </c>
      <c r="B412" s="73" t="s">
        <v>777</v>
      </c>
      <c r="C412" s="54" t="str">
        <f>IFERROR(__xludf.DUMMYFUNCTION("""COMPUTED_VALUE"""),"LD068")</f>
        <v>LD068</v>
      </c>
      <c r="D412" s="73" t="s">
        <v>42</v>
      </c>
      <c r="E412" s="73" t="s">
        <v>69</v>
      </c>
      <c r="F412" s="55" t="s">
        <v>164</v>
      </c>
      <c r="G412" s="73">
        <v>1834.0</v>
      </c>
      <c r="H412" s="73" t="s">
        <v>75</v>
      </c>
      <c r="I412" s="55" t="s">
        <v>788</v>
      </c>
      <c r="J412" s="73" t="s">
        <v>788</v>
      </c>
      <c r="K412" s="73" t="s">
        <v>61</v>
      </c>
      <c r="L412" s="73" t="s">
        <v>317</v>
      </c>
      <c r="M412" s="73" t="s">
        <v>78</v>
      </c>
      <c r="N412" s="73" t="s">
        <v>69</v>
      </c>
      <c r="O412" s="73" t="s">
        <v>224</v>
      </c>
      <c r="P412" s="73" t="s">
        <v>110</v>
      </c>
      <c r="Q412" s="54" t="str">
        <f>IFERROR(__xludf.DUMMYFUNCTION("""COMPUTED_VALUE"""),"Taiwan.AnhShortThongBao.TATTTD_XuBen.5018_CVS_HuyNV_090722")</f>
        <v>Taiwan.AnhShortThongBao.TATTTD_XuBen.5018_CVS_HuyNV_090722</v>
      </c>
      <c r="R412" s="54" t="str">
        <f>IFERROR(__xludf.DUMMYFUNCTION("""COMPUTED_VALUE"""),"NEW_Taiwan_1834_none_090722")</f>
        <v>NEW_Taiwan_1834_none_090722</v>
      </c>
      <c r="S412" s="54" t="str">
        <f>IFERROR(__xludf.DUMMYFUNCTION("""COMPUTED_VALUE"""),"saletructiep_Taiwan.AnhShortThongBao.TATTTD_PTATT_LD068")</f>
        <v>saletructiep_Taiwan.AnhShortThongBao.TATTTD_PTATT_LD068</v>
      </c>
      <c r="T412" s="54"/>
      <c r="U412" s="56"/>
    </row>
    <row r="413">
      <c r="A413" s="82" t="s">
        <v>783</v>
      </c>
      <c r="B413" s="73" t="s">
        <v>777</v>
      </c>
      <c r="C413" s="54" t="str">
        <f>IFERROR(__xludf.DUMMYFUNCTION("""COMPUTED_VALUE"""),"LD068")</f>
        <v>LD068</v>
      </c>
      <c r="D413" s="73" t="s">
        <v>42</v>
      </c>
      <c r="E413" s="73" t="s">
        <v>69</v>
      </c>
      <c r="F413" s="73" t="s">
        <v>129</v>
      </c>
      <c r="G413" s="73">
        <v>1834.0</v>
      </c>
      <c r="H413" s="73" t="s">
        <v>75</v>
      </c>
      <c r="I413" s="55" t="s">
        <v>789</v>
      </c>
      <c r="J413" s="55" t="s">
        <v>789</v>
      </c>
      <c r="K413" s="73" t="s">
        <v>61</v>
      </c>
      <c r="L413" s="73" t="s">
        <v>317</v>
      </c>
      <c r="M413" s="73" t="s">
        <v>78</v>
      </c>
      <c r="N413" s="73" t="s">
        <v>69</v>
      </c>
      <c r="O413" s="73" t="s">
        <v>224</v>
      </c>
      <c r="P413" s="73" t="s">
        <v>110</v>
      </c>
      <c r="Q413" s="54" t="str">
        <f>IFERROR(__xludf.DUMMYFUNCTION("""COMPUTED_VALUE"""),"Australia.AnhShortThongBao.TATTTD_XuBen.5018_CVS_HuyNV_090722")</f>
        <v>Australia.AnhShortThongBao.TATTTD_XuBen.5018_CVS_HuyNV_090722</v>
      </c>
      <c r="R413" s="54" t="str">
        <f>IFERROR(__xludf.DUMMYFUNCTION("""COMPUTED_VALUE"""),"NEW_Australia_1834_none_090722")</f>
        <v>NEW_Australia_1834_none_090722</v>
      </c>
      <c r="S413" s="54" t="str">
        <f>IFERROR(__xludf.DUMMYFUNCTION("""COMPUTED_VALUE"""),"saletructiep_Australia.AnhShortThongBao.TATTTD_PTATT_LD068")</f>
        <v>saletructiep_Australia.AnhShortThongBao.TATTTD_PTATT_LD068</v>
      </c>
      <c r="T413" s="54"/>
      <c r="U413" s="56"/>
    </row>
    <row r="414">
      <c r="A414" s="82" t="s">
        <v>790</v>
      </c>
      <c r="B414" s="61" t="s">
        <v>712</v>
      </c>
      <c r="C414" s="54" t="str">
        <f>IFERROR(__xludf.DUMMYFUNCTION("""COMPUTED_VALUE"""),"LD109")</f>
        <v>LD109</v>
      </c>
      <c r="D414" s="73" t="s">
        <v>42</v>
      </c>
      <c r="E414" s="73" t="s">
        <v>69</v>
      </c>
      <c r="F414" s="55" t="s">
        <v>107</v>
      </c>
      <c r="G414" s="73">
        <v>1834.0</v>
      </c>
      <c r="H414" s="73" t="s">
        <v>75</v>
      </c>
      <c r="I414" s="55" t="s">
        <v>791</v>
      </c>
      <c r="J414" s="55" t="s">
        <v>791</v>
      </c>
      <c r="K414" s="73" t="s">
        <v>61</v>
      </c>
      <c r="L414" s="73" t="s">
        <v>317</v>
      </c>
      <c r="M414" s="73" t="s">
        <v>78</v>
      </c>
      <c r="N414" s="73" t="s">
        <v>69</v>
      </c>
      <c r="O414" s="73" t="s">
        <v>224</v>
      </c>
      <c r="P414" s="73" t="s">
        <v>110</v>
      </c>
      <c r="Q414" s="54" t="str">
        <f>IFERROR(__xludf.DUMMYFUNCTION("""COMPUTED_VALUE"""),"UnitedStates.AnhShortTBXanh.PTATT_XuBen.5018_CVS_HuyNV_140722")</f>
        <v>UnitedStates.AnhShortTBXanh.PTATT_XuBen.5018_CVS_HuyNV_140722</v>
      </c>
      <c r="R414" s="54" t="str">
        <f>IFERROR(__xludf.DUMMYFUNCTION("""COMPUTED_VALUE"""),"NEW_UnitedStates_1834_none_140722")</f>
        <v>NEW_UnitedStates_1834_none_140722</v>
      </c>
      <c r="S414" s="54" t="str">
        <f>IFERROR(__xludf.DUMMYFUNCTION("""COMPUTED_VALUE"""),"saletructiep_UnitedStates.AnhShortTBXanh.PTATT_PTATT_LD109")</f>
        <v>saletructiep_UnitedStates.AnhShortTBXanh.PTATT_PTATT_LD109</v>
      </c>
      <c r="T414" s="54"/>
      <c r="U414" s="56"/>
    </row>
    <row r="415">
      <c r="A415" s="80" t="s">
        <v>790</v>
      </c>
      <c r="B415" s="73" t="s">
        <v>772</v>
      </c>
      <c r="C415" s="54" t="str">
        <f>IFERROR(__xludf.DUMMYFUNCTION("""COMPUTED_VALUE"""),"LD115")</f>
        <v>LD115</v>
      </c>
      <c r="D415" s="73" t="s">
        <v>42</v>
      </c>
      <c r="E415" s="73" t="s">
        <v>69</v>
      </c>
      <c r="F415" s="55" t="s">
        <v>133</v>
      </c>
      <c r="G415" s="73">
        <v>1834.0</v>
      </c>
      <c r="H415" s="73" t="s">
        <v>75</v>
      </c>
      <c r="I415" s="55" t="s">
        <v>792</v>
      </c>
      <c r="J415" s="55" t="s">
        <v>792</v>
      </c>
      <c r="K415" s="73" t="s">
        <v>61</v>
      </c>
      <c r="L415" s="73" t="s">
        <v>317</v>
      </c>
      <c r="M415" s="73" t="s">
        <v>78</v>
      </c>
      <c r="N415" s="73" t="s">
        <v>69</v>
      </c>
      <c r="O415" s="73" t="s">
        <v>224</v>
      </c>
      <c r="P415" s="73" t="s">
        <v>110</v>
      </c>
      <c r="Q415" s="54" t="str">
        <f>IFERROR(__xludf.DUMMYFUNCTION("""COMPUTED_VALUE"""),"Japan.AnhShortTBXanh.PTATT_XuBen.5018_CVS_HuyNV_140722")</f>
        <v>Japan.AnhShortTBXanh.PTATT_XuBen.5018_CVS_HuyNV_140722</v>
      </c>
      <c r="R415" s="54" t="str">
        <f>IFERROR(__xludf.DUMMYFUNCTION("""COMPUTED_VALUE"""),"NEW_Japan_1834_none_140722")</f>
        <v>NEW_Japan_1834_none_140722</v>
      </c>
      <c r="S415" s="54" t="str">
        <f>IFERROR(__xludf.DUMMYFUNCTION("""COMPUTED_VALUE"""),"saletructiep_Japan.AnhShortTBXanh.PTATT_PTATT_LD115")</f>
        <v>saletructiep_Japan.AnhShortTBXanh.PTATT_PTATT_LD115</v>
      </c>
      <c r="T415" s="54"/>
      <c r="U415" s="56"/>
    </row>
    <row r="416">
      <c r="A416" s="82" t="s">
        <v>790</v>
      </c>
      <c r="B416" s="61" t="s">
        <v>776</v>
      </c>
      <c r="C416" s="54" t="str">
        <f>IFERROR(__xludf.DUMMYFUNCTION("""COMPUTED_VALUE"""),"LD117")</f>
        <v>LD117</v>
      </c>
      <c r="D416" s="73" t="s">
        <v>42</v>
      </c>
      <c r="E416" s="73" t="s">
        <v>69</v>
      </c>
      <c r="F416" s="55" t="s">
        <v>625</v>
      </c>
      <c r="G416" s="73">
        <v>1834.0</v>
      </c>
      <c r="H416" s="73" t="s">
        <v>75</v>
      </c>
      <c r="I416" s="55" t="s">
        <v>793</v>
      </c>
      <c r="J416" s="73" t="s">
        <v>793</v>
      </c>
      <c r="K416" s="73" t="s">
        <v>61</v>
      </c>
      <c r="L416" s="73" t="s">
        <v>317</v>
      </c>
      <c r="M416" s="73" t="s">
        <v>78</v>
      </c>
      <c r="N416" s="73" t="s">
        <v>69</v>
      </c>
      <c r="O416" s="73" t="s">
        <v>224</v>
      </c>
      <c r="P416" s="73" t="s">
        <v>110</v>
      </c>
      <c r="Q416" s="54" t="str">
        <f>IFERROR(__xludf.DUMMYFUNCTION("""COMPUTED_VALUE"""),"KoreaSouth.AnhShortTBXanh.PTATT_XuBen.5018_CVS_HuyNV_140722")</f>
        <v>KoreaSouth.AnhShortTBXanh.PTATT_XuBen.5018_CVS_HuyNV_140722</v>
      </c>
      <c r="R416" s="54" t="str">
        <f>IFERROR(__xludf.DUMMYFUNCTION("""COMPUTED_VALUE"""),"NEW_KoreaSouth_1834_none_140722")</f>
        <v>NEW_KoreaSouth_1834_none_140722</v>
      </c>
      <c r="S416" s="54" t="str">
        <f>IFERROR(__xludf.DUMMYFUNCTION("""COMPUTED_VALUE"""),"saletructiep_KoreaSouth.AnhShortTBXanh.PTATT_PTATT_LD117")</f>
        <v>saletructiep_KoreaSouth.AnhShortTBXanh.PTATT_PTATT_LD117</v>
      </c>
      <c r="T416" s="54"/>
      <c r="U416" s="56"/>
    </row>
    <row r="417">
      <c r="A417" s="80" t="s">
        <v>790</v>
      </c>
      <c r="B417" s="73" t="s">
        <v>777</v>
      </c>
      <c r="C417" s="54" t="str">
        <f>IFERROR(__xludf.DUMMYFUNCTION("""COMPUTED_VALUE"""),"LD068")</f>
        <v>LD068</v>
      </c>
      <c r="D417" s="73" t="s">
        <v>42</v>
      </c>
      <c r="E417" s="73" t="s">
        <v>69</v>
      </c>
      <c r="F417" s="55" t="s">
        <v>674</v>
      </c>
      <c r="G417" s="73">
        <v>1834.0</v>
      </c>
      <c r="H417" s="73" t="s">
        <v>75</v>
      </c>
      <c r="I417" s="55" t="s">
        <v>794</v>
      </c>
      <c r="J417" s="55" t="s">
        <v>794</v>
      </c>
      <c r="K417" s="73" t="s">
        <v>61</v>
      </c>
      <c r="L417" s="73" t="s">
        <v>317</v>
      </c>
      <c r="M417" s="73" t="s">
        <v>78</v>
      </c>
      <c r="N417" s="73" t="s">
        <v>69</v>
      </c>
      <c r="O417" s="73" t="s">
        <v>224</v>
      </c>
      <c r="P417" s="73" t="s">
        <v>110</v>
      </c>
      <c r="Q417" s="54" t="str">
        <f>IFERROR(__xludf.DUMMYFUNCTION("""COMPUTED_VALUE"""),"Europe.AnhShortTBXanh.PTATT_XuBen.5018_CVS_HuyNV_140722")</f>
        <v>Europe.AnhShortTBXanh.PTATT_XuBen.5018_CVS_HuyNV_140722</v>
      </c>
      <c r="R417" s="54" t="str">
        <f>IFERROR(__xludf.DUMMYFUNCTION("""COMPUTED_VALUE"""),"NEW_Europe_1834_none_140722")</f>
        <v>NEW_Europe_1834_none_140722</v>
      </c>
      <c r="S417" s="54" t="str">
        <f>IFERROR(__xludf.DUMMYFUNCTION("""COMPUTED_VALUE"""),"saletructiep_Europe.AnhShortTBXanh.PTATT_PTATT_LD068")</f>
        <v>saletructiep_Europe.AnhShortTBXanh.PTATT_PTATT_LD068</v>
      </c>
      <c r="T417" s="54"/>
      <c r="U417" s="56"/>
    </row>
    <row r="418">
      <c r="A418" s="80" t="s">
        <v>790</v>
      </c>
      <c r="B418" s="54" t="s">
        <v>166</v>
      </c>
      <c r="C418" s="54" t="str">
        <f>IFERROR(__xludf.DUMMYFUNCTION("""COMPUTED_VALUE"""),"LD005")</f>
        <v>LD005</v>
      </c>
      <c r="D418" s="73" t="s">
        <v>42</v>
      </c>
      <c r="E418" s="55" t="s">
        <v>79</v>
      </c>
      <c r="F418" s="55" t="s">
        <v>164</v>
      </c>
      <c r="G418" s="73">
        <v>1834.0</v>
      </c>
      <c r="H418" s="73" t="s">
        <v>75</v>
      </c>
      <c r="I418" s="55" t="s">
        <v>795</v>
      </c>
      <c r="J418" s="55" t="s">
        <v>795</v>
      </c>
      <c r="K418" s="73" t="s">
        <v>61</v>
      </c>
      <c r="L418" s="73" t="s">
        <v>317</v>
      </c>
      <c r="M418" s="73" t="s">
        <v>78</v>
      </c>
      <c r="N418" s="55" t="s">
        <v>79</v>
      </c>
      <c r="O418" s="73" t="s">
        <v>224</v>
      </c>
      <c r="P418" s="73" t="s">
        <v>110</v>
      </c>
      <c r="Q418" s="54" t="str">
        <f>IFERROR(__xludf.DUMMYFUNCTION("""COMPUTED_VALUE"""),"Taiwan.AnhShortTBXanh.PTATT_XuBen.5018_MES_HuyNV_140722")</f>
        <v>Taiwan.AnhShortTBXanh.PTATT_XuBen.5018_MES_HuyNV_140722</v>
      </c>
      <c r="R418" s="54" t="str">
        <f>IFERROR(__xludf.DUMMYFUNCTION("""COMPUTED_VALUE"""),"NEW_Taiwan_1834_none_140722")</f>
        <v>NEW_Taiwan_1834_none_140722</v>
      </c>
      <c r="S418" s="54" t="str">
        <f>IFERROR(__xludf.DUMMYFUNCTION("""COMPUTED_VALUE"""),"saletructiep_Taiwan.AnhShortTBXanh.PTATT_PTATT_LD005")</f>
        <v>saletructiep_Taiwan.AnhShortTBXanh.PTATT_PTATT_LD005</v>
      </c>
      <c r="T418" s="54"/>
      <c r="U418" s="56"/>
    </row>
    <row r="419">
      <c r="A419" s="80" t="s">
        <v>790</v>
      </c>
      <c r="B419" s="54" t="s">
        <v>166</v>
      </c>
      <c r="C419" s="54" t="str">
        <f>IFERROR(__xludf.DUMMYFUNCTION("""COMPUTED_VALUE"""),"LD005")</f>
        <v>LD005</v>
      </c>
      <c r="D419" s="73" t="s">
        <v>42</v>
      </c>
      <c r="E419" s="55" t="s">
        <v>79</v>
      </c>
      <c r="F419" s="55" t="s">
        <v>129</v>
      </c>
      <c r="G419" s="73">
        <v>1834.0</v>
      </c>
      <c r="H419" s="73" t="s">
        <v>75</v>
      </c>
      <c r="I419" s="55" t="s">
        <v>796</v>
      </c>
      <c r="J419" s="55" t="s">
        <v>796</v>
      </c>
      <c r="K419" s="73" t="s">
        <v>61</v>
      </c>
      <c r="L419" s="73" t="s">
        <v>317</v>
      </c>
      <c r="M419" s="73" t="s">
        <v>78</v>
      </c>
      <c r="N419" s="73" t="s">
        <v>79</v>
      </c>
      <c r="O419" s="73" t="s">
        <v>224</v>
      </c>
      <c r="P419" s="73" t="s">
        <v>110</v>
      </c>
      <c r="Q419" s="54" t="str">
        <f>IFERROR(__xludf.DUMMYFUNCTION("""COMPUTED_VALUE"""),"Australia.AnhShortTBXanh.PTATT_XuBen.5018_MES_HuyNV_140722")</f>
        <v>Australia.AnhShortTBXanh.PTATT_XuBen.5018_MES_HuyNV_140722</v>
      </c>
      <c r="R419" s="54" t="str">
        <f>IFERROR(__xludf.DUMMYFUNCTION("""COMPUTED_VALUE"""),"NEW_Australia_1834_none_140722")</f>
        <v>NEW_Australia_1834_none_140722</v>
      </c>
      <c r="S419" s="54" t="str">
        <f>IFERROR(__xludf.DUMMYFUNCTION("""COMPUTED_VALUE"""),"saletructiep_Australia.AnhShortTBXanh.PTATT_PTATT_LD005")</f>
        <v>saletructiep_Australia.AnhShortTBXanh.PTATT_PTATT_LD005</v>
      </c>
      <c r="T419" s="54"/>
      <c r="U419" s="56"/>
    </row>
    <row r="420">
      <c r="A420" s="80" t="s">
        <v>790</v>
      </c>
      <c r="B420" s="54" t="s">
        <v>166</v>
      </c>
      <c r="C420" s="54" t="str">
        <f>IFERROR(__xludf.DUMMYFUNCTION("""COMPUTED_VALUE"""),"LD005")</f>
        <v>LD005</v>
      </c>
      <c r="D420" s="73" t="s">
        <v>42</v>
      </c>
      <c r="E420" s="73" t="s">
        <v>79</v>
      </c>
      <c r="F420" s="55" t="s">
        <v>182</v>
      </c>
      <c r="G420" s="73">
        <v>1834.0</v>
      </c>
      <c r="H420" s="73" t="s">
        <v>75</v>
      </c>
      <c r="I420" s="55" t="s">
        <v>797</v>
      </c>
      <c r="J420" s="55" t="s">
        <v>797</v>
      </c>
      <c r="K420" s="73" t="s">
        <v>61</v>
      </c>
      <c r="L420" s="73" t="s">
        <v>317</v>
      </c>
      <c r="M420" s="73" t="s">
        <v>78</v>
      </c>
      <c r="N420" s="73" t="s">
        <v>79</v>
      </c>
      <c r="O420" s="73" t="s">
        <v>224</v>
      </c>
      <c r="P420" s="73" t="s">
        <v>110</v>
      </c>
      <c r="Q420" s="54" t="str">
        <f>IFERROR(__xludf.DUMMYFUNCTION("""COMPUTED_VALUE"""),"Malaysia.AnhShortTBXanh.PTATT_XuBen.5018_MES_HuyNV_140722")</f>
        <v>Malaysia.AnhShortTBXanh.PTATT_XuBen.5018_MES_HuyNV_140722</v>
      </c>
      <c r="R420" s="54" t="str">
        <f>IFERROR(__xludf.DUMMYFUNCTION("""COMPUTED_VALUE"""),"NEW_Malaysia_1834_none_140722")</f>
        <v>NEW_Malaysia_1834_none_140722</v>
      </c>
      <c r="S420" s="54" t="str">
        <f>IFERROR(__xludf.DUMMYFUNCTION("""COMPUTED_VALUE"""),"saletructiep_Malaysia.AnhShortTBXanh.PTATT_PTATT_LD005")</f>
        <v>saletructiep_Malaysia.AnhShortTBXanh.PTATT_PTATT_LD005</v>
      </c>
      <c r="T420" s="54"/>
      <c r="U420" s="56"/>
    </row>
    <row r="421">
      <c r="A421" s="80" t="s">
        <v>790</v>
      </c>
      <c r="B421" s="54" t="s">
        <v>166</v>
      </c>
      <c r="C421" s="54" t="str">
        <f>IFERROR(__xludf.DUMMYFUNCTION("""COMPUTED_VALUE"""),"LD005")</f>
        <v>LD005</v>
      </c>
      <c r="D421" s="73" t="s">
        <v>42</v>
      </c>
      <c r="E421" s="73" t="s">
        <v>79</v>
      </c>
      <c r="F421" s="55" t="s">
        <v>174</v>
      </c>
      <c r="G421" s="73">
        <v>1834.0</v>
      </c>
      <c r="H421" s="73" t="s">
        <v>75</v>
      </c>
      <c r="I421" s="55" t="s">
        <v>798</v>
      </c>
      <c r="J421" s="55" t="s">
        <v>798</v>
      </c>
      <c r="K421" s="73" t="s">
        <v>61</v>
      </c>
      <c r="L421" s="73" t="s">
        <v>317</v>
      </c>
      <c r="M421" s="73" t="s">
        <v>78</v>
      </c>
      <c r="N421" s="73" t="s">
        <v>79</v>
      </c>
      <c r="O421" s="73" t="s">
        <v>224</v>
      </c>
      <c r="P421" s="73" t="s">
        <v>110</v>
      </c>
      <c r="Q421" s="54" t="str">
        <f>IFERROR(__xludf.DUMMYFUNCTION("""COMPUTED_VALUE"""),"Philippines.AnhShortTBXanh.PTATT_XuBen.5018_MES_HuyNV_140722")</f>
        <v>Philippines.AnhShortTBXanh.PTATT_XuBen.5018_MES_HuyNV_140722</v>
      </c>
      <c r="R421" s="54" t="str">
        <f>IFERROR(__xludf.DUMMYFUNCTION("""COMPUTED_VALUE"""),"NEW_Philippines_1834_none_140722")</f>
        <v>NEW_Philippines_1834_none_140722</v>
      </c>
      <c r="S421" s="54" t="str">
        <f>IFERROR(__xludf.DUMMYFUNCTION("""COMPUTED_VALUE"""),"saletructiep_Philippines.AnhShortTBXanh.PTATT_PTATT_LD005")</f>
        <v>saletructiep_Philippines.AnhShortTBXanh.PTATT_PTATT_LD005</v>
      </c>
      <c r="T421" s="54"/>
      <c r="U421" s="56"/>
    </row>
    <row r="422">
      <c r="A422" s="64" t="s">
        <v>799</v>
      </c>
      <c r="B422" s="54" t="s">
        <v>166</v>
      </c>
      <c r="C422" s="54" t="str">
        <f>IFERROR(__xludf.DUMMYFUNCTION("""COMPUTED_VALUE"""),"LD005")</f>
        <v>LD005</v>
      </c>
      <c r="D422" s="73" t="s">
        <v>42</v>
      </c>
      <c r="E422" s="73" t="s">
        <v>79</v>
      </c>
      <c r="F422" s="55" t="s">
        <v>107</v>
      </c>
      <c r="G422" s="73">
        <v>1834.0</v>
      </c>
      <c r="H422" s="73" t="s">
        <v>75</v>
      </c>
      <c r="I422" s="55" t="s">
        <v>791</v>
      </c>
      <c r="J422" s="55" t="s">
        <v>791</v>
      </c>
      <c r="K422" s="73" t="s">
        <v>61</v>
      </c>
      <c r="L422" s="73" t="s">
        <v>317</v>
      </c>
      <c r="M422" s="73" t="s">
        <v>78</v>
      </c>
      <c r="N422" s="73" t="s">
        <v>79</v>
      </c>
      <c r="O422" s="73" t="s">
        <v>224</v>
      </c>
      <c r="P422" s="73" t="s">
        <v>110</v>
      </c>
      <c r="Q422" s="54" t="str">
        <f>IFERROR(__xludf.DUMMYFUNCTION("""COMPUTED_VALUE"""),"UnitedStates.AnhShortTBXanh.PTATT_XuBen.5018_MES_HuyNV_190722")</f>
        <v>UnitedStates.AnhShortTBXanh.PTATT_XuBen.5018_MES_HuyNV_190722</v>
      </c>
      <c r="R422" s="54" t="str">
        <f>IFERROR(__xludf.DUMMYFUNCTION("""COMPUTED_VALUE"""),"NEW_UnitedStates_1834_none_190722")</f>
        <v>NEW_UnitedStates_1834_none_190722</v>
      </c>
      <c r="S422" s="54" t="str">
        <f>IFERROR(__xludf.DUMMYFUNCTION("""COMPUTED_VALUE"""),"saletructiep_UnitedStates.AnhShortTBXanh.PTATT_PTATT_LD005")</f>
        <v>saletructiep_UnitedStates.AnhShortTBXanh.PTATT_PTATT_LD005</v>
      </c>
      <c r="T422" s="54"/>
      <c r="U422" s="56"/>
    </row>
    <row r="423">
      <c r="A423" s="64" t="s">
        <v>800</v>
      </c>
      <c r="B423" s="54" t="s">
        <v>166</v>
      </c>
      <c r="C423" s="54" t="str">
        <f>IFERROR(__xludf.DUMMYFUNCTION("""COMPUTED_VALUE"""),"LD005")</f>
        <v>LD005</v>
      </c>
      <c r="D423" s="73" t="s">
        <v>42</v>
      </c>
      <c r="E423" s="73" t="s">
        <v>79</v>
      </c>
      <c r="F423" s="55" t="s">
        <v>107</v>
      </c>
      <c r="G423" s="73">
        <v>1834.0</v>
      </c>
      <c r="H423" s="73" t="s">
        <v>75</v>
      </c>
      <c r="I423" s="55" t="s">
        <v>801</v>
      </c>
      <c r="J423" s="55" t="s">
        <v>801</v>
      </c>
      <c r="K423" s="73" t="s">
        <v>61</v>
      </c>
      <c r="L423" s="73" t="s">
        <v>317</v>
      </c>
      <c r="M423" s="73" t="s">
        <v>78</v>
      </c>
      <c r="N423" s="73" t="s">
        <v>79</v>
      </c>
      <c r="O423" s="73" t="s">
        <v>224</v>
      </c>
      <c r="P423" s="73" t="s">
        <v>110</v>
      </c>
      <c r="Q423" s="54" t="str">
        <f>IFERROR(__xludf.DUMMYFUNCTION("""COMPUTED_VALUE"""),"UnitedStates.AnhStress.PTATT_XuBen.5018_MES_HuyNV_210722")</f>
        <v>UnitedStates.AnhStress.PTATT_XuBen.5018_MES_HuyNV_210722</v>
      </c>
      <c r="R423" s="54" t="str">
        <f>IFERROR(__xludf.DUMMYFUNCTION("""COMPUTED_VALUE"""),"NEW_UnitedStates_1834_none_210722")</f>
        <v>NEW_UnitedStates_1834_none_210722</v>
      </c>
      <c r="S423" s="54" t="str">
        <f>IFERROR(__xludf.DUMMYFUNCTION("""COMPUTED_VALUE"""),"saletructiep_UnitedStates.AnhStress.PTATT_PTATT_LD005")</f>
        <v>saletructiep_UnitedStates.AnhStress.PTATT_PTATT_LD005</v>
      </c>
      <c r="T423" s="54"/>
      <c r="U423" s="56"/>
    </row>
    <row r="424">
      <c r="A424" s="80" t="s">
        <v>800</v>
      </c>
      <c r="B424" s="54" t="s">
        <v>166</v>
      </c>
      <c r="C424" s="54" t="str">
        <f>IFERROR(__xludf.DUMMYFUNCTION("""COMPUTED_VALUE"""),"LD005")</f>
        <v>LD005</v>
      </c>
      <c r="D424" s="73" t="s">
        <v>42</v>
      </c>
      <c r="E424" s="73" t="s">
        <v>79</v>
      </c>
      <c r="F424" s="55" t="s">
        <v>164</v>
      </c>
      <c r="G424" s="73">
        <v>1834.0</v>
      </c>
      <c r="H424" s="73" t="s">
        <v>75</v>
      </c>
      <c r="I424" s="55" t="s">
        <v>802</v>
      </c>
      <c r="J424" s="55" t="s">
        <v>802</v>
      </c>
      <c r="K424" s="73" t="s">
        <v>61</v>
      </c>
      <c r="L424" s="73" t="s">
        <v>317</v>
      </c>
      <c r="M424" s="73" t="s">
        <v>78</v>
      </c>
      <c r="N424" s="73" t="s">
        <v>79</v>
      </c>
      <c r="O424" s="73" t="s">
        <v>224</v>
      </c>
      <c r="P424" s="73" t="s">
        <v>110</v>
      </c>
      <c r="Q424" s="54" t="str">
        <f>IFERROR(__xludf.DUMMYFUNCTION("""COMPUTED_VALUE"""),"Taiwan.AnhStress.PTATT_XuBen.5018_MES_HuyNV_210722")</f>
        <v>Taiwan.AnhStress.PTATT_XuBen.5018_MES_HuyNV_210722</v>
      </c>
      <c r="R424" s="54" t="str">
        <f>IFERROR(__xludf.DUMMYFUNCTION("""COMPUTED_VALUE"""),"NEW_Taiwan_1834_none_210722")</f>
        <v>NEW_Taiwan_1834_none_210722</v>
      </c>
      <c r="S424" s="54" t="str">
        <f>IFERROR(__xludf.DUMMYFUNCTION("""COMPUTED_VALUE"""),"saletructiep_Taiwan.AnhStress.PTATT_PTATT_LD005")</f>
        <v>saletructiep_Taiwan.AnhStress.PTATT_PTATT_LD005</v>
      </c>
      <c r="T424" s="54"/>
      <c r="U424" s="56"/>
    </row>
    <row r="425">
      <c r="A425" s="80" t="s">
        <v>800</v>
      </c>
      <c r="B425" s="54" t="s">
        <v>166</v>
      </c>
      <c r="C425" s="54" t="str">
        <f>IFERROR(__xludf.DUMMYFUNCTION("""COMPUTED_VALUE"""),"LD005")</f>
        <v>LD005</v>
      </c>
      <c r="D425" s="73" t="s">
        <v>42</v>
      </c>
      <c r="E425" s="73" t="s">
        <v>79</v>
      </c>
      <c r="F425" s="55" t="s">
        <v>133</v>
      </c>
      <c r="G425" s="73">
        <v>1834.0</v>
      </c>
      <c r="H425" s="73" t="s">
        <v>75</v>
      </c>
      <c r="I425" s="55" t="s">
        <v>803</v>
      </c>
      <c r="J425" s="55" t="s">
        <v>803</v>
      </c>
      <c r="K425" s="73" t="s">
        <v>61</v>
      </c>
      <c r="L425" s="73" t="s">
        <v>317</v>
      </c>
      <c r="M425" s="73" t="s">
        <v>78</v>
      </c>
      <c r="N425" s="73" t="s">
        <v>79</v>
      </c>
      <c r="O425" s="73" t="s">
        <v>224</v>
      </c>
      <c r="P425" s="73" t="s">
        <v>110</v>
      </c>
      <c r="Q425" s="54" t="str">
        <f>IFERROR(__xludf.DUMMYFUNCTION("""COMPUTED_VALUE"""),"Japan.AnhStress.PTATT_XuBen.5018_MES_HuyNV_210722")</f>
        <v>Japan.AnhStress.PTATT_XuBen.5018_MES_HuyNV_210722</v>
      </c>
      <c r="R425" s="54" t="str">
        <f>IFERROR(__xludf.DUMMYFUNCTION("""COMPUTED_VALUE"""),"NEW_Japan_1834_none_210722")</f>
        <v>NEW_Japan_1834_none_210722</v>
      </c>
      <c r="S425" s="54" t="str">
        <f>IFERROR(__xludf.DUMMYFUNCTION("""COMPUTED_VALUE"""),"saletructiep_Japan.AnhStress.PTATT_PTATT_LD005")</f>
        <v>saletructiep_Japan.AnhStress.PTATT_PTATT_LD005</v>
      </c>
      <c r="T425" s="54"/>
      <c r="U425" s="56"/>
    </row>
    <row r="426">
      <c r="A426" s="64" t="s">
        <v>804</v>
      </c>
      <c r="B426" s="73" t="s">
        <v>712</v>
      </c>
      <c r="C426" s="54" t="str">
        <f>IFERROR(__xludf.DUMMYFUNCTION("""COMPUTED_VALUE"""),"LD109")</f>
        <v>LD109</v>
      </c>
      <c r="D426" s="73" t="s">
        <v>42</v>
      </c>
      <c r="E426" s="73" t="s">
        <v>79</v>
      </c>
      <c r="F426" s="73" t="s">
        <v>107</v>
      </c>
      <c r="G426" s="73">
        <v>1834.0</v>
      </c>
      <c r="H426" s="73" t="s">
        <v>75</v>
      </c>
      <c r="I426" s="55" t="s">
        <v>805</v>
      </c>
      <c r="J426" s="55" t="s">
        <v>805</v>
      </c>
      <c r="K426" s="73" t="s">
        <v>61</v>
      </c>
      <c r="L426" s="73" t="s">
        <v>317</v>
      </c>
      <c r="M426" s="73" t="s">
        <v>78</v>
      </c>
      <c r="N426" s="73" t="s">
        <v>79</v>
      </c>
      <c r="O426" s="73" t="s">
        <v>224</v>
      </c>
      <c r="P426" s="73" t="s">
        <v>110</v>
      </c>
      <c r="Q426" s="54" t="str">
        <f>IFERROR(__xludf.DUMMYFUNCTION("""COMPUTED_VALUE"""),"UnitedStates.AnhVang.PTATT_XuBen.5018_MES_HuyNV_010822")</f>
        <v>UnitedStates.AnhVang.PTATT_XuBen.5018_MES_HuyNV_010822</v>
      </c>
      <c r="R426" s="54" t="str">
        <f>IFERROR(__xludf.DUMMYFUNCTION("""COMPUTED_VALUE"""),"NEW_UnitedStates_1834_none_010822")</f>
        <v>NEW_UnitedStates_1834_none_010822</v>
      </c>
      <c r="S426" s="54" t="str">
        <f>IFERROR(__xludf.DUMMYFUNCTION("""COMPUTED_VALUE"""),"saletructiep_UnitedStates.AnhVang.PTATT_PTATT_LD109")</f>
        <v>saletructiep_UnitedStates.AnhVang.PTATT_PTATT_LD109</v>
      </c>
      <c r="T426" s="54"/>
      <c r="U426" s="56"/>
    </row>
    <row r="427">
      <c r="A427" s="80" t="s">
        <v>804</v>
      </c>
      <c r="B427" s="54" t="s">
        <v>166</v>
      </c>
      <c r="C427" s="54" t="str">
        <f>IFERROR(__xludf.DUMMYFUNCTION("""COMPUTED_VALUE"""),"LD005")</f>
        <v>LD005</v>
      </c>
      <c r="D427" s="73" t="s">
        <v>42</v>
      </c>
      <c r="E427" s="73" t="s">
        <v>79</v>
      </c>
      <c r="F427" s="55" t="s">
        <v>133</v>
      </c>
      <c r="G427" s="73">
        <v>1834.0</v>
      </c>
      <c r="H427" s="73" t="s">
        <v>75</v>
      </c>
      <c r="I427" s="55" t="s">
        <v>806</v>
      </c>
      <c r="J427" s="55" t="s">
        <v>806</v>
      </c>
      <c r="K427" s="73" t="s">
        <v>61</v>
      </c>
      <c r="L427" s="73" t="s">
        <v>317</v>
      </c>
      <c r="M427" s="73" t="s">
        <v>78</v>
      </c>
      <c r="N427" s="73" t="s">
        <v>79</v>
      </c>
      <c r="O427" s="73" t="s">
        <v>224</v>
      </c>
      <c r="P427" s="73" t="s">
        <v>110</v>
      </c>
      <c r="Q427" s="54" t="str">
        <f>IFERROR(__xludf.DUMMYFUNCTION("""COMPUTED_VALUE"""),"Japan.AnhVang.PTATT_XuBen.5018_MES_HuyNV_010822")</f>
        <v>Japan.AnhVang.PTATT_XuBen.5018_MES_HuyNV_010822</v>
      </c>
      <c r="R427" s="54" t="str">
        <f>IFERROR(__xludf.DUMMYFUNCTION("""COMPUTED_VALUE"""),"NEW_Japan_1834_none_010822")</f>
        <v>NEW_Japan_1834_none_010822</v>
      </c>
      <c r="S427" s="54" t="str">
        <f>IFERROR(__xludf.DUMMYFUNCTION("""COMPUTED_VALUE"""),"saletructiep_Japan.AnhVang.PTATT_PTATT_LD005")</f>
        <v>saletructiep_Japan.AnhVang.PTATT_PTATT_LD005</v>
      </c>
      <c r="T427" s="54"/>
      <c r="U427" s="56"/>
    </row>
    <row r="428">
      <c r="A428" s="80" t="s">
        <v>804</v>
      </c>
      <c r="B428" s="54" t="s">
        <v>166</v>
      </c>
      <c r="C428" s="54" t="str">
        <f>IFERROR(__xludf.DUMMYFUNCTION("""COMPUTED_VALUE"""),"LD005")</f>
        <v>LD005</v>
      </c>
      <c r="D428" s="73" t="s">
        <v>42</v>
      </c>
      <c r="E428" s="73" t="s">
        <v>79</v>
      </c>
      <c r="F428" s="55" t="s">
        <v>625</v>
      </c>
      <c r="G428" s="73">
        <v>1834.0</v>
      </c>
      <c r="H428" s="73" t="s">
        <v>75</v>
      </c>
      <c r="I428" s="55" t="s">
        <v>807</v>
      </c>
      <c r="J428" s="55" t="s">
        <v>807</v>
      </c>
      <c r="K428" s="73" t="s">
        <v>61</v>
      </c>
      <c r="L428" s="73" t="s">
        <v>317</v>
      </c>
      <c r="M428" s="73" t="s">
        <v>78</v>
      </c>
      <c r="N428" s="73" t="s">
        <v>79</v>
      </c>
      <c r="O428" s="73" t="s">
        <v>224</v>
      </c>
      <c r="P428" s="73" t="s">
        <v>110</v>
      </c>
      <c r="Q428" s="54" t="str">
        <f>IFERROR(__xludf.DUMMYFUNCTION("""COMPUTED_VALUE"""),"KoreaSouth.AnhVang.PTATT_XuBen.5018_MES_HuyNV_010822")</f>
        <v>KoreaSouth.AnhVang.PTATT_XuBen.5018_MES_HuyNV_010822</v>
      </c>
      <c r="R428" s="54" t="str">
        <f>IFERROR(__xludf.DUMMYFUNCTION("""COMPUTED_VALUE"""),"NEW_KoreaSouth_1834_none_010822")</f>
        <v>NEW_KoreaSouth_1834_none_010822</v>
      </c>
      <c r="S428" s="54" t="str">
        <f>IFERROR(__xludf.DUMMYFUNCTION("""COMPUTED_VALUE"""),"saletructiep_KoreaSouth.AnhVang.PTATT_PTATT_LD005")</f>
        <v>saletructiep_KoreaSouth.AnhVang.PTATT_PTATT_LD005</v>
      </c>
      <c r="T428" s="54"/>
      <c r="U428" s="56"/>
    </row>
    <row r="429">
      <c r="A429" s="80" t="s">
        <v>804</v>
      </c>
      <c r="B429" s="54" t="s">
        <v>166</v>
      </c>
      <c r="C429" s="54" t="str">
        <f>IFERROR(__xludf.DUMMYFUNCTION("""COMPUTED_VALUE"""),"LD005")</f>
        <v>LD005</v>
      </c>
      <c r="D429" s="73" t="s">
        <v>42</v>
      </c>
      <c r="E429" s="73" t="s">
        <v>79</v>
      </c>
      <c r="F429" s="55" t="s">
        <v>129</v>
      </c>
      <c r="G429" s="73">
        <v>1834.0</v>
      </c>
      <c r="H429" s="73" t="s">
        <v>75</v>
      </c>
      <c r="I429" s="55" t="s">
        <v>808</v>
      </c>
      <c r="J429" s="55" t="s">
        <v>808</v>
      </c>
      <c r="K429" s="73" t="s">
        <v>61</v>
      </c>
      <c r="L429" s="73" t="s">
        <v>317</v>
      </c>
      <c r="M429" s="73" t="s">
        <v>78</v>
      </c>
      <c r="N429" s="73" t="s">
        <v>79</v>
      </c>
      <c r="O429" s="73" t="s">
        <v>224</v>
      </c>
      <c r="P429" s="73" t="s">
        <v>110</v>
      </c>
      <c r="Q429" s="54" t="str">
        <f>IFERROR(__xludf.DUMMYFUNCTION("""COMPUTED_VALUE"""),"Australia.AnhVang.PTATT_XuBen.5018_MES_HuyNV_010822")</f>
        <v>Australia.AnhVang.PTATT_XuBen.5018_MES_HuyNV_010822</v>
      </c>
      <c r="R429" s="54" t="str">
        <f>IFERROR(__xludf.DUMMYFUNCTION("""COMPUTED_VALUE"""),"NEW_Australia_1834_none_010822")</f>
        <v>NEW_Australia_1834_none_010822</v>
      </c>
      <c r="S429" s="54" t="str">
        <f>IFERROR(__xludf.DUMMYFUNCTION("""COMPUTED_VALUE"""),"saletructiep_Australia.AnhVang.PTATT_PTATT_LD005")</f>
        <v>saletructiep_Australia.AnhVang.PTATT_PTATT_LD005</v>
      </c>
      <c r="T429" s="54"/>
      <c r="U429" s="56"/>
    </row>
    <row r="430">
      <c r="A430" s="80" t="s">
        <v>804</v>
      </c>
      <c r="B430" s="54" t="s">
        <v>166</v>
      </c>
      <c r="C430" s="54" t="str">
        <f>IFERROR(__xludf.DUMMYFUNCTION("""COMPUTED_VALUE"""),"LD005")</f>
        <v>LD005</v>
      </c>
      <c r="D430" s="73" t="s">
        <v>42</v>
      </c>
      <c r="E430" s="73" t="s">
        <v>79</v>
      </c>
      <c r="F430" s="55" t="s">
        <v>164</v>
      </c>
      <c r="G430" s="73">
        <v>1834.0</v>
      </c>
      <c r="H430" s="73" t="s">
        <v>75</v>
      </c>
      <c r="I430" s="55" t="s">
        <v>809</v>
      </c>
      <c r="J430" s="55" t="s">
        <v>809</v>
      </c>
      <c r="K430" s="73" t="s">
        <v>61</v>
      </c>
      <c r="L430" s="73" t="s">
        <v>317</v>
      </c>
      <c r="M430" s="73" t="s">
        <v>78</v>
      </c>
      <c r="N430" s="73" t="s">
        <v>79</v>
      </c>
      <c r="O430" s="73" t="s">
        <v>224</v>
      </c>
      <c r="P430" s="73" t="s">
        <v>110</v>
      </c>
      <c r="Q430" s="54" t="str">
        <f>IFERROR(__xludf.DUMMYFUNCTION("""COMPUTED_VALUE"""),"Taiwan.AnhVang.PTATT_XuBen.5018_MES_HuyNV_010822")</f>
        <v>Taiwan.AnhVang.PTATT_XuBen.5018_MES_HuyNV_010822</v>
      </c>
      <c r="R430" s="54" t="str">
        <f>IFERROR(__xludf.DUMMYFUNCTION("""COMPUTED_VALUE"""),"NEW_Taiwan_1834_none_010822")</f>
        <v>NEW_Taiwan_1834_none_010822</v>
      </c>
      <c r="S430" s="54" t="str">
        <f>IFERROR(__xludf.DUMMYFUNCTION("""COMPUTED_VALUE"""),"saletructiep_Taiwan.AnhVang.PTATT_PTATT_LD005")</f>
        <v>saletructiep_Taiwan.AnhVang.PTATT_PTATT_LD005</v>
      </c>
      <c r="T430" s="54"/>
      <c r="U430" s="56"/>
    </row>
    <row r="431">
      <c r="A431" s="64" t="s">
        <v>810</v>
      </c>
      <c r="B431" s="73" t="s">
        <v>712</v>
      </c>
      <c r="C431" s="54" t="str">
        <f>IFERROR(__xludf.DUMMYFUNCTION("""COMPUTED_VALUE"""),"LD109")</f>
        <v>LD109</v>
      </c>
      <c r="D431" s="73" t="s">
        <v>42</v>
      </c>
      <c r="E431" s="73" t="s">
        <v>79</v>
      </c>
      <c r="F431" s="73" t="s">
        <v>107</v>
      </c>
      <c r="G431" s="73">
        <v>1834.0</v>
      </c>
      <c r="H431" s="73" t="s">
        <v>75</v>
      </c>
      <c r="I431" s="55" t="s">
        <v>811</v>
      </c>
      <c r="J431" s="55" t="s">
        <v>811</v>
      </c>
      <c r="K431" s="73" t="s">
        <v>61</v>
      </c>
      <c r="L431" s="73" t="s">
        <v>317</v>
      </c>
      <c r="M431" s="73" t="s">
        <v>78</v>
      </c>
      <c r="N431" s="73" t="s">
        <v>79</v>
      </c>
      <c r="O431" s="73" t="s">
        <v>224</v>
      </c>
      <c r="P431" s="73" t="s">
        <v>110</v>
      </c>
      <c r="Q431" s="54" t="str">
        <f>IFERROR(__xludf.DUMMYFUNCTION("""COMPUTED_VALUE"""),"UnitedStates.AnhOLy.PTATT_XuBen.5018_MES_HuyNV_040822")</f>
        <v>UnitedStates.AnhOLy.PTATT_XuBen.5018_MES_HuyNV_040822</v>
      </c>
      <c r="R431" s="54" t="str">
        <f>IFERROR(__xludf.DUMMYFUNCTION("""COMPUTED_VALUE"""),"NEW_UnitedStates_1834_none_040822")</f>
        <v>NEW_UnitedStates_1834_none_040822</v>
      </c>
      <c r="S431" s="54" t="str">
        <f>IFERROR(__xludf.DUMMYFUNCTION("""COMPUTED_VALUE"""),"saletructiep_UnitedStates.AnhOLy.PTATT_PTATT_LD109")</f>
        <v>saletructiep_UnitedStates.AnhOLy.PTATT_PTATT_LD109</v>
      </c>
      <c r="T431" s="54"/>
      <c r="U431" s="56"/>
    </row>
    <row r="432">
      <c r="A432" s="80" t="s">
        <v>810</v>
      </c>
      <c r="B432" s="54" t="s">
        <v>166</v>
      </c>
      <c r="C432" s="54" t="str">
        <f>IFERROR(__xludf.DUMMYFUNCTION("""COMPUTED_VALUE"""),"LD005")</f>
        <v>LD005</v>
      </c>
      <c r="D432" s="73" t="s">
        <v>42</v>
      </c>
      <c r="E432" s="73" t="s">
        <v>79</v>
      </c>
      <c r="F432" s="55" t="s">
        <v>133</v>
      </c>
      <c r="G432" s="73">
        <v>1834.0</v>
      </c>
      <c r="H432" s="73" t="s">
        <v>75</v>
      </c>
      <c r="I432" s="55" t="s">
        <v>812</v>
      </c>
      <c r="J432" s="73" t="s">
        <v>812</v>
      </c>
      <c r="K432" s="73" t="s">
        <v>61</v>
      </c>
      <c r="L432" s="73" t="s">
        <v>317</v>
      </c>
      <c r="M432" s="73" t="s">
        <v>78</v>
      </c>
      <c r="N432" s="73" t="s">
        <v>79</v>
      </c>
      <c r="O432" s="73" t="s">
        <v>224</v>
      </c>
      <c r="P432" s="73" t="s">
        <v>110</v>
      </c>
      <c r="Q432" s="54" t="str">
        <f>IFERROR(__xludf.DUMMYFUNCTION("""COMPUTED_VALUE"""),"Japan.AnhOLy.PTATT_XuBen.5018_MES_HuyNV_040822")</f>
        <v>Japan.AnhOLy.PTATT_XuBen.5018_MES_HuyNV_040822</v>
      </c>
      <c r="R432" s="54" t="str">
        <f>IFERROR(__xludf.DUMMYFUNCTION("""COMPUTED_VALUE"""),"NEW_Japan_1834_none_040822")</f>
        <v>NEW_Japan_1834_none_040822</v>
      </c>
      <c r="S432" s="54" t="str">
        <f>IFERROR(__xludf.DUMMYFUNCTION("""COMPUTED_VALUE"""),"saletructiep_Japan.AnhOLy.PTATT_PTATT_LD005")</f>
        <v>saletructiep_Japan.AnhOLy.PTATT_PTATT_LD005</v>
      </c>
      <c r="T432" s="54"/>
      <c r="U432" s="56"/>
    </row>
    <row r="433">
      <c r="A433" s="80" t="s">
        <v>810</v>
      </c>
      <c r="B433" s="54" t="s">
        <v>166</v>
      </c>
      <c r="C433" s="54" t="str">
        <f>IFERROR(__xludf.DUMMYFUNCTION("""COMPUTED_VALUE"""),"LD005")</f>
        <v>LD005</v>
      </c>
      <c r="D433" s="73" t="s">
        <v>42</v>
      </c>
      <c r="E433" s="73" t="s">
        <v>79</v>
      </c>
      <c r="F433" s="55" t="s">
        <v>625</v>
      </c>
      <c r="G433" s="73">
        <v>1834.0</v>
      </c>
      <c r="H433" s="73" t="s">
        <v>75</v>
      </c>
      <c r="I433" s="55" t="s">
        <v>813</v>
      </c>
      <c r="J433" s="55" t="s">
        <v>813</v>
      </c>
      <c r="K433" s="73" t="s">
        <v>61</v>
      </c>
      <c r="L433" s="73" t="s">
        <v>317</v>
      </c>
      <c r="M433" s="73" t="s">
        <v>78</v>
      </c>
      <c r="N433" s="73" t="s">
        <v>79</v>
      </c>
      <c r="O433" s="73" t="s">
        <v>224</v>
      </c>
      <c r="P433" s="73" t="s">
        <v>110</v>
      </c>
      <c r="Q433" s="54" t="str">
        <f>IFERROR(__xludf.DUMMYFUNCTION("""COMPUTED_VALUE"""),"KoreaSouth.AnhOLy.PTATT_XuBen.5018_MES_HuyNV_040822")</f>
        <v>KoreaSouth.AnhOLy.PTATT_XuBen.5018_MES_HuyNV_040822</v>
      </c>
      <c r="R433" s="54" t="str">
        <f>IFERROR(__xludf.DUMMYFUNCTION("""COMPUTED_VALUE"""),"NEW_KoreaSouth_1834_none_040822")</f>
        <v>NEW_KoreaSouth_1834_none_040822</v>
      </c>
      <c r="S433" s="54" t="str">
        <f>IFERROR(__xludf.DUMMYFUNCTION("""COMPUTED_VALUE"""),"saletructiep_KoreaSouth.AnhOLy.PTATT_PTATT_LD005")</f>
        <v>saletructiep_KoreaSouth.AnhOLy.PTATT_PTATT_LD005</v>
      </c>
      <c r="T433" s="54"/>
      <c r="U433" s="56"/>
    </row>
    <row r="434">
      <c r="A434" s="80" t="s">
        <v>810</v>
      </c>
      <c r="B434" s="54" t="s">
        <v>166</v>
      </c>
      <c r="C434" s="54" t="str">
        <f>IFERROR(__xludf.DUMMYFUNCTION("""COMPUTED_VALUE"""),"LD005")</f>
        <v>LD005</v>
      </c>
      <c r="D434" s="73" t="s">
        <v>42</v>
      </c>
      <c r="E434" s="73" t="s">
        <v>79</v>
      </c>
      <c r="F434" s="55" t="s">
        <v>182</v>
      </c>
      <c r="G434" s="73">
        <v>1834.0</v>
      </c>
      <c r="H434" s="73" t="s">
        <v>75</v>
      </c>
      <c r="I434" s="55" t="s">
        <v>814</v>
      </c>
      <c r="J434" s="55" t="s">
        <v>814</v>
      </c>
      <c r="K434" s="73" t="s">
        <v>61</v>
      </c>
      <c r="L434" s="73" t="s">
        <v>317</v>
      </c>
      <c r="M434" s="73" t="s">
        <v>78</v>
      </c>
      <c r="N434" s="73" t="s">
        <v>79</v>
      </c>
      <c r="O434" s="73" t="s">
        <v>224</v>
      </c>
      <c r="P434" s="73" t="s">
        <v>110</v>
      </c>
      <c r="Q434" s="54" t="str">
        <f>IFERROR(__xludf.DUMMYFUNCTION("""COMPUTED_VALUE"""),"Malaysia.AnhOLy.PTATT_XuBen.5018_MES_HuyNV_040822")</f>
        <v>Malaysia.AnhOLy.PTATT_XuBen.5018_MES_HuyNV_040822</v>
      </c>
      <c r="R434" s="54" t="str">
        <f>IFERROR(__xludf.DUMMYFUNCTION("""COMPUTED_VALUE"""),"NEW_Malaysia_1834_none_040822")</f>
        <v>NEW_Malaysia_1834_none_040822</v>
      </c>
      <c r="S434" s="54" t="str">
        <f>IFERROR(__xludf.DUMMYFUNCTION("""COMPUTED_VALUE"""),"saletructiep_Malaysia.AnhOLy.PTATT_PTATT_LD005")</f>
        <v>saletructiep_Malaysia.AnhOLy.PTATT_PTATT_LD005</v>
      </c>
      <c r="T434" s="54"/>
      <c r="U434" s="56"/>
    </row>
    <row r="435">
      <c r="A435" s="64" t="s">
        <v>815</v>
      </c>
      <c r="B435" s="54" t="s">
        <v>166</v>
      </c>
      <c r="C435" s="54" t="str">
        <f>IFERROR(__xludf.DUMMYFUNCTION("""COMPUTED_VALUE"""),"LD005")</f>
        <v>LD005</v>
      </c>
      <c r="D435" s="54" t="s">
        <v>42</v>
      </c>
      <c r="E435" s="54" t="s">
        <v>79</v>
      </c>
      <c r="F435" s="55" t="s">
        <v>129</v>
      </c>
      <c r="G435" s="54">
        <v>1834.0</v>
      </c>
      <c r="H435" s="54" t="s">
        <v>75</v>
      </c>
      <c r="I435" s="55" t="s">
        <v>816</v>
      </c>
      <c r="J435" s="55" t="s">
        <v>816</v>
      </c>
      <c r="K435" s="73" t="s">
        <v>61</v>
      </c>
      <c r="L435" s="73" t="s">
        <v>317</v>
      </c>
      <c r="M435" s="73" t="s">
        <v>78</v>
      </c>
      <c r="N435" s="73" t="s">
        <v>79</v>
      </c>
      <c r="O435" s="73" t="s">
        <v>224</v>
      </c>
      <c r="P435" s="73" t="s">
        <v>110</v>
      </c>
      <c r="Q435" s="54" t="str">
        <f>IFERROR(__xludf.DUMMYFUNCTION("""COMPUTED_VALUE"""),"Australia.AnhOLy.PTATT_XuBen.5018_MES_HuyNV_060822")</f>
        <v>Australia.AnhOLy.PTATT_XuBen.5018_MES_HuyNV_060822</v>
      </c>
      <c r="R435" s="54" t="str">
        <f>IFERROR(__xludf.DUMMYFUNCTION("""COMPUTED_VALUE"""),"NEW_Australia_1834_none_060822")</f>
        <v>NEW_Australia_1834_none_060822</v>
      </c>
      <c r="S435" s="54" t="str">
        <f>IFERROR(__xludf.DUMMYFUNCTION("""COMPUTED_VALUE"""),"saletructiep_Australia.AnhOLy.PTATT_PTATT_LD005")</f>
        <v>saletructiep_Australia.AnhOLy.PTATT_PTATT_LD005</v>
      </c>
      <c r="T435" s="54"/>
      <c r="U435" s="56"/>
    </row>
    <row r="436">
      <c r="A436" s="64" t="s">
        <v>817</v>
      </c>
      <c r="B436" s="54" t="s">
        <v>166</v>
      </c>
      <c r="C436" s="54" t="str">
        <f>IFERROR(__xludf.DUMMYFUNCTION("""COMPUTED_VALUE"""),"LD005")</f>
        <v>LD005</v>
      </c>
      <c r="D436" s="54" t="s">
        <v>42</v>
      </c>
      <c r="E436" s="54" t="s">
        <v>79</v>
      </c>
      <c r="F436" s="55" t="s">
        <v>107</v>
      </c>
      <c r="G436" s="54">
        <v>1834.0</v>
      </c>
      <c r="H436" s="54" t="s">
        <v>75</v>
      </c>
      <c r="I436" s="55" t="s">
        <v>818</v>
      </c>
      <c r="J436" s="55" t="s">
        <v>818</v>
      </c>
      <c r="K436" s="73" t="s">
        <v>61</v>
      </c>
      <c r="L436" s="73" t="s">
        <v>317</v>
      </c>
      <c r="M436" s="73" t="s">
        <v>78</v>
      </c>
      <c r="N436" s="73" t="s">
        <v>79</v>
      </c>
      <c r="O436" s="73" t="s">
        <v>224</v>
      </c>
      <c r="P436" s="73" t="s">
        <v>110</v>
      </c>
      <c r="Q436" s="54" t="str">
        <f>IFERROR(__xludf.DUMMYFUNCTION("""COMPUTED_VALUE"""),"UnitedStates.ThongBao.PTATT_XuBen.5018_MES_HuyNV_090822")</f>
        <v>UnitedStates.ThongBao.PTATT_XuBen.5018_MES_HuyNV_090822</v>
      </c>
      <c r="R436" s="54" t="str">
        <f>IFERROR(__xludf.DUMMYFUNCTION("""COMPUTED_VALUE"""),"NEW_UnitedStates_1834_none_090822")</f>
        <v>NEW_UnitedStates_1834_none_090822</v>
      </c>
      <c r="S436" s="54" t="str">
        <f>IFERROR(__xludf.DUMMYFUNCTION("""COMPUTED_VALUE"""),"saletructiep_UnitedStates.ThongBao.PTATT_PTATT_LD005")</f>
        <v>saletructiep_UnitedStates.ThongBao.PTATT_PTATT_LD005</v>
      </c>
      <c r="T436" s="54"/>
      <c r="U436" s="56"/>
    </row>
    <row r="437">
      <c r="A437" s="64" t="s">
        <v>817</v>
      </c>
      <c r="B437" s="54" t="s">
        <v>166</v>
      </c>
      <c r="C437" s="54" t="str">
        <f>IFERROR(__xludf.DUMMYFUNCTION("""COMPUTED_VALUE"""),"LD005")</f>
        <v>LD005</v>
      </c>
      <c r="D437" s="54" t="s">
        <v>42</v>
      </c>
      <c r="E437" s="54" t="s">
        <v>79</v>
      </c>
      <c r="F437" s="55" t="s">
        <v>133</v>
      </c>
      <c r="G437" s="54">
        <v>1834.0</v>
      </c>
      <c r="H437" s="54" t="s">
        <v>75</v>
      </c>
      <c r="I437" s="55" t="s">
        <v>819</v>
      </c>
      <c r="J437" s="55" t="s">
        <v>819</v>
      </c>
      <c r="K437" s="73" t="s">
        <v>61</v>
      </c>
      <c r="L437" s="73" t="s">
        <v>317</v>
      </c>
      <c r="M437" s="73" t="s">
        <v>78</v>
      </c>
      <c r="N437" s="73" t="s">
        <v>79</v>
      </c>
      <c r="O437" s="73" t="s">
        <v>224</v>
      </c>
      <c r="P437" s="73" t="s">
        <v>110</v>
      </c>
      <c r="Q437" s="54" t="str">
        <f>IFERROR(__xludf.DUMMYFUNCTION("""COMPUTED_VALUE"""),"Japan.ThongBao.PTATT_XuBen.5018_MES_HuyNV_090822")</f>
        <v>Japan.ThongBao.PTATT_XuBen.5018_MES_HuyNV_090822</v>
      </c>
      <c r="R437" s="54" t="str">
        <f>IFERROR(__xludf.DUMMYFUNCTION("""COMPUTED_VALUE"""),"NEW_Japan_1834_none_090822")</f>
        <v>NEW_Japan_1834_none_090822</v>
      </c>
      <c r="S437" s="54" t="str">
        <f>IFERROR(__xludf.DUMMYFUNCTION("""COMPUTED_VALUE"""),"saletructiep_Japan.ThongBao.PTATT_PTATT_LD005")</f>
        <v>saletructiep_Japan.ThongBao.PTATT_PTATT_LD005</v>
      </c>
      <c r="T437" s="54"/>
      <c r="U437" s="56"/>
    </row>
    <row r="438">
      <c r="A438" s="64" t="s">
        <v>817</v>
      </c>
      <c r="B438" s="54" t="s">
        <v>166</v>
      </c>
      <c r="C438" s="54" t="str">
        <f>IFERROR(__xludf.DUMMYFUNCTION("""COMPUTED_VALUE"""),"LD005")</f>
        <v>LD005</v>
      </c>
      <c r="D438" s="54" t="s">
        <v>42</v>
      </c>
      <c r="E438" s="54" t="s">
        <v>79</v>
      </c>
      <c r="F438" s="55" t="s">
        <v>625</v>
      </c>
      <c r="G438" s="54">
        <v>1834.0</v>
      </c>
      <c r="H438" s="54" t="s">
        <v>75</v>
      </c>
      <c r="I438" s="55" t="s">
        <v>820</v>
      </c>
      <c r="J438" s="55" t="s">
        <v>820</v>
      </c>
      <c r="K438" s="73" t="s">
        <v>61</v>
      </c>
      <c r="L438" s="73" t="s">
        <v>317</v>
      </c>
      <c r="M438" s="73" t="s">
        <v>78</v>
      </c>
      <c r="N438" s="73" t="s">
        <v>79</v>
      </c>
      <c r="O438" s="73" t="s">
        <v>224</v>
      </c>
      <c r="P438" s="73" t="s">
        <v>110</v>
      </c>
      <c r="Q438" s="54" t="str">
        <f>IFERROR(__xludf.DUMMYFUNCTION("""COMPUTED_VALUE"""),"KoreaSouth.ThongBao.PTATT_XuBen.5018_MES_HuyNV_090822")</f>
        <v>KoreaSouth.ThongBao.PTATT_XuBen.5018_MES_HuyNV_090822</v>
      </c>
      <c r="R438" s="54" t="str">
        <f>IFERROR(__xludf.DUMMYFUNCTION("""COMPUTED_VALUE"""),"NEW_KoreaSouth_1834_none_090822")</f>
        <v>NEW_KoreaSouth_1834_none_090822</v>
      </c>
      <c r="S438" s="54" t="str">
        <f>IFERROR(__xludf.DUMMYFUNCTION("""COMPUTED_VALUE"""),"saletructiep_KoreaSouth.ThongBao.PTATT_PTATT_LD005")</f>
        <v>saletructiep_KoreaSouth.ThongBao.PTATT_PTATT_LD005</v>
      </c>
      <c r="T438" s="54"/>
      <c r="U438" s="56"/>
    </row>
    <row r="439">
      <c r="A439" s="64" t="s">
        <v>817</v>
      </c>
      <c r="B439" s="54" t="s">
        <v>166</v>
      </c>
      <c r="C439" s="54" t="str">
        <f>IFERROR(__xludf.DUMMYFUNCTION("""COMPUTED_VALUE"""),"LD005")</f>
        <v>LD005</v>
      </c>
      <c r="D439" s="54" t="s">
        <v>42</v>
      </c>
      <c r="E439" s="54" t="s">
        <v>79</v>
      </c>
      <c r="F439" s="55" t="s">
        <v>129</v>
      </c>
      <c r="G439" s="54">
        <v>1834.0</v>
      </c>
      <c r="H439" s="54" t="s">
        <v>75</v>
      </c>
      <c r="I439" s="55" t="s">
        <v>821</v>
      </c>
      <c r="J439" s="55" t="s">
        <v>821</v>
      </c>
      <c r="K439" s="73" t="s">
        <v>61</v>
      </c>
      <c r="L439" s="73" t="s">
        <v>317</v>
      </c>
      <c r="M439" s="73" t="s">
        <v>78</v>
      </c>
      <c r="N439" s="73" t="s">
        <v>79</v>
      </c>
      <c r="O439" s="73" t="s">
        <v>224</v>
      </c>
      <c r="P439" s="73" t="s">
        <v>110</v>
      </c>
      <c r="Q439" s="54" t="str">
        <f>IFERROR(__xludf.DUMMYFUNCTION("""COMPUTED_VALUE"""),"Australia.ThongBao.PTATT_XuBen.5018_MES_HuyNV_090822")</f>
        <v>Australia.ThongBao.PTATT_XuBen.5018_MES_HuyNV_090822</v>
      </c>
      <c r="R439" s="54" t="str">
        <f>IFERROR(__xludf.DUMMYFUNCTION("""COMPUTED_VALUE"""),"NEW_Australia_1834_none_090822")</f>
        <v>NEW_Australia_1834_none_090822</v>
      </c>
      <c r="S439" s="54" t="str">
        <f>IFERROR(__xludf.DUMMYFUNCTION("""COMPUTED_VALUE"""),"saletructiep_Australia.ThongBao.PTATT_PTATT_LD005")</f>
        <v>saletructiep_Australia.ThongBao.PTATT_PTATT_LD005</v>
      </c>
      <c r="T439" s="54"/>
      <c r="U439" s="56"/>
    </row>
    <row r="440">
      <c r="A440" s="64" t="s">
        <v>822</v>
      </c>
      <c r="B440" s="54" t="s">
        <v>166</v>
      </c>
      <c r="C440" s="54" t="str">
        <f>IFERROR(__xludf.DUMMYFUNCTION("""COMPUTED_VALUE"""),"LD005")</f>
        <v>LD005</v>
      </c>
      <c r="D440" s="54" t="s">
        <v>42</v>
      </c>
      <c r="E440" s="54" t="s">
        <v>79</v>
      </c>
      <c r="F440" s="55" t="s">
        <v>674</v>
      </c>
      <c r="G440" s="54">
        <v>1834.0</v>
      </c>
      <c r="H440" s="54" t="s">
        <v>75</v>
      </c>
      <c r="I440" s="55" t="s">
        <v>823</v>
      </c>
      <c r="J440" s="55" t="s">
        <v>823</v>
      </c>
      <c r="K440" s="73" t="s">
        <v>61</v>
      </c>
      <c r="L440" s="73" t="s">
        <v>317</v>
      </c>
      <c r="M440" s="73" t="s">
        <v>78</v>
      </c>
      <c r="N440" s="73" t="s">
        <v>79</v>
      </c>
      <c r="O440" s="73" t="s">
        <v>224</v>
      </c>
      <c r="P440" s="73" t="s">
        <v>110</v>
      </c>
      <c r="Q440" s="54" t="str">
        <f>IFERROR(__xludf.DUMMYFUNCTION("""COMPUTED_VALUE"""),"Europe.90hHoc.PTATT_XuBen.5018_MES_HuyNV_110822")</f>
        <v>Europe.90hHoc.PTATT_XuBen.5018_MES_HuyNV_110822</v>
      </c>
      <c r="R440" s="54" t="str">
        <f>IFERROR(__xludf.DUMMYFUNCTION("""COMPUTED_VALUE"""),"NEW_Europe_1834_none_110822")</f>
        <v>NEW_Europe_1834_none_110822</v>
      </c>
      <c r="S440" s="54" t="str">
        <f>IFERROR(__xludf.DUMMYFUNCTION("""COMPUTED_VALUE"""),"saletructiep_Europe.90hHoc.PTATT_PTATT_LD005")</f>
        <v>saletructiep_Europe.90hHoc.PTATT_PTATT_LD005</v>
      </c>
      <c r="T440" s="54"/>
      <c r="U440" s="56"/>
    </row>
    <row r="441">
      <c r="A441" s="64" t="s">
        <v>822</v>
      </c>
      <c r="B441" s="54" t="s">
        <v>166</v>
      </c>
      <c r="C441" s="54" t="str">
        <f>IFERROR(__xludf.DUMMYFUNCTION("""COMPUTED_VALUE"""),"LD005")</f>
        <v>LD005</v>
      </c>
      <c r="D441" s="54" t="s">
        <v>42</v>
      </c>
      <c r="E441" s="54" t="s">
        <v>79</v>
      </c>
      <c r="F441" s="55" t="s">
        <v>112</v>
      </c>
      <c r="G441" s="54">
        <v>1834.0</v>
      </c>
      <c r="H441" s="54" t="s">
        <v>75</v>
      </c>
      <c r="I441" s="55" t="s">
        <v>824</v>
      </c>
      <c r="J441" s="55" t="s">
        <v>824</v>
      </c>
      <c r="K441" s="54" t="s">
        <v>61</v>
      </c>
      <c r="L441" s="54" t="s">
        <v>317</v>
      </c>
      <c r="M441" s="54" t="s">
        <v>78</v>
      </c>
      <c r="N441" s="54" t="s">
        <v>79</v>
      </c>
      <c r="O441" s="54" t="s">
        <v>224</v>
      </c>
      <c r="P441" s="54" t="s">
        <v>110</v>
      </c>
      <c r="Q441" s="54" t="str">
        <f>IFERROR(__xludf.DUMMYFUNCTION("""COMPUTED_VALUE"""),"Canada.90hHoc.PTATT_XuBen.5018_MES_HuyNV_110822")</f>
        <v>Canada.90hHoc.PTATT_XuBen.5018_MES_HuyNV_110822</v>
      </c>
      <c r="R441" s="54" t="str">
        <f>IFERROR(__xludf.DUMMYFUNCTION("""COMPUTED_VALUE"""),"NEW_Canada_1834_none_110822")</f>
        <v>NEW_Canada_1834_none_110822</v>
      </c>
      <c r="S441" s="54" t="str">
        <f>IFERROR(__xludf.DUMMYFUNCTION("""COMPUTED_VALUE"""),"saletructiep_Canada.90hHoc.PTATT_PTATT_LD005")</f>
        <v>saletructiep_Canada.90hHoc.PTATT_PTATT_LD005</v>
      </c>
      <c r="T441" s="54"/>
      <c r="U441" s="56"/>
    </row>
    <row r="442">
      <c r="A442" s="80" t="s">
        <v>822</v>
      </c>
      <c r="B442" s="54" t="s">
        <v>166</v>
      </c>
      <c r="C442" s="54" t="str">
        <f>IFERROR(__xludf.DUMMYFUNCTION("""COMPUTED_VALUE"""),"LD005")</f>
        <v>LD005</v>
      </c>
      <c r="D442" s="54" t="s">
        <v>42</v>
      </c>
      <c r="E442" s="54" t="s">
        <v>79</v>
      </c>
      <c r="F442" s="55" t="s">
        <v>539</v>
      </c>
      <c r="G442" s="54">
        <v>1834.0</v>
      </c>
      <c r="H442" s="54" t="s">
        <v>75</v>
      </c>
      <c r="I442" s="55" t="s">
        <v>825</v>
      </c>
      <c r="J442" s="55" t="s">
        <v>825</v>
      </c>
      <c r="K442" s="54" t="s">
        <v>61</v>
      </c>
      <c r="L442" s="54" t="s">
        <v>317</v>
      </c>
      <c r="M442" s="54" t="s">
        <v>78</v>
      </c>
      <c r="N442" s="54" t="s">
        <v>79</v>
      </c>
      <c r="O442" s="54" t="s">
        <v>224</v>
      </c>
      <c r="P442" s="54" t="s">
        <v>110</v>
      </c>
      <c r="Q442" s="54" t="str">
        <f>IFERROR(__xludf.DUMMYFUNCTION("""COMPUTED_VALUE"""),"ALL.90hHoc.PTATT_XuBen.5018_MES_HuyNV_110822")</f>
        <v>ALL.90hHoc.PTATT_XuBen.5018_MES_HuyNV_110822</v>
      </c>
      <c r="R442" s="54" t="str">
        <f>IFERROR(__xludf.DUMMYFUNCTION("""COMPUTED_VALUE"""),"NEW_ALL_1834_none_110822")</f>
        <v>NEW_ALL_1834_none_110822</v>
      </c>
      <c r="S442" s="54" t="str">
        <f>IFERROR(__xludf.DUMMYFUNCTION("""COMPUTED_VALUE"""),"saletructiep_ALL.90hHoc.PTATT_PTATT_LD005")</f>
        <v>saletructiep_ALL.90hHoc.PTATT_PTATT_LD005</v>
      </c>
      <c r="T442" s="54"/>
      <c r="U442" s="56"/>
    </row>
    <row r="443">
      <c r="A443" s="80" t="s">
        <v>822</v>
      </c>
      <c r="B443" s="54" t="s">
        <v>166</v>
      </c>
      <c r="C443" s="54" t="str">
        <f>IFERROR(__xludf.DUMMYFUNCTION("""COMPUTED_VALUE"""),"LD005")</f>
        <v>LD005</v>
      </c>
      <c r="D443" s="54" t="s">
        <v>42</v>
      </c>
      <c r="E443" s="54" t="s">
        <v>79</v>
      </c>
      <c r="F443" s="55" t="s">
        <v>174</v>
      </c>
      <c r="G443" s="54">
        <v>1834.0</v>
      </c>
      <c r="H443" s="54" t="s">
        <v>75</v>
      </c>
      <c r="I443" s="55" t="s">
        <v>826</v>
      </c>
      <c r="J443" s="73" t="s">
        <v>826</v>
      </c>
      <c r="K443" s="54" t="s">
        <v>61</v>
      </c>
      <c r="L443" s="54" t="s">
        <v>317</v>
      </c>
      <c r="M443" s="54" t="s">
        <v>78</v>
      </c>
      <c r="N443" s="54" t="s">
        <v>79</v>
      </c>
      <c r="O443" s="54" t="s">
        <v>224</v>
      </c>
      <c r="P443" s="54" t="s">
        <v>110</v>
      </c>
      <c r="Q443" s="54" t="str">
        <f>IFERROR(__xludf.DUMMYFUNCTION("""COMPUTED_VALUE"""),"Philippines.90hHoc.PTATT_XuBen.5018_MES_HuyNV_110822")</f>
        <v>Philippines.90hHoc.PTATT_XuBen.5018_MES_HuyNV_110822</v>
      </c>
      <c r="R443" s="54" t="str">
        <f>IFERROR(__xludf.DUMMYFUNCTION("""COMPUTED_VALUE"""),"NEW_Philippines_1834_none_110822")</f>
        <v>NEW_Philippines_1834_none_110822</v>
      </c>
      <c r="S443" s="54" t="str">
        <f>IFERROR(__xludf.DUMMYFUNCTION("""COMPUTED_VALUE"""),"saletructiep_Philippines.90hHoc.PTATT_PTATT_LD005")</f>
        <v>saletructiep_Philippines.90hHoc.PTATT_PTATT_LD005</v>
      </c>
      <c r="T443" s="54"/>
      <c r="U443" s="56"/>
    </row>
    <row r="444">
      <c r="A444" s="80" t="s">
        <v>822</v>
      </c>
      <c r="B444" s="54" t="s">
        <v>166</v>
      </c>
      <c r="C444" s="54" t="str">
        <f>IFERROR(__xludf.DUMMYFUNCTION("""COMPUTED_VALUE"""),"LD005")</f>
        <v>LD005</v>
      </c>
      <c r="D444" s="54" t="s">
        <v>42</v>
      </c>
      <c r="E444" s="54" t="s">
        <v>79</v>
      </c>
      <c r="F444" s="55" t="s">
        <v>461</v>
      </c>
      <c r="G444" s="54">
        <v>1834.0</v>
      </c>
      <c r="H444" s="54" t="s">
        <v>75</v>
      </c>
      <c r="I444" s="55" t="s">
        <v>827</v>
      </c>
      <c r="J444" s="55" t="s">
        <v>827</v>
      </c>
      <c r="K444" s="54" t="s">
        <v>61</v>
      </c>
      <c r="L444" s="54" t="s">
        <v>317</v>
      </c>
      <c r="M444" s="54" t="s">
        <v>78</v>
      </c>
      <c r="N444" s="54" t="s">
        <v>79</v>
      </c>
      <c r="O444" s="54" t="s">
        <v>224</v>
      </c>
      <c r="P444" s="54" t="s">
        <v>110</v>
      </c>
      <c r="Q444" s="54" t="str">
        <f>IFERROR(__xludf.DUMMYFUNCTION("""COMPUTED_VALUE"""),"CzechRepublic.90hHoc.PTATT_XuBen.5018_MES_HuyNV_110822")</f>
        <v>CzechRepublic.90hHoc.PTATT_XuBen.5018_MES_HuyNV_110822</v>
      </c>
      <c r="R444" s="54" t="str">
        <f>IFERROR(__xludf.DUMMYFUNCTION("""COMPUTED_VALUE"""),"NEW_CzechRepublic_1834_none_110822")</f>
        <v>NEW_CzechRepublic_1834_none_110822</v>
      </c>
      <c r="S444" s="54" t="str">
        <f>IFERROR(__xludf.DUMMYFUNCTION("""COMPUTED_VALUE"""),"saletructiep_CzechRepublic.90hHoc.PTATT_PTATT_LD005")</f>
        <v>saletructiep_CzechRepublic.90hHoc.PTATT_PTATT_LD005</v>
      </c>
      <c r="T444" s="54"/>
      <c r="U444" s="56"/>
    </row>
    <row r="445">
      <c r="A445" s="80" t="s">
        <v>822</v>
      </c>
      <c r="B445" s="54" t="s">
        <v>166</v>
      </c>
      <c r="C445" s="54" t="str">
        <f>IFERROR(__xludf.DUMMYFUNCTION("""COMPUTED_VALUE"""),"LD005")</f>
        <v>LD005</v>
      </c>
      <c r="D445" s="54" t="s">
        <v>42</v>
      </c>
      <c r="E445" s="54" t="s">
        <v>79</v>
      </c>
      <c r="F445" s="55" t="s">
        <v>828</v>
      </c>
      <c r="G445" s="54">
        <v>1834.0</v>
      </c>
      <c r="H445" s="54" t="s">
        <v>75</v>
      </c>
      <c r="I445" s="55" t="s">
        <v>829</v>
      </c>
      <c r="J445" s="55" t="s">
        <v>829</v>
      </c>
      <c r="K445" s="54" t="s">
        <v>61</v>
      </c>
      <c r="L445" s="54" t="s">
        <v>317</v>
      </c>
      <c r="M445" s="54" t="s">
        <v>78</v>
      </c>
      <c r="N445" s="54" t="s">
        <v>79</v>
      </c>
      <c r="O445" s="54" t="s">
        <v>224</v>
      </c>
      <c r="P445" s="54" t="s">
        <v>110</v>
      </c>
      <c r="Q445" s="54" t="str">
        <f>IFERROR(__xludf.DUMMYFUNCTION("""COMPUTED_VALUE"""),"Asia.90hHoc.PTATT_XuBen.5018_MES_HuyNV_110822")</f>
        <v>Asia.90hHoc.PTATT_XuBen.5018_MES_HuyNV_110822</v>
      </c>
      <c r="R445" s="54" t="str">
        <f>IFERROR(__xludf.DUMMYFUNCTION("""COMPUTED_VALUE"""),"NEW_Asia_1834_none_110822")</f>
        <v>NEW_Asia_1834_none_110822</v>
      </c>
      <c r="S445" s="54" t="str">
        <f>IFERROR(__xludf.DUMMYFUNCTION("""COMPUTED_VALUE"""),"saletructiep_Asia.90hHoc.PTATT_PTATT_LD005")</f>
        <v>saletructiep_Asia.90hHoc.PTATT_PTATT_LD005</v>
      </c>
      <c r="T445" s="54"/>
      <c r="U445" s="56"/>
    </row>
    <row r="446">
      <c r="A446" s="80" t="s">
        <v>822</v>
      </c>
      <c r="B446" s="54" t="s">
        <v>166</v>
      </c>
      <c r="C446" s="54" t="str">
        <f>IFERROR(__xludf.DUMMYFUNCTION("""COMPUTED_VALUE"""),"LD005")</f>
        <v>LD005</v>
      </c>
      <c r="D446" s="54" t="s">
        <v>42</v>
      </c>
      <c r="E446" s="54" t="s">
        <v>79</v>
      </c>
      <c r="F446" s="55" t="s">
        <v>133</v>
      </c>
      <c r="G446" s="54">
        <v>1834.0</v>
      </c>
      <c r="H446" s="54" t="s">
        <v>75</v>
      </c>
      <c r="I446" s="55" t="s">
        <v>830</v>
      </c>
      <c r="J446" s="55" t="s">
        <v>830</v>
      </c>
      <c r="K446" s="54" t="s">
        <v>61</v>
      </c>
      <c r="L446" s="54" t="s">
        <v>317</v>
      </c>
      <c r="M446" s="54" t="s">
        <v>78</v>
      </c>
      <c r="N446" s="54" t="s">
        <v>79</v>
      </c>
      <c r="O446" s="54" t="s">
        <v>224</v>
      </c>
      <c r="P446" s="54" t="s">
        <v>110</v>
      </c>
      <c r="Q446" s="54" t="str">
        <f>IFERROR(__xludf.DUMMYFUNCTION("""COMPUTED_VALUE"""),"Japan.90hHoc.PTATT_XuBen.5018_MES_HuyNV_110822")</f>
        <v>Japan.90hHoc.PTATT_XuBen.5018_MES_HuyNV_110822</v>
      </c>
      <c r="R446" s="54" t="str">
        <f>IFERROR(__xludf.DUMMYFUNCTION("""COMPUTED_VALUE"""),"NEW_Japan_1834_none_110822")</f>
        <v>NEW_Japan_1834_none_110822</v>
      </c>
      <c r="S446" s="54" t="str">
        <f>IFERROR(__xludf.DUMMYFUNCTION("""COMPUTED_VALUE"""),"saletructiep_Japan.90hHoc.PTATT_PTATT_LD005")</f>
        <v>saletructiep_Japan.90hHoc.PTATT_PTATT_LD005</v>
      </c>
      <c r="T446" s="54"/>
      <c r="U446" s="56"/>
    </row>
    <row r="447">
      <c r="A447" s="80" t="s">
        <v>822</v>
      </c>
      <c r="B447" s="54" t="s">
        <v>166</v>
      </c>
      <c r="C447" s="54" t="str">
        <f>IFERROR(__xludf.DUMMYFUNCTION("""COMPUTED_VALUE"""),"LD005")</f>
        <v>LD005</v>
      </c>
      <c r="D447" s="54" t="s">
        <v>42</v>
      </c>
      <c r="E447" s="54" t="s">
        <v>79</v>
      </c>
      <c r="F447" s="55" t="s">
        <v>258</v>
      </c>
      <c r="G447" s="54">
        <v>1834.0</v>
      </c>
      <c r="H447" s="54" t="s">
        <v>75</v>
      </c>
      <c r="I447" s="55" t="s">
        <v>831</v>
      </c>
      <c r="J447" s="55" t="s">
        <v>831</v>
      </c>
      <c r="K447" s="54" t="s">
        <v>61</v>
      </c>
      <c r="L447" s="54" t="s">
        <v>317</v>
      </c>
      <c r="M447" s="54" t="s">
        <v>78</v>
      </c>
      <c r="N447" s="54" t="s">
        <v>79</v>
      </c>
      <c r="O447" s="54" t="s">
        <v>224</v>
      </c>
      <c r="P447" s="54" t="s">
        <v>110</v>
      </c>
      <c r="Q447" s="54" t="str">
        <f>IFERROR(__xludf.DUMMYFUNCTION("""COMPUTED_VALUE"""),"Germany.90hHoc.PTATT_XuBen.5018_MES_HuyNV_110822")</f>
        <v>Germany.90hHoc.PTATT_XuBen.5018_MES_HuyNV_110822</v>
      </c>
      <c r="R447" s="54" t="str">
        <f>IFERROR(__xludf.DUMMYFUNCTION("""COMPUTED_VALUE"""),"NEW_Germany_1834_none_110822")</f>
        <v>NEW_Germany_1834_none_110822</v>
      </c>
      <c r="S447" s="54" t="str">
        <f>IFERROR(__xludf.DUMMYFUNCTION("""COMPUTED_VALUE"""),"saletructiep_Germany.90hHoc.PTATT_PTATT_LD005")</f>
        <v>saletructiep_Germany.90hHoc.PTATT_PTATT_LD005</v>
      </c>
      <c r="T447" s="54"/>
      <c r="U447" s="56"/>
    </row>
    <row r="448">
      <c r="A448" s="80" t="s">
        <v>822</v>
      </c>
      <c r="B448" s="54" t="s">
        <v>166</v>
      </c>
      <c r="C448" s="54" t="str">
        <f>IFERROR(__xludf.DUMMYFUNCTION("""COMPUTED_VALUE"""),"LD005")</f>
        <v>LD005</v>
      </c>
      <c r="D448" s="54" t="s">
        <v>42</v>
      </c>
      <c r="E448" s="54" t="s">
        <v>79</v>
      </c>
      <c r="F448" s="55" t="s">
        <v>467</v>
      </c>
      <c r="G448" s="54">
        <v>1834.0</v>
      </c>
      <c r="H448" s="54" t="s">
        <v>75</v>
      </c>
      <c r="I448" s="55" t="s">
        <v>832</v>
      </c>
      <c r="J448" s="55" t="s">
        <v>832</v>
      </c>
      <c r="K448" s="54" t="s">
        <v>61</v>
      </c>
      <c r="L448" s="54" t="s">
        <v>317</v>
      </c>
      <c r="M448" s="54" t="s">
        <v>78</v>
      </c>
      <c r="N448" s="54" t="s">
        <v>79</v>
      </c>
      <c r="O448" s="54" t="s">
        <v>224</v>
      </c>
      <c r="P448" s="54" t="s">
        <v>110</v>
      </c>
      <c r="Q448" s="54" t="str">
        <f>IFERROR(__xludf.DUMMYFUNCTION("""COMPUTED_VALUE"""),"Poland.90hHoc.PTATT_XuBen.5018_MES_HuyNV_110822")</f>
        <v>Poland.90hHoc.PTATT_XuBen.5018_MES_HuyNV_110822</v>
      </c>
      <c r="R448" s="54" t="str">
        <f>IFERROR(__xludf.DUMMYFUNCTION("""COMPUTED_VALUE"""),"NEW_Poland_1834_none_110822")</f>
        <v>NEW_Poland_1834_none_110822</v>
      </c>
      <c r="S448" s="54" t="str">
        <f>IFERROR(__xludf.DUMMYFUNCTION("""COMPUTED_VALUE"""),"saletructiep_Poland.90hHoc.PTATT_PTATT_LD005")</f>
        <v>saletructiep_Poland.90hHoc.PTATT_PTATT_LD005</v>
      </c>
      <c r="T448" s="54"/>
      <c r="U448" s="56"/>
    </row>
    <row r="449">
      <c r="A449" s="64" t="s">
        <v>833</v>
      </c>
      <c r="B449" s="54" t="s">
        <v>166</v>
      </c>
      <c r="C449" s="54" t="str">
        <f>IFERROR(__xludf.DUMMYFUNCTION("""COMPUTED_VALUE"""),"LD005")</f>
        <v>LD005</v>
      </c>
      <c r="D449" s="54" t="s">
        <v>42</v>
      </c>
      <c r="E449" s="54" t="s">
        <v>79</v>
      </c>
      <c r="F449" s="55" t="s">
        <v>133</v>
      </c>
      <c r="G449" s="54">
        <v>1834.0</v>
      </c>
      <c r="H449" s="54" t="s">
        <v>75</v>
      </c>
      <c r="I449" s="55" t="s">
        <v>834</v>
      </c>
      <c r="J449" s="55" t="s">
        <v>834</v>
      </c>
      <c r="K449" s="54" t="s">
        <v>61</v>
      </c>
      <c r="L449" s="54" t="s">
        <v>317</v>
      </c>
      <c r="M449" s="54" t="s">
        <v>78</v>
      </c>
      <c r="N449" s="54" t="s">
        <v>79</v>
      </c>
      <c r="O449" s="54" t="s">
        <v>224</v>
      </c>
      <c r="P449" s="54" t="s">
        <v>110</v>
      </c>
      <c r="Q449" s="54" t="str">
        <f>IFERROR(__xludf.DUMMYFUNCTION("""COMPUTED_VALUE"""),"Japan.TaiSaoChonPat.PTATT_XuBen.5018_MES_HuyNV_170822")</f>
        <v>Japan.TaiSaoChonPat.PTATT_XuBen.5018_MES_HuyNV_170822</v>
      </c>
      <c r="R449" s="54" t="str">
        <f>IFERROR(__xludf.DUMMYFUNCTION("""COMPUTED_VALUE"""),"NEW_Japan_1834_none_170822")</f>
        <v>NEW_Japan_1834_none_170822</v>
      </c>
      <c r="S449" s="54" t="str">
        <f>IFERROR(__xludf.DUMMYFUNCTION("""COMPUTED_VALUE"""),"saletructiep_Japan.TaiSaoChonPat.PTATT_PTATT_LD005")</f>
        <v>saletructiep_Japan.TaiSaoChonPat.PTATT_PTATT_LD005</v>
      </c>
      <c r="T449" s="54"/>
      <c r="U449" s="56"/>
    </row>
    <row r="450">
      <c r="A450" s="66">
        <v>220822.0</v>
      </c>
      <c r="B450" s="54" t="s">
        <v>166</v>
      </c>
      <c r="C450" s="54" t="str">
        <f>IFERROR(__xludf.DUMMYFUNCTION("""COMPUTED_VALUE"""),"LD005")</f>
        <v>LD005</v>
      </c>
      <c r="D450" s="54" t="s">
        <v>42</v>
      </c>
      <c r="E450" s="54" t="s">
        <v>79</v>
      </c>
      <c r="F450" s="55" t="s">
        <v>164</v>
      </c>
      <c r="G450" s="54">
        <v>1834.0</v>
      </c>
      <c r="H450" s="54" t="s">
        <v>75</v>
      </c>
      <c r="I450" s="55" t="s">
        <v>835</v>
      </c>
      <c r="J450" s="55" t="s">
        <v>835</v>
      </c>
      <c r="K450" s="54" t="s">
        <v>61</v>
      </c>
      <c r="L450" s="54" t="s">
        <v>317</v>
      </c>
      <c r="M450" s="54" t="s">
        <v>78</v>
      </c>
      <c r="N450" s="54" t="s">
        <v>79</v>
      </c>
      <c r="O450" s="54" t="s">
        <v>224</v>
      </c>
      <c r="P450" s="54" t="s">
        <v>110</v>
      </c>
      <c r="Q450" s="54" t="str">
        <f>IFERROR(__xludf.DUMMYFUNCTION("""COMPUTED_VALUE"""),"Taiwan.AnhOly.PTATT_XuBen.5018_MES_HuyNV_220822")</f>
        <v>Taiwan.AnhOly.PTATT_XuBen.5018_MES_HuyNV_220822</v>
      </c>
      <c r="R450" s="54" t="str">
        <f>IFERROR(__xludf.DUMMYFUNCTION("""COMPUTED_VALUE"""),"NEW_Taiwan_1834_none_220822")</f>
        <v>NEW_Taiwan_1834_none_220822</v>
      </c>
      <c r="S450" s="54" t="str">
        <f>IFERROR(__xludf.DUMMYFUNCTION("""COMPUTED_VALUE"""),"saletructiep_Taiwan.AnhOly.PTATT_PTATT_LD005")</f>
        <v>saletructiep_Taiwan.AnhOly.PTATT_PTATT_LD005</v>
      </c>
      <c r="T450" s="54"/>
      <c r="U450" s="56"/>
    </row>
    <row r="451">
      <c r="A451" s="77">
        <v>220822.0</v>
      </c>
      <c r="B451" s="54" t="s">
        <v>166</v>
      </c>
      <c r="C451" s="54" t="str">
        <f>IFERROR(__xludf.DUMMYFUNCTION("""COMPUTED_VALUE"""),"LD005")</f>
        <v>LD005</v>
      </c>
      <c r="D451" s="54" t="s">
        <v>42</v>
      </c>
      <c r="E451" s="54" t="s">
        <v>79</v>
      </c>
      <c r="F451" s="55" t="s">
        <v>107</v>
      </c>
      <c r="G451" s="54">
        <v>1834.0</v>
      </c>
      <c r="H451" s="54" t="s">
        <v>75</v>
      </c>
      <c r="I451" s="55" t="s">
        <v>836</v>
      </c>
      <c r="J451" s="55" t="s">
        <v>836</v>
      </c>
      <c r="K451" s="54" t="s">
        <v>61</v>
      </c>
      <c r="L451" s="54" t="s">
        <v>317</v>
      </c>
      <c r="M451" s="54" t="s">
        <v>78</v>
      </c>
      <c r="N451" s="54" t="s">
        <v>79</v>
      </c>
      <c r="O451" s="54" t="s">
        <v>224</v>
      </c>
      <c r="P451" s="54" t="s">
        <v>110</v>
      </c>
      <c r="Q451" s="54" t="str">
        <f>IFERROR(__xludf.DUMMYFUNCTION("""COMPUTED_VALUE"""),"UnitedStates.AnhOly.PTATT_XuBen.5018_MES_HuyNV_220822")</f>
        <v>UnitedStates.AnhOly.PTATT_XuBen.5018_MES_HuyNV_220822</v>
      </c>
      <c r="R451" s="54" t="str">
        <f>IFERROR(__xludf.DUMMYFUNCTION("""COMPUTED_VALUE"""),"NEW_UnitedStates_1834_none_220822")</f>
        <v>NEW_UnitedStates_1834_none_220822</v>
      </c>
      <c r="S451" s="54" t="str">
        <f>IFERROR(__xludf.DUMMYFUNCTION("""COMPUTED_VALUE"""),"saletructiep_UnitedStates.AnhOly.PTATT_PTATT_LD005")</f>
        <v>saletructiep_UnitedStates.AnhOly.PTATT_PTATT_LD005</v>
      </c>
      <c r="T451" s="54"/>
      <c r="U451" s="56"/>
    </row>
    <row r="452">
      <c r="A452" s="66">
        <v>240822.0</v>
      </c>
      <c r="B452" s="73" t="s">
        <v>772</v>
      </c>
      <c r="C452" s="54" t="str">
        <f>IFERROR(__xludf.DUMMYFUNCTION("""COMPUTED_VALUE"""),"LD115")</f>
        <v>LD115</v>
      </c>
      <c r="D452" s="54" t="s">
        <v>42</v>
      </c>
      <c r="E452" s="55" t="s">
        <v>69</v>
      </c>
      <c r="F452" s="55" t="s">
        <v>133</v>
      </c>
      <c r="G452" s="54">
        <v>1834.0</v>
      </c>
      <c r="H452" s="54" t="s">
        <v>75</v>
      </c>
      <c r="I452" s="55" t="s">
        <v>837</v>
      </c>
      <c r="J452" s="55" t="s">
        <v>837</v>
      </c>
      <c r="K452" s="54" t="s">
        <v>61</v>
      </c>
      <c r="L452" s="54" t="s">
        <v>317</v>
      </c>
      <c r="M452" s="54" t="s">
        <v>78</v>
      </c>
      <c r="N452" s="55" t="s">
        <v>69</v>
      </c>
      <c r="O452" s="54" t="s">
        <v>224</v>
      </c>
      <c r="P452" s="54" t="s">
        <v>110</v>
      </c>
      <c r="Q452" s="54" t="str">
        <f>IFERROR(__xludf.DUMMYFUNCTION("""COMPUTED_VALUE"""),"Japan.AnhTaiSao.PTATT_XuBen.5018_CVS_HuyNV_240822")</f>
        <v>Japan.AnhTaiSao.PTATT_XuBen.5018_CVS_HuyNV_240822</v>
      </c>
      <c r="R452" s="54" t="str">
        <f>IFERROR(__xludf.DUMMYFUNCTION("""COMPUTED_VALUE"""),"NEW_Japan_1834_none_240822")</f>
        <v>NEW_Japan_1834_none_240822</v>
      </c>
      <c r="S452" s="54" t="str">
        <f>IFERROR(__xludf.DUMMYFUNCTION("""COMPUTED_VALUE"""),"saletructiep_Japan.AnhTaiSao.PTATT_PTATT_LD115")</f>
        <v>saletructiep_Japan.AnhTaiSao.PTATT_PTATT_LD115</v>
      </c>
      <c r="T452" s="54"/>
      <c r="U452" s="56"/>
    </row>
    <row r="453">
      <c r="A453" s="66">
        <v>240822.0</v>
      </c>
      <c r="B453" s="73" t="s">
        <v>776</v>
      </c>
      <c r="C453" s="54" t="str">
        <f>IFERROR(__xludf.DUMMYFUNCTION("""COMPUTED_VALUE"""),"LD117")</f>
        <v>LD117</v>
      </c>
      <c r="D453" s="54" t="s">
        <v>42</v>
      </c>
      <c r="E453" s="73" t="s">
        <v>69</v>
      </c>
      <c r="F453" s="55" t="s">
        <v>625</v>
      </c>
      <c r="G453" s="54">
        <v>1834.0</v>
      </c>
      <c r="H453" s="54" t="s">
        <v>75</v>
      </c>
      <c r="I453" s="55" t="s">
        <v>838</v>
      </c>
      <c r="J453" s="55" t="s">
        <v>838</v>
      </c>
      <c r="K453" s="54" t="s">
        <v>61</v>
      </c>
      <c r="L453" s="54" t="s">
        <v>317</v>
      </c>
      <c r="M453" s="54" t="s">
        <v>78</v>
      </c>
      <c r="N453" s="73" t="s">
        <v>69</v>
      </c>
      <c r="O453" s="54" t="s">
        <v>224</v>
      </c>
      <c r="P453" s="54" t="s">
        <v>110</v>
      </c>
      <c r="Q453" s="54" t="str">
        <f>IFERROR(__xludf.DUMMYFUNCTION("""COMPUTED_VALUE"""),"KoreaSouth.AnhTaiSao.PTATT_XuBen.5018_CVS_HuyNV_240822")</f>
        <v>KoreaSouth.AnhTaiSao.PTATT_XuBen.5018_CVS_HuyNV_240822</v>
      </c>
      <c r="R453" s="54" t="str">
        <f>IFERROR(__xludf.DUMMYFUNCTION("""COMPUTED_VALUE"""),"NEW_KoreaSouth_1834_none_240822")</f>
        <v>NEW_KoreaSouth_1834_none_240822</v>
      </c>
      <c r="S453" s="54" t="str">
        <f>IFERROR(__xludf.DUMMYFUNCTION("""COMPUTED_VALUE"""),"saletructiep_KoreaSouth.AnhTaiSao.PTATT_PTATT_LD117")</f>
        <v>saletructiep_KoreaSouth.AnhTaiSao.PTATT_PTATT_LD117</v>
      </c>
      <c r="T453" s="54"/>
      <c r="U453" s="56"/>
    </row>
    <row r="454">
      <c r="A454" s="66">
        <v>240822.0</v>
      </c>
      <c r="B454" s="73" t="s">
        <v>712</v>
      </c>
      <c r="C454" s="54" t="str">
        <f>IFERROR(__xludf.DUMMYFUNCTION("""COMPUTED_VALUE"""),"LD109")</f>
        <v>LD109</v>
      </c>
      <c r="D454" s="54" t="s">
        <v>42</v>
      </c>
      <c r="E454" s="55" t="s">
        <v>79</v>
      </c>
      <c r="F454" s="55" t="s">
        <v>107</v>
      </c>
      <c r="G454" s="54">
        <v>1834.0</v>
      </c>
      <c r="H454" s="54" t="s">
        <v>75</v>
      </c>
      <c r="I454" s="55" t="s">
        <v>839</v>
      </c>
      <c r="J454" s="55" t="s">
        <v>839</v>
      </c>
      <c r="K454" s="54" t="s">
        <v>61</v>
      </c>
      <c r="L454" s="54" t="s">
        <v>317</v>
      </c>
      <c r="M454" s="54" t="s">
        <v>78</v>
      </c>
      <c r="N454" s="55" t="s">
        <v>79</v>
      </c>
      <c r="O454" s="54" t="s">
        <v>224</v>
      </c>
      <c r="P454" s="54" t="s">
        <v>110</v>
      </c>
      <c r="Q454" s="54" t="str">
        <f>IFERROR(__xludf.DUMMYFUNCTION("""COMPUTED_VALUE"""),"UnitedStates.AnhTaiSao.PTATT_XuBen.5018_MES_HuyNV_240822")</f>
        <v>UnitedStates.AnhTaiSao.PTATT_XuBen.5018_MES_HuyNV_240822</v>
      </c>
      <c r="R454" s="54" t="str">
        <f>IFERROR(__xludf.DUMMYFUNCTION("""COMPUTED_VALUE"""),"NEW_UnitedStates_1834_none_240822")</f>
        <v>NEW_UnitedStates_1834_none_240822</v>
      </c>
      <c r="S454" s="54" t="str">
        <f>IFERROR(__xludf.DUMMYFUNCTION("""COMPUTED_VALUE"""),"saletructiep_UnitedStates.AnhTaiSao.PTATT_PTATT_LD109")</f>
        <v>saletructiep_UnitedStates.AnhTaiSao.PTATT_PTATT_LD109</v>
      </c>
      <c r="T454" s="54"/>
      <c r="U454" s="56"/>
    </row>
    <row r="455">
      <c r="A455" s="66">
        <v>240822.0</v>
      </c>
      <c r="B455" s="73" t="s">
        <v>712</v>
      </c>
      <c r="C455" s="54" t="str">
        <f>IFERROR(__xludf.DUMMYFUNCTION("""COMPUTED_VALUE"""),"LD109")</f>
        <v>LD109</v>
      </c>
      <c r="D455" s="54" t="s">
        <v>42</v>
      </c>
      <c r="E455" s="73" t="s">
        <v>79</v>
      </c>
      <c r="F455" s="55" t="s">
        <v>164</v>
      </c>
      <c r="G455" s="54">
        <v>1834.0</v>
      </c>
      <c r="H455" s="54" t="s">
        <v>75</v>
      </c>
      <c r="I455" s="55" t="s">
        <v>840</v>
      </c>
      <c r="J455" s="55" t="s">
        <v>840</v>
      </c>
      <c r="K455" s="54" t="s">
        <v>61</v>
      </c>
      <c r="L455" s="54" t="s">
        <v>317</v>
      </c>
      <c r="M455" s="54" t="s">
        <v>78</v>
      </c>
      <c r="N455" s="73" t="s">
        <v>79</v>
      </c>
      <c r="O455" s="54" t="s">
        <v>224</v>
      </c>
      <c r="P455" s="54" t="s">
        <v>110</v>
      </c>
      <c r="Q455" s="54" t="str">
        <f>IFERROR(__xludf.DUMMYFUNCTION("""COMPUTED_VALUE"""),"Taiwan.AnhTaiSao.PTATT_XuBen.5018_MES_HuyNV_240822")</f>
        <v>Taiwan.AnhTaiSao.PTATT_XuBen.5018_MES_HuyNV_240822</v>
      </c>
      <c r="R455" s="54" t="str">
        <f>IFERROR(__xludf.DUMMYFUNCTION("""COMPUTED_VALUE"""),"NEW_Taiwan_1834_none_240822")</f>
        <v>NEW_Taiwan_1834_none_240822</v>
      </c>
      <c r="S455" s="54" t="str">
        <f>IFERROR(__xludf.DUMMYFUNCTION("""COMPUTED_VALUE"""),"saletructiep_Taiwan.AnhTaiSao.PTATT_PTATT_LD109")</f>
        <v>saletructiep_Taiwan.AnhTaiSao.PTATT_PTATT_LD109</v>
      </c>
      <c r="T455" s="54"/>
      <c r="U455" s="56"/>
    </row>
    <row r="456">
      <c r="A456" s="66">
        <v>260822.0</v>
      </c>
      <c r="B456" s="54" t="s">
        <v>166</v>
      </c>
      <c r="C456" s="54" t="str">
        <f>IFERROR(__xludf.DUMMYFUNCTION("""COMPUTED_VALUE"""),"LD005")</f>
        <v>LD005</v>
      </c>
      <c r="D456" s="54" t="s">
        <v>42</v>
      </c>
      <c r="E456" s="55" t="s">
        <v>69</v>
      </c>
      <c r="F456" s="55" t="s">
        <v>674</v>
      </c>
      <c r="G456" s="54">
        <v>1834.0</v>
      </c>
      <c r="H456" s="54" t="s">
        <v>75</v>
      </c>
      <c r="I456" s="55" t="s">
        <v>841</v>
      </c>
      <c r="J456" s="55" t="s">
        <v>841</v>
      </c>
      <c r="K456" s="54" t="s">
        <v>61</v>
      </c>
      <c r="L456" s="54" t="s">
        <v>317</v>
      </c>
      <c r="M456" s="54" t="s">
        <v>78</v>
      </c>
      <c r="N456" s="55" t="s">
        <v>69</v>
      </c>
      <c r="O456" s="54" t="s">
        <v>224</v>
      </c>
      <c r="P456" s="54" t="s">
        <v>110</v>
      </c>
      <c r="Q456" s="54" t="str">
        <f>IFERROR(__xludf.DUMMYFUNCTION("""COMPUTED_VALUE"""),"Europe.4Anh.PTATT_XuBen.5018_CVS_HuyNV_260822")</f>
        <v>Europe.4Anh.PTATT_XuBen.5018_CVS_HuyNV_260822</v>
      </c>
      <c r="R456" s="54" t="str">
        <f>IFERROR(__xludf.DUMMYFUNCTION("""COMPUTED_VALUE"""),"NEW_Europe_1834_none_260822")</f>
        <v>NEW_Europe_1834_none_260822</v>
      </c>
      <c r="S456" s="54" t="str">
        <f>IFERROR(__xludf.DUMMYFUNCTION("""COMPUTED_VALUE"""),"saletructiep_Europe.4Anh.PTATT_PTATT_LD005")</f>
        <v>saletructiep_Europe.4Anh.PTATT_PTATT_LD005</v>
      </c>
      <c r="T456" s="54"/>
      <c r="U456" s="56"/>
    </row>
    <row r="457">
      <c r="A457" s="66">
        <v>260822.0</v>
      </c>
      <c r="B457" s="54" t="s">
        <v>166</v>
      </c>
      <c r="C457" s="54" t="str">
        <f>IFERROR(__xludf.DUMMYFUNCTION("""COMPUTED_VALUE"""),"LD005")</f>
        <v>LD005</v>
      </c>
      <c r="D457" s="54" t="s">
        <v>42</v>
      </c>
      <c r="E457" s="55" t="s">
        <v>79</v>
      </c>
      <c r="F457" s="55" t="s">
        <v>164</v>
      </c>
      <c r="G457" s="54">
        <v>1834.0</v>
      </c>
      <c r="H457" s="54" t="s">
        <v>75</v>
      </c>
      <c r="I457" s="55" t="s">
        <v>842</v>
      </c>
      <c r="J457" s="55" t="s">
        <v>842</v>
      </c>
      <c r="K457" s="54" t="s">
        <v>61</v>
      </c>
      <c r="L457" s="54" t="s">
        <v>317</v>
      </c>
      <c r="M457" s="54" t="s">
        <v>78</v>
      </c>
      <c r="N457" s="73" t="s">
        <v>79</v>
      </c>
      <c r="O457" s="54" t="s">
        <v>224</v>
      </c>
      <c r="P457" s="54" t="s">
        <v>110</v>
      </c>
      <c r="Q457" s="54" t="str">
        <f>IFERROR(__xludf.DUMMYFUNCTION("""COMPUTED_VALUE"""),"Taiwan.ShortThongBao.PTATT_XuBen.5018_MES_HuyNV_260822")</f>
        <v>Taiwan.ShortThongBao.PTATT_XuBen.5018_MES_HuyNV_260822</v>
      </c>
      <c r="R457" s="54" t="str">
        <f>IFERROR(__xludf.DUMMYFUNCTION("""COMPUTED_VALUE"""),"NEW_Taiwan_1834_none_260822")</f>
        <v>NEW_Taiwan_1834_none_260822</v>
      </c>
      <c r="S457" s="54" t="str">
        <f>IFERROR(__xludf.DUMMYFUNCTION("""COMPUTED_VALUE"""),"saletructiep_Taiwan.ShortThongBao.PTATT_PTATT_LD005")</f>
        <v>saletructiep_Taiwan.ShortThongBao.PTATT_PTATT_LD005</v>
      </c>
      <c r="T457" s="54"/>
      <c r="U457" s="56"/>
    </row>
    <row r="458">
      <c r="A458" s="64" t="s">
        <v>843</v>
      </c>
      <c r="B458" s="54" t="s">
        <v>166</v>
      </c>
      <c r="C458" s="54" t="str">
        <f>IFERROR(__xludf.DUMMYFUNCTION("""COMPUTED_VALUE"""),"LD005")</f>
        <v>LD005</v>
      </c>
      <c r="D458" s="54" t="s">
        <v>42</v>
      </c>
      <c r="E458" s="55" t="s">
        <v>79</v>
      </c>
      <c r="F458" s="55" t="s">
        <v>625</v>
      </c>
      <c r="G458" s="54">
        <v>1834.0</v>
      </c>
      <c r="H458" s="54" t="s">
        <v>75</v>
      </c>
      <c r="I458" s="55" t="s">
        <v>844</v>
      </c>
      <c r="J458" s="55" t="s">
        <v>844</v>
      </c>
      <c r="K458" s="54" t="s">
        <v>61</v>
      </c>
      <c r="L458" s="54" t="s">
        <v>317</v>
      </c>
      <c r="M458" s="54" t="s">
        <v>78</v>
      </c>
      <c r="N458" s="73" t="s">
        <v>79</v>
      </c>
      <c r="O458" s="54" t="s">
        <v>224</v>
      </c>
      <c r="P458" s="54" t="s">
        <v>110</v>
      </c>
      <c r="Q458" s="54" t="str">
        <f>IFERROR(__xludf.DUMMYFUNCTION("""COMPUTED_VALUE"""),"KoreaSouth.ShortThongBao.PTATT_XuBen.5018_MES_HuyNV_060922")</f>
        <v>KoreaSouth.ShortThongBao.PTATT_XuBen.5018_MES_HuyNV_060922</v>
      </c>
      <c r="R458" s="54" t="str">
        <f>IFERROR(__xludf.DUMMYFUNCTION("""COMPUTED_VALUE"""),"NEW_KoreaSouth_1834_none_060922")</f>
        <v>NEW_KoreaSouth_1834_none_060922</v>
      </c>
      <c r="S458" s="54" t="str">
        <f>IFERROR(__xludf.DUMMYFUNCTION("""COMPUTED_VALUE"""),"saletructiep_KoreaSouth.ShortThongBao.PTATT_PTATT_LD005")</f>
        <v>saletructiep_KoreaSouth.ShortThongBao.PTATT_PTATT_LD005</v>
      </c>
      <c r="T458" s="54"/>
      <c r="U458" s="56"/>
    </row>
    <row r="459">
      <c r="A459" s="64" t="s">
        <v>845</v>
      </c>
      <c r="B459" s="54" t="s">
        <v>166</v>
      </c>
      <c r="C459" s="54" t="str">
        <f>IFERROR(__xludf.DUMMYFUNCTION("""COMPUTED_VALUE"""),"LD005")</f>
        <v>LD005</v>
      </c>
      <c r="D459" s="54" t="s">
        <v>42</v>
      </c>
      <c r="E459" s="55" t="s">
        <v>79</v>
      </c>
      <c r="F459" s="55" t="s">
        <v>107</v>
      </c>
      <c r="G459" s="54">
        <v>1834.0</v>
      </c>
      <c r="H459" s="54" t="s">
        <v>75</v>
      </c>
      <c r="I459" s="55" t="s">
        <v>846</v>
      </c>
      <c r="J459" s="55" t="s">
        <v>846</v>
      </c>
      <c r="K459" s="54" t="s">
        <v>61</v>
      </c>
      <c r="L459" s="54" t="s">
        <v>317</v>
      </c>
      <c r="M459" s="54" t="s">
        <v>78</v>
      </c>
      <c r="N459" s="73" t="s">
        <v>79</v>
      </c>
      <c r="O459" s="54" t="s">
        <v>224</v>
      </c>
      <c r="P459" s="54" t="s">
        <v>110</v>
      </c>
      <c r="Q459" s="54" t="str">
        <f>IFERROR(__xludf.DUMMYFUNCTION("""COMPUTED_VALUE"""),"UnitedStates.ShortThongBao.PTATT_XuBen.5018_MES_HuyNV_070922")</f>
        <v>UnitedStates.ShortThongBao.PTATT_XuBen.5018_MES_HuyNV_070922</v>
      </c>
      <c r="R459" s="54" t="str">
        <f>IFERROR(__xludf.DUMMYFUNCTION("""COMPUTED_VALUE"""),"NEW_UnitedStates_1834_none_070922")</f>
        <v>NEW_UnitedStates_1834_none_070922</v>
      </c>
      <c r="S459" s="54" t="str">
        <f>IFERROR(__xludf.DUMMYFUNCTION("""COMPUTED_VALUE"""),"saletructiep_UnitedStates.ShortThongBao.PTATT_PTATT_LD005")</f>
        <v>saletructiep_UnitedStates.ShortThongBao.PTATT_PTATT_LD005</v>
      </c>
      <c r="T459" s="54"/>
      <c r="U459" s="56"/>
    </row>
    <row r="460">
      <c r="A460" s="64" t="s">
        <v>845</v>
      </c>
      <c r="B460" s="54" t="s">
        <v>166</v>
      </c>
      <c r="C460" s="54" t="str">
        <f>IFERROR(__xludf.DUMMYFUNCTION("""COMPUTED_VALUE"""),"LD005")</f>
        <v>LD005</v>
      </c>
      <c r="D460" s="54" t="s">
        <v>42</v>
      </c>
      <c r="E460" s="55" t="s">
        <v>79</v>
      </c>
      <c r="F460" s="55" t="s">
        <v>133</v>
      </c>
      <c r="G460" s="54">
        <v>1834.0</v>
      </c>
      <c r="H460" s="54" t="s">
        <v>75</v>
      </c>
      <c r="I460" s="55" t="s">
        <v>847</v>
      </c>
      <c r="J460" s="55" t="s">
        <v>847</v>
      </c>
      <c r="K460" s="54" t="s">
        <v>61</v>
      </c>
      <c r="L460" s="54" t="s">
        <v>317</v>
      </c>
      <c r="M460" s="54" t="s">
        <v>78</v>
      </c>
      <c r="N460" s="73" t="s">
        <v>79</v>
      </c>
      <c r="O460" s="54" t="s">
        <v>224</v>
      </c>
      <c r="P460" s="54" t="s">
        <v>110</v>
      </c>
      <c r="Q460" s="54" t="str">
        <f>IFERROR(__xludf.DUMMYFUNCTION("""COMPUTED_VALUE"""),"Japan.ShortThongBao.PTATT_XuBen.5018_MES_HuyNV_070922")</f>
        <v>Japan.ShortThongBao.PTATT_XuBen.5018_MES_HuyNV_070922</v>
      </c>
      <c r="R460" s="54" t="str">
        <f>IFERROR(__xludf.DUMMYFUNCTION("""COMPUTED_VALUE"""),"NEW_Japan_1834_none_070922")</f>
        <v>NEW_Japan_1834_none_070922</v>
      </c>
      <c r="S460" s="54" t="str">
        <f>IFERROR(__xludf.DUMMYFUNCTION("""COMPUTED_VALUE"""),"saletructiep_Japan.ShortThongBao.PTATT_PTATT_LD005")</f>
        <v>saletructiep_Japan.ShortThongBao.PTATT_PTATT_LD005</v>
      </c>
      <c r="T460" s="54"/>
      <c r="U460" s="56"/>
    </row>
    <row r="461">
      <c r="A461" s="64" t="s">
        <v>845</v>
      </c>
      <c r="B461" s="54" t="s">
        <v>166</v>
      </c>
      <c r="C461" s="54" t="str">
        <f>IFERROR(__xludf.DUMMYFUNCTION("""COMPUTED_VALUE"""),"LD005")</f>
        <v>LD005</v>
      </c>
      <c r="D461" s="54" t="s">
        <v>42</v>
      </c>
      <c r="E461" s="55" t="s">
        <v>79</v>
      </c>
      <c r="F461" s="55" t="s">
        <v>174</v>
      </c>
      <c r="G461" s="54">
        <v>1834.0</v>
      </c>
      <c r="H461" s="54" t="s">
        <v>75</v>
      </c>
      <c r="I461" s="55" t="s">
        <v>848</v>
      </c>
      <c r="J461" s="55" t="s">
        <v>848</v>
      </c>
      <c r="K461" s="54" t="s">
        <v>61</v>
      </c>
      <c r="L461" s="54" t="s">
        <v>317</v>
      </c>
      <c r="M461" s="54" t="s">
        <v>78</v>
      </c>
      <c r="N461" s="73" t="s">
        <v>79</v>
      </c>
      <c r="O461" s="54" t="s">
        <v>224</v>
      </c>
      <c r="P461" s="54" t="s">
        <v>110</v>
      </c>
      <c r="Q461" s="54" t="str">
        <f>IFERROR(__xludf.DUMMYFUNCTION("""COMPUTED_VALUE"""),"Philippines.ShortThongBao.PTATT_XuBen.5018_MES_HuyNV_070922")</f>
        <v>Philippines.ShortThongBao.PTATT_XuBen.5018_MES_HuyNV_070922</v>
      </c>
      <c r="R461" s="54" t="str">
        <f>IFERROR(__xludf.DUMMYFUNCTION("""COMPUTED_VALUE"""),"NEW_Philippines_1834_none_070922")</f>
        <v>NEW_Philippines_1834_none_070922</v>
      </c>
      <c r="S461" s="54" t="str">
        <f>IFERROR(__xludf.DUMMYFUNCTION("""COMPUTED_VALUE"""),"saletructiep_Philippines.ShortThongBao.PTATT_PTATT_LD005")</f>
        <v>saletructiep_Philippines.ShortThongBao.PTATT_PTATT_LD005</v>
      </c>
      <c r="T461" s="54"/>
      <c r="U461" s="56"/>
    </row>
    <row r="462">
      <c r="A462" s="64" t="s">
        <v>845</v>
      </c>
      <c r="B462" s="54" t="s">
        <v>166</v>
      </c>
      <c r="C462" s="54" t="str">
        <f>IFERROR(__xludf.DUMMYFUNCTION("""COMPUTED_VALUE"""),"LD005")</f>
        <v>LD005</v>
      </c>
      <c r="D462" s="54" t="s">
        <v>42</v>
      </c>
      <c r="E462" s="55" t="s">
        <v>79</v>
      </c>
      <c r="F462" s="55" t="s">
        <v>182</v>
      </c>
      <c r="G462" s="54">
        <v>1834.0</v>
      </c>
      <c r="H462" s="54" t="s">
        <v>75</v>
      </c>
      <c r="I462" s="55" t="s">
        <v>849</v>
      </c>
      <c r="J462" s="55" t="s">
        <v>849</v>
      </c>
      <c r="K462" s="54" t="s">
        <v>61</v>
      </c>
      <c r="L462" s="54" t="s">
        <v>317</v>
      </c>
      <c r="M462" s="54" t="s">
        <v>78</v>
      </c>
      <c r="N462" s="73" t="s">
        <v>79</v>
      </c>
      <c r="O462" s="54" t="s">
        <v>224</v>
      </c>
      <c r="P462" s="54" t="s">
        <v>110</v>
      </c>
      <c r="Q462" s="54" t="str">
        <f>IFERROR(__xludf.DUMMYFUNCTION("""COMPUTED_VALUE"""),"Malaysia.ShortThongBao.PTATT_XuBen.5018_MES_HuyNV_070922")</f>
        <v>Malaysia.ShortThongBao.PTATT_XuBen.5018_MES_HuyNV_070922</v>
      </c>
      <c r="R462" s="54" t="str">
        <f>IFERROR(__xludf.DUMMYFUNCTION("""COMPUTED_VALUE"""),"NEW_Malaysia_1834_none_070922")</f>
        <v>NEW_Malaysia_1834_none_070922</v>
      </c>
      <c r="S462" s="54" t="str">
        <f>IFERROR(__xludf.DUMMYFUNCTION("""COMPUTED_VALUE"""),"saletructiep_Malaysia.ShortThongBao.PTATT_PTATT_LD005")</f>
        <v>saletructiep_Malaysia.ShortThongBao.PTATT_PTATT_LD005</v>
      </c>
      <c r="T462" s="54"/>
      <c r="U462" s="56"/>
    </row>
    <row r="463">
      <c r="A463" s="64" t="s">
        <v>850</v>
      </c>
      <c r="B463" s="54" t="s">
        <v>166</v>
      </c>
      <c r="C463" s="54" t="str">
        <f>IFERROR(__xludf.DUMMYFUNCTION("""COMPUTED_VALUE"""),"LD005")</f>
        <v>LD005</v>
      </c>
      <c r="D463" s="54" t="s">
        <v>42</v>
      </c>
      <c r="E463" s="55" t="s">
        <v>79</v>
      </c>
      <c r="F463" s="55" t="s">
        <v>129</v>
      </c>
      <c r="G463" s="54">
        <v>1834.0</v>
      </c>
      <c r="H463" s="54" t="s">
        <v>75</v>
      </c>
      <c r="I463" s="55" t="s">
        <v>851</v>
      </c>
      <c r="J463" s="55" t="s">
        <v>851</v>
      </c>
      <c r="K463" s="54" t="s">
        <v>61</v>
      </c>
      <c r="L463" s="54" t="s">
        <v>317</v>
      </c>
      <c r="M463" s="54" t="s">
        <v>78</v>
      </c>
      <c r="N463" s="73" t="s">
        <v>79</v>
      </c>
      <c r="O463" s="54" t="s">
        <v>224</v>
      </c>
      <c r="P463" s="54" t="s">
        <v>110</v>
      </c>
      <c r="Q463" s="54" t="str">
        <f>IFERROR(__xludf.DUMMYFUNCTION("""COMPUTED_VALUE"""),"Australia.ShortThongBao.PTATT_XuBen.5018_MES_HuyNV_080922")</f>
        <v>Australia.ShortThongBao.PTATT_XuBen.5018_MES_HuyNV_080922</v>
      </c>
      <c r="R463" s="54" t="str">
        <f>IFERROR(__xludf.DUMMYFUNCTION("""COMPUTED_VALUE"""),"NEW_Australia_1834_none_080922")</f>
        <v>NEW_Australia_1834_none_080922</v>
      </c>
      <c r="S463" s="54" t="str">
        <f>IFERROR(__xludf.DUMMYFUNCTION("""COMPUTED_VALUE"""),"saletructiep_Australia.ShortThongBao.PTATT_PTATT_LD005")</f>
        <v>saletructiep_Australia.ShortThongBao.PTATT_PTATT_LD005</v>
      </c>
      <c r="T463" s="54"/>
      <c r="U463" s="56"/>
    </row>
    <row r="464">
      <c r="A464" s="64" t="s">
        <v>852</v>
      </c>
      <c r="B464" s="54" t="s">
        <v>166</v>
      </c>
      <c r="C464" s="54" t="str">
        <f>IFERROR(__xludf.DUMMYFUNCTION("""COMPUTED_VALUE"""),"LD005")</f>
        <v>LD005</v>
      </c>
      <c r="D464" s="54" t="s">
        <v>42</v>
      </c>
      <c r="E464" s="55" t="s">
        <v>79</v>
      </c>
      <c r="F464" s="55" t="s">
        <v>133</v>
      </c>
      <c r="G464" s="54">
        <v>1834.0</v>
      </c>
      <c r="H464" s="54" t="s">
        <v>75</v>
      </c>
      <c r="I464" s="55" t="s">
        <v>853</v>
      </c>
      <c r="J464" s="55" t="s">
        <v>853</v>
      </c>
      <c r="K464" s="54" t="s">
        <v>61</v>
      </c>
      <c r="L464" s="54" t="s">
        <v>317</v>
      </c>
      <c r="M464" s="54" t="s">
        <v>78</v>
      </c>
      <c r="N464" s="73" t="s">
        <v>79</v>
      </c>
      <c r="O464" s="54" t="s">
        <v>224</v>
      </c>
      <c r="P464" s="54" t="s">
        <v>110</v>
      </c>
      <c r="Q464" s="54" t="str">
        <f>IFERROR(__xludf.DUMMYFUNCTION("""COMPUTED_VALUE"""),"Japan.ShortThongBaoDen.PTATT_XuBen.5018_MES_HuyNV_130922")</f>
        <v>Japan.ShortThongBaoDen.PTATT_XuBen.5018_MES_HuyNV_130922</v>
      </c>
      <c r="R464" s="54" t="str">
        <f>IFERROR(__xludf.DUMMYFUNCTION("""COMPUTED_VALUE"""),"NEW_Japan_1834_none_130922")</f>
        <v>NEW_Japan_1834_none_130922</v>
      </c>
      <c r="S464" s="54" t="str">
        <f>IFERROR(__xludf.DUMMYFUNCTION("""COMPUTED_VALUE"""),"saletructiep_Japan.ShortThongBaoDen.PTATT_PTATT_LD005")</f>
        <v>saletructiep_Japan.ShortThongBaoDen.PTATT_PTATT_LD005</v>
      </c>
      <c r="T464" s="54"/>
      <c r="U464" s="56"/>
    </row>
    <row r="465">
      <c r="A465" s="64" t="s">
        <v>852</v>
      </c>
      <c r="B465" s="54" t="s">
        <v>166</v>
      </c>
      <c r="C465" s="54" t="str">
        <f>IFERROR(__xludf.DUMMYFUNCTION("""COMPUTED_VALUE"""),"LD005")</f>
        <v>LD005</v>
      </c>
      <c r="D465" s="54" t="s">
        <v>42</v>
      </c>
      <c r="E465" s="55" t="s">
        <v>79</v>
      </c>
      <c r="F465" s="55" t="s">
        <v>107</v>
      </c>
      <c r="G465" s="54">
        <v>1834.0</v>
      </c>
      <c r="H465" s="54" t="s">
        <v>75</v>
      </c>
      <c r="I465" s="55" t="s">
        <v>854</v>
      </c>
      <c r="J465" s="55" t="s">
        <v>854</v>
      </c>
      <c r="K465" s="54" t="s">
        <v>61</v>
      </c>
      <c r="L465" s="54" t="s">
        <v>317</v>
      </c>
      <c r="M465" s="54" t="s">
        <v>78</v>
      </c>
      <c r="N465" s="73" t="s">
        <v>79</v>
      </c>
      <c r="O465" s="54" t="s">
        <v>224</v>
      </c>
      <c r="P465" s="54" t="s">
        <v>110</v>
      </c>
      <c r="Q465" s="54" t="str">
        <f>IFERROR(__xludf.DUMMYFUNCTION("""COMPUTED_VALUE"""),"UnitedStates.ShortThongBaoDen.PTATT_XuBen.5018_MES_HuyNV_130922")</f>
        <v>UnitedStates.ShortThongBaoDen.PTATT_XuBen.5018_MES_HuyNV_130922</v>
      </c>
      <c r="R465" s="54" t="str">
        <f>IFERROR(__xludf.DUMMYFUNCTION("""COMPUTED_VALUE"""),"NEW_UnitedStates_1834_none_130922")</f>
        <v>NEW_UnitedStates_1834_none_130922</v>
      </c>
      <c r="S465" s="54" t="str">
        <f>IFERROR(__xludf.DUMMYFUNCTION("""COMPUTED_VALUE"""),"saletructiep_UnitedStates.ShortThongBaoDen.PTATT_PTATT_LD005")</f>
        <v>saletructiep_UnitedStates.ShortThongBaoDen.PTATT_PTATT_LD005</v>
      </c>
      <c r="T465" s="54"/>
      <c r="U465" s="56"/>
    </row>
    <row r="466">
      <c r="A466" s="64" t="s">
        <v>852</v>
      </c>
      <c r="B466" s="54" t="s">
        <v>166</v>
      </c>
      <c r="C466" s="54" t="str">
        <f>IFERROR(__xludf.DUMMYFUNCTION("""COMPUTED_VALUE"""),"LD005")</f>
        <v>LD005</v>
      </c>
      <c r="D466" s="54" t="s">
        <v>42</v>
      </c>
      <c r="E466" s="55" t="s">
        <v>79</v>
      </c>
      <c r="F466" s="55" t="s">
        <v>129</v>
      </c>
      <c r="G466" s="54">
        <v>1834.0</v>
      </c>
      <c r="H466" s="54" t="s">
        <v>75</v>
      </c>
      <c r="I466" s="55" t="s">
        <v>855</v>
      </c>
      <c r="J466" s="55" t="s">
        <v>855</v>
      </c>
      <c r="K466" s="54" t="s">
        <v>61</v>
      </c>
      <c r="L466" s="54" t="s">
        <v>317</v>
      </c>
      <c r="M466" s="54" t="s">
        <v>78</v>
      </c>
      <c r="N466" s="73" t="s">
        <v>79</v>
      </c>
      <c r="O466" s="54" t="s">
        <v>224</v>
      </c>
      <c r="P466" s="54" t="s">
        <v>110</v>
      </c>
      <c r="Q466" s="54" t="str">
        <f>IFERROR(__xludf.DUMMYFUNCTION("""COMPUTED_VALUE"""),"Australia.ShortThongBaoDen.PTATT_XuBen.5018_MES_HuyNV_130922")</f>
        <v>Australia.ShortThongBaoDen.PTATT_XuBen.5018_MES_HuyNV_130922</v>
      </c>
      <c r="R466" s="54" t="str">
        <f>IFERROR(__xludf.DUMMYFUNCTION("""COMPUTED_VALUE"""),"NEW_Australia_1834_none_130922")</f>
        <v>NEW_Australia_1834_none_130922</v>
      </c>
      <c r="S466" s="54" t="str">
        <f>IFERROR(__xludf.DUMMYFUNCTION("""COMPUTED_VALUE"""),"saletructiep_Australia.ShortThongBaoDen.PTATT_PTATT_LD005")</f>
        <v>saletructiep_Australia.ShortThongBaoDen.PTATT_PTATT_LD005</v>
      </c>
      <c r="T466" s="54"/>
      <c r="U466" s="56"/>
    </row>
    <row r="467">
      <c r="A467" s="64" t="s">
        <v>852</v>
      </c>
      <c r="B467" s="54" t="s">
        <v>166</v>
      </c>
      <c r="C467" s="54" t="str">
        <f>IFERROR(__xludf.DUMMYFUNCTION("""COMPUTED_VALUE"""),"LD005")</f>
        <v>LD005</v>
      </c>
      <c r="D467" s="54" t="s">
        <v>42</v>
      </c>
      <c r="E467" s="55" t="s">
        <v>79</v>
      </c>
      <c r="F467" s="55" t="s">
        <v>625</v>
      </c>
      <c r="G467" s="54">
        <v>1834.0</v>
      </c>
      <c r="H467" s="54" t="s">
        <v>75</v>
      </c>
      <c r="I467" s="55" t="s">
        <v>856</v>
      </c>
      <c r="J467" s="55" t="s">
        <v>856</v>
      </c>
      <c r="K467" s="54" t="s">
        <v>61</v>
      </c>
      <c r="L467" s="54" t="s">
        <v>317</v>
      </c>
      <c r="M467" s="54" t="s">
        <v>78</v>
      </c>
      <c r="N467" s="73" t="s">
        <v>79</v>
      </c>
      <c r="O467" s="54" t="s">
        <v>224</v>
      </c>
      <c r="P467" s="54" t="s">
        <v>110</v>
      </c>
      <c r="Q467" s="54" t="str">
        <f>IFERROR(__xludf.DUMMYFUNCTION("""COMPUTED_VALUE"""),"KoreaSouth.ShortThongBaoDen.PTATT_XuBen.5018_MES_HuyNV_130922")</f>
        <v>KoreaSouth.ShortThongBaoDen.PTATT_XuBen.5018_MES_HuyNV_130922</v>
      </c>
      <c r="R467" s="54" t="str">
        <f>IFERROR(__xludf.DUMMYFUNCTION("""COMPUTED_VALUE"""),"NEW_KoreaSouth_1834_none_130922")</f>
        <v>NEW_KoreaSouth_1834_none_130922</v>
      </c>
      <c r="S467" s="54" t="str">
        <f>IFERROR(__xludf.DUMMYFUNCTION("""COMPUTED_VALUE"""),"saletructiep_KoreaSouth.ShortThongBaoDen.PTATT_PTATT_LD005")</f>
        <v>saletructiep_KoreaSouth.ShortThongBaoDen.PTATT_PTATT_LD005</v>
      </c>
      <c r="T467" s="54"/>
      <c r="U467" s="56"/>
    </row>
    <row r="468">
      <c r="A468" s="64" t="s">
        <v>857</v>
      </c>
      <c r="B468" s="54" t="s">
        <v>166</v>
      </c>
      <c r="C468" s="54" t="str">
        <f>IFERROR(__xludf.DUMMYFUNCTION("""COMPUTED_VALUE"""),"LD005")</f>
        <v>LD005</v>
      </c>
      <c r="D468" s="54" t="s">
        <v>42</v>
      </c>
      <c r="E468" s="55" t="s">
        <v>79</v>
      </c>
      <c r="F468" s="55" t="s">
        <v>674</v>
      </c>
      <c r="G468" s="54">
        <v>1834.0</v>
      </c>
      <c r="H468" s="54" t="s">
        <v>75</v>
      </c>
      <c r="I468" s="55" t="s">
        <v>858</v>
      </c>
      <c r="J468" s="55" t="s">
        <v>858</v>
      </c>
      <c r="K468" s="54" t="s">
        <v>61</v>
      </c>
      <c r="L468" s="54" t="s">
        <v>317</v>
      </c>
      <c r="M468" s="54" t="s">
        <v>78</v>
      </c>
      <c r="N468" s="73" t="s">
        <v>79</v>
      </c>
      <c r="O468" s="54" t="s">
        <v>224</v>
      </c>
      <c r="P468" s="54" t="s">
        <v>110</v>
      </c>
      <c r="Q468" s="54" t="str">
        <f>IFERROR(__xludf.DUMMYFUNCTION("""COMPUTED_VALUE"""),"Europe.ShortThongBaoDen.PTATT_XuBen.5018_MES_HuyNV_140922")</f>
        <v>Europe.ShortThongBaoDen.PTATT_XuBen.5018_MES_HuyNV_140922</v>
      </c>
      <c r="R468" s="54" t="str">
        <f>IFERROR(__xludf.DUMMYFUNCTION("""COMPUTED_VALUE"""),"NEW_Europe_1834_none_140922")</f>
        <v>NEW_Europe_1834_none_140922</v>
      </c>
      <c r="S468" s="54" t="str">
        <f>IFERROR(__xludf.DUMMYFUNCTION("""COMPUTED_VALUE"""),"saletructiep_Europe.ShortThongBaoDen.PTATT_PTATT_LD005")</f>
        <v>saletructiep_Europe.ShortThongBaoDen.PTATT_PTATT_LD005</v>
      </c>
      <c r="T468" s="54"/>
      <c r="U468" s="56"/>
    </row>
    <row r="469">
      <c r="A469" s="90" t="s">
        <v>859</v>
      </c>
      <c r="B469" s="86" t="s">
        <v>166</v>
      </c>
      <c r="C469" s="54" t="str">
        <f>IFERROR(__xludf.DUMMYFUNCTION("""COMPUTED_VALUE"""),"LD005")</f>
        <v>LD005</v>
      </c>
      <c r="D469" s="54" t="s">
        <v>42</v>
      </c>
      <c r="E469" s="55" t="s">
        <v>79</v>
      </c>
      <c r="F469" s="55" t="s">
        <v>107</v>
      </c>
      <c r="G469" s="54">
        <v>1834.0</v>
      </c>
      <c r="H469" s="54" t="s">
        <v>75</v>
      </c>
      <c r="I469" s="55" t="s">
        <v>860</v>
      </c>
      <c r="J469" s="55" t="s">
        <v>860</v>
      </c>
      <c r="K469" s="54" t="s">
        <v>61</v>
      </c>
      <c r="L469" s="54" t="s">
        <v>317</v>
      </c>
      <c r="M469" s="54" t="s">
        <v>78</v>
      </c>
      <c r="N469" s="73" t="s">
        <v>79</v>
      </c>
      <c r="O469" s="54" t="s">
        <v>224</v>
      </c>
      <c r="P469" s="54" t="s">
        <v>110</v>
      </c>
      <c r="Q469" s="54" t="str">
        <f>IFERROR(__xludf.DUMMYFUNCTION("""COMPUTED_VALUE"""),"UnitedStates.GTChuanMy.PTATT_XuBen.5018_MES_HuyNV_031022")</f>
        <v>UnitedStates.GTChuanMy.PTATT_XuBen.5018_MES_HuyNV_031022</v>
      </c>
      <c r="R469" s="54" t="str">
        <f>IFERROR(__xludf.DUMMYFUNCTION("""COMPUTED_VALUE"""),"NEW_UnitedStates_1834_none_031022")</f>
        <v>NEW_UnitedStates_1834_none_031022</v>
      </c>
      <c r="S469" s="54" t="str">
        <f>IFERROR(__xludf.DUMMYFUNCTION("""COMPUTED_VALUE"""),"saletructiep_UnitedStates.GTChuanMy.PTATT_PTATT_LD005")</f>
        <v>saletructiep_UnitedStates.GTChuanMy.PTATT_PTATT_LD005</v>
      </c>
      <c r="T469" s="54"/>
      <c r="U469" s="56"/>
    </row>
    <row r="470">
      <c r="A470" s="80" t="s">
        <v>859</v>
      </c>
      <c r="B470" s="54" t="s">
        <v>166</v>
      </c>
      <c r="C470" s="54" t="str">
        <f>IFERROR(__xludf.DUMMYFUNCTION("""COMPUTED_VALUE"""),"LD005")</f>
        <v>LD005</v>
      </c>
      <c r="D470" s="54" t="s">
        <v>42</v>
      </c>
      <c r="E470" s="73" t="s">
        <v>79</v>
      </c>
      <c r="F470" s="55" t="s">
        <v>133</v>
      </c>
      <c r="G470" s="54">
        <v>1834.0</v>
      </c>
      <c r="H470" s="54" t="s">
        <v>75</v>
      </c>
      <c r="I470" s="55" t="s">
        <v>861</v>
      </c>
      <c r="J470" s="55" t="s">
        <v>861</v>
      </c>
      <c r="K470" s="54" t="s">
        <v>61</v>
      </c>
      <c r="L470" s="54" t="s">
        <v>317</v>
      </c>
      <c r="M470" s="54" t="s">
        <v>78</v>
      </c>
      <c r="N470" s="73" t="s">
        <v>79</v>
      </c>
      <c r="O470" s="54" t="s">
        <v>224</v>
      </c>
      <c r="P470" s="54" t="s">
        <v>110</v>
      </c>
      <c r="Q470" s="54" t="str">
        <f>IFERROR(__xludf.DUMMYFUNCTION("""COMPUTED_VALUE"""),"Japan.GTChuanMy.PTATT_XuBen.5018_MES_HuyNV_031022")</f>
        <v>Japan.GTChuanMy.PTATT_XuBen.5018_MES_HuyNV_031022</v>
      </c>
      <c r="R470" s="54" t="str">
        <f>IFERROR(__xludf.DUMMYFUNCTION("""COMPUTED_VALUE"""),"NEW_Japan_1834_none_031022")</f>
        <v>NEW_Japan_1834_none_031022</v>
      </c>
      <c r="S470" s="54" t="str">
        <f>IFERROR(__xludf.DUMMYFUNCTION("""COMPUTED_VALUE"""),"saletructiep_Japan.GTChuanMy.PTATT_PTATT_LD005")</f>
        <v>saletructiep_Japan.GTChuanMy.PTATT_PTATT_LD005</v>
      </c>
      <c r="T470" s="54"/>
      <c r="U470" s="56"/>
    </row>
    <row r="471">
      <c r="A471" s="80" t="s">
        <v>859</v>
      </c>
      <c r="B471" s="54" t="s">
        <v>166</v>
      </c>
      <c r="C471" s="54" t="str">
        <f>IFERROR(__xludf.DUMMYFUNCTION("""COMPUTED_VALUE"""),"LD005")</f>
        <v>LD005</v>
      </c>
      <c r="D471" s="54" t="s">
        <v>42</v>
      </c>
      <c r="E471" s="73" t="s">
        <v>79</v>
      </c>
      <c r="F471" s="55" t="s">
        <v>625</v>
      </c>
      <c r="G471" s="54">
        <v>1834.0</v>
      </c>
      <c r="H471" s="54" t="s">
        <v>75</v>
      </c>
      <c r="I471" s="55" t="s">
        <v>862</v>
      </c>
      <c r="J471" s="55" t="s">
        <v>862</v>
      </c>
      <c r="K471" s="54" t="s">
        <v>61</v>
      </c>
      <c r="L471" s="54" t="s">
        <v>317</v>
      </c>
      <c r="M471" s="54" t="s">
        <v>78</v>
      </c>
      <c r="N471" s="73" t="s">
        <v>79</v>
      </c>
      <c r="O471" s="54" t="s">
        <v>224</v>
      </c>
      <c r="P471" s="54" t="s">
        <v>110</v>
      </c>
      <c r="Q471" s="54" t="str">
        <f>IFERROR(__xludf.DUMMYFUNCTION("""COMPUTED_VALUE"""),"KoreaSouth.GTChuanMy.PTATT_XuBen.5018_MES_HuyNV_031022")</f>
        <v>KoreaSouth.GTChuanMy.PTATT_XuBen.5018_MES_HuyNV_031022</v>
      </c>
      <c r="R471" s="54" t="str">
        <f>IFERROR(__xludf.DUMMYFUNCTION("""COMPUTED_VALUE"""),"NEW_KoreaSouth_1834_none_031022")</f>
        <v>NEW_KoreaSouth_1834_none_031022</v>
      </c>
      <c r="S471" s="54" t="str">
        <f>IFERROR(__xludf.DUMMYFUNCTION("""COMPUTED_VALUE"""),"saletructiep_KoreaSouth.GTChuanMy.PTATT_PTATT_LD005")</f>
        <v>saletructiep_KoreaSouth.GTChuanMy.PTATT_PTATT_LD005</v>
      </c>
      <c r="T471" s="54"/>
      <c r="U471" s="56"/>
    </row>
    <row r="472">
      <c r="A472" s="90" t="s">
        <v>863</v>
      </c>
      <c r="B472" s="86" t="s">
        <v>166</v>
      </c>
      <c r="C472" s="54" t="str">
        <f>IFERROR(__xludf.DUMMYFUNCTION("""COMPUTED_VALUE"""),"LD005")</f>
        <v>LD005</v>
      </c>
      <c r="D472" s="54" t="s">
        <v>42</v>
      </c>
      <c r="E472" s="73" t="s">
        <v>79</v>
      </c>
      <c r="F472" s="55" t="s">
        <v>129</v>
      </c>
      <c r="G472" s="54">
        <v>1834.0</v>
      </c>
      <c r="H472" s="54" t="s">
        <v>75</v>
      </c>
      <c r="I472" s="55" t="s">
        <v>864</v>
      </c>
      <c r="J472" s="55" t="s">
        <v>864</v>
      </c>
      <c r="K472" s="54" t="s">
        <v>61</v>
      </c>
      <c r="L472" s="54" t="s">
        <v>317</v>
      </c>
      <c r="M472" s="54" t="s">
        <v>78</v>
      </c>
      <c r="N472" s="73" t="s">
        <v>79</v>
      </c>
      <c r="O472" s="54" t="s">
        <v>224</v>
      </c>
      <c r="P472" s="54" t="s">
        <v>110</v>
      </c>
      <c r="Q472" s="54" t="str">
        <f>IFERROR(__xludf.DUMMYFUNCTION("""COMPUTED_VALUE"""),"Australia.GTChuanMy.PTATT_XuBen.5018_MES_HuyNV_061022")</f>
        <v>Australia.GTChuanMy.PTATT_XuBen.5018_MES_HuyNV_061022</v>
      </c>
      <c r="R472" s="54" t="str">
        <f>IFERROR(__xludf.DUMMYFUNCTION("""COMPUTED_VALUE"""),"NEW_Australia_1834_none_061022")</f>
        <v>NEW_Australia_1834_none_061022</v>
      </c>
      <c r="S472" s="54" t="str">
        <f>IFERROR(__xludf.DUMMYFUNCTION("""COMPUTED_VALUE"""),"saletructiep_Australia.GTChuanMy.PTATT_PTATT_LD005")</f>
        <v>saletructiep_Australia.GTChuanMy.PTATT_PTATT_LD005</v>
      </c>
      <c r="T472" s="54"/>
      <c r="U472" s="56"/>
    </row>
    <row r="473">
      <c r="A473" s="90" t="s">
        <v>863</v>
      </c>
      <c r="B473" s="86" t="s">
        <v>166</v>
      </c>
      <c r="C473" s="54" t="str">
        <f>IFERROR(__xludf.DUMMYFUNCTION("""COMPUTED_VALUE"""),"LD005")</f>
        <v>LD005</v>
      </c>
      <c r="D473" s="54" t="s">
        <v>42</v>
      </c>
      <c r="E473" s="73" t="s">
        <v>79</v>
      </c>
      <c r="F473" s="73" t="s">
        <v>129</v>
      </c>
      <c r="G473" s="54">
        <v>1834.0</v>
      </c>
      <c r="H473" s="54" t="s">
        <v>75</v>
      </c>
      <c r="I473" s="55" t="s">
        <v>865</v>
      </c>
      <c r="J473" s="55" t="s">
        <v>865</v>
      </c>
      <c r="K473" s="54" t="s">
        <v>61</v>
      </c>
      <c r="L473" s="54" t="s">
        <v>317</v>
      </c>
      <c r="M473" s="54" t="s">
        <v>78</v>
      </c>
      <c r="N473" s="73" t="s">
        <v>79</v>
      </c>
      <c r="O473" s="54" t="s">
        <v>224</v>
      </c>
      <c r="P473" s="54" t="s">
        <v>110</v>
      </c>
      <c r="Q473" s="54" t="str">
        <f>IFERROR(__xludf.DUMMYFUNCTION("""COMPUTED_VALUE"""),"Australia.AnhTaiSao.PTATT_XuBen.5018_MES_HuyNV_061022")</f>
        <v>Australia.AnhTaiSao.PTATT_XuBen.5018_MES_HuyNV_061022</v>
      </c>
      <c r="R473" s="54" t="str">
        <f>IFERROR(__xludf.DUMMYFUNCTION("""COMPUTED_VALUE"""),"NEW_Australia_1834_none_061022")</f>
        <v>NEW_Australia_1834_none_061022</v>
      </c>
      <c r="S473" s="54" t="str">
        <f>IFERROR(__xludf.DUMMYFUNCTION("""COMPUTED_VALUE"""),"saletructiep_Australia.AnhTaiSao.PTATT_PTATT_LD005")</f>
        <v>saletructiep_Australia.AnhTaiSao.PTATT_PTATT_LD005</v>
      </c>
      <c r="T473" s="54"/>
      <c r="U473" s="56"/>
    </row>
    <row r="474">
      <c r="A474" s="90" t="s">
        <v>866</v>
      </c>
      <c r="B474" s="86" t="s">
        <v>166</v>
      </c>
      <c r="C474" s="54" t="str">
        <f>IFERROR(__xludf.DUMMYFUNCTION("""COMPUTED_VALUE"""),"LD005")</f>
        <v>LD005</v>
      </c>
      <c r="D474" s="54" t="s">
        <v>42</v>
      </c>
      <c r="E474" s="73" t="s">
        <v>79</v>
      </c>
      <c r="F474" s="55" t="s">
        <v>112</v>
      </c>
      <c r="G474" s="54">
        <v>1834.0</v>
      </c>
      <c r="H474" s="54" t="s">
        <v>75</v>
      </c>
      <c r="I474" s="55" t="s">
        <v>867</v>
      </c>
      <c r="J474" s="55" t="s">
        <v>867</v>
      </c>
      <c r="K474" s="54" t="s">
        <v>61</v>
      </c>
      <c r="L474" s="55">
        <v>261714.0</v>
      </c>
      <c r="M474" s="54" t="s">
        <v>78</v>
      </c>
      <c r="N474" s="73" t="s">
        <v>79</v>
      </c>
      <c r="O474" s="54" t="s">
        <v>224</v>
      </c>
      <c r="P474" s="54" t="s">
        <v>110</v>
      </c>
      <c r="Q474" s="54" t="str">
        <f>IFERROR(__xludf.DUMMYFUNCTION("""COMPUTED_VALUE"""),"Canada.Thogbao.PTATT_261714_MES_HuyNV_151022")</f>
        <v>Canada.Thogbao.PTATT_261714_MES_HuyNV_151022</v>
      </c>
      <c r="R474" s="54" t="str">
        <f>IFERROR(__xludf.DUMMYFUNCTION("""COMPUTED_VALUE"""),"NEW_Canada_1834_none_151022")</f>
        <v>NEW_Canada_1834_none_151022</v>
      </c>
      <c r="S474" s="54" t="str">
        <f>IFERROR(__xludf.DUMMYFUNCTION("""COMPUTED_VALUE"""),"saletructiep_Canada.Thogbao.PTATT_PTATT_LD005")</f>
        <v>saletructiep_Canada.Thogbao.PTATT_PTATT_LD005</v>
      </c>
      <c r="T474" s="54"/>
      <c r="U474" s="56"/>
    </row>
    <row r="475">
      <c r="A475" s="90" t="s">
        <v>866</v>
      </c>
      <c r="B475" s="86" t="s">
        <v>166</v>
      </c>
      <c r="C475" s="54" t="str">
        <f>IFERROR(__xludf.DUMMYFUNCTION("""COMPUTED_VALUE"""),"LD005")</f>
        <v>LD005</v>
      </c>
      <c r="D475" s="54" t="s">
        <v>42</v>
      </c>
      <c r="E475" s="73" t="s">
        <v>79</v>
      </c>
      <c r="F475" s="55" t="s">
        <v>107</v>
      </c>
      <c r="G475" s="54">
        <v>1834.0</v>
      </c>
      <c r="H475" s="54" t="s">
        <v>75</v>
      </c>
      <c r="I475" s="55" t="s">
        <v>868</v>
      </c>
      <c r="J475" s="55" t="s">
        <v>868</v>
      </c>
      <c r="K475" s="54" t="s">
        <v>61</v>
      </c>
      <c r="L475" s="73">
        <v>261714.0</v>
      </c>
      <c r="M475" s="54" t="s">
        <v>78</v>
      </c>
      <c r="N475" s="73" t="s">
        <v>79</v>
      </c>
      <c r="O475" s="54" t="s">
        <v>224</v>
      </c>
      <c r="P475" s="54" t="s">
        <v>110</v>
      </c>
      <c r="Q475" s="54" t="str">
        <f>IFERROR(__xludf.DUMMYFUNCTION("""COMPUTED_VALUE"""),"UnitedStates.Thogbao.PTATT_261714_MES_HuyNV_151022")</f>
        <v>UnitedStates.Thogbao.PTATT_261714_MES_HuyNV_151022</v>
      </c>
      <c r="R475" s="54" t="str">
        <f>IFERROR(__xludf.DUMMYFUNCTION("""COMPUTED_VALUE"""),"NEW_UnitedStates_1834_none_151022")</f>
        <v>NEW_UnitedStates_1834_none_151022</v>
      </c>
      <c r="S475" s="54" t="str">
        <f>IFERROR(__xludf.DUMMYFUNCTION("""COMPUTED_VALUE"""),"saletructiep_UnitedStates.Thogbao.PTATT_PTATT_LD005")</f>
        <v>saletructiep_UnitedStates.Thogbao.PTATT_PTATT_LD005</v>
      </c>
      <c r="T475" s="54"/>
      <c r="U475" s="56"/>
    </row>
    <row r="476">
      <c r="A476" s="80" t="s">
        <v>866</v>
      </c>
      <c r="B476" s="54" t="s">
        <v>166</v>
      </c>
      <c r="C476" s="54" t="str">
        <f>IFERROR(__xludf.DUMMYFUNCTION("""COMPUTED_VALUE"""),"LD005")</f>
        <v>LD005</v>
      </c>
      <c r="D476" s="54" t="s">
        <v>42</v>
      </c>
      <c r="E476" s="73" t="s">
        <v>79</v>
      </c>
      <c r="F476" s="55" t="s">
        <v>625</v>
      </c>
      <c r="G476" s="54">
        <v>1834.0</v>
      </c>
      <c r="H476" s="54" t="s">
        <v>75</v>
      </c>
      <c r="I476" s="55" t="s">
        <v>869</v>
      </c>
      <c r="J476" s="73" t="s">
        <v>869</v>
      </c>
      <c r="K476" s="54" t="s">
        <v>61</v>
      </c>
      <c r="L476" s="73">
        <v>261714.0</v>
      </c>
      <c r="M476" s="54" t="s">
        <v>78</v>
      </c>
      <c r="N476" s="73" t="s">
        <v>79</v>
      </c>
      <c r="O476" s="54" t="s">
        <v>224</v>
      </c>
      <c r="P476" s="54" t="s">
        <v>110</v>
      </c>
      <c r="Q476" s="54" t="str">
        <f>IFERROR(__xludf.DUMMYFUNCTION("""COMPUTED_VALUE"""),"KoreaSouth.Thogbao.PTATT_261714_MES_HuyNV_151022")</f>
        <v>KoreaSouth.Thogbao.PTATT_261714_MES_HuyNV_151022</v>
      </c>
      <c r="R476" s="54" t="str">
        <f>IFERROR(__xludf.DUMMYFUNCTION("""COMPUTED_VALUE"""),"NEW_KoreaSouth_1834_none_151022")</f>
        <v>NEW_KoreaSouth_1834_none_151022</v>
      </c>
      <c r="S476" s="54" t="str">
        <f>IFERROR(__xludf.DUMMYFUNCTION("""COMPUTED_VALUE"""),"saletructiep_KoreaSouth.Thogbao.PTATT_PTATT_LD005")</f>
        <v>saletructiep_KoreaSouth.Thogbao.PTATT_PTATT_LD005</v>
      </c>
      <c r="T476" s="54"/>
      <c r="U476" s="56"/>
    </row>
    <row r="477">
      <c r="A477" s="64" t="s">
        <v>870</v>
      </c>
      <c r="B477" s="54" t="s">
        <v>166</v>
      </c>
      <c r="C477" s="54" t="str">
        <f>IFERROR(__xludf.DUMMYFUNCTION("""COMPUTED_VALUE"""),"LD005")</f>
        <v>LD005</v>
      </c>
      <c r="D477" s="54" t="s">
        <v>42</v>
      </c>
      <c r="E477" s="73" t="s">
        <v>79</v>
      </c>
      <c r="F477" s="55" t="s">
        <v>164</v>
      </c>
      <c r="G477" s="54">
        <v>1834.0</v>
      </c>
      <c r="H477" s="54" t="s">
        <v>75</v>
      </c>
      <c r="I477" s="55" t="s">
        <v>871</v>
      </c>
      <c r="J477" s="55" t="s">
        <v>871</v>
      </c>
      <c r="K477" s="54" t="s">
        <v>61</v>
      </c>
      <c r="L477" s="73">
        <v>261714.0</v>
      </c>
      <c r="M477" s="54" t="s">
        <v>78</v>
      </c>
      <c r="N477" s="73" t="s">
        <v>79</v>
      </c>
      <c r="O477" s="54" t="s">
        <v>224</v>
      </c>
      <c r="P477" s="54" t="s">
        <v>110</v>
      </c>
      <c r="Q477" s="54" t="str">
        <f>IFERROR(__xludf.DUMMYFUNCTION("""COMPUTED_VALUE"""),"Taiwan.Thogbao.PTATT_261714_MES_HuyNV_171022")</f>
        <v>Taiwan.Thogbao.PTATT_261714_MES_HuyNV_171022</v>
      </c>
      <c r="R477" s="54" t="str">
        <f>IFERROR(__xludf.DUMMYFUNCTION("""COMPUTED_VALUE"""),"NEW_Taiwan_1834_none_171022")</f>
        <v>NEW_Taiwan_1834_none_171022</v>
      </c>
      <c r="S477" s="54" t="str">
        <f>IFERROR(__xludf.DUMMYFUNCTION("""COMPUTED_VALUE"""),"saletructiep_Taiwan.Thogbao.PTATT_PTATT_LD005")</f>
        <v>saletructiep_Taiwan.Thogbao.PTATT_PTATT_LD005</v>
      </c>
      <c r="T477" s="54"/>
      <c r="U477" s="56"/>
    </row>
    <row r="478">
      <c r="A478" s="80" t="s">
        <v>870</v>
      </c>
      <c r="B478" s="54" t="s">
        <v>166</v>
      </c>
      <c r="C478" s="54" t="str">
        <f>IFERROR(__xludf.DUMMYFUNCTION("""COMPUTED_VALUE"""),"LD005")</f>
        <v>LD005</v>
      </c>
      <c r="D478" s="54" t="s">
        <v>42</v>
      </c>
      <c r="E478" s="73" t="s">
        <v>79</v>
      </c>
      <c r="F478" s="55" t="s">
        <v>133</v>
      </c>
      <c r="G478" s="54">
        <v>1834.0</v>
      </c>
      <c r="H478" s="54" t="s">
        <v>75</v>
      </c>
      <c r="I478" s="55" t="s">
        <v>872</v>
      </c>
      <c r="J478" s="73" t="s">
        <v>872</v>
      </c>
      <c r="K478" s="54" t="s">
        <v>61</v>
      </c>
      <c r="L478" s="55" t="s">
        <v>317</v>
      </c>
      <c r="M478" s="54" t="s">
        <v>78</v>
      </c>
      <c r="N478" s="73" t="s">
        <v>79</v>
      </c>
      <c r="O478" s="54" t="s">
        <v>224</v>
      </c>
      <c r="P478" s="54" t="s">
        <v>110</v>
      </c>
      <c r="Q478" s="54" t="str">
        <f>IFERROR(__xludf.DUMMYFUNCTION("""COMPUTED_VALUE"""),"Japan.Thogbao.PTATT_XuBen.5018_MES_HuyNV_171022")</f>
        <v>Japan.Thogbao.PTATT_XuBen.5018_MES_HuyNV_171022</v>
      </c>
      <c r="R478" s="54" t="str">
        <f>IFERROR(__xludf.DUMMYFUNCTION("""COMPUTED_VALUE"""),"NEW_Japan_1834_none_171022")</f>
        <v>NEW_Japan_1834_none_171022</v>
      </c>
      <c r="S478" s="54" t="str">
        <f>IFERROR(__xludf.DUMMYFUNCTION("""COMPUTED_VALUE"""),"saletructiep_Japan.Thogbao.PTATT_PTATT_LD005")</f>
        <v>saletructiep_Japan.Thogbao.PTATT_PTATT_LD005</v>
      </c>
      <c r="T478" s="54"/>
      <c r="U478" s="56"/>
    </row>
    <row r="479">
      <c r="A479" s="80" t="s">
        <v>870</v>
      </c>
      <c r="B479" s="54" t="s">
        <v>166</v>
      </c>
      <c r="C479" s="54" t="str">
        <f>IFERROR(__xludf.DUMMYFUNCTION("""COMPUTED_VALUE"""),"LD005")</f>
        <v>LD005</v>
      </c>
      <c r="D479" s="54" t="s">
        <v>42</v>
      </c>
      <c r="E479" s="73" t="s">
        <v>79</v>
      </c>
      <c r="F479" s="55" t="s">
        <v>182</v>
      </c>
      <c r="G479" s="54">
        <v>1834.0</v>
      </c>
      <c r="H479" s="54" t="s">
        <v>75</v>
      </c>
      <c r="I479" s="55" t="s">
        <v>873</v>
      </c>
      <c r="J479" s="55" t="s">
        <v>873</v>
      </c>
      <c r="K479" s="54" t="s">
        <v>61</v>
      </c>
      <c r="L479" s="73" t="s">
        <v>317</v>
      </c>
      <c r="M479" s="54" t="s">
        <v>78</v>
      </c>
      <c r="N479" s="73" t="s">
        <v>79</v>
      </c>
      <c r="O479" s="54" t="s">
        <v>224</v>
      </c>
      <c r="P479" s="54" t="s">
        <v>110</v>
      </c>
      <c r="Q479" s="54" t="str">
        <f>IFERROR(__xludf.DUMMYFUNCTION("""COMPUTED_VALUE"""),"Malaysia.Thogbao.PTATT_XuBen.5018_MES_HuyNV_171022")</f>
        <v>Malaysia.Thogbao.PTATT_XuBen.5018_MES_HuyNV_171022</v>
      </c>
      <c r="R479" s="54" t="str">
        <f>IFERROR(__xludf.DUMMYFUNCTION("""COMPUTED_VALUE"""),"NEW_Malaysia_1834_none_171022")</f>
        <v>NEW_Malaysia_1834_none_171022</v>
      </c>
      <c r="S479" s="54" t="str">
        <f>IFERROR(__xludf.DUMMYFUNCTION("""COMPUTED_VALUE"""),"saletructiep_Malaysia.Thogbao.PTATT_PTATT_LD005")</f>
        <v>saletructiep_Malaysia.Thogbao.PTATT_PTATT_LD005</v>
      </c>
      <c r="T479" s="54"/>
      <c r="U479" s="56"/>
    </row>
    <row r="480">
      <c r="A480" s="80" t="s">
        <v>870</v>
      </c>
      <c r="B480" s="54" t="s">
        <v>166</v>
      </c>
      <c r="C480" s="54" t="str">
        <f>IFERROR(__xludf.DUMMYFUNCTION("""COMPUTED_VALUE"""),"LD005")</f>
        <v>LD005</v>
      </c>
      <c r="D480" s="54" t="s">
        <v>42</v>
      </c>
      <c r="E480" s="73" t="s">
        <v>79</v>
      </c>
      <c r="F480" s="55" t="s">
        <v>174</v>
      </c>
      <c r="G480" s="54">
        <v>1834.0</v>
      </c>
      <c r="H480" s="54" t="s">
        <v>75</v>
      </c>
      <c r="I480" s="55" t="s">
        <v>874</v>
      </c>
      <c r="J480" s="55" t="s">
        <v>874</v>
      </c>
      <c r="K480" s="54" t="s">
        <v>61</v>
      </c>
      <c r="L480" s="73" t="s">
        <v>317</v>
      </c>
      <c r="M480" s="54" t="s">
        <v>78</v>
      </c>
      <c r="N480" s="73" t="s">
        <v>79</v>
      </c>
      <c r="O480" s="54" t="s">
        <v>224</v>
      </c>
      <c r="P480" s="54" t="s">
        <v>110</v>
      </c>
      <c r="Q480" s="54" t="str">
        <f>IFERROR(__xludf.DUMMYFUNCTION("""COMPUTED_VALUE"""),"Philippines.Thogbao.PTATT_XuBen.5018_MES_HuyNV_171022")</f>
        <v>Philippines.Thogbao.PTATT_XuBen.5018_MES_HuyNV_171022</v>
      </c>
      <c r="R480" s="54" t="str">
        <f>IFERROR(__xludf.DUMMYFUNCTION("""COMPUTED_VALUE"""),"NEW_Philippines_1834_none_171022")</f>
        <v>NEW_Philippines_1834_none_171022</v>
      </c>
      <c r="S480" s="54" t="str">
        <f>IFERROR(__xludf.DUMMYFUNCTION("""COMPUTED_VALUE"""),"saletructiep_Philippines.Thogbao.PTATT_PTATT_LD005")</f>
        <v>saletructiep_Philippines.Thogbao.PTATT_PTATT_LD005</v>
      </c>
      <c r="T480" s="54"/>
      <c r="U480" s="56"/>
    </row>
    <row r="481">
      <c r="A481" s="66">
        <v>311022.0</v>
      </c>
      <c r="B481" s="54" t="s">
        <v>166</v>
      </c>
      <c r="C481" s="54" t="str">
        <f>IFERROR(__xludf.DUMMYFUNCTION("""COMPUTED_VALUE"""),"LD005")</f>
        <v>LD005</v>
      </c>
      <c r="D481" s="54" t="s">
        <v>42</v>
      </c>
      <c r="E481" s="73" t="s">
        <v>79</v>
      </c>
      <c r="F481" s="93" t="s">
        <v>133</v>
      </c>
      <c r="G481" s="54">
        <v>1834.0</v>
      </c>
      <c r="H481" s="54" t="s">
        <v>75</v>
      </c>
      <c r="I481" s="55" t="s">
        <v>875</v>
      </c>
      <c r="J481" s="73" t="s">
        <v>875</v>
      </c>
      <c r="K481" s="54" t="s">
        <v>61</v>
      </c>
      <c r="L481" s="73" t="s">
        <v>317</v>
      </c>
      <c r="M481" s="54" t="s">
        <v>78</v>
      </c>
      <c r="N481" s="73" t="s">
        <v>79</v>
      </c>
      <c r="O481" s="54" t="s">
        <v>224</v>
      </c>
      <c r="P481" s="54" t="s">
        <v>110</v>
      </c>
      <c r="Q481" s="54" t="str">
        <f>IFERROR(__xludf.DUMMYFUNCTION("""COMPUTED_VALUE"""),"Japan.Only.tai.LHTT.Liennth.PTATT_XuBen.5018_MES_HuyNV_311022")</f>
        <v>Japan.Only.tai.LHTT.Liennth.PTATT_XuBen.5018_MES_HuyNV_311022</v>
      </c>
      <c r="R481" s="54" t="str">
        <f>IFERROR(__xludf.DUMMYFUNCTION("""COMPUTED_VALUE"""),"NEW_Japan_1834_none_311022")</f>
        <v>NEW_Japan_1834_none_311022</v>
      </c>
      <c r="S481" s="54" t="str">
        <f>IFERROR(__xludf.DUMMYFUNCTION("""COMPUTED_VALUE"""),"saletructiep_Japan.Only.tai.LHTT.Liennth.PTATT_PTATT_LD005")</f>
        <v>saletructiep_Japan.Only.tai.LHTT.Liennth.PTATT_PTATT_LD005</v>
      </c>
      <c r="T481" s="54"/>
      <c r="U481" s="56"/>
    </row>
    <row r="482">
      <c r="A482" s="66">
        <v>311022.0</v>
      </c>
      <c r="B482" s="60" t="s">
        <v>166</v>
      </c>
      <c r="C482" s="54" t="str">
        <f>IFERROR(__xludf.DUMMYFUNCTION("""COMPUTED_VALUE"""),"LD005")</f>
        <v>LD005</v>
      </c>
      <c r="D482" s="54" t="s">
        <v>42</v>
      </c>
      <c r="E482" s="73" t="s">
        <v>79</v>
      </c>
      <c r="F482" s="55" t="s">
        <v>174</v>
      </c>
      <c r="G482" s="54">
        <v>1834.0</v>
      </c>
      <c r="H482" s="54" t="s">
        <v>75</v>
      </c>
      <c r="I482" s="55" t="s">
        <v>876</v>
      </c>
      <c r="J482" s="73" t="s">
        <v>876</v>
      </c>
      <c r="K482" s="54" t="s">
        <v>61</v>
      </c>
      <c r="L482" s="73" t="s">
        <v>317</v>
      </c>
      <c r="M482" s="54" t="s">
        <v>78</v>
      </c>
      <c r="N482" s="73" t="s">
        <v>79</v>
      </c>
      <c r="O482" s="54" t="s">
        <v>224</v>
      </c>
      <c r="P482" s="54" t="s">
        <v>110</v>
      </c>
      <c r="Q482" s="54" t="str">
        <f>IFERROR(__xludf.DUMMYFUNCTION("""COMPUTED_VALUE"""),"Philippines.Only.tai.LHTT.Liennth.PTATT_XuBen.5018_MES_HuyNV_311022")</f>
        <v>Philippines.Only.tai.LHTT.Liennth.PTATT_XuBen.5018_MES_HuyNV_311022</v>
      </c>
      <c r="R482" s="54" t="str">
        <f>IFERROR(__xludf.DUMMYFUNCTION("""COMPUTED_VALUE"""),"NEW_Philippines_1834_none_311022")</f>
        <v>NEW_Philippines_1834_none_311022</v>
      </c>
      <c r="S482" s="54" t="str">
        <f>IFERROR(__xludf.DUMMYFUNCTION("""COMPUTED_VALUE"""),"saletructiep_Philippines.Only.tai.LHTT.Liennth.PTATT_PTATT_LD005")</f>
        <v>saletructiep_Philippines.Only.tai.LHTT.Liennth.PTATT_PTATT_LD005</v>
      </c>
      <c r="T482" s="54"/>
      <c r="U482" s="56"/>
    </row>
    <row r="483">
      <c r="A483" s="66">
        <v>311022.0</v>
      </c>
      <c r="B483" s="60" t="s">
        <v>166</v>
      </c>
      <c r="C483" s="54" t="str">
        <f>IFERROR(__xludf.DUMMYFUNCTION("""COMPUTED_VALUE"""),"LD005")</f>
        <v>LD005</v>
      </c>
      <c r="D483" s="54" t="s">
        <v>42</v>
      </c>
      <c r="E483" s="73" t="s">
        <v>79</v>
      </c>
      <c r="F483" s="55" t="s">
        <v>182</v>
      </c>
      <c r="G483" s="54">
        <v>1834.0</v>
      </c>
      <c r="H483" s="54" t="s">
        <v>75</v>
      </c>
      <c r="I483" s="55" t="s">
        <v>877</v>
      </c>
      <c r="J483" s="73" t="s">
        <v>877</v>
      </c>
      <c r="K483" s="54" t="s">
        <v>61</v>
      </c>
      <c r="L483" s="73" t="s">
        <v>317</v>
      </c>
      <c r="M483" s="54" t="s">
        <v>78</v>
      </c>
      <c r="N483" s="73" t="s">
        <v>79</v>
      </c>
      <c r="O483" s="54" t="s">
        <v>224</v>
      </c>
      <c r="P483" s="54" t="s">
        <v>110</v>
      </c>
      <c r="Q483" s="54" t="str">
        <f>IFERROR(__xludf.DUMMYFUNCTION("""COMPUTED_VALUE"""),"Malaysia.Only.tai.LHTT.Liennth.PTATT_XuBen.5018_MES_HuyNV_311022")</f>
        <v>Malaysia.Only.tai.LHTT.Liennth.PTATT_XuBen.5018_MES_HuyNV_311022</v>
      </c>
      <c r="R483" s="54" t="str">
        <f>IFERROR(__xludf.DUMMYFUNCTION("""COMPUTED_VALUE"""),"NEW_Malaysia_1834_none_311022")</f>
        <v>NEW_Malaysia_1834_none_311022</v>
      </c>
      <c r="S483" s="54" t="str">
        <f>IFERROR(__xludf.DUMMYFUNCTION("""COMPUTED_VALUE"""),"saletructiep_Malaysia.Only.tai.LHTT.Liennth.PTATT_PTATT_LD005")</f>
        <v>saletructiep_Malaysia.Only.tai.LHTT.Liennth.PTATT_PTATT_LD005</v>
      </c>
      <c r="T483" s="54"/>
      <c r="U483" s="56"/>
    </row>
    <row r="484">
      <c r="A484" s="66">
        <v>311022.0</v>
      </c>
      <c r="B484" s="54" t="s">
        <v>166</v>
      </c>
      <c r="C484" s="54" t="str">
        <f>IFERROR(__xludf.DUMMYFUNCTION("""COMPUTED_VALUE"""),"LD005")</f>
        <v>LD005</v>
      </c>
      <c r="D484" s="54" t="s">
        <v>42</v>
      </c>
      <c r="E484" s="73" t="s">
        <v>79</v>
      </c>
      <c r="F484" s="55" t="s">
        <v>107</v>
      </c>
      <c r="G484" s="54">
        <v>1834.0</v>
      </c>
      <c r="H484" s="54" t="s">
        <v>75</v>
      </c>
      <c r="I484" s="55" t="s">
        <v>878</v>
      </c>
      <c r="J484" s="73" t="s">
        <v>878</v>
      </c>
      <c r="K484" s="54" t="s">
        <v>61</v>
      </c>
      <c r="L484" s="73" t="s">
        <v>317</v>
      </c>
      <c r="M484" s="54" t="s">
        <v>78</v>
      </c>
      <c r="N484" s="73" t="s">
        <v>79</v>
      </c>
      <c r="O484" s="54" t="s">
        <v>224</v>
      </c>
      <c r="P484" s="54" t="s">
        <v>110</v>
      </c>
      <c r="Q484" s="54" t="str">
        <f>IFERROR(__xludf.DUMMYFUNCTION("""COMPUTED_VALUE"""),"UnitedStates.Only.tai.LHTT.Liennth.PTATT_XuBen.5018_MES_HuyNV_311022")</f>
        <v>UnitedStates.Only.tai.LHTT.Liennth.PTATT_XuBen.5018_MES_HuyNV_311022</v>
      </c>
      <c r="R484" s="54" t="str">
        <f>IFERROR(__xludf.DUMMYFUNCTION("""COMPUTED_VALUE"""),"NEW_UnitedStates_1834_none_311022")</f>
        <v>NEW_UnitedStates_1834_none_311022</v>
      </c>
      <c r="S484" s="54" t="str">
        <f>IFERROR(__xludf.DUMMYFUNCTION("""COMPUTED_VALUE"""),"saletructiep_UnitedStates.Only.tai.LHTT.Liennth.PTATT_PTATT_LD005")</f>
        <v>saletructiep_UnitedStates.Only.tai.LHTT.Liennth.PTATT_PTATT_LD005</v>
      </c>
      <c r="T484" s="54"/>
      <c r="U484" s="56"/>
    </row>
    <row r="485">
      <c r="A485" s="66">
        <v>311022.0</v>
      </c>
      <c r="B485" s="54" t="s">
        <v>166</v>
      </c>
      <c r="C485" s="54" t="str">
        <f>IFERROR(__xludf.DUMMYFUNCTION("""COMPUTED_VALUE"""),"LD005")</f>
        <v>LD005</v>
      </c>
      <c r="D485" s="54" t="s">
        <v>42</v>
      </c>
      <c r="E485" s="73" t="s">
        <v>79</v>
      </c>
      <c r="F485" s="55" t="s">
        <v>625</v>
      </c>
      <c r="G485" s="54">
        <v>1834.0</v>
      </c>
      <c r="H485" s="54" t="s">
        <v>75</v>
      </c>
      <c r="I485" s="55" t="s">
        <v>879</v>
      </c>
      <c r="J485" s="73" t="s">
        <v>879</v>
      </c>
      <c r="K485" s="54" t="s">
        <v>61</v>
      </c>
      <c r="L485" s="73" t="s">
        <v>317</v>
      </c>
      <c r="M485" s="54" t="s">
        <v>78</v>
      </c>
      <c r="N485" s="73" t="s">
        <v>79</v>
      </c>
      <c r="O485" s="54" t="s">
        <v>224</v>
      </c>
      <c r="P485" s="54" t="s">
        <v>110</v>
      </c>
      <c r="Q485" s="54" t="str">
        <f>IFERROR(__xludf.DUMMYFUNCTION("""COMPUTED_VALUE"""),"KoreaSouth.Only.tai.LHTT.Liennth.PTATT_XuBen.5018_MES_HuyNV_311022")</f>
        <v>KoreaSouth.Only.tai.LHTT.Liennth.PTATT_XuBen.5018_MES_HuyNV_311022</v>
      </c>
      <c r="R485" s="54" t="str">
        <f>IFERROR(__xludf.DUMMYFUNCTION("""COMPUTED_VALUE"""),"NEW_KoreaSouth_1834_none_311022")</f>
        <v>NEW_KoreaSouth_1834_none_311022</v>
      </c>
      <c r="S485" s="54" t="str">
        <f>IFERROR(__xludf.DUMMYFUNCTION("""COMPUTED_VALUE"""),"saletructiep_KoreaSouth.Only.tai.LHTT.Liennth.PTATT_PTATT_LD005")</f>
        <v>saletructiep_KoreaSouth.Only.tai.LHTT.Liennth.PTATT_PTATT_LD005</v>
      </c>
      <c r="T485" s="54"/>
      <c r="U485" s="56"/>
    </row>
    <row r="486">
      <c r="A486" s="66">
        <v>311022.0</v>
      </c>
      <c r="B486" s="54" t="s">
        <v>166</v>
      </c>
      <c r="C486" s="54" t="str">
        <f>IFERROR(__xludf.DUMMYFUNCTION("""COMPUTED_VALUE"""),"LD005")</f>
        <v>LD005</v>
      </c>
      <c r="D486" s="54" t="s">
        <v>42</v>
      </c>
      <c r="E486" s="73" t="s">
        <v>79</v>
      </c>
      <c r="F486" s="55" t="s">
        <v>129</v>
      </c>
      <c r="G486" s="54">
        <v>1834.0</v>
      </c>
      <c r="H486" s="54" t="s">
        <v>75</v>
      </c>
      <c r="I486" s="55" t="s">
        <v>880</v>
      </c>
      <c r="J486" s="73" t="s">
        <v>880</v>
      </c>
      <c r="K486" s="54" t="s">
        <v>61</v>
      </c>
      <c r="L486" s="73" t="s">
        <v>317</v>
      </c>
      <c r="M486" s="54" t="s">
        <v>78</v>
      </c>
      <c r="N486" s="73" t="s">
        <v>79</v>
      </c>
      <c r="O486" s="54" t="s">
        <v>224</v>
      </c>
      <c r="P486" s="54" t="s">
        <v>110</v>
      </c>
      <c r="Q486" s="54" t="str">
        <f>IFERROR(__xludf.DUMMYFUNCTION("""COMPUTED_VALUE"""),"Australia.Only.tai.LHTT.Liennth.PTATT_XuBen.5018_MES_HuyNV_311022")</f>
        <v>Australia.Only.tai.LHTT.Liennth.PTATT_XuBen.5018_MES_HuyNV_311022</v>
      </c>
      <c r="R486" s="54" t="str">
        <f>IFERROR(__xludf.DUMMYFUNCTION("""COMPUTED_VALUE"""),"NEW_Australia_1834_none_311022")</f>
        <v>NEW_Australia_1834_none_311022</v>
      </c>
      <c r="S486" s="54" t="str">
        <f>IFERROR(__xludf.DUMMYFUNCTION("""COMPUTED_VALUE"""),"saletructiep_Australia.Only.tai.LHTT.Liennth.PTATT_PTATT_LD005")</f>
        <v>saletructiep_Australia.Only.tai.LHTT.Liennth.PTATT_PTATT_LD005</v>
      </c>
      <c r="T486" s="54"/>
      <c r="U486" s="56"/>
    </row>
    <row r="487">
      <c r="A487" s="66">
        <v>311022.0</v>
      </c>
      <c r="B487" s="54" t="s">
        <v>166</v>
      </c>
      <c r="C487" s="54" t="str">
        <f>IFERROR(__xludf.DUMMYFUNCTION("""COMPUTED_VALUE"""),"LD005")</f>
        <v>LD005</v>
      </c>
      <c r="D487" s="54" t="s">
        <v>42</v>
      </c>
      <c r="E487" s="73" t="s">
        <v>79</v>
      </c>
      <c r="F487" s="55" t="s">
        <v>164</v>
      </c>
      <c r="G487" s="54">
        <v>1834.0</v>
      </c>
      <c r="H487" s="54" t="s">
        <v>75</v>
      </c>
      <c r="I487" s="55" t="s">
        <v>881</v>
      </c>
      <c r="J487" s="73" t="s">
        <v>881</v>
      </c>
      <c r="K487" s="54" t="s">
        <v>61</v>
      </c>
      <c r="L487" s="73" t="s">
        <v>317</v>
      </c>
      <c r="M487" s="54" t="s">
        <v>78</v>
      </c>
      <c r="N487" s="73" t="s">
        <v>79</v>
      </c>
      <c r="O487" s="54" t="s">
        <v>224</v>
      </c>
      <c r="P487" s="54" t="s">
        <v>110</v>
      </c>
      <c r="Q487" s="54" t="str">
        <f>IFERROR(__xludf.DUMMYFUNCTION("""COMPUTED_VALUE"""),"Taiwan.Only.tai.LHTT.Liennth.PTATT_XuBen.5018_MES_HuyNV_311022")</f>
        <v>Taiwan.Only.tai.LHTT.Liennth.PTATT_XuBen.5018_MES_HuyNV_311022</v>
      </c>
      <c r="R487" s="54" t="str">
        <f>IFERROR(__xludf.DUMMYFUNCTION("""COMPUTED_VALUE"""),"NEW_Taiwan_1834_none_311022")</f>
        <v>NEW_Taiwan_1834_none_311022</v>
      </c>
      <c r="S487" s="54" t="str">
        <f>IFERROR(__xludf.DUMMYFUNCTION("""COMPUTED_VALUE"""),"saletructiep_Taiwan.Only.tai.LHTT.Liennth.PTATT_PTATT_LD005")</f>
        <v>saletructiep_Taiwan.Only.tai.LHTT.Liennth.PTATT_PTATT_LD005</v>
      </c>
      <c r="T487" s="54"/>
      <c r="U487" s="56"/>
    </row>
    <row r="488">
      <c r="A488" s="66">
        <v>311022.0</v>
      </c>
      <c r="B488" s="54" t="s">
        <v>166</v>
      </c>
      <c r="C488" s="54" t="str">
        <f>IFERROR(__xludf.DUMMYFUNCTION("""COMPUTED_VALUE"""),"LD005")</f>
        <v>LD005</v>
      </c>
      <c r="D488" s="54" t="s">
        <v>42</v>
      </c>
      <c r="E488" s="73" t="s">
        <v>79</v>
      </c>
      <c r="F488" s="55" t="s">
        <v>112</v>
      </c>
      <c r="G488" s="54">
        <v>1834.0</v>
      </c>
      <c r="H488" s="54" t="s">
        <v>75</v>
      </c>
      <c r="I488" s="55" t="s">
        <v>882</v>
      </c>
      <c r="J488" s="73" t="s">
        <v>882</v>
      </c>
      <c r="K488" s="54" t="s">
        <v>61</v>
      </c>
      <c r="L488" s="73" t="s">
        <v>317</v>
      </c>
      <c r="M488" s="54" t="s">
        <v>78</v>
      </c>
      <c r="N488" s="73" t="s">
        <v>79</v>
      </c>
      <c r="O488" s="54" t="s">
        <v>224</v>
      </c>
      <c r="P488" s="54" t="s">
        <v>110</v>
      </c>
      <c r="Q488" s="54" t="str">
        <f>IFERROR(__xludf.DUMMYFUNCTION("""COMPUTED_VALUE"""),"Canada.Only.tai.LHTT.Liennth.PTATT_XuBen.5018_MES_HuyNV_311022")</f>
        <v>Canada.Only.tai.LHTT.Liennth.PTATT_XuBen.5018_MES_HuyNV_311022</v>
      </c>
      <c r="R488" s="54" t="str">
        <f>IFERROR(__xludf.DUMMYFUNCTION("""COMPUTED_VALUE"""),"NEW_Canada_1834_none_311022")</f>
        <v>NEW_Canada_1834_none_311022</v>
      </c>
      <c r="S488" s="54" t="str">
        <f>IFERROR(__xludf.DUMMYFUNCTION("""COMPUTED_VALUE"""),"saletructiep_Canada.Only.tai.LHTT.Liennth.PTATT_PTATT_LD005")</f>
        <v>saletructiep_Canada.Only.tai.LHTT.Liennth.PTATT_PTATT_LD005</v>
      </c>
      <c r="T488" s="54"/>
      <c r="U488" s="56"/>
    </row>
    <row r="489">
      <c r="A489" s="66">
        <v>311022.0</v>
      </c>
      <c r="B489" s="54" t="s">
        <v>166</v>
      </c>
      <c r="C489" s="54" t="str">
        <f>IFERROR(__xludf.DUMMYFUNCTION("""COMPUTED_VALUE"""),"LD005")</f>
        <v>LD005</v>
      </c>
      <c r="D489" s="54" t="s">
        <v>42</v>
      </c>
      <c r="E489" s="73" t="s">
        <v>79</v>
      </c>
      <c r="F489" s="93" t="s">
        <v>133</v>
      </c>
      <c r="G489" s="54">
        <v>1834.0</v>
      </c>
      <c r="H489" s="54" t="s">
        <v>75</v>
      </c>
      <c r="I489" s="55" t="s">
        <v>883</v>
      </c>
      <c r="J489" s="73" t="s">
        <v>883</v>
      </c>
      <c r="K489" s="54" t="s">
        <v>61</v>
      </c>
      <c r="L489" s="73" t="s">
        <v>317</v>
      </c>
      <c r="M489" s="54" t="s">
        <v>78</v>
      </c>
      <c r="N489" s="73" t="s">
        <v>79</v>
      </c>
      <c r="O489" s="54" t="s">
        <v>224</v>
      </c>
      <c r="P489" s="54" t="s">
        <v>110</v>
      </c>
      <c r="Q489" s="54" t="str">
        <f>IFERROR(__xludf.DUMMYFUNCTION("""COMPUTED_VALUE"""),"Japan.Anhtext.KG.Liennth.PTATT_XuBen.5018_MES_HuyNV_311022")</f>
        <v>Japan.Anhtext.KG.Liennth.PTATT_XuBen.5018_MES_HuyNV_311022</v>
      </c>
      <c r="R489" s="54" t="str">
        <f>IFERROR(__xludf.DUMMYFUNCTION("""COMPUTED_VALUE"""),"NEW_Japan_1834_none_311022")</f>
        <v>NEW_Japan_1834_none_311022</v>
      </c>
      <c r="S489" s="54" t="str">
        <f>IFERROR(__xludf.DUMMYFUNCTION("""COMPUTED_VALUE"""),"saletructiep_Japan.Anhtext.KG.Liennth.PTATT_PTATT_LD005")</f>
        <v>saletructiep_Japan.Anhtext.KG.Liennth.PTATT_PTATT_LD005</v>
      </c>
      <c r="T489" s="54"/>
      <c r="U489" s="56"/>
    </row>
    <row r="490">
      <c r="A490" s="66">
        <v>311022.0</v>
      </c>
      <c r="B490" s="75" t="s">
        <v>777</v>
      </c>
      <c r="C490" s="54" t="str">
        <f>IFERROR(__xludf.DUMMYFUNCTION("""COMPUTED_VALUE"""),"LD068")</f>
        <v>LD068</v>
      </c>
      <c r="D490" s="54" t="s">
        <v>42</v>
      </c>
      <c r="E490" s="73" t="s">
        <v>79</v>
      </c>
      <c r="F490" s="55" t="s">
        <v>174</v>
      </c>
      <c r="G490" s="54">
        <v>1834.0</v>
      </c>
      <c r="H490" s="54" t="s">
        <v>75</v>
      </c>
      <c r="I490" s="55" t="s">
        <v>884</v>
      </c>
      <c r="J490" s="73" t="s">
        <v>884</v>
      </c>
      <c r="K490" s="54" t="s">
        <v>61</v>
      </c>
      <c r="L490" s="73" t="s">
        <v>317</v>
      </c>
      <c r="M490" s="54" t="s">
        <v>78</v>
      </c>
      <c r="N490" s="73" t="s">
        <v>79</v>
      </c>
      <c r="O490" s="54" t="s">
        <v>224</v>
      </c>
      <c r="P490" s="54" t="s">
        <v>110</v>
      </c>
      <c r="Q490" s="54" t="str">
        <f>IFERROR(__xludf.DUMMYFUNCTION("""COMPUTED_VALUE"""),"Philippines.Anhtext.KG.LHTT.Liennth.PTATT_XuBen.5018_MES_HuyNV_311022")</f>
        <v>Philippines.Anhtext.KG.LHTT.Liennth.PTATT_XuBen.5018_MES_HuyNV_311022</v>
      </c>
      <c r="R490" s="54" t="str">
        <f>IFERROR(__xludf.DUMMYFUNCTION("""COMPUTED_VALUE"""),"NEW_Philippines_1834_none_311022")</f>
        <v>NEW_Philippines_1834_none_311022</v>
      </c>
      <c r="S490" s="54" t="str">
        <f>IFERROR(__xludf.DUMMYFUNCTION("""COMPUTED_VALUE"""),"saletructiep_Philippines.Anhtext.KG.LHTT.Liennth.PTATT_PTATT_LD068")</f>
        <v>saletructiep_Philippines.Anhtext.KG.LHTT.Liennth.PTATT_PTATT_LD068</v>
      </c>
      <c r="T490" s="54"/>
      <c r="U490" s="56"/>
    </row>
    <row r="491">
      <c r="A491" s="66">
        <v>311022.0</v>
      </c>
      <c r="B491" s="75" t="s">
        <v>777</v>
      </c>
      <c r="C491" s="54" t="str">
        <f>IFERROR(__xludf.DUMMYFUNCTION("""COMPUTED_VALUE"""),"LD068")</f>
        <v>LD068</v>
      </c>
      <c r="D491" s="54" t="s">
        <v>42</v>
      </c>
      <c r="E491" s="73" t="s">
        <v>79</v>
      </c>
      <c r="F491" s="55" t="s">
        <v>182</v>
      </c>
      <c r="G491" s="54">
        <v>1834.0</v>
      </c>
      <c r="H491" s="54" t="s">
        <v>75</v>
      </c>
      <c r="I491" s="55" t="s">
        <v>885</v>
      </c>
      <c r="J491" s="73" t="s">
        <v>885</v>
      </c>
      <c r="K491" s="54" t="s">
        <v>61</v>
      </c>
      <c r="L491" s="73" t="s">
        <v>317</v>
      </c>
      <c r="M491" s="54" t="s">
        <v>78</v>
      </c>
      <c r="N491" s="73" t="s">
        <v>79</v>
      </c>
      <c r="O491" s="54" t="s">
        <v>224</v>
      </c>
      <c r="P491" s="54" t="s">
        <v>110</v>
      </c>
      <c r="Q491" s="54" t="str">
        <f>IFERROR(__xludf.DUMMYFUNCTION("""COMPUTED_VALUE"""),"Malaysia.Anhtext.KG.Liennth.PTATT_XuBen.5018_MES_HuyNV_311022")</f>
        <v>Malaysia.Anhtext.KG.Liennth.PTATT_XuBen.5018_MES_HuyNV_311022</v>
      </c>
      <c r="R491" s="54" t="str">
        <f>IFERROR(__xludf.DUMMYFUNCTION("""COMPUTED_VALUE"""),"NEW_Malaysia_1834_none_311022")</f>
        <v>NEW_Malaysia_1834_none_311022</v>
      </c>
      <c r="S491" s="54" t="str">
        <f>IFERROR(__xludf.DUMMYFUNCTION("""COMPUTED_VALUE"""),"saletructiep_Malaysia.Anhtext.KG.Liennth.PTATT_PTATT_LD068")</f>
        <v>saletructiep_Malaysia.Anhtext.KG.Liennth.PTATT_PTATT_LD068</v>
      </c>
      <c r="T491" s="54"/>
      <c r="U491" s="56"/>
    </row>
    <row r="492">
      <c r="A492" s="66">
        <v>311022.0</v>
      </c>
      <c r="B492" s="54" t="s">
        <v>166</v>
      </c>
      <c r="C492" s="54" t="str">
        <f>IFERROR(__xludf.DUMMYFUNCTION("""COMPUTED_VALUE"""),"LD005")</f>
        <v>LD005</v>
      </c>
      <c r="D492" s="54" t="s">
        <v>42</v>
      </c>
      <c r="E492" s="73" t="s">
        <v>79</v>
      </c>
      <c r="F492" s="55" t="s">
        <v>107</v>
      </c>
      <c r="G492" s="54">
        <v>1834.0</v>
      </c>
      <c r="H492" s="54" t="s">
        <v>75</v>
      </c>
      <c r="I492" s="55" t="s">
        <v>886</v>
      </c>
      <c r="J492" s="73" t="s">
        <v>886</v>
      </c>
      <c r="K492" s="54" t="s">
        <v>61</v>
      </c>
      <c r="L492" s="73" t="s">
        <v>317</v>
      </c>
      <c r="M492" s="54" t="s">
        <v>78</v>
      </c>
      <c r="N492" s="73" t="s">
        <v>79</v>
      </c>
      <c r="O492" s="54" t="s">
        <v>224</v>
      </c>
      <c r="P492" s="54" t="s">
        <v>110</v>
      </c>
      <c r="Q492" s="54" t="str">
        <f>IFERROR(__xludf.DUMMYFUNCTION("""COMPUTED_VALUE"""),"UnitedStates.Anhtext.KG.Liennth.PTATT_XuBen.5018_MES_HuyNV_311022")</f>
        <v>UnitedStates.Anhtext.KG.Liennth.PTATT_XuBen.5018_MES_HuyNV_311022</v>
      </c>
      <c r="R492" s="54" t="str">
        <f>IFERROR(__xludf.DUMMYFUNCTION("""COMPUTED_VALUE"""),"NEW_UnitedStates_1834_none_311022")</f>
        <v>NEW_UnitedStates_1834_none_311022</v>
      </c>
      <c r="S492" s="54" t="str">
        <f>IFERROR(__xludf.DUMMYFUNCTION("""COMPUTED_VALUE"""),"saletructiep_UnitedStates.Anhtext.KG.Liennth.PTATT_PTATT_LD005")</f>
        <v>saletructiep_UnitedStates.Anhtext.KG.Liennth.PTATT_PTATT_LD005</v>
      </c>
      <c r="T492" s="54"/>
      <c r="U492" s="56"/>
    </row>
    <row r="493">
      <c r="A493" s="66">
        <v>311022.0</v>
      </c>
      <c r="B493" s="54" t="s">
        <v>166</v>
      </c>
      <c r="C493" s="54" t="str">
        <f>IFERROR(__xludf.DUMMYFUNCTION("""COMPUTED_VALUE"""),"LD005")</f>
        <v>LD005</v>
      </c>
      <c r="D493" s="54" t="s">
        <v>42</v>
      </c>
      <c r="E493" s="73" t="s">
        <v>79</v>
      </c>
      <c r="F493" s="55" t="s">
        <v>625</v>
      </c>
      <c r="G493" s="54">
        <v>1834.0</v>
      </c>
      <c r="H493" s="54" t="s">
        <v>75</v>
      </c>
      <c r="I493" s="55" t="s">
        <v>887</v>
      </c>
      <c r="J493" s="73" t="s">
        <v>887</v>
      </c>
      <c r="K493" s="54" t="s">
        <v>61</v>
      </c>
      <c r="L493" s="73" t="s">
        <v>317</v>
      </c>
      <c r="M493" s="54" t="s">
        <v>78</v>
      </c>
      <c r="N493" s="73" t="s">
        <v>79</v>
      </c>
      <c r="O493" s="54" t="s">
        <v>224</v>
      </c>
      <c r="P493" s="54" t="s">
        <v>110</v>
      </c>
      <c r="Q493" s="54" t="str">
        <f>IFERROR(__xludf.DUMMYFUNCTION("""COMPUTED_VALUE"""),"KoreaSouth.Anhtext.KG.Liennth.PTATT_XuBen.5018_MES_HuyNV_311022")</f>
        <v>KoreaSouth.Anhtext.KG.Liennth.PTATT_XuBen.5018_MES_HuyNV_311022</v>
      </c>
      <c r="R493" s="54" t="str">
        <f>IFERROR(__xludf.DUMMYFUNCTION("""COMPUTED_VALUE"""),"NEW_KoreaSouth_1834_none_311022")</f>
        <v>NEW_KoreaSouth_1834_none_311022</v>
      </c>
      <c r="S493" s="54" t="str">
        <f>IFERROR(__xludf.DUMMYFUNCTION("""COMPUTED_VALUE"""),"saletructiep_KoreaSouth.Anhtext.KG.Liennth.PTATT_PTATT_LD005")</f>
        <v>saletructiep_KoreaSouth.Anhtext.KG.Liennth.PTATT_PTATT_LD005</v>
      </c>
      <c r="T493" s="54"/>
      <c r="U493" s="56"/>
    </row>
    <row r="494">
      <c r="A494" s="66">
        <v>311022.0</v>
      </c>
      <c r="B494" s="54" t="s">
        <v>166</v>
      </c>
      <c r="C494" s="54" t="str">
        <f>IFERROR(__xludf.DUMMYFUNCTION("""COMPUTED_VALUE"""),"LD005")</f>
        <v>LD005</v>
      </c>
      <c r="D494" s="54" t="s">
        <v>42</v>
      </c>
      <c r="E494" s="73" t="s">
        <v>79</v>
      </c>
      <c r="F494" s="55" t="s">
        <v>129</v>
      </c>
      <c r="G494" s="54">
        <v>1834.0</v>
      </c>
      <c r="H494" s="54" t="s">
        <v>75</v>
      </c>
      <c r="I494" s="55" t="s">
        <v>888</v>
      </c>
      <c r="J494" s="73" t="s">
        <v>888</v>
      </c>
      <c r="K494" s="54" t="s">
        <v>61</v>
      </c>
      <c r="L494" s="73" t="s">
        <v>317</v>
      </c>
      <c r="M494" s="54" t="s">
        <v>78</v>
      </c>
      <c r="N494" s="73" t="s">
        <v>79</v>
      </c>
      <c r="O494" s="54" t="s">
        <v>224</v>
      </c>
      <c r="P494" s="54" t="s">
        <v>110</v>
      </c>
      <c r="Q494" s="54" t="str">
        <f>IFERROR(__xludf.DUMMYFUNCTION("""COMPUTED_VALUE"""),"Australia.Anhtext.KG.Liennth.PTATT_XuBen.5018_MES_HuyNV_311022")</f>
        <v>Australia.Anhtext.KG.Liennth.PTATT_XuBen.5018_MES_HuyNV_311022</v>
      </c>
      <c r="R494" s="54" t="str">
        <f>IFERROR(__xludf.DUMMYFUNCTION("""COMPUTED_VALUE"""),"NEW_Australia_1834_none_311022")</f>
        <v>NEW_Australia_1834_none_311022</v>
      </c>
      <c r="S494" s="54" t="str">
        <f>IFERROR(__xludf.DUMMYFUNCTION("""COMPUTED_VALUE"""),"saletructiep_Australia.Anhtext.KG.Liennth.PTATT_PTATT_LD005")</f>
        <v>saletructiep_Australia.Anhtext.KG.Liennth.PTATT_PTATT_LD005</v>
      </c>
      <c r="T494" s="54"/>
      <c r="U494" s="56"/>
    </row>
    <row r="495">
      <c r="A495" s="66">
        <v>311022.0</v>
      </c>
      <c r="B495" s="54" t="s">
        <v>166</v>
      </c>
      <c r="C495" s="54" t="str">
        <f>IFERROR(__xludf.DUMMYFUNCTION("""COMPUTED_VALUE"""),"LD005")</f>
        <v>LD005</v>
      </c>
      <c r="D495" s="54" t="s">
        <v>42</v>
      </c>
      <c r="E495" s="73" t="s">
        <v>79</v>
      </c>
      <c r="F495" s="55" t="s">
        <v>164</v>
      </c>
      <c r="G495" s="54">
        <v>1834.0</v>
      </c>
      <c r="H495" s="54" t="s">
        <v>75</v>
      </c>
      <c r="I495" s="55" t="s">
        <v>889</v>
      </c>
      <c r="J495" s="73" t="s">
        <v>889</v>
      </c>
      <c r="K495" s="54" t="s">
        <v>61</v>
      </c>
      <c r="L495" s="73" t="s">
        <v>317</v>
      </c>
      <c r="M495" s="54" t="s">
        <v>78</v>
      </c>
      <c r="N495" s="73" t="s">
        <v>79</v>
      </c>
      <c r="O495" s="54" t="s">
        <v>224</v>
      </c>
      <c r="P495" s="54" t="s">
        <v>110</v>
      </c>
      <c r="Q495" s="54" t="str">
        <f>IFERROR(__xludf.DUMMYFUNCTION("""COMPUTED_VALUE"""),"Taiwan.Anhtext.KG.Liennth.PTATT_XuBen.5018_MES_HuyNV_311022")</f>
        <v>Taiwan.Anhtext.KG.Liennth.PTATT_XuBen.5018_MES_HuyNV_311022</v>
      </c>
      <c r="R495" s="54" t="str">
        <f>IFERROR(__xludf.DUMMYFUNCTION("""COMPUTED_VALUE"""),"NEW_Taiwan_1834_none_311022")</f>
        <v>NEW_Taiwan_1834_none_311022</v>
      </c>
      <c r="S495" s="54" t="str">
        <f>IFERROR(__xludf.DUMMYFUNCTION("""COMPUTED_VALUE"""),"saletructiep_Taiwan.Anhtext.KG.Liennth.PTATT_PTATT_LD005")</f>
        <v>saletructiep_Taiwan.Anhtext.KG.Liennth.PTATT_PTATT_LD005</v>
      </c>
      <c r="T495" s="54"/>
      <c r="U495" s="56"/>
    </row>
    <row r="496">
      <c r="A496" s="66">
        <v>311022.0</v>
      </c>
      <c r="B496" s="54" t="s">
        <v>166</v>
      </c>
      <c r="C496" s="54" t="str">
        <f>IFERROR(__xludf.DUMMYFUNCTION("""COMPUTED_VALUE"""),"LD005")</f>
        <v>LD005</v>
      </c>
      <c r="D496" s="54" t="s">
        <v>42</v>
      </c>
      <c r="E496" s="73" t="s">
        <v>79</v>
      </c>
      <c r="F496" s="55" t="s">
        <v>112</v>
      </c>
      <c r="G496" s="54">
        <v>1834.0</v>
      </c>
      <c r="H496" s="54" t="s">
        <v>75</v>
      </c>
      <c r="I496" s="55" t="s">
        <v>890</v>
      </c>
      <c r="J496" s="73" t="s">
        <v>890</v>
      </c>
      <c r="K496" s="54" t="s">
        <v>61</v>
      </c>
      <c r="L496" s="73" t="s">
        <v>317</v>
      </c>
      <c r="M496" s="54" t="s">
        <v>78</v>
      </c>
      <c r="N496" s="73" t="s">
        <v>79</v>
      </c>
      <c r="O496" s="54" t="s">
        <v>224</v>
      </c>
      <c r="P496" s="54" t="s">
        <v>110</v>
      </c>
      <c r="Q496" s="54" t="str">
        <f>IFERROR(__xludf.DUMMYFUNCTION("""COMPUTED_VALUE"""),"Canada.Anhtext.KG.Liennth.PTATT_XuBen.5018_MES_HuyNV_311022")</f>
        <v>Canada.Anhtext.KG.Liennth.PTATT_XuBen.5018_MES_HuyNV_311022</v>
      </c>
      <c r="R496" s="54" t="str">
        <f>IFERROR(__xludf.DUMMYFUNCTION("""COMPUTED_VALUE"""),"NEW_Canada_1834_none_311022")</f>
        <v>NEW_Canada_1834_none_311022</v>
      </c>
      <c r="S496" s="54" t="str">
        <f>IFERROR(__xludf.DUMMYFUNCTION("""COMPUTED_VALUE"""),"saletructiep_Canada.Anhtext.KG.Liennth.PTATT_PTATT_LD005")</f>
        <v>saletructiep_Canada.Anhtext.KG.Liennth.PTATT_PTATT_LD005</v>
      </c>
      <c r="T496" s="54"/>
      <c r="U496" s="56"/>
    </row>
    <row r="497">
      <c r="A497" s="64" t="s">
        <v>891</v>
      </c>
      <c r="B497" s="54" t="s">
        <v>166</v>
      </c>
      <c r="C497" s="54" t="str">
        <f>IFERROR(__xludf.DUMMYFUNCTION("""COMPUTED_VALUE"""),"LD005")</f>
        <v>LD005</v>
      </c>
      <c r="D497" s="54" t="s">
        <v>42</v>
      </c>
      <c r="E497" s="73" t="s">
        <v>79</v>
      </c>
      <c r="F497" s="93" t="s">
        <v>133</v>
      </c>
      <c r="G497" s="54">
        <v>1834.0</v>
      </c>
      <c r="H497" s="54" t="s">
        <v>75</v>
      </c>
      <c r="I497" s="55" t="s">
        <v>892</v>
      </c>
      <c r="J497" s="73" t="s">
        <v>893</v>
      </c>
      <c r="K497" s="54" t="s">
        <v>61</v>
      </c>
      <c r="L497" s="73" t="s">
        <v>317</v>
      </c>
      <c r="M497" s="54" t="s">
        <v>78</v>
      </c>
      <c r="N497" s="73" t="s">
        <v>79</v>
      </c>
      <c r="O497" s="54" t="s">
        <v>224</v>
      </c>
      <c r="P497" s="54" t="s">
        <v>110</v>
      </c>
      <c r="Q497" s="54" t="str">
        <f>IFERROR(__xludf.DUMMYFUNCTION("""COMPUTED_VALUE"""),"Japan.KHTA.LNTH.PTATT_XuBen.5018_MES_HuyNV_011122")</f>
        <v>Japan.KHTA.LNTH.PTATT_XuBen.5018_MES_HuyNV_011122</v>
      </c>
      <c r="R497" s="54" t="str">
        <f>IFERROR(__xludf.DUMMYFUNCTION("""COMPUTED_VALUE"""),"NEW_Japan_1834_none_011122")</f>
        <v>NEW_Japan_1834_none_011122</v>
      </c>
      <c r="S497" s="54" t="str">
        <f>IFERROR(__xludf.DUMMYFUNCTION("""COMPUTED_VALUE"""),"saletructiep_Japan.KHTA.Liennth.PTATT_PTATT_LD005")</f>
        <v>saletructiep_Japan.KHTA.Liennth.PTATT_PTATT_LD005</v>
      </c>
      <c r="T497" s="54"/>
      <c r="U497" s="56"/>
    </row>
    <row r="498">
      <c r="A498" s="64" t="s">
        <v>891</v>
      </c>
      <c r="B498" s="54" t="s">
        <v>166</v>
      </c>
      <c r="C498" s="54" t="str">
        <f>IFERROR(__xludf.DUMMYFUNCTION("""COMPUTED_VALUE"""),"LD005")</f>
        <v>LD005</v>
      </c>
      <c r="D498" s="54" t="s">
        <v>42</v>
      </c>
      <c r="E498" s="73" t="s">
        <v>79</v>
      </c>
      <c r="F498" s="55" t="s">
        <v>174</v>
      </c>
      <c r="G498" s="54">
        <v>1834.0</v>
      </c>
      <c r="H498" s="54" t="s">
        <v>75</v>
      </c>
      <c r="I498" s="55" t="s">
        <v>894</v>
      </c>
      <c r="J498" s="73" t="s">
        <v>895</v>
      </c>
      <c r="K498" s="54" t="s">
        <v>61</v>
      </c>
      <c r="L498" s="73" t="s">
        <v>317</v>
      </c>
      <c r="M498" s="54" t="s">
        <v>78</v>
      </c>
      <c r="N498" s="73" t="s">
        <v>79</v>
      </c>
      <c r="O498" s="54" t="s">
        <v>224</v>
      </c>
      <c r="P498" s="54" t="s">
        <v>110</v>
      </c>
      <c r="Q498" s="54" t="str">
        <f>IFERROR(__xludf.DUMMYFUNCTION("""COMPUTED_VALUE"""),"Philippines.KHTA.LNTH.PTATT_XuBen.5018_MES_HuyNV_011122")</f>
        <v>Philippines.KHTA.LNTH.PTATT_XuBen.5018_MES_HuyNV_011122</v>
      </c>
      <c r="R498" s="54" t="str">
        <f>IFERROR(__xludf.DUMMYFUNCTION("""COMPUTED_VALUE"""),"NEW_Philippines_1834_none_011122")</f>
        <v>NEW_Philippines_1834_none_011122</v>
      </c>
      <c r="S498" s="54" t="str">
        <f>IFERROR(__xludf.DUMMYFUNCTION("""COMPUTED_VALUE"""),"saletructiep_Philippines.KHTA.Liennth.PTATT_PTATT_LD005")</f>
        <v>saletructiep_Philippines.KHTA.Liennth.PTATT_PTATT_LD005</v>
      </c>
      <c r="T498" s="54"/>
      <c r="U498" s="56"/>
    </row>
    <row r="499">
      <c r="A499" s="64" t="s">
        <v>891</v>
      </c>
      <c r="B499" s="54" t="s">
        <v>166</v>
      </c>
      <c r="C499" s="54" t="str">
        <f>IFERROR(__xludf.DUMMYFUNCTION("""COMPUTED_VALUE"""),"LD005")</f>
        <v>LD005</v>
      </c>
      <c r="D499" s="54" t="s">
        <v>42</v>
      </c>
      <c r="E499" s="73" t="s">
        <v>79</v>
      </c>
      <c r="F499" s="55" t="s">
        <v>182</v>
      </c>
      <c r="G499" s="54">
        <v>1834.0</v>
      </c>
      <c r="H499" s="54" t="s">
        <v>75</v>
      </c>
      <c r="I499" s="55" t="s">
        <v>896</v>
      </c>
      <c r="J499" s="73" t="s">
        <v>897</v>
      </c>
      <c r="K499" s="54" t="s">
        <v>61</v>
      </c>
      <c r="L499" s="73" t="s">
        <v>317</v>
      </c>
      <c r="M499" s="54" t="s">
        <v>78</v>
      </c>
      <c r="N499" s="73" t="s">
        <v>79</v>
      </c>
      <c r="O499" s="54" t="s">
        <v>224</v>
      </c>
      <c r="P499" s="54" t="s">
        <v>110</v>
      </c>
      <c r="Q499" s="54" t="str">
        <f>IFERROR(__xludf.DUMMYFUNCTION("""COMPUTED_VALUE"""),"Malaysia.KHTA.LNTH.PTATT_XuBen.5018_MES_HuyNV_011122")</f>
        <v>Malaysia.KHTA.LNTH.PTATT_XuBen.5018_MES_HuyNV_011122</v>
      </c>
      <c r="R499" s="54" t="str">
        <f>IFERROR(__xludf.DUMMYFUNCTION("""COMPUTED_VALUE"""),"NEW_Malaysia_1834_none_011122")</f>
        <v>NEW_Malaysia_1834_none_011122</v>
      </c>
      <c r="S499" s="54" t="str">
        <f>IFERROR(__xludf.DUMMYFUNCTION("""COMPUTED_VALUE"""),"saletructiep_Malaysia.KHTA.Liennth.PTATT_PTATT_LD005")</f>
        <v>saletructiep_Malaysia.KHTA.Liennth.PTATT_PTATT_LD005</v>
      </c>
      <c r="T499" s="54"/>
      <c r="U499" s="56"/>
    </row>
    <row r="500">
      <c r="A500" s="64" t="s">
        <v>891</v>
      </c>
      <c r="B500" s="54" t="s">
        <v>166</v>
      </c>
      <c r="C500" s="54" t="str">
        <f>IFERROR(__xludf.DUMMYFUNCTION("""COMPUTED_VALUE"""),"LD005")</f>
        <v>LD005</v>
      </c>
      <c r="D500" s="54" t="s">
        <v>42</v>
      </c>
      <c r="E500" s="73" t="s">
        <v>79</v>
      </c>
      <c r="F500" s="55" t="s">
        <v>107</v>
      </c>
      <c r="G500" s="54">
        <v>1834.0</v>
      </c>
      <c r="H500" s="54" t="s">
        <v>75</v>
      </c>
      <c r="I500" s="55" t="s">
        <v>898</v>
      </c>
      <c r="J500" s="73" t="s">
        <v>899</v>
      </c>
      <c r="K500" s="54" t="s">
        <v>61</v>
      </c>
      <c r="L500" s="73" t="s">
        <v>317</v>
      </c>
      <c r="M500" s="54" t="s">
        <v>78</v>
      </c>
      <c r="N500" s="73" t="s">
        <v>79</v>
      </c>
      <c r="O500" s="54" t="s">
        <v>224</v>
      </c>
      <c r="P500" s="54" t="s">
        <v>110</v>
      </c>
      <c r="Q500" s="54" t="str">
        <f>IFERROR(__xludf.DUMMYFUNCTION("""COMPUTED_VALUE"""),"UnitedStates.KHTA.LNTH.PTATT_XuBen.5018_MES_HuyNV_011122")</f>
        <v>UnitedStates.KHTA.LNTH.PTATT_XuBen.5018_MES_HuyNV_011122</v>
      </c>
      <c r="R500" s="54" t="str">
        <f>IFERROR(__xludf.DUMMYFUNCTION("""COMPUTED_VALUE"""),"NEW_UnitedStates_1834_none_011122")</f>
        <v>NEW_UnitedStates_1834_none_011122</v>
      </c>
      <c r="S500" s="54" t="str">
        <f>IFERROR(__xludf.DUMMYFUNCTION("""COMPUTED_VALUE"""),"saletructiep_UnitedStates.KHTA.Liennth.PTATT_PTATT_LD005")</f>
        <v>saletructiep_UnitedStates.KHTA.Liennth.PTATT_PTATT_LD005</v>
      </c>
      <c r="T500" s="54"/>
      <c r="U500" s="56"/>
    </row>
    <row r="501">
      <c r="A501" s="64" t="s">
        <v>891</v>
      </c>
      <c r="B501" s="54" t="s">
        <v>166</v>
      </c>
      <c r="C501" s="54" t="str">
        <f>IFERROR(__xludf.DUMMYFUNCTION("""COMPUTED_VALUE"""),"LD005")</f>
        <v>LD005</v>
      </c>
      <c r="D501" s="54" t="s">
        <v>42</v>
      </c>
      <c r="E501" s="73" t="s">
        <v>79</v>
      </c>
      <c r="F501" s="55" t="s">
        <v>625</v>
      </c>
      <c r="G501" s="54">
        <v>1834.0</v>
      </c>
      <c r="H501" s="54" t="s">
        <v>75</v>
      </c>
      <c r="I501" s="55" t="s">
        <v>900</v>
      </c>
      <c r="J501" s="73" t="s">
        <v>901</v>
      </c>
      <c r="K501" s="54" t="s">
        <v>61</v>
      </c>
      <c r="L501" s="73" t="s">
        <v>317</v>
      </c>
      <c r="M501" s="54" t="s">
        <v>78</v>
      </c>
      <c r="N501" s="73" t="s">
        <v>79</v>
      </c>
      <c r="O501" s="54" t="s">
        <v>224</v>
      </c>
      <c r="P501" s="54" t="s">
        <v>110</v>
      </c>
      <c r="Q501" s="54" t="str">
        <f>IFERROR(__xludf.DUMMYFUNCTION("""COMPUTED_VALUE"""),"KoreaSouth.KHTA.LNTH.PTATT_XuBen.5018_MES_HuyNV_011122")</f>
        <v>KoreaSouth.KHTA.LNTH.PTATT_XuBen.5018_MES_HuyNV_011122</v>
      </c>
      <c r="R501" s="54" t="str">
        <f>IFERROR(__xludf.DUMMYFUNCTION("""COMPUTED_VALUE"""),"NEW_KoreaSouth_1834_none_011122")</f>
        <v>NEW_KoreaSouth_1834_none_011122</v>
      </c>
      <c r="S501" s="54" t="str">
        <f>IFERROR(__xludf.DUMMYFUNCTION("""COMPUTED_VALUE"""),"saletructiep_KoreaSouth.KHTA.Liennth.PTATT_PTATT_LD005")</f>
        <v>saletructiep_KoreaSouth.KHTA.Liennth.PTATT_PTATT_LD005</v>
      </c>
      <c r="T501" s="54"/>
      <c r="U501" s="56"/>
    </row>
    <row r="502">
      <c r="A502" s="64" t="s">
        <v>891</v>
      </c>
      <c r="B502" s="54" t="s">
        <v>166</v>
      </c>
      <c r="C502" s="54" t="str">
        <f>IFERROR(__xludf.DUMMYFUNCTION("""COMPUTED_VALUE"""),"LD005")</f>
        <v>LD005</v>
      </c>
      <c r="D502" s="54" t="s">
        <v>42</v>
      </c>
      <c r="E502" s="73" t="s">
        <v>79</v>
      </c>
      <c r="F502" s="55" t="s">
        <v>129</v>
      </c>
      <c r="G502" s="54">
        <v>1834.0</v>
      </c>
      <c r="H502" s="54" t="s">
        <v>75</v>
      </c>
      <c r="I502" s="55" t="s">
        <v>902</v>
      </c>
      <c r="J502" s="73" t="s">
        <v>903</v>
      </c>
      <c r="K502" s="54" t="s">
        <v>61</v>
      </c>
      <c r="L502" s="73" t="s">
        <v>317</v>
      </c>
      <c r="M502" s="54" t="s">
        <v>78</v>
      </c>
      <c r="N502" s="73" t="s">
        <v>79</v>
      </c>
      <c r="O502" s="54" t="s">
        <v>224</v>
      </c>
      <c r="P502" s="54" t="s">
        <v>110</v>
      </c>
      <c r="Q502" s="54" t="str">
        <f>IFERROR(__xludf.DUMMYFUNCTION("""COMPUTED_VALUE"""),"Australia.KHTA.LNTH.PTATT_XuBen.5018_MES_HuyNV_011122")</f>
        <v>Australia.KHTA.LNTH.PTATT_XuBen.5018_MES_HuyNV_011122</v>
      </c>
      <c r="R502" s="54" t="str">
        <f>IFERROR(__xludf.DUMMYFUNCTION("""COMPUTED_VALUE"""),"NEW_Australia_1834_none_011122")</f>
        <v>NEW_Australia_1834_none_011122</v>
      </c>
      <c r="S502" s="54" t="str">
        <f>IFERROR(__xludf.DUMMYFUNCTION("""COMPUTED_VALUE"""),"saletructiep_Australia.KHTA.Liennth.PTATT_PTATT_LD005")</f>
        <v>saletructiep_Australia.KHTA.Liennth.PTATT_PTATT_LD005</v>
      </c>
      <c r="T502" s="54"/>
      <c r="U502" s="56"/>
    </row>
    <row r="503">
      <c r="A503" s="64" t="s">
        <v>891</v>
      </c>
      <c r="B503" s="54" t="s">
        <v>166</v>
      </c>
      <c r="C503" s="54" t="str">
        <f>IFERROR(__xludf.DUMMYFUNCTION("""COMPUTED_VALUE"""),"LD005")</f>
        <v>LD005</v>
      </c>
      <c r="D503" s="54" t="s">
        <v>42</v>
      </c>
      <c r="E503" s="73" t="s">
        <v>79</v>
      </c>
      <c r="F503" s="55" t="s">
        <v>164</v>
      </c>
      <c r="G503" s="54">
        <v>1834.0</v>
      </c>
      <c r="H503" s="54" t="s">
        <v>75</v>
      </c>
      <c r="I503" s="55" t="s">
        <v>904</v>
      </c>
      <c r="J503" s="73" t="s">
        <v>905</v>
      </c>
      <c r="K503" s="54" t="s">
        <v>61</v>
      </c>
      <c r="L503" s="73" t="s">
        <v>317</v>
      </c>
      <c r="M503" s="54" t="s">
        <v>78</v>
      </c>
      <c r="N503" s="73" t="s">
        <v>79</v>
      </c>
      <c r="O503" s="54" t="s">
        <v>224</v>
      </c>
      <c r="P503" s="54" t="s">
        <v>110</v>
      </c>
      <c r="Q503" s="54" t="str">
        <f>IFERROR(__xludf.DUMMYFUNCTION("""COMPUTED_VALUE"""),"Taiwan.KHTA.LNTH.PTATT_XuBen.5018_MES_HuyNV_011122")</f>
        <v>Taiwan.KHTA.LNTH.PTATT_XuBen.5018_MES_HuyNV_011122</v>
      </c>
      <c r="R503" s="54" t="str">
        <f>IFERROR(__xludf.DUMMYFUNCTION("""COMPUTED_VALUE"""),"NEW_Taiwan_1834_none_011122")</f>
        <v>NEW_Taiwan_1834_none_011122</v>
      </c>
      <c r="S503" s="54" t="str">
        <f>IFERROR(__xludf.DUMMYFUNCTION("""COMPUTED_VALUE"""),"saletructiep_Taiwan.KHTA.Liennth.PTATT_PTATT_LD005")</f>
        <v>saletructiep_Taiwan.KHTA.Liennth.PTATT_PTATT_LD005</v>
      </c>
      <c r="T503" s="54"/>
      <c r="U503" s="56"/>
    </row>
    <row r="504">
      <c r="A504" s="64" t="s">
        <v>891</v>
      </c>
      <c r="B504" s="54" t="s">
        <v>166</v>
      </c>
      <c r="C504" s="54" t="str">
        <f>IFERROR(__xludf.DUMMYFUNCTION("""COMPUTED_VALUE"""),"LD005")</f>
        <v>LD005</v>
      </c>
      <c r="D504" s="54" t="s">
        <v>42</v>
      </c>
      <c r="E504" s="73" t="s">
        <v>79</v>
      </c>
      <c r="F504" s="55" t="s">
        <v>112</v>
      </c>
      <c r="G504" s="54">
        <v>1834.0</v>
      </c>
      <c r="H504" s="54" t="s">
        <v>75</v>
      </c>
      <c r="I504" s="55" t="s">
        <v>906</v>
      </c>
      <c r="J504" s="73" t="s">
        <v>907</v>
      </c>
      <c r="K504" s="54" t="s">
        <v>61</v>
      </c>
      <c r="L504" s="73" t="s">
        <v>317</v>
      </c>
      <c r="M504" s="54" t="s">
        <v>78</v>
      </c>
      <c r="N504" s="73" t="s">
        <v>79</v>
      </c>
      <c r="O504" s="54" t="s">
        <v>224</v>
      </c>
      <c r="P504" s="54" t="s">
        <v>110</v>
      </c>
      <c r="Q504" s="54" t="str">
        <f>IFERROR(__xludf.DUMMYFUNCTION("""COMPUTED_VALUE"""),"Canada.KHTA.LNTH.PTATT_XuBen.5018_MES_HuyNV_011122")</f>
        <v>Canada.KHTA.LNTH.PTATT_XuBen.5018_MES_HuyNV_011122</v>
      </c>
      <c r="R504" s="54" t="str">
        <f>IFERROR(__xludf.DUMMYFUNCTION("""COMPUTED_VALUE"""),"NEW_Canada_1834_none_011122")</f>
        <v>NEW_Canada_1834_none_011122</v>
      </c>
      <c r="S504" s="54" t="str">
        <f>IFERROR(__xludf.DUMMYFUNCTION("""COMPUTED_VALUE"""),"saletructiep_Canada.KHTA.Liennth.PTATT_PTATT_LD005")</f>
        <v>saletructiep_Canada.KHTA.Liennth.PTATT_PTATT_LD005</v>
      </c>
      <c r="T504" s="54"/>
      <c r="U504" s="56"/>
    </row>
    <row r="505">
      <c r="A505" s="64" t="s">
        <v>891</v>
      </c>
      <c r="B505" s="54" t="s">
        <v>166</v>
      </c>
      <c r="C505" s="54" t="str">
        <f>IFERROR(__xludf.DUMMYFUNCTION("""COMPUTED_VALUE"""),"LD005")</f>
        <v>LD005</v>
      </c>
      <c r="D505" s="54" t="s">
        <v>42</v>
      </c>
      <c r="E505" s="73" t="s">
        <v>79</v>
      </c>
      <c r="F505" s="94" t="s">
        <v>133</v>
      </c>
      <c r="G505" s="54">
        <v>1834.0</v>
      </c>
      <c r="H505" s="54" t="s">
        <v>75</v>
      </c>
      <c r="I505" s="60" t="s">
        <v>908</v>
      </c>
      <c r="J505" s="73" t="s">
        <v>909</v>
      </c>
      <c r="K505" s="54" t="s">
        <v>61</v>
      </c>
      <c r="L505" s="73" t="s">
        <v>317</v>
      </c>
      <c r="M505" s="54" t="s">
        <v>78</v>
      </c>
      <c r="N505" s="73" t="s">
        <v>79</v>
      </c>
      <c r="O505" s="55" t="s">
        <v>910</v>
      </c>
      <c r="P505" s="54" t="s">
        <v>110</v>
      </c>
      <c r="Q505" s="54" t="str">
        <f>IFERROR(__xludf.DUMMYFUNCTION("""COMPUTED_VALUE"""),"Japan.GT.Baodau.LNTH.TATTP_XuBen.5018_MES_HuyNV_011122")</f>
        <v>Japan.GT.Baodau.LNTH.TATTP_XuBen.5018_MES_HuyNV_011122</v>
      </c>
      <c r="R505" s="54" t="str">
        <f>IFERROR(__xludf.DUMMYFUNCTION("""COMPUTED_VALUE"""),"NEW_Japan_1834_none_011122")</f>
        <v>NEW_Japan_1834_none_011122</v>
      </c>
      <c r="S505" s="54" t="str">
        <f>IFERROR(__xludf.DUMMYFUNCTION("""COMPUTED_VALUE"""),"saletructiep_Japan.GT.Baodau.LNTH.TATTP_TATTP_LD005")</f>
        <v>saletructiep_Japan.GT.Baodau.LNTH.TATTP_TATTP_LD005</v>
      </c>
      <c r="T505" s="54"/>
      <c r="U505" s="56"/>
    </row>
    <row r="506">
      <c r="A506" s="64" t="s">
        <v>891</v>
      </c>
      <c r="B506" s="54" t="s">
        <v>166</v>
      </c>
      <c r="C506" s="54" t="str">
        <f>IFERROR(__xludf.DUMMYFUNCTION("""COMPUTED_VALUE"""),"LD005")</f>
        <v>LD005</v>
      </c>
      <c r="D506" s="54" t="s">
        <v>42</v>
      </c>
      <c r="E506" s="73" t="s">
        <v>79</v>
      </c>
      <c r="F506" s="73" t="s">
        <v>174</v>
      </c>
      <c r="G506" s="54">
        <v>1834.0</v>
      </c>
      <c r="H506" s="54" t="s">
        <v>75</v>
      </c>
      <c r="I506" s="60" t="s">
        <v>911</v>
      </c>
      <c r="J506" s="73" t="s">
        <v>912</v>
      </c>
      <c r="K506" s="54" t="s">
        <v>61</v>
      </c>
      <c r="L506" s="73" t="s">
        <v>317</v>
      </c>
      <c r="M506" s="54" t="s">
        <v>78</v>
      </c>
      <c r="N506" s="73" t="s">
        <v>79</v>
      </c>
      <c r="O506" s="55" t="s">
        <v>910</v>
      </c>
      <c r="P506" s="54" t="s">
        <v>110</v>
      </c>
      <c r="Q506" s="54" t="str">
        <f>IFERROR(__xludf.DUMMYFUNCTION("""COMPUTED_VALUE"""),"Philippines.GT.Baodau.LNTH.TATTP_XuBen.5018_MES_HuyNV_011122")</f>
        <v>Philippines.GT.Baodau.LNTH.TATTP_XuBen.5018_MES_HuyNV_011122</v>
      </c>
      <c r="R506" s="54" t="str">
        <f>IFERROR(__xludf.DUMMYFUNCTION("""COMPUTED_VALUE"""),"NEW_Philippines_1834_none_011122")</f>
        <v>NEW_Philippines_1834_none_011122</v>
      </c>
      <c r="S506" s="54" t="str">
        <f>IFERROR(__xludf.DUMMYFUNCTION("""COMPUTED_VALUE"""),"saletructiep_Philippines.GT.Baodau.LNTH.TATTP_TATTP_LD005")</f>
        <v>saletructiep_Philippines.GT.Baodau.LNTH.TATTP_TATTP_LD005</v>
      </c>
      <c r="T506" s="54"/>
      <c r="U506" s="56"/>
    </row>
    <row r="507">
      <c r="A507" s="64" t="s">
        <v>891</v>
      </c>
      <c r="B507" s="54" t="s">
        <v>166</v>
      </c>
      <c r="C507" s="54" t="str">
        <f>IFERROR(__xludf.DUMMYFUNCTION("""COMPUTED_VALUE"""),"LD005")</f>
        <v>LD005</v>
      </c>
      <c r="D507" s="54" t="s">
        <v>42</v>
      </c>
      <c r="E507" s="73" t="s">
        <v>79</v>
      </c>
      <c r="F507" s="73" t="s">
        <v>182</v>
      </c>
      <c r="G507" s="54">
        <v>1834.0</v>
      </c>
      <c r="H507" s="54" t="s">
        <v>75</v>
      </c>
      <c r="I507" s="95" t="s">
        <v>913</v>
      </c>
      <c r="J507" s="73" t="s">
        <v>913</v>
      </c>
      <c r="K507" s="54" t="s">
        <v>61</v>
      </c>
      <c r="L507" s="73" t="s">
        <v>317</v>
      </c>
      <c r="M507" s="54" t="s">
        <v>78</v>
      </c>
      <c r="N507" s="73" t="s">
        <v>79</v>
      </c>
      <c r="O507" s="55" t="s">
        <v>910</v>
      </c>
      <c r="P507" s="54" t="s">
        <v>110</v>
      </c>
      <c r="Q507" s="54" t="str">
        <f>IFERROR(__xludf.DUMMYFUNCTION("""COMPUTED_VALUE"""),"Malaysia.Baodau.LNTH.TATTP_XuBen.5018_MES_HuyNV_011122")</f>
        <v>Malaysia.Baodau.LNTH.TATTP_XuBen.5018_MES_HuyNV_011122</v>
      </c>
      <c r="R507" s="54" t="str">
        <f>IFERROR(__xludf.DUMMYFUNCTION("""COMPUTED_VALUE"""),"NEW_Malaysia_1834_none_011122")</f>
        <v>NEW_Malaysia_1834_none_011122</v>
      </c>
      <c r="S507" s="54" t="str">
        <f>IFERROR(__xludf.DUMMYFUNCTION("""COMPUTED_VALUE"""),"saletructiep_Malaysia.Baodau.LNTH.TATTP_TATTP_LD005")</f>
        <v>saletructiep_Malaysia.Baodau.LNTH.TATTP_TATTP_LD005</v>
      </c>
      <c r="T507" s="54"/>
      <c r="U507" s="56"/>
    </row>
    <row r="508">
      <c r="A508" s="64" t="s">
        <v>891</v>
      </c>
      <c r="B508" s="54" t="s">
        <v>166</v>
      </c>
      <c r="C508" s="54" t="str">
        <f>IFERROR(__xludf.DUMMYFUNCTION("""COMPUTED_VALUE"""),"LD005")</f>
        <v>LD005</v>
      </c>
      <c r="D508" s="54" t="s">
        <v>42</v>
      </c>
      <c r="E508" s="73" t="s">
        <v>79</v>
      </c>
      <c r="F508" s="73" t="s">
        <v>107</v>
      </c>
      <c r="G508" s="54">
        <v>1834.0</v>
      </c>
      <c r="H508" s="54" t="s">
        <v>75</v>
      </c>
      <c r="I508" s="60" t="s">
        <v>914</v>
      </c>
      <c r="J508" s="73" t="s">
        <v>915</v>
      </c>
      <c r="K508" s="54" t="s">
        <v>61</v>
      </c>
      <c r="L508" s="73" t="s">
        <v>317</v>
      </c>
      <c r="M508" s="54" t="s">
        <v>78</v>
      </c>
      <c r="N508" s="73" t="s">
        <v>79</v>
      </c>
      <c r="O508" s="55" t="s">
        <v>910</v>
      </c>
      <c r="P508" s="54" t="s">
        <v>110</v>
      </c>
      <c r="Q508" s="54" t="str">
        <f>IFERROR(__xludf.DUMMYFUNCTION("""COMPUTED_VALUE"""),"UnitedStates.GT.Baodau.LNTH.TATTP_XuBen.5018_MES_HuyNV_011122")</f>
        <v>UnitedStates.GT.Baodau.LNTH.TATTP_XuBen.5018_MES_HuyNV_011122</v>
      </c>
      <c r="R508" s="54" t="str">
        <f>IFERROR(__xludf.DUMMYFUNCTION("""COMPUTED_VALUE"""),"NEW_UnitedStates_1834_none_011122")</f>
        <v>NEW_UnitedStates_1834_none_011122</v>
      </c>
      <c r="S508" s="54" t="str">
        <f>IFERROR(__xludf.DUMMYFUNCTION("""COMPUTED_VALUE"""),"saletructiep_UnitedStates.GT.Baodau.LNTH.TATTP_TATTP_LD005")</f>
        <v>saletructiep_UnitedStates.GT.Baodau.LNTH.TATTP_TATTP_LD005</v>
      </c>
      <c r="T508" s="54"/>
      <c r="U508" s="56"/>
    </row>
    <row r="509">
      <c r="A509" s="64" t="s">
        <v>891</v>
      </c>
      <c r="B509" s="54" t="s">
        <v>166</v>
      </c>
      <c r="C509" s="54" t="str">
        <f>IFERROR(__xludf.DUMMYFUNCTION("""COMPUTED_VALUE"""),"LD005")</f>
        <v>LD005</v>
      </c>
      <c r="D509" s="54" t="s">
        <v>42</v>
      </c>
      <c r="E509" s="73" t="s">
        <v>79</v>
      </c>
      <c r="F509" s="73" t="s">
        <v>625</v>
      </c>
      <c r="G509" s="54">
        <v>1834.0</v>
      </c>
      <c r="H509" s="54" t="s">
        <v>75</v>
      </c>
      <c r="I509" s="60" t="s">
        <v>916</v>
      </c>
      <c r="J509" s="73" t="s">
        <v>917</v>
      </c>
      <c r="K509" s="54" t="s">
        <v>61</v>
      </c>
      <c r="L509" s="73" t="s">
        <v>317</v>
      </c>
      <c r="M509" s="54" t="s">
        <v>78</v>
      </c>
      <c r="N509" s="73" t="s">
        <v>79</v>
      </c>
      <c r="O509" s="55" t="s">
        <v>910</v>
      </c>
      <c r="P509" s="54" t="s">
        <v>110</v>
      </c>
      <c r="Q509" s="54" t="str">
        <f>IFERROR(__xludf.DUMMYFUNCTION("""COMPUTED_VALUE"""),"KoreaSouth.GT.Baodau.LNTH.TATTP_XuBen.5018_MES_HuyNV_011122")</f>
        <v>KoreaSouth.GT.Baodau.LNTH.TATTP_XuBen.5018_MES_HuyNV_011122</v>
      </c>
      <c r="R509" s="54" t="str">
        <f>IFERROR(__xludf.DUMMYFUNCTION("""COMPUTED_VALUE"""),"NEW_KoreaSouth_1834_none_011122")</f>
        <v>NEW_KoreaSouth_1834_none_011122</v>
      </c>
      <c r="S509" s="54" t="str">
        <f>IFERROR(__xludf.DUMMYFUNCTION("""COMPUTED_VALUE"""),"saletructiep_KoreaSouth.GT.Baodau.LNTH.TATTP_TATTP_LD005")</f>
        <v>saletructiep_KoreaSouth.GT.Baodau.LNTH.TATTP_TATTP_LD005</v>
      </c>
      <c r="T509" s="54"/>
      <c r="U509" s="56"/>
    </row>
    <row r="510">
      <c r="A510" s="64" t="s">
        <v>891</v>
      </c>
      <c r="B510" s="54" t="s">
        <v>166</v>
      </c>
      <c r="C510" s="54" t="str">
        <f>IFERROR(__xludf.DUMMYFUNCTION("""COMPUTED_VALUE"""),"LD005")</f>
        <v>LD005</v>
      </c>
      <c r="D510" s="54" t="s">
        <v>42</v>
      </c>
      <c r="E510" s="73" t="s">
        <v>79</v>
      </c>
      <c r="F510" s="73" t="s">
        <v>129</v>
      </c>
      <c r="G510" s="54">
        <v>1834.0</v>
      </c>
      <c r="H510" s="54" t="s">
        <v>75</v>
      </c>
      <c r="I510" s="60" t="s">
        <v>918</v>
      </c>
      <c r="J510" s="73" t="s">
        <v>919</v>
      </c>
      <c r="K510" s="54" t="s">
        <v>61</v>
      </c>
      <c r="L510" s="73" t="s">
        <v>317</v>
      </c>
      <c r="M510" s="54" t="s">
        <v>78</v>
      </c>
      <c r="N510" s="73" t="s">
        <v>79</v>
      </c>
      <c r="O510" s="55" t="s">
        <v>910</v>
      </c>
      <c r="P510" s="54" t="s">
        <v>110</v>
      </c>
      <c r="Q510" s="54" t="str">
        <f>IFERROR(__xludf.DUMMYFUNCTION("""COMPUTED_VALUE"""),"Australia.GT.Baodau.LNTH.TATTP_XuBen.5018_MES_HuyNV_011122")</f>
        <v>Australia.GT.Baodau.LNTH.TATTP_XuBen.5018_MES_HuyNV_011122</v>
      </c>
      <c r="R510" s="54" t="str">
        <f>IFERROR(__xludf.DUMMYFUNCTION("""COMPUTED_VALUE"""),"NEW_Australia_1834_none_011122")</f>
        <v>NEW_Australia_1834_none_011122</v>
      </c>
      <c r="S510" s="54" t="str">
        <f>IFERROR(__xludf.DUMMYFUNCTION("""COMPUTED_VALUE"""),"saletructiep_Australia.GT.Baodau.LNTH.TATTP_TATTP_LD005")</f>
        <v>saletructiep_Australia.GT.Baodau.LNTH.TATTP_TATTP_LD005</v>
      </c>
      <c r="T510" s="54"/>
      <c r="U510" s="56"/>
    </row>
    <row r="511">
      <c r="A511" s="64" t="s">
        <v>891</v>
      </c>
      <c r="B511" s="54" t="s">
        <v>166</v>
      </c>
      <c r="C511" s="54" t="str">
        <f>IFERROR(__xludf.DUMMYFUNCTION("""COMPUTED_VALUE"""),"LD005")</f>
        <v>LD005</v>
      </c>
      <c r="D511" s="54" t="s">
        <v>42</v>
      </c>
      <c r="E511" s="73" t="s">
        <v>79</v>
      </c>
      <c r="F511" s="73" t="s">
        <v>164</v>
      </c>
      <c r="G511" s="54">
        <v>1834.0</v>
      </c>
      <c r="H511" s="54" t="s">
        <v>75</v>
      </c>
      <c r="I511" s="60" t="s">
        <v>920</v>
      </c>
      <c r="J511" s="73" t="s">
        <v>921</v>
      </c>
      <c r="K511" s="54" t="s">
        <v>61</v>
      </c>
      <c r="L511" s="73" t="s">
        <v>317</v>
      </c>
      <c r="M511" s="54" t="s">
        <v>78</v>
      </c>
      <c r="N511" s="73" t="s">
        <v>79</v>
      </c>
      <c r="O511" s="55" t="s">
        <v>910</v>
      </c>
      <c r="P511" s="54" t="s">
        <v>110</v>
      </c>
      <c r="Q511" s="54" t="str">
        <f>IFERROR(__xludf.DUMMYFUNCTION("""COMPUTED_VALUE"""),"Taiwan.GT.Baodau.LNTH.TATTP_XuBen.5018_MES_HuyNV_011122")</f>
        <v>Taiwan.GT.Baodau.LNTH.TATTP_XuBen.5018_MES_HuyNV_011122</v>
      </c>
      <c r="R511" s="54" t="str">
        <f>IFERROR(__xludf.DUMMYFUNCTION("""COMPUTED_VALUE"""),"NEW_Taiwan_1834_none_011122")</f>
        <v>NEW_Taiwan_1834_none_011122</v>
      </c>
      <c r="S511" s="54" t="str">
        <f>IFERROR(__xludf.DUMMYFUNCTION("""COMPUTED_VALUE"""),"saletructiep_Taiwan.GT.Baodau.LNTH.TATTP_TATTP_LD005")</f>
        <v>saletructiep_Taiwan.GT.Baodau.LNTH.TATTP_TATTP_LD005</v>
      </c>
      <c r="T511" s="54"/>
      <c r="U511" s="56"/>
    </row>
    <row r="512">
      <c r="A512" s="64" t="s">
        <v>891</v>
      </c>
      <c r="B512" s="54" t="s">
        <v>166</v>
      </c>
      <c r="C512" s="54" t="str">
        <f>IFERROR(__xludf.DUMMYFUNCTION("""COMPUTED_VALUE"""),"LD005")</f>
        <v>LD005</v>
      </c>
      <c r="D512" s="54" t="s">
        <v>42</v>
      </c>
      <c r="E512" s="73" t="s">
        <v>79</v>
      </c>
      <c r="F512" s="73" t="s">
        <v>112</v>
      </c>
      <c r="G512" s="54">
        <v>1834.0</v>
      </c>
      <c r="H512" s="54" t="s">
        <v>75</v>
      </c>
      <c r="I512" s="60" t="s">
        <v>922</v>
      </c>
      <c r="J512" s="73" t="s">
        <v>923</v>
      </c>
      <c r="K512" s="54" t="s">
        <v>61</v>
      </c>
      <c r="L512" s="73" t="s">
        <v>317</v>
      </c>
      <c r="M512" s="54" t="s">
        <v>78</v>
      </c>
      <c r="N512" s="73" t="s">
        <v>79</v>
      </c>
      <c r="O512" s="55" t="s">
        <v>910</v>
      </c>
      <c r="P512" s="54" t="s">
        <v>110</v>
      </c>
      <c r="Q512" s="54" t="str">
        <f>IFERROR(__xludf.DUMMYFUNCTION("""COMPUTED_VALUE"""),"Canada.GT.Baodau.LNTH.TATTP_XuBen.5018_MES_HuyNV_011122")</f>
        <v>Canada.GT.Baodau.LNTH.TATTP_XuBen.5018_MES_HuyNV_011122</v>
      </c>
      <c r="R512" s="54" t="str">
        <f>IFERROR(__xludf.DUMMYFUNCTION("""COMPUTED_VALUE"""),"NEW_Canada_1834_none_011122")</f>
        <v>NEW_Canada_1834_none_011122</v>
      </c>
      <c r="S512" s="54" t="str">
        <f>IFERROR(__xludf.DUMMYFUNCTION("""COMPUTED_VALUE"""),"saletructiep_Canada.GT.Baodau.LNTH.TATTP_TATTP_LD005")</f>
        <v>saletructiep_Canada.GT.Baodau.LNTH.TATTP_TATTP_LD005</v>
      </c>
      <c r="T512" s="54"/>
      <c r="U512" s="56"/>
    </row>
    <row r="513">
      <c r="A513" s="64" t="s">
        <v>924</v>
      </c>
      <c r="B513" s="54" t="s">
        <v>166</v>
      </c>
      <c r="C513" s="54" t="str">
        <f>IFERROR(__xludf.DUMMYFUNCTION("""COMPUTED_VALUE"""),"LD005")</f>
        <v>LD005</v>
      </c>
      <c r="D513" s="54" t="s">
        <v>42</v>
      </c>
      <c r="E513" s="73" t="s">
        <v>79</v>
      </c>
      <c r="F513" s="94" t="s">
        <v>133</v>
      </c>
      <c r="G513" s="54">
        <v>1834.0</v>
      </c>
      <c r="H513" s="54" t="s">
        <v>75</v>
      </c>
      <c r="I513" s="55" t="s">
        <v>925</v>
      </c>
      <c r="J513" s="55" t="s">
        <v>925</v>
      </c>
      <c r="K513" s="54" t="s">
        <v>61</v>
      </c>
      <c r="L513" s="73" t="s">
        <v>317</v>
      </c>
      <c r="M513" s="54" t="s">
        <v>78</v>
      </c>
      <c r="N513" s="73" t="s">
        <v>79</v>
      </c>
      <c r="O513" s="54" t="s">
        <v>224</v>
      </c>
      <c r="P513" s="54" t="s">
        <v>110</v>
      </c>
      <c r="Q513" s="54" t="str">
        <f>IFERROR(__xludf.DUMMYFUNCTION("""COMPUTED_VALUE"""),"Japan.Text.KHTA.LNTH.PTATT_XuBen.5018_MES_HuyNV_041122")</f>
        <v>Japan.Text.KHTA.LNTH.PTATT_XuBen.5018_MES_HuyNV_041122</v>
      </c>
      <c r="R513" s="54" t="str">
        <f>IFERROR(__xludf.DUMMYFUNCTION("""COMPUTED_VALUE"""),"NEW_Japan_1834_none_041122")</f>
        <v>NEW_Japan_1834_none_041122</v>
      </c>
      <c r="S513" s="54" t="str">
        <f>IFERROR(__xludf.DUMMYFUNCTION("""COMPUTED_VALUE"""),"saletructiep_Japan.Text.KHTA.LNTH.PTATT_PTATT_LD005")</f>
        <v>saletructiep_Japan.Text.KHTA.LNTH.PTATT_PTATT_LD005</v>
      </c>
      <c r="T513" s="54"/>
      <c r="U513" s="56"/>
    </row>
    <row r="514">
      <c r="A514" s="64" t="s">
        <v>924</v>
      </c>
      <c r="B514" s="54" t="s">
        <v>166</v>
      </c>
      <c r="C514" s="54" t="str">
        <f>IFERROR(__xludf.DUMMYFUNCTION("""COMPUTED_VALUE"""),"LD005")</f>
        <v>LD005</v>
      </c>
      <c r="D514" s="54" t="s">
        <v>42</v>
      </c>
      <c r="E514" s="73" t="s">
        <v>79</v>
      </c>
      <c r="F514" s="73" t="s">
        <v>174</v>
      </c>
      <c r="G514" s="54">
        <v>1834.0</v>
      </c>
      <c r="H514" s="54" t="s">
        <v>75</v>
      </c>
      <c r="I514" s="60" t="s">
        <v>926</v>
      </c>
      <c r="J514" s="60" t="s">
        <v>927</v>
      </c>
      <c r="K514" s="54" t="s">
        <v>61</v>
      </c>
      <c r="L514" s="73" t="s">
        <v>317</v>
      </c>
      <c r="M514" s="54" t="s">
        <v>78</v>
      </c>
      <c r="N514" s="73" t="s">
        <v>79</v>
      </c>
      <c r="O514" s="54" t="s">
        <v>224</v>
      </c>
      <c r="P514" s="54" t="s">
        <v>110</v>
      </c>
      <c r="Q514" s="54" t="str">
        <f>IFERROR(__xludf.DUMMYFUNCTION("""COMPUTED_VALUE"""),"Philippines.Text.KHTA.LNTH.TATTP_XuBen.5018_MES_HuyNV_041122")</f>
        <v>Philippines.Text.KHTA.LNTH.TATTP_XuBen.5018_MES_HuyNV_041122</v>
      </c>
      <c r="R514" s="54" t="str">
        <f>IFERROR(__xludf.DUMMYFUNCTION("""COMPUTED_VALUE"""),"NEW_Philippines_1834_none_041122")</f>
        <v>NEW_Philippines_1834_none_041122</v>
      </c>
      <c r="S514" s="54" t="str">
        <f>IFERROR(__xludf.DUMMYFUNCTION("""COMPUTED_VALUE"""),"saletructiep_Philippines.Text.KHTA.LNTH.TATTP_PTATT_LD005")</f>
        <v>saletructiep_Philippines.Text.KHTA.LNTH.TATTP_PTATT_LD005</v>
      </c>
      <c r="T514" s="54"/>
      <c r="U514" s="56"/>
    </row>
    <row r="515">
      <c r="A515" s="64" t="s">
        <v>924</v>
      </c>
      <c r="B515" s="54" t="s">
        <v>166</v>
      </c>
      <c r="C515" s="54" t="str">
        <f>IFERROR(__xludf.DUMMYFUNCTION("""COMPUTED_VALUE"""),"LD005")</f>
        <v>LD005</v>
      </c>
      <c r="D515" s="54" t="s">
        <v>42</v>
      </c>
      <c r="E515" s="73" t="s">
        <v>79</v>
      </c>
      <c r="F515" s="73" t="s">
        <v>182</v>
      </c>
      <c r="G515" s="54">
        <v>1834.0</v>
      </c>
      <c r="H515" s="54" t="s">
        <v>75</v>
      </c>
      <c r="I515" s="95" t="s">
        <v>928</v>
      </c>
      <c r="J515" s="95" t="s">
        <v>928</v>
      </c>
      <c r="K515" s="54" t="s">
        <v>61</v>
      </c>
      <c r="L515" s="73" t="s">
        <v>317</v>
      </c>
      <c r="M515" s="54" t="s">
        <v>78</v>
      </c>
      <c r="N515" s="73" t="s">
        <v>79</v>
      </c>
      <c r="O515" s="54" t="s">
        <v>224</v>
      </c>
      <c r="P515" s="54" t="s">
        <v>110</v>
      </c>
      <c r="Q515" s="54" t="str">
        <f>IFERROR(__xludf.DUMMYFUNCTION("""COMPUTED_VALUE"""),"Malaysia.Text.KHTA.LNTH.TATTP_XuBen.5018_MES_HuyNV_041122")</f>
        <v>Malaysia.Text.KHTA.LNTH.TATTP_XuBen.5018_MES_HuyNV_041122</v>
      </c>
      <c r="R515" s="54" t="str">
        <f>IFERROR(__xludf.DUMMYFUNCTION("""COMPUTED_VALUE"""),"NEW_Malaysia_1834_none_041122")</f>
        <v>NEW_Malaysia_1834_none_041122</v>
      </c>
      <c r="S515" s="54" t="str">
        <f>IFERROR(__xludf.DUMMYFUNCTION("""COMPUTED_VALUE"""),"saletructiep_Malaysia.Text.KHTA.LNTH.TATTP_PTATT_LD005")</f>
        <v>saletructiep_Malaysia.Text.KHTA.LNTH.TATTP_PTATT_LD005</v>
      </c>
      <c r="T515" s="54"/>
      <c r="U515" s="56"/>
    </row>
    <row r="516">
      <c r="A516" s="64" t="s">
        <v>924</v>
      </c>
      <c r="B516" s="54" t="s">
        <v>166</v>
      </c>
      <c r="C516" s="54" t="str">
        <f>IFERROR(__xludf.DUMMYFUNCTION("""COMPUTED_VALUE"""),"LD005")</f>
        <v>LD005</v>
      </c>
      <c r="D516" s="54" t="s">
        <v>42</v>
      </c>
      <c r="E516" s="73" t="s">
        <v>79</v>
      </c>
      <c r="F516" s="73" t="s">
        <v>107</v>
      </c>
      <c r="G516" s="54">
        <v>1834.0</v>
      </c>
      <c r="H516" s="54" t="s">
        <v>75</v>
      </c>
      <c r="I516" s="60" t="s">
        <v>929</v>
      </c>
      <c r="J516" s="60" t="s">
        <v>930</v>
      </c>
      <c r="K516" s="54" t="s">
        <v>61</v>
      </c>
      <c r="L516" s="73" t="s">
        <v>317</v>
      </c>
      <c r="M516" s="54" t="s">
        <v>78</v>
      </c>
      <c r="N516" s="73" t="s">
        <v>79</v>
      </c>
      <c r="O516" s="54" t="s">
        <v>224</v>
      </c>
      <c r="P516" s="54" t="s">
        <v>110</v>
      </c>
      <c r="Q516" s="54" t="str">
        <f>IFERROR(__xludf.DUMMYFUNCTION("""COMPUTED_VALUE"""),"UnitedStates.Text.KHTA.LNTH.TATTP_XuBen.5018_MES_HuyNV_041122")</f>
        <v>UnitedStates.Text.KHTA.LNTH.TATTP_XuBen.5018_MES_HuyNV_041122</v>
      </c>
      <c r="R516" s="54" t="str">
        <f>IFERROR(__xludf.DUMMYFUNCTION("""COMPUTED_VALUE"""),"NEW_UnitedStates_1834_none_041122")</f>
        <v>NEW_UnitedStates_1834_none_041122</v>
      </c>
      <c r="S516" s="54" t="str">
        <f>IFERROR(__xludf.DUMMYFUNCTION("""COMPUTED_VALUE"""),"saletructiep_UnitedStates.Text.KHTA.LNTH.TATTP_PTATT_LD005")</f>
        <v>saletructiep_UnitedStates.Text.KHTA.LNTH.TATTP_PTATT_LD005</v>
      </c>
      <c r="T516" s="54"/>
      <c r="U516" s="56"/>
    </row>
    <row r="517">
      <c r="A517" s="64" t="s">
        <v>924</v>
      </c>
      <c r="B517" s="54" t="s">
        <v>166</v>
      </c>
      <c r="C517" s="54" t="str">
        <f>IFERROR(__xludf.DUMMYFUNCTION("""COMPUTED_VALUE"""),"LD005")</f>
        <v>LD005</v>
      </c>
      <c r="D517" s="54" t="s">
        <v>42</v>
      </c>
      <c r="E517" s="73" t="s">
        <v>79</v>
      </c>
      <c r="F517" s="73" t="s">
        <v>625</v>
      </c>
      <c r="G517" s="54">
        <v>1834.0</v>
      </c>
      <c r="H517" s="54" t="s">
        <v>75</v>
      </c>
      <c r="I517" s="60" t="s">
        <v>931</v>
      </c>
      <c r="J517" s="60" t="s">
        <v>932</v>
      </c>
      <c r="K517" s="54" t="s">
        <v>61</v>
      </c>
      <c r="L517" s="73" t="s">
        <v>317</v>
      </c>
      <c r="M517" s="54" t="s">
        <v>78</v>
      </c>
      <c r="N517" s="73" t="s">
        <v>79</v>
      </c>
      <c r="O517" s="54" t="s">
        <v>224</v>
      </c>
      <c r="P517" s="54" t="s">
        <v>110</v>
      </c>
      <c r="Q517" s="54" t="str">
        <f>IFERROR(__xludf.DUMMYFUNCTION("""COMPUTED_VALUE"""),"KoreaSouth.Text.KHTA.LNTH.TATTP_XuBen.5018_MES_HuyNV_041122")</f>
        <v>KoreaSouth.Text.KHTA.LNTH.TATTP_XuBen.5018_MES_HuyNV_041122</v>
      </c>
      <c r="R517" s="54" t="str">
        <f>IFERROR(__xludf.DUMMYFUNCTION("""COMPUTED_VALUE"""),"NEW_KoreaSouth_1834_none_041122")</f>
        <v>NEW_KoreaSouth_1834_none_041122</v>
      </c>
      <c r="S517" s="54" t="str">
        <f>IFERROR(__xludf.DUMMYFUNCTION("""COMPUTED_VALUE"""),"saletructiep_KoreaSouth.Text.KHTA.LNTH.TATTP_PTATT_LD005")</f>
        <v>saletructiep_KoreaSouth.Text.KHTA.LNTH.TATTP_PTATT_LD005</v>
      </c>
      <c r="T517" s="54"/>
      <c r="U517" s="56"/>
    </row>
    <row r="518">
      <c r="A518" s="64" t="s">
        <v>924</v>
      </c>
      <c r="B518" s="54" t="s">
        <v>166</v>
      </c>
      <c r="C518" s="54" t="str">
        <f>IFERROR(__xludf.DUMMYFUNCTION("""COMPUTED_VALUE"""),"LD005")</f>
        <v>LD005</v>
      </c>
      <c r="D518" s="54" t="s">
        <v>42</v>
      </c>
      <c r="E518" s="73" t="s">
        <v>79</v>
      </c>
      <c r="F518" s="73" t="s">
        <v>129</v>
      </c>
      <c r="G518" s="54">
        <v>1834.0</v>
      </c>
      <c r="H518" s="54" t="s">
        <v>75</v>
      </c>
      <c r="I518" s="60" t="s">
        <v>933</v>
      </c>
      <c r="J518" s="60" t="s">
        <v>934</v>
      </c>
      <c r="K518" s="54" t="s">
        <v>61</v>
      </c>
      <c r="L518" s="73" t="s">
        <v>317</v>
      </c>
      <c r="M518" s="54" t="s">
        <v>78</v>
      </c>
      <c r="N518" s="73" t="s">
        <v>79</v>
      </c>
      <c r="O518" s="54" t="s">
        <v>224</v>
      </c>
      <c r="P518" s="54" t="s">
        <v>110</v>
      </c>
      <c r="Q518" s="54" t="str">
        <f>IFERROR(__xludf.DUMMYFUNCTION("""COMPUTED_VALUE"""),"Australia.Text.KHTA.LNTH.TATTP_XuBen.5018_MES_HuyNV_041122")</f>
        <v>Australia.Text.KHTA.LNTH.TATTP_XuBen.5018_MES_HuyNV_041122</v>
      </c>
      <c r="R518" s="54" t="str">
        <f>IFERROR(__xludf.DUMMYFUNCTION("""COMPUTED_VALUE"""),"NEW_Australia_1834_none_041122")</f>
        <v>NEW_Australia_1834_none_041122</v>
      </c>
      <c r="S518" s="54" t="str">
        <f>IFERROR(__xludf.DUMMYFUNCTION("""COMPUTED_VALUE"""),"saletructiep_Australia.Text.KHTA.LNTH.TATTP_PTATT_LD005")</f>
        <v>saletructiep_Australia.Text.KHTA.LNTH.TATTP_PTATT_LD005</v>
      </c>
      <c r="T518" s="54"/>
      <c r="U518" s="56"/>
    </row>
    <row r="519">
      <c r="A519" s="64" t="s">
        <v>924</v>
      </c>
      <c r="B519" s="54" t="s">
        <v>166</v>
      </c>
      <c r="C519" s="54" t="str">
        <f>IFERROR(__xludf.DUMMYFUNCTION("""COMPUTED_VALUE"""),"LD005")</f>
        <v>LD005</v>
      </c>
      <c r="D519" s="54" t="s">
        <v>42</v>
      </c>
      <c r="E519" s="73" t="s">
        <v>79</v>
      </c>
      <c r="F519" s="73" t="s">
        <v>164</v>
      </c>
      <c r="G519" s="54">
        <v>1834.0</v>
      </c>
      <c r="H519" s="54" t="s">
        <v>75</v>
      </c>
      <c r="I519" s="60" t="s">
        <v>935</v>
      </c>
      <c r="J519" s="60" t="s">
        <v>936</v>
      </c>
      <c r="K519" s="54" t="s">
        <v>61</v>
      </c>
      <c r="L519" s="73" t="s">
        <v>317</v>
      </c>
      <c r="M519" s="54" t="s">
        <v>78</v>
      </c>
      <c r="N519" s="73" t="s">
        <v>79</v>
      </c>
      <c r="O519" s="54" t="s">
        <v>224</v>
      </c>
      <c r="P519" s="54" t="s">
        <v>110</v>
      </c>
      <c r="Q519" s="54" t="str">
        <f>IFERROR(__xludf.DUMMYFUNCTION("""COMPUTED_VALUE"""),"Taiwan.Text.KHTA.LNTH.TATTP_XuBen.5018_MES_HuyNV_041122")</f>
        <v>Taiwan.Text.KHTA.LNTH.TATTP_XuBen.5018_MES_HuyNV_041122</v>
      </c>
      <c r="R519" s="54" t="str">
        <f>IFERROR(__xludf.DUMMYFUNCTION("""COMPUTED_VALUE"""),"NEW_Taiwan_1834_none_041122")</f>
        <v>NEW_Taiwan_1834_none_041122</v>
      </c>
      <c r="S519" s="54" t="str">
        <f>IFERROR(__xludf.DUMMYFUNCTION("""COMPUTED_VALUE"""),"saletructiep_Taiwan.Text.KHTA.LNTH.TATTP_PTATT_LD005")</f>
        <v>saletructiep_Taiwan.Text.KHTA.LNTH.TATTP_PTATT_LD005</v>
      </c>
      <c r="T519" s="54"/>
      <c r="U519" s="56"/>
    </row>
    <row r="520">
      <c r="A520" s="64" t="s">
        <v>924</v>
      </c>
      <c r="B520" s="54" t="s">
        <v>166</v>
      </c>
      <c r="C520" s="54" t="str">
        <f>IFERROR(__xludf.DUMMYFUNCTION("""COMPUTED_VALUE"""),"LD005")</f>
        <v>LD005</v>
      </c>
      <c r="D520" s="54" t="s">
        <v>42</v>
      </c>
      <c r="E520" s="73" t="s">
        <v>79</v>
      </c>
      <c r="F520" s="73" t="s">
        <v>112</v>
      </c>
      <c r="G520" s="54">
        <v>1834.0</v>
      </c>
      <c r="H520" s="54" t="s">
        <v>75</v>
      </c>
      <c r="I520" s="55" t="s">
        <v>937</v>
      </c>
      <c r="J520" s="55" t="s">
        <v>937</v>
      </c>
      <c r="K520" s="54" t="s">
        <v>61</v>
      </c>
      <c r="L520" s="73" t="s">
        <v>317</v>
      </c>
      <c r="M520" s="54" t="s">
        <v>78</v>
      </c>
      <c r="N520" s="73" t="s">
        <v>79</v>
      </c>
      <c r="O520" s="54" t="s">
        <v>224</v>
      </c>
      <c r="P520" s="54" t="s">
        <v>110</v>
      </c>
      <c r="Q520" s="54" t="str">
        <f>IFERROR(__xludf.DUMMYFUNCTION("""COMPUTED_VALUE"""),"Canada.Text.KHTA.LNTH.PTATT_XuBen.5018_MES_HuyNV_041122")</f>
        <v>Canada.Text.KHTA.LNTH.PTATT_XuBen.5018_MES_HuyNV_041122</v>
      </c>
      <c r="R520" s="54" t="str">
        <f>IFERROR(__xludf.DUMMYFUNCTION("""COMPUTED_VALUE"""),"NEW_Canada_1834_none_041122")</f>
        <v>NEW_Canada_1834_none_041122</v>
      </c>
      <c r="S520" s="54" t="str">
        <f>IFERROR(__xludf.DUMMYFUNCTION("""COMPUTED_VALUE"""),"saletructiep_Canada.Text.KHTA.LNTH.PTATT_PTATT_LD005")</f>
        <v>saletructiep_Canada.Text.KHTA.LNTH.PTATT_PTATT_LD005</v>
      </c>
      <c r="T520" s="54"/>
      <c r="U520" s="56"/>
    </row>
    <row r="521">
      <c r="A521" s="64" t="s">
        <v>938</v>
      </c>
      <c r="B521" s="54" t="s">
        <v>166</v>
      </c>
      <c r="C521" s="54" t="str">
        <f>IFERROR(__xludf.DUMMYFUNCTION("""COMPUTED_VALUE"""),"LD005")</f>
        <v>LD005</v>
      </c>
      <c r="D521" s="54" t="s">
        <v>42</v>
      </c>
      <c r="E521" s="73" t="s">
        <v>79</v>
      </c>
      <c r="F521" s="94" t="s">
        <v>133</v>
      </c>
      <c r="G521" s="54">
        <v>1834.0</v>
      </c>
      <c r="H521" s="54" t="s">
        <v>75</v>
      </c>
      <c r="I521" s="55" t="s">
        <v>939</v>
      </c>
      <c r="J521" s="55" t="s">
        <v>939</v>
      </c>
      <c r="K521" s="54" t="s">
        <v>61</v>
      </c>
      <c r="L521" s="73" t="s">
        <v>317</v>
      </c>
      <c r="M521" s="54" t="s">
        <v>78</v>
      </c>
      <c r="N521" s="73" t="s">
        <v>79</v>
      </c>
      <c r="O521" s="54" t="s">
        <v>224</v>
      </c>
      <c r="P521" s="54" t="s">
        <v>110</v>
      </c>
      <c r="Q521" s="54" t="str">
        <f>IFERROR(__xludf.DUMMYFUNCTION("""COMPUTED_VALUE"""),"Japan.TAGT.LNTH.PTATT_XuBen.5018_MES_HuyNV_051122")</f>
        <v>Japan.TAGT.LNTH.PTATT_XuBen.5018_MES_HuyNV_051122</v>
      </c>
      <c r="R521" s="54" t="str">
        <f>IFERROR(__xludf.DUMMYFUNCTION("""COMPUTED_VALUE"""),"NEW_Japan_1834_none_051122")</f>
        <v>NEW_Japan_1834_none_051122</v>
      </c>
      <c r="S521" s="54" t="str">
        <f>IFERROR(__xludf.DUMMYFUNCTION("""COMPUTED_VALUE"""),"saletructiep_Japan.TAGT.LNTH.PTATT_PTATT_LD005")</f>
        <v>saletructiep_Japan.TAGT.LNTH.PTATT_PTATT_LD005</v>
      </c>
      <c r="T521" s="54"/>
      <c r="U521" s="56"/>
    </row>
    <row r="522">
      <c r="A522" s="64" t="s">
        <v>938</v>
      </c>
      <c r="B522" s="54" t="s">
        <v>166</v>
      </c>
      <c r="C522" s="54" t="str">
        <f>IFERROR(__xludf.DUMMYFUNCTION("""COMPUTED_VALUE"""),"LD005")</f>
        <v>LD005</v>
      </c>
      <c r="D522" s="54" t="s">
        <v>42</v>
      </c>
      <c r="E522" s="73" t="s">
        <v>79</v>
      </c>
      <c r="F522" s="73" t="s">
        <v>174</v>
      </c>
      <c r="G522" s="54">
        <v>1834.0</v>
      </c>
      <c r="H522" s="54" t="s">
        <v>75</v>
      </c>
      <c r="I522" s="60" t="s">
        <v>940</v>
      </c>
      <c r="J522" s="60" t="s">
        <v>941</v>
      </c>
      <c r="K522" s="54" t="s">
        <v>61</v>
      </c>
      <c r="L522" s="73" t="s">
        <v>317</v>
      </c>
      <c r="M522" s="54" t="s">
        <v>78</v>
      </c>
      <c r="N522" s="73" t="s">
        <v>79</v>
      </c>
      <c r="O522" s="54" t="s">
        <v>224</v>
      </c>
      <c r="P522" s="54" t="s">
        <v>110</v>
      </c>
      <c r="Q522" s="54" t="str">
        <f>IFERROR(__xludf.DUMMYFUNCTION("""COMPUTED_VALUE"""),"Philippines.TAGT..LNTH.TATTP_XuBen.5018_MES_HuyNV_051122")</f>
        <v>Philippines.TAGT..LNTH.TATTP_XuBen.5018_MES_HuyNV_051122</v>
      </c>
      <c r="R522" s="54" t="str">
        <f>IFERROR(__xludf.DUMMYFUNCTION("""COMPUTED_VALUE"""),"NEW_Philippines_1834_none_051122")</f>
        <v>NEW_Philippines_1834_none_051122</v>
      </c>
      <c r="S522" s="54" t="str">
        <f>IFERROR(__xludf.DUMMYFUNCTION("""COMPUTED_VALUE"""),"saletructiep_Philippines.TAGT..LNTH.TATTP_PTATT_LD005")</f>
        <v>saletructiep_Philippines.TAGT..LNTH.TATTP_PTATT_LD005</v>
      </c>
      <c r="T522" s="54"/>
      <c r="U522" s="56"/>
    </row>
    <row r="523">
      <c r="A523" s="64" t="s">
        <v>938</v>
      </c>
      <c r="B523" s="54" t="s">
        <v>166</v>
      </c>
      <c r="C523" s="54" t="str">
        <f>IFERROR(__xludf.DUMMYFUNCTION("""COMPUTED_VALUE"""),"LD005")</f>
        <v>LD005</v>
      </c>
      <c r="D523" s="54" t="s">
        <v>42</v>
      </c>
      <c r="E523" s="73" t="s">
        <v>79</v>
      </c>
      <c r="F523" s="73" t="s">
        <v>182</v>
      </c>
      <c r="G523" s="54">
        <v>1834.0</v>
      </c>
      <c r="H523" s="54" t="s">
        <v>75</v>
      </c>
      <c r="I523" s="95" t="s">
        <v>942</v>
      </c>
      <c r="J523" s="95" t="s">
        <v>942</v>
      </c>
      <c r="K523" s="54" t="s">
        <v>61</v>
      </c>
      <c r="L523" s="73" t="s">
        <v>317</v>
      </c>
      <c r="M523" s="54" t="s">
        <v>78</v>
      </c>
      <c r="N523" s="73" t="s">
        <v>79</v>
      </c>
      <c r="O523" s="54" t="s">
        <v>224</v>
      </c>
      <c r="P523" s="54" t="s">
        <v>110</v>
      </c>
      <c r="Q523" s="54" t="str">
        <f>IFERROR(__xludf.DUMMYFUNCTION("""COMPUTED_VALUE"""),"Malaysia.TAGT.LNTH.TATTP_XuBen.5018_MES_HuyNV_051122")</f>
        <v>Malaysia.TAGT.LNTH.TATTP_XuBen.5018_MES_HuyNV_051122</v>
      </c>
      <c r="R523" s="54" t="str">
        <f>IFERROR(__xludf.DUMMYFUNCTION("""COMPUTED_VALUE"""),"NEW_Malaysia_1834_none_051122")</f>
        <v>NEW_Malaysia_1834_none_051122</v>
      </c>
      <c r="S523" s="54" t="str">
        <f>IFERROR(__xludf.DUMMYFUNCTION("""COMPUTED_VALUE"""),"saletructiep_Malaysia.TAGT.LNTH.TATTP_PTATT_LD005")</f>
        <v>saletructiep_Malaysia.TAGT.LNTH.TATTP_PTATT_LD005</v>
      </c>
      <c r="T523" s="54"/>
      <c r="U523" s="56"/>
    </row>
    <row r="524">
      <c r="A524" s="64" t="s">
        <v>938</v>
      </c>
      <c r="B524" s="54" t="s">
        <v>166</v>
      </c>
      <c r="C524" s="54" t="str">
        <f>IFERROR(__xludf.DUMMYFUNCTION("""COMPUTED_VALUE"""),"LD005")</f>
        <v>LD005</v>
      </c>
      <c r="D524" s="54" t="s">
        <v>42</v>
      </c>
      <c r="E524" s="73" t="s">
        <v>79</v>
      </c>
      <c r="F524" s="73" t="s">
        <v>107</v>
      </c>
      <c r="G524" s="54">
        <v>1834.0</v>
      </c>
      <c r="H524" s="54" t="s">
        <v>75</v>
      </c>
      <c r="I524" s="60" t="s">
        <v>943</v>
      </c>
      <c r="J524" s="60" t="s">
        <v>944</v>
      </c>
      <c r="K524" s="54" t="s">
        <v>61</v>
      </c>
      <c r="L524" s="73" t="s">
        <v>317</v>
      </c>
      <c r="M524" s="54" t="s">
        <v>78</v>
      </c>
      <c r="N524" s="73" t="s">
        <v>79</v>
      </c>
      <c r="O524" s="54" t="s">
        <v>224</v>
      </c>
      <c r="P524" s="54" t="s">
        <v>110</v>
      </c>
      <c r="Q524" s="54" t="str">
        <f>IFERROR(__xludf.DUMMYFUNCTION("""COMPUTED_VALUE"""),"UnitedStates.TAGT.LNTH.TATTP_XuBen.5018_MES_HuyNV_051122")</f>
        <v>UnitedStates.TAGT.LNTH.TATTP_XuBen.5018_MES_HuyNV_051122</v>
      </c>
      <c r="R524" s="54" t="str">
        <f>IFERROR(__xludf.DUMMYFUNCTION("""COMPUTED_VALUE"""),"NEW_UnitedStates_1834_none_051122")</f>
        <v>NEW_UnitedStates_1834_none_051122</v>
      </c>
      <c r="S524" s="54" t="str">
        <f>IFERROR(__xludf.DUMMYFUNCTION("""COMPUTED_VALUE"""),"saletructiep_UnitedStates.TAGT.LNTH.TATTP_PTATT_LD005")</f>
        <v>saletructiep_UnitedStates.TAGT.LNTH.TATTP_PTATT_LD005</v>
      </c>
      <c r="T524" s="54"/>
      <c r="U524" s="56"/>
    </row>
    <row r="525">
      <c r="A525" s="64" t="s">
        <v>938</v>
      </c>
      <c r="B525" s="54" t="s">
        <v>166</v>
      </c>
      <c r="C525" s="54" t="str">
        <f>IFERROR(__xludf.DUMMYFUNCTION("""COMPUTED_VALUE"""),"LD005")</f>
        <v>LD005</v>
      </c>
      <c r="D525" s="54" t="s">
        <v>42</v>
      </c>
      <c r="E525" s="73" t="s">
        <v>79</v>
      </c>
      <c r="F525" s="73" t="s">
        <v>625</v>
      </c>
      <c r="G525" s="54">
        <v>1834.0</v>
      </c>
      <c r="H525" s="54" t="s">
        <v>75</v>
      </c>
      <c r="I525" s="60" t="s">
        <v>945</v>
      </c>
      <c r="J525" s="60" t="s">
        <v>946</v>
      </c>
      <c r="K525" s="54" t="s">
        <v>61</v>
      </c>
      <c r="L525" s="73" t="s">
        <v>317</v>
      </c>
      <c r="M525" s="54" t="s">
        <v>78</v>
      </c>
      <c r="N525" s="73" t="s">
        <v>79</v>
      </c>
      <c r="O525" s="54" t="s">
        <v>224</v>
      </c>
      <c r="P525" s="54" t="s">
        <v>110</v>
      </c>
      <c r="Q525" s="54" t="str">
        <f>IFERROR(__xludf.DUMMYFUNCTION("""COMPUTED_VALUE"""),"KoreaSouth.TAGT.LNTH.TATTP_XuBen.5018_MES_HuyNV_051122")</f>
        <v>KoreaSouth.TAGT.LNTH.TATTP_XuBen.5018_MES_HuyNV_051122</v>
      </c>
      <c r="R525" s="54" t="str">
        <f>IFERROR(__xludf.DUMMYFUNCTION("""COMPUTED_VALUE"""),"NEW_KoreaSouth_1834_none_051122")</f>
        <v>NEW_KoreaSouth_1834_none_051122</v>
      </c>
      <c r="S525" s="54" t="str">
        <f>IFERROR(__xludf.DUMMYFUNCTION("""COMPUTED_VALUE"""),"saletructiep_KoreaSouth.TAGT.LNTH.TATTP_PTATT_LD005")</f>
        <v>saletructiep_KoreaSouth.TAGT.LNTH.TATTP_PTATT_LD005</v>
      </c>
      <c r="T525" s="54"/>
      <c r="U525" s="56"/>
    </row>
    <row r="526">
      <c r="A526" s="64" t="s">
        <v>938</v>
      </c>
      <c r="B526" s="54" t="s">
        <v>166</v>
      </c>
      <c r="C526" s="54" t="str">
        <f>IFERROR(__xludf.DUMMYFUNCTION("""COMPUTED_VALUE"""),"LD005")</f>
        <v>LD005</v>
      </c>
      <c r="D526" s="54" t="s">
        <v>42</v>
      </c>
      <c r="E526" s="73" t="s">
        <v>79</v>
      </c>
      <c r="F526" s="73" t="s">
        <v>129</v>
      </c>
      <c r="G526" s="54">
        <v>1834.0</v>
      </c>
      <c r="H526" s="54" t="s">
        <v>75</v>
      </c>
      <c r="I526" s="60" t="s">
        <v>947</v>
      </c>
      <c r="J526" s="60" t="s">
        <v>948</v>
      </c>
      <c r="K526" s="54" t="s">
        <v>61</v>
      </c>
      <c r="L526" s="73" t="s">
        <v>317</v>
      </c>
      <c r="M526" s="54" t="s">
        <v>78</v>
      </c>
      <c r="N526" s="73" t="s">
        <v>79</v>
      </c>
      <c r="O526" s="54" t="s">
        <v>224</v>
      </c>
      <c r="P526" s="54" t="s">
        <v>110</v>
      </c>
      <c r="Q526" s="54" t="str">
        <f>IFERROR(__xludf.DUMMYFUNCTION("""COMPUTED_VALUE"""),"Australia.TAGT.LNTH.TATTP_XuBen.5018_MES_HuyNV_051122")</f>
        <v>Australia.TAGT.LNTH.TATTP_XuBen.5018_MES_HuyNV_051122</v>
      </c>
      <c r="R526" s="54" t="str">
        <f>IFERROR(__xludf.DUMMYFUNCTION("""COMPUTED_VALUE"""),"NEW_Australia_1834_none_051122")</f>
        <v>NEW_Australia_1834_none_051122</v>
      </c>
      <c r="S526" s="54" t="str">
        <f>IFERROR(__xludf.DUMMYFUNCTION("""COMPUTED_VALUE"""),"saletructiep_Australia.TAGT.LNTH.TATTP_PTATT_LD005")</f>
        <v>saletructiep_Australia.TAGT.LNTH.TATTP_PTATT_LD005</v>
      </c>
      <c r="T526" s="54"/>
      <c r="U526" s="56"/>
    </row>
    <row r="527">
      <c r="A527" s="64" t="s">
        <v>938</v>
      </c>
      <c r="B527" s="54" t="s">
        <v>166</v>
      </c>
      <c r="C527" s="54" t="str">
        <f>IFERROR(__xludf.DUMMYFUNCTION("""COMPUTED_VALUE"""),"LD005")</f>
        <v>LD005</v>
      </c>
      <c r="D527" s="54" t="s">
        <v>42</v>
      </c>
      <c r="E527" s="73" t="s">
        <v>79</v>
      </c>
      <c r="F527" s="73" t="s">
        <v>164</v>
      </c>
      <c r="G527" s="54">
        <v>1834.0</v>
      </c>
      <c r="H527" s="54" t="s">
        <v>75</v>
      </c>
      <c r="I527" s="60" t="s">
        <v>949</v>
      </c>
      <c r="J527" s="60" t="s">
        <v>950</v>
      </c>
      <c r="K527" s="54" t="s">
        <v>61</v>
      </c>
      <c r="L527" s="73" t="s">
        <v>317</v>
      </c>
      <c r="M527" s="54" t="s">
        <v>78</v>
      </c>
      <c r="N527" s="73" t="s">
        <v>79</v>
      </c>
      <c r="O527" s="54" t="s">
        <v>224</v>
      </c>
      <c r="P527" s="54" t="s">
        <v>110</v>
      </c>
      <c r="Q527" s="54" t="str">
        <f>IFERROR(__xludf.DUMMYFUNCTION("""COMPUTED_VALUE"""),"Taiwan.TAGT.LNTH.TATTP_XuBen.5018_MES_HuyNV_051122")</f>
        <v>Taiwan.TAGT.LNTH.TATTP_XuBen.5018_MES_HuyNV_051122</v>
      </c>
      <c r="R527" s="54" t="str">
        <f>IFERROR(__xludf.DUMMYFUNCTION("""COMPUTED_VALUE"""),"NEW_Taiwan_1834_none_051122")</f>
        <v>NEW_Taiwan_1834_none_051122</v>
      </c>
      <c r="S527" s="54" t="str">
        <f>IFERROR(__xludf.DUMMYFUNCTION("""COMPUTED_VALUE"""),"saletructiep_Taiwan.TAGT.LNTH.TATTP_PTATT_LD005")</f>
        <v>saletructiep_Taiwan.TAGT.LNTH.TATTP_PTATT_LD005</v>
      </c>
      <c r="T527" s="54"/>
      <c r="U527" s="56"/>
    </row>
    <row r="528">
      <c r="A528" s="64" t="s">
        <v>938</v>
      </c>
      <c r="B528" s="54" t="s">
        <v>166</v>
      </c>
      <c r="C528" s="54" t="str">
        <f>IFERROR(__xludf.DUMMYFUNCTION("""COMPUTED_VALUE"""),"LD005")</f>
        <v>LD005</v>
      </c>
      <c r="D528" s="54" t="s">
        <v>42</v>
      </c>
      <c r="E528" s="73" t="s">
        <v>79</v>
      </c>
      <c r="F528" s="73" t="s">
        <v>112</v>
      </c>
      <c r="G528" s="54">
        <v>1834.0</v>
      </c>
      <c r="H528" s="54" t="s">
        <v>75</v>
      </c>
      <c r="I528" s="55" t="s">
        <v>951</v>
      </c>
      <c r="J528" s="55" t="s">
        <v>951</v>
      </c>
      <c r="K528" s="54" t="s">
        <v>61</v>
      </c>
      <c r="L528" s="73" t="s">
        <v>317</v>
      </c>
      <c r="M528" s="54" t="s">
        <v>78</v>
      </c>
      <c r="N528" s="73" t="s">
        <v>79</v>
      </c>
      <c r="O528" s="54" t="s">
        <v>224</v>
      </c>
      <c r="P528" s="54" t="s">
        <v>110</v>
      </c>
      <c r="Q528" s="54" t="str">
        <f>IFERROR(__xludf.DUMMYFUNCTION("""COMPUTED_VALUE"""),"Canada.TAGT.LNTH.PTATT_XuBen.5018_MES_HuyNV_051122")</f>
        <v>Canada.TAGT.LNTH.PTATT_XuBen.5018_MES_HuyNV_051122</v>
      </c>
      <c r="R528" s="54" t="str">
        <f>IFERROR(__xludf.DUMMYFUNCTION("""COMPUTED_VALUE"""),"NEW_Canada_1834_none_051122")</f>
        <v>NEW_Canada_1834_none_051122</v>
      </c>
      <c r="S528" s="54" t="str">
        <f>IFERROR(__xludf.DUMMYFUNCTION("""COMPUTED_VALUE"""),"saletructiep_Canada.TAGT.LNTH.PTATT_PTATT_LD005")</f>
        <v>saletructiep_Canada.TAGT.LNTH.PTATT_PTATT_LD005</v>
      </c>
      <c r="T528" s="54"/>
      <c r="U528" s="56"/>
    </row>
    <row r="529">
      <c r="A529" s="64" t="s">
        <v>952</v>
      </c>
      <c r="B529" s="54" t="s">
        <v>166</v>
      </c>
      <c r="C529" s="54" t="str">
        <f>IFERROR(__xludf.DUMMYFUNCTION("""COMPUTED_VALUE"""),"LD005")</f>
        <v>LD005</v>
      </c>
      <c r="D529" s="54" t="s">
        <v>42</v>
      </c>
      <c r="E529" s="73" t="s">
        <v>79</v>
      </c>
      <c r="F529" s="73" t="s">
        <v>164</v>
      </c>
      <c r="G529" s="54">
        <v>1834.0</v>
      </c>
      <c r="H529" s="54" t="s">
        <v>75</v>
      </c>
      <c r="I529" s="60" t="s">
        <v>953</v>
      </c>
      <c r="J529" s="60" t="s">
        <v>954</v>
      </c>
      <c r="K529" s="54" t="s">
        <v>61</v>
      </c>
      <c r="L529" s="73" t="s">
        <v>317</v>
      </c>
      <c r="M529" s="54" t="s">
        <v>78</v>
      </c>
      <c r="N529" s="73" t="s">
        <v>79</v>
      </c>
      <c r="O529" s="54" t="s">
        <v>224</v>
      </c>
      <c r="P529" s="54" t="s">
        <v>110</v>
      </c>
      <c r="Q529" s="54" t="str">
        <f>IFERROR(__xludf.DUMMYFUNCTION("""COMPUTED_VALUE"""),"Taiwan.GT.BaoDau.PTATT_XuBen.5018_MES_HuyNV_111122")</f>
        <v>Taiwan.GT.BaoDau.PTATT_XuBen.5018_MES_HuyNV_111122</v>
      </c>
      <c r="R529" s="54" t="str">
        <f>IFERROR(__xludf.DUMMYFUNCTION("""COMPUTED_VALUE"""),"NEW_Taiwan_1834_none_111122")</f>
        <v>NEW_Taiwan_1834_none_111122</v>
      </c>
      <c r="S529" s="54" t="str">
        <f>IFERROR(__xludf.DUMMYFUNCTION("""COMPUTED_VALUE"""),"saletructiep_Taiwan.GT.BaoDau.PTATT_PTATT_LD005")</f>
        <v>saletructiep_Taiwan.GT.BaoDau.PTATT_PTATT_LD005</v>
      </c>
      <c r="T529" s="54"/>
      <c r="U529" s="56"/>
    </row>
    <row r="530">
      <c r="A530" s="64" t="s">
        <v>952</v>
      </c>
      <c r="B530" s="54" t="s">
        <v>166</v>
      </c>
      <c r="C530" s="54" t="str">
        <f>IFERROR(__xludf.DUMMYFUNCTION("""COMPUTED_VALUE"""),"LD005")</f>
        <v>LD005</v>
      </c>
      <c r="D530" s="54" t="s">
        <v>42</v>
      </c>
      <c r="E530" s="73" t="s">
        <v>79</v>
      </c>
      <c r="F530" s="55" t="s">
        <v>112</v>
      </c>
      <c r="G530" s="54">
        <v>1834.0</v>
      </c>
      <c r="H530" s="54" t="s">
        <v>75</v>
      </c>
      <c r="I530" s="60" t="s">
        <v>955</v>
      </c>
      <c r="J530" s="60" t="s">
        <v>956</v>
      </c>
      <c r="K530" s="54" t="s">
        <v>61</v>
      </c>
      <c r="L530" s="73" t="s">
        <v>317</v>
      </c>
      <c r="M530" s="54" t="s">
        <v>78</v>
      </c>
      <c r="N530" s="73" t="s">
        <v>79</v>
      </c>
      <c r="O530" s="54" t="s">
        <v>224</v>
      </c>
      <c r="P530" s="54" t="s">
        <v>110</v>
      </c>
      <c r="Q530" s="54" t="str">
        <f>IFERROR(__xludf.DUMMYFUNCTION("""COMPUTED_VALUE"""),"Canada.GT.BaoDau.PTATT_XuBen.5018_MES_HuyNV_111122")</f>
        <v>Canada.GT.BaoDau.PTATT_XuBen.5018_MES_HuyNV_111122</v>
      </c>
      <c r="R530" s="54" t="str">
        <f>IFERROR(__xludf.DUMMYFUNCTION("""COMPUTED_VALUE"""),"NEW_Canada_1834_none_111122")</f>
        <v>NEW_Canada_1834_none_111122</v>
      </c>
      <c r="S530" s="54" t="str">
        <f>IFERROR(__xludf.DUMMYFUNCTION("""COMPUTED_VALUE"""),"saletructiep_Canada.GT.BaoDau.PTATT_PTATT_LD005")</f>
        <v>saletructiep_Canada.GT.BaoDau.PTATT_PTATT_LD005</v>
      </c>
      <c r="T530" s="54"/>
      <c r="U530" s="56"/>
    </row>
    <row r="531">
      <c r="A531" s="80" t="s">
        <v>952</v>
      </c>
      <c r="B531" s="54" t="s">
        <v>166</v>
      </c>
      <c r="C531" s="54" t="str">
        <f>IFERROR(__xludf.DUMMYFUNCTION("""COMPUTED_VALUE"""),"LD005")</f>
        <v>LD005</v>
      </c>
      <c r="D531" s="54" t="s">
        <v>42</v>
      </c>
      <c r="E531" s="73" t="s">
        <v>79</v>
      </c>
      <c r="F531" s="55" t="s">
        <v>129</v>
      </c>
      <c r="G531" s="54">
        <v>1834.0</v>
      </c>
      <c r="H531" s="54" t="s">
        <v>75</v>
      </c>
      <c r="I531" s="60" t="s">
        <v>957</v>
      </c>
      <c r="J531" s="60" t="s">
        <v>958</v>
      </c>
      <c r="K531" s="54" t="s">
        <v>61</v>
      </c>
      <c r="L531" s="73" t="s">
        <v>317</v>
      </c>
      <c r="M531" s="54" t="s">
        <v>78</v>
      </c>
      <c r="N531" s="73" t="s">
        <v>79</v>
      </c>
      <c r="O531" s="54" t="s">
        <v>224</v>
      </c>
      <c r="P531" s="54" t="s">
        <v>110</v>
      </c>
      <c r="Q531" s="54" t="str">
        <f>IFERROR(__xludf.DUMMYFUNCTION("""COMPUTED_VALUE"""),"Australia.GT.BaoDau.PTATT_XuBen.5018_MES_HuyNV_111122")</f>
        <v>Australia.GT.BaoDau.PTATT_XuBen.5018_MES_HuyNV_111122</v>
      </c>
      <c r="R531" s="54" t="str">
        <f>IFERROR(__xludf.DUMMYFUNCTION("""COMPUTED_VALUE"""),"NEW_Australia_1834_none_111122")</f>
        <v>NEW_Australia_1834_none_111122</v>
      </c>
      <c r="S531" s="54" t="str">
        <f>IFERROR(__xludf.DUMMYFUNCTION("""COMPUTED_VALUE"""),"saletructiep_Australia.GT.BaoDau.PTATT_PTATT_LD005")</f>
        <v>saletructiep_Australia.GT.BaoDau.PTATT_PTATT_LD005</v>
      </c>
      <c r="T531" s="54"/>
      <c r="U531" s="56"/>
    </row>
    <row r="532">
      <c r="A532" s="80" t="s">
        <v>952</v>
      </c>
      <c r="B532" s="54" t="s">
        <v>166</v>
      </c>
      <c r="C532" s="54" t="str">
        <f>IFERROR(__xludf.DUMMYFUNCTION("""COMPUTED_VALUE"""),"LD005")</f>
        <v>LD005</v>
      </c>
      <c r="D532" s="54" t="s">
        <v>42</v>
      </c>
      <c r="E532" s="73" t="s">
        <v>79</v>
      </c>
      <c r="F532" s="55" t="s">
        <v>107</v>
      </c>
      <c r="G532" s="54">
        <v>1834.0</v>
      </c>
      <c r="H532" s="54" t="s">
        <v>75</v>
      </c>
      <c r="I532" s="60" t="s">
        <v>959</v>
      </c>
      <c r="J532" s="60" t="s">
        <v>960</v>
      </c>
      <c r="K532" s="54" t="s">
        <v>61</v>
      </c>
      <c r="L532" s="73" t="s">
        <v>317</v>
      </c>
      <c r="M532" s="54" t="s">
        <v>78</v>
      </c>
      <c r="N532" s="73" t="s">
        <v>79</v>
      </c>
      <c r="O532" s="54" t="s">
        <v>224</v>
      </c>
      <c r="P532" s="54" t="s">
        <v>110</v>
      </c>
      <c r="Q532" s="54" t="str">
        <f>IFERROR(__xludf.DUMMYFUNCTION("""COMPUTED_VALUE"""),"UnitedStates.GT.BaoDau.PTATT_XuBen.5018_MES_HuyNV_111122")</f>
        <v>UnitedStates.GT.BaoDau.PTATT_XuBen.5018_MES_HuyNV_111122</v>
      </c>
      <c r="R532" s="54" t="str">
        <f>IFERROR(__xludf.DUMMYFUNCTION("""COMPUTED_VALUE"""),"NEW_UnitedStates_1834_none_111122")</f>
        <v>NEW_UnitedStates_1834_none_111122</v>
      </c>
      <c r="S532" s="54" t="str">
        <f>IFERROR(__xludf.DUMMYFUNCTION("""COMPUTED_VALUE"""),"saletructiep_UnitedStates.GT.BaoDau.PTATT_PTATT_LD005")</f>
        <v>saletructiep_UnitedStates.GT.BaoDau.PTATT_PTATT_LD005</v>
      </c>
      <c r="T532" s="54"/>
      <c r="U532" s="56"/>
    </row>
    <row r="533">
      <c r="A533" s="80" t="s">
        <v>952</v>
      </c>
      <c r="B533" s="54" t="s">
        <v>166</v>
      </c>
      <c r="C533" s="54" t="str">
        <f>IFERROR(__xludf.DUMMYFUNCTION("""COMPUTED_VALUE"""),"LD005")</f>
        <v>LD005</v>
      </c>
      <c r="D533" s="54" t="s">
        <v>42</v>
      </c>
      <c r="E533" s="73" t="s">
        <v>79</v>
      </c>
      <c r="F533" s="55" t="s">
        <v>625</v>
      </c>
      <c r="G533" s="54">
        <v>1834.0</v>
      </c>
      <c r="H533" s="54" t="s">
        <v>75</v>
      </c>
      <c r="I533" s="60" t="s">
        <v>961</v>
      </c>
      <c r="J533" s="60" t="s">
        <v>962</v>
      </c>
      <c r="K533" s="54" t="s">
        <v>61</v>
      </c>
      <c r="L533" s="73" t="s">
        <v>317</v>
      </c>
      <c r="M533" s="54" t="s">
        <v>78</v>
      </c>
      <c r="N533" s="73" t="s">
        <v>79</v>
      </c>
      <c r="O533" s="54" t="s">
        <v>224</v>
      </c>
      <c r="P533" s="54" t="s">
        <v>110</v>
      </c>
      <c r="Q533" s="54" t="str">
        <f>IFERROR(__xludf.DUMMYFUNCTION("""COMPUTED_VALUE"""),"KoreaSouth.GT.BaoDau.PTATT_XuBen.5018_MES_HuyNV_111122")</f>
        <v>KoreaSouth.GT.BaoDau.PTATT_XuBen.5018_MES_HuyNV_111122</v>
      </c>
      <c r="R533" s="54" t="str">
        <f>IFERROR(__xludf.DUMMYFUNCTION("""COMPUTED_VALUE"""),"NEW_KoreaSouth_1834_none_111122")</f>
        <v>NEW_KoreaSouth_1834_none_111122</v>
      </c>
      <c r="S533" s="54" t="str">
        <f>IFERROR(__xludf.DUMMYFUNCTION("""COMPUTED_VALUE"""),"saletructiep_KoreaSouth.GT.BaoDau.PTATT_PTATT_LD005")</f>
        <v>saletructiep_KoreaSouth.GT.BaoDau.PTATT_PTATT_LD005</v>
      </c>
      <c r="T533" s="54"/>
      <c r="U533" s="56"/>
    </row>
    <row r="534">
      <c r="A534" s="80" t="s">
        <v>952</v>
      </c>
      <c r="B534" s="61" t="s">
        <v>772</v>
      </c>
      <c r="C534" s="54" t="str">
        <f>IFERROR(__xludf.DUMMYFUNCTION("""COMPUTED_VALUE"""),"LD115")</f>
        <v>LD115</v>
      </c>
      <c r="D534" s="54" t="s">
        <v>42</v>
      </c>
      <c r="E534" s="55" t="s">
        <v>69</v>
      </c>
      <c r="F534" s="55" t="s">
        <v>133</v>
      </c>
      <c r="G534" s="54">
        <v>1834.0</v>
      </c>
      <c r="H534" s="54" t="s">
        <v>75</v>
      </c>
      <c r="I534" s="60" t="s">
        <v>963</v>
      </c>
      <c r="J534" s="60" t="s">
        <v>964</v>
      </c>
      <c r="K534" s="54" t="s">
        <v>61</v>
      </c>
      <c r="L534" s="73" t="s">
        <v>317</v>
      </c>
      <c r="M534" s="54" t="s">
        <v>78</v>
      </c>
      <c r="N534" s="55" t="s">
        <v>69</v>
      </c>
      <c r="O534" s="54" t="s">
        <v>224</v>
      </c>
      <c r="P534" s="54" t="s">
        <v>110</v>
      </c>
      <c r="Q534" s="54" t="str">
        <f>IFERROR(__xludf.DUMMYFUNCTION("""COMPUTED_VALUE"""),"Japan.GT.BaoDau.PTATT_XuBen.5018_CVS_HuyNV_111122")</f>
        <v>Japan.GT.BaoDau.PTATT_XuBen.5018_CVS_HuyNV_111122</v>
      </c>
      <c r="R534" s="54" t="str">
        <f>IFERROR(__xludf.DUMMYFUNCTION("""COMPUTED_VALUE"""),"NEW_Japan_1834_none_111122")</f>
        <v>NEW_Japan_1834_none_111122</v>
      </c>
      <c r="S534" s="54" t="str">
        <f>IFERROR(__xludf.DUMMYFUNCTION("""COMPUTED_VALUE"""),"saletructiep_Japan.GT.BaoDau.PTATT_PTATT_LD115")</f>
        <v>saletructiep_Japan.GT.BaoDau.PTATT_PTATT_LD115</v>
      </c>
      <c r="T534" s="54"/>
      <c r="U534" s="56"/>
    </row>
    <row r="535">
      <c r="A535" s="66">
        <v>111122.0</v>
      </c>
      <c r="B535" s="61" t="s">
        <v>772</v>
      </c>
      <c r="C535" s="54" t="str">
        <f>IFERROR(__xludf.DUMMYFUNCTION("""COMPUTED_VALUE"""),"LD115")</f>
        <v>LD115</v>
      </c>
      <c r="D535" s="54" t="s">
        <v>42</v>
      </c>
      <c r="E535" s="73" t="s">
        <v>79</v>
      </c>
      <c r="F535" s="94" t="s">
        <v>133</v>
      </c>
      <c r="G535" s="54">
        <v>1834.0</v>
      </c>
      <c r="H535" s="54" t="s">
        <v>75</v>
      </c>
      <c r="I535" s="55" t="s">
        <v>965</v>
      </c>
      <c r="J535" s="73" t="s">
        <v>965</v>
      </c>
      <c r="K535" s="54" t="s">
        <v>61</v>
      </c>
      <c r="L535" s="73" t="s">
        <v>317</v>
      </c>
      <c r="M535" s="54" t="s">
        <v>78</v>
      </c>
      <c r="N535" s="73" t="s">
        <v>79</v>
      </c>
      <c r="O535" s="54" t="s">
        <v>224</v>
      </c>
      <c r="P535" s="54" t="s">
        <v>110</v>
      </c>
      <c r="Q535" s="54" t="str">
        <f>IFERROR(__xludf.DUMMYFUNCTION("""COMPUTED_VALUE"""),"Japan.HocTT.Camket.LNTH.PTATT_XuBen.5018_MES_HuyNV_111122")</f>
        <v>Japan.HocTT.Camket.LNTH.PTATT_XuBen.5018_MES_HuyNV_111122</v>
      </c>
      <c r="R535" s="54" t="str">
        <f>IFERROR(__xludf.DUMMYFUNCTION("""COMPUTED_VALUE"""),"NEW_Japan_1834_none_111122")</f>
        <v>NEW_Japan_1834_none_111122</v>
      </c>
      <c r="S535" s="54" t="str">
        <f>IFERROR(__xludf.DUMMYFUNCTION("""COMPUTED_VALUE"""),"saletructiep_Japan.HocTT.Camket.LNTH.PTATT_PTATT_LD115")</f>
        <v>saletructiep_Japan.HocTT.Camket.LNTH.PTATT_PTATT_LD115</v>
      </c>
      <c r="T535" s="54"/>
      <c r="U535" s="56"/>
    </row>
    <row r="536">
      <c r="A536" s="66">
        <v>111122.0</v>
      </c>
      <c r="B536" s="54" t="s">
        <v>166</v>
      </c>
      <c r="C536" s="54" t="str">
        <f>IFERROR(__xludf.DUMMYFUNCTION("""COMPUTED_VALUE"""),"LD005")</f>
        <v>LD005</v>
      </c>
      <c r="D536" s="54" t="s">
        <v>42</v>
      </c>
      <c r="E536" s="73" t="s">
        <v>79</v>
      </c>
      <c r="F536" s="73" t="s">
        <v>625</v>
      </c>
      <c r="G536" s="54">
        <v>1834.0</v>
      </c>
      <c r="H536" s="54" t="s">
        <v>75</v>
      </c>
      <c r="I536" s="55" t="s">
        <v>966</v>
      </c>
      <c r="J536" s="73" t="s">
        <v>966</v>
      </c>
      <c r="K536" s="54" t="s">
        <v>61</v>
      </c>
      <c r="L536" s="73" t="s">
        <v>317</v>
      </c>
      <c r="M536" s="54" t="s">
        <v>78</v>
      </c>
      <c r="N536" s="73" t="s">
        <v>79</v>
      </c>
      <c r="O536" s="54" t="s">
        <v>224</v>
      </c>
      <c r="P536" s="54" t="s">
        <v>110</v>
      </c>
      <c r="Q536" s="54" t="str">
        <f>IFERROR(__xludf.DUMMYFUNCTION("""COMPUTED_VALUE"""),"KoreaSouth.HocTT.Camket.LNTH.PTATT_XuBen.5018_MES_HuyNV_111122")</f>
        <v>KoreaSouth.HocTT.Camket.LNTH.PTATT_XuBen.5018_MES_HuyNV_111122</v>
      </c>
      <c r="R536" s="54" t="str">
        <f>IFERROR(__xludf.DUMMYFUNCTION("""COMPUTED_VALUE"""),"NEW_KoreaSouth_1834_none_111122")</f>
        <v>NEW_KoreaSouth_1834_none_111122</v>
      </c>
      <c r="S536" s="54" t="str">
        <f>IFERROR(__xludf.DUMMYFUNCTION("""COMPUTED_VALUE"""),"saletructiep_KoreaSouth.HocTT.Camket.LNTH.PTATT_PTATT_LD005")</f>
        <v>saletructiep_KoreaSouth.HocTT.Camket.LNTH.PTATT_PTATT_LD005</v>
      </c>
      <c r="T536" s="54"/>
      <c r="U536" s="56"/>
    </row>
    <row r="537">
      <c r="A537" s="66">
        <v>111122.0</v>
      </c>
      <c r="B537" s="54" t="s">
        <v>166</v>
      </c>
      <c r="C537" s="54" t="str">
        <f>IFERROR(__xludf.DUMMYFUNCTION("""COMPUTED_VALUE"""),"LD005")</f>
        <v>LD005</v>
      </c>
      <c r="D537" s="54" t="s">
        <v>42</v>
      </c>
      <c r="E537" s="73" t="s">
        <v>79</v>
      </c>
      <c r="F537" s="55" t="s">
        <v>107</v>
      </c>
      <c r="G537" s="54">
        <v>1834.0</v>
      </c>
      <c r="H537" s="54" t="s">
        <v>75</v>
      </c>
      <c r="I537" s="55" t="s">
        <v>967</v>
      </c>
      <c r="J537" s="73" t="s">
        <v>967</v>
      </c>
      <c r="K537" s="54" t="s">
        <v>61</v>
      </c>
      <c r="L537" s="73" t="s">
        <v>317</v>
      </c>
      <c r="M537" s="54" t="s">
        <v>78</v>
      </c>
      <c r="N537" s="73" t="s">
        <v>79</v>
      </c>
      <c r="O537" s="54" t="s">
        <v>224</v>
      </c>
      <c r="P537" s="54" t="s">
        <v>110</v>
      </c>
      <c r="Q537" s="54" t="str">
        <f>IFERROR(__xludf.DUMMYFUNCTION("""COMPUTED_VALUE"""),"UnitedStates.HocTT.Camket.LNTH.PTATT_XuBen.5018_MES_HuyNV_111122")</f>
        <v>UnitedStates.HocTT.Camket.LNTH.PTATT_XuBen.5018_MES_HuyNV_111122</v>
      </c>
      <c r="R537" s="54" t="str">
        <f>IFERROR(__xludf.DUMMYFUNCTION("""COMPUTED_VALUE"""),"NEW_UnitedStates_1834_none_111122")</f>
        <v>NEW_UnitedStates_1834_none_111122</v>
      </c>
      <c r="S537" s="54" t="str">
        <f>IFERROR(__xludf.DUMMYFUNCTION("""COMPUTED_VALUE"""),"saletructiep_UnitedStates.HocTT.Camket.LNTH.PTATT_PTATT_LD005")</f>
        <v>saletructiep_UnitedStates.HocTT.Camket.LNTH.PTATT_PTATT_LD005</v>
      </c>
      <c r="T537" s="54"/>
      <c r="U537" s="56"/>
    </row>
    <row r="538">
      <c r="A538" s="66">
        <v>111122.0</v>
      </c>
      <c r="B538" s="54" t="s">
        <v>166</v>
      </c>
      <c r="C538" s="54" t="str">
        <f>IFERROR(__xludf.DUMMYFUNCTION("""COMPUTED_VALUE"""),"LD005")</f>
        <v>LD005</v>
      </c>
      <c r="D538" s="54" t="s">
        <v>42</v>
      </c>
      <c r="E538" s="73" t="s">
        <v>79</v>
      </c>
      <c r="F538" s="73" t="s">
        <v>129</v>
      </c>
      <c r="G538" s="54">
        <v>1834.0</v>
      </c>
      <c r="H538" s="54" t="s">
        <v>75</v>
      </c>
      <c r="I538" s="55" t="s">
        <v>968</v>
      </c>
      <c r="J538" s="73" t="s">
        <v>968</v>
      </c>
      <c r="K538" s="54" t="s">
        <v>61</v>
      </c>
      <c r="L538" s="73" t="s">
        <v>317</v>
      </c>
      <c r="M538" s="54" t="s">
        <v>78</v>
      </c>
      <c r="N538" s="73" t="s">
        <v>79</v>
      </c>
      <c r="O538" s="54" t="s">
        <v>224</v>
      </c>
      <c r="P538" s="54" t="s">
        <v>110</v>
      </c>
      <c r="Q538" s="54" t="str">
        <f>IFERROR(__xludf.DUMMYFUNCTION("""COMPUTED_VALUE"""),"Australia.HocTT.Camket.LNTH.PTATT_XuBen.5018_MES_HuyNV_111122")</f>
        <v>Australia.HocTT.Camket.LNTH.PTATT_XuBen.5018_MES_HuyNV_111122</v>
      </c>
      <c r="R538" s="54" t="str">
        <f>IFERROR(__xludf.DUMMYFUNCTION("""COMPUTED_VALUE"""),"NEW_Australia_1834_none_111122")</f>
        <v>NEW_Australia_1834_none_111122</v>
      </c>
      <c r="S538" s="54" t="str">
        <f>IFERROR(__xludf.DUMMYFUNCTION("""COMPUTED_VALUE"""),"saletructiep_Australia.HocTT.Camket.LNTH.PTATT_PTATT_LD005")</f>
        <v>saletructiep_Australia.HocTT.Camket.LNTH.PTATT_PTATT_LD005</v>
      </c>
      <c r="T538" s="54"/>
      <c r="U538" s="56"/>
    </row>
    <row r="539">
      <c r="A539" s="66">
        <v>111122.0</v>
      </c>
      <c r="B539" s="54" t="s">
        <v>166</v>
      </c>
      <c r="C539" s="54" t="str">
        <f>IFERROR(__xludf.DUMMYFUNCTION("""COMPUTED_VALUE"""),"LD005")</f>
        <v>LD005</v>
      </c>
      <c r="D539" s="54" t="s">
        <v>42</v>
      </c>
      <c r="E539" s="73" t="s">
        <v>79</v>
      </c>
      <c r="F539" s="55" t="s">
        <v>674</v>
      </c>
      <c r="G539" s="54">
        <v>1834.0</v>
      </c>
      <c r="H539" s="54" t="s">
        <v>75</v>
      </c>
      <c r="I539" s="55" t="s">
        <v>969</v>
      </c>
      <c r="J539" s="73" t="s">
        <v>969</v>
      </c>
      <c r="K539" s="54" t="s">
        <v>61</v>
      </c>
      <c r="L539" s="73" t="s">
        <v>317</v>
      </c>
      <c r="M539" s="54" t="s">
        <v>78</v>
      </c>
      <c r="N539" s="73" t="s">
        <v>79</v>
      </c>
      <c r="O539" s="54" t="s">
        <v>224</v>
      </c>
      <c r="P539" s="54" t="s">
        <v>110</v>
      </c>
      <c r="Q539" s="54" t="str">
        <f>IFERROR(__xludf.DUMMYFUNCTION("""COMPUTED_VALUE"""),"Europe.HocTT.Camket.LNTH.PTATT_XuBen.5018_MES_HuyNV_111122")</f>
        <v>Europe.HocTT.Camket.LNTH.PTATT_XuBen.5018_MES_HuyNV_111122</v>
      </c>
      <c r="R539" s="54" t="str">
        <f>IFERROR(__xludf.DUMMYFUNCTION("""COMPUTED_VALUE"""),"NEW_Europe_1834_none_111122")</f>
        <v>NEW_Europe_1834_none_111122</v>
      </c>
      <c r="S539" s="54" t="str">
        <f>IFERROR(__xludf.DUMMYFUNCTION("""COMPUTED_VALUE"""),"saletructiep_Europe.HocTT.Camket.LNTH.PTATT_PTATT_LD005")</f>
        <v>saletructiep_Europe.HocTT.Camket.LNTH.PTATT_PTATT_LD005</v>
      </c>
      <c r="T539" s="54"/>
      <c r="U539" s="56"/>
    </row>
    <row r="540">
      <c r="A540" s="66">
        <v>111122.0</v>
      </c>
      <c r="B540" s="54" t="s">
        <v>166</v>
      </c>
      <c r="C540" s="54" t="str">
        <f>IFERROR(__xludf.DUMMYFUNCTION("""COMPUTED_VALUE"""),"LD005")</f>
        <v>LD005</v>
      </c>
      <c r="D540" s="54" t="s">
        <v>42</v>
      </c>
      <c r="E540" s="73" t="s">
        <v>79</v>
      </c>
      <c r="F540" s="94" t="s">
        <v>133</v>
      </c>
      <c r="G540" s="54">
        <v>1834.0</v>
      </c>
      <c r="H540" s="54" t="s">
        <v>75</v>
      </c>
      <c r="I540" s="55" t="s">
        <v>970</v>
      </c>
      <c r="J540" s="73" t="s">
        <v>970</v>
      </c>
      <c r="K540" s="54" t="s">
        <v>61</v>
      </c>
      <c r="L540" s="73" t="s">
        <v>317</v>
      </c>
      <c r="M540" s="54" t="s">
        <v>78</v>
      </c>
      <c r="N540" s="73" t="s">
        <v>79</v>
      </c>
      <c r="O540" s="54" t="s">
        <v>224</v>
      </c>
      <c r="P540" s="54" t="s">
        <v>110</v>
      </c>
      <c r="Q540" s="54" t="str">
        <f>IFERROR(__xludf.DUMMYFUNCTION("""COMPUTED_VALUE"""),"Japan.Thongbao.LNTH.PTATT_XuBen.5018_MES_HuyNV_111122")</f>
        <v>Japan.Thongbao.LNTH.PTATT_XuBen.5018_MES_HuyNV_111122</v>
      </c>
      <c r="R540" s="54" t="str">
        <f>IFERROR(__xludf.DUMMYFUNCTION("""COMPUTED_VALUE"""),"NEW_Japan_1834_none_111122")</f>
        <v>NEW_Japan_1834_none_111122</v>
      </c>
      <c r="S540" s="54" t="str">
        <f>IFERROR(__xludf.DUMMYFUNCTION("""COMPUTED_VALUE"""),"saletructiep_Japan.Thongbao.LNTH.PTATT_PTATT_LD005")</f>
        <v>saletructiep_Japan.Thongbao.LNTH.PTATT_PTATT_LD005</v>
      </c>
      <c r="T540" s="54"/>
      <c r="U540" s="56"/>
    </row>
    <row r="541">
      <c r="A541" s="66">
        <v>111122.0</v>
      </c>
      <c r="B541" s="54" t="s">
        <v>166</v>
      </c>
      <c r="C541" s="54" t="str">
        <f>IFERROR(__xludf.DUMMYFUNCTION("""COMPUTED_VALUE"""),"LD005")</f>
        <v>LD005</v>
      </c>
      <c r="D541" s="54" t="s">
        <v>42</v>
      </c>
      <c r="E541" s="73" t="s">
        <v>79</v>
      </c>
      <c r="F541" s="73" t="s">
        <v>625</v>
      </c>
      <c r="G541" s="54">
        <v>1834.0</v>
      </c>
      <c r="H541" s="54" t="s">
        <v>75</v>
      </c>
      <c r="I541" s="55" t="s">
        <v>971</v>
      </c>
      <c r="J541" s="73" t="s">
        <v>971</v>
      </c>
      <c r="K541" s="54" t="s">
        <v>61</v>
      </c>
      <c r="L541" s="73" t="s">
        <v>317</v>
      </c>
      <c r="M541" s="54" t="s">
        <v>78</v>
      </c>
      <c r="N541" s="73" t="s">
        <v>79</v>
      </c>
      <c r="O541" s="54" t="s">
        <v>224</v>
      </c>
      <c r="P541" s="54" t="s">
        <v>110</v>
      </c>
      <c r="Q541" s="54" t="str">
        <f>IFERROR(__xludf.DUMMYFUNCTION("""COMPUTED_VALUE"""),"KoreaSouth.Thongbao.LNTH.PTATT_XuBen.5018_MES_HuyNV_111122")</f>
        <v>KoreaSouth.Thongbao.LNTH.PTATT_XuBen.5018_MES_HuyNV_111122</v>
      </c>
      <c r="R541" s="54" t="str">
        <f>IFERROR(__xludf.DUMMYFUNCTION("""COMPUTED_VALUE"""),"NEW_KoreaSouth_1834_none_111122")</f>
        <v>NEW_KoreaSouth_1834_none_111122</v>
      </c>
      <c r="S541" s="54" t="str">
        <f>IFERROR(__xludf.DUMMYFUNCTION("""COMPUTED_VALUE"""),"saletructiep_KoreaSouth.Thongbao.LNTH.PTATT_PTATT_LD005")</f>
        <v>saletructiep_KoreaSouth.Thongbao.LNTH.PTATT_PTATT_LD005</v>
      </c>
      <c r="T541" s="54"/>
      <c r="U541" s="56"/>
    </row>
    <row r="542">
      <c r="A542" s="66">
        <v>111122.0</v>
      </c>
      <c r="B542" s="54" t="s">
        <v>166</v>
      </c>
      <c r="C542" s="54" t="str">
        <f>IFERROR(__xludf.DUMMYFUNCTION("""COMPUTED_VALUE"""),"LD005")</f>
        <v>LD005</v>
      </c>
      <c r="D542" s="54" t="s">
        <v>42</v>
      </c>
      <c r="E542" s="73" t="s">
        <v>79</v>
      </c>
      <c r="F542" s="55" t="s">
        <v>107</v>
      </c>
      <c r="G542" s="54">
        <v>1834.0</v>
      </c>
      <c r="H542" s="54" t="s">
        <v>75</v>
      </c>
      <c r="I542" s="55" t="s">
        <v>972</v>
      </c>
      <c r="J542" s="73" t="s">
        <v>972</v>
      </c>
      <c r="K542" s="54" t="s">
        <v>61</v>
      </c>
      <c r="L542" s="73" t="s">
        <v>317</v>
      </c>
      <c r="M542" s="54" t="s">
        <v>78</v>
      </c>
      <c r="N542" s="73" t="s">
        <v>79</v>
      </c>
      <c r="O542" s="54" t="s">
        <v>224</v>
      </c>
      <c r="P542" s="54" t="s">
        <v>110</v>
      </c>
      <c r="Q542" s="54" t="str">
        <f>IFERROR(__xludf.DUMMYFUNCTION("""COMPUTED_VALUE"""),"UnitedStates.Thongbao.LNTH.PTATT_XuBen.5018_MES_HuyNV_111122")</f>
        <v>UnitedStates.Thongbao.LNTH.PTATT_XuBen.5018_MES_HuyNV_111122</v>
      </c>
      <c r="R542" s="54" t="str">
        <f>IFERROR(__xludf.DUMMYFUNCTION("""COMPUTED_VALUE"""),"NEW_UnitedStates_1834_none_111122")</f>
        <v>NEW_UnitedStates_1834_none_111122</v>
      </c>
      <c r="S542" s="54" t="str">
        <f>IFERROR(__xludf.DUMMYFUNCTION("""COMPUTED_VALUE"""),"saletructiep_UnitedStates.Thongbao.LNTH.PTATT_PTATT_LD005")</f>
        <v>saletructiep_UnitedStates.Thongbao.LNTH.PTATT_PTATT_LD005</v>
      </c>
      <c r="T542" s="54"/>
      <c r="U542" s="56"/>
    </row>
    <row r="543">
      <c r="A543" s="66">
        <v>111122.0</v>
      </c>
      <c r="B543" s="54" t="s">
        <v>166</v>
      </c>
      <c r="C543" s="54" t="str">
        <f>IFERROR(__xludf.DUMMYFUNCTION("""COMPUTED_VALUE"""),"LD005")</f>
        <v>LD005</v>
      </c>
      <c r="D543" s="54" t="s">
        <v>42</v>
      </c>
      <c r="E543" s="73" t="s">
        <v>79</v>
      </c>
      <c r="F543" s="73" t="s">
        <v>129</v>
      </c>
      <c r="G543" s="54">
        <v>1834.0</v>
      </c>
      <c r="H543" s="54" t="s">
        <v>75</v>
      </c>
      <c r="I543" s="55" t="s">
        <v>973</v>
      </c>
      <c r="J543" s="73" t="s">
        <v>973</v>
      </c>
      <c r="K543" s="54" t="s">
        <v>61</v>
      </c>
      <c r="L543" s="73" t="s">
        <v>317</v>
      </c>
      <c r="M543" s="54" t="s">
        <v>78</v>
      </c>
      <c r="N543" s="73" t="s">
        <v>79</v>
      </c>
      <c r="O543" s="54" t="s">
        <v>224</v>
      </c>
      <c r="P543" s="54" t="s">
        <v>110</v>
      </c>
      <c r="Q543" s="54" t="str">
        <f>IFERROR(__xludf.DUMMYFUNCTION("""COMPUTED_VALUE"""),"Australia.Thongbao.LNTH.PTATT_XuBen.5018_MES_HuyNV_111122")</f>
        <v>Australia.Thongbao.LNTH.PTATT_XuBen.5018_MES_HuyNV_111122</v>
      </c>
      <c r="R543" s="54" t="str">
        <f>IFERROR(__xludf.DUMMYFUNCTION("""COMPUTED_VALUE"""),"NEW_Australia_1834_none_111122")</f>
        <v>NEW_Australia_1834_none_111122</v>
      </c>
      <c r="S543" s="54" t="str">
        <f>IFERROR(__xludf.DUMMYFUNCTION("""COMPUTED_VALUE"""),"saletructiep_Australia.Thongbao.LNTH.PTATT_PTATT_LD005")</f>
        <v>saletructiep_Australia.Thongbao.LNTH.PTATT_PTATT_LD005</v>
      </c>
      <c r="T543" s="54"/>
      <c r="U543" s="56"/>
    </row>
    <row r="544">
      <c r="A544" s="66">
        <v>111122.0</v>
      </c>
      <c r="B544" s="54" t="s">
        <v>166</v>
      </c>
      <c r="C544" s="54" t="str">
        <f>IFERROR(__xludf.DUMMYFUNCTION("""COMPUTED_VALUE"""),"LD005")</f>
        <v>LD005</v>
      </c>
      <c r="D544" s="54" t="s">
        <v>42</v>
      </c>
      <c r="E544" s="73" t="s">
        <v>79</v>
      </c>
      <c r="F544" s="55" t="s">
        <v>674</v>
      </c>
      <c r="G544" s="54">
        <v>1834.0</v>
      </c>
      <c r="H544" s="54" t="s">
        <v>75</v>
      </c>
      <c r="I544" s="55" t="s">
        <v>974</v>
      </c>
      <c r="J544" s="73" t="s">
        <v>974</v>
      </c>
      <c r="K544" s="54" t="s">
        <v>61</v>
      </c>
      <c r="L544" s="73" t="s">
        <v>317</v>
      </c>
      <c r="M544" s="54" t="s">
        <v>78</v>
      </c>
      <c r="N544" s="73" t="s">
        <v>79</v>
      </c>
      <c r="O544" s="54" t="s">
        <v>224</v>
      </c>
      <c r="P544" s="54" t="s">
        <v>110</v>
      </c>
      <c r="Q544" s="54" t="str">
        <f>IFERROR(__xludf.DUMMYFUNCTION("""COMPUTED_VALUE"""),"Europe.Thongbao.LNTH.PTATT_XuBen.5018_MES_HuyNV_111122")</f>
        <v>Europe.Thongbao.LNTH.PTATT_XuBen.5018_MES_HuyNV_111122</v>
      </c>
      <c r="R544" s="54" t="str">
        <f>IFERROR(__xludf.DUMMYFUNCTION("""COMPUTED_VALUE"""),"NEW_Europe_1834_none_111122")</f>
        <v>NEW_Europe_1834_none_111122</v>
      </c>
      <c r="S544" s="54" t="str">
        <f>IFERROR(__xludf.DUMMYFUNCTION("""COMPUTED_VALUE"""),"saletructiep_Europe.Thongbao.LNTH.PTATT_PTATT_LD005")</f>
        <v>saletructiep_Europe.Thongbao.LNTH.PTATT_PTATT_LD005</v>
      </c>
      <c r="T544" s="54"/>
      <c r="U544" s="56"/>
    </row>
    <row r="545">
      <c r="A545" s="66">
        <v>111122.0</v>
      </c>
      <c r="B545" s="54" t="s">
        <v>166</v>
      </c>
      <c r="C545" s="54" t="str">
        <f>IFERROR(__xludf.DUMMYFUNCTION("""COMPUTED_VALUE"""),"LD005")</f>
        <v>LD005</v>
      </c>
      <c r="D545" s="54" t="s">
        <v>42</v>
      </c>
      <c r="E545" s="73" t="s">
        <v>79</v>
      </c>
      <c r="F545" s="94" t="s">
        <v>133</v>
      </c>
      <c r="G545" s="54">
        <v>1834.0</v>
      </c>
      <c r="H545" s="54" t="s">
        <v>75</v>
      </c>
      <c r="I545" s="55" t="s">
        <v>975</v>
      </c>
      <c r="J545" s="73" t="s">
        <v>975</v>
      </c>
      <c r="K545" s="54" t="s">
        <v>61</v>
      </c>
      <c r="L545" s="73" t="s">
        <v>317</v>
      </c>
      <c r="M545" s="54" t="s">
        <v>78</v>
      </c>
      <c r="N545" s="73" t="s">
        <v>79</v>
      </c>
      <c r="O545" s="54" t="s">
        <v>224</v>
      </c>
      <c r="P545" s="54" t="s">
        <v>110</v>
      </c>
      <c r="Q545" s="54" t="str">
        <f>IFERROR(__xludf.DUMMYFUNCTION("""COMPUTED_VALUE"""),"Japana.GioiTA.LNTH.PTATT_XuBen.5018_MES_HuyNV_111122")</f>
        <v>Japana.GioiTA.LNTH.PTATT_XuBen.5018_MES_HuyNV_111122</v>
      </c>
      <c r="R545" s="54" t="str">
        <f>IFERROR(__xludf.DUMMYFUNCTION("""COMPUTED_VALUE"""),"NEW_Japan_1834_none_111122")</f>
        <v>NEW_Japan_1834_none_111122</v>
      </c>
      <c r="S545" s="54" t="str">
        <f>IFERROR(__xludf.DUMMYFUNCTION("""COMPUTED_VALUE"""),"saletructiep_Japana.GioiTA.LNTH.PTATT_PTATT_LD005")</f>
        <v>saletructiep_Japana.GioiTA.LNTH.PTATT_PTATT_LD005</v>
      </c>
      <c r="T545" s="54"/>
      <c r="U545" s="56"/>
    </row>
    <row r="546">
      <c r="A546" s="66">
        <v>111122.0</v>
      </c>
      <c r="B546" s="54" t="s">
        <v>166</v>
      </c>
      <c r="C546" s="54" t="str">
        <f>IFERROR(__xludf.DUMMYFUNCTION("""COMPUTED_VALUE"""),"LD005")</f>
        <v>LD005</v>
      </c>
      <c r="D546" s="54" t="s">
        <v>42</v>
      </c>
      <c r="E546" s="73" t="s">
        <v>79</v>
      </c>
      <c r="F546" s="73" t="s">
        <v>625</v>
      </c>
      <c r="G546" s="54">
        <v>1834.0</v>
      </c>
      <c r="H546" s="54" t="s">
        <v>75</v>
      </c>
      <c r="I546" s="55" t="s">
        <v>976</v>
      </c>
      <c r="J546" s="73" t="s">
        <v>976</v>
      </c>
      <c r="K546" s="54" t="s">
        <v>61</v>
      </c>
      <c r="L546" s="73" t="s">
        <v>317</v>
      </c>
      <c r="M546" s="54" t="s">
        <v>78</v>
      </c>
      <c r="N546" s="73" t="s">
        <v>79</v>
      </c>
      <c r="O546" s="54" t="s">
        <v>224</v>
      </c>
      <c r="P546" s="54" t="s">
        <v>110</v>
      </c>
      <c r="Q546" s="54" t="str">
        <f>IFERROR(__xludf.DUMMYFUNCTION("""COMPUTED_VALUE"""),"KoreaSouth.GioiTA.LNTH.PTATT_XuBen.5018_MES_HuyNV_111122")</f>
        <v>KoreaSouth.GioiTA.LNTH.PTATT_XuBen.5018_MES_HuyNV_111122</v>
      </c>
      <c r="R546" s="54" t="str">
        <f>IFERROR(__xludf.DUMMYFUNCTION("""COMPUTED_VALUE"""),"NEW_KoreaSouth_1834_none_111122")</f>
        <v>NEW_KoreaSouth_1834_none_111122</v>
      </c>
      <c r="S546" s="54" t="str">
        <f>IFERROR(__xludf.DUMMYFUNCTION("""COMPUTED_VALUE"""),"saletructiep_KoreaSouth.GioiTA.LNTH.PTATT_PTATT_LD005")</f>
        <v>saletructiep_KoreaSouth.GioiTA.LNTH.PTATT_PTATT_LD005</v>
      </c>
      <c r="T546" s="54"/>
      <c r="U546" s="56"/>
    </row>
    <row r="547">
      <c r="A547" s="66">
        <v>111122.0</v>
      </c>
      <c r="B547" s="54" t="s">
        <v>166</v>
      </c>
      <c r="C547" s="54" t="str">
        <f>IFERROR(__xludf.DUMMYFUNCTION("""COMPUTED_VALUE"""),"LD005")</f>
        <v>LD005</v>
      </c>
      <c r="D547" s="54" t="s">
        <v>42</v>
      </c>
      <c r="E547" s="73" t="s">
        <v>79</v>
      </c>
      <c r="F547" s="55" t="s">
        <v>107</v>
      </c>
      <c r="G547" s="54">
        <v>1834.0</v>
      </c>
      <c r="H547" s="54" t="s">
        <v>75</v>
      </c>
      <c r="I547" s="55" t="s">
        <v>977</v>
      </c>
      <c r="J547" s="73" t="s">
        <v>977</v>
      </c>
      <c r="K547" s="54" t="s">
        <v>61</v>
      </c>
      <c r="L547" s="73" t="s">
        <v>317</v>
      </c>
      <c r="M547" s="54" t="s">
        <v>78</v>
      </c>
      <c r="N547" s="73" t="s">
        <v>79</v>
      </c>
      <c r="O547" s="54" t="s">
        <v>224</v>
      </c>
      <c r="P547" s="54" t="s">
        <v>110</v>
      </c>
      <c r="Q547" s="54" t="str">
        <f>IFERROR(__xludf.DUMMYFUNCTION("""COMPUTED_VALUE"""),"UnitedStates.GioiTA.LNTH.PTATT_XuBen.5018_MES_HuyNV_111122")</f>
        <v>UnitedStates.GioiTA.LNTH.PTATT_XuBen.5018_MES_HuyNV_111122</v>
      </c>
      <c r="R547" s="54" t="str">
        <f>IFERROR(__xludf.DUMMYFUNCTION("""COMPUTED_VALUE"""),"NEW_UnitedStates_1834_none_111122")</f>
        <v>NEW_UnitedStates_1834_none_111122</v>
      </c>
      <c r="S547" s="54" t="str">
        <f>IFERROR(__xludf.DUMMYFUNCTION("""COMPUTED_VALUE"""),"saletructiep_UnitedStates.GioiTA.LNTH.PTATT_PTATT_LD005")</f>
        <v>saletructiep_UnitedStates.GioiTA.LNTH.PTATT_PTATT_LD005</v>
      </c>
      <c r="T547" s="54"/>
      <c r="U547" s="56"/>
    </row>
    <row r="548">
      <c r="A548" s="66">
        <v>111122.0</v>
      </c>
      <c r="B548" s="54" t="s">
        <v>166</v>
      </c>
      <c r="C548" s="54" t="str">
        <f>IFERROR(__xludf.DUMMYFUNCTION("""COMPUTED_VALUE"""),"LD005")</f>
        <v>LD005</v>
      </c>
      <c r="D548" s="54" t="s">
        <v>42</v>
      </c>
      <c r="E548" s="73" t="s">
        <v>79</v>
      </c>
      <c r="F548" s="73" t="s">
        <v>129</v>
      </c>
      <c r="G548" s="54">
        <v>1834.0</v>
      </c>
      <c r="H548" s="54" t="s">
        <v>75</v>
      </c>
      <c r="I548" s="55" t="s">
        <v>978</v>
      </c>
      <c r="J548" s="73" t="s">
        <v>978</v>
      </c>
      <c r="K548" s="54" t="s">
        <v>61</v>
      </c>
      <c r="L548" s="73" t="s">
        <v>317</v>
      </c>
      <c r="M548" s="54" t="s">
        <v>78</v>
      </c>
      <c r="N548" s="73" t="s">
        <v>79</v>
      </c>
      <c r="O548" s="54" t="s">
        <v>224</v>
      </c>
      <c r="P548" s="54" t="s">
        <v>110</v>
      </c>
      <c r="Q548" s="54" t="str">
        <f>IFERROR(__xludf.DUMMYFUNCTION("""COMPUTED_VALUE"""),"Australia.GioiTA.LNTH.PTATT_XuBen.5018_MES_HuyNV_111122")</f>
        <v>Australia.GioiTA.LNTH.PTATT_XuBen.5018_MES_HuyNV_111122</v>
      </c>
      <c r="R548" s="54" t="str">
        <f>IFERROR(__xludf.DUMMYFUNCTION("""COMPUTED_VALUE"""),"NEW_Australia_1834_none_111122")</f>
        <v>NEW_Australia_1834_none_111122</v>
      </c>
      <c r="S548" s="54" t="str">
        <f>IFERROR(__xludf.DUMMYFUNCTION("""COMPUTED_VALUE"""),"saletructiep_Australia.GioiTA.LNTH.PTATT_PTATT_LD005")</f>
        <v>saletructiep_Australia.GioiTA.LNTH.PTATT_PTATT_LD005</v>
      </c>
      <c r="T548" s="54"/>
      <c r="U548" s="56"/>
    </row>
    <row r="549">
      <c r="A549" s="66">
        <v>111122.0</v>
      </c>
      <c r="B549" s="54" t="s">
        <v>166</v>
      </c>
      <c r="C549" s="54" t="str">
        <f>IFERROR(__xludf.DUMMYFUNCTION("""COMPUTED_VALUE"""),"LD005")</f>
        <v>LD005</v>
      </c>
      <c r="D549" s="54" t="s">
        <v>42</v>
      </c>
      <c r="E549" s="73" t="s">
        <v>79</v>
      </c>
      <c r="F549" s="55" t="s">
        <v>674</v>
      </c>
      <c r="G549" s="54">
        <v>1834.0</v>
      </c>
      <c r="H549" s="54" t="s">
        <v>75</v>
      </c>
      <c r="I549" s="55" t="s">
        <v>979</v>
      </c>
      <c r="J549" s="73" t="s">
        <v>979</v>
      </c>
      <c r="K549" s="54" t="s">
        <v>61</v>
      </c>
      <c r="L549" s="73" t="s">
        <v>317</v>
      </c>
      <c r="M549" s="54" t="s">
        <v>78</v>
      </c>
      <c r="N549" s="73" t="s">
        <v>79</v>
      </c>
      <c r="O549" s="54" t="s">
        <v>224</v>
      </c>
      <c r="P549" s="54" t="s">
        <v>110</v>
      </c>
      <c r="Q549" s="54" t="str">
        <f>IFERROR(__xludf.DUMMYFUNCTION("""COMPUTED_VALUE"""),"Europe.GioiTA.LNTH.PTATT_XuBen.5018_MES_HuyNV_111122")</f>
        <v>Europe.GioiTA.LNTH.PTATT_XuBen.5018_MES_HuyNV_111122</v>
      </c>
      <c r="R549" s="54" t="str">
        <f>IFERROR(__xludf.DUMMYFUNCTION("""COMPUTED_VALUE"""),"NEW_Europe_1834_none_111122")</f>
        <v>NEW_Europe_1834_none_111122</v>
      </c>
      <c r="S549" s="54" t="str">
        <f>IFERROR(__xludf.DUMMYFUNCTION("""COMPUTED_VALUE"""),"saletructiep_Europe.GioiTA.LNTH.PTATT_PTATT_LD005")</f>
        <v>saletructiep_Europe.GioiTA.LNTH.PTATT_PTATT_LD005</v>
      </c>
      <c r="T549" s="54"/>
      <c r="U549" s="56"/>
    </row>
    <row r="550">
      <c r="A550" s="66">
        <v>181122.0</v>
      </c>
      <c r="B550" s="54" t="s">
        <v>166</v>
      </c>
      <c r="C550" s="54" t="str">
        <f>IFERROR(__xludf.DUMMYFUNCTION("""COMPUTED_VALUE"""),"LD005")</f>
        <v>LD005</v>
      </c>
      <c r="D550" s="54" t="s">
        <v>42</v>
      </c>
      <c r="E550" s="73" t="s">
        <v>79</v>
      </c>
      <c r="F550" s="94" t="s">
        <v>133</v>
      </c>
      <c r="G550" s="54">
        <v>1834.0</v>
      </c>
      <c r="H550" s="54" t="s">
        <v>75</v>
      </c>
      <c r="I550" s="60" t="s">
        <v>980</v>
      </c>
      <c r="J550" s="73" t="s">
        <v>981</v>
      </c>
      <c r="K550" s="54" t="s">
        <v>61</v>
      </c>
      <c r="L550" s="73" t="s">
        <v>317</v>
      </c>
      <c r="M550" s="54" t="s">
        <v>78</v>
      </c>
      <c r="N550" s="73" t="s">
        <v>79</v>
      </c>
      <c r="O550" s="54" t="s">
        <v>224</v>
      </c>
      <c r="P550" s="54" t="s">
        <v>110</v>
      </c>
      <c r="Q550" s="54" t="str">
        <f>IFERROR(__xludf.DUMMYFUNCTION("""COMPUTED_VALUE"""),"Japan.NMG.GT.Camket.LNTH.PTATT_XuBen.5018_MES_HuyNV_181122")</f>
        <v>Japan.NMG.GT.Camket.LNTH.PTATT_XuBen.5018_MES_HuyNV_181122</v>
      </c>
      <c r="R550" s="54" t="str">
        <f>IFERROR(__xludf.DUMMYFUNCTION("""COMPUTED_VALUE"""),"NEW_Japan_1834_none_181122")</f>
        <v>NEW_Japan_1834_none_181122</v>
      </c>
      <c r="S550" s="54" t="str">
        <f>IFERROR(__xludf.DUMMYFUNCTION("""COMPUTED_VALUE"""),"saletructiep_Japan.NMG.GT.Camket.LNTH.PTATT_PTATT_LD005")</f>
        <v>saletructiep_Japan.NMG.GT.Camket.LNTH.PTATT_PTATT_LD005</v>
      </c>
      <c r="T550" s="54"/>
      <c r="U550" s="56"/>
    </row>
    <row r="551">
      <c r="A551" s="66">
        <v>181122.0</v>
      </c>
      <c r="B551" s="54" t="s">
        <v>166</v>
      </c>
      <c r="C551" s="54" t="str">
        <f>IFERROR(__xludf.DUMMYFUNCTION("""COMPUTED_VALUE"""),"LD005")</f>
        <v>LD005</v>
      </c>
      <c r="D551" s="54" t="s">
        <v>42</v>
      </c>
      <c r="E551" s="73" t="s">
        <v>79</v>
      </c>
      <c r="F551" s="73" t="s">
        <v>625</v>
      </c>
      <c r="G551" s="54">
        <v>1834.0</v>
      </c>
      <c r="H551" s="54" t="s">
        <v>75</v>
      </c>
      <c r="I551" s="60" t="s">
        <v>982</v>
      </c>
      <c r="J551" s="73" t="s">
        <v>983</v>
      </c>
      <c r="K551" s="54" t="s">
        <v>61</v>
      </c>
      <c r="L551" s="73" t="s">
        <v>317</v>
      </c>
      <c r="M551" s="54" t="s">
        <v>78</v>
      </c>
      <c r="N551" s="73" t="s">
        <v>79</v>
      </c>
      <c r="O551" s="54" t="s">
        <v>224</v>
      </c>
      <c r="P551" s="54" t="s">
        <v>110</v>
      </c>
      <c r="Q551" s="54" t="str">
        <f>IFERROR(__xludf.DUMMYFUNCTION("""COMPUTED_VALUE"""),"KoreaSouth.NMG.GT.Camket.LNTH.PTATT_XuBen.5018_MES_HuyNV_181122")</f>
        <v>KoreaSouth.NMG.GT.Camket.LNTH.PTATT_XuBen.5018_MES_HuyNV_181122</v>
      </c>
      <c r="R551" s="54" t="str">
        <f>IFERROR(__xludf.DUMMYFUNCTION("""COMPUTED_VALUE"""),"NEW_KoreaSouth_1834_none_181122")</f>
        <v>NEW_KoreaSouth_1834_none_181122</v>
      </c>
      <c r="S551" s="54" t="str">
        <f>IFERROR(__xludf.DUMMYFUNCTION("""COMPUTED_VALUE"""),"saletructiep_KoreaSouth.NMG.GT.Camket.LNTH.PTATT_PTATT_LD005")</f>
        <v>saletructiep_KoreaSouth.NMG.GT.Camket.LNTH.PTATT_PTATT_LD005</v>
      </c>
      <c r="T551" s="54"/>
      <c r="U551" s="56"/>
    </row>
    <row r="552">
      <c r="A552" s="66">
        <v>181122.0</v>
      </c>
      <c r="B552" s="54" t="s">
        <v>166</v>
      </c>
      <c r="C552" s="54" t="str">
        <f>IFERROR(__xludf.DUMMYFUNCTION("""COMPUTED_VALUE"""),"LD005")</f>
        <v>LD005</v>
      </c>
      <c r="D552" s="54" t="s">
        <v>42</v>
      </c>
      <c r="E552" s="73" t="s">
        <v>79</v>
      </c>
      <c r="F552" s="55" t="s">
        <v>107</v>
      </c>
      <c r="G552" s="54">
        <v>1834.0</v>
      </c>
      <c r="H552" s="54" t="s">
        <v>75</v>
      </c>
      <c r="I552" s="60" t="s">
        <v>984</v>
      </c>
      <c r="J552" s="73" t="s">
        <v>985</v>
      </c>
      <c r="K552" s="54" t="s">
        <v>61</v>
      </c>
      <c r="L552" s="73" t="s">
        <v>317</v>
      </c>
      <c r="M552" s="54" t="s">
        <v>78</v>
      </c>
      <c r="N552" s="73" t="s">
        <v>79</v>
      </c>
      <c r="O552" s="54" t="s">
        <v>224</v>
      </c>
      <c r="P552" s="54" t="s">
        <v>110</v>
      </c>
      <c r="Q552" s="54" t="str">
        <f>IFERROR(__xludf.DUMMYFUNCTION("""COMPUTED_VALUE"""),"UnitedStates.NMG.GT.Camket.LNTH.PTATT_XuBen.5018_MES_HuyNV_181122")</f>
        <v>UnitedStates.NMG.GT.Camket.LNTH.PTATT_XuBen.5018_MES_HuyNV_181122</v>
      </c>
      <c r="R552" s="54" t="str">
        <f>IFERROR(__xludf.DUMMYFUNCTION("""COMPUTED_VALUE"""),"NEW_UnitedStates_1834_none_181122")</f>
        <v>NEW_UnitedStates_1834_none_181122</v>
      </c>
      <c r="S552" s="54" t="str">
        <f>IFERROR(__xludf.DUMMYFUNCTION("""COMPUTED_VALUE"""),"saletructiep_UnitedStates.NMG.GT.Camket.LNTH.PTATT_PTATT_LD005")</f>
        <v>saletructiep_UnitedStates.NMG.GT.Camket.LNTH.PTATT_PTATT_LD005</v>
      </c>
      <c r="T552" s="54"/>
      <c r="U552" s="56"/>
    </row>
    <row r="553">
      <c r="A553" s="66">
        <v>181122.0</v>
      </c>
      <c r="B553" s="54" t="s">
        <v>166</v>
      </c>
      <c r="C553" s="54" t="str">
        <f>IFERROR(__xludf.DUMMYFUNCTION("""COMPUTED_VALUE"""),"LD005")</f>
        <v>LD005</v>
      </c>
      <c r="D553" s="54" t="s">
        <v>42</v>
      </c>
      <c r="E553" s="73" t="s">
        <v>79</v>
      </c>
      <c r="F553" s="73" t="s">
        <v>129</v>
      </c>
      <c r="G553" s="54">
        <v>1834.0</v>
      </c>
      <c r="H553" s="54" t="s">
        <v>75</v>
      </c>
      <c r="I553" s="60" t="s">
        <v>986</v>
      </c>
      <c r="J553" s="73" t="s">
        <v>987</v>
      </c>
      <c r="K553" s="54" t="s">
        <v>61</v>
      </c>
      <c r="L553" s="73" t="s">
        <v>317</v>
      </c>
      <c r="M553" s="54" t="s">
        <v>78</v>
      </c>
      <c r="N553" s="73" t="s">
        <v>79</v>
      </c>
      <c r="O553" s="54" t="s">
        <v>224</v>
      </c>
      <c r="P553" s="54" t="s">
        <v>110</v>
      </c>
      <c r="Q553" s="54" t="str">
        <f>IFERROR(__xludf.DUMMYFUNCTION("""COMPUTED_VALUE"""),"Australia.NMG.GT.Camket.LNTH.PTATT_XuBen.5018_MES_HuyNV_181122")</f>
        <v>Australia.NMG.GT.Camket.LNTH.PTATT_XuBen.5018_MES_HuyNV_181122</v>
      </c>
      <c r="R553" s="54" t="str">
        <f>IFERROR(__xludf.DUMMYFUNCTION("""COMPUTED_VALUE"""),"NEW_Australia_1834_none_181122")</f>
        <v>NEW_Australia_1834_none_181122</v>
      </c>
      <c r="S553" s="54" t="str">
        <f>IFERROR(__xludf.DUMMYFUNCTION("""COMPUTED_VALUE"""),"saletructiep_Australia.NMG.GT.Camket.LNTH.PTATT_PTATT_LD005")</f>
        <v>saletructiep_Australia.NMG.GT.Camket.LNTH.PTATT_PTATT_LD005</v>
      </c>
      <c r="T553" s="54"/>
      <c r="U553" s="56"/>
    </row>
    <row r="554">
      <c r="A554" s="66">
        <v>181122.0</v>
      </c>
      <c r="B554" s="54" t="s">
        <v>166</v>
      </c>
      <c r="C554" s="54" t="str">
        <f>IFERROR(__xludf.DUMMYFUNCTION("""COMPUTED_VALUE"""),"LD005")</f>
        <v>LD005</v>
      </c>
      <c r="D554" s="54" t="s">
        <v>42</v>
      </c>
      <c r="E554" s="73" t="s">
        <v>79</v>
      </c>
      <c r="F554" s="55" t="s">
        <v>674</v>
      </c>
      <c r="G554" s="54">
        <v>1834.0</v>
      </c>
      <c r="H554" s="54" t="s">
        <v>75</v>
      </c>
      <c r="I554" s="60" t="s">
        <v>988</v>
      </c>
      <c r="J554" s="73" t="s">
        <v>989</v>
      </c>
      <c r="K554" s="54" t="s">
        <v>61</v>
      </c>
      <c r="L554" s="73" t="s">
        <v>317</v>
      </c>
      <c r="M554" s="54" t="s">
        <v>78</v>
      </c>
      <c r="N554" s="73" t="s">
        <v>79</v>
      </c>
      <c r="O554" s="54" t="s">
        <v>224</v>
      </c>
      <c r="P554" s="54" t="s">
        <v>110</v>
      </c>
      <c r="Q554" s="54" t="str">
        <f>IFERROR(__xludf.DUMMYFUNCTION("""COMPUTED_VALUE"""),"Europe.NMG.GT.Camket.LNTH.PTATT_XuBen.5018_MES_HuyNV_181122")</f>
        <v>Europe.NMG.GT.Camket.LNTH.PTATT_XuBen.5018_MES_HuyNV_181122</v>
      </c>
      <c r="R554" s="54" t="str">
        <f>IFERROR(__xludf.DUMMYFUNCTION("""COMPUTED_VALUE"""),"NEW_Europe_1834_none_181122")</f>
        <v>NEW_Europe_1834_none_181122</v>
      </c>
      <c r="S554" s="54" t="str">
        <f>IFERROR(__xludf.DUMMYFUNCTION("""COMPUTED_VALUE"""),"saletructiep_Europe.NMG.GT.Camket.LNTH.PTATT_PTATT_LD005")</f>
        <v>saletructiep_Europe.NMG.GT.Camket.LNTH.PTATT_PTATT_LD005</v>
      </c>
      <c r="T554" s="54"/>
      <c r="U554" s="56"/>
    </row>
    <row r="555">
      <c r="A555" s="66">
        <v>211122.0</v>
      </c>
      <c r="B555" s="54" t="s">
        <v>166</v>
      </c>
      <c r="C555" s="54" t="str">
        <f>IFERROR(__xludf.DUMMYFUNCTION("""COMPUTED_VALUE"""),"LD005")</f>
        <v>LD005</v>
      </c>
      <c r="D555" s="54" t="s">
        <v>42</v>
      </c>
      <c r="E555" s="73" t="s">
        <v>79</v>
      </c>
      <c r="F555" s="94" t="s">
        <v>133</v>
      </c>
      <c r="G555" s="54">
        <v>1834.0</v>
      </c>
      <c r="H555" s="54" t="s">
        <v>75</v>
      </c>
      <c r="I555" s="55" t="s">
        <v>990</v>
      </c>
      <c r="J555" s="73" t="s">
        <v>990</v>
      </c>
      <c r="K555" s="54" t="s">
        <v>61</v>
      </c>
      <c r="L555" s="73" t="s">
        <v>317</v>
      </c>
      <c r="M555" s="54" t="s">
        <v>78</v>
      </c>
      <c r="N555" s="73" t="s">
        <v>79</v>
      </c>
      <c r="O555" s="54" t="s">
        <v>224</v>
      </c>
      <c r="P555" s="54" t="s">
        <v>110</v>
      </c>
      <c r="Q555" s="54" t="str">
        <f>IFERROR(__xludf.DUMMYFUNCTION("""COMPUTED_VALUE"""),"Japan.TutinGT.LNTH.PTATT_XuBen.5018_MES_HuyNV_211122")</f>
        <v>Japan.TutinGT.LNTH.PTATT_XuBen.5018_MES_HuyNV_211122</v>
      </c>
      <c r="R555" s="54" t="str">
        <f>IFERROR(__xludf.DUMMYFUNCTION("""COMPUTED_VALUE"""),"NEW_Japan_1834_none_211122")</f>
        <v>NEW_Japan_1834_none_211122</v>
      </c>
      <c r="S555" s="54" t="str">
        <f>IFERROR(__xludf.DUMMYFUNCTION("""COMPUTED_VALUE"""),"saletructiep_Japan.TutinGT.LNTH.PTATT_PTATT_LD005")</f>
        <v>saletructiep_Japan.TutinGT.LNTH.PTATT_PTATT_LD005</v>
      </c>
      <c r="T555" s="54"/>
      <c r="U555" s="56"/>
    </row>
    <row r="556">
      <c r="A556" s="66">
        <v>211122.0</v>
      </c>
      <c r="B556" s="54" t="s">
        <v>166</v>
      </c>
      <c r="C556" s="54" t="str">
        <f>IFERROR(__xludf.DUMMYFUNCTION("""COMPUTED_VALUE"""),"LD005")</f>
        <v>LD005</v>
      </c>
      <c r="D556" s="54" t="s">
        <v>42</v>
      </c>
      <c r="E556" s="73" t="s">
        <v>79</v>
      </c>
      <c r="F556" s="73" t="s">
        <v>625</v>
      </c>
      <c r="G556" s="54">
        <v>1834.0</v>
      </c>
      <c r="H556" s="54" t="s">
        <v>75</v>
      </c>
      <c r="I556" s="55" t="s">
        <v>991</v>
      </c>
      <c r="J556" s="73" t="s">
        <v>991</v>
      </c>
      <c r="K556" s="54" t="s">
        <v>61</v>
      </c>
      <c r="L556" s="73" t="s">
        <v>317</v>
      </c>
      <c r="M556" s="54" t="s">
        <v>78</v>
      </c>
      <c r="N556" s="73" t="s">
        <v>79</v>
      </c>
      <c r="O556" s="54" t="s">
        <v>224</v>
      </c>
      <c r="P556" s="54" t="s">
        <v>110</v>
      </c>
      <c r="Q556" s="54" t="str">
        <f>IFERROR(__xludf.DUMMYFUNCTION("""COMPUTED_VALUE"""),"KoreaSouth.TutinGT.LNTH.PTATT_XuBen.5018_MES_HuyNV_211122")</f>
        <v>KoreaSouth.TutinGT.LNTH.PTATT_XuBen.5018_MES_HuyNV_211122</v>
      </c>
      <c r="R556" s="54" t="str">
        <f>IFERROR(__xludf.DUMMYFUNCTION("""COMPUTED_VALUE"""),"NEW_KoreaSouth_1834_none_211122")</f>
        <v>NEW_KoreaSouth_1834_none_211122</v>
      </c>
      <c r="S556" s="54" t="str">
        <f>IFERROR(__xludf.DUMMYFUNCTION("""COMPUTED_VALUE"""),"saletructiep_KoreaSouth.TutinGT.LNTH.PTATT_PTATT_LD005")</f>
        <v>saletructiep_KoreaSouth.TutinGT.LNTH.PTATT_PTATT_LD005</v>
      </c>
      <c r="T556" s="54"/>
      <c r="U556" s="56"/>
    </row>
    <row r="557">
      <c r="A557" s="66">
        <v>211122.0</v>
      </c>
      <c r="B557" s="54" t="s">
        <v>166</v>
      </c>
      <c r="C557" s="54" t="str">
        <f>IFERROR(__xludf.DUMMYFUNCTION("""COMPUTED_VALUE"""),"LD005")</f>
        <v>LD005</v>
      </c>
      <c r="D557" s="54" t="s">
        <v>42</v>
      </c>
      <c r="E557" s="73" t="s">
        <v>79</v>
      </c>
      <c r="F557" s="55" t="s">
        <v>107</v>
      </c>
      <c r="G557" s="54">
        <v>1834.0</v>
      </c>
      <c r="H557" s="54" t="s">
        <v>75</v>
      </c>
      <c r="I557" s="55" t="s">
        <v>992</v>
      </c>
      <c r="J557" s="73" t="s">
        <v>992</v>
      </c>
      <c r="K557" s="54" t="s">
        <v>61</v>
      </c>
      <c r="L557" s="73" t="s">
        <v>317</v>
      </c>
      <c r="M557" s="54" t="s">
        <v>78</v>
      </c>
      <c r="N557" s="73" t="s">
        <v>79</v>
      </c>
      <c r="O557" s="54" t="s">
        <v>224</v>
      </c>
      <c r="P557" s="54" t="s">
        <v>110</v>
      </c>
      <c r="Q557" s="54" t="str">
        <f>IFERROR(__xludf.DUMMYFUNCTION("""COMPUTED_VALUE"""),"UnitedStates.TutinGT.LNTH.PTATT_XuBen.5018_MES_HuyNV_211122")</f>
        <v>UnitedStates.TutinGT.LNTH.PTATT_XuBen.5018_MES_HuyNV_211122</v>
      </c>
      <c r="R557" s="54" t="str">
        <f>IFERROR(__xludf.DUMMYFUNCTION("""COMPUTED_VALUE"""),"NEW_UnitedStates_1834_none_211122")</f>
        <v>NEW_UnitedStates_1834_none_211122</v>
      </c>
      <c r="S557" s="54" t="str">
        <f>IFERROR(__xludf.DUMMYFUNCTION("""COMPUTED_VALUE"""),"saletructiep_UnitedStates.TutinGT.LNTH.PTATT_PTATT_LD005")</f>
        <v>saletructiep_UnitedStates.TutinGT.LNTH.PTATT_PTATT_LD005</v>
      </c>
      <c r="T557" s="54"/>
      <c r="U557" s="56"/>
    </row>
    <row r="558">
      <c r="A558" s="66">
        <v>211122.0</v>
      </c>
      <c r="B558" s="54" t="s">
        <v>166</v>
      </c>
      <c r="C558" s="54" t="str">
        <f>IFERROR(__xludf.DUMMYFUNCTION("""COMPUTED_VALUE"""),"LD005")</f>
        <v>LD005</v>
      </c>
      <c r="D558" s="54" t="s">
        <v>42</v>
      </c>
      <c r="E558" s="73" t="s">
        <v>79</v>
      </c>
      <c r="F558" s="73" t="s">
        <v>129</v>
      </c>
      <c r="G558" s="54">
        <v>1834.0</v>
      </c>
      <c r="H558" s="54" t="s">
        <v>75</v>
      </c>
      <c r="I558" s="55" t="s">
        <v>993</v>
      </c>
      <c r="J558" s="73" t="s">
        <v>993</v>
      </c>
      <c r="K558" s="54" t="s">
        <v>61</v>
      </c>
      <c r="L558" s="73" t="s">
        <v>317</v>
      </c>
      <c r="M558" s="54" t="s">
        <v>78</v>
      </c>
      <c r="N558" s="73" t="s">
        <v>79</v>
      </c>
      <c r="O558" s="54" t="s">
        <v>224</v>
      </c>
      <c r="P558" s="54" t="s">
        <v>110</v>
      </c>
      <c r="Q558" s="54" t="str">
        <f>IFERROR(__xludf.DUMMYFUNCTION("""COMPUTED_VALUE"""),"Australia.TutinGT.LNTH.PTATT_XuBen.5018_MES_HuyNV_211122")</f>
        <v>Australia.TutinGT.LNTH.PTATT_XuBen.5018_MES_HuyNV_211122</v>
      </c>
      <c r="R558" s="54" t="str">
        <f>IFERROR(__xludf.DUMMYFUNCTION("""COMPUTED_VALUE"""),"NEW_Australia_1834_none_211122")</f>
        <v>NEW_Australia_1834_none_211122</v>
      </c>
      <c r="S558" s="54" t="str">
        <f>IFERROR(__xludf.DUMMYFUNCTION("""COMPUTED_VALUE"""),"saletructiep_Australia.TutinGT.LNTH.PTATT_PTATT_LD005")</f>
        <v>saletructiep_Australia.TutinGT.LNTH.PTATT_PTATT_LD005</v>
      </c>
      <c r="T558" s="54"/>
      <c r="U558" s="56"/>
    </row>
    <row r="559">
      <c r="A559" s="66">
        <v>211122.0</v>
      </c>
      <c r="B559" s="54" t="s">
        <v>166</v>
      </c>
      <c r="C559" s="54" t="str">
        <f>IFERROR(__xludf.DUMMYFUNCTION("""COMPUTED_VALUE"""),"LD005")</f>
        <v>LD005</v>
      </c>
      <c r="D559" s="54" t="s">
        <v>42</v>
      </c>
      <c r="E559" s="73" t="s">
        <v>79</v>
      </c>
      <c r="F559" s="55" t="s">
        <v>674</v>
      </c>
      <c r="G559" s="54">
        <v>1834.0</v>
      </c>
      <c r="H559" s="54" t="s">
        <v>75</v>
      </c>
      <c r="I559" s="55" t="s">
        <v>994</v>
      </c>
      <c r="J559" s="73" t="s">
        <v>994</v>
      </c>
      <c r="K559" s="54" t="s">
        <v>61</v>
      </c>
      <c r="L559" s="73" t="s">
        <v>317</v>
      </c>
      <c r="M559" s="54" t="s">
        <v>78</v>
      </c>
      <c r="N559" s="73" t="s">
        <v>79</v>
      </c>
      <c r="O559" s="54" t="s">
        <v>224</v>
      </c>
      <c r="P559" s="54" t="s">
        <v>110</v>
      </c>
      <c r="Q559" s="54" t="str">
        <f>IFERROR(__xludf.DUMMYFUNCTION("""COMPUTED_VALUE"""),"Europe.TutinGT.LNTH.PTATT_XuBen.5018_MES_HuyNV_211122")</f>
        <v>Europe.TutinGT.LNTH.PTATT_XuBen.5018_MES_HuyNV_211122</v>
      </c>
      <c r="R559" s="54" t="str">
        <f>IFERROR(__xludf.DUMMYFUNCTION("""COMPUTED_VALUE"""),"NEW_Europe_1834_none_211122")</f>
        <v>NEW_Europe_1834_none_211122</v>
      </c>
      <c r="S559" s="54" t="str">
        <f>IFERROR(__xludf.DUMMYFUNCTION("""COMPUTED_VALUE"""),"saletructiep_Europe.TutinGT.LNTH.PTATT_PTATT_LD005")</f>
        <v>saletructiep_Europe.TutinGT.LNTH.PTATT_PTATT_LD005</v>
      </c>
      <c r="T559" s="54"/>
      <c r="U559" s="56"/>
    </row>
    <row r="560">
      <c r="A560" s="66">
        <v>211122.0</v>
      </c>
      <c r="B560" s="54" t="s">
        <v>166</v>
      </c>
      <c r="C560" s="54" t="str">
        <f>IFERROR(__xludf.DUMMYFUNCTION("""COMPUTED_VALUE"""),"LD005")</f>
        <v>LD005</v>
      </c>
      <c r="D560" s="54" t="s">
        <v>42</v>
      </c>
      <c r="E560" s="73" t="s">
        <v>79</v>
      </c>
      <c r="F560" s="94" t="s">
        <v>133</v>
      </c>
      <c r="G560" s="54">
        <v>1834.0</v>
      </c>
      <c r="H560" s="54" t="s">
        <v>75</v>
      </c>
      <c r="I560" s="60" t="s">
        <v>995</v>
      </c>
      <c r="J560" s="73" t="s">
        <v>996</v>
      </c>
      <c r="K560" s="54" t="s">
        <v>61</v>
      </c>
      <c r="L560" s="73" t="s">
        <v>317</v>
      </c>
      <c r="M560" s="54" t="s">
        <v>78</v>
      </c>
      <c r="N560" s="73" t="s">
        <v>79</v>
      </c>
      <c r="O560" s="54" t="s">
        <v>224</v>
      </c>
      <c r="P560" s="54" t="s">
        <v>110</v>
      </c>
      <c r="Q560" s="54" t="str">
        <f>IFERROR(__xludf.DUMMYFUNCTION("""COMPUTED_VALUE"""),"Japan.Anhtext.GT.LNTH.PTATT_XuBen.5018_MES_HuyNV_211122")</f>
        <v>Japan.Anhtext.GT.LNTH.PTATT_XuBen.5018_MES_HuyNV_211122</v>
      </c>
      <c r="R560" s="54" t="str">
        <f>IFERROR(__xludf.DUMMYFUNCTION("""COMPUTED_VALUE"""),"NEW_Japan_1834_none_211122")</f>
        <v>NEW_Japan_1834_none_211122</v>
      </c>
      <c r="S560" s="54" t="str">
        <f>IFERROR(__xludf.DUMMYFUNCTION("""COMPUTED_VALUE"""),"saletructiep_Japan.Anhtext.GT.LNTH.PTATT_PTATT_LD005")</f>
        <v>saletructiep_Japan.Anhtext.GT.LNTH.PTATT_PTATT_LD005</v>
      </c>
      <c r="T560" s="54"/>
      <c r="U560" s="56"/>
    </row>
    <row r="561">
      <c r="A561" s="66">
        <v>211122.0</v>
      </c>
      <c r="B561" s="54" t="s">
        <v>166</v>
      </c>
      <c r="C561" s="54" t="str">
        <f>IFERROR(__xludf.DUMMYFUNCTION("""COMPUTED_VALUE"""),"LD005")</f>
        <v>LD005</v>
      </c>
      <c r="D561" s="54" t="s">
        <v>42</v>
      </c>
      <c r="E561" s="73" t="s">
        <v>79</v>
      </c>
      <c r="F561" s="73" t="s">
        <v>625</v>
      </c>
      <c r="G561" s="54">
        <v>1834.0</v>
      </c>
      <c r="H561" s="54" t="s">
        <v>75</v>
      </c>
      <c r="I561" s="60" t="s">
        <v>997</v>
      </c>
      <c r="J561" s="73" t="s">
        <v>998</v>
      </c>
      <c r="K561" s="54" t="s">
        <v>61</v>
      </c>
      <c r="L561" s="73" t="s">
        <v>317</v>
      </c>
      <c r="M561" s="54" t="s">
        <v>78</v>
      </c>
      <c r="N561" s="73" t="s">
        <v>79</v>
      </c>
      <c r="O561" s="54" t="s">
        <v>224</v>
      </c>
      <c r="P561" s="54" t="s">
        <v>110</v>
      </c>
      <c r="Q561" s="54" t="str">
        <f>IFERROR(__xludf.DUMMYFUNCTION("""COMPUTED_VALUE"""),"KoreaSouth.Anhtext.GT.LNTH.PTATT_XuBen.5018_MES_HuyNV_211122")</f>
        <v>KoreaSouth.Anhtext.GT.LNTH.PTATT_XuBen.5018_MES_HuyNV_211122</v>
      </c>
      <c r="R561" s="54" t="str">
        <f>IFERROR(__xludf.DUMMYFUNCTION("""COMPUTED_VALUE"""),"NEW_KoreaSouth_1834_none_211122")</f>
        <v>NEW_KoreaSouth_1834_none_211122</v>
      </c>
      <c r="S561" s="54" t="str">
        <f>IFERROR(__xludf.DUMMYFUNCTION("""COMPUTED_VALUE"""),"saletructiep_KoreaSouth.Anhtext.GT.LNTH.PTATT_PTATT_LD005")</f>
        <v>saletructiep_KoreaSouth.Anhtext.GT.LNTH.PTATT_PTATT_LD005</v>
      </c>
      <c r="T561" s="54"/>
      <c r="U561" s="56"/>
    </row>
    <row r="562">
      <c r="A562" s="66">
        <v>211122.0</v>
      </c>
      <c r="B562" s="54" t="s">
        <v>166</v>
      </c>
      <c r="C562" s="54" t="str">
        <f>IFERROR(__xludf.DUMMYFUNCTION("""COMPUTED_VALUE"""),"LD005")</f>
        <v>LD005</v>
      </c>
      <c r="D562" s="54" t="s">
        <v>42</v>
      </c>
      <c r="E562" s="73" t="s">
        <v>79</v>
      </c>
      <c r="F562" s="55" t="s">
        <v>107</v>
      </c>
      <c r="G562" s="54">
        <v>1834.0</v>
      </c>
      <c r="H562" s="54" t="s">
        <v>75</v>
      </c>
      <c r="I562" s="60" t="s">
        <v>999</v>
      </c>
      <c r="J562" s="73" t="s">
        <v>1000</v>
      </c>
      <c r="K562" s="54" t="s">
        <v>61</v>
      </c>
      <c r="L562" s="73" t="s">
        <v>317</v>
      </c>
      <c r="M562" s="54" t="s">
        <v>78</v>
      </c>
      <c r="N562" s="73" t="s">
        <v>79</v>
      </c>
      <c r="O562" s="54" t="s">
        <v>224</v>
      </c>
      <c r="P562" s="54" t="s">
        <v>110</v>
      </c>
      <c r="Q562" s="54" t="str">
        <f>IFERROR(__xludf.DUMMYFUNCTION("""COMPUTED_VALUE"""),"UnitedStates.Anhtext.GT.LNTH.PTATT_XuBen.5018_MES_HuyNV_211122")</f>
        <v>UnitedStates.Anhtext.GT.LNTH.PTATT_XuBen.5018_MES_HuyNV_211122</v>
      </c>
      <c r="R562" s="54" t="str">
        <f>IFERROR(__xludf.DUMMYFUNCTION("""COMPUTED_VALUE"""),"NEW_UnitedStates_1834_none_211122")</f>
        <v>NEW_UnitedStates_1834_none_211122</v>
      </c>
      <c r="S562" s="54" t="str">
        <f>IFERROR(__xludf.DUMMYFUNCTION("""COMPUTED_VALUE"""),"saletructiep_UnitedStates.Anhtext.GT.LNTH.PTATT_PTATT_LD005")</f>
        <v>saletructiep_UnitedStates.Anhtext.GT.LNTH.PTATT_PTATT_LD005</v>
      </c>
      <c r="T562" s="54"/>
      <c r="U562" s="56"/>
    </row>
    <row r="563">
      <c r="A563" s="66">
        <v>211122.0</v>
      </c>
      <c r="B563" s="54" t="s">
        <v>166</v>
      </c>
      <c r="C563" s="54" t="str">
        <f>IFERROR(__xludf.DUMMYFUNCTION("""COMPUTED_VALUE"""),"LD005")</f>
        <v>LD005</v>
      </c>
      <c r="D563" s="54" t="s">
        <v>42</v>
      </c>
      <c r="E563" s="73" t="s">
        <v>79</v>
      </c>
      <c r="F563" s="73" t="s">
        <v>129</v>
      </c>
      <c r="G563" s="54">
        <v>1834.0</v>
      </c>
      <c r="H563" s="54" t="s">
        <v>75</v>
      </c>
      <c r="I563" s="60" t="s">
        <v>1001</v>
      </c>
      <c r="J563" s="73" t="s">
        <v>1002</v>
      </c>
      <c r="K563" s="54" t="s">
        <v>61</v>
      </c>
      <c r="L563" s="73" t="s">
        <v>317</v>
      </c>
      <c r="M563" s="54" t="s">
        <v>78</v>
      </c>
      <c r="N563" s="73" t="s">
        <v>79</v>
      </c>
      <c r="O563" s="54" t="s">
        <v>224</v>
      </c>
      <c r="P563" s="54" t="s">
        <v>110</v>
      </c>
      <c r="Q563" s="54" t="str">
        <f>IFERROR(__xludf.DUMMYFUNCTION("""COMPUTED_VALUE"""),"Australia.Anhtext.GT.LNTH.PTATT_XuBen.5018_MES_HuyNV_211122")</f>
        <v>Australia.Anhtext.GT.LNTH.PTATT_XuBen.5018_MES_HuyNV_211122</v>
      </c>
      <c r="R563" s="54" t="str">
        <f>IFERROR(__xludf.DUMMYFUNCTION("""COMPUTED_VALUE"""),"NEW_Australia_1834_none_211122")</f>
        <v>NEW_Australia_1834_none_211122</v>
      </c>
      <c r="S563" s="54" t="str">
        <f>IFERROR(__xludf.DUMMYFUNCTION("""COMPUTED_VALUE"""),"saletructiep_Australia.Anhtext.GT.LNTH.PTATT_PTATT_LD005")</f>
        <v>saletructiep_Australia.Anhtext.GT.LNTH.PTATT_PTATT_LD005</v>
      </c>
      <c r="T563" s="54"/>
      <c r="U563" s="56"/>
    </row>
    <row r="564">
      <c r="A564" s="66">
        <v>211122.0</v>
      </c>
      <c r="B564" s="54" t="s">
        <v>166</v>
      </c>
      <c r="C564" s="54" t="str">
        <f>IFERROR(__xludf.DUMMYFUNCTION("""COMPUTED_VALUE"""),"LD005")</f>
        <v>LD005</v>
      </c>
      <c r="D564" s="54" t="s">
        <v>42</v>
      </c>
      <c r="E564" s="73" t="s">
        <v>79</v>
      </c>
      <c r="F564" s="55" t="s">
        <v>674</v>
      </c>
      <c r="G564" s="54">
        <v>1834.0</v>
      </c>
      <c r="H564" s="54" t="s">
        <v>75</v>
      </c>
      <c r="I564" s="60" t="s">
        <v>1003</v>
      </c>
      <c r="J564" s="73" t="s">
        <v>1004</v>
      </c>
      <c r="K564" s="54" t="s">
        <v>61</v>
      </c>
      <c r="L564" s="73" t="s">
        <v>317</v>
      </c>
      <c r="M564" s="54" t="s">
        <v>78</v>
      </c>
      <c r="N564" s="73" t="s">
        <v>79</v>
      </c>
      <c r="O564" s="54" t="s">
        <v>224</v>
      </c>
      <c r="P564" s="54" t="s">
        <v>110</v>
      </c>
      <c r="Q564" s="54" t="str">
        <f>IFERROR(__xludf.DUMMYFUNCTION("""COMPUTED_VALUE"""),"Europe.Anhtext.GT.LNTH.PTATT_XuBen.5018_MES_HuyNV_211122")</f>
        <v>Europe.Anhtext.GT.LNTH.PTATT_XuBen.5018_MES_HuyNV_211122</v>
      </c>
      <c r="R564" s="54" t="str">
        <f>IFERROR(__xludf.DUMMYFUNCTION("""COMPUTED_VALUE"""),"NEW_Europe_1834_none_211122")</f>
        <v>NEW_Europe_1834_none_211122</v>
      </c>
      <c r="S564" s="54" t="str">
        <f>IFERROR(__xludf.DUMMYFUNCTION("""COMPUTED_VALUE"""),"saletructiep_Europe.Anhtext.GT.LNTH.PTATT_PTATT_LD005")</f>
        <v>saletructiep_Europe.Anhtext.GT.LNTH.PTATT_PTATT_LD005</v>
      </c>
      <c r="T564" s="54"/>
      <c r="U564" s="56"/>
    </row>
    <row r="565">
      <c r="A565" s="66">
        <v>301122.0</v>
      </c>
      <c r="B565" s="54" t="s">
        <v>166</v>
      </c>
      <c r="C565" s="54" t="str">
        <f>IFERROR(__xludf.DUMMYFUNCTION("""COMPUTED_VALUE"""),"LD005")</f>
        <v>LD005</v>
      </c>
      <c r="D565" s="54" t="s">
        <v>42</v>
      </c>
      <c r="E565" s="73" t="s">
        <v>79</v>
      </c>
      <c r="F565" s="94" t="s">
        <v>133</v>
      </c>
      <c r="G565" s="54">
        <v>1834.0</v>
      </c>
      <c r="H565" s="54" t="s">
        <v>75</v>
      </c>
      <c r="I565" s="55" t="s">
        <v>1005</v>
      </c>
      <c r="J565" s="55" t="s">
        <v>1005</v>
      </c>
      <c r="K565" s="54" t="s">
        <v>61</v>
      </c>
      <c r="L565" s="73" t="s">
        <v>317</v>
      </c>
      <c r="M565" s="54" t="s">
        <v>78</v>
      </c>
      <c r="N565" s="73" t="s">
        <v>79</v>
      </c>
      <c r="O565" s="54" t="s">
        <v>224</v>
      </c>
      <c r="P565" s="54" t="s">
        <v>110</v>
      </c>
      <c r="Q565" s="54" t="str">
        <f>IFERROR(__xludf.DUMMYFUNCTION("""COMPUTED_VALUE"""),"Japan.GTTA30.LNTH.PTATT_XuBen.5018_MES_HuyNV_301122")</f>
        <v>Japan.GTTA30.LNTH.PTATT_XuBen.5018_MES_HuyNV_301122</v>
      </c>
      <c r="R565" s="54" t="str">
        <f>IFERROR(__xludf.DUMMYFUNCTION("""COMPUTED_VALUE"""),"NEW_Japan_1834_none_301122")</f>
        <v>NEW_Japan_1834_none_301122</v>
      </c>
      <c r="S565" s="54" t="str">
        <f>IFERROR(__xludf.DUMMYFUNCTION("""COMPUTED_VALUE"""),"saletructiep_Japan.GTTA30.LNTH.PTATT_PTATT_LD005")</f>
        <v>saletructiep_Japan.GTTA30.LNTH.PTATT_PTATT_LD005</v>
      </c>
      <c r="T565" s="54"/>
      <c r="U565" s="56"/>
    </row>
    <row r="566">
      <c r="A566" s="66">
        <v>301122.0</v>
      </c>
      <c r="B566" s="54" t="s">
        <v>166</v>
      </c>
      <c r="C566" s="54" t="str">
        <f>IFERROR(__xludf.DUMMYFUNCTION("""COMPUTED_VALUE"""),"LD005")</f>
        <v>LD005</v>
      </c>
      <c r="D566" s="54" t="s">
        <v>42</v>
      </c>
      <c r="E566" s="73" t="s">
        <v>79</v>
      </c>
      <c r="F566" s="73" t="s">
        <v>625</v>
      </c>
      <c r="G566" s="54">
        <v>1834.0</v>
      </c>
      <c r="H566" s="54" t="s">
        <v>75</v>
      </c>
      <c r="I566" s="55" t="s">
        <v>1006</v>
      </c>
      <c r="J566" s="55" t="s">
        <v>1006</v>
      </c>
      <c r="K566" s="54" t="s">
        <v>61</v>
      </c>
      <c r="L566" s="73" t="s">
        <v>317</v>
      </c>
      <c r="M566" s="54" t="s">
        <v>78</v>
      </c>
      <c r="N566" s="73" t="s">
        <v>79</v>
      </c>
      <c r="O566" s="54" t="s">
        <v>224</v>
      </c>
      <c r="P566" s="54" t="s">
        <v>110</v>
      </c>
      <c r="Q566" s="54" t="str">
        <f>IFERROR(__xludf.DUMMYFUNCTION("""COMPUTED_VALUE"""),"KoreaSouth.GTTA30.LNTH.PTATT_XuBen.5018_MES_HuyNV_301122")</f>
        <v>KoreaSouth.GTTA30.LNTH.PTATT_XuBen.5018_MES_HuyNV_301122</v>
      </c>
      <c r="R566" s="54" t="str">
        <f>IFERROR(__xludf.DUMMYFUNCTION("""COMPUTED_VALUE"""),"NEW_KoreaSouth_1834_none_301122")</f>
        <v>NEW_KoreaSouth_1834_none_301122</v>
      </c>
      <c r="S566" s="54" t="str">
        <f>IFERROR(__xludf.DUMMYFUNCTION("""COMPUTED_VALUE"""),"saletructiep_KoreaSouth.GTTA30.LNTH.PTATT_PTATT_LD005")</f>
        <v>saletructiep_KoreaSouth.GTTA30.LNTH.PTATT_PTATT_LD005</v>
      </c>
      <c r="T566" s="54"/>
      <c r="U566" s="56"/>
    </row>
    <row r="567">
      <c r="A567" s="66">
        <v>301122.0</v>
      </c>
      <c r="B567" s="54" t="s">
        <v>166</v>
      </c>
      <c r="C567" s="54" t="str">
        <f>IFERROR(__xludf.DUMMYFUNCTION("""COMPUTED_VALUE"""),"LD005")</f>
        <v>LD005</v>
      </c>
      <c r="D567" s="54" t="s">
        <v>42</v>
      </c>
      <c r="E567" s="73" t="s">
        <v>79</v>
      </c>
      <c r="F567" s="55" t="s">
        <v>107</v>
      </c>
      <c r="G567" s="54">
        <v>1834.0</v>
      </c>
      <c r="H567" s="54" t="s">
        <v>75</v>
      </c>
      <c r="I567" s="55" t="s">
        <v>1007</v>
      </c>
      <c r="J567" s="55" t="s">
        <v>1007</v>
      </c>
      <c r="K567" s="54" t="s">
        <v>61</v>
      </c>
      <c r="L567" s="73" t="s">
        <v>317</v>
      </c>
      <c r="M567" s="54" t="s">
        <v>78</v>
      </c>
      <c r="N567" s="73" t="s">
        <v>79</v>
      </c>
      <c r="O567" s="54" t="s">
        <v>224</v>
      </c>
      <c r="P567" s="54" t="s">
        <v>110</v>
      </c>
      <c r="Q567" s="54" t="str">
        <f>IFERROR(__xludf.DUMMYFUNCTION("""COMPUTED_VALUE"""),"UnitedStates.GTTA30.LNTH.PTATT_XuBen.5018_MES_HuyNV_301122")</f>
        <v>UnitedStates.GTTA30.LNTH.PTATT_XuBen.5018_MES_HuyNV_301122</v>
      </c>
      <c r="R567" s="54" t="str">
        <f>IFERROR(__xludf.DUMMYFUNCTION("""COMPUTED_VALUE"""),"NEW_UnitedStates_1834_none_301122")</f>
        <v>NEW_UnitedStates_1834_none_301122</v>
      </c>
      <c r="S567" s="54" t="str">
        <f>IFERROR(__xludf.DUMMYFUNCTION("""COMPUTED_VALUE"""),"saletructiep_UnitedStates.GTTA30.LNTH.PTATT_PTATT_LD005")</f>
        <v>saletructiep_UnitedStates.GTTA30.LNTH.PTATT_PTATT_LD005</v>
      </c>
      <c r="T567" s="54"/>
      <c r="U567" s="56"/>
    </row>
    <row r="568">
      <c r="A568" s="66">
        <v>301122.0</v>
      </c>
      <c r="B568" s="54" t="s">
        <v>166</v>
      </c>
      <c r="C568" s="54" t="str">
        <f>IFERROR(__xludf.DUMMYFUNCTION("""COMPUTED_VALUE"""),"LD005")</f>
        <v>LD005</v>
      </c>
      <c r="D568" s="54" t="s">
        <v>42</v>
      </c>
      <c r="E568" s="73" t="s">
        <v>79</v>
      </c>
      <c r="F568" s="73" t="s">
        <v>129</v>
      </c>
      <c r="G568" s="54">
        <v>1834.0</v>
      </c>
      <c r="H568" s="54" t="s">
        <v>75</v>
      </c>
      <c r="I568" s="55" t="s">
        <v>1008</v>
      </c>
      <c r="J568" s="55" t="s">
        <v>1008</v>
      </c>
      <c r="K568" s="54" t="s">
        <v>61</v>
      </c>
      <c r="L568" s="73" t="s">
        <v>317</v>
      </c>
      <c r="M568" s="54" t="s">
        <v>78</v>
      </c>
      <c r="N568" s="73" t="s">
        <v>79</v>
      </c>
      <c r="O568" s="54" t="s">
        <v>224</v>
      </c>
      <c r="P568" s="54" t="s">
        <v>110</v>
      </c>
      <c r="Q568" s="54" t="str">
        <f>IFERROR(__xludf.DUMMYFUNCTION("""COMPUTED_VALUE"""),"Australia.GTTA30.LNTH.PTATT_XuBen.5018_MES_HuyNV_301122")</f>
        <v>Australia.GTTA30.LNTH.PTATT_XuBen.5018_MES_HuyNV_301122</v>
      </c>
      <c r="R568" s="54" t="str">
        <f>IFERROR(__xludf.DUMMYFUNCTION("""COMPUTED_VALUE"""),"NEW_Australia_1834_none_301122")</f>
        <v>NEW_Australia_1834_none_301122</v>
      </c>
      <c r="S568" s="54" t="str">
        <f>IFERROR(__xludf.DUMMYFUNCTION("""COMPUTED_VALUE"""),"saletructiep_Australia.GTTA30.LNTH.PTATT_PTATT_LD005")</f>
        <v>saletructiep_Australia.GTTA30.LNTH.PTATT_PTATT_LD005</v>
      </c>
      <c r="T568" s="54"/>
      <c r="U568" s="56"/>
    </row>
    <row r="569">
      <c r="A569" s="66">
        <v>301122.0</v>
      </c>
      <c r="B569" s="54" t="s">
        <v>166</v>
      </c>
      <c r="C569" s="54" t="str">
        <f>IFERROR(__xludf.DUMMYFUNCTION("""COMPUTED_VALUE"""),"LD005")</f>
        <v>LD005</v>
      </c>
      <c r="D569" s="54" t="s">
        <v>42</v>
      </c>
      <c r="E569" s="73" t="s">
        <v>79</v>
      </c>
      <c r="F569" s="55" t="s">
        <v>674</v>
      </c>
      <c r="G569" s="54">
        <v>1834.0</v>
      </c>
      <c r="H569" s="54" t="s">
        <v>75</v>
      </c>
      <c r="I569" s="55" t="s">
        <v>1009</v>
      </c>
      <c r="J569" s="55" t="s">
        <v>1009</v>
      </c>
      <c r="K569" s="54" t="s">
        <v>61</v>
      </c>
      <c r="L569" s="73" t="s">
        <v>317</v>
      </c>
      <c r="M569" s="54" t="s">
        <v>78</v>
      </c>
      <c r="N569" s="73" t="s">
        <v>79</v>
      </c>
      <c r="O569" s="54" t="s">
        <v>224</v>
      </c>
      <c r="P569" s="54" t="s">
        <v>110</v>
      </c>
      <c r="Q569" s="54" t="str">
        <f>IFERROR(__xludf.DUMMYFUNCTION("""COMPUTED_VALUE"""),"Europe.GTTA30.LNTH.PTATT_XuBen.5018_MES_HuyNV_301122")</f>
        <v>Europe.GTTA30.LNTH.PTATT_XuBen.5018_MES_HuyNV_301122</v>
      </c>
      <c r="R569" s="54" t="str">
        <f>IFERROR(__xludf.DUMMYFUNCTION("""COMPUTED_VALUE"""),"NEW_Europe_1834_none_301122")</f>
        <v>NEW_Europe_1834_none_301122</v>
      </c>
      <c r="S569" s="54" t="str">
        <f>IFERROR(__xludf.DUMMYFUNCTION("""COMPUTED_VALUE"""),"saletructiep_Europe.GTTA30.LNTH.PTATT_PTATT_LD005")</f>
        <v>saletructiep_Europe.GTTA30.LNTH.PTATT_PTATT_LD005</v>
      </c>
      <c r="T569" s="54"/>
      <c r="U569" s="56"/>
    </row>
    <row r="570">
      <c r="A570" s="66">
        <v>301122.0</v>
      </c>
      <c r="B570" s="54" t="s">
        <v>166</v>
      </c>
      <c r="C570" s="54" t="str">
        <f>IFERROR(__xludf.DUMMYFUNCTION("""COMPUTED_VALUE"""),"LD005")</f>
        <v>LD005</v>
      </c>
      <c r="D570" s="54" t="s">
        <v>42</v>
      </c>
      <c r="E570" s="73" t="s">
        <v>79</v>
      </c>
      <c r="F570" s="55" t="s">
        <v>182</v>
      </c>
      <c r="G570" s="54">
        <v>1834.0</v>
      </c>
      <c r="H570" s="54" t="s">
        <v>75</v>
      </c>
      <c r="I570" s="55" t="s">
        <v>1010</v>
      </c>
      <c r="J570" s="55" t="s">
        <v>1010</v>
      </c>
      <c r="K570" s="54" t="s">
        <v>61</v>
      </c>
      <c r="L570" s="73" t="s">
        <v>317</v>
      </c>
      <c r="M570" s="54" t="s">
        <v>78</v>
      </c>
      <c r="N570" s="73" t="s">
        <v>79</v>
      </c>
      <c r="O570" s="54" t="s">
        <v>224</v>
      </c>
      <c r="P570" s="54" t="s">
        <v>110</v>
      </c>
      <c r="Q570" s="54" t="str">
        <f>IFERROR(__xludf.DUMMYFUNCTION("""COMPUTED_VALUE"""),"Malaysia.GTTA30.LNTH.PTATT_XuBen.5018_MES_HuyNV_301122")</f>
        <v>Malaysia.GTTA30.LNTH.PTATT_XuBen.5018_MES_HuyNV_301122</v>
      </c>
      <c r="R570" s="54" t="str">
        <f>IFERROR(__xludf.DUMMYFUNCTION("""COMPUTED_VALUE"""),"NEW_Malaysia_1834_none_301122")</f>
        <v>NEW_Malaysia_1834_none_301122</v>
      </c>
      <c r="S570" s="54" t="str">
        <f>IFERROR(__xludf.DUMMYFUNCTION("""COMPUTED_VALUE"""),"saletructiep_Malaysia.GTTA30.LNTH.PTATT_PTATT_LD005")</f>
        <v>saletructiep_Malaysia.GTTA30.LNTH.PTATT_PTATT_LD005</v>
      </c>
      <c r="T570" s="54"/>
      <c r="U570" s="56"/>
    </row>
    <row r="571">
      <c r="A571" s="66">
        <v>301122.0</v>
      </c>
      <c r="B571" s="54" t="s">
        <v>166</v>
      </c>
      <c r="C571" s="54" t="str">
        <f>IFERROR(__xludf.DUMMYFUNCTION("""COMPUTED_VALUE"""),"LD005")</f>
        <v>LD005</v>
      </c>
      <c r="D571" s="54" t="s">
        <v>42</v>
      </c>
      <c r="E571" s="73" t="s">
        <v>79</v>
      </c>
      <c r="F571" s="94" t="s">
        <v>133</v>
      </c>
      <c r="G571" s="54">
        <v>1834.0</v>
      </c>
      <c r="H571" s="54" t="s">
        <v>75</v>
      </c>
      <c r="I571" s="55" t="s">
        <v>1011</v>
      </c>
      <c r="J571" s="55" t="s">
        <v>1011</v>
      </c>
      <c r="K571" s="54" t="s">
        <v>61</v>
      </c>
      <c r="L571" s="73" t="s">
        <v>317</v>
      </c>
      <c r="M571" s="54" t="s">
        <v>78</v>
      </c>
      <c r="N571" s="73" t="s">
        <v>79</v>
      </c>
      <c r="O571" s="54" t="s">
        <v>224</v>
      </c>
      <c r="P571" s="54" t="s">
        <v>110</v>
      </c>
      <c r="Q571" s="54" t="str">
        <f>IFERROR(__xludf.DUMMYFUNCTION("""COMPUTED_VALUE"""),"Japan.TeamGT.LNTH.PTATT_XuBen.5018_MES_HuyNV_301122")</f>
        <v>Japan.TeamGT.LNTH.PTATT_XuBen.5018_MES_HuyNV_301122</v>
      </c>
      <c r="R571" s="54" t="str">
        <f>IFERROR(__xludf.DUMMYFUNCTION("""COMPUTED_VALUE"""),"NEW_Japan_1834_none_301122")</f>
        <v>NEW_Japan_1834_none_301122</v>
      </c>
      <c r="S571" s="54" t="str">
        <f>IFERROR(__xludf.DUMMYFUNCTION("""COMPUTED_VALUE"""),"saletructiep_Japan.TeamGT.LNTH.PTATT_PTATT_LD005")</f>
        <v>saletructiep_Japan.TeamGT.LNTH.PTATT_PTATT_LD005</v>
      </c>
      <c r="T571" s="54"/>
      <c r="U571" s="56"/>
    </row>
    <row r="572">
      <c r="A572" s="66">
        <v>301122.0</v>
      </c>
      <c r="B572" s="54" t="s">
        <v>166</v>
      </c>
      <c r="C572" s="54" t="str">
        <f>IFERROR(__xludf.DUMMYFUNCTION("""COMPUTED_VALUE"""),"LD005")</f>
        <v>LD005</v>
      </c>
      <c r="D572" s="54" t="s">
        <v>42</v>
      </c>
      <c r="E572" s="73" t="s">
        <v>79</v>
      </c>
      <c r="F572" s="73" t="s">
        <v>625</v>
      </c>
      <c r="G572" s="54">
        <v>1834.0</v>
      </c>
      <c r="H572" s="54" t="s">
        <v>75</v>
      </c>
      <c r="I572" s="55" t="s">
        <v>1012</v>
      </c>
      <c r="J572" s="55" t="s">
        <v>1012</v>
      </c>
      <c r="K572" s="54" t="s">
        <v>61</v>
      </c>
      <c r="L572" s="73" t="s">
        <v>317</v>
      </c>
      <c r="M572" s="54" t="s">
        <v>78</v>
      </c>
      <c r="N572" s="73" t="s">
        <v>79</v>
      </c>
      <c r="O572" s="54" t="s">
        <v>224</v>
      </c>
      <c r="P572" s="54" t="s">
        <v>110</v>
      </c>
      <c r="Q572" s="54" t="str">
        <f>IFERROR(__xludf.DUMMYFUNCTION("""COMPUTED_VALUE"""),"KoreaSouth.TeamGT.LNTH.PTATT_XuBen.5018_MES_HuyNV_301122")</f>
        <v>KoreaSouth.TeamGT.LNTH.PTATT_XuBen.5018_MES_HuyNV_301122</v>
      </c>
      <c r="R572" s="54" t="str">
        <f>IFERROR(__xludf.DUMMYFUNCTION("""COMPUTED_VALUE"""),"NEW_KoreaSouth_1834_none_301122")</f>
        <v>NEW_KoreaSouth_1834_none_301122</v>
      </c>
      <c r="S572" s="54" t="str">
        <f>IFERROR(__xludf.DUMMYFUNCTION("""COMPUTED_VALUE"""),"saletructiep_KoreaSouth.TeamGT.LNTH.PTATT_PTATT_LD005")</f>
        <v>saletructiep_KoreaSouth.TeamGT.LNTH.PTATT_PTATT_LD005</v>
      </c>
      <c r="T572" s="54"/>
      <c r="U572" s="56"/>
    </row>
    <row r="573">
      <c r="A573" s="66">
        <v>301122.0</v>
      </c>
      <c r="B573" s="54" t="s">
        <v>166</v>
      </c>
      <c r="C573" s="54" t="str">
        <f>IFERROR(__xludf.DUMMYFUNCTION("""COMPUTED_VALUE"""),"LD005")</f>
        <v>LD005</v>
      </c>
      <c r="D573" s="54" t="s">
        <v>42</v>
      </c>
      <c r="E573" s="73" t="s">
        <v>79</v>
      </c>
      <c r="F573" s="55" t="s">
        <v>107</v>
      </c>
      <c r="G573" s="54">
        <v>1834.0</v>
      </c>
      <c r="H573" s="54" t="s">
        <v>75</v>
      </c>
      <c r="I573" s="55" t="s">
        <v>1013</v>
      </c>
      <c r="J573" s="55" t="s">
        <v>1013</v>
      </c>
      <c r="K573" s="54" t="s">
        <v>61</v>
      </c>
      <c r="L573" s="73" t="s">
        <v>317</v>
      </c>
      <c r="M573" s="54" t="s">
        <v>78</v>
      </c>
      <c r="N573" s="73" t="s">
        <v>79</v>
      </c>
      <c r="O573" s="54" t="s">
        <v>224</v>
      </c>
      <c r="P573" s="54" t="s">
        <v>110</v>
      </c>
      <c r="Q573" s="54" t="str">
        <f>IFERROR(__xludf.DUMMYFUNCTION("""COMPUTED_VALUE"""),"UnitedStates.TeamGT.LNTH.PTATT_XuBen.5018_MES_HuyNV_301122")</f>
        <v>UnitedStates.TeamGT.LNTH.PTATT_XuBen.5018_MES_HuyNV_301122</v>
      </c>
      <c r="R573" s="54" t="str">
        <f>IFERROR(__xludf.DUMMYFUNCTION("""COMPUTED_VALUE"""),"NEW_UnitedStates_1834_none_301122")</f>
        <v>NEW_UnitedStates_1834_none_301122</v>
      </c>
      <c r="S573" s="54" t="str">
        <f>IFERROR(__xludf.DUMMYFUNCTION("""COMPUTED_VALUE"""),"saletructiep_UnitedStates.TeamGT.LNTH.PTATT_PTATT_LD005")</f>
        <v>saletructiep_UnitedStates.TeamGT.LNTH.PTATT_PTATT_LD005</v>
      </c>
      <c r="T573" s="54"/>
      <c r="U573" s="56"/>
    </row>
    <row r="574">
      <c r="A574" s="66">
        <v>301122.0</v>
      </c>
      <c r="B574" s="54" t="s">
        <v>166</v>
      </c>
      <c r="C574" s="54" t="str">
        <f>IFERROR(__xludf.DUMMYFUNCTION("""COMPUTED_VALUE"""),"LD005")</f>
        <v>LD005</v>
      </c>
      <c r="D574" s="54" t="s">
        <v>42</v>
      </c>
      <c r="E574" s="73" t="s">
        <v>79</v>
      </c>
      <c r="F574" s="73" t="s">
        <v>129</v>
      </c>
      <c r="G574" s="54">
        <v>1834.0</v>
      </c>
      <c r="H574" s="54" t="s">
        <v>75</v>
      </c>
      <c r="I574" s="55" t="s">
        <v>1014</v>
      </c>
      <c r="J574" s="55" t="s">
        <v>1014</v>
      </c>
      <c r="K574" s="54" t="s">
        <v>61</v>
      </c>
      <c r="L574" s="73" t="s">
        <v>317</v>
      </c>
      <c r="M574" s="54" t="s">
        <v>78</v>
      </c>
      <c r="N574" s="73" t="s">
        <v>79</v>
      </c>
      <c r="O574" s="54" t="s">
        <v>224</v>
      </c>
      <c r="P574" s="54" t="s">
        <v>110</v>
      </c>
      <c r="Q574" s="54" t="str">
        <f>IFERROR(__xludf.DUMMYFUNCTION("""COMPUTED_VALUE"""),"Australia.TeamGT.LNTH.PTATT_XuBen.5018_MES_HuyNV_301122")</f>
        <v>Australia.TeamGT.LNTH.PTATT_XuBen.5018_MES_HuyNV_301122</v>
      </c>
      <c r="R574" s="54" t="str">
        <f>IFERROR(__xludf.DUMMYFUNCTION("""COMPUTED_VALUE"""),"NEW_Australia_1834_none_301122")</f>
        <v>NEW_Australia_1834_none_301122</v>
      </c>
      <c r="S574" s="54" t="str">
        <f>IFERROR(__xludf.DUMMYFUNCTION("""COMPUTED_VALUE"""),"saletructiep_Australia.TeamGT.LNTH.PTATT_PTATT_LD005")</f>
        <v>saletructiep_Australia.TeamGT.LNTH.PTATT_PTATT_LD005</v>
      </c>
      <c r="T574" s="54"/>
      <c r="U574" s="56"/>
    </row>
    <row r="575">
      <c r="A575" s="66">
        <v>301122.0</v>
      </c>
      <c r="B575" s="54" t="s">
        <v>166</v>
      </c>
      <c r="C575" s="54" t="str">
        <f>IFERROR(__xludf.DUMMYFUNCTION("""COMPUTED_VALUE"""),"LD005")</f>
        <v>LD005</v>
      </c>
      <c r="D575" s="54" t="s">
        <v>42</v>
      </c>
      <c r="E575" s="73" t="s">
        <v>79</v>
      </c>
      <c r="F575" s="55" t="s">
        <v>674</v>
      </c>
      <c r="G575" s="54">
        <v>1834.0</v>
      </c>
      <c r="H575" s="54" t="s">
        <v>75</v>
      </c>
      <c r="I575" s="55" t="s">
        <v>1015</v>
      </c>
      <c r="J575" s="55" t="s">
        <v>1015</v>
      </c>
      <c r="K575" s="54" t="s">
        <v>61</v>
      </c>
      <c r="L575" s="73" t="s">
        <v>317</v>
      </c>
      <c r="M575" s="54" t="s">
        <v>78</v>
      </c>
      <c r="N575" s="73" t="s">
        <v>79</v>
      </c>
      <c r="O575" s="54" t="s">
        <v>224</v>
      </c>
      <c r="P575" s="54" t="s">
        <v>110</v>
      </c>
      <c r="Q575" s="54" t="str">
        <f>IFERROR(__xludf.DUMMYFUNCTION("""COMPUTED_VALUE"""),"Europe.TeamGT.LNTH.PTATT_XuBen.5018_MES_HuyNV_301122")</f>
        <v>Europe.TeamGT.LNTH.PTATT_XuBen.5018_MES_HuyNV_301122</v>
      </c>
      <c r="R575" s="54" t="str">
        <f>IFERROR(__xludf.DUMMYFUNCTION("""COMPUTED_VALUE"""),"NEW_Europe_1834_none_301122")</f>
        <v>NEW_Europe_1834_none_301122</v>
      </c>
      <c r="S575" s="54" t="str">
        <f>IFERROR(__xludf.DUMMYFUNCTION("""COMPUTED_VALUE"""),"saletructiep_Europe.TeamGT.LNTH.PTATT_PTATT_LD005")</f>
        <v>saletructiep_Europe.TeamGT.LNTH.PTATT_PTATT_LD005</v>
      </c>
      <c r="T575" s="54"/>
      <c r="U575" s="56"/>
    </row>
    <row r="576">
      <c r="A576" s="66">
        <v>301122.0</v>
      </c>
      <c r="B576" s="54" t="s">
        <v>166</v>
      </c>
      <c r="C576" s="54" t="str">
        <f>IFERROR(__xludf.DUMMYFUNCTION("""COMPUTED_VALUE"""),"LD005")</f>
        <v>LD005</v>
      </c>
      <c r="D576" s="54" t="s">
        <v>42</v>
      </c>
      <c r="E576" s="73" t="s">
        <v>79</v>
      </c>
      <c r="F576" s="55" t="s">
        <v>182</v>
      </c>
      <c r="G576" s="54">
        <v>1834.0</v>
      </c>
      <c r="H576" s="54" t="s">
        <v>75</v>
      </c>
      <c r="I576" s="55" t="s">
        <v>1016</v>
      </c>
      <c r="J576" s="55" t="s">
        <v>1016</v>
      </c>
      <c r="K576" s="54" t="s">
        <v>61</v>
      </c>
      <c r="L576" s="73" t="s">
        <v>317</v>
      </c>
      <c r="M576" s="54" t="s">
        <v>78</v>
      </c>
      <c r="N576" s="73" t="s">
        <v>79</v>
      </c>
      <c r="O576" s="54" t="s">
        <v>224</v>
      </c>
      <c r="P576" s="54" t="s">
        <v>110</v>
      </c>
      <c r="Q576" s="54" t="str">
        <f>IFERROR(__xludf.DUMMYFUNCTION("""COMPUTED_VALUE"""),"Malaysia.TeamGT.LNTH.PTATT_XuBen.5018_MES_HuyNV_301122")</f>
        <v>Malaysia.TeamGT.LNTH.PTATT_XuBen.5018_MES_HuyNV_301122</v>
      </c>
      <c r="R576" s="54" t="str">
        <f>IFERROR(__xludf.DUMMYFUNCTION("""COMPUTED_VALUE"""),"NEW_Malaysia_1834_none_301122")</f>
        <v>NEW_Malaysia_1834_none_301122</v>
      </c>
      <c r="S576" s="54" t="str">
        <f>IFERROR(__xludf.DUMMYFUNCTION("""COMPUTED_VALUE"""),"saletructiep_Malaysia.TeamGT.LNTH.PTATT_PTATT_LD005")</f>
        <v>saletructiep_Malaysia.TeamGT.LNTH.PTATT_PTATT_LD005</v>
      </c>
      <c r="T576" s="54"/>
      <c r="U576" s="56"/>
    </row>
    <row r="577">
      <c r="A577" s="64" t="s">
        <v>1017</v>
      </c>
      <c r="B577" s="54" t="s">
        <v>166</v>
      </c>
      <c r="C577" s="54" t="str">
        <f>IFERROR(__xludf.DUMMYFUNCTION("""COMPUTED_VALUE"""),"LD005")</f>
        <v>LD005</v>
      </c>
      <c r="D577" s="54" t="s">
        <v>42</v>
      </c>
      <c r="E577" s="73" t="s">
        <v>79</v>
      </c>
      <c r="F577" s="94" t="s">
        <v>133</v>
      </c>
      <c r="G577" s="54">
        <v>1834.0</v>
      </c>
      <c r="H577" s="54" t="s">
        <v>75</v>
      </c>
      <c r="I577" s="55" t="s">
        <v>1018</v>
      </c>
      <c r="J577" s="73" t="s">
        <v>1018</v>
      </c>
      <c r="K577" s="54" t="s">
        <v>61</v>
      </c>
      <c r="L577" s="73" t="s">
        <v>317</v>
      </c>
      <c r="M577" s="54" t="s">
        <v>78</v>
      </c>
      <c r="N577" s="73" t="s">
        <v>79</v>
      </c>
      <c r="O577" s="54" t="s">
        <v>224</v>
      </c>
      <c r="P577" s="54" t="s">
        <v>110</v>
      </c>
      <c r="Q577" s="54" t="str">
        <f>IFERROR(__xludf.DUMMYFUNCTION("""COMPUTED_VALUE"""),"Japan.KHTA.NMG.LNTH.PTATT_XuBen.5018_MES_HuyNV_011222")</f>
        <v>Japan.KHTA.NMG.LNTH.PTATT_XuBen.5018_MES_HuyNV_011222</v>
      </c>
      <c r="R577" s="54" t="str">
        <f>IFERROR(__xludf.DUMMYFUNCTION("""COMPUTED_VALUE"""),"NEW_Japan_1834_none_011222")</f>
        <v>NEW_Japan_1834_none_011222</v>
      </c>
      <c r="S577" s="54" t="str">
        <f>IFERROR(__xludf.DUMMYFUNCTION("""COMPUTED_VALUE"""),"saletructiep_Japan.KHTA.NMG.LNTH.PTATT_PTATT_LD005")</f>
        <v>saletructiep_Japan.KHTA.NMG.LNTH.PTATT_PTATT_LD005</v>
      </c>
      <c r="T577" s="54"/>
      <c r="U577" s="56"/>
    </row>
    <row r="578">
      <c r="A578" s="64" t="s">
        <v>1017</v>
      </c>
      <c r="B578" s="54" t="s">
        <v>166</v>
      </c>
      <c r="C578" s="54" t="str">
        <f>IFERROR(__xludf.DUMMYFUNCTION("""COMPUTED_VALUE"""),"LD005")</f>
        <v>LD005</v>
      </c>
      <c r="D578" s="54" t="s">
        <v>42</v>
      </c>
      <c r="E578" s="73" t="s">
        <v>79</v>
      </c>
      <c r="F578" s="73" t="s">
        <v>625</v>
      </c>
      <c r="G578" s="54">
        <v>1834.0</v>
      </c>
      <c r="H578" s="54" t="s">
        <v>75</v>
      </c>
      <c r="I578" s="55" t="s">
        <v>1019</v>
      </c>
      <c r="J578" s="73" t="s">
        <v>1019</v>
      </c>
      <c r="K578" s="54" t="s">
        <v>61</v>
      </c>
      <c r="L578" s="73" t="s">
        <v>317</v>
      </c>
      <c r="M578" s="54" t="s">
        <v>78</v>
      </c>
      <c r="N578" s="73" t="s">
        <v>79</v>
      </c>
      <c r="O578" s="54" t="s">
        <v>224</v>
      </c>
      <c r="P578" s="54" t="s">
        <v>110</v>
      </c>
      <c r="Q578" s="54" t="str">
        <f>IFERROR(__xludf.DUMMYFUNCTION("""COMPUTED_VALUE"""),"KoreaSouth.KHTA.NMG.LNTH.PTATT_XuBen.5018_MES_HuyNV_011222")</f>
        <v>KoreaSouth.KHTA.NMG.LNTH.PTATT_XuBen.5018_MES_HuyNV_011222</v>
      </c>
      <c r="R578" s="54" t="str">
        <f>IFERROR(__xludf.DUMMYFUNCTION("""COMPUTED_VALUE"""),"NEW_KoreaSouth_1834_none_011222")</f>
        <v>NEW_KoreaSouth_1834_none_011222</v>
      </c>
      <c r="S578" s="54" t="str">
        <f>IFERROR(__xludf.DUMMYFUNCTION("""COMPUTED_VALUE"""),"saletructiep_KoreaSouth.KHTA.NMG.LNTH.PTATT_PTATT_LD005")</f>
        <v>saletructiep_KoreaSouth.KHTA.NMG.LNTH.PTATT_PTATT_LD005</v>
      </c>
      <c r="T578" s="54"/>
      <c r="U578" s="56"/>
    </row>
    <row r="579">
      <c r="A579" s="64" t="s">
        <v>1017</v>
      </c>
      <c r="B579" s="54" t="s">
        <v>166</v>
      </c>
      <c r="C579" s="54" t="str">
        <f>IFERROR(__xludf.DUMMYFUNCTION("""COMPUTED_VALUE"""),"LD005")</f>
        <v>LD005</v>
      </c>
      <c r="D579" s="54" t="s">
        <v>42</v>
      </c>
      <c r="E579" s="73" t="s">
        <v>79</v>
      </c>
      <c r="F579" s="55" t="s">
        <v>107</v>
      </c>
      <c r="G579" s="54">
        <v>1834.0</v>
      </c>
      <c r="H579" s="54" t="s">
        <v>75</v>
      </c>
      <c r="I579" s="55" t="s">
        <v>1020</v>
      </c>
      <c r="J579" s="73" t="s">
        <v>1020</v>
      </c>
      <c r="K579" s="54" t="s">
        <v>61</v>
      </c>
      <c r="L579" s="73" t="s">
        <v>317</v>
      </c>
      <c r="M579" s="54" t="s">
        <v>78</v>
      </c>
      <c r="N579" s="73" t="s">
        <v>79</v>
      </c>
      <c r="O579" s="54" t="s">
        <v>224</v>
      </c>
      <c r="P579" s="54" t="s">
        <v>110</v>
      </c>
      <c r="Q579" s="54" t="str">
        <f>IFERROR(__xludf.DUMMYFUNCTION("""COMPUTED_VALUE"""),"UnitedStates.KHTA.NMG.LNTH.PTATT_XuBen.5018_MES_HuyNV_011222")</f>
        <v>UnitedStates.KHTA.NMG.LNTH.PTATT_XuBen.5018_MES_HuyNV_011222</v>
      </c>
      <c r="R579" s="54" t="str">
        <f>IFERROR(__xludf.DUMMYFUNCTION("""COMPUTED_VALUE"""),"NEW_UnitedStates_1834_none_011222")</f>
        <v>NEW_UnitedStates_1834_none_011222</v>
      </c>
      <c r="S579" s="54" t="str">
        <f>IFERROR(__xludf.DUMMYFUNCTION("""COMPUTED_VALUE"""),"saletructiep_UnitedStates.KHTA.NMG.LNTH.PTATT_PTATT_LD005")</f>
        <v>saletructiep_UnitedStates.KHTA.NMG.LNTH.PTATT_PTATT_LD005</v>
      </c>
      <c r="T579" s="54"/>
      <c r="U579" s="56"/>
    </row>
    <row r="580">
      <c r="A580" s="64" t="s">
        <v>1017</v>
      </c>
      <c r="B580" s="54" t="s">
        <v>166</v>
      </c>
      <c r="C580" s="54" t="str">
        <f>IFERROR(__xludf.DUMMYFUNCTION("""COMPUTED_VALUE"""),"LD005")</f>
        <v>LD005</v>
      </c>
      <c r="D580" s="54" t="s">
        <v>42</v>
      </c>
      <c r="E580" s="73" t="s">
        <v>79</v>
      </c>
      <c r="F580" s="73" t="s">
        <v>129</v>
      </c>
      <c r="G580" s="54">
        <v>1834.0</v>
      </c>
      <c r="H580" s="54" t="s">
        <v>75</v>
      </c>
      <c r="I580" s="55" t="s">
        <v>1021</v>
      </c>
      <c r="J580" s="73" t="s">
        <v>1021</v>
      </c>
      <c r="K580" s="54" t="s">
        <v>61</v>
      </c>
      <c r="L580" s="73" t="s">
        <v>317</v>
      </c>
      <c r="M580" s="54" t="s">
        <v>78</v>
      </c>
      <c r="N580" s="73" t="s">
        <v>79</v>
      </c>
      <c r="O580" s="54" t="s">
        <v>224</v>
      </c>
      <c r="P580" s="54" t="s">
        <v>110</v>
      </c>
      <c r="Q580" s="54" t="str">
        <f>IFERROR(__xludf.DUMMYFUNCTION("""COMPUTED_VALUE"""),"Australia.KHTA.NMG.LNTH.PTATT_XuBen.5018_MES_HuyNV_011222")</f>
        <v>Australia.KHTA.NMG.LNTH.PTATT_XuBen.5018_MES_HuyNV_011222</v>
      </c>
      <c r="R580" s="54" t="str">
        <f>IFERROR(__xludf.DUMMYFUNCTION("""COMPUTED_VALUE"""),"NEW_Australia_1834_none_011222")</f>
        <v>NEW_Australia_1834_none_011222</v>
      </c>
      <c r="S580" s="54" t="str">
        <f>IFERROR(__xludf.DUMMYFUNCTION("""COMPUTED_VALUE"""),"saletructiep_Australia.KHTA.NMG.LNTH.PTATT_PTATT_LD005")</f>
        <v>saletructiep_Australia.KHTA.NMG.LNTH.PTATT_PTATT_LD005</v>
      </c>
      <c r="T580" s="54"/>
      <c r="U580" s="56"/>
    </row>
    <row r="581">
      <c r="A581" s="64" t="s">
        <v>1017</v>
      </c>
      <c r="B581" s="54" t="s">
        <v>166</v>
      </c>
      <c r="C581" s="54" t="str">
        <f>IFERROR(__xludf.DUMMYFUNCTION("""COMPUTED_VALUE"""),"LD005")</f>
        <v>LD005</v>
      </c>
      <c r="D581" s="54" t="s">
        <v>42</v>
      </c>
      <c r="E581" s="73" t="s">
        <v>79</v>
      </c>
      <c r="F581" s="55" t="s">
        <v>674</v>
      </c>
      <c r="G581" s="54">
        <v>1834.0</v>
      </c>
      <c r="H581" s="54" t="s">
        <v>75</v>
      </c>
      <c r="I581" s="55" t="s">
        <v>1022</v>
      </c>
      <c r="J581" s="73" t="s">
        <v>1022</v>
      </c>
      <c r="K581" s="54" t="s">
        <v>61</v>
      </c>
      <c r="L581" s="73" t="s">
        <v>317</v>
      </c>
      <c r="M581" s="54" t="s">
        <v>78</v>
      </c>
      <c r="N581" s="73" t="s">
        <v>79</v>
      </c>
      <c r="O581" s="54" t="s">
        <v>224</v>
      </c>
      <c r="P581" s="54" t="s">
        <v>110</v>
      </c>
      <c r="Q581" s="54" t="str">
        <f>IFERROR(__xludf.DUMMYFUNCTION("""COMPUTED_VALUE"""),"Europe.KHTA.NMG.LNTH.PTATT_XuBen.5018_MES_HuyNV_011222")</f>
        <v>Europe.KHTA.NMG.LNTH.PTATT_XuBen.5018_MES_HuyNV_011222</v>
      </c>
      <c r="R581" s="54" t="str">
        <f>IFERROR(__xludf.DUMMYFUNCTION("""COMPUTED_VALUE"""),"NEW_Europe_1834_none_011222")</f>
        <v>NEW_Europe_1834_none_011222</v>
      </c>
      <c r="S581" s="54" t="str">
        <f>IFERROR(__xludf.DUMMYFUNCTION("""COMPUTED_VALUE"""),"saletructiep_Europe.KHTA.NMG.LNTH.PTATT_PTATT_LD005")</f>
        <v>saletructiep_Europe.KHTA.NMG.LNTH.PTATT_PTATT_LD005</v>
      </c>
      <c r="T581" s="54"/>
      <c r="U581" s="56"/>
    </row>
    <row r="582">
      <c r="A582" s="64" t="s">
        <v>1017</v>
      </c>
      <c r="B582" s="54" t="s">
        <v>166</v>
      </c>
      <c r="C582" s="54" t="str">
        <f>IFERROR(__xludf.DUMMYFUNCTION("""COMPUTED_VALUE"""),"LD005")</f>
        <v>LD005</v>
      </c>
      <c r="D582" s="54" t="s">
        <v>42</v>
      </c>
      <c r="E582" s="73" t="s">
        <v>79</v>
      </c>
      <c r="F582" s="55" t="s">
        <v>182</v>
      </c>
      <c r="G582" s="54">
        <v>1834.0</v>
      </c>
      <c r="H582" s="54" t="s">
        <v>75</v>
      </c>
      <c r="I582" s="55" t="s">
        <v>1023</v>
      </c>
      <c r="J582" s="73" t="s">
        <v>1023</v>
      </c>
      <c r="K582" s="54" t="s">
        <v>61</v>
      </c>
      <c r="L582" s="73" t="s">
        <v>317</v>
      </c>
      <c r="M582" s="54" t="s">
        <v>78</v>
      </c>
      <c r="N582" s="73" t="s">
        <v>79</v>
      </c>
      <c r="O582" s="54" t="s">
        <v>224</v>
      </c>
      <c r="P582" s="54" t="s">
        <v>110</v>
      </c>
      <c r="Q582" s="54" t="str">
        <f>IFERROR(__xludf.DUMMYFUNCTION("""COMPUTED_VALUE"""),"Malaysia.KHTA.NMG.LNTH.PTATT_XuBen.5018_MES_HuyNV_011222")</f>
        <v>Malaysia.KHTA.NMG.LNTH.PTATT_XuBen.5018_MES_HuyNV_011222</v>
      </c>
      <c r="R582" s="54" t="str">
        <f>IFERROR(__xludf.DUMMYFUNCTION("""COMPUTED_VALUE"""),"NEW_Malaysia_1834_none_011222")</f>
        <v>NEW_Malaysia_1834_none_011222</v>
      </c>
      <c r="S582" s="54" t="str">
        <f>IFERROR(__xludf.DUMMYFUNCTION("""COMPUTED_VALUE"""),"saletructiep_Malaysia.KHTA.NMG.LNTH.PTATT_PTATT_LD005")</f>
        <v>saletructiep_Malaysia.KHTA.NMG.LNTH.PTATT_PTATT_LD005</v>
      </c>
      <c r="T582" s="54"/>
      <c r="U582" s="56"/>
    </row>
    <row r="583">
      <c r="A583" s="64" t="s">
        <v>1024</v>
      </c>
      <c r="B583" s="54" t="s">
        <v>166</v>
      </c>
      <c r="C583" s="54" t="str">
        <f>IFERROR(__xludf.DUMMYFUNCTION("""COMPUTED_VALUE"""),"LD005")</f>
        <v>LD005</v>
      </c>
      <c r="D583" s="54" t="s">
        <v>42</v>
      </c>
      <c r="E583" s="73" t="s">
        <v>79</v>
      </c>
      <c r="F583" s="94" t="s">
        <v>133</v>
      </c>
      <c r="G583" s="54">
        <v>1834.0</v>
      </c>
      <c r="H583" s="54" t="s">
        <v>75</v>
      </c>
      <c r="I583" s="55" t="s">
        <v>1025</v>
      </c>
      <c r="J583" s="55" t="s">
        <v>1025</v>
      </c>
      <c r="K583" s="54" t="s">
        <v>61</v>
      </c>
      <c r="L583" s="73" t="s">
        <v>317</v>
      </c>
      <c r="M583" s="54" t="s">
        <v>78</v>
      </c>
      <c r="N583" s="73" t="s">
        <v>79</v>
      </c>
      <c r="O583" s="54" t="s">
        <v>224</v>
      </c>
      <c r="P583" s="54" t="s">
        <v>110</v>
      </c>
      <c r="Q583" s="54" t="str">
        <f>IFERROR(__xludf.DUMMYFUNCTION("""COMPUTED_VALUE"""),"Japan.LKG.thang12.LNTH.PTATT_XuBen.5018_MES_HuyNV_031222")</f>
        <v>Japan.LKG.thang12.LNTH.PTATT_XuBen.5018_MES_HuyNV_031222</v>
      </c>
      <c r="R583" s="54" t="str">
        <f>IFERROR(__xludf.DUMMYFUNCTION("""COMPUTED_VALUE"""),"NEW_Japan_1834_none_031222")</f>
        <v>NEW_Japan_1834_none_031222</v>
      </c>
      <c r="S583" s="54" t="str">
        <f>IFERROR(__xludf.DUMMYFUNCTION("""COMPUTED_VALUE"""),"saletructiep_Japan.LKG.thang12.LNTH.PTATT_PTATT_LD005")</f>
        <v>saletructiep_Japan.LKG.thang12.LNTH.PTATT_PTATT_LD005</v>
      </c>
      <c r="T583" s="54"/>
      <c r="U583" s="56"/>
    </row>
    <row r="584">
      <c r="A584" s="64" t="s">
        <v>1024</v>
      </c>
      <c r="B584" s="54" t="s">
        <v>166</v>
      </c>
      <c r="C584" s="54" t="str">
        <f>IFERROR(__xludf.DUMMYFUNCTION("""COMPUTED_VALUE"""),"LD005")</f>
        <v>LD005</v>
      </c>
      <c r="D584" s="54" t="s">
        <v>42</v>
      </c>
      <c r="E584" s="73" t="s">
        <v>79</v>
      </c>
      <c r="F584" s="73" t="s">
        <v>625</v>
      </c>
      <c r="G584" s="54">
        <v>1834.0</v>
      </c>
      <c r="H584" s="54" t="s">
        <v>75</v>
      </c>
      <c r="I584" s="55" t="s">
        <v>1026</v>
      </c>
      <c r="J584" s="55" t="s">
        <v>1026</v>
      </c>
      <c r="K584" s="54" t="s">
        <v>61</v>
      </c>
      <c r="L584" s="73" t="s">
        <v>317</v>
      </c>
      <c r="M584" s="54" t="s">
        <v>78</v>
      </c>
      <c r="N584" s="73" t="s">
        <v>79</v>
      </c>
      <c r="O584" s="54" t="s">
        <v>224</v>
      </c>
      <c r="P584" s="54" t="s">
        <v>110</v>
      </c>
      <c r="Q584" s="54" t="str">
        <f>IFERROR(__xludf.DUMMYFUNCTION("""COMPUTED_VALUE"""),"KoreaSouth.LKG.thang12.LNTH.PTATT_XuBen.5018_MES_HuyNV_031222")</f>
        <v>KoreaSouth.LKG.thang12.LNTH.PTATT_XuBen.5018_MES_HuyNV_031222</v>
      </c>
      <c r="R584" s="54" t="str">
        <f>IFERROR(__xludf.DUMMYFUNCTION("""COMPUTED_VALUE"""),"NEW_KoreaSouth_1834_none_031222")</f>
        <v>NEW_KoreaSouth_1834_none_031222</v>
      </c>
      <c r="S584" s="54" t="str">
        <f>IFERROR(__xludf.DUMMYFUNCTION("""COMPUTED_VALUE"""),"saletructiep_KoreaSouth.LKG.thang12.LNTH.PTATT_PTATT_LD005")</f>
        <v>saletructiep_KoreaSouth.LKG.thang12.LNTH.PTATT_PTATT_LD005</v>
      </c>
      <c r="T584" s="54"/>
      <c r="U584" s="56"/>
    </row>
    <row r="585">
      <c r="A585" s="64" t="s">
        <v>1024</v>
      </c>
      <c r="B585" s="54" t="s">
        <v>166</v>
      </c>
      <c r="C585" s="54" t="str">
        <f>IFERROR(__xludf.DUMMYFUNCTION("""COMPUTED_VALUE"""),"LD005")</f>
        <v>LD005</v>
      </c>
      <c r="D585" s="54" t="s">
        <v>42</v>
      </c>
      <c r="E585" s="73" t="s">
        <v>79</v>
      </c>
      <c r="F585" s="55" t="s">
        <v>107</v>
      </c>
      <c r="G585" s="54">
        <v>1834.0</v>
      </c>
      <c r="H585" s="54" t="s">
        <v>75</v>
      </c>
      <c r="I585" s="55" t="s">
        <v>1027</v>
      </c>
      <c r="J585" s="55" t="s">
        <v>1027</v>
      </c>
      <c r="K585" s="54" t="s">
        <v>61</v>
      </c>
      <c r="L585" s="73" t="s">
        <v>317</v>
      </c>
      <c r="M585" s="54" t="s">
        <v>78</v>
      </c>
      <c r="N585" s="73" t="s">
        <v>79</v>
      </c>
      <c r="O585" s="54" t="s">
        <v>224</v>
      </c>
      <c r="P585" s="54" t="s">
        <v>110</v>
      </c>
      <c r="Q585" s="54" t="str">
        <f>IFERROR(__xludf.DUMMYFUNCTION("""COMPUTED_VALUE"""),"UnitedStates.LKG.thang12.LNTH.PTATT_XuBen.5018_MES_HuyNV_031222")</f>
        <v>UnitedStates.LKG.thang12.LNTH.PTATT_XuBen.5018_MES_HuyNV_031222</v>
      </c>
      <c r="R585" s="54" t="str">
        <f>IFERROR(__xludf.DUMMYFUNCTION("""COMPUTED_VALUE"""),"NEW_UnitedStates_1834_none_031222")</f>
        <v>NEW_UnitedStates_1834_none_031222</v>
      </c>
      <c r="S585" s="54" t="str">
        <f>IFERROR(__xludf.DUMMYFUNCTION("""COMPUTED_VALUE"""),"saletructiep_UnitedStates.LKG.thang12.LNTH.PTATT_PTATT_LD005")</f>
        <v>saletructiep_UnitedStates.LKG.thang12.LNTH.PTATT_PTATT_LD005</v>
      </c>
      <c r="T585" s="54"/>
      <c r="U585" s="56"/>
    </row>
    <row r="586">
      <c r="A586" s="64" t="s">
        <v>1024</v>
      </c>
      <c r="B586" s="54" t="s">
        <v>166</v>
      </c>
      <c r="C586" s="54" t="str">
        <f>IFERROR(__xludf.DUMMYFUNCTION("""COMPUTED_VALUE"""),"LD005")</f>
        <v>LD005</v>
      </c>
      <c r="D586" s="54" t="s">
        <v>42</v>
      </c>
      <c r="E586" s="73" t="s">
        <v>79</v>
      </c>
      <c r="F586" s="73" t="s">
        <v>129</v>
      </c>
      <c r="G586" s="54">
        <v>1834.0</v>
      </c>
      <c r="H586" s="54" t="s">
        <v>75</v>
      </c>
      <c r="I586" s="55" t="s">
        <v>1028</v>
      </c>
      <c r="J586" s="55" t="s">
        <v>1028</v>
      </c>
      <c r="K586" s="54" t="s">
        <v>61</v>
      </c>
      <c r="L586" s="73" t="s">
        <v>317</v>
      </c>
      <c r="M586" s="54" t="s">
        <v>78</v>
      </c>
      <c r="N586" s="73" t="s">
        <v>79</v>
      </c>
      <c r="O586" s="54" t="s">
        <v>224</v>
      </c>
      <c r="P586" s="54" t="s">
        <v>110</v>
      </c>
      <c r="Q586" s="54" t="str">
        <f>IFERROR(__xludf.DUMMYFUNCTION("""COMPUTED_VALUE"""),"Australia.LKG.thang12.LNTH.PTATT_XuBen.5018_MES_HuyNV_031222")</f>
        <v>Australia.LKG.thang12.LNTH.PTATT_XuBen.5018_MES_HuyNV_031222</v>
      </c>
      <c r="R586" s="54" t="str">
        <f>IFERROR(__xludf.DUMMYFUNCTION("""COMPUTED_VALUE"""),"NEW_Australia_1834_none_031222")</f>
        <v>NEW_Australia_1834_none_031222</v>
      </c>
      <c r="S586" s="54" t="str">
        <f>IFERROR(__xludf.DUMMYFUNCTION("""COMPUTED_VALUE"""),"saletructiep_Australia.LKG.thang12.LNTH.PTATT_PTATT_LD005")</f>
        <v>saletructiep_Australia.LKG.thang12.LNTH.PTATT_PTATT_LD005</v>
      </c>
      <c r="T586" s="54"/>
      <c r="U586" s="56"/>
    </row>
    <row r="587">
      <c r="A587" s="64" t="s">
        <v>1024</v>
      </c>
      <c r="B587" s="54" t="s">
        <v>166</v>
      </c>
      <c r="C587" s="54" t="str">
        <f>IFERROR(__xludf.DUMMYFUNCTION("""COMPUTED_VALUE"""),"LD005")</f>
        <v>LD005</v>
      </c>
      <c r="D587" s="54" t="s">
        <v>42</v>
      </c>
      <c r="E587" s="73" t="s">
        <v>79</v>
      </c>
      <c r="F587" s="55" t="s">
        <v>674</v>
      </c>
      <c r="G587" s="54">
        <v>1834.0</v>
      </c>
      <c r="H587" s="54" t="s">
        <v>75</v>
      </c>
      <c r="I587" s="55" t="s">
        <v>1029</v>
      </c>
      <c r="J587" s="55" t="s">
        <v>1029</v>
      </c>
      <c r="K587" s="54" t="s">
        <v>61</v>
      </c>
      <c r="L587" s="73" t="s">
        <v>317</v>
      </c>
      <c r="M587" s="54" t="s">
        <v>78</v>
      </c>
      <c r="N587" s="73" t="s">
        <v>79</v>
      </c>
      <c r="O587" s="54" t="s">
        <v>224</v>
      </c>
      <c r="P587" s="54" t="s">
        <v>110</v>
      </c>
      <c r="Q587" s="54" t="str">
        <f>IFERROR(__xludf.DUMMYFUNCTION("""COMPUTED_VALUE"""),"Europe.LKG.thang12.LNTH.PTATT_XuBen.5018_MES_HuyNV_031222")</f>
        <v>Europe.LKG.thang12.LNTH.PTATT_XuBen.5018_MES_HuyNV_031222</v>
      </c>
      <c r="R587" s="54" t="str">
        <f>IFERROR(__xludf.DUMMYFUNCTION("""COMPUTED_VALUE"""),"NEW_Europe_1834_none_031222")</f>
        <v>NEW_Europe_1834_none_031222</v>
      </c>
      <c r="S587" s="54" t="str">
        <f>IFERROR(__xludf.DUMMYFUNCTION("""COMPUTED_VALUE"""),"saletructiep_Europe.LKG.thang12.LNTH.PTATT_PTATT_LD005")</f>
        <v>saletructiep_Europe.LKG.thang12.LNTH.PTATT_PTATT_LD005</v>
      </c>
      <c r="T587" s="54"/>
      <c r="U587" s="56"/>
    </row>
    <row r="588">
      <c r="A588" s="64" t="s">
        <v>1024</v>
      </c>
      <c r="B588" s="54" t="s">
        <v>166</v>
      </c>
      <c r="C588" s="54" t="str">
        <f>IFERROR(__xludf.DUMMYFUNCTION("""COMPUTED_VALUE"""),"LD005")</f>
        <v>LD005</v>
      </c>
      <c r="D588" s="54" t="s">
        <v>42</v>
      </c>
      <c r="E588" s="73" t="s">
        <v>79</v>
      </c>
      <c r="F588" s="55" t="s">
        <v>182</v>
      </c>
      <c r="G588" s="54">
        <v>1834.0</v>
      </c>
      <c r="H588" s="54" t="s">
        <v>75</v>
      </c>
      <c r="I588" s="55" t="s">
        <v>1030</v>
      </c>
      <c r="J588" s="55" t="s">
        <v>1030</v>
      </c>
      <c r="K588" s="54" t="s">
        <v>61</v>
      </c>
      <c r="L588" s="73" t="s">
        <v>317</v>
      </c>
      <c r="M588" s="54" t="s">
        <v>78</v>
      </c>
      <c r="N588" s="73" t="s">
        <v>79</v>
      </c>
      <c r="O588" s="54" t="s">
        <v>224</v>
      </c>
      <c r="P588" s="54" t="s">
        <v>110</v>
      </c>
      <c r="Q588" s="54" t="str">
        <f>IFERROR(__xludf.DUMMYFUNCTION("""COMPUTED_VALUE"""),"Malaysia.LKG.thang12.LNTH.PTATT_XuBen.5018_MES_HuyNV_031222")</f>
        <v>Malaysia.LKG.thang12.LNTH.PTATT_XuBen.5018_MES_HuyNV_031222</v>
      </c>
      <c r="R588" s="54" t="str">
        <f>IFERROR(__xludf.DUMMYFUNCTION("""COMPUTED_VALUE"""),"NEW_Malaysia_1834_none_031222")</f>
        <v>NEW_Malaysia_1834_none_031222</v>
      </c>
      <c r="S588" s="54" t="str">
        <f>IFERROR(__xludf.DUMMYFUNCTION("""COMPUTED_VALUE"""),"saletructiep_Malaysia.LKG.thang12.LNTH.PTATT_PTATT_LD005")</f>
        <v>saletructiep_Malaysia.LKG.thang12.LNTH.PTATT_PTATT_LD005</v>
      </c>
      <c r="T588" s="54"/>
      <c r="U588" s="56"/>
    </row>
    <row r="589">
      <c r="A589" s="64" t="s">
        <v>1024</v>
      </c>
      <c r="B589" s="54" t="s">
        <v>166</v>
      </c>
      <c r="C589" s="54" t="str">
        <f>IFERROR(__xludf.DUMMYFUNCTION("""COMPUTED_VALUE"""),"LD005")</f>
        <v>LD005</v>
      </c>
      <c r="D589" s="54" t="s">
        <v>42</v>
      </c>
      <c r="E589" s="73" t="s">
        <v>79</v>
      </c>
      <c r="F589" s="55" t="s">
        <v>174</v>
      </c>
      <c r="G589" s="54">
        <v>1834.0</v>
      </c>
      <c r="H589" s="54" t="s">
        <v>75</v>
      </c>
      <c r="I589" s="55" t="s">
        <v>1031</v>
      </c>
      <c r="J589" s="55" t="s">
        <v>1031</v>
      </c>
      <c r="K589" s="54" t="s">
        <v>61</v>
      </c>
      <c r="L589" s="73" t="s">
        <v>317</v>
      </c>
      <c r="M589" s="54" t="s">
        <v>78</v>
      </c>
      <c r="N589" s="73" t="s">
        <v>79</v>
      </c>
      <c r="O589" s="54" t="s">
        <v>224</v>
      </c>
      <c r="P589" s="54" t="s">
        <v>110</v>
      </c>
      <c r="Q589" s="54" t="str">
        <f>IFERROR(__xludf.DUMMYFUNCTION("""COMPUTED_VALUE"""),"Philippines.LKG.thang12.LNTH.PTATT_XuBen.5018_MES_HuyNV_031222")</f>
        <v>Philippines.LKG.thang12.LNTH.PTATT_XuBen.5018_MES_HuyNV_031222</v>
      </c>
      <c r="R589" s="54" t="str">
        <f>IFERROR(__xludf.DUMMYFUNCTION("""COMPUTED_VALUE"""),"NEW_Philippines_1834_none_031222")</f>
        <v>NEW_Philippines_1834_none_031222</v>
      </c>
      <c r="S589" s="54" t="str">
        <f>IFERROR(__xludf.DUMMYFUNCTION("""COMPUTED_VALUE"""),"saletructiep_Philippines.LKG.thang12.LNTH.PTATT_PTATT_LD005")</f>
        <v>saletructiep_Philippines.LKG.thang12.LNTH.PTATT_PTATT_LD005</v>
      </c>
      <c r="T589" s="54"/>
      <c r="U589" s="56"/>
    </row>
    <row r="590">
      <c r="A590" s="64" t="s">
        <v>1032</v>
      </c>
      <c r="B590" s="54" t="s">
        <v>166</v>
      </c>
      <c r="C590" s="54" t="str">
        <f>IFERROR(__xludf.DUMMYFUNCTION("""COMPUTED_VALUE"""),"LD005")</f>
        <v>LD005</v>
      </c>
      <c r="D590" s="54" t="s">
        <v>42</v>
      </c>
      <c r="E590" s="73" t="s">
        <v>79</v>
      </c>
      <c r="F590" s="94" t="s">
        <v>133</v>
      </c>
      <c r="G590" s="54">
        <v>1834.0</v>
      </c>
      <c r="H590" s="54" t="s">
        <v>75</v>
      </c>
      <c r="I590" s="55" t="s">
        <v>1033</v>
      </c>
      <c r="J590" s="55" t="s">
        <v>1033</v>
      </c>
      <c r="K590" s="54" t="s">
        <v>61</v>
      </c>
      <c r="L590" s="73" t="s">
        <v>317</v>
      </c>
      <c r="M590" s="54" t="s">
        <v>78</v>
      </c>
      <c r="N590" s="73" t="s">
        <v>79</v>
      </c>
      <c r="O590" s="54" t="s">
        <v>224</v>
      </c>
      <c r="P590" s="54" t="s">
        <v>110</v>
      </c>
      <c r="Q590" s="54" t="str">
        <f>IFERROR(__xludf.DUMMYFUNCTION("""COMPUTED_VALUE"""),"Japan.Lotrinh.TAGT.LNTH.PTATT_XuBen.5018_MES_HuyNV_061222")</f>
        <v>Japan.Lotrinh.TAGT.LNTH.PTATT_XuBen.5018_MES_HuyNV_061222</v>
      </c>
      <c r="R590" s="54" t="str">
        <f>IFERROR(__xludf.DUMMYFUNCTION("""COMPUTED_VALUE"""),"NEW_Japan_1834_none_061222")</f>
        <v>NEW_Japan_1834_none_061222</v>
      </c>
      <c r="S590" s="54" t="str">
        <f>IFERROR(__xludf.DUMMYFUNCTION("""COMPUTED_VALUE"""),"saletructiep_Japan.Lotrinh.TAGT.LNTH.PTATT_PTATT_LD005")</f>
        <v>saletructiep_Japan.Lotrinh.TAGT.LNTH.PTATT_PTATT_LD005</v>
      </c>
      <c r="T590" s="54"/>
      <c r="U590" s="56"/>
    </row>
    <row r="591">
      <c r="A591" s="64" t="s">
        <v>1032</v>
      </c>
      <c r="B591" s="54" t="s">
        <v>166</v>
      </c>
      <c r="C591" s="54" t="str">
        <f>IFERROR(__xludf.DUMMYFUNCTION("""COMPUTED_VALUE"""),"LD005")</f>
        <v>LD005</v>
      </c>
      <c r="D591" s="54" t="s">
        <v>42</v>
      </c>
      <c r="E591" s="73" t="s">
        <v>79</v>
      </c>
      <c r="F591" s="73" t="s">
        <v>625</v>
      </c>
      <c r="G591" s="54">
        <v>1834.0</v>
      </c>
      <c r="H591" s="54" t="s">
        <v>75</v>
      </c>
      <c r="I591" s="55" t="s">
        <v>1034</v>
      </c>
      <c r="J591" s="55" t="s">
        <v>1034</v>
      </c>
      <c r="K591" s="54" t="s">
        <v>61</v>
      </c>
      <c r="L591" s="73" t="s">
        <v>317</v>
      </c>
      <c r="M591" s="54" t="s">
        <v>78</v>
      </c>
      <c r="N591" s="73" t="s">
        <v>79</v>
      </c>
      <c r="O591" s="54" t="s">
        <v>224</v>
      </c>
      <c r="P591" s="54" t="s">
        <v>110</v>
      </c>
      <c r="Q591" s="54" t="str">
        <f>IFERROR(__xludf.DUMMYFUNCTION("""COMPUTED_VALUE"""),"KoreaSouth.Lotrinh.TAGT.LNTH.PTATT_XuBen.5018_MES_HuyNV_061222")</f>
        <v>KoreaSouth.Lotrinh.TAGT.LNTH.PTATT_XuBen.5018_MES_HuyNV_061222</v>
      </c>
      <c r="R591" s="54" t="str">
        <f>IFERROR(__xludf.DUMMYFUNCTION("""COMPUTED_VALUE"""),"NEW_KoreaSouth_1834_none_061222")</f>
        <v>NEW_KoreaSouth_1834_none_061222</v>
      </c>
      <c r="S591" s="54" t="str">
        <f>IFERROR(__xludf.DUMMYFUNCTION("""COMPUTED_VALUE"""),"saletructiep_KoreaSouth.Lotrinh.TAGT.LNTH.PTATT_PTATT_LD005")</f>
        <v>saletructiep_KoreaSouth.Lotrinh.TAGT.LNTH.PTATT_PTATT_LD005</v>
      </c>
      <c r="T591" s="54"/>
      <c r="U591" s="56"/>
    </row>
    <row r="592">
      <c r="A592" s="64" t="s">
        <v>1032</v>
      </c>
      <c r="B592" s="54" t="s">
        <v>166</v>
      </c>
      <c r="C592" s="54" t="str">
        <f>IFERROR(__xludf.DUMMYFUNCTION("""COMPUTED_VALUE"""),"LD005")</f>
        <v>LD005</v>
      </c>
      <c r="D592" s="54" t="s">
        <v>42</v>
      </c>
      <c r="E592" s="73" t="s">
        <v>79</v>
      </c>
      <c r="F592" s="55" t="s">
        <v>107</v>
      </c>
      <c r="G592" s="54">
        <v>1834.0</v>
      </c>
      <c r="H592" s="54" t="s">
        <v>75</v>
      </c>
      <c r="I592" s="55" t="s">
        <v>1035</v>
      </c>
      <c r="J592" s="55" t="s">
        <v>1035</v>
      </c>
      <c r="K592" s="54" t="s">
        <v>61</v>
      </c>
      <c r="L592" s="73" t="s">
        <v>317</v>
      </c>
      <c r="M592" s="54" t="s">
        <v>78</v>
      </c>
      <c r="N592" s="73" t="s">
        <v>79</v>
      </c>
      <c r="O592" s="54" t="s">
        <v>224</v>
      </c>
      <c r="P592" s="54" t="s">
        <v>110</v>
      </c>
      <c r="Q592" s="54" t="str">
        <f>IFERROR(__xludf.DUMMYFUNCTION("""COMPUTED_VALUE"""),"UnitedStates.Lotrinh.TAGT.LNTH.PTATT_XuBen.5018_MES_HuyNV_061222")</f>
        <v>UnitedStates.Lotrinh.TAGT.LNTH.PTATT_XuBen.5018_MES_HuyNV_061222</v>
      </c>
      <c r="R592" s="54" t="str">
        <f>IFERROR(__xludf.DUMMYFUNCTION("""COMPUTED_VALUE"""),"NEW_UnitedStates_1834_none_061222")</f>
        <v>NEW_UnitedStates_1834_none_061222</v>
      </c>
      <c r="S592" s="54" t="str">
        <f>IFERROR(__xludf.DUMMYFUNCTION("""COMPUTED_VALUE"""),"saletructiep_UnitedStates.Lotrinh.TAGT.LNTH.PTATT_PTATT_LD005")</f>
        <v>saletructiep_UnitedStates.Lotrinh.TAGT.LNTH.PTATT_PTATT_LD005</v>
      </c>
      <c r="T592" s="54"/>
      <c r="U592" s="56"/>
    </row>
    <row r="593">
      <c r="A593" s="64" t="s">
        <v>1032</v>
      </c>
      <c r="B593" s="54" t="s">
        <v>166</v>
      </c>
      <c r="C593" s="54" t="str">
        <f>IFERROR(__xludf.DUMMYFUNCTION("""COMPUTED_VALUE"""),"LD005")</f>
        <v>LD005</v>
      </c>
      <c r="D593" s="54" t="s">
        <v>42</v>
      </c>
      <c r="E593" s="73" t="s">
        <v>79</v>
      </c>
      <c r="F593" s="73" t="s">
        <v>129</v>
      </c>
      <c r="G593" s="54">
        <v>1834.0</v>
      </c>
      <c r="H593" s="54" t="s">
        <v>75</v>
      </c>
      <c r="I593" s="55" t="s">
        <v>1036</v>
      </c>
      <c r="J593" s="55" t="s">
        <v>1036</v>
      </c>
      <c r="K593" s="54" t="s">
        <v>61</v>
      </c>
      <c r="L593" s="73" t="s">
        <v>317</v>
      </c>
      <c r="M593" s="54" t="s">
        <v>78</v>
      </c>
      <c r="N593" s="73" t="s">
        <v>79</v>
      </c>
      <c r="O593" s="54" t="s">
        <v>224</v>
      </c>
      <c r="P593" s="54" t="s">
        <v>110</v>
      </c>
      <c r="Q593" s="54" t="str">
        <f>IFERROR(__xludf.DUMMYFUNCTION("""COMPUTED_VALUE"""),"Australia.Lotrinh.TAGT.LNTH.PTATT_XuBen.5018_MES_HuyNV_061222")</f>
        <v>Australia.Lotrinh.TAGT.LNTH.PTATT_XuBen.5018_MES_HuyNV_061222</v>
      </c>
      <c r="R593" s="54" t="str">
        <f>IFERROR(__xludf.DUMMYFUNCTION("""COMPUTED_VALUE"""),"NEW_Australia_1834_none_061222")</f>
        <v>NEW_Australia_1834_none_061222</v>
      </c>
      <c r="S593" s="54" t="str">
        <f>IFERROR(__xludf.DUMMYFUNCTION("""COMPUTED_VALUE"""),"saletructiep_Australia.Lotrinh.TAGT.LNTH.PTATT_PTATT_LD005")</f>
        <v>saletructiep_Australia.Lotrinh.TAGT.LNTH.PTATT_PTATT_LD005</v>
      </c>
      <c r="T593" s="54"/>
      <c r="U593" s="56"/>
    </row>
    <row r="594">
      <c r="A594" s="64" t="s">
        <v>1032</v>
      </c>
      <c r="B594" s="54" t="s">
        <v>166</v>
      </c>
      <c r="C594" s="54" t="str">
        <f>IFERROR(__xludf.DUMMYFUNCTION("""COMPUTED_VALUE"""),"LD005")</f>
        <v>LD005</v>
      </c>
      <c r="D594" s="54" t="s">
        <v>42</v>
      </c>
      <c r="E594" s="73" t="s">
        <v>79</v>
      </c>
      <c r="F594" s="55" t="s">
        <v>164</v>
      </c>
      <c r="G594" s="54">
        <v>1834.0</v>
      </c>
      <c r="H594" s="54" t="s">
        <v>75</v>
      </c>
      <c r="I594" s="55" t="s">
        <v>1037</v>
      </c>
      <c r="J594" s="55" t="s">
        <v>1037</v>
      </c>
      <c r="K594" s="54" t="s">
        <v>61</v>
      </c>
      <c r="L594" s="73" t="s">
        <v>317</v>
      </c>
      <c r="M594" s="54" t="s">
        <v>78</v>
      </c>
      <c r="N594" s="73" t="s">
        <v>79</v>
      </c>
      <c r="O594" s="54" t="s">
        <v>224</v>
      </c>
      <c r="P594" s="54" t="s">
        <v>110</v>
      </c>
      <c r="Q594" s="54" t="str">
        <f>IFERROR(__xludf.DUMMYFUNCTION("""COMPUTED_VALUE"""),"Taiwan.Lotrinh.TAGT.LNTH.PTATT_XuBen.5018_MES_HuyNV_061222")</f>
        <v>Taiwan.Lotrinh.TAGT.LNTH.PTATT_XuBen.5018_MES_HuyNV_061222</v>
      </c>
      <c r="R594" s="54" t="str">
        <f>IFERROR(__xludf.DUMMYFUNCTION("""COMPUTED_VALUE"""),"NEW_Taiwan_1834_none_061222")</f>
        <v>NEW_Taiwan_1834_none_061222</v>
      </c>
      <c r="S594" s="54" t="str">
        <f>IFERROR(__xludf.DUMMYFUNCTION("""COMPUTED_VALUE"""),"saletructiep_Taiwan.Lotrinh.TAGT.LNTH.PTATT_PTATT_LD005")</f>
        <v>saletructiep_Taiwan.Lotrinh.TAGT.LNTH.PTATT_PTATT_LD005</v>
      </c>
      <c r="T594" s="54"/>
      <c r="U594" s="56"/>
    </row>
    <row r="595">
      <c r="A595" s="64" t="s">
        <v>1032</v>
      </c>
      <c r="B595" s="54" t="s">
        <v>166</v>
      </c>
      <c r="C595" s="54" t="str">
        <f>IFERROR(__xludf.DUMMYFUNCTION("""COMPUTED_VALUE"""),"LD005")</f>
        <v>LD005</v>
      </c>
      <c r="D595" s="54" t="s">
        <v>42</v>
      </c>
      <c r="E595" s="73" t="s">
        <v>79</v>
      </c>
      <c r="F595" s="55" t="s">
        <v>112</v>
      </c>
      <c r="G595" s="54">
        <v>1834.0</v>
      </c>
      <c r="H595" s="54" t="s">
        <v>75</v>
      </c>
      <c r="I595" s="55" t="s">
        <v>1038</v>
      </c>
      <c r="J595" s="55" t="s">
        <v>1038</v>
      </c>
      <c r="K595" s="54" t="s">
        <v>61</v>
      </c>
      <c r="L595" s="73" t="s">
        <v>317</v>
      </c>
      <c r="M595" s="54" t="s">
        <v>78</v>
      </c>
      <c r="N595" s="73" t="s">
        <v>79</v>
      </c>
      <c r="O595" s="54" t="s">
        <v>224</v>
      </c>
      <c r="P595" s="54" t="s">
        <v>110</v>
      </c>
      <c r="Q595" s="54" t="str">
        <f>IFERROR(__xludf.DUMMYFUNCTION("""COMPUTED_VALUE"""),"Canada.Lotrinh.TAGT.LNTH.PTATT_XuBen.5018_MES_HuyNV_061222")</f>
        <v>Canada.Lotrinh.TAGT.LNTH.PTATT_XuBen.5018_MES_HuyNV_061222</v>
      </c>
      <c r="R595" s="54" t="str">
        <f>IFERROR(__xludf.DUMMYFUNCTION("""COMPUTED_VALUE"""),"NEW_Canada_1834_none_061222")</f>
        <v>NEW_Canada_1834_none_061222</v>
      </c>
      <c r="S595" s="54" t="str">
        <f>IFERROR(__xludf.DUMMYFUNCTION("""COMPUTED_VALUE"""),"saletructiep_Canada.Lotrinh.TAGT.LNTH.PTATT_PTATT_LD005")</f>
        <v>saletructiep_Canada.Lotrinh.TAGT.LNTH.PTATT_PTATT_LD005</v>
      </c>
      <c r="T595" s="54"/>
      <c r="U595" s="56"/>
    </row>
    <row r="596">
      <c r="A596" s="64" t="s">
        <v>1032</v>
      </c>
      <c r="B596" s="54" t="s">
        <v>166</v>
      </c>
      <c r="C596" s="54" t="str">
        <f>IFERROR(__xludf.DUMMYFUNCTION("""COMPUTED_VALUE"""),"LD005")</f>
        <v>LD005</v>
      </c>
      <c r="D596" s="54" t="s">
        <v>42</v>
      </c>
      <c r="E596" s="73" t="s">
        <v>79</v>
      </c>
      <c r="F596" s="94" t="s">
        <v>133</v>
      </c>
      <c r="G596" s="54">
        <v>1834.0</v>
      </c>
      <c r="H596" s="54" t="s">
        <v>75</v>
      </c>
      <c r="I596" s="55" t="s">
        <v>1039</v>
      </c>
      <c r="J596" s="55" t="s">
        <v>1039</v>
      </c>
      <c r="K596" s="54" t="s">
        <v>61</v>
      </c>
      <c r="L596" s="73" t="s">
        <v>317</v>
      </c>
      <c r="M596" s="54" t="s">
        <v>78</v>
      </c>
      <c r="N596" s="73" t="s">
        <v>79</v>
      </c>
      <c r="O596" s="54" t="s">
        <v>224</v>
      </c>
      <c r="P596" s="54" t="s">
        <v>110</v>
      </c>
      <c r="Q596" s="54" t="str">
        <f>IFERROR(__xludf.DUMMYFUNCTION("""COMPUTED_VALUE"""),"Japan.MGGT.LNTH.TATTTD_XuBen.5018_MES_HuyNV_061222")</f>
        <v>Japan.MGGT.LNTH.TATTTD_XuBen.5018_MES_HuyNV_061222</v>
      </c>
      <c r="R596" s="54" t="str">
        <f>IFERROR(__xludf.DUMMYFUNCTION("""COMPUTED_VALUE"""),"NEW_Japan_1834_none_061222")</f>
        <v>NEW_Japan_1834_none_061222</v>
      </c>
      <c r="S596" s="54" t="str">
        <f>IFERROR(__xludf.DUMMYFUNCTION("""COMPUTED_VALUE"""),"saletructiep_Japan.MGGT.LNTH.TATTTD_PTATT_LD005")</f>
        <v>saletructiep_Japan.MGGT.LNTH.TATTTD_PTATT_LD005</v>
      </c>
      <c r="T596" s="54"/>
      <c r="U596" s="56"/>
    </row>
    <row r="597">
      <c r="A597" s="64" t="s">
        <v>1032</v>
      </c>
      <c r="B597" s="54" t="s">
        <v>166</v>
      </c>
      <c r="C597" s="54" t="str">
        <f>IFERROR(__xludf.DUMMYFUNCTION("""COMPUTED_VALUE"""),"LD005")</f>
        <v>LD005</v>
      </c>
      <c r="D597" s="54" t="s">
        <v>42</v>
      </c>
      <c r="E597" s="73" t="s">
        <v>79</v>
      </c>
      <c r="F597" s="73" t="s">
        <v>625</v>
      </c>
      <c r="G597" s="54">
        <v>1834.0</v>
      </c>
      <c r="H597" s="54" t="s">
        <v>75</v>
      </c>
      <c r="I597" s="55" t="s">
        <v>1040</v>
      </c>
      <c r="J597" s="55" t="s">
        <v>1040</v>
      </c>
      <c r="K597" s="54" t="s">
        <v>61</v>
      </c>
      <c r="L597" s="73" t="s">
        <v>317</v>
      </c>
      <c r="M597" s="54" t="s">
        <v>78</v>
      </c>
      <c r="N597" s="73" t="s">
        <v>79</v>
      </c>
      <c r="O597" s="54" t="s">
        <v>224</v>
      </c>
      <c r="P597" s="54" t="s">
        <v>110</v>
      </c>
      <c r="Q597" s="54" t="str">
        <f>IFERROR(__xludf.DUMMYFUNCTION("""COMPUTED_VALUE"""),"KoreaSouth.MGGT.LNTH.TATTTD_XuBen.5018_MES_HuyNV_061222")</f>
        <v>KoreaSouth.MGGT.LNTH.TATTTD_XuBen.5018_MES_HuyNV_061222</v>
      </c>
      <c r="R597" s="54" t="str">
        <f>IFERROR(__xludf.DUMMYFUNCTION("""COMPUTED_VALUE"""),"NEW_KoreaSouth_1834_none_061222")</f>
        <v>NEW_KoreaSouth_1834_none_061222</v>
      </c>
      <c r="S597" s="54" t="str">
        <f>IFERROR(__xludf.DUMMYFUNCTION("""COMPUTED_VALUE"""),"saletructiep_KoreaSouth.MGGT.LNTH.TATTTD_PTATT_LD005")</f>
        <v>saletructiep_KoreaSouth.MGGT.LNTH.TATTTD_PTATT_LD005</v>
      </c>
      <c r="T597" s="54"/>
      <c r="U597" s="56"/>
    </row>
    <row r="598">
      <c r="A598" s="64" t="s">
        <v>1032</v>
      </c>
      <c r="B598" s="54" t="s">
        <v>166</v>
      </c>
      <c r="C598" s="54" t="str">
        <f>IFERROR(__xludf.DUMMYFUNCTION("""COMPUTED_VALUE"""),"LD005")</f>
        <v>LD005</v>
      </c>
      <c r="D598" s="54" t="s">
        <v>42</v>
      </c>
      <c r="E598" s="73" t="s">
        <v>79</v>
      </c>
      <c r="F598" s="55" t="s">
        <v>107</v>
      </c>
      <c r="G598" s="54">
        <v>1834.0</v>
      </c>
      <c r="H598" s="54" t="s">
        <v>75</v>
      </c>
      <c r="I598" s="55" t="s">
        <v>1041</v>
      </c>
      <c r="J598" s="55" t="s">
        <v>1041</v>
      </c>
      <c r="K598" s="54" t="s">
        <v>61</v>
      </c>
      <c r="L598" s="73" t="s">
        <v>317</v>
      </c>
      <c r="M598" s="54" t="s">
        <v>78</v>
      </c>
      <c r="N598" s="73" t="s">
        <v>79</v>
      </c>
      <c r="O598" s="54" t="s">
        <v>224</v>
      </c>
      <c r="P598" s="54" t="s">
        <v>110</v>
      </c>
      <c r="Q598" s="54" t="str">
        <f>IFERROR(__xludf.DUMMYFUNCTION("""COMPUTED_VALUE"""),"UnitedStates.MGGT.LNTH.TATTTD_XuBen.5018_MES_HuyNV_061222")</f>
        <v>UnitedStates.MGGT.LNTH.TATTTD_XuBen.5018_MES_HuyNV_061222</v>
      </c>
      <c r="R598" s="54" t="str">
        <f>IFERROR(__xludf.DUMMYFUNCTION("""COMPUTED_VALUE"""),"NEW_UnitedStates_1834_none_061222")</f>
        <v>NEW_UnitedStates_1834_none_061222</v>
      </c>
      <c r="S598" s="54" t="str">
        <f>IFERROR(__xludf.DUMMYFUNCTION("""COMPUTED_VALUE"""),"saletructiep_UnitedStates.MGGT.LNTH.TATTTD_PTATT_LD005")</f>
        <v>saletructiep_UnitedStates.MGGT.LNTH.TATTTD_PTATT_LD005</v>
      </c>
      <c r="T598" s="54"/>
      <c r="U598" s="56"/>
    </row>
    <row r="599">
      <c r="A599" s="64" t="s">
        <v>1032</v>
      </c>
      <c r="B599" s="54" t="s">
        <v>166</v>
      </c>
      <c r="C599" s="54" t="str">
        <f>IFERROR(__xludf.DUMMYFUNCTION("""COMPUTED_VALUE"""),"LD005")</f>
        <v>LD005</v>
      </c>
      <c r="D599" s="54" t="s">
        <v>42</v>
      </c>
      <c r="E599" s="73" t="s">
        <v>79</v>
      </c>
      <c r="F599" s="73" t="s">
        <v>129</v>
      </c>
      <c r="G599" s="54">
        <v>1834.0</v>
      </c>
      <c r="H599" s="54" t="s">
        <v>75</v>
      </c>
      <c r="I599" s="55" t="s">
        <v>1042</v>
      </c>
      <c r="J599" s="55" t="s">
        <v>1042</v>
      </c>
      <c r="K599" s="54" t="s">
        <v>61</v>
      </c>
      <c r="L599" s="73" t="s">
        <v>317</v>
      </c>
      <c r="M599" s="54" t="s">
        <v>78</v>
      </c>
      <c r="N599" s="73" t="s">
        <v>79</v>
      </c>
      <c r="O599" s="54" t="s">
        <v>224</v>
      </c>
      <c r="P599" s="54" t="s">
        <v>110</v>
      </c>
      <c r="Q599" s="54" t="str">
        <f>IFERROR(__xludf.DUMMYFUNCTION("""COMPUTED_VALUE"""),"Australia.MGGT.LNTH.TATTTD_XuBen.5018_MES_HuyNV_061222")</f>
        <v>Australia.MGGT.LNTH.TATTTD_XuBen.5018_MES_HuyNV_061222</v>
      </c>
      <c r="R599" s="54" t="str">
        <f>IFERROR(__xludf.DUMMYFUNCTION("""COMPUTED_VALUE"""),"NEW_Australia_1834_none_061222")</f>
        <v>NEW_Australia_1834_none_061222</v>
      </c>
      <c r="S599" s="54" t="str">
        <f>IFERROR(__xludf.DUMMYFUNCTION("""COMPUTED_VALUE"""),"saletructiep_Australia.MGGT.LNTH.TATTTD_PTATT_LD005")</f>
        <v>saletructiep_Australia.MGGT.LNTH.TATTTD_PTATT_LD005</v>
      </c>
      <c r="T599" s="54"/>
      <c r="U599" s="56"/>
    </row>
    <row r="600">
      <c r="A600" s="64" t="s">
        <v>1032</v>
      </c>
      <c r="B600" s="54" t="s">
        <v>166</v>
      </c>
      <c r="C600" s="54" t="str">
        <f>IFERROR(__xludf.DUMMYFUNCTION("""COMPUTED_VALUE"""),"LD005")</f>
        <v>LD005</v>
      </c>
      <c r="D600" s="54" t="s">
        <v>42</v>
      </c>
      <c r="E600" s="73" t="s">
        <v>79</v>
      </c>
      <c r="F600" s="55" t="s">
        <v>164</v>
      </c>
      <c r="G600" s="54">
        <v>1834.0</v>
      </c>
      <c r="H600" s="54" t="s">
        <v>75</v>
      </c>
      <c r="I600" s="55" t="s">
        <v>1043</v>
      </c>
      <c r="J600" s="55" t="s">
        <v>1043</v>
      </c>
      <c r="K600" s="54" t="s">
        <v>61</v>
      </c>
      <c r="L600" s="73" t="s">
        <v>317</v>
      </c>
      <c r="M600" s="54" t="s">
        <v>78</v>
      </c>
      <c r="N600" s="73" t="s">
        <v>79</v>
      </c>
      <c r="O600" s="54" t="s">
        <v>224</v>
      </c>
      <c r="P600" s="54" t="s">
        <v>110</v>
      </c>
      <c r="Q600" s="54" t="str">
        <f>IFERROR(__xludf.DUMMYFUNCTION("""COMPUTED_VALUE"""),"Taiwan.MGGT.LNTH.TATTTD_XuBen.5018_MES_HuyNV_061222")</f>
        <v>Taiwan.MGGT.LNTH.TATTTD_XuBen.5018_MES_HuyNV_061222</v>
      </c>
      <c r="R600" s="54" t="str">
        <f>IFERROR(__xludf.DUMMYFUNCTION("""COMPUTED_VALUE"""),"NEW_Taiwan_1834_none_061222")</f>
        <v>NEW_Taiwan_1834_none_061222</v>
      </c>
      <c r="S600" s="54" t="str">
        <f>IFERROR(__xludf.DUMMYFUNCTION("""COMPUTED_VALUE"""),"saletructiep_Taiwan.MGGT.LNTH.TATTTD_PTATT_LD005")</f>
        <v>saletructiep_Taiwan.MGGT.LNTH.TATTTD_PTATT_LD005</v>
      </c>
      <c r="T600" s="54"/>
      <c r="U600" s="56"/>
    </row>
    <row r="601">
      <c r="A601" s="64" t="s">
        <v>1032</v>
      </c>
      <c r="B601" s="54" t="s">
        <v>166</v>
      </c>
      <c r="C601" s="54" t="str">
        <f>IFERROR(__xludf.DUMMYFUNCTION("""COMPUTED_VALUE"""),"LD005")</f>
        <v>LD005</v>
      </c>
      <c r="D601" s="54" t="s">
        <v>42</v>
      </c>
      <c r="E601" s="73" t="s">
        <v>79</v>
      </c>
      <c r="F601" s="55" t="s">
        <v>112</v>
      </c>
      <c r="G601" s="54">
        <v>1834.0</v>
      </c>
      <c r="H601" s="54" t="s">
        <v>75</v>
      </c>
      <c r="I601" s="55" t="s">
        <v>1044</v>
      </c>
      <c r="J601" s="55" t="s">
        <v>1044</v>
      </c>
      <c r="K601" s="54" t="s">
        <v>61</v>
      </c>
      <c r="L601" s="73" t="s">
        <v>317</v>
      </c>
      <c r="M601" s="54" t="s">
        <v>78</v>
      </c>
      <c r="N601" s="73" t="s">
        <v>79</v>
      </c>
      <c r="O601" s="54" t="s">
        <v>224</v>
      </c>
      <c r="P601" s="54" t="s">
        <v>110</v>
      </c>
      <c r="Q601" s="54" t="str">
        <f>IFERROR(__xludf.DUMMYFUNCTION("""COMPUTED_VALUE"""),"Canada.MGGT.LNTH.TATTTD_XuBen.5018_MES_HuyNV_061222")</f>
        <v>Canada.MGGT.LNTH.TATTTD_XuBen.5018_MES_HuyNV_061222</v>
      </c>
      <c r="R601" s="54" t="str">
        <f>IFERROR(__xludf.DUMMYFUNCTION("""COMPUTED_VALUE"""),"NEW_Canada_1834_none_061222")</f>
        <v>NEW_Canada_1834_none_061222</v>
      </c>
      <c r="S601" s="54" t="str">
        <f>IFERROR(__xludf.DUMMYFUNCTION("""COMPUTED_VALUE"""),"saletructiep_Canada.MGGT.LNTH.TATTTD_PTATT_LD005")</f>
        <v>saletructiep_Canada.MGGT.LNTH.TATTTD_PTATT_LD005</v>
      </c>
      <c r="T601" s="54"/>
      <c r="U601" s="56"/>
    </row>
    <row r="602">
      <c r="A602" s="64" t="s">
        <v>1045</v>
      </c>
      <c r="B602" s="54" t="s">
        <v>166</v>
      </c>
      <c r="C602" s="54" t="str">
        <f>IFERROR(__xludf.DUMMYFUNCTION("""COMPUTED_VALUE"""),"LD005")</f>
        <v>LD005</v>
      </c>
      <c r="D602" s="54" t="s">
        <v>42</v>
      </c>
      <c r="E602" s="73" t="s">
        <v>79</v>
      </c>
      <c r="F602" s="94" t="s">
        <v>133</v>
      </c>
      <c r="G602" s="54">
        <v>1834.0</v>
      </c>
      <c r="H602" s="54" t="s">
        <v>75</v>
      </c>
      <c r="I602" s="60" t="s">
        <v>1046</v>
      </c>
      <c r="J602" s="60" t="s">
        <v>1047</v>
      </c>
      <c r="K602" s="54" t="s">
        <v>61</v>
      </c>
      <c r="L602" s="73" t="s">
        <v>317</v>
      </c>
      <c r="M602" s="54" t="s">
        <v>78</v>
      </c>
      <c r="N602" s="73" t="s">
        <v>79</v>
      </c>
      <c r="O602" s="54" t="s">
        <v>224</v>
      </c>
      <c r="P602" s="54" t="s">
        <v>110</v>
      </c>
      <c r="Q602" s="54" t="str">
        <f>IFERROR(__xludf.DUMMYFUNCTION("""COMPUTED_VALUE"""),"Japan.GT.1kem1.LNTH.PTATT_XuBen.5018_MES_HuyNV_081222")</f>
        <v>Japan.GT.1kem1.LNTH.PTATT_XuBen.5018_MES_HuyNV_081222</v>
      </c>
      <c r="R602" s="54" t="str">
        <f>IFERROR(__xludf.DUMMYFUNCTION("""COMPUTED_VALUE"""),"NEW_Japan_1834_none_081222")</f>
        <v>NEW_Japan_1834_none_081222</v>
      </c>
      <c r="S602" s="54" t="str">
        <f>IFERROR(__xludf.DUMMYFUNCTION("""COMPUTED_VALUE"""),"saletructiep_Japan.GT.1kem1.LNTH.PTATT_PTATT_LD005")</f>
        <v>saletructiep_Japan.GT.1kem1.LNTH.PTATT_PTATT_LD005</v>
      </c>
      <c r="T602" s="54"/>
      <c r="U602" s="56"/>
    </row>
    <row r="603">
      <c r="A603" s="64" t="s">
        <v>1045</v>
      </c>
      <c r="B603" s="54" t="s">
        <v>166</v>
      </c>
      <c r="C603" s="54" t="str">
        <f>IFERROR(__xludf.DUMMYFUNCTION("""COMPUTED_VALUE"""),"LD005")</f>
        <v>LD005</v>
      </c>
      <c r="D603" s="54" t="s">
        <v>42</v>
      </c>
      <c r="E603" s="73" t="s">
        <v>79</v>
      </c>
      <c r="F603" s="73" t="s">
        <v>625</v>
      </c>
      <c r="G603" s="54">
        <v>1834.0</v>
      </c>
      <c r="H603" s="54" t="s">
        <v>75</v>
      </c>
      <c r="I603" s="60" t="s">
        <v>1048</v>
      </c>
      <c r="J603" s="60" t="s">
        <v>1049</v>
      </c>
      <c r="K603" s="54" t="s">
        <v>61</v>
      </c>
      <c r="L603" s="73" t="s">
        <v>317</v>
      </c>
      <c r="M603" s="54" t="s">
        <v>78</v>
      </c>
      <c r="N603" s="73" t="s">
        <v>79</v>
      </c>
      <c r="O603" s="54" t="s">
        <v>224</v>
      </c>
      <c r="P603" s="54" t="s">
        <v>110</v>
      </c>
      <c r="Q603" s="54" t="str">
        <f>IFERROR(__xludf.DUMMYFUNCTION("""COMPUTED_VALUE"""),"KoreaSouth.GT.1kem1.LNTH.PTATT_XuBen.5018_MES_HuyNV_081222")</f>
        <v>KoreaSouth.GT.1kem1.LNTH.PTATT_XuBen.5018_MES_HuyNV_081222</v>
      </c>
      <c r="R603" s="54" t="str">
        <f>IFERROR(__xludf.DUMMYFUNCTION("""COMPUTED_VALUE"""),"NEW_KoreaSouth_1834_none_081222")</f>
        <v>NEW_KoreaSouth_1834_none_081222</v>
      </c>
      <c r="S603" s="54" t="str">
        <f>IFERROR(__xludf.DUMMYFUNCTION("""COMPUTED_VALUE"""),"saletructiep_KoreaSouth.GT.1kem1.LNTH.PTATT_PTATT_LD005")</f>
        <v>saletructiep_KoreaSouth.GT.1kem1.LNTH.PTATT_PTATT_LD005</v>
      </c>
      <c r="T603" s="54"/>
      <c r="U603" s="56"/>
    </row>
    <row r="604">
      <c r="A604" s="64" t="s">
        <v>1045</v>
      </c>
      <c r="B604" s="54" t="s">
        <v>166</v>
      </c>
      <c r="C604" s="54" t="str">
        <f>IFERROR(__xludf.DUMMYFUNCTION("""COMPUTED_VALUE"""),"LD005")</f>
        <v>LD005</v>
      </c>
      <c r="D604" s="54" t="s">
        <v>42</v>
      </c>
      <c r="E604" s="73" t="s">
        <v>79</v>
      </c>
      <c r="F604" s="55" t="s">
        <v>107</v>
      </c>
      <c r="G604" s="54">
        <v>1834.0</v>
      </c>
      <c r="H604" s="54" t="s">
        <v>75</v>
      </c>
      <c r="I604" s="60" t="s">
        <v>1050</v>
      </c>
      <c r="J604" s="60" t="s">
        <v>1051</v>
      </c>
      <c r="K604" s="54" t="s">
        <v>61</v>
      </c>
      <c r="L604" s="73" t="s">
        <v>317</v>
      </c>
      <c r="M604" s="54" t="s">
        <v>78</v>
      </c>
      <c r="N604" s="73" t="s">
        <v>79</v>
      </c>
      <c r="O604" s="54" t="s">
        <v>224</v>
      </c>
      <c r="P604" s="54" t="s">
        <v>110</v>
      </c>
      <c r="Q604" s="54" t="str">
        <f>IFERROR(__xludf.DUMMYFUNCTION("""COMPUTED_VALUE"""),"UnitedStates.GT.1kem1.LNTH.PTATT_XuBen.5018_MES_HuyNV_081222")</f>
        <v>UnitedStates.GT.1kem1.LNTH.PTATT_XuBen.5018_MES_HuyNV_081222</v>
      </c>
      <c r="R604" s="54" t="str">
        <f>IFERROR(__xludf.DUMMYFUNCTION("""COMPUTED_VALUE"""),"NEW_UnitedStates_1834_none_081222")</f>
        <v>NEW_UnitedStates_1834_none_081222</v>
      </c>
      <c r="S604" s="54" t="str">
        <f>IFERROR(__xludf.DUMMYFUNCTION("""COMPUTED_VALUE"""),"saletructiep_UnitedStates.GT.1kem1.LNTH.PTATT_PTATT_LD005")</f>
        <v>saletructiep_UnitedStates.GT.1kem1.LNTH.PTATT_PTATT_LD005</v>
      </c>
      <c r="T604" s="54"/>
      <c r="U604" s="56"/>
    </row>
    <row r="605">
      <c r="A605" s="64" t="s">
        <v>1045</v>
      </c>
      <c r="B605" s="54" t="s">
        <v>166</v>
      </c>
      <c r="C605" s="54" t="str">
        <f>IFERROR(__xludf.DUMMYFUNCTION("""COMPUTED_VALUE"""),"LD005")</f>
        <v>LD005</v>
      </c>
      <c r="D605" s="54" t="s">
        <v>42</v>
      </c>
      <c r="E605" s="73" t="s">
        <v>79</v>
      </c>
      <c r="F605" s="73" t="s">
        <v>129</v>
      </c>
      <c r="G605" s="54">
        <v>1834.0</v>
      </c>
      <c r="H605" s="54" t="s">
        <v>75</v>
      </c>
      <c r="I605" s="60" t="s">
        <v>1052</v>
      </c>
      <c r="J605" s="60" t="s">
        <v>1053</v>
      </c>
      <c r="K605" s="54" t="s">
        <v>61</v>
      </c>
      <c r="L605" s="73" t="s">
        <v>317</v>
      </c>
      <c r="M605" s="54" t="s">
        <v>78</v>
      </c>
      <c r="N605" s="73" t="s">
        <v>79</v>
      </c>
      <c r="O605" s="54" t="s">
        <v>224</v>
      </c>
      <c r="P605" s="54" t="s">
        <v>110</v>
      </c>
      <c r="Q605" s="54" t="str">
        <f>IFERROR(__xludf.DUMMYFUNCTION("""COMPUTED_VALUE"""),"Australia.GT.1kem1.LNTH.PTATT_XuBen.5018_MES_HuyNV_081222")</f>
        <v>Australia.GT.1kem1.LNTH.PTATT_XuBen.5018_MES_HuyNV_081222</v>
      </c>
      <c r="R605" s="54" t="str">
        <f>IFERROR(__xludf.DUMMYFUNCTION("""COMPUTED_VALUE"""),"NEW_Australia_1834_none_081222")</f>
        <v>NEW_Australia_1834_none_081222</v>
      </c>
      <c r="S605" s="54" t="str">
        <f>IFERROR(__xludf.DUMMYFUNCTION("""COMPUTED_VALUE"""),"saletructiep_Australia.GT.1kem1.LNTH.PTATT_PTATT_LD005")</f>
        <v>saletructiep_Australia.GT.1kem1.LNTH.PTATT_PTATT_LD005</v>
      </c>
      <c r="T605" s="54"/>
      <c r="U605" s="56"/>
    </row>
    <row r="606">
      <c r="A606" s="64" t="s">
        <v>1045</v>
      </c>
      <c r="B606" s="54" t="s">
        <v>166</v>
      </c>
      <c r="C606" s="54" t="str">
        <f>IFERROR(__xludf.DUMMYFUNCTION("""COMPUTED_VALUE"""),"LD005")</f>
        <v>LD005</v>
      </c>
      <c r="D606" s="54" t="s">
        <v>42</v>
      </c>
      <c r="E606" s="73" t="s">
        <v>79</v>
      </c>
      <c r="F606" s="55" t="s">
        <v>164</v>
      </c>
      <c r="G606" s="54">
        <v>1834.0</v>
      </c>
      <c r="H606" s="54" t="s">
        <v>75</v>
      </c>
      <c r="I606" s="60" t="s">
        <v>1054</v>
      </c>
      <c r="J606" s="60" t="s">
        <v>1055</v>
      </c>
      <c r="K606" s="54" t="s">
        <v>61</v>
      </c>
      <c r="L606" s="73" t="s">
        <v>317</v>
      </c>
      <c r="M606" s="54" t="s">
        <v>78</v>
      </c>
      <c r="N606" s="73" t="s">
        <v>79</v>
      </c>
      <c r="O606" s="54" t="s">
        <v>224</v>
      </c>
      <c r="P606" s="54" t="s">
        <v>110</v>
      </c>
      <c r="Q606" s="54" t="str">
        <f>IFERROR(__xludf.DUMMYFUNCTION("""COMPUTED_VALUE"""),"Taiwan.GT.1kem1.LNTH.PTATT_XuBen.5018_MES_HuyNV_081222")</f>
        <v>Taiwan.GT.1kem1.LNTH.PTATT_XuBen.5018_MES_HuyNV_081222</v>
      </c>
      <c r="R606" s="54" t="str">
        <f>IFERROR(__xludf.DUMMYFUNCTION("""COMPUTED_VALUE"""),"NEW_Taiwan_1834_none_081222")</f>
        <v>NEW_Taiwan_1834_none_081222</v>
      </c>
      <c r="S606" s="54" t="str">
        <f>IFERROR(__xludf.DUMMYFUNCTION("""COMPUTED_VALUE"""),"saletructiep_Taiwan.GT.1kem1.LNTH.PTATT_PTATT_LD005")</f>
        <v>saletructiep_Taiwan.GT.1kem1.LNTH.PTATT_PTATT_LD005</v>
      </c>
      <c r="T606" s="54"/>
      <c r="U606" s="56"/>
    </row>
    <row r="607">
      <c r="A607" s="64" t="s">
        <v>1045</v>
      </c>
      <c r="B607" s="54" t="s">
        <v>166</v>
      </c>
      <c r="C607" s="54" t="str">
        <f>IFERROR(__xludf.DUMMYFUNCTION("""COMPUTED_VALUE"""),"LD005")</f>
        <v>LD005</v>
      </c>
      <c r="D607" s="54" t="s">
        <v>42</v>
      </c>
      <c r="E607" s="73" t="s">
        <v>79</v>
      </c>
      <c r="F607" s="55" t="s">
        <v>112</v>
      </c>
      <c r="G607" s="54">
        <v>1834.0</v>
      </c>
      <c r="H607" s="54" t="s">
        <v>75</v>
      </c>
      <c r="I607" s="60" t="s">
        <v>1056</v>
      </c>
      <c r="J607" s="60" t="s">
        <v>1057</v>
      </c>
      <c r="K607" s="54" t="s">
        <v>61</v>
      </c>
      <c r="L607" s="73" t="s">
        <v>317</v>
      </c>
      <c r="M607" s="54" t="s">
        <v>78</v>
      </c>
      <c r="N607" s="73" t="s">
        <v>79</v>
      </c>
      <c r="O607" s="54" t="s">
        <v>224</v>
      </c>
      <c r="P607" s="54" t="s">
        <v>110</v>
      </c>
      <c r="Q607" s="54" t="str">
        <f>IFERROR(__xludf.DUMMYFUNCTION("""COMPUTED_VALUE"""),"Canada.GT.1kem1.LNTH.PTATT_XuBen.5018_MES_HuyNV_081222")</f>
        <v>Canada.GT.1kem1.LNTH.PTATT_XuBen.5018_MES_HuyNV_081222</v>
      </c>
      <c r="R607" s="54" t="str">
        <f>IFERROR(__xludf.DUMMYFUNCTION("""COMPUTED_VALUE"""),"NEW_Canada_1834_none_081222")</f>
        <v>NEW_Canada_1834_none_081222</v>
      </c>
      <c r="S607" s="54" t="str">
        <f>IFERROR(__xludf.DUMMYFUNCTION("""COMPUTED_VALUE"""),"saletructiep_Canada.GT.1kem1.LNTH.PTATT_PTATT_LD005")</f>
        <v>saletructiep_Canada.GT.1kem1.LNTH.PTATT_PTATT_LD005</v>
      </c>
      <c r="T607" s="54"/>
      <c r="U607" s="56"/>
    </row>
    <row r="608">
      <c r="A608" s="66">
        <v>101222.0</v>
      </c>
      <c r="B608" s="54" t="s">
        <v>166</v>
      </c>
      <c r="C608" s="54" t="str">
        <f>IFERROR(__xludf.DUMMYFUNCTION("""COMPUTED_VALUE"""),"LD005")</f>
        <v>LD005</v>
      </c>
      <c r="D608" s="54" t="s">
        <v>42</v>
      </c>
      <c r="E608" s="73" t="s">
        <v>79</v>
      </c>
      <c r="F608" s="94" t="s">
        <v>133</v>
      </c>
      <c r="G608" s="54">
        <v>1834.0</v>
      </c>
      <c r="H608" s="54" t="s">
        <v>75</v>
      </c>
      <c r="I608" s="55" t="s">
        <v>1058</v>
      </c>
      <c r="J608" s="55" t="s">
        <v>1058</v>
      </c>
      <c r="K608" s="54" t="s">
        <v>61</v>
      </c>
      <c r="L608" s="73" t="s">
        <v>317</v>
      </c>
      <c r="M608" s="54" t="s">
        <v>78</v>
      </c>
      <c r="N608" s="73" t="s">
        <v>79</v>
      </c>
      <c r="O608" s="54" t="s">
        <v>224</v>
      </c>
      <c r="P608" s="54" t="s">
        <v>110</v>
      </c>
      <c r="Q608" s="54" t="str">
        <f>IFERROR(__xludf.DUMMYFUNCTION("""COMPUTED_VALUE"""),"Japan.TOEIC.LNTH.PTATT_XuBen.5018_MES_HuyNV_101222")</f>
        <v>Japan.TOEIC.LNTH.PTATT_XuBen.5018_MES_HuyNV_101222</v>
      </c>
      <c r="R608" s="54" t="str">
        <f>IFERROR(__xludf.DUMMYFUNCTION("""COMPUTED_VALUE"""),"NEW_Japan_1834_none_101222")</f>
        <v>NEW_Japan_1834_none_101222</v>
      </c>
      <c r="S608" s="54" t="str">
        <f>IFERROR(__xludf.DUMMYFUNCTION("""COMPUTED_VALUE"""),"saletructiep_Japan.TOEIC.LNTH.PTATT_PTATT_LD005")</f>
        <v>saletructiep_Japan.TOEIC.LNTH.PTATT_PTATT_LD005</v>
      </c>
      <c r="T608" s="54"/>
      <c r="U608" s="56"/>
    </row>
    <row r="609">
      <c r="A609" s="66">
        <v>101222.0</v>
      </c>
      <c r="B609" s="54" t="s">
        <v>166</v>
      </c>
      <c r="C609" s="54" t="str">
        <f>IFERROR(__xludf.DUMMYFUNCTION("""COMPUTED_VALUE"""),"LD005")</f>
        <v>LD005</v>
      </c>
      <c r="D609" s="54" t="s">
        <v>42</v>
      </c>
      <c r="E609" s="73" t="s">
        <v>79</v>
      </c>
      <c r="F609" s="73" t="s">
        <v>625</v>
      </c>
      <c r="G609" s="54">
        <v>1834.0</v>
      </c>
      <c r="H609" s="54" t="s">
        <v>75</v>
      </c>
      <c r="I609" s="55" t="s">
        <v>1059</v>
      </c>
      <c r="J609" s="55" t="s">
        <v>1059</v>
      </c>
      <c r="K609" s="54" t="s">
        <v>61</v>
      </c>
      <c r="L609" s="73" t="s">
        <v>317</v>
      </c>
      <c r="M609" s="54" t="s">
        <v>78</v>
      </c>
      <c r="N609" s="73" t="s">
        <v>79</v>
      </c>
      <c r="O609" s="54" t="s">
        <v>224</v>
      </c>
      <c r="P609" s="54" t="s">
        <v>110</v>
      </c>
      <c r="Q609" s="54" t="str">
        <f>IFERROR(__xludf.DUMMYFUNCTION("""COMPUTED_VALUE"""),"KoreaSouth.TOEIC.LNTH.PTATT_XuBen.5018_MES_HuyNV_101222")</f>
        <v>KoreaSouth.TOEIC.LNTH.PTATT_XuBen.5018_MES_HuyNV_101222</v>
      </c>
      <c r="R609" s="54" t="str">
        <f>IFERROR(__xludf.DUMMYFUNCTION("""COMPUTED_VALUE"""),"NEW_KoreaSouth_1834_none_101222")</f>
        <v>NEW_KoreaSouth_1834_none_101222</v>
      </c>
      <c r="S609" s="54" t="str">
        <f>IFERROR(__xludf.DUMMYFUNCTION("""COMPUTED_VALUE"""),"saletructiep_KoreaSouth.TOEIC.LNTH.PTATT_PTATT_LD005")</f>
        <v>saletructiep_KoreaSouth.TOEIC.LNTH.PTATT_PTATT_LD005</v>
      </c>
      <c r="T609" s="54"/>
      <c r="U609" s="56"/>
    </row>
    <row r="610">
      <c r="A610" s="66">
        <v>151222.0</v>
      </c>
      <c r="B610" s="54" t="s">
        <v>166</v>
      </c>
      <c r="C610" s="54" t="str">
        <f>IFERROR(__xludf.DUMMYFUNCTION("""COMPUTED_VALUE"""),"LD005")</f>
        <v>LD005</v>
      </c>
      <c r="D610" s="54" t="s">
        <v>42</v>
      </c>
      <c r="E610" s="73" t="s">
        <v>79</v>
      </c>
      <c r="F610" s="94" t="s">
        <v>133</v>
      </c>
      <c r="G610" s="54">
        <v>1834.0</v>
      </c>
      <c r="H610" s="54" t="s">
        <v>75</v>
      </c>
      <c r="I610" s="55" t="s">
        <v>892</v>
      </c>
      <c r="J610" s="55" t="s">
        <v>892</v>
      </c>
      <c r="K610" s="54" t="s">
        <v>61</v>
      </c>
      <c r="L610" s="73" t="s">
        <v>317</v>
      </c>
      <c r="M610" s="54" t="s">
        <v>78</v>
      </c>
      <c r="N610" s="73" t="s">
        <v>79</v>
      </c>
      <c r="O610" s="54" t="s">
        <v>224</v>
      </c>
      <c r="P610" s="54" t="s">
        <v>110</v>
      </c>
      <c r="Q610" s="54" t="str">
        <f>IFERROR(__xludf.DUMMYFUNCTION("""COMPUTED_VALUE"""),"Japan.KHTA.LNTH.PTATT_XuBen.5018_MES_HuyNV_151222")</f>
        <v>Japan.KHTA.LNTH.PTATT_XuBen.5018_MES_HuyNV_151222</v>
      </c>
      <c r="R610" s="54" t="str">
        <f>IFERROR(__xludf.DUMMYFUNCTION("""COMPUTED_VALUE"""),"NEW_Japan_1834_none_151222")</f>
        <v>NEW_Japan_1834_none_151222</v>
      </c>
      <c r="S610" s="54" t="str">
        <f>IFERROR(__xludf.DUMMYFUNCTION("""COMPUTED_VALUE"""),"saletructiep_Japan.KHTA.LNTH.PTATT_PTATT_LD005")</f>
        <v>saletructiep_Japan.KHTA.LNTH.PTATT_PTATT_LD005</v>
      </c>
      <c r="T610" s="54"/>
      <c r="U610" s="56"/>
    </row>
    <row r="611">
      <c r="A611" s="66">
        <v>151222.0</v>
      </c>
      <c r="B611" s="54" t="s">
        <v>166</v>
      </c>
      <c r="C611" s="54" t="str">
        <f>IFERROR(__xludf.DUMMYFUNCTION("""COMPUTED_VALUE"""),"LD005")</f>
        <v>LD005</v>
      </c>
      <c r="D611" s="54" t="s">
        <v>42</v>
      </c>
      <c r="E611" s="73" t="s">
        <v>79</v>
      </c>
      <c r="F611" s="73" t="s">
        <v>625</v>
      </c>
      <c r="G611" s="54">
        <v>1834.0</v>
      </c>
      <c r="H611" s="54" t="s">
        <v>75</v>
      </c>
      <c r="I611" s="55" t="s">
        <v>900</v>
      </c>
      <c r="J611" s="55" t="s">
        <v>900</v>
      </c>
      <c r="K611" s="54" t="s">
        <v>61</v>
      </c>
      <c r="L611" s="73" t="s">
        <v>317</v>
      </c>
      <c r="M611" s="54" t="s">
        <v>78</v>
      </c>
      <c r="N611" s="73" t="s">
        <v>79</v>
      </c>
      <c r="O611" s="54" t="s">
        <v>224</v>
      </c>
      <c r="P611" s="54" t="s">
        <v>110</v>
      </c>
      <c r="Q611" s="54" t="str">
        <f>IFERROR(__xludf.DUMMYFUNCTION("""COMPUTED_VALUE"""),"KoreaSouth.KHTA.LNTH.PTATT_XuBen.5018_MES_HuyNV_151222")</f>
        <v>KoreaSouth.KHTA.LNTH.PTATT_XuBen.5018_MES_HuyNV_151222</v>
      </c>
      <c r="R611" s="54" t="str">
        <f>IFERROR(__xludf.DUMMYFUNCTION("""COMPUTED_VALUE"""),"NEW_KoreaSouth_1834_none_151222")</f>
        <v>NEW_KoreaSouth_1834_none_151222</v>
      </c>
      <c r="S611" s="54" t="str">
        <f>IFERROR(__xludf.DUMMYFUNCTION("""COMPUTED_VALUE"""),"saletructiep_KoreaSouth.KHTA.LNTH.PTATT_PTATT_LD005")</f>
        <v>saletructiep_KoreaSouth.KHTA.LNTH.PTATT_PTATT_LD005</v>
      </c>
      <c r="T611" s="54"/>
      <c r="U611" s="56"/>
    </row>
    <row r="612">
      <c r="A612" s="66">
        <v>151222.0</v>
      </c>
      <c r="B612" s="54" t="s">
        <v>166</v>
      </c>
      <c r="C612" s="54" t="str">
        <f>IFERROR(__xludf.DUMMYFUNCTION("""COMPUTED_VALUE"""),"LD005")</f>
        <v>LD005</v>
      </c>
      <c r="D612" s="54" t="s">
        <v>42</v>
      </c>
      <c r="E612" s="73" t="s">
        <v>79</v>
      </c>
      <c r="F612" s="55" t="s">
        <v>182</v>
      </c>
      <c r="G612" s="54">
        <v>1834.0</v>
      </c>
      <c r="H612" s="54" t="s">
        <v>75</v>
      </c>
      <c r="I612" s="55" t="s">
        <v>896</v>
      </c>
      <c r="J612" s="55" t="s">
        <v>896</v>
      </c>
      <c r="K612" s="54" t="s">
        <v>61</v>
      </c>
      <c r="L612" s="73" t="s">
        <v>317</v>
      </c>
      <c r="M612" s="54" t="s">
        <v>78</v>
      </c>
      <c r="N612" s="73" t="s">
        <v>79</v>
      </c>
      <c r="O612" s="54" t="s">
        <v>224</v>
      </c>
      <c r="P612" s="54" t="s">
        <v>110</v>
      </c>
      <c r="Q612" s="54" t="str">
        <f>IFERROR(__xludf.DUMMYFUNCTION("""COMPUTED_VALUE"""),"Malaysia.KHTA.LNTH.PTATT_XuBen.5018_MES_HuyNV_151222")</f>
        <v>Malaysia.KHTA.LNTH.PTATT_XuBen.5018_MES_HuyNV_151222</v>
      </c>
      <c r="R612" s="54" t="str">
        <f>IFERROR(__xludf.DUMMYFUNCTION("""COMPUTED_VALUE"""),"NEW_Malaysia_1834_none_151222")</f>
        <v>NEW_Malaysia_1834_none_151222</v>
      </c>
      <c r="S612" s="54" t="str">
        <f>IFERROR(__xludf.DUMMYFUNCTION("""COMPUTED_VALUE"""),"saletructiep_Malaysia.KHTA.LNTH.PTATT_PTATT_LD005")</f>
        <v>saletructiep_Malaysia.KHTA.LNTH.PTATT_PTATT_LD005</v>
      </c>
      <c r="T612" s="54"/>
      <c r="U612" s="56"/>
    </row>
    <row r="613">
      <c r="A613" s="66">
        <v>151222.0</v>
      </c>
      <c r="B613" s="54" t="s">
        <v>166</v>
      </c>
      <c r="C613" s="54" t="str">
        <f>IFERROR(__xludf.DUMMYFUNCTION("""COMPUTED_VALUE"""),"LD005")</f>
        <v>LD005</v>
      </c>
      <c r="D613" s="54" t="s">
        <v>42</v>
      </c>
      <c r="E613" s="73" t="s">
        <v>79</v>
      </c>
      <c r="F613" s="55" t="s">
        <v>174</v>
      </c>
      <c r="G613" s="54">
        <v>1834.0</v>
      </c>
      <c r="H613" s="54" t="s">
        <v>75</v>
      </c>
      <c r="I613" s="55" t="s">
        <v>894</v>
      </c>
      <c r="J613" s="55" t="s">
        <v>894</v>
      </c>
      <c r="K613" s="54" t="s">
        <v>61</v>
      </c>
      <c r="L613" s="73" t="s">
        <v>317</v>
      </c>
      <c r="M613" s="54" t="s">
        <v>78</v>
      </c>
      <c r="N613" s="73" t="s">
        <v>79</v>
      </c>
      <c r="O613" s="54" t="s">
        <v>224</v>
      </c>
      <c r="P613" s="54" t="s">
        <v>110</v>
      </c>
      <c r="Q613" s="54" t="str">
        <f>IFERROR(__xludf.DUMMYFUNCTION("""COMPUTED_VALUE"""),"Philippines.KHTA.LNTH.PTATT_XuBen.5018_MES_HuyNV_151222")</f>
        <v>Philippines.KHTA.LNTH.PTATT_XuBen.5018_MES_HuyNV_151222</v>
      </c>
      <c r="R613" s="54" t="str">
        <f>IFERROR(__xludf.DUMMYFUNCTION("""COMPUTED_VALUE"""),"NEW_Philippines_1834_none_151222")</f>
        <v>NEW_Philippines_1834_none_151222</v>
      </c>
      <c r="S613" s="54" t="str">
        <f>IFERROR(__xludf.DUMMYFUNCTION("""COMPUTED_VALUE"""),"saletructiep_Philippines.KHTA.LNTH.PTATT_PTATT_LD005")</f>
        <v>saletructiep_Philippines.KHTA.LNTH.PTATT_PTATT_LD005</v>
      </c>
      <c r="T613" s="54"/>
      <c r="U613" s="56"/>
    </row>
    <row r="614">
      <c r="A614" s="66">
        <v>191222.0</v>
      </c>
      <c r="B614" s="54" t="s">
        <v>166</v>
      </c>
      <c r="C614" s="54" t="str">
        <f>IFERROR(__xludf.DUMMYFUNCTION("""COMPUTED_VALUE"""),"LD005")</f>
        <v>LD005</v>
      </c>
      <c r="D614" s="54" t="s">
        <v>42</v>
      </c>
      <c r="E614" s="73" t="s">
        <v>79</v>
      </c>
      <c r="F614" s="94" t="s">
        <v>133</v>
      </c>
      <c r="G614" s="54">
        <v>1834.0</v>
      </c>
      <c r="H614" s="54" t="s">
        <v>75</v>
      </c>
      <c r="I614" s="55" t="s">
        <v>1060</v>
      </c>
      <c r="J614" s="55" t="s">
        <v>1060</v>
      </c>
      <c r="K614" s="54" t="s">
        <v>61</v>
      </c>
      <c r="L614" s="73" t="s">
        <v>317</v>
      </c>
      <c r="M614" s="54" t="s">
        <v>78</v>
      </c>
      <c r="N614" s="73" t="s">
        <v>79</v>
      </c>
      <c r="O614" s="54" t="s">
        <v>224</v>
      </c>
      <c r="P614" s="54" t="s">
        <v>110</v>
      </c>
      <c r="Q614" s="54" t="str">
        <f>IFERROR(__xludf.DUMMYFUNCTION("""COMPUTED_VALUE"""),"Japan.Thongbao.LNTH._XuBen.5018_MES_HuyNV_191222")</f>
        <v>Japan.Thongbao.LNTH._XuBen.5018_MES_HuyNV_191222</v>
      </c>
      <c r="R614" s="54" t="str">
        <f>IFERROR(__xludf.DUMMYFUNCTION("""COMPUTED_VALUE"""),"NEW_Japan_1834_none_191222")</f>
        <v>NEW_Japan_1834_none_191222</v>
      </c>
      <c r="S614" s="54" t="str">
        <f>IFERROR(__xludf.DUMMYFUNCTION("""COMPUTED_VALUE"""),"saletructiep_Japan.Thongbao.LNTH._PTATT_LD005")</f>
        <v>saletructiep_Japan.Thongbao.LNTH._PTATT_LD005</v>
      </c>
      <c r="T614" s="54"/>
      <c r="U614" s="56"/>
    </row>
    <row r="615">
      <c r="A615" s="66">
        <v>191222.0</v>
      </c>
      <c r="B615" s="54" t="s">
        <v>166</v>
      </c>
      <c r="C615" s="54" t="str">
        <f>IFERROR(__xludf.DUMMYFUNCTION("""COMPUTED_VALUE"""),"LD005")</f>
        <v>LD005</v>
      </c>
      <c r="D615" s="54" t="s">
        <v>42</v>
      </c>
      <c r="E615" s="73" t="s">
        <v>79</v>
      </c>
      <c r="F615" s="73" t="s">
        <v>625</v>
      </c>
      <c r="G615" s="54">
        <v>1834.0</v>
      </c>
      <c r="H615" s="54" t="s">
        <v>75</v>
      </c>
      <c r="I615" s="55" t="s">
        <v>1061</v>
      </c>
      <c r="J615" s="55" t="s">
        <v>1061</v>
      </c>
      <c r="K615" s="54" t="s">
        <v>61</v>
      </c>
      <c r="L615" s="73" t="s">
        <v>317</v>
      </c>
      <c r="M615" s="54" t="s">
        <v>78</v>
      </c>
      <c r="N615" s="73" t="s">
        <v>79</v>
      </c>
      <c r="O615" s="54" t="s">
        <v>224</v>
      </c>
      <c r="P615" s="54" t="s">
        <v>110</v>
      </c>
      <c r="Q615" s="54" t="str">
        <f>IFERROR(__xludf.DUMMYFUNCTION("""COMPUTED_VALUE"""),"KoreaSouth.Thongbao.LNTH._XuBen.5018_MES_HuyNV_191222")</f>
        <v>KoreaSouth.Thongbao.LNTH._XuBen.5018_MES_HuyNV_191222</v>
      </c>
      <c r="R615" s="54" t="str">
        <f>IFERROR(__xludf.DUMMYFUNCTION("""COMPUTED_VALUE"""),"NEW_KoreaSouth_1834_none_191222")</f>
        <v>NEW_KoreaSouth_1834_none_191222</v>
      </c>
      <c r="S615" s="54" t="str">
        <f>IFERROR(__xludf.DUMMYFUNCTION("""COMPUTED_VALUE"""),"saletructiep_KoreaSouth.Thongbao.LNTH._PTATT_LD005")</f>
        <v>saletructiep_KoreaSouth.Thongbao.LNTH._PTATT_LD005</v>
      </c>
      <c r="T615" s="54"/>
      <c r="U615" s="56"/>
    </row>
    <row r="616">
      <c r="A616" s="66">
        <v>191222.0</v>
      </c>
      <c r="B616" s="54" t="s">
        <v>166</v>
      </c>
      <c r="C616" s="54" t="str">
        <f>IFERROR(__xludf.DUMMYFUNCTION("""COMPUTED_VALUE"""),"LD005")</f>
        <v>LD005</v>
      </c>
      <c r="D616" s="54" t="s">
        <v>42</v>
      </c>
      <c r="E616" s="73" t="s">
        <v>79</v>
      </c>
      <c r="F616" s="55" t="s">
        <v>107</v>
      </c>
      <c r="G616" s="54">
        <v>1834.0</v>
      </c>
      <c r="H616" s="54" t="s">
        <v>75</v>
      </c>
      <c r="I616" s="55" t="s">
        <v>1062</v>
      </c>
      <c r="J616" s="55" t="s">
        <v>1062</v>
      </c>
      <c r="K616" s="54" t="s">
        <v>61</v>
      </c>
      <c r="L616" s="73" t="s">
        <v>317</v>
      </c>
      <c r="M616" s="54" t="s">
        <v>78</v>
      </c>
      <c r="N616" s="73" t="s">
        <v>79</v>
      </c>
      <c r="O616" s="54" t="s">
        <v>224</v>
      </c>
      <c r="P616" s="54" t="s">
        <v>110</v>
      </c>
      <c r="Q616" s="54" t="str">
        <f>IFERROR(__xludf.DUMMYFUNCTION("""COMPUTED_VALUE"""),"UnitedStates.Thongbao.LNTH._XuBen.5018_MES_HuyNV_191222")</f>
        <v>UnitedStates.Thongbao.LNTH._XuBen.5018_MES_HuyNV_191222</v>
      </c>
      <c r="R616" s="54" t="str">
        <f>IFERROR(__xludf.DUMMYFUNCTION("""COMPUTED_VALUE"""),"NEW_UnitedStates_1834_none_191222")</f>
        <v>NEW_UnitedStates_1834_none_191222</v>
      </c>
      <c r="S616" s="54" t="str">
        <f>IFERROR(__xludf.DUMMYFUNCTION("""COMPUTED_VALUE"""),"saletructiep_UnitedStates.Thongbao.LNTH._PTATT_LD005")</f>
        <v>saletructiep_UnitedStates.Thongbao.LNTH._PTATT_LD005</v>
      </c>
      <c r="T616" s="54"/>
      <c r="U616" s="56"/>
    </row>
    <row r="617">
      <c r="A617" s="66">
        <v>191222.0</v>
      </c>
      <c r="B617" s="54" t="s">
        <v>166</v>
      </c>
      <c r="C617" s="54" t="str">
        <f>IFERROR(__xludf.DUMMYFUNCTION("""COMPUTED_VALUE"""),"LD005")</f>
        <v>LD005</v>
      </c>
      <c r="D617" s="54" t="s">
        <v>42</v>
      </c>
      <c r="E617" s="73" t="s">
        <v>79</v>
      </c>
      <c r="F617" s="73" t="s">
        <v>129</v>
      </c>
      <c r="G617" s="54">
        <v>1834.0</v>
      </c>
      <c r="H617" s="54" t="s">
        <v>75</v>
      </c>
      <c r="I617" s="55" t="s">
        <v>1063</v>
      </c>
      <c r="J617" s="55" t="s">
        <v>1063</v>
      </c>
      <c r="K617" s="54" t="s">
        <v>61</v>
      </c>
      <c r="L617" s="73" t="s">
        <v>317</v>
      </c>
      <c r="M617" s="54" t="s">
        <v>78</v>
      </c>
      <c r="N617" s="73" t="s">
        <v>79</v>
      </c>
      <c r="O617" s="54" t="s">
        <v>224</v>
      </c>
      <c r="P617" s="54" t="s">
        <v>110</v>
      </c>
      <c r="Q617" s="54" t="str">
        <f>IFERROR(__xludf.DUMMYFUNCTION("""COMPUTED_VALUE"""),"Australia.Thongbao.LNTH._XuBen.5018_MES_HuyNV_191222")</f>
        <v>Australia.Thongbao.LNTH._XuBen.5018_MES_HuyNV_191222</v>
      </c>
      <c r="R617" s="54" t="str">
        <f>IFERROR(__xludf.DUMMYFUNCTION("""COMPUTED_VALUE"""),"NEW_Australia_1834_none_191222")</f>
        <v>NEW_Australia_1834_none_191222</v>
      </c>
      <c r="S617" s="54" t="str">
        <f>IFERROR(__xludf.DUMMYFUNCTION("""COMPUTED_VALUE"""),"saletructiep_Australia.Thongbao.LNTH._PTATT_LD005")</f>
        <v>saletructiep_Australia.Thongbao.LNTH._PTATT_LD005</v>
      </c>
      <c r="T617" s="54"/>
      <c r="U617" s="56"/>
    </row>
    <row r="618">
      <c r="A618" s="66">
        <v>191222.0</v>
      </c>
      <c r="B618" s="54" t="s">
        <v>166</v>
      </c>
      <c r="C618" s="54" t="str">
        <f>IFERROR(__xludf.DUMMYFUNCTION("""COMPUTED_VALUE"""),"LD005")</f>
        <v>LD005</v>
      </c>
      <c r="D618" s="54" t="s">
        <v>42</v>
      </c>
      <c r="E618" s="73" t="s">
        <v>79</v>
      </c>
      <c r="F618" s="55" t="s">
        <v>174</v>
      </c>
      <c r="G618" s="54">
        <v>1834.0</v>
      </c>
      <c r="H618" s="54" t="s">
        <v>75</v>
      </c>
      <c r="I618" s="55" t="s">
        <v>1064</v>
      </c>
      <c r="J618" s="55" t="s">
        <v>1064</v>
      </c>
      <c r="K618" s="54" t="s">
        <v>61</v>
      </c>
      <c r="L618" s="73" t="s">
        <v>317</v>
      </c>
      <c r="M618" s="54" t="s">
        <v>78</v>
      </c>
      <c r="N618" s="73" t="s">
        <v>79</v>
      </c>
      <c r="O618" s="54" t="s">
        <v>224</v>
      </c>
      <c r="P618" s="54" t="s">
        <v>110</v>
      </c>
      <c r="Q618" s="54" t="str">
        <f>IFERROR(__xludf.DUMMYFUNCTION("""COMPUTED_VALUE"""),"Philippines.Thongbao.LNTH._XuBen.5018_MES_HuyNV_191222")</f>
        <v>Philippines.Thongbao.LNTH._XuBen.5018_MES_HuyNV_191222</v>
      </c>
      <c r="R618" s="54" t="str">
        <f>IFERROR(__xludf.DUMMYFUNCTION("""COMPUTED_VALUE"""),"NEW_Philippines_1834_none_191222")</f>
        <v>NEW_Philippines_1834_none_191222</v>
      </c>
      <c r="S618" s="54" t="str">
        <f>IFERROR(__xludf.DUMMYFUNCTION("""COMPUTED_VALUE"""),"saletructiep_Philippines.Thongbao.LNTH._PTATT_LD005")</f>
        <v>saletructiep_Philippines.Thongbao.LNTH._PTATT_LD005</v>
      </c>
      <c r="T618" s="54"/>
      <c r="U618" s="56"/>
    </row>
    <row r="619">
      <c r="A619" s="66">
        <v>191222.0</v>
      </c>
      <c r="B619" s="75" t="s">
        <v>777</v>
      </c>
      <c r="C619" s="54" t="str">
        <f>IFERROR(__xludf.DUMMYFUNCTION("""COMPUTED_VALUE"""),"LD068")</f>
        <v>LD068</v>
      </c>
      <c r="D619" s="54" t="s">
        <v>42</v>
      </c>
      <c r="E619" s="73" t="s">
        <v>79</v>
      </c>
      <c r="F619" s="55" t="s">
        <v>182</v>
      </c>
      <c r="G619" s="54">
        <v>1834.0</v>
      </c>
      <c r="H619" s="54" t="s">
        <v>75</v>
      </c>
      <c r="I619" s="55" t="s">
        <v>1065</v>
      </c>
      <c r="J619" s="55" t="s">
        <v>1065</v>
      </c>
      <c r="K619" s="54" t="s">
        <v>61</v>
      </c>
      <c r="L619" s="73" t="s">
        <v>317</v>
      </c>
      <c r="M619" s="54" t="s">
        <v>78</v>
      </c>
      <c r="N619" s="73" t="s">
        <v>79</v>
      </c>
      <c r="O619" s="54" t="s">
        <v>224</v>
      </c>
      <c r="P619" s="54" t="s">
        <v>110</v>
      </c>
      <c r="Q619" s="54" t="str">
        <f>IFERROR(__xludf.DUMMYFUNCTION("""COMPUTED_VALUE"""),"Malaysia.Thongbao.LNTH._XuBen.5018_MES_HuyNV_191222")</f>
        <v>Malaysia.Thongbao.LNTH._XuBen.5018_MES_HuyNV_191222</v>
      </c>
      <c r="R619" s="54" t="str">
        <f>IFERROR(__xludf.DUMMYFUNCTION("""COMPUTED_VALUE"""),"NEW_Malaysia_1834_none_191222")</f>
        <v>NEW_Malaysia_1834_none_191222</v>
      </c>
      <c r="S619" s="54" t="str">
        <f>IFERROR(__xludf.DUMMYFUNCTION("""COMPUTED_VALUE"""),"saletructiep_Malaysia.Thongbao.LNTH._PTATT_LD068")</f>
        <v>saletructiep_Malaysia.Thongbao.LNTH._PTATT_LD068</v>
      </c>
      <c r="T619" s="54"/>
      <c r="U619" s="56"/>
    </row>
    <row r="620">
      <c r="A620" s="66">
        <v>191222.0</v>
      </c>
      <c r="B620" s="75" t="s">
        <v>777</v>
      </c>
      <c r="C620" s="54" t="str">
        <f>IFERROR(__xludf.DUMMYFUNCTION("""COMPUTED_VALUE"""),"LD068")</f>
        <v>LD068</v>
      </c>
      <c r="D620" s="54" t="s">
        <v>42</v>
      </c>
      <c r="E620" s="73" t="s">
        <v>79</v>
      </c>
      <c r="F620" s="55" t="s">
        <v>112</v>
      </c>
      <c r="G620" s="54">
        <v>1834.0</v>
      </c>
      <c r="H620" s="54" t="s">
        <v>75</v>
      </c>
      <c r="I620" s="55" t="s">
        <v>1066</v>
      </c>
      <c r="J620" s="55" t="s">
        <v>1066</v>
      </c>
      <c r="K620" s="54" t="s">
        <v>61</v>
      </c>
      <c r="L620" s="73" t="s">
        <v>317</v>
      </c>
      <c r="M620" s="54" t="s">
        <v>78</v>
      </c>
      <c r="N620" s="73" t="s">
        <v>79</v>
      </c>
      <c r="O620" s="54" t="s">
        <v>224</v>
      </c>
      <c r="P620" s="54" t="s">
        <v>110</v>
      </c>
      <c r="Q620" s="54" t="str">
        <f>IFERROR(__xludf.DUMMYFUNCTION("""COMPUTED_VALUE"""),"Canada.Thongbao.LNTH._XuBen.5018_MES_HuyNV_191222")</f>
        <v>Canada.Thongbao.LNTH._XuBen.5018_MES_HuyNV_191222</v>
      </c>
      <c r="R620" s="54" t="str">
        <f>IFERROR(__xludf.DUMMYFUNCTION("""COMPUTED_VALUE"""),"NEW_Canada_1834_none_191222")</f>
        <v>NEW_Canada_1834_none_191222</v>
      </c>
      <c r="S620" s="54" t="str">
        <f>IFERROR(__xludf.DUMMYFUNCTION("""COMPUTED_VALUE"""),"saletructiep_Canada.Thongbao.LNTH._PTATT_LD068")</f>
        <v>saletructiep_Canada.Thongbao.LNTH._PTATT_LD068</v>
      </c>
      <c r="T620" s="54"/>
      <c r="U620" s="56"/>
    </row>
    <row r="621">
      <c r="A621" s="66">
        <v>191222.0</v>
      </c>
      <c r="B621" s="54" t="s">
        <v>166</v>
      </c>
      <c r="C621" s="54" t="str">
        <f>IFERROR(__xludf.DUMMYFUNCTION("""COMPUTED_VALUE"""),"LD005")</f>
        <v>LD005</v>
      </c>
      <c r="D621" s="54" t="s">
        <v>42</v>
      </c>
      <c r="E621" s="73" t="s">
        <v>79</v>
      </c>
      <c r="F621" s="55" t="s">
        <v>164</v>
      </c>
      <c r="G621" s="54">
        <v>1834.0</v>
      </c>
      <c r="H621" s="54" t="s">
        <v>75</v>
      </c>
      <c r="I621" s="55" t="s">
        <v>1067</v>
      </c>
      <c r="J621" s="55" t="s">
        <v>1067</v>
      </c>
      <c r="K621" s="54" t="s">
        <v>61</v>
      </c>
      <c r="L621" s="73" t="s">
        <v>317</v>
      </c>
      <c r="M621" s="54" t="s">
        <v>78</v>
      </c>
      <c r="N621" s="73" t="s">
        <v>79</v>
      </c>
      <c r="O621" s="54" t="s">
        <v>224</v>
      </c>
      <c r="P621" s="54" t="s">
        <v>110</v>
      </c>
      <c r="Q621" s="54" t="str">
        <f>IFERROR(__xludf.DUMMYFUNCTION("""COMPUTED_VALUE"""),"Taiwan.Thongbao.LNTH._XuBen.5018_MES_HuyNV_191222")</f>
        <v>Taiwan.Thongbao.LNTH._XuBen.5018_MES_HuyNV_191222</v>
      </c>
      <c r="R621" s="54" t="str">
        <f>IFERROR(__xludf.DUMMYFUNCTION("""COMPUTED_VALUE"""),"NEW_Taiwan_1834_none_191222")</f>
        <v>NEW_Taiwan_1834_none_191222</v>
      </c>
      <c r="S621" s="54" t="str">
        <f>IFERROR(__xludf.DUMMYFUNCTION("""COMPUTED_VALUE"""),"saletructiep_Taiwan.Thongbao.LNTH._PTATT_LD005")</f>
        <v>saletructiep_Taiwan.Thongbao.LNTH._PTATT_LD005</v>
      </c>
      <c r="T621" s="54"/>
      <c r="U621" s="56"/>
    </row>
    <row r="622">
      <c r="A622" s="66">
        <v>191222.0</v>
      </c>
      <c r="B622" s="54" t="s">
        <v>166</v>
      </c>
      <c r="C622" s="54" t="str">
        <f>IFERROR(__xludf.DUMMYFUNCTION("""COMPUTED_VALUE"""),"LD005")</f>
        <v>LD005</v>
      </c>
      <c r="D622" s="54" t="s">
        <v>42</v>
      </c>
      <c r="E622" s="73" t="s">
        <v>79</v>
      </c>
      <c r="F622" s="94" t="s">
        <v>133</v>
      </c>
      <c r="G622" s="54">
        <v>1834.0</v>
      </c>
      <c r="H622" s="54" t="s">
        <v>75</v>
      </c>
      <c r="I622" s="55" t="s">
        <v>1068</v>
      </c>
      <c r="J622" s="73" t="s">
        <v>1068</v>
      </c>
      <c r="K622" s="54" t="s">
        <v>61</v>
      </c>
      <c r="L622" s="73" t="s">
        <v>317</v>
      </c>
      <c r="M622" s="54" t="s">
        <v>78</v>
      </c>
      <c r="N622" s="73" t="s">
        <v>79</v>
      </c>
      <c r="O622" s="54" t="s">
        <v>224</v>
      </c>
      <c r="P622" s="54" t="s">
        <v>110</v>
      </c>
      <c r="Q622" s="54" t="str">
        <f>IFERROR(__xludf.DUMMYFUNCTION("""COMPUTED_VALUE"""),"Japan.LopBaoDau.TA.LNTH_XuBen.5018_MES_HuyNV_191222")</f>
        <v>Japan.LopBaoDau.TA.LNTH_XuBen.5018_MES_HuyNV_191222</v>
      </c>
      <c r="R622" s="54" t="str">
        <f>IFERROR(__xludf.DUMMYFUNCTION("""COMPUTED_VALUE"""),"NEW_Japan_1834_none_191222")</f>
        <v>NEW_Japan_1834_none_191222</v>
      </c>
      <c r="S622" s="54" t="str">
        <f>IFERROR(__xludf.DUMMYFUNCTION("""COMPUTED_VALUE"""),"saletructiep_Japan.LopBaoDau.TA.LNTH_PTATT_LD005")</f>
        <v>saletructiep_Japan.LopBaoDau.TA.LNTH_PTATT_LD005</v>
      </c>
      <c r="T622" s="54"/>
      <c r="U622" s="56"/>
    </row>
    <row r="623">
      <c r="A623" s="66">
        <v>191222.0</v>
      </c>
      <c r="B623" s="75" t="s">
        <v>777</v>
      </c>
      <c r="C623" s="54" t="str">
        <f>IFERROR(__xludf.DUMMYFUNCTION("""COMPUTED_VALUE"""),"LD068")</f>
        <v>LD068</v>
      </c>
      <c r="D623" s="54" t="s">
        <v>42</v>
      </c>
      <c r="E623" s="73" t="s">
        <v>79</v>
      </c>
      <c r="F623" s="73" t="s">
        <v>625</v>
      </c>
      <c r="G623" s="54">
        <v>1834.0</v>
      </c>
      <c r="H623" s="54" t="s">
        <v>75</v>
      </c>
      <c r="I623" s="55" t="s">
        <v>1069</v>
      </c>
      <c r="J623" s="73" t="s">
        <v>1069</v>
      </c>
      <c r="K623" s="54" t="s">
        <v>61</v>
      </c>
      <c r="L623" s="73" t="s">
        <v>317</v>
      </c>
      <c r="M623" s="54" t="s">
        <v>78</v>
      </c>
      <c r="N623" s="73" t="s">
        <v>79</v>
      </c>
      <c r="O623" s="54" t="s">
        <v>224</v>
      </c>
      <c r="P623" s="54" t="s">
        <v>110</v>
      </c>
      <c r="Q623" s="54" t="str">
        <f>IFERROR(__xludf.DUMMYFUNCTION("""COMPUTED_VALUE"""),"KoreaSouth.LopBaoDau.TA.LNTH_XuBen.5018_MES_HuyNV_191222")</f>
        <v>KoreaSouth.LopBaoDau.TA.LNTH_XuBen.5018_MES_HuyNV_191222</v>
      </c>
      <c r="R623" s="54" t="str">
        <f>IFERROR(__xludf.DUMMYFUNCTION("""COMPUTED_VALUE"""),"NEW_KoreaSouth_1834_none_191222")</f>
        <v>NEW_KoreaSouth_1834_none_191222</v>
      </c>
      <c r="S623" s="54" t="str">
        <f>IFERROR(__xludf.DUMMYFUNCTION("""COMPUTED_VALUE"""),"saletructiep_KoreaSouth.LopBaoDau.TA.LNTH_PTATT_LD068")</f>
        <v>saletructiep_KoreaSouth.LopBaoDau.TA.LNTH_PTATT_LD068</v>
      </c>
      <c r="T623" s="54"/>
      <c r="U623" s="56"/>
    </row>
    <row r="624">
      <c r="A624" s="66">
        <v>191222.0</v>
      </c>
      <c r="B624" s="54" t="s">
        <v>166</v>
      </c>
      <c r="C624" s="54" t="str">
        <f>IFERROR(__xludf.DUMMYFUNCTION("""COMPUTED_VALUE"""),"LD005")</f>
        <v>LD005</v>
      </c>
      <c r="D624" s="54" t="s">
        <v>42</v>
      </c>
      <c r="E624" s="73" t="s">
        <v>79</v>
      </c>
      <c r="F624" s="55" t="s">
        <v>107</v>
      </c>
      <c r="G624" s="54">
        <v>1834.0</v>
      </c>
      <c r="H624" s="54" t="s">
        <v>75</v>
      </c>
      <c r="I624" s="55" t="s">
        <v>1070</v>
      </c>
      <c r="J624" s="73" t="s">
        <v>1070</v>
      </c>
      <c r="K624" s="54" t="s">
        <v>61</v>
      </c>
      <c r="L624" s="73" t="s">
        <v>317</v>
      </c>
      <c r="M624" s="54" t="s">
        <v>78</v>
      </c>
      <c r="N624" s="73" t="s">
        <v>79</v>
      </c>
      <c r="O624" s="54" t="s">
        <v>224</v>
      </c>
      <c r="P624" s="54" t="s">
        <v>110</v>
      </c>
      <c r="Q624" s="54" t="str">
        <f>IFERROR(__xludf.DUMMYFUNCTION("""COMPUTED_VALUE"""),"UnitedStates.LopBaoDau.TA.LNTH_XuBen.5018_MES_HuyNV_191222")</f>
        <v>UnitedStates.LopBaoDau.TA.LNTH_XuBen.5018_MES_HuyNV_191222</v>
      </c>
      <c r="R624" s="54" t="str">
        <f>IFERROR(__xludf.DUMMYFUNCTION("""COMPUTED_VALUE"""),"NEW_UnitedStates_1834_none_191222")</f>
        <v>NEW_UnitedStates_1834_none_191222</v>
      </c>
      <c r="S624" s="54" t="str">
        <f>IFERROR(__xludf.DUMMYFUNCTION("""COMPUTED_VALUE"""),"saletructiep_UnitedStates.LopBaoDau.TA.LNTH_PTATT_LD005")</f>
        <v>saletructiep_UnitedStates.LopBaoDau.TA.LNTH_PTATT_LD005</v>
      </c>
      <c r="T624" s="54"/>
      <c r="U624" s="56"/>
    </row>
    <row r="625">
      <c r="A625" s="66">
        <v>191222.0</v>
      </c>
      <c r="B625" s="54" t="s">
        <v>166</v>
      </c>
      <c r="C625" s="54" t="str">
        <f>IFERROR(__xludf.DUMMYFUNCTION("""COMPUTED_VALUE"""),"LD005")</f>
        <v>LD005</v>
      </c>
      <c r="D625" s="54" t="s">
        <v>42</v>
      </c>
      <c r="E625" s="73" t="s">
        <v>79</v>
      </c>
      <c r="F625" s="73" t="s">
        <v>129</v>
      </c>
      <c r="G625" s="54">
        <v>1834.0</v>
      </c>
      <c r="H625" s="54" t="s">
        <v>75</v>
      </c>
      <c r="I625" s="55" t="s">
        <v>1071</v>
      </c>
      <c r="J625" s="73" t="s">
        <v>1071</v>
      </c>
      <c r="K625" s="54" t="s">
        <v>61</v>
      </c>
      <c r="L625" s="73" t="s">
        <v>317</v>
      </c>
      <c r="M625" s="54" t="s">
        <v>78</v>
      </c>
      <c r="N625" s="73" t="s">
        <v>79</v>
      </c>
      <c r="O625" s="54" t="s">
        <v>224</v>
      </c>
      <c r="P625" s="54" t="s">
        <v>110</v>
      </c>
      <c r="Q625" s="54" t="str">
        <f>IFERROR(__xludf.DUMMYFUNCTION("""COMPUTED_VALUE"""),"Australia.LopBaoDau.TA.LNTH_XuBen.5018_MES_HuyNV_191222")</f>
        <v>Australia.LopBaoDau.TA.LNTH_XuBen.5018_MES_HuyNV_191222</v>
      </c>
      <c r="R625" s="54" t="str">
        <f>IFERROR(__xludf.DUMMYFUNCTION("""COMPUTED_VALUE"""),"NEW_Australia_1834_none_191222")</f>
        <v>NEW_Australia_1834_none_191222</v>
      </c>
      <c r="S625" s="54" t="str">
        <f>IFERROR(__xludf.DUMMYFUNCTION("""COMPUTED_VALUE"""),"saletructiep_Australia.LopBaoDau.TA.LNTH_PTATT_LD005")</f>
        <v>saletructiep_Australia.LopBaoDau.TA.LNTH_PTATT_LD005</v>
      </c>
      <c r="T625" s="54"/>
      <c r="U625" s="56"/>
    </row>
    <row r="626">
      <c r="A626" s="66">
        <v>191222.0</v>
      </c>
      <c r="B626" s="54" t="s">
        <v>166</v>
      </c>
      <c r="C626" s="54" t="str">
        <f>IFERROR(__xludf.DUMMYFUNCTION("""COMPUTED_VALUE"""),"LD005")</f>
        <v>LD005</v>
      </c>
      <c r="D626" s="54" t="s">
        <v>42</v>
      </c>
      <c r="E626" s="73" t="s">
        <v>79</v>
      </c>
      <c r="F626" s="55" t="s">
        <v>174</v>
      </c>
      <c r="G626" s="54">
        <v>1834.0</v>
      </c>
      <c r="H626" s="54" t="s">
        <v>75</v>
      </c>
      <c r="I626" s="55" t="s">
        <v>1072</v>
      </c>
      <c r="J626" s="73" t="s">
        <v>1072</v>
      </c>
      <c r="K626" s="54" t="s">
        <v>61</v>
      </c>
      <c r="L626" s="73" t="s">
        <v>317</v>
      </c>
      <c r="M626" s="54" t="s">
        <v>78</v>
      </c>
      <c r="N626" s="73" t="s">
        <v>79</v>
      </c>
      <c r="O626" s="54" t="s">
        <v>224</v>
      </c>
      <c r="P626" s="54" t="s">
        <v>110</v>
      </c>
      <c r="Q626" s="54" t="str">
        <f>IFERROR(__xludf.DUMMYFUNCTION("""COMPUTED_VALUE"""),"Philippines.LopBaoDau.TA.LNTH_XuBen.5018_MES_HuyNV_191222")</f>
        <v>Philippines.LopBaoDau.TA.LNTH_XuBen.5018_MES_HuyNV_191222</v>
      </c>
      <c r="R626" s="54" t="str">
        <f>IFERROR(__xludf.DUMMYFUNCTION("""COMPUTED_VALUE"""),"NEW_Philippines_1834_none_191222")</f>
        <v>NEW_Philippines_1834_none_191222</v>
      </c>
      <c r="S626" s="54" t="str">
        <f>IFERROR(__xludf.DUMMYFUNCTION("""COMPUTED_VALUE"""),"saletructiep_Philippines.LopBaoDau.TA.LNTH_PTATT_LD005")</f>
        <v>saletructiep_Philippines.LopBaoDau.TA.LNTH_PTATT_LD005</v>
      </c>
      <c r="T626" s="54"/>
      <c r="U626" s="56"/>
    </row>
    <row r="627">
      <c r="A627" s="66">
        <v>191222.0</v>
      </c>
      <c r="B627" s="54" t="s">
        <v>166</v>
      </c>
      <c r="C627" s="54" t="str">
        <f>IFERROR(__xludf.DUMMYFUNCTION("""COMPUTED_VALUE"""),"LD005")</f>
        <v>LD005</v>
      </c>
      <c r="D627" s="54" t="s">
        <v>42</v>
      </c>
      <c r="E627" s="73" t="s">
        <v>79</v>
      </c>
      <c r="F627" s="55" t="s">
        <v>182</v>
      </c>
      <c r="G627" s="54">
        <v>1834.0</v>
      </c>
      <c r="H627" s="54" t="s">
        <v>75</v>
      </c>
      <c r="I627" s="55" t="s">
        <v>1073</v>
      </c>
      <c r="J627" s="73" t="s">
        <v>1073</v>
      </c>
      <c r="K627" s="54" t="s">
        <v>61</v>
      </c>
      <c r="L627" s="73" t="s">
        <v>317</v>
      </c>
      <c r="M627" s="54" t="s">
        <v>78</v>
      </c>
      <c r="N627" s="73" t="s">
        <v>79</v>
      </c>
      <c r="O627" s="54" t="s">
        <v>224</v>
      </c>
      <c r="P627" s="54" t="s">
        <v>110</v>
      </c>
      <c r="Q627" s="54" t="str">
        <f>IFERROR(__xludf.DUMMYFUNCTION("""COMPUTED_VALUE"""),"Malaysia.LopBaoDau.TA.LNTH_XuBen.5018_MES_HuyNV_191222")</f>
        <v>Malaysia.LopBaoDau.TA.LNTH_XuBen.5018_MES_HuyNV_191222</v>
      </c>
      <c r="R627" s="54" t="str">
        <f>IFERROR(__xludf.DUMMYFUNCTION("""COMPUTED_VALUE"""),"NEW_Malaysia_1834_none_191222")</f>
        <v>NEW_Malaysia_1834_none_191222</v>
      </c>
      <c r="S627" s="54" t="str">
        <f>IFERROR(__xludf.DUMMYFUNCTION("""COMPUTED_VALUE"""),"saletructiep_Malaysia.LopBaoDau.TA.LNTH_PTATT_LD005")</f>
        <v>saletructiep_Malaysia.LopBaoDau.TA.LNTH_PTATT_LD005</v>
      </c>
      <c r="T627" s="54"/>
      <c r="U627" s="56"/>
    </row>
    <row r="628">
      <c r="A628" s="66">
        <v>191222.0</v>
      </c>
      <c r="B628" s="75" t="s">
        <v>777</v>
      </c>
      <c r="C628" s="54" t="str">
        <f>IFERROR(__xludf.DUMMYFUNCTION("""COMPUTED_VALUE"""),"LD068")</f>
        <v>LD068</v>
      </c>
      <c r="D628" s="54" t="s">
        <v>42</v>
      </c>
      <c r="E628" s="73" t="s">
        <v>79</v>
      </c>
      <c r="F628" s="55" t="s">
        <v>112</v>
      </c>
      <c r="G628" s="54">
        <v>1834.0</v>
      </c>
      <c r="H628" s="54" t="s">
        <v>75</v>
      </c>
      <c r="I628" s="55" t="s">
        <v>1074</v>
      </c>
      <c r="J628" s="73" t="s">
        <v>1074</v>
      </c>
      <c r="K628" s="54" t="s">
        <v>61</v>
      </c>
      <c r="L628" s="73" t="s">
        <v>317</v>
      </c>
      <c r="M628" s="54" t="s">
        <v>78</v>
      </c>
      <c r="N628" s="73" t="s">
        <v>79</v>
      </c>
      <c r="O628" s="54" t="s">
        <v>224</v>
      </c>
      <c r="P628" s="54" t="s">
        <v>110</v>
      </c>
      <c r="Q628" s="54" t="str">
        <f>IFERROR(__xludf.DUMMYFUNCTION("""COMPUTED_VALUE"""),"Canada.LopBaoDau.TA.LNTH_XuBen.5018_MES_HuyNV_191222")</f>
        <v>Canada.LopBaoDau.TA.LNTH_XuBen.5018_MES_HuyNV_191222</v>
      </c>
      <c r="R628" s="54" t="str">
        <f>IFERROR(__xludf.DUMMYFUNCTION("""COMPUTED_VALUE"""),"NEW_Canada_1834_none_191222")</f>
        <v>NEW_Canada_1834_none_191222</v>
      </c>
      <c r="S628" s="54" t="str">
        <f>IFERROR(__xludf.DUMMYFUNCTION("""COMPUTED_VALUE"""),"saletructiep_Canada.LopBaoDau.TA.LNTH_PTATT_LD068")</f>
        <v>saletructiep_Canada.LopBaoDau.TA.LNTH_PTATT_LD068</v>
      </c>
      <c r="T628" s="54"/>
      <c r="U628" s="56"/>
    </row>
    <row r="629">
      <c r="A629" s="66">
        <v>191222.0</v>
      </c>
      <c r="B629" s="54" t="s">
        <v>166</v>
      </c>
      <c r="C629" s="54" t="str">
        <f>IFERROR(__xludf.DUMMYFUNCTION("""COMPUTED_VALUE"""),"LD005")</f>
        <v>LD005</v>
      </c>
      <c r="D629" s="54" t="s">
        <v>42</v>
      </c>
      <c r="E629" s="73" t="s">
        <v>79</v>
      </c>
      <c r="F629" s="55" t="s">
        <v>164</v>
      </c>
      <c r="G629" s="54">
        <v>1834.0</v>
      </c>
      <c r="H629" s="54" t="s">
        <v>75</v>
      </c>
      <c r="I629" s="55" t="s">
        <v>1075</v>
      </c>
      <c r="J629" s="73" t="s">
        <v>1075</v>
      </c>
      <c r="K629" s="54" t="s">
        <v>61</v>
      </c>
      <c r="L629" s="73" t="s">
        <v>317</v>
      </c>
      <c r="M629" s="54" t="s">
        <v>78</v>
      </c>
      <c r="N629" s="73" t="s">
        <v>79</v>
      </c>
      <c r="O629" s="54" t="s">
        <v>224</v>
      </c>
      <c r="P629" s="54" t="s">
        <v>110</v>
      </c>
      <c r="Q629" s="54" t="str">
        <f>IFERROR(__xludf.DUMMYFUNCTION("""COMPUTED_VALUE"""),"Taiwan.LopBaoDau.TA.LNTH_XuBen.5018_MES_HuyNV_191222")</f>
        <v>Taiwan.LopBaoDau.TA.LNTH_XuBen.5018_MES_HuyNV_191222</v>
      </c>
      <c r="R629" s="54" t="str">
        <f>IFERROR(__xludf.DUMMYFUNCTION("""COMPUTED_VALUE"""),"NEW_Taiwan_1834_none_191222")</f>
        <v>NEW_Taiwan_1834_none_191222</v>
      </c>
      <c r="S629" s="54" t="str">
        <f>IFERROR(__xludf.DUMMYFUNCTION("""COMPUTED_VALUE"""),"saletructiep_Taiwan.LopBaoDau.TA.LNTH_PTATT_LD005")</f>
        <v>saletructiep_Taiwan.LopBaoDau.TA.LNTH_PTATT_LD005</v>
      </c>
      <c r="T629" s="54"/>
      <c r="U629" s="56"/>
    </row>
    <row r="630">
      <c r="A630" s="66">
        <v>210222.0</v>
      </c>
      <c r="B630" s="54" t="s">
        <v>166</v>
      </c>
      <c r="C630" s="54" t="str">
        <f>IFERROR(__xludf.DUMMYFUNCTION("""COMPUTED_VALUE"""),"LD005")</f>
        <v>LD005</v>
      </c>
      <c r="D630" s="54" t="s">
        <v>42</v>
      </c>
      <c r="E630" s="73" t="s">
        <v>79</v>
      </c>
      <c r="F630" s="94" t="s">
        <v>133</v>
      </c>
      <c r="G630" s="54">
        <v>1834.0</v>
      </c>
      <c r="H630" s="54" t="s">
        <v>75</v>
      </c>
      <c r="I630" s="55" t="s">
        <v>1076</v>
      </c>
      <c r="J630" s="55" t="s">
        <v>1076</v>
      </c>
      <c r="K630" s="54" t="s">
        <v>61</v>
      </c>
      <c r="L630" s="73" t="s">
        <v>317</v>
      </c>
      <c r="M630" s="54" t="s">
        <v>78</v>
      </c>
      <c r="N630" s="73" t="s">
        <v>79</v>
      </c>
      <c r="O630" s="54" t="s">
        <v>224</v>
      </c>
      <c r="P630" s="54" t="s">
        <v>110</v>
      </c>
      <c r="Q630" s="54" t="str">
        <f>IFERROR(__xludf.DUMMYFUNCTION("""COMPUTED_VALUE"""),"Japan.CPTA.LNTH_XuBen.5018_MES_HuyNV_210222")</f>
        <v>Japan.CPTA.LNTH_XuBen.5018_MES_HuyNV_210222</v>
      </c>
      <c r="R630" s="54" t="str">
        <f>IFERROR(__xludf.DUMMYFUNCTION("""COMPUTED_VALUE"""),"NEW_Japan_1834_none_210222")</f>
        <v>NEW_Japan_1834_none_210222</v>
      </c>
      <c r="S630" s="54" t="str">
        <f>IFERROR(__xludf.DUMMYFUNCTION("""COMPUTED_VALUE"""),"saletructiep_Japan.CPTA.LNTH_PTATT_LD005")</f>
        <v>saletructiep_Japan.CPTA.LNTH_PTATT_LD005</v>
      </c>
      <c r="T630" s="54"/>
      <c r="U630" s="56"/>
    </row>
    <row r="631">
      <c r="A631" s="66">
        <v>210222.0</v>
      </c>
      <c r="B631" s="75" t="s">
        <v>777</v>
      </c>
      <c r="C631" s="54" t="str">
        <f>IFERROR(__xludf.DUMMYFUNCTION("""COMPUTED_VALUE"""),"LD068")</f>
        <v>LD068</v>
      </c>
      <c r="D631" s="54" t="s">
        <v>42</v>
      </c>
      <c r="E631" s="73" t="s">
        <v>79</v>
      </c>
      <c r="F631" s="73" t="s">
        <v>625</v>
      </c>
      <c r="G631" s="54">
        <v>1834.0</v>
      </c>
      <c r="H631" s="54" t="s">
        <v>75</v>
      </c>
      <c r="I631" s="55" t="s">
        <v>1077</v>
      </c>
      <c r="J631" s="55" t="s">
        <v>1077</v>
      </c>
      <c r="K631" s="54" t="s">
        <v>61</v>
      </c>
      <c r="L631" s="73" t="s">
        <v>317</v>
      </c>
      <c r="M631" s="54" t="s">
        <v>78</v>
      </c>
      <c r="N631" s="73" t="s">
        <v>79</v>
      </c>
      <c r="O631" s="54" t="s">
        <v>224</v>
      </c>
      <c r="P631" s="54" t="s">
        <v>110</v>
      </c>
      <c r="Q631" s="54" t="str">
        <f>IFERROR(__xludf.DUMMYFUNCTION("""COMPUTED_VALUE"""),"KoreaSouth.CPTA.LNTH_XuBen.5018_MES_HuyNV_210222")</f>
        <v>KoreaSouth.CPTA.LNTH_XuBen.5018_MES_HuyNV_210222</v>
      </c>
      <c r="R631" s="54" t="str">
        <f>IFERROR(__xludf.DUMMYFUNCTION("""COMPUTED_VALUE"""),"NEW_KoreaSouth_1834_none_210222")</f>
        <v>NEW_KoreaSouth_1834_none_210222</v>
      </c>
      <c r="S631" s="54" t="str">
        <f>IFERROR(__xludf.DUMMYFUNCTION("""COMPUTED_VALUE"""),"saletructiep_KoreaSouth.CPTA.LNTH_PTATT_LD068")</f>
        <v>saletructiep_KoreaSouth.CPTA.LNTH_PTATT_LD068</v>
      </c>
      <c r="T631" s="54"/>
      <c r="U631" s="56"/>
    </row>
    <row r="632">
      <c r="A632" s="66">
        <v>210222.0</v>
      </c>
      <c r="B632" s="54" t="s">
        <v>166</v>
      </c>
      <c r="C632" s="54" t="str">
        <f>IFERROR(__xludf.DUMMYFUNCTION("""COMPUTED_VALUE"""),"LD005")</f>
        <v>LD005</v>
      </c>
      <c r="D632" s="54" t="s">
        <v>42</v>
      </c>
      <c r="E632" s="73" t="s">
        <v>79</v>
      </c>
      <c r="F632" s="55" t="s">
        <v>107</v>
      </c>
      <c r="G632" s="54">
        <v>1834.0</v>
      </c>
      <c r="H632" s="54" t="s">
        <v>75</v>
      </c>
      <c r="I632" s="55" t="s">
        <v>1078</v>
      </c>
      <c r="J632" s="55" t="s">
        <v>1078</v>
      </c>
      <c r="K632" s="54" t="s">
        <v>61</v>
      </c>
      <c r="L632" s="73" t="s">
        <v>317</v>
      </c>
      <c r="M632" s="54" t="s">
        <v>78</v>
      </c>
      <c r="N632" s="73" t="s">
        <v>79</v>
      </c>
      <c r="O632" s="54" t="s">
        <v>224</v>
      </c>
      <c r="P632" s="54" t="s">
        <v>110</v>
      </c>
      <c r="Q632" s="54" t="str">
        <f>IFERROR(__xludf.DUMMYFUNCTION("""COMPUTED_VALUE"""),"UnitedStates.CPTA.LNTH_XuBen.5018_MES_HuyNV_210222")</f>
        <v>UnitedStates.CPTA.LNTH_XuBen.5018_MES_HuyNV_210222</v>
      </c>
      <c r="R632" s="54" t="str">
        <f>IFERROR(__xludf.DUMMYFUNCTION("""COMPUTED_VALUE"""),"NEW_UnitedStates_1834_none_210222")</f>
        <v>NEW_UnitedStates_1834_none_210222</v>
      </c>
      <c r="S632" s="54" t="str">
        <f>IFERROR(__xludf.DUMMYFUNCTION("""COMPUTED_VALUE"""),"saletructiep_UnitedStates.CPTA.LNTH_PTATT_LD005")</f>
        <v>saletructiep_UnitedStates.CPTA.LNTH_PTATT_LD005</v>
      </c>
      <c r="T632" s="54"/>
      <c r="U632" s="56"/>
    </row>
    <row r="633">
      <c r="A633" s="66">
        <v>210222.0</v>
      </c>
      <c r="B633" s="75" t="s">
        <v>777</v>
      </c>
      <c r="C633" s="54" t="str">
        <f>IFERROR(__xludf.DUMMYFUNCTION("""COMPUTED_VALUE"""),"LD068")</f>
        <v>LD068</v>
      </c>
      <c r="D633" s="54" t="s">
        <v>42</v>
      </c>
      <c r="E633" s="73" t="s">
        <v>79</v>
      </c>
      <c r="F633" s="73" t="s">
        <v>129</v>
      </c>
      <c r="G633" s="54">
        <v>1834.0</v>
      </c>
      <c r="H633" s="54" t="s">
        <v>75</v>
      </c>
      <c r="I633" s="55" t="s">
        <v>1079</v>
      </c>
      <c r="J633" s="55" t="s">
        <v>1079</v>
      </c>
      <c r="K633" s="54" t="s">
        <v>61</v>
      </c>
      <c r="L633" s="73" t="s">
        <v>317</v>
      </c>
      <c r="M633" s="54" t="s">
        <v>78</v>
      </c>
      <c r="N633" s="73" t="s">
        <v>79</v>
      </c>
      <c r="O633" s="54" t="s">
        <v>224</v>
      </c>
      <c r="P633" s="54" t="s">
        <v>110</v>
      </c>
      <c r="Q633" s="54" t="str">
        <f>IFERROR(__xludf.DUMMYFUNCTION("""COMPUTED_VALUE"""),"Australia.CPTA.LNTH_XuBen.5018_MES_HuyNV_210222")</f>
        <v>Australia.CPTA.LNTH_XuBen.5018_MES_HuyNV_210222</v>
      </c>
      <c r="R633" s="54" t="str">
        <f>IFERROR(__xludf.DUMMYFUNCTION("""COMPUTED_VALUE"""),"NEW_Australia_1834_none_210222")</f>
        <v>NEW_Australia_1834_none_210222</v>
      </c>
      <c r="S633" s="54" t="str">
        <f>IFERROR(__xludf.DUMMYFUNCTION("""COMPUTED_VALUE"""),"saletructiep_Australia.CPTA.LNTH_PTATT_LD068")</f>
        <v>saletructiep_Australia.CPTA.LNTH_PTATT_LD068</v>
      </c>
      <c r="T633" s="54"/>
      <c r="U633" s="56"/>
    </row>
    <row r="634">
      <c r="A634" s="66">
        <v>210222.0</v>
      </c>
      <c r="B634" s="54" t="s">
        <v>166</v>
      </c>
      <c r="C634" s="54" t="str">
        <f>IFERROR(__xludf.DUMMYFUNCTION("""COMPUTED_VALUE"""),"LD005")</f>
        <v>LD005</v>
      </c>
      <c r="D634" s="54" t="s">
        <v>42</v>
      </c>
      <c r="E634" s="73" t="s">
        <v>79</v>
      </c>
      <c r="F634" s="55" t="s">
        <v>174</v>
      </c>
      <c r="G634" s="54">
        <v>1834.0</v>
      </c>
      <c r="H634" s="54" t="s">
        <v>75</v>
      </c>
      <c r="I634" s="55" t="s">
        <v>1080</v>
      </c>
      <c r="J634" s="55" t="s">
        <v>1080</v>
      </c>
      <c r="K634" s="54" t="s">
        <v>61</v>
      </c>
      <c r="L634" s="73" t="s">
        <v>317</v>
      </c>
      <c r="M634" s="54" t="s">
        <v>78</v>
      </c>
      <c r="N634" s="73" t="s">
        <v>79</v>
      </c>
      <c r="O634" s="54" t="s">
        <v>224</v>
      </c>
      <c r="P634" s="54" t="s">
        <v>110</v>
      </c>
      <c r="Q634" s="54" t="str">
        <f>IFERROR(__xludf.DUMMYFUNCTION("""COMPUTED_VALUE"""),"Philippines.CPTA.LNTH_XuBen.5018_MES_HuyNV_210222")</f>
        <v>Philippines.CPTA.LNTH_XuBen.5018_MES_HuyNV_210222</v>
      </c>
      <c r="R634" s="54" t="str">
        <f>IFERROR(__xludf.DUMMYFUNCTION("""COMPUTED_VALUE"""),"NEW_Philippines_1834_none_210222")</f>
        <v>NEW_Philippines_1834_none_210222</v>
      </c>
      <c r="S634" s="54" t="str">
        <f>IFERROR(__xludf.DUMMYFUNCTION("""COMPUTED_VALUE"""),"saletructiep_Philippines.CPTA.LNTH_PTATT_LD005")</f>
        <v>saletructiep_Philippines.CPTA.LNTH_PTATT_LD005</v>
      </c>
      <c r="T634" s="54"/>
      <c r="U634" s="56"/>
    </row>
    <row r="635">
      <c r="A635" s="66">
        <v>210222.0</v>
      </c>
      <c r="B635" s="75" t="s">
        <v>777</v>
      </c>
      <c r="C635" s="54" t="str">
        <f>IFERROR(__xludf.DUMMYFUNCTION("""COMPUTED_VALUE"""),"LD068")</f>
        <v>LD068</v>
      </c>
      <c r="D635" s="54" t="s">
        <v>42</v>
      </c>
      <c r="E635" s="73" t="s">
        <v>79</v>
      </c>
      <c r="F635" s="55" t="s">
        <v>182</v>
      </c>
      <c r="G635" s="54">
        <v>1834.0</v>
      </c>
      <c r="H635" s="54" t="s">
        <v>75</v>
      </c>
      <c r="I635" s="55" t="s">
        <v>1081</v>
      </c>
      <c r="J635" s="55" t="s">
        <v>1081</v>
      </c>
      <c r="K635" s="54" t="s">
        <v>61</v>
      </c>
      <c r="L635" s="73" t="s">
        <v>317</v>
      </c>
      <c r="M635" s="54" t="s">
        <v>78</v>
      </c>
      <c r="N635" s="73" t="s">
        <v>79</v>
      </c>
      <c r="O635" s="54" t="s">
        <v>224</v>
      </c>
      <c r="P635" s="54" t="s">
        <v>110</v>
      </c>
      <c r="Q635" s="54" t="str">
        <f>IFERROR(__xludf.DUMMYFUNCTION("""COMPUTED_VALUE"""),"Malaysia.CPTA.LNTH_XuBen.5018_MES_HuyNV_210222")</f>
        <v>Malaysia.CPTA.LNTH_XuBen.5018_MES_HuyNV_210222</v>
      </c>
      <c r="R635" s="54" t="str">
        <f>IFERROR(__xludf.DUMMYFUNCTION("""COMPUTED_VALUE"""),"NEW_Malaysia_1834_none_210222")</f>
        <v>NEW_Malaysia_1834_none_210222</v>
      </c>
      <c r="S635" s="54" t="str">
        <f>IFERROR(__xludf.DUMMYFUNCTION("""COMPUTED_VALUE"""),"saletructiep_Malaysia.CPTA.LNTH_PTATT_LD068")</f>
        <v>saletructiep_Malaysia.CPTA.LNTH_PTATT_LD068</v>
      </c>
      <c r="T635" s="54"/>
      <c r="U635" s="56"/>
    </row>
    <row r="636">
      <c r="A636" s="66">
        <v>210222.0</v>
      </c>
      <c r="B636" s="54" t="s">
        <v>166</v>
      </c>
      <c r="C636" s="54" t="str">
        <f>IFERROR(__xludf.DUMMYFUNCTION("""COMPUTED_VALUE"""),"LD005")</f>
        <v>LD005</v>
      </c>
      <c r="D636" s="54" t="s">
        <v>42</v>
      </c>
      <c r="E636" s="73" t="s">
        <v>79</v>
      </c>
      <c r="F636" s="55" t="s">
        <v>112</v>
      </c>
      <c r="G636" s="54">
        <v>1834.0</v>
      </c>
      <c r="H636" s="54" t="s">
        <v>75</v>
      </c>
      <c r="I636" s="55" t="s">
        <v>1082</v>
      </c>
      <c r="J636" s="55" t="s">
        <v>1082</v>
      </c>
      <c r="K636" s="54" t="s">
        <v>61</v>
      </c>
      <c r="L636" s="73" t="s">
        <v>317</v>
      </c>
      <c r="M636" s="54" t="s">
        <v>78</v>
      </c>
      <c r="N636" s="73" t="s">
        <v>79</v>
      </c>
      <c r="O636" s="54" t="s">
        <v>224</v>
      </c>
      <c r="P636" s="54" t="s">
        <v>110</v>
      </c>
      <c r="Q636" s="54" t="str">
        <f>IFERROR(__xludf.DUMMYFUNCTION("""COMPUTED_VALUE"""),"Canada.CPTA.LNTH_XuBen.5018_MES_HuyNV_210222")</f>
        <v>Canada.CPTA.LNTH_XuBen.5018_MES_HuyNV_210222</v>
      </c>
      <c r="R636" s="54" t="str">
        <f>IFERROR(__xludf.DUMMYFUNCTION("""COMPUTED_VALUE"""),"NEW_Canada_1834_none_210222")</f>
        <v>NEW_Canada_1834_none_210222</v>
      </c>
      <c r="S636" s="54" t="str">
        <f>IFERROR(__xludf.DUMMYFUNCTION("""COMPUTED_VALUE"""),"saletructiep_Canada.CPTA.LNTH_PTATT_LD005")</f>
        <v>saletructiep_Canada.CPTA.LNTH_PTATT_LD005</v>
      </c>
      <c r="T636" s="54"/>
      <c r="U636" s="56"/>
    </row>
    <row r="637">
      <c r="A637" s="66">
        <v>210222.0</v>
      </c>
      <c r="B637" s="75" t="s">
        <v>777</v>
      </c>
      <c r="C637" s="54" t="str">
        <f>IFERROR(__xludf.DUMMYFUNCTION("""COMPUTED_VALUE"""),"LD068")</f>
        <v>LD068</v>
      </c>
      <c r="D637" s="54" t="s">
        <v>42</v>
      </c>
      <c r="E637" s="73" t="s">
        <v>79</v>
      </c>
      <c r="F637" s="55" t="s">
        <v>164</v>
      </c>
      <c r="G637" s="54">
        <v>1834.0</v>
      </c>
      <c r="H637" s="54" t="s">
        <v>75</v>
      </c>
      <c r="I637" s="55" t="s">
        <v>1083</v>
      </c>
      <c r="J637" s="55" t="s">
        <v>1083</v>
      </c>
      <c r="K637" s="54" t="s">
        <v>61</v>
      </c>
      <c r="L637" s="73" t="s">
        <v>317</v>
      </c>
      <c r="M637" s="54" t="s">
        <v>78</v>
      </c>
      <c r="N637" s="73" t="s">
        <v>79</v>
      </c>
      <c r="O637" s="54" t="s">
        <v>224</v>
      </c>
      <c r="P637" s="54" t="s">
        <v>110</v>
      </c>
      <c r="Q637" s="54" t="str">
        <f>IFERROR(__xludf.DUMMYFUNCTION("""COMPUTED_VALUE"""),"Taiwan.CPTA.LNTH_XuBen.5018_MES_HuyNV_210222")</f>
        <v>Taiwan.CPTA.LNTH_XuBen.5018_MES_HuyNV_210222</v>
      </c>
      <c r="R637" s="54" t="str">
        <f>IFERROR(__xludf.DUMMYFUNCTION("""COMPUTED_VALUE"""),"NEW_Taiwan_1834_none_210222")</f>
        <v>NEW_Taiwan_1834_none_210222</v>
      </c>
      <c r="S637" s="54" t="str">
        <f>IFERROR(__xludf.DUMMYFUNCTION("""COMPUTED_VALUE"""),"saletructiep_Taiwan.CPTA.LNTH_PTATT_LD068")</f>
        <v>saletructiep_Taiwan.CPTA.LNTH_PTATT_LD068</v>
      </c>
      <c r="T637" s="54"/>
      <c r="U637" s="56"/>
    </row>
    <row r="638">
      <c r="A638" s="66">
        <v>210222.0</v>
      </c>
      <c r="B638" s="54" t="s">
        <v>166</v>
      </c>
      <c r="C638" s="54" t="str">
        <f>IFERROR(__xludf.DUMMYFUNCTION("""COMPUTED_VALUE"""),"LD005")</f>
        <v>LD005</v>
      </c>
      <c r="D638" s="54" t="s">
        <v>42</v>
      </c>
      <c r="E638" s="73" t="s">
        <v>79</v>
      </c>
      <c r="F638" s="94" t="s">
        <v>133</v>
      </c>
      <c r="G638" s="54">
        <v>1834.0</v>
      </c>
      <c r="H638" s="54" t="s">
        <v>75</v>
      </c>
      <c r="I638" s="55" t="s">
        <v>1084</v>
      </c>
      <c r="J638" s="55" t="s">
        <v>1084</v>
      </c>
      <c r="K638" s="54" t="s">
        <v>61</v>
      </c>
      <c r="L638" s="73" t="s">
        <v>317</v>
      </c>
      <c r="M638" s="54" t="s">
        <v>78</v>
      </c>
      <c r="N638" s="73" t="s">
        <v>79</v>
      </c>
      <c r="O638" s="54" t="s">
        <v>224</v>
      </c>
      <c r="P638" s="54" t="s">
        <v>110</v>
      </c>
      <c r="Q638" s="54" t="str">
        <f>IFERROR(__xludf.DUMMYFUNCTION("""COMPUTED_VALUE"""),"Japan.IELTS.01.LNTH_XuBen.5018_MES_HuyNV_210222")</f>
        <v>Japan.IELTS.01.LNTH_XuBen.5018_MES_HuyNV_210222</v>
      </c>
      <c r="R638" s="54" t="str">
        <f>IFERROR(__xludf.DUMMYFUNCTION("""COMPUTED_VALUE"""),"NEW_Japan_1834_none_210222")</f>
        <v>NEW_Japan_1834_none_210222</v>
      </c>
      <c r="S638" s="54" t="str">
        <f>IFERROR(__xludf.DUMMYFUNCTION("""COMPUTED_VALUE"""),"saletructiep_Japan.IELTS.01.LNTH_PTATT_LD005")</f>
        <v>saletructiep_Japan.IELTS.01.LNTH_PTATT_LD005</v>
      </c>
      <c r="T638" s="54"/>
      <c r="U638" s="56"/>
    </row>
    <row r="639">
      <c r="A639" s="66">
        <v>210222.0</v>
      </c>
      <c r="B639" s="75" t="s">
        <v>777</v>
      </c>
      <c r="C639" s="54" t="str">
        <f>IFERROR(__xludf.DUMMYFUNCTION("""COMPUTED_VALUE"""),"LD068")</f>
        <v>LD068</v>
      </c>
      <c r="D639" s="54" t="s">
        <v>42</v>
      </c>
      <c r="E639" s="73" t="s">
        <v>79</v>
      </c>
      <c r="F639" s="73" t="s">
        <v>625</v>
      </c>
      <c r="G639" s="54">
        <v>1834.0</v>
      </c>
      <c r="H639" s="54" t="s">
        <v>75</v>
      </c>
      <c r="I639" s="55" t="s">
        <v>1085</v>
      </c>
      <c r="J639" s="55" t="s">
        <v>1085</v>
      </c>
      <c r="K639" s="54" t="s">
        <v>61</v>
      </c>
      <c r="L639" s="73" t="s">
        <v>317</v>
      </c>
      <c r="M639" s="54" t="s">
        <v>78</v>
      </c>
      <c r="N639" s="73" t="s">
        <v>79</v>
      </c>
      <c r="O639" s="54" t="s">
        <v>224</v>
      </c>
      <c r="P639" s="54" t="s">
        <v>110</v>
      </c>
      <c r="Q639" s="54" t="str">
        <f>IFERROR(__xludf.DUMMYFUNCTION("""COMPUTED_VALUE"""),"KoreaSouth.IELTS.01.LNTH_XuBen.5018_MES_HuyNV_210222")</f>
        <v>KoreaSouth.IELTS.01.LNTH_XuBen.5018_MES_HuyNV_210222</v>
      </c>
      <c r="R639" s="54" t="str">
        <f>IFERROR(__xludf.DUMMYFUNCTION("""COMPUTED_VALUE"""),"NEW_KoreaSouth_1834_none_210222")</f>
        <v>NEW_KoreaSouth_1834_none_210222</v>
      </c>
      <c r="S639" s="54" t="str">
        <f>IFERROR(__xludf.DUMMYFUNCTION("""COMPUTED_VALUE"""),"saletructiep_KoreaSouth.IELTS.01.LNTH_PTATT_LD068")</f>
        <v>saletructiep_KoreaSouth.IELTS.01.LNTH_PTATT_LD068</v>
      </c>
      <c r="T639" s="54"/>
      <c r="U639" s="56"/>
    </row>
    <row r="640">
      <c r="A640" s="66">
        <v>210222.0</v>
      </c>
      <c r="B640" s="75" t="s">
        <v>777</v>
      </c>
      <c r="C640" s="54" t="str">
        <f>IFERROR(__xludf.DUMMYFUNCTION("""COMPUTED_VALUE"""),"LD068")</f>
        <v>LD068</v>
      </c>
      <c r="D640" s="54" t="s">
        <v>42</v>
      </c>
      <c r="E640" s="73" t="s">
        <v>79</v>
      </c>
      <c r="F640" s="55" t="s">
        <v>107</v>
      </c>
      <c r="G640" s="54">
        <v>1834.0</v>
      </c>
      <c r="H640" s="54" t="s">
        <v>75</v>
      </c>
      <c r="I640" s="55" t="s">
        <v>1086</v>
      </c>
      <c r="J640" s="55" t="s">
        <v>1086</v>
      </c>
      <c r="K640" s="54" t="s">
        <v>61</v>
      </c>
      <c r="L640" s="73" t="s">
        <v>317</v>
      </c>
      <c r="M640" s="54" t="s">
        <v>78</v>
      </c>
      <c r="N640" s="73" t="s">
        <v>79</v>
      </c>
      <c r="O640" s="54" t="s">
        <v>224</v>
      </c>
      <c r="P640" s="54" t="s">
        <v>110</v>
      </c>
      <c r="Q640" s="54" t="str">
        <f>IFERROR(__xludf.DUMMYFUNCTION("""COMPUTED_VALUE"""),"UnitedStates.IELTS.01.LNTH_XuBen.5018_MES_HuyNV_210222")</f>
        <v>UnitedStates.IELTS.01.LNTH_XuBen.5018_MES_HuyNV_210222</v>
      </c>
      <c r="R640" s="54" t="str">
        <f>IFERROR(__xludf.DUMMYFUNCTION("""COMPUTED_VALUE"""),"NEW_UnitedStates_1834_none_210222")</f>
        <v>NEW_UnitedStates_1834_none_210222</v>
      </c>
      <c r="S640" s="54" t="str">
        <f>IFERROR(__xludf.DUMMYFUNCTION("""COMPUTED_VALUE"""),"saletructiep_UnitedStates.IELTS.01.LNTH_PTATT_LD068")</f>
        <v>saletructiep_UnitedStates.IELTS.01.LNTH_PTATT_LD068</v>
      </c>
      <c r="T640" s="54"/>
      <c r="U640" s="56"/>
    </row>
    <row r="641">
      <c r="A641" s="66">
        <v>210222.0</v>
      </c>
      <c r="B641" s="75" t="s">
        <v>777</v>
      </c>
      <c r="C641" s="54" t="str">
        <f>IFERROR(__xludf.DUMMYFUNCTION("""COMPUTED_VALUE"""),"LD068")</f>
        <v>LD068</v>
      </c>
      <c r="D641" s="54" t="s">
        <v>42</v>
      </c>
      <c r="E641" s="73" t="s">
        <v>79</v>
      </c>
      <c r="F641" s="73" t="s">
        <v>129</v>
      </c>
      <c r="G641" s="54">
        <v>1834.0</v>
      </c>
      <c r="H641" s="54" t="s">
        <v>75</v>
      </c>
      <c r="I641" s="55" t="s">
        <v>1087</v>
      </c>
      <c r="J641" s="55" t="s">
        <v>1087</v>
      </c>
      <c r="K641" s="54" t="s">
        <v>61</v>
      </c>
      <c r="L641" s="73" t="s">
        <v>317</v>
      </c>
      <c r="M641" s="54" t="s">
        <v>78</v>
      </c>
      <c r="N641" s="73" t="s">
        <v>79</v>
      </c>
      <c r="O641" s="54" t="s">
        <v>224</v>
      </c>
      <c r="P641" s="54" t="s">
        <v>110</v>
      </c>
      <c r="Q641" s="54" t="str">
        <f>IFERROR(__xludf.DUMMYFUNCTION("""COMPUTED_VALUE"""),"Australia.IELTS.01.LNTH_XuBen.5018_MES_HuyNV_210222")</f>
        <v>Australia.IELTS.01.LNTH_XuBen.5018_MES_HuyNV_210222</v>
      </c>
      <c r="R641" s="54" t="str">
        <f>IFERROR(__xludf.DUMMYFUNCTION("""COMPUTED_VALUE"""),"NEW_Australia_1834_none_210222")</f>
        <v>NEW_Australia_1834_none_210222</v>
      </c>
      <c r="S641" s="54" t="str">
        <f>IFERROR(__xludf.DUMMYFUNCTION("""COMPUTED_VALUE"""),"saletructiep_Australia.IELTS.01.LNTH_PTATT_LD068")</f>
        <v>saletructiep_Australia.IELTS.01.LNTH_PTATT_LD068</v>
      </c>
      <c r="T641" s="54"/>
      <c r="U641" s="56"/>
    </row>
    <row r="642">
      <c r="A642" s="66">
        <v>210222.0</v>
      </c>
      <c r="B642" s="54" t="s">
        <v>166</v>
      </c>
      <c r="C642" s="54" t="str">
        <f>IFERROR(__xludf.DUMMYFUNCTION("""COMPUTED_VALUE"""),"LD005")</f>
        <v>LD005</v>
      </c>
      <c r="D642" s="54" t="s">
        <v>42</v>
      </c>
      <c r="E642" s="73" t="s">
        <v>79</v>
      </c>
      <c r="F642" s="55" t="s">
        <v>174</v>
      </c>
      <c r="G642" s="54">
        <v>1834.0</v>
      </c>
      <c r="H642" s="54" t="s">
        <v>75</v>
      </c>
      <c r="I642" s="55" t="s">
        <v>1088</v>
      </c>
      <c r="J642" s="55" t="s">
        <v>1088</v>
      </c>
      <c r="K642" s="54" t="s">
        <v>61</v>
      </c>
      <c r="L642" s="73" t="s">
        <v>317</v>
      </c>
      <c r="M642" s="54" t="s">
        <v>78</v>
      </c>
      <c r="N642" s="73" t="s">
        <v>79</v>
      </c>
      <c r="O642" s="54" t="s">
        <v>224</v>
      </c>
      <c r="P642" s="54" t="s">
        <v>110</v>
      </c>
      <c r="Q642" s="54" t="str">
        <f>IFERROR(__xludf.DUMMYFUNCTION("""COMPUTED_VALUE"""),"Philippines.IELTS.01.LNTH_XuBen.5018_MES_HuyNV_210222")</f>
        <v>Philippines.IELTS.01.LNTH_XuBen.5018_MES_HuyNV_210222</v>
      </c>
      <c r="R642" s="54" t="str">
        <f>IFERROR(__xludf.DUMMYFUNCTION("""COMPUTED_VALUE"""),"NEW_Philippines_1834_none_210222")</f>
        <v>NEW_Philippines_1834_none_210222</v>
      </c>
      <c r="S642" s="54" t="str">
        <f>IFERROR(__xludf.DUMMYFUNCTION("""COMPUTED_VALUE"""),"saletructiep_Philippines.IELTS.01.LNTH_PTATT_LD005")</f>
        <v>saletructiep_Philippines.IELTS.01.LNTH_PTATT_LD005</v>
      </c>
      <c r="T642" s="54"/>
      <c r="U642" s="56"/>
    </row>
    <row r="643">
      <c r="A643" s="66">
        <v>210222.0</v>
      </c>
      <c r="B643" s="54" t="s">
        <v>166</v>
      </c>
      <c r="C643" s="54" t="str">
        <f>IFERROR(__xludf.DUMMYFUNCTION("""COMPUTED_VALUE"""),"LD005")</f>
        <v>LD005</v>
      </c>
      <c r="D643" s="54" t="s">
        <v>42</v>
      </c>
      <c r="E643" s="73" t="s">
        <v>79</v>
      </c>
      <c r="F643" s="55" t="s">
        <v>182</v>
      </c>
      <c r="G643" s="54">
        <v>1834.0</v>
      </c>
      <c r="H643" s="54" t="s">
        <v>75</v>
      </c>
      <c r="I643" s="55" t="s">
        <v>1089</v>
      </c>
      <c r="J643" s="55" t="s">
        <v>1089</v>
      </c>
      <c r="K643" s="54" t="s">
        <v>61</v>
      </c>
      <c r="L643" s="73" t="s">
        <v>317</v>
      </c>
      <c r="M643" s="54" t="s">
        <v>78</v>
      </c>
      <c r="N643" s="73" t="s">
        <v>79</v>
      </c>
      <c r="O643" s="54" t="s">
        <v>224</v>
      </c>
      <c r="P643" s="54" t="s">
        <v>110</v>
      </c>
      <c r="Q643" s="54" t="str">
        <f>IFERROR(__xludf.DUMMYFUNCTION("""COMPUTED_VALUE"""),"Malaysia.IELTS.01.LNTH_XuBen.5018_MES_HuyNV_210222")</f>
        <v>Malaysia.IELTS.01.LNTH_XuBen.5018_MES_HuyNV_210222</v>
      </c>
      <c r="R643" s="54" t="str">
        <f>IFERROR(__xludf.DUMMYFUNCTION("""COMPUTED_VALUE"""),"NEW_Malaysia_1834_none_210222")</f>
        <v>NEW_Malaysia_1834_none_210222</v>
      </c>
      <c r="S643" s="54" t="str">
        <f>IFERROR(__xludf.DUMMYFUNCTION("""COMPUTED_VALUE"""),"saletructiep_Malaysia.IELTS.01.LNTH_PTATT_LD005")</f>
        <v>saletructiep_Malaysia.IELTS.01.LNTH_PTATT_LD005</v>
      </c>
      <c r="T643" s="54"/>
      <c r="U643" s="56"/>
    </row>
    <row r="644">
      <c r="A644" s="66">
        <v>210222.0</v>
      </c>
      <c r="B644" s="75" t="s">
        <v>777</v>
      </c>
      <c r="C644" s="54" t="str">
        <f>IFERROR(__xludf.DUMMYFUNCTION("""COMPUTED_VALUE"""),"LD068")</f>
        <v>LD068</v>
      </c>
      <c r="D644" s="54" t="s">
        <v>42</v>
      </c>
      <c r="E644" s="73" t="s">
        <v>79</v>
      </c>
      <c r="F644" s="55" t="s">
        <v>112</v>
      </c>
      <c r="G644" s="54">
        <v>1834.0</v>
      </c>
      <c r="H644" s="54" t="s">
        <v>75</v>
      </c>
      <c r="I644" s="55" t="s">
        <v>1090</v>
      </c>
      <c r="J644" s="55" t="s">
        <v>1090</v>
      </c>
      <c r="K644" s="54" t="s">
        <v>61</v>
      </c>
      <c r="L644" s="73" t="s">
        <v>317</v>
      </c>
      <c r="M644" s="54" t="s">
        <v>78</v>
      </c>
      <c r="N644" s="73" t="s">
        <v>79</v>
      </c>
      <c r="O644" s="54" t="s">
        <v>224</v>
      </c>
      <c r="P644" s="54" t="s">
        <v>110</v>
      </c>
      <c r="Q644" s="54" t="str">
        <f>IFERROR(__xludf.DUMMYFUNCTION("""COMPUTED_VALUE"""),"Canada.IELTS.01.LNTH_XuBen.5018_MES_HuyNV_210222")</f>
        <v>Canada.IELTS.01.LNTH_XuBen.5018_MES_HuyNV_210222</v>
      </c>
      <c r="R644" s="54" t="str">
        <f>IFERROR(__xludf.DUMMYFUNCTION("""COMPUTED_VALUE"""),"NEW_Canada_1834_none_210222")</f>
        <v>NEW_Canada_1834_none_210222</v>
      </c>
      <c r="S644" s="54" t="str">
        <f>IFERROR(__xludf.DUMMYFUNCTION("""COMPUTED_VALUE"""),"saletructiep_Canada.IELTS.01.LNTH_PTATT_LD068")</f>
        <v>saletructiep_Canada.IELTS.01.LNTH_PTATT_LD068</v>
      </c>
      <c r="T644" s="54"/>
      <c r="U644" s="56"/>
    </row>
    <row r="645">
      <c r="A645" s="66">
        <v>210222.0</v>
      </c>
      <c r="B645" s="54" t="s">
        <v>166</v>
      </c>
      <c r="C645" s="54" t="str">
        <f>IFERROR(__xludf.DUMMYFUNCTION("""COMPUTED_VALUE"""),"LD005")</f>
        <v>LD005</v>
      </c>
      <c r="D645" s="54" t="s">
        <v>42</v>
      </c>
      <c r="E645" s="73" t="s">
        <v>79</v>
      </c>
      <c r="F645" s="55" t="s">
        <v>164</v>
      </c>
      <c r="G645" s="54">
        <v>1834.0</v>
      </c>
      <c r="H645" s="54" t="s">
        <v>75</v>
      </c>
      <c r="I645" s="55" t="s">
        <v>1091</v>
      </c>
      <c r="J645" s="55" t="s">
        <v>1091</v>
      </c>
      <c r="K645" s="54" t="s">
        <v>61</v>
      </c>
      <c r="L645" s="73" t="s">
        <v>317</v>
      </c>
      <c r="M645" s="54" t="s">
        <v>78</v>
      </c>
      <c r="N645" s="73" t="s">
        <v>79</v>
      </c>
      <c r="O645" s="54" t="s">
        <v>224</v>
      </c>
      <c r="P645" s="54" t="s">
        <v>110</v>
      </c>
      <c r="Q645" s="54" t="str">
        <f>IFERROR(__xludf.DUMMYFUNCTION("""COMPUTED_VALUE"""),"Taiwan.IELTS.01.LNTH_XuBen.5018_MES_HuyNV_210222")</f>
        <v>Taiwan.IELTS.01.LNTH_XuBen.5018_MES_HuyNV_210222</v>
      </c>
      <c r="R645" s="54" t="str">
        <f>IFERROR(__xludf.DUMMYFUNCTION("""COMPUTED_VALUE"""),"NEW_Taiwan_1834_none_210222")</f>
        <v>NEW_Taiwan_1834_none_210222</v>
      </c>
      <c r="S645" s="54" t="str">
        <f>IFERROR(__xludf.DUMMYFUNCTION("""COMPUTED_VALUE"""),"saletructiep_Taiwan.IELTS.01.LNTH_PTATT_LD005")</f>
        <v>saletructiep_Taiwan.IELTS.01.LNTH_PTATT_LD005</v>
      </c>
      <c r="T645" s="54"/>
      <c r="U645" s="56"/>
    </row>
    <row r="646">
      <c r="A646" s="66">
        <v>271222.0</v>
      </c>
      <c r="B646" s="75" t="s">
        <v>777</v>
      </c>
      <c r="C646" s="54" t="str">
        <f>IFERROR(__xludf.DUMMYFUNCTION("""COMPUTED_VALUE"""),"LD068")</f>
        <v>LD068</v>
      </c>
      <c r="D646" s="54" t="s">
        <v>42</v>
      </c>
      <c r="E646" s="73" t="s">
        <v>79</v>
      </c>
      <c r="F646" s="94" t="s">
        <v>133</v>
      </c>
      <c r="G646" s="54">
        <v>1834.0</v>
      </c>
      <c r="H646" s="54" t="s">
        <v>75</v>
      </c>
      <c r="I646" s="55" t="s">
        <v>1092</v>
      </c>
      <c r="J646" s="55" t="s">
        <v>1092</v>
      </c>
      <c r="K646" s="54" t="s">
        <v>61</v>
      </c>
      <c r="L646" s="73" t="s">
        <v>317</v>
      </c>
      <c r="M646" s="54" t="s">
        <v>78</v>
      </c>
      <c r="N646" s="73" t="s">
        <v>79</v>
      </c>
      <c r="O646" s="54" t="s">
        <v>224</v>
      </c>
      <c r="P646" s="54" t="s">
        <v>110</v>
      </c>
      <c r="Q646" s="54" t="str">
        <f>IFERROR(__xludf.DUMMYFUNCTION("""COMPUTED_VALUE"""),"Japan.Thongbao.LNTH_XuBen.5018_MES_HuyNV_271222")</f>
        <v>Japan.Thongbao.LNTH_XuBen.5018_MES_HuyNV_271222</v>
      </c>
      <c r="R646" s="54" t="str">
        <f>IFERROR(__xludf.DUMMYFUNCTION("""COMPUTED_VALUE"""),"NEW_Japan_1834_none_271222")</f>
        <v>NEW_Japan_1834_none_271222</v>
      </c>
      <c r="S646" s="54" t="str">
        <f>IFERROR(__xludf.DUMMYFUNCTION("""COMPUTED_VALUE"""),"saletructiep_Japan.Thongbao.LNTH_PTATT_LD068")</f>
        <v>saletructiep_Japan.Thongbao.LNTH_PTATT_LD068</v>
      </c>
      <c r="T646" s="54"/>
      <c r="U646" s="56"/>
    </row>
    <row r="647">
      <c r="A647" s="66">
        <v>271222.0</v>
      </c>
      <c r="B647" s="75" t="s">
        <v>777</v>
      </c>
      <c r="C647" s="54" t="str">
        <f>IFERROR(__xludf.DUMMYFUNCTION("""COMPUTED_VALUE"""),"LD068")</f>
        <v>LD068</v>
      </c>
      <c r="D647" s="54" t="s">
        <v>42</v>
      </c>
      <c r="E647" s="73" t="s">
        <v>79</v>
      </c>
      <c r="F647" s="73" t="s">
        <v>625</v>
      </c>
      <c r="G647" s="54">
        <v>1834.0</v>
      </c>
      <c r="H647" s="54" t="s">
        <v>75</v>
      </c>
      <c r="I647" s="55" t="s">
        <v>1093</v>
      </c>
      <c r="J647" s="55" t="s">
        <v>1093</v>
      </c>
      <c r="K647" s="54" t="s">
        <v>61</v>
      </c>
      <c r="L647" s="73" t="s">
        <v>317</v>
      </c>
      <c r="M647" s="54" t="s">
        <v>78</v>
      </c>
      <c r="N647" s="73" t="s">
        <v>79</v>
      </c>
      <c r="O647" s="54" t="s">
        <v>224</v>
      </c>
      <c r="P647" s="54" t="s">
        <v>110</v>
      </c>
      <c r="Q647" s="54" t="str">
        <f>IFERROR(__xludf.DUMMYFUNCTION("""COMPUTED_VALUE"""),"KoreaSouth.Thongbao.LNTH_XuBen.5018_MES_HuyNV_271222")</f>
        <v>KoreaSouth.Thongbao.LNTH_XuBen.5018_MES_HuyNV_271222</v>
      </c>
      <c r="R647" s="54" t="str">
        <f>IFERROR(__xludf.DUMMYFUNCTION("""COMPUTED_VALUE"""),"NEW_KoreaSouth_1834_none_271222")</f>
        <v>NEW_KoreaSouth_1834_none_271222</v>
      </c>
      <c r="S647" s="54" t="str">
        <f>IFERROR(__xludf.DUMMYFUNCTION("""COMPUTED_VALUE"""),"saletructiep_KoreaSouth.Thongbao.LNTH_PTATT_LD068")</f>
        <v>saletructiep_KoreaSouth.Thongbao.LNTH_PTATT_LD068</v>
      </c>
      <c r="T647" s="54"/>
      <c r="U647" s="56"/>
    </row>
    <row r="648">
      <c r="A648" s="66">
        <v>271222.0</v>
      </c>
      <c r="B648" s="75" t="s">
        <v>777</v>
      </c>
      <c r="C648" s="54" t="str">
        <f>IFERROR(__xludf.DUMMYFUNCTION("""COMPUTED_VALUE"""),"LD068")</f>
        <v>LD068</v>
      </c>
      <c r="D648" s="54" t="s">
        <v>42</v>
      </c>
      <c r="E648" s="73" t="s">
        <v>79</v>
      </c>
      <c r="F648" s="55" t="s">
        <v>107</v>
      </c>
      <c r="G648" s="54">
        <v>1834.0</v>
      </c>
      <c r="H648" s="54" t="s">
        <v>75</v>
      </c>
      <c r="I648" s="55" t="s">
        <v>1094</v>
      </c>
      <c r="J648" s="55" t="s">
        <v>1094</v>
      </c>
      <c r="K648" s="54" t="s">
        <v>61</v>
      </c>
      <c r="L648" s="73" t="s">
        <v>317</v>
      </c>
      <c r="M648" s="54" t="s">
        <v>78</v>
      </c>
      <c r="N648" s="73" t="s">
        <v>79</v>
      </c>
      <c r="O648" s="54" t="s">
        <v>224</v>
      </c>
      <c r="P648" s="54" t="s">
        <v>110</v>
      </c>
      <c r="Q648" s="54" t="str">
        <f>IFERROR(__xludf.DUMMYFUNCTION("""COMPUTED_VALUE"""),"UnitedStates.Thongbao.LNTH_XuBen.5018_MES_HuyNV_271222")</f>
        <v>UnitedStates.Thongbao.LNTH_XuBen.5018_MES_HuyNV_271222</v>
      </c>
      <c r="R648" s="54" t="str">
        <f>IFERROR(__xludf.DUMMYFUNCTION("""COMPUTED_VALUE"""),"NEW_UnitedStates_1834_none_271222")</f>
        <v>NEW_UnitedStates_1834_none_271222</v>
      </c>
      <c r="S648" s="54" t="str">
        <f>IFERROR(__xludf.DUMMYFUNCTION("""COMPUTED_VALUE"""),"saletructiep_UnitedStates.Thongbao.LNTH_PTATT_LD068")</f>
        <v>saletructiep_UnitedStates.Thongbao.LNTH_PTATT_LD068</v>
      </c>
      <c r="T648" s="54"/>
      <c r="U648" s="56"/>
    </row>
    <row r="649">
      <c r="A649" s="66">
        <v>271222.0</v>
      </c>
      <c r="B649" s="75" t="s">
        <v>777</v>
      </c>
      <c r="C649" s="54" t="str">
        <f>IFERROR(__xludf.DUMMYFUNCTION("""COMPUTED_VALUE"""),"LD068")</f>
        <v>LD068</v>
      </c>
      <c r="D649" s="54" t="s">
        <v>42</v>
      </c>
      <c r="E649" s="73" t="s">
        <v>79</v>
      </c>
      <c r="F649" s="73" t="s">
        <v>129</v>
      </c>
      <c r="G649" s="54">
        <v>1834.0</v>
      </c>
      <c r="H649" s="54" t="s">
        <v>75</v>
      </c>
      <c r="I649" s="55" t="s">
        <v>1095</v>
      </c>
      <c r="J649" s="55" t="s">
        <v>1095</v>
      </c>
      <c r="K649" s="54" t="s">
        <v>61</v>
      </c>
      <c r="L649" s="73" t="s">
        <v>317</v>
      </c>
      <c r="M649" s="54" t="s">
        <v>78</v>
      </c>
      <c r="N649" s="73" t="s">
        <v>79</v>
      </c>
      <c r="O649" s="54" t="s">
        <v>224</v>
      </c>
      <c r="P649" s="54" t="s">
        <v>110</v>
      </c>
      <c r="Q649" s="54" t="str">
        <f>IFERROR(__xludf.DUMMYFUNCTION("""COMPUTED_VALUE"""),"Australia.Thongbao.LNTH_XuBen.5018_MES_HuyNV_271222")</f>
        <v>Australia.Thongbao.LNTH_XuBen.5018_MES_HuyNV_271222</v>
      </c>
      <c r="R649" s="54" t="str">
        <f>IFERROR(__xludf.DUMMYFUNCTION("""COMPUTED_VALUE"""),"NEW_Australia_1834_none_271222")</f>
        <v>NEW_Australia_1834_none_271222</v>
      </c>
      <c r="S649" s="54" t="str">
        <f>IFERROR(__xludf.DUMMYFUNCTION("""COMPUTED_VALUE"""),"saletructiep_Australia.Thongbao.LNTH_PTATT_LD068")</f>
        <v>saletructiep_Australia.Thongbao.LNTH_PTATT_LD068</v>
      </c>
      <c r="T649" s="54"/>
      <c r="U649" s="56"/>
    </row>
    <row r="650">
      <c r="A650" s="66">
        <v>271222.0</v>
      </c>
      <c r="B650" s="75" t="s">
        <v>777</v>
      </c>
      <c r="C650" s="54" t="str">
        <f>IFERROR(__xludf.DUMMYFUNCTION("""COMPUTED_VALUE"""),"LD068")</f>
        <v>LD068</v>
      </c>
      <c r="D650" s="54" t="s">
        <v>42</v>
      </c>
      <c r="E650" s="73" t="s">
        <v>79</v>
      </c>
      <c r="F650" s="55" t="s">
        <v>174</v>
      </c>
      <c r="G650" s="54">
        <v>1834.0</v>
      </c>
      <c r="H650" s="54" t="s">
        <v>75</v>
      </c>
      <c r="I650" s="55" t="s">
        <v>1096</v>
      </c>
      <c r="J650" s="55" t="s">
        <v>1096</v>
      </c>
      <c r="K650" s="54" t="s">
        <v>61</v>
      </c>
      <c r="L650" s="73" t="s">
        <v>317</v>
      </c>
      <c r="M650" s="54" t="s">
        <v>78</v>
      </c>
      <c r="N650" s="73" t="s">
        <v>79</v>
      </c>
      <c r="O650" s="54" t="s">
        <v>224</v>
      </c>
      <c r="P650" s="54" t="s">
        <v>110</v>
      </c>
      <c r="Q650" s="54" t="str">
        <f>IFERROR(__xludf.DUMMYFUNCTION("""COMPUTED_VALUE"""),"Philippines.Thongbao.LNTH_XuBen.5018_MES_HuyNV_271222")</f>
        <v>Philippines.Thongbao.LNTH_XuBen.5018_MES_HuyNV_271222</v>
      </c>
      <c r="R650" s="54" t="str">
        <f>IFERROR(__xludf.DUMMYFUNCTION("""COMPUTED_VALUE"""),"NEW_Philippines_1834_none_271222")</f>
        <v>NEW_Philippines_1834_none_271222</v>
      </c>
      <c r="S650" s="54" t="str">
        <f>IFERROR(__xludf.DUMMYFUNCTION("""COMPUTED_VALUE"""),"saletructiep_Philippines.Thongbao.LNTH_PTATT_LD068")</f>
        <v>saletructiep_Philippines.Thongbao.LNTH_PTATT_LD068</v>
      </c>
      <c r="T650" s="54"/>
      <c r="U650" s="56"/>
    </row>
    <row r="651">
      <c r="A651" s="66">
        <v>271222.0</v>
      </c>
      <c r="B651" s="75" t="s">
        <v>777</v>
      </c>
      <c r="C651" s="54" t="str">
        <f>IFERROR(__xludf.DUMMYFUNCTION("""COMPUTED_VALUE"""),"LD068")</f>
        <v>LD068</v>
      </c>
      <c r="D651" s="54" t="s">
        <v>42</v>
      </c>
      <c r="E651" s="73" t="s">
        <v>79</v>
      </c>
      <c r="F651" s="55" t="s">
        <v>182</v>
      </c>
      <c r="G651" s="54">
        <v>1834.0</v>
      </c>
      <c r="H651" s="54" t="s">
        <v>75</v>
      </c>
      <c r="I651" s="55" t="s">
        <v>1097</v>
      </c>
      <c r="J651" s="55" t="s">
        <v>1097</v>
      </c>
      <c r="K651" s="54" t="s">
        <v>61</v>
      </c>
      <c r="L651" s="73" t="s">
        <v>317</v>
      </c>
      <c r="M651" s="54" t="s">
        <v>78</v>
      </c>
      <c r="N651" s="73" t="s">
        <v>79</v>
      </c>
      <c r="O651" s="54" t="s">
        <v>224</v>
      </c>
      <c r="P651" s="54" t="s">
        <v>110</v>
      </c>
      <c r="Q651" s="54" t="str">
        <f>IFERROR(__xludf.DUMMYFUNCTION("""COMPUTED_VALUE"""),"Malaysia.Thongbao.LNTH_XuBen.5018_MES_HuyNV_271222")</f>
        <v>Malaysia.Thongbao.LNTH_XuBen.5018_MES_HuyNV_271222</v>
      </c>
      <c r="R651" s="54" t="str">
        <f>IFERROR(__xludf.DUMMYFUNCTION("""COMPUTED_VALUE"""),"NEW_Malaysia_1834_none_271222")</f>
        <v>NEW_Malaysia_1834_none_271222</v>
      </c>
      <c r="S651" s="54" t="str">
        <f>IFERROR(__xludf.DUMMYFUNCTION("""COMPUTED_VALUE"""),"saletructiep_Malaysia.Thongbao.LNTH_PTATT_LD068")</f>
        <v>saletructiep_Malaysia.Thongbao.LNTH_PTATT_LD068</v>
      </c>
      <c r="T651" s="54"/>
      <c r="U651" s="56"/>
    </row>
    <row r="652">
      <c r="A652" s="66">
        <v>271222.0</v>
      </c>
      <c r="B652" s="75" t="s">
        <v>777</v>
      </c>
      <c r="C652" s="54" t="str">
        <f>IFERROR(__xludf.DUMMYFUNCTION("""COMPUTED_VALUE"""),"LD068")</f>
        <v>LD068</v>
      </c>
      <c r="D652" s="54" t="s">
        <v>42</v>
      </c>
      <c r="E652" s="73" t="s">
        <v>79</v>
      </c>
      <c r="F652" s="55" t="s">
        <v>112</v>
      </c>
      <c r="G652" s="54">
        <v>1834.0</v>
      </c>
      <c r="H652" s="54" t="s">
        <v>75</v>
      </c>
      <c r="I652" s="55" t="s">
        <v>1098</v>
      </c>
      <c r="J652" s="55" t="s">
        <v>1098</v>
      </c>
      <c r="K652" s="54" t="s">
        <v>61</v>
      </c>
      <c r="L652" s="73" t="s">
        <v>317</v>
      </c>
      <c r="M652" s="54" t="s">
        <v>78</v>
      </c>
      <c r="N652" s="73" t="s">
        <v>79</v>
      </c>
      <c r="O652" s="54" t="s">
        <v>224</v>
      </c>
      <c r="P652" s="54" t="s">
        <v>110</v>
      </c>
      <c r="Q652" s="54" t="str">
        <f>IFERROR(__xludf.DUMMYFUNCTION("""COMPUTED_VALUE"""),"Canada.Thongbao.LNTH_XuBen.5018_MES_HuyNV_271222")</f>
        <v>Canada.Thongbao.LNTH_XuBen.5018_MES_HuyNV_271222</v>
      </c>
      <c r="R652" s="54" t="str">
        <f>IFERROR(__xludf.DUMMYFUNCTION("""COMPUTED_VALUE"""),"NEW_Canada_1834_none_271222")</f>
        <v>NEW_Canada_1834_none_271222</v>
      </c>
      <c r="S652" s="54" t="str">
        <f>IFERROR(__xludf.DUMMYFUNCTION("""COMPUTED_VALUE"""),"saletructiep_Canada.Thongbao.LNTH_PTATT_LD068")</f>
        <v>saletructiep_Canada.Thongbao.LNTH_PTATT_LD068</v>
      </c>
      <c r="T652" s="54"/>
      <c r="U652" s="56"/>
    </row>
    <row r="653">
      <c r="A653" s="66">
        <v>271222.0</v>
      </c>
      <c r="B653" s="75" t="s">
        <v>777</v>
      </c>
      <c r="C653" s="54" t="str">
        <f>IFERROR(__xludf.DUMMYFUNCTION("""COMPUTED_VALUE"""),"LD068")</f>
        <v>LD068</v>
      </c>
      <c r="D653" s="54" t="s">
        <v>42</v>
      </c>
      <c r="E653" s="73" t="s">
        <v>79</v>
      </c>
      <c r="F653" s="55" t="s">
        <v>164</v>
      </c>
      <c r="G653" s="54">
        <v>1834.0</v>
      </c>
      <c r="H653" s="54" t="s">
        <v>75</v>
      </c>
      <c r="I653" s="55" t="s">
        <v>1099</v>
      </c>
      <c r="J653" s="55" t="s">
        <v>1099</v>
      </c>
      <c r="K653" s="54" t="s">
        <v>61</v>
      </c>
      <c r="L653" s="73" t="s">
        <v>317</v>
      </c>
      <c r="M653" s="54" t="s">
        <v>78</v>
      </c>
      <c r="N653" s="73" t="s">
        <v>79</v>
      </c>
      <c r="O653" s="54" t="s">
        <v>224</v>
      </c>
      <c r="P653" s="54" t="s">
        <v>110</v>
      </c>
      <c r="Q653" s="54" t="str">
        <f>IFERROR(__xludf.DUMMYFUNCTION("""COMPUTED_VALUE"""),"Taiwan.Thongbao.LNTH_XuBen.5018_MES_HuyNV_271222")</f>
        <v>Taiwan.Thongbao.LNTH_XuBen.5018_MES_HuyNV_271222</v>
      </c>
      <c r="R653" s="54" t="str">
        <f>IFERROR(__xludf.DUMMYFUNCTION("""COMPUTED_VALUE"""),"NEW_Taiwan_1834_none_271222")</f>
        <v>NEW_Taiwan_1834_none_271222</v>
      </c>
      <c r="S653" s="54" t="str">
        <f>IFERROR(__xludf.DUMMYFUNCTION("""COMPUTED_VALUE"""),"saletructiep_Taiwan.Thongbao.LNTH_PTATT_LD068")</f>
        <v>saletructiep_Taiwan.Thongbao.LNTH_PTATT_LD068</v>
      </c>
      <c r="T653" s="54"/>
      <c r="U653" s="56"/>
    </row>
    <row r="654">
      <c r="A654" s="64" t="s">
        <v>1100</v>
      </c>
      <c r="B654" s="75" t="s">
        <v>777</v>
      </c>
      <c r="C654" s="54" t="str">
        <f>IFERROR(__xludf.DUMMYFUNCTION("""COMPUTED_VALUE"""),"LD068")</f>
        <v>LD068</v>
      </c>
      <c r="D654" s="54" t="s">
        <v>42</v>
      </c>
      <c r="E654" s="73" t="s">
        <v>79</v>
      </c>
      <c r="F654" s="55" t="s">
        <v>1101</v>
      </c>
      <c r="G654" s="54">
        <v>1834.0</v>
      </c>
      <c r="H654" s="54" t="s">
        <v>75</v>
      </c>
      <c r="I654" s="55" t="s">
        <v>1102</v>
      </c>
      <c r="J654" s="55" t="s">
        <v>1102</v>
      </c>
      <c r="K654" s="54" t="s">
        <v>61</v>
      </c>
      <c r="L654" s="73" t="s">
        <v>317</v>
      </c>
      <c r="M654" s="54" t="s">
        <v>78</v>
      </c>
      <c r="N654" s="73" t="s">
        <v>79</v>
      </c>
      <c r="O654" s="54" t="s">
        <v>224</v>
      </c>
      <c r="P654" s="54" t="s">
        <v>110</v>
      </c>
      <c r="Q654" s="54" t="str">
        <f>IFERROR(__xludf.DUMMYFUNCTION("""COMPUTED_VALUE"""),"Sweden.Text.Thongbao.LNTH_XuBen.5018_MES_HuyNV_040123")</f>
        <v>Sweden.Text.Thongbao.LNTH_XuBen.5018_MES_HuyNV_040123</v>
      </c>
      <c r="R654" s="54" t="str">
        <f>IFERROR(__xludf.DUMMYFUNCTION("""COMPUTED_VALUE"""),"NEW_Sweden_1834_none_040123")</f>
        <v>NEW_Sweden_1834_none_040123</v>
      </c>
      <c r="S654" s="54" t="str">
        <f>IFERROR(__xludf.DUMMYFUNCTION("""COMPUTED_VALUE"""),"saletructiep_Sweden.Text.Thongbao.LNTH_PTATT_LD068")</f>
        <v>saletructiep_Sweden.Text.Thongbao.LNTH_PTATT_LD068</v>
      </c>
      <c r="T654" s="54"/>
      <c r="U654" s="56"/>
    </row>
    <row r="655">
      <c r="A655" s="64" t="s">
        <v>1100</v>
      </c>
      <c r="B655" s="75" t="s">
        <v>777</v>
      </c>
      <c r="C655" s="54" t="str">
        <f>IFERROR(__xludf.DUMMYFUNCTION("""COMPUTED_VALUE"""),"LD068")</f>
        <v>LD068</v>
      </c>
      <c r="D655" s="54" t="s">
        <v>42</v>
      </c>
      <c r="E655" s="73" t="s">
        <v>79</v>
      </c>
      <c r="F655" s="55" t="s">
        <v>236</v>
      </c>
      <c r="G655" s="54">
        <v>1834.0</v>
      </c>
      <c r="H655" s="54" t="s">
        <v>75</v>
      </c>
      <c r="I655" s="55" t="s">
        <v>1103</v>
      </c>
      <c r="J655" s="55" t="s">
        <v>1103</v>
      </c>
      <c r="K655" s="54" t="s">
        <v>61</v>
      </c>
      <c r="L655" s="73" t="s">
        <v>317</v>
      </c>
      <c r="M655" s="54" t="s">
        <v>78</v>
      </c>
      <c r="N655" s="73" t="s">
        <v>79</v>
      </c>
      <c r="O655" s="54" t="s">
        <v>224</v>
      </c>
      <c r="P655" s="54" t="s">
        <v>110</v>
      </c>
      <c r="Q655" s="54" t="str">
        <f>IFERROR(__xludf.DUMMYFUNCTION("""COMPUTED_VALUE"""),"Switzerland.Text.Thongbao.LNTH_XuBen.5018_MES_HuyNV_040123")</f>
        <v>Switzerland.Text.Thongbao.LNTH_XuBen.5018_MES_HuyNV_040123</v>
      </c>
      <c r="R655" s="54" t="str">
        <f>IFERROR(__xludf.DUMMYFUNCTION("""COMPUTED_VALUE"""),"NEW_Switzerland_1834_none_040123")</f>
        <v>NEW_Switzerland_1834_none_040123</v>
      </c>
      <c r="S655" s="54" t="str">
        <f>IFERROR(__xludf.DUMMYFUNCTION("""COMPUTED_VALUE"""),"saletructiep_Switzerland.Text.Thongbao.LNTH_PTATT_LD068")</f>
        <v>saletructiep_Switzerland.Text.Thongbao.LNTH_PTATT_LD068</v>
      </c>
      <c r="T655" s="54"/>
      <c r="U655" s="56"/>
    </row>
    <row r="656">
      <c r="A656" s="64" t="s">
        <v>1100</v>
      </c>
      <c r="B656" s="75" t="s">
        <v>777</v>
      </c>
      <c r="C656" s="54" t="str">
        <f>IFERROR(__xludf.DUMMYFUNCTION("""COMPUTED_VALUE"""),"LD068")</f>
        <v>LD068</v>
      </c>
      <c r="D656" s="54" t="s">
        <v>42</v>
      </c>
      <c r="E656" s="73" t="s">
        <v>79</v>
      </c>
      <c r="F656" s="55" t="s">
        <v>1104</v>
      </c>
      <c r="G656" s="54">
        <v>1834.0</v>
      </c>
      <c r="H656" s="54" t="s">
        <v>75</v>
      </c>
      <c r="I656" s="55" t="s">
        <v>1105</v>
      </c>
      <c r="J656" s="55" t="s">
        <v>1105</v>
      </c>
      <c r="K656" s="54" t="s">
        <v>61</v>
      </c>
      <c r="L656" s="73" t="s">
        <v>317</v>
      </c>
      <c r="M656" s="54" t="s">
        <v>78</v>
      </c>
      <c r="N656" s="73" t="s">
        <v>79</v>
      </c>
      <c r="O656" s="54" t="s">
        <v>224</v>
      </c>
      <c r="P656" s="54" t="s">
        <v>110</v>
      </c>
      <c r="Q656" s="54" t="str">
        <f>IFERROR(__xludf.DUMMYFUNCTION("""COMPUTED_VALUE"""),"Denmark.Text.Thongbao.LNTH_XuBen.5018_MES_HuyNV_040123")</f>
        <v>Denmark.Text.Thongbao.LNTH_XuBen.5018_MES_HuyNV_040123</v>
      </c>
      <c r="R656" s="54" t="str">
        <f>IFERROR(__xludf.DUMMYFUNCTION("""COMPUTED_VALUE"""),"NEW_Denmark_1834_none_040123")</f>
        <v>NEW_Denmark_1834_none_040123</v>
      </c>
      <c r="S656" s="54" t="str">
        <f>IFERROR(__xludf.DUMMYFUNCTION("""COMPUTED_VALUE"""),"saletructiep_Denmark.Text.Thongbao.LNTH_PTATT_LD068")</f>
        <v>saletructiep_Denmark.Text.Thongbao.LNTH_PTATT_LD068</v>
      </c>
      <c r="T656" s="54"/>
      <c r="U656" s="56"/>
    </row>
    <row r="657">
      <c r="A657" s="64" t="s">
        <v>1100</v>
      </c>
      <c r="B657" s="75" t="s">
        <v>777</v>
      </c>
      <c r="C657" s="54" t="str">
        <f>IFERROR(__xludf.DUMMYFUNCTION("""COMPUTED_VALUE"""),"LD068")</f>
        <v>LD068</v>
      </c>
      <c r="D657" s="54" t="s">
        <v>42</v>
      </c>
      <c r="E657" s="73" t="s">
        <v>79</v>
      </c>
      <c r="F657" s="55" t="s">
        <v>258</v>
      </c>
      <c r="G657" s="54">
        <v>1834.0</v>
      </c>
      <c r="H657" s="54" t="s">
        <v>75</v>
      </c>
      <c r="I657" s="55" t="s">
        <v>1106</v>
      </c>
      <c r="J657" s="55" t="s">
        <v>1106</v>
      </c>
      <c r="K657" s="54" t="s">
        <v>61</v>
      </c>
      <c r="L657" s="73" t="s">
        <v>317</v>
      </c>
      <c r="M657" s="54" t="s">
        <v>78</v>
      </c>
      <c r="N657" s="73" t="s">
        <v>79</v>
      </c>
      <c r="O657" s="54" t="s">
        <v>224</v>
      </c>
      <c r="P657" s="54" t="s">
        <v>110</v>
      </c>
      <c r="Q657" s="54" t="str">
        <f>IFERROR(__xludf.DUMMYFUNCTION("""COMPUTED_VALUE"""),"Germany.Text.Thongbao.LNTH_XuBen.5018_MES_HuyNV_040123")</f>
        <v>Germany.Text.Thongbao.LNTH_XuBen.5018_MES_HuyNV_040123</v>
      </c>
      <c r="R657" s="54" t="str">
        <f>IFERROR(__xludf.DUMMYFUNCTION("""COMPUTED_VALUE"""),"NEW_Germany_1834_none_040123")</f>
        <v>NEW_Germany_1834_none_040123</v>
      </c>
      <c r="S657" s="54" t="str">
        <f>IFERROR(__xludf.DUMMYFUNCTION("""COMPUTED_VALUE"""),"saletructiep_Germany.Text.Thongbao.LNTH_PTATT_LD068")</f>
        <v>saletructiep_Germany.Text.Thongbao.LNTH_PTATT_LD068</v>
      </c>
      <c r="T657" s="54"/>
      <c r="U657" s="56"/>
    </row>
    <row r="658">
      <c r="A658" s="64" t="s">
        <v>1100</v>
      </c>
      <c r="B658" s="75" t="s">
        <v>777</v>
      </c>
      <c r="C658" s="54" t="str">
        <f>IFERROR(__xludf.DUMMYFUNCTION("""COMPUTED_VALUE"""),"LD068")</f>
        <v>LD068</v>
      </c>
      <c r="D658" s="54" t="s">
        <v>42</v>
      </c>
      <c r="E658" s="73" t="s">
        <v>79</v>
      </c>
      <c r="F658" s="55" t="s">
        <v>514</v>
      </c>
      <c r="G658" s="54">
        <v>1834.0</v>
      </c>
      <c r="H658" s="54" t="s">
        <v>75</v>
      </c>
      <c r="I658" s="55" t="s">
        <v>1107</v>
      </c>
      <c r="J658" s="55" t="s">
        <v>1107</v>
      </c>
      <c r="K658" s="54" t="s">
        <v>61</v>
      </c>
      <c r="L658" s="73" t="s">
        <v>317</v>
      </c>
      <c r="M658" s="54" t="s">
        <v>78</v>
      </c>
      <c r="N658" s="73" t="s">
        <v>79</v>
      </c>
      <c r="O658" s="54" t="s">
        <v>224</v>
      </c>
      <c r="P658" s="54" t="s">
        <v>110</v>
      </c>
      <c r="Q658" s="54" t="str">
        <f>IFERROR(__xludf.DUMMYFUNCTION("""COMPUTED_VALUE"""),"Italy.Text.Thongbao.LNTH_XuBen.5018_MES_HuyNV_040123")</f>
        <v>Italy.Text.Thongbao.LNTH_XuBen.5018_MES_HuyNV_040123</v>
      </c>
      <c r="R658" s="54" t="str">
        <f>IFERROR(__xludf.DUMMYFUNCTION("""COMPUTED_VALUE"""),"NEW_Italy_1834_none_040123")</f>
        <v>NEW_Italy_1834_none_040123</v>
      </c>
      <c r="S658" s="54" t="str">
        <f>IFERROR(__xludf.DUMMYFUNCTION("""COMPUTED_VALUE"""),"saletructiep_Italy.Text.Thongbao.LNTH_PTATT_LD068")</f>
        <v>saletructiep_Italy.Text.Thongbao.LNTH_PTATT_LD068</v>
      </c>
      <c r="T658" s="54"/>
      <c r="U658" s="56"/>
    </row>
    <row r="659">
      <c r="A659" s="64" t="s">
        <v>1100</v>
      </c>
      <c r="B659" s="75" t="s">
        <v>777</v>
      </c>
      <c r="C659" s="54" t="str">
        <f>IFERROR(__xludf.DUMMYFUNCTION("""COMPUTED_VALUE"""),"LD068")</f>
        <v>LD068</v>
      </c>
      <c r="D659" s="54" t="s">
        <v>42</v>
      </c>
      <c r="E659" s="73" t="s">
        <v>79</v>
      </c>
      <c r="F659" s="55" t="s">
        <v>1101</v>
      </c>
      <c r="G659" s="54">
        <v>1834.0</v>
      </c>
      <c r="H659" s="54" t="s">
        <v>75</v>
      </c>
      <c r="I659" s="60" t="s">
        <v>1108</v>
      </c>
      <c r="J659" s="73" t="s">
        <v>1109</v>
      </c>
      <c r="K659" s="54" t="s">
        <v>61</v>
      </c>
      <c r="L659" s="73" t="s">
        <v>317</v>
      </c>
      <c r="M659" s="54" t="s">
        <v>78</v>
      </c>
      <c r="N659" s="73" t="s">
        <v>79</v>
      </c>
      <c r="O659" s="54" t="s">
        <v>224</v>
      </c>
      <c r="P659" s="54" t="s">
        <v>110</v>
      </c>
      <c r="Q659" s="54" t="str">
        <f>IFERROR(__xludf.DUMMYFUNCTION("""COMPUTED_VALUE"""),"Sweden.KG.GTTA.LNTH_XuBen.5018_MES_HuyNV_040123")</f>
        <v>Sweden.KG.GTTA.LNTH_XuBen.5018_MES_HuyNV_040123</v>
      </c>
      <c r="R659" s="54" t="str">
        <f>IFERROR(__xludf.DUMMYFUNCTION("""COMPUTED_VALUE"""),"NEW_Sweden_1834_none_040123")</f>
        <v>NEW_Sweden_1834_none_040123</v>
      </c>
      <c r="S659" s="54" t="str">
        <f>IFERROR(__xludf.DUMMYFUNCTION("""COMPUTED_VALUE"""),"saletructiep_Sweden.KG.GTTA.LNTH_PTATT_LD068")</f>
        <v>saletructiep_Sweden.KG.GTTA.LNTH_PTATT_LD068</v>
      </c>
      <c r="T659" s="54"/>
      <c r="U659" s="56"/>
    </row>
    <row r="660">
      <c r="A660" s="64" t="s">
        <v>1100</v>
      </c>
      <c r="B660" s="75" t="s">
        <v>777</v>
      </c>
      <c r="C660" s="54" t="str">
        <f>IFERROR(__xludf.DUMMYFUNCTION("""COMPUTED_VALUE"""),"LD068")</f>
        <v>LD068</v>
      </c>
      <c r="D660" s="54" t="s">
        <v>42</v>
      </c>
      <c r="E660" s="73" t="s">
        <v>79</v>
      </c>
      <c r="F660" s="55" t="s">
        <v>236</v>
      </c>
      <c r="G660" s="54">
        <v>1834.0</v>
      </c>
      <c r="H660" s="54" t="s">
        <v>75</v>
      </c>
      <c r="I660" s="60" t="s">
        <v>1110</v>
      </c>
      <c r="J660" s="73" t="s">
        <v>1111</v>
      </c>
      <c r="K660" s="54" t="s">
        <v>61</v>
      </c>
      <c r="L660" s="73" t="s">
        <v>317</v>
      </c>
      <c r="M660" s="54" t="s">
        <v>78</v>
      </c>
      <c r="N660" s="73" t="s">
        <v>79</v>
      </c>
      <c r="O660" s="54" t="s">
        <v>224</v>
      </c>
      <c r="P660" s="54" t="s">
        <v>110</v>
      </c>
      <c r="Q660" s="54" t="str">
        <f>IFERROR(__xludf.DUMMYFUNCTION("""COMPUTED_VALUE"""),"Switzerland.KG.GTTA.LNTH_XuBen.5018_MES_HuyNV_040123")</f>
        <v>Switzerland.KG.GTTA.LNTH_XuBen.5018_MES_HuyNV_040123</v>
      </c>
      <c r="R660" s="54" t="str">
        <f>IFERROR(__xludf.DUMMYFUNCTION("""COMPUTED_VALUE"""),"NEW_Switzerland_1834_none_040123")</f>
        <v>NEW_Switzerland_1834_none_040123</v>
      </c>
      <c r="S660" s="54" t="str">
        <f>IFERROR(__xludf.DUMMYFUNCTION("""COMPUTED_VALUE"""),"saletructiep_Switzerland.KG.GTTA.LNTH_PTATT_LD068")</f>
        <v>saletructiep_Switzerland.KG.GTTA.LNTH_PTATT_LD068</v>
      </c>
      <c r="T660" s="54"/>
      <c r="U660" s="56"/>
    </row>
    <row r="661">
      <c r="A661" s="64" t="s">
        <v>1100</v>
      </c>
      <c r="B661" s="75" t="s">
        <v>777</v>
      </c>
      <c r="C661" s="54" t="str">
        <f>IFERROR(__xludf.DUMMYFUNCTION("""COMPUTED_VALUE"""),"LD068")</f>
        <v>LD068</v>
      </c>
      <c r="D661" s="54" t="s">
        <v>42</v>
      </c>
      <c r="E661" s="73" t="s">
        <v>79</v>
      </c>
      <c r="F661" s="55" t="s">
        <v>1104</v>
      </c>
      <c r="G661" s="54">
        <v>1834.0</v>
      </c>
      <c r="H661" s="54" t="s">
        <v>75</v>
      </c>
      <c r="I661" s="60" t="s">
        <v>1112</v>
      </c>
      <c r="J661" s="73" t="s">
        <v>1113</v>
      </c>
      <c r="K661" s="54" t="s">
        <v>61</v>
      </c>
      <c r="L661" s="73" t="s">
        <v>317</v>
      </c>
      <c r="M661" s="54" t="s">
        <v>78</v>
      </c>
      <c r="N661" s="73" t="s">
        <v>79</v>
      </c>
      <c r="O661" s="54" t="s">
        <v>224</v>
      </c>
      <c r="P661" s="54" t="s">
        <v>110</v>
      </c>
      <c r="Q661" s="54" t="str">
        <f>IFERROR(__xludf.DUMMYFUNCTION("""COMPUTED_VALUE"""),"Denmark.KG.GTTA.LNTH_XuBen.5018_MES_HuyNV_040123")</f>
        <v>Denmark.KG.GTTA.LNTH_XuBen.5018_MES_HuyNV_040123</v>
      </c>
      <c r="R661" s="54" t="str">
        <f>IFERROR(__xludf.DUMMYFUNCTION("""COMPUTED_VALUE"""),"NEW_Denmark_1834_none_040123")</f>
        <v>NEW_Denmark_1834_none_040123</v>
      </c>
      <c r="S661" s="54" t="str">
        <f>IFERROR(__xludf.DUMMYFUNCTION("""COMPUTED_VALUE"""),"saletructiep_Denmark.KG.GTTA.LNTH_PTATT_LD068")</f>
        <v>saletructiep_Denmark.KG.GTTA.LNTH_PTATT_LD068</v>
      </c>
      <c r="T661" s="54"/>
      <c r="U661" s="56"/>
    </row>
    <row r="662">
      <c r="A662" s="64" t="s">
        <v>1100</v>
      </c>
      <c r="B662" s="75" t="s">
        <v>777</v>
      </c>
      <c r="C662" s="54" t="str">
        <f>IFERROR(__xludf.DUMMYFUNCTION("""COMPUTED_VALUE"""),"LD068")</f>
        <v>LD068</v>
      </c>
      <c r="D662" s="54" t="s">
        <v>42</v>
      </c>
      <c r="E662" s="73" t="s">
        <v>79</v>
      </c>
      <c r="F662" s="55" t="s">
        <v>258</v>
      </c>
      <c r="G662" s="54">
        <v>1834.0</v>
      </c>
      <c r="H662" s="54" t="s">
        <v>75</v>
      </c>
      <c r="I662" s="60" t="s">
        <v>1114</v>
      </c>
      <c r="J662" s="73" t="s">
        <v>1115</v>
      </c>
      <c r="K662" s="54" t="s">
        <v>61</v>
      </c>
      <c r="L662" s="73" t="s">
        <v>317</v>
      </c>
      <c r="M662" s="54" t="s">
        <v>78</v>
      </c>
      <c r="N662" s="73" t="s">
        <v>79</v>
      </c>
      <c r="O662" s="54" t="s">
        <v>224</v>
      </c>
      <c r="P662" s="54" t="s">
        <v>110</v>
      </c>
      <c r="Q662" s="54" t="str">
        <f>IFERROR(__xludf.DUMMYFUNCTION("""COMPUTED_VALUE"""),"Germany.KG.GTTA.LNTH_XuBen.5018_MES_HuyNV_040123")</f>
        <v>Germany.KG.GTTA.LNTH_XuBen.5018_MES_HuyNV_040123</v>
      </c>
      <c r="R662" s="54" t="str">
        <f>IFERROR(__xludf.DUMMYFUNCTION("""COMPUTED_VALUE"""),"NEW_Germany_1834_none_040123")</f>
        <v>NEW_Germany_1834_none_040123</v>
      </c>
      <c r="S662" s="54" t="str">
        <f>IFERROR(__xludf.DUMMYFUNCTION("""COMPUTED_VALUE"""),"saletructiep_Germany.KG.GTTA.LNTH_PTATT_LD068")</f>
        <v>saletructiep_Germany.KG.GTTA.LNTH_PTATT_LD068</v>
      </c>
      <c r="T662" s="54"/>
      <c r="U662" s="56"/>
    </row>
    <row r="663">
      <c r="A663" s="64" t="s">
        <v>1100</v>
      </c>
      <c r="B663" s="75" t="s">
        <v>777</v>
      </c>
      <c r="C663" s="54" t="str">
        <f>IFERROR(__xludf.DUMMYFUNCTION("""COMPUTED_VALUE"""),"LD068")</f>
        <v>LD068</v>
      </c>
      <c r="D663" s="54" t="s">
        <v>42</v>
      </c>
      <c r="E663" s="73" t="s">
        <v>79</v>
      </c>
      <c r="F663" s="55" t="s">
        <v>514</v>
      </c>
      <c r="G663" s="54">
        <v>1834.0</v>
      </c>
      <c r="H663" s="54" t="s">
        <v>75</v>
      </c>
      <c r="I663" s="60" t="s">
        <v>1116</v>
      </c>
      <c r="J663" s="73" t="s">
        <v>1117</v>
      </c>
      <c r="K663" s="54" t="s">
        <v>61</v>
      </c>
      <c r="L663" s="73" t="s">
        <v>317</v>
      </c>
      <c r="M663" s="54" t="s">
        <v>78</v>
      </c>
      <c r="N663" s="73" t="s">
        <v>79</v>
      </c>
      <c r="O663" s="54" t="s">
        <v>224</v>
      </c>
      <c r="P663" s="54" t="s">
        <v>110</v>
      </c>
      <c r="Q663" s="54" t="str">
        <f>IFERROR(__xludf.DUMMYFUNCTION("""COMPUTED_VALUE"""),"Italy.KG.GTTA.LNTH_XuBen.5018_MES_HuyNV_040123")</f>
        <v>Italy.KG.GTTA.LNTH_XuBen.5018_MES_HuyNV_040123</v>
      </c>
      <c r="R663" s="54" t="str">
        <f>IFERROR(__xludf.DUMMYFUNCTION("""COMPUTED_VALUE"""),"NEW_Italy_1834_none_040123")</f>
        <v>NEW_Italy_1834_none_040123</v>
      </c>
      <c r="S663" s="54" t="str">
        <f>IFERROR(__xludf.DUMMYFUNCTION("""COMPUTED_VALUE"""),"saletructiep_Italy.KG.GTTA.LNTH_PTATT_LD068")</f>
        <v>saletructiep_Italy.KG.GTTA.LNTH_PTATT_LD068</v>
      </c>
      <c r="T663" s="54"/>
      <c r="U663" s="56"/>
    </row>
    <row r="664">
      <c r="A664" s="64" t="s">
        <v>1118</v>
      </c>
      <c r="B664" s="60" t="s">
        <v>776</v>
      </c>
      <c r="C664" s="54" t="str">
        <f>IFERROR(__xludf.DUMMYFUNCTION("""COMPUTED_VALUE"""),"LD117")</f>
        <v>LD117</v>
      </c>
      <c r="D664" s="54" t="s">
        <v>42</v>
      </c>
      <c r="E664" s="55" t="s">
        <v>69</v>
      </c>
      <c r="F664" s="55" t="s">
        <v>614</v>
      </c>
      <c r="G664" s="54">
        <v>1834.0</v>
      </c>
      <c r="H664" s="54" t="s">
        <v>75</v>
      </c>
      <c r="I664" s="55" t="s">
        <v>1119</v>
      </c>
      <c r="J664" s="55" t="s">
        <v>1119</v>
      </c>
      <c r="K664" s="54" t="s">
        <v>61</v>
      </c>
      <c r="L664" s="73" t="s">
        <v>317</v>
      </c>
      <c r="M664" s="54" t="s">
        <v>78</v>
      </c>
      <c r="N664" s="73" t="s">
        <v>79</v>
      </c>
      <c r="O664" s="54" t="s">
        <v>224</v>
      </c>
      <c r="P664" s="54" t="s">
        <v>110</v>
      </c>
      <c r="Q664" s="54" t="str">
        <f>IFERROR(__xludf.DUMMYFUNCTION("""COMPUTED_VALUE"""),"Korean.Thongbao.LNTH_XuBen.5018_MES_HuyNV_050123")</f>
        <v>Korean.Thongbao.LNTH_XuBen.5018_MES_HuyNV_050123</v>
      </c>
      <c r="R664" s="54" t="str">
        <f>IFERROR(__xludf.DUMMYFUNCTION("""COMPUTED_VALUE"""),"NEW_Korea_1834_none_050123")</f>
        <v>NEW_Korea_1834_none_050123</v>
      </c>
      <c r="S664" s="54" t="str">
        <f>IFERROR(__xludf.DUMMYFUNCTION("""COMPUTED_VALUE"""),"saletructiep_Korean.Thongbao.LNTH_PTATT_LD117")</f>
        <v>saletructiep_Korean.Thongbao.LNTH_PTATT_LD117</v>
      </c>
      <c r="T664" s="54"/>
      <c r="U664" s="56"/>
    </row>
    <row r="665">
      <c r="A665" s="64" t="s">
        <v>1118</v>
      </c>
      <c r="B665" s="60" t="s">
        <v>1120</v>
      </c>
      <c r="C665" s="54" t="str">
        <f>IFERROR(__xludf.DUMMYFUNCTION("""COMPUTED_VALUE"""),"LD125")</f>
        <v>LD125</v>
      </c>
      <c r="D665" s="54" t="s">
        <v>42</v>
      </c>
      <c r="E665" s="55" t="s">
        <v>69</v>
      </c>
      <c r="F665" s="73" t="s">
        <v>133</v>
      </c>
      <c r="G665" s="54">
        <v>1834.0</v>
      </c>
      <c r="H665" s="54" t="s">
        <v>75</v>
      </c>
      <c r="I665" s="55" t="s">
        <v>1092</v>
      </c>
      <c r="J665" s="55" t="s">
        <v>1092</v>
      </c>
      <c r="K665" s="54" t="s">
        <v>61</v>
      </c>
      <c r="L665" s="73" t="s">
        <v>317</v>
      </c>
      <c r="M665" s="54" t="s">
        <v>78</v>
      </c>
      <c r="N665" s="73" t="s">
        <v>79</v>
      </c>
      <c r="O665" s="54" t="s">
        <v>224</v>
      </c>
      <c r="P665" s="54" t="s">
        <v>110</v>
      </c>
      <c r="Q665" s="54" t="str">
        <f>IFERROR(__xludf.DUMMYFUNCTION("""COMPUTED_VALUE"""),"Japan.Thongbao.LNTH_XuBen.5018_MES_HuyNV_050123")</f>
        <v>Japan.Thongbao.LNTH_XuBen.5018_MES_HuyNV_050123</v>
      </c>
      <c r="R665" s="54" t="str">
        <f>IFERROR(__xludf.DUMMYFUNCTION("""COMPUTED_VALUE"""),"NEW_Japan_1834_none_050123")</f>
        <v>NEW_Japan_1834_none_050123</v>
      </c>
      <c r="S665" s="54" t="str">
        <f>IFERROR(__xludf.DUMMYFUNCTION("""COMPUTED_VALUE"""),"saletructiep_Japan.Thongbao.LNTH_PTATT_LD125")</f>
        <v>saletructiep_Japan.Thongbao.LNTH_PTATT_LD125</v>
      </c>
      <c r="T665" s="54"/>
      <c r="U665" s="56"/>
    </row>
    <row r="666">
      <c r="A666" s="64" t="s">
        <v>1118</v>
      </c>
      <c r="B666" s="60" t="s">
        <v>776</v>
      </c>
      <c r="C666" s="54" t="str">
        <f>IFERROR(__xludf.DUMMYFUNCTION("""COMPUTED_VALUE"""),"LD117")</f>
        <v>LD117</v>
      </c>
      <c r="D666" s="54" t="s">
        <v>42</v>
      </c>
      <c r="E666" s="55" t="s">
        <v>69</v>
      </c>
      <c r="F666" s="55" t="s">
        <v>614</v>
      </c>
      <c r="G666" s="54">
        <v>1834.0</v>
      </c>
      <c r="H666" s="54" t="s">
        <v>75</v>
      </c>
      <c r="I666" s="55" t="s">
        <v>1121</v>
      </c>
      <c r="J666" s="55" t="s">
        <v>1121</v>
      </c>
      <c r="K666" s="54" t="s">
        <v>61</v>
      </c>
      <c r="L666" s="73" t="s">
        <v>317</v>
      </c>
      <c r="M666" s="54" t="s">
        <v>78</v>
      </c>
      <c r="N666" s="73" t="s">
        <v>79</v>
      </c>
      <c r="O666" s="54" t="s">
        <v>224</v>
      </c>
      <c r="P666" s="54" t="s">
        <v>110</v>
      </c>
      <c r="Q666" s="54" t="str">
        <f>IFERROR(__xludf.DUMMYFUNCTION("""COMPUTED_VALUE"""),"Korean.KHTA.LNTH_XuBen.5018_MES_HuyNV_050123")</f>
        <v>Korean.KHTA.LNTH_XuBen.5018_MES_HuyNV_050123</v>
      </c>
      <c r="R666" s="54" t="str">
        <f>IFERROR(__xludf.DUMMYFUNCTION("""COMPUTED_VALUE"""),"NEW_Korea_1834_none_050123")</f>
        <v>NEW_Korea_1834_none_050123</v>
      </c>
      <c r="S666" s="54" t="str">
        <f>IFERROR(__xludf.DUMMYFUNCTION("""COMPUTED_VALUE"""),"saletructiep_Korean.KHTA.LNTH_PTATT_LD117")</f>
        <v>saletructiep_Korean.KHTA.LNTH_PTATT_LD117</v>
      </c>
      <c r="T666" s="54"/>
      <c r="U666" s="56"/>
    </row>
    <row r="667">
      <c r="A667" s="64" t="s">
        <v>1118</v>
      </c>
      <c r="B667" s="60" t="s">
        <v>1120</v>
      </c>
      <c r="C667" s="54" t="str">
        <f>IFERROR(__xludf.DUMMYFUNCTION("""COMPUTED_VALUE"""),"LD125")</f>
        <v>LD125</v>
      </c>
      <c r="D667" s="54" t="s">
        <v>42</v>
      </c>
      <c r="E667" s="55" t="s">
        <v>69</v>
      </c>
      <c r="F667" s="73" t="s">
        <v>133</v>
      </c>
      <c r="G667" s="54">
        <v>1834.0</v>
      </c>
      <c r="H667" s="54" t="s">
        <v>75</v>
      </c>
      <c r="I667" s="55" t="s">
        <v>1122</v>
      </c>
      <c r="J667" s="55" t="s">
        <v>1122</v>
      </c>
      <c r="K667" s="54" t="s">
        <v>61</v>
      </c>
      <c r="L667" s="73" t="s">
        <v>317</v>
      </c>
      <c r="M667" s="54" t="s">
        <v>78</v>
      </c>
      <c r="N667" s="73" t="s">
        <v>79</v>
      </c>
      <c r="O667" s="54" t="s">
        <v>224</v>
      </c>
      <c r="P667" s="54" t="s">
        <v>110</v>
      </c>
      <c r="Q667" s="54" t="str">
        <f>IFERROR(__xludf.DUMMYFUNCTION("""COMPUTED_VALUE"""),"Japan.KHTA.LNTH_XuBen.5018_MES_HuyNV_050123")</f>
        <v>Japan.KHTA.LNTH_XuBen.5018_MES_HuyNV_050123</v>
      </c>
      <c r="R667" s="54" t="str">
        <f>IFERROR(__xludf.DUMMYFUNCTION("""COMPUTED_VALUE"""),"NEW_Japan_1834_none_050123")</f>
        <v>NEW_Japan_1834_none_050123</v>
      </c>
      <c r="S667" s="54" t="str">
        <f>IFERROR(__xludf.DUMMYFUNCTION("""COMPUTED_VALUE"""),"saletructiep_Japan.KHTA.LNTH_PTATT_LD125")</f>
        <v>saletructiep_Japan.KHTA.LNTH_PTATT_LD125</v>
      </c>
      <c r="T667" s="54"/>
      <c r="U667" s="56"/>
    </row>
    <row r="668">
      <c r="A668" s="96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63"/>
      <c r="U668" s="56"/>
    </row>
    <row r="669">
      <c r="A669" s="57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63"/>
      <c r="U669" s="56"/>
    </row>
    <row r="670">
      <c r="A670" s="57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63"/>
      <c r="U670" s="56"/>
    </row>
    <row r="671">
      <c r="A671" s="57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63"/>
      <c r="U671" s="56"/>
    </row>
    <row r="672">
      <c r="A672" s="57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63"/>
      <c r="U672" s="56"/>
    </row>
    <row r="673">
      <c r="A673" s="57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63"/>
      <c r="U673" s="56"/>
    </row>
    <row r="674">
      <c r="A674" s="57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63"/>
      <c r="U674" s="56"/>
    </row>
    <row r="675">
      <c r="A675" s="57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63"/>
      <c r="U675" s="56"/>
    </row>
    <row r="676">
      <c r="A676" s="57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63"/>
      <c r="U676" s="56"/>
    </row>
    <row r="677">
      <c r="A677" s="57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63"/>
      <c r="U677" s="56"/>
    </row>
    <row r="678">
      <c r="A678" s="57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63"/>
      <c r="U678" s="56"/>
    </row>
    <row r="679">
      <c r="A679" s="57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63"/>
      <c r="U679" s="56"/>
    </row>
    <row r="680">
      <c r="A680" s="57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63"/>
      <c r="U680" s="56"/>
    </row>
    <row r="681">
      <c r="A681" s="57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63"/>
      <c r="U681" s="56"/>
    </row>
    <row r="682">
      <c r="A682" s="57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63"/>
      <c r="U682" s="56"/>
    </row>
    <row r="683">
      <c r="A683" s="57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63"/>
      <c r="U683" s="56"/>
    </row>
    <row r="684">
      <c r="A684" s="57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63"/>
      <c r="U684" s="56"/>
    </row>
    <row r="685">
      <c r="A685" s="57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63"/>
      <c r="U685" s="56"/>
    </row>
    <row r="686">
      <c r="A686" s="57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63"/>
      <c r="U686" s="56"/>
    </row>
    <row r="687">
      <c r="A687" s="57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63"/>
      <c r="U687" s="56"/>
    </row>
    <row r="688">
      <c r="A688" s="57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63"/>
      <c r="U688" s="56"/>
    </row>
    <row r="689">
      <c r="A689" s="57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63"/>
      <c r="U689" s="56"/>
    </row>
    <row r="690">
      <c r="A690" s="57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63"/>
      <c r="U690" s="56"/>
    </row>
    <row r="691">
      <c r="A691" s="57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63"/>
      <c r="U691" s="56"/>
    </row>
    <row r="692">
      <c r="A692" s="57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63"/>
      <c r="U692" s="56"/>
    </row>
    <row r="693">
      <c r="A693" s="57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63"/>
      <c r="U693" s="56"/>
    </row>
    <row r="694">
      <c r="A694" s="57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63"/>
      <c r="U694" s="56"/>
    </row>
    <row r="695">
      <c r="A695" s="57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63"/>
      <c r="U695" s="56"/>
    </row>
    <row r="696">
      <c r="A696" s="57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63"/>
      <c r="U696" s="56"/>
    </row>
    <row r="697">
      <c r="A697" s="57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63"/>
      <c r="U697" s="56"/>
    </row>
    <row r="698">
      <c r="A698" s="57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63"/>
      <c r="U698" s="56"/>
    </row>
    <row r="699">
      <c r="A699" s="57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63"/>
      <c r="U699" s="56"/>
    </row>
    <row r="700">
      <c r="A700" s="57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63"/>
      <c r="U700" s="56"/>
    </row>
    <row r="701">
      <c r="A701" s="57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63"/>
      <c r="U701" s="56"/>
    </row>
    <row r="702">
      <c r="A702" s="57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63"/>
      <c r="U702" s="56"/>
    </row>
    <row r="703">
      <c r="A703" s="57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63"/>
      <c r="U703" s="56"/>
    </row>
    <row r="704">
      <c r="A704" s="57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63"/>
      <c r="U704" s="56"/>
    </row>
    <row r="705">
      <c r="A705" s="57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63"/>
      <c r="U705" s="56"/>
    </row>
    <row r="706">
      <c r="A706" s="57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63"/>
      <c r="U706" s="56"/>
    </row>
    <row r="707">
      <c r="A707" s="57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63"/>
      <c r="U707" s="56"/>
    </row>
    <row r="708">
      <c r="A708" s="57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63"/>
      <c r="U708" s="56"/>
    </row>
    <row r="709">
      <c r="A709" s="57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63"/>
      <c r="U709" s="56"/>
    </row>
    <row r="710">
      <c r="A710" s="57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63"/>
      <c r="U710" s="56"/>
    </row>
    <row r="711">
      <c r="A711" s="57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63"/>
      <c r="U711" s="56"/>
    </row>
    <row r="712">
      <c r="A712" s="57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63"/>
      <c r="U712" s="56"/>
    </row>
    <row r="713">
      <c r="A713" s="57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63"/>
      <c r="U713" s="56"/>
    </row>
    <row r="714">
      <c r="A714" s="57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63"/>
      <c r="U714" s="56"/>
    </row>
    <row r="715">
      <c r="A715" s="57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63"/>
      <c r="U715" s="56"/>
    </row>
    <row r="716">
      <c r="A716" s="57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63"/>
      <c r="U716" s="56"/>
    </row>
    <row r="717">
      <c r="A717" s="57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63"/>
      <c r="U717" s="56"/>
    </row>
    <row r="718">
      <c r="A718" s="57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63"/>
      <c r="U718" s="56"/>
    </row>
    <row r="719">
      <c r="A719" s="57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63"/>
      <c r="U719" s="56"/>
    </row>
    <row r="720">
      <c r="A720" s="57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63"/>
      <c r="U720" s="56"/>
    </row>
    <row r="721">
      <c r="A721" s="57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63"/>
      <c r="U721" s="56"/>
    </row>
    <row r="722">
      <c r="A722" s="57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63"/>
      <c r="U722" s="56"/>
    </row>
    <row r="723">
      <c r="A723" s="57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63"/>
      <c r="U723" s="56"/>
    </row>
    <row r="724">
      <c r="A724" s="57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63"/>
      <c r="U724" s="56"/>
    </row>
    <row r="725">
      <c r="A725" s="57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63"/>
      <c r="U725" s="56"/>
    </row>
    <row r="726">
      <c r="A726" s="57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63"/>
      <c r="U726" s="56"/>
    </row>
    <row r="727">
      <c r="A727" s="57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63"/>
      <c r="U727" s="56"/>
    </row>
    <row r="728">
      <c r="A728" s="57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63"/>
      <c r="U728" s="56"/>
    </row>
    <row r="729">
      <c r="A729" s="57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63"/>
      <c r="U729" s="56"/>
    </row>
    <row r="730">
      <c r="A730" s="57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63"/>
      <c r="U730" s="56"/>
    </row>
    <row r="731">
      <c r="A731" s="57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63"/>
      <c r="U731" s="56"/>
    </row>
    <row r="732">
      <c r="A732" s="57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63"/>
      <c r="U732" s="56"/>
    </row>
    <row r="733">
      <c r="A733" s="57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63"/>
      <c r="U733" s="56"/>
    </row>
    <row r="734">
      <c r="A734" s="57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63"/>
      <c r="U734" s="56"/>
    </row>
    <row r="735">
      <c r="A735" s="57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63"/>
      <c r="U735" s="56"/>
    </row>
    <row r="736">
      <c r="A736" s="57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63"/>
      <c r="U736" s="56"/>
    </row>
    <row r="737">
      <c r="A737" s="57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63"/>
      <c r="U737" s="56"/>
    </row>
    <row r="738">
      <c r="A738" s="57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63"/>
      <c r="U738" s="56"/>
    </row>
    <row r="739">
      <c r="A739" s="57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63"/>
      <c r="U739" s="56"/>
    </row>
    <row r="740">
      <c r="A740" s="57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63"/>
      <c r="U740" s="56"/>
    </row>
    <row r="741">
      <c r="A741" s="57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63"/>
      <c r="U741" s="56"/>
    </row>
    <row r="742">
      <c r="A742" s="57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63"/>
      <c r="U742" s="56"/>
    </row>
    <row r="743">
      <c r="A743" s="57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63"/>
      <c r="U743" s="56"/>
    </row>
    <row r="744">
      <c r="A744" s="57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63"/>
      <c r="U744" s="56"/>
    </row>
    <row r="745">
      <c r="A745" s="57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63"/>
      <c r="U745" s="56"/>
    </row>
    <row r="746">
      <c r="A746" s="57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63"/>
      <c r="U746" s="56"/>
    </row>
    <row r="747">
      <c r="A747" s="57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63"/>
      <c r="U747" s="56"/>
    </row>
    <row r="748">
      <c r="A748" s="57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63"/>
      <c r="U748" s="56"/>
    </row>
    <row r="749">
      <c r="A749" s="57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63"/>
      <c r="U749" s="56"/>
    </row>
    <row r="750">
      <c r="A750" s="57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63"/>
      <c r="U750" s="56"/>
    </row>
    <row r="751">
      <c r="A751" s="57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63"/>
      <c r="U751" s="56"/>
    </row>
    <row r="752">
      <c r="A752" s="57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63"/>
      <c r="U752" s="56"/>
    </row>
    <row r="753">
      <c r="A753" s="57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63"/>
      <c r="U753" s="56"/>
    </row>
    <row r="754">
      <c r="A754" s="57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63"/>
      <c r="U754" s="56"/>
    </row>
    <row r="755">
      <c r="A755" s="57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63"/>
      <c r="U755" s="56"/>
    </row>
    <row r="756">
      <c r="A756" s="57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63"/>
      <c r="U756" s="56"/>
    </row>
    <row r="757">
      <c r="A757" s="57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63"/>
      <c r="U757" s="56"/>
    </row>
    <row r="758">
      <c r="A758" s="57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63"/>
      <c r="U758" s="56"/>
    </row>
    <row r="759">
      <c r="A759" s="57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63"/>
      <c r="U759" s="56"/>
    </row>
    <row r="760">
      <c r="A760" s="57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63"/>
      <c r="U760" s="56"/>
    </row>
    <row r="761">
      <c r="A761" s="57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63"/>
      <c r="U761" s="56"/>
    </row>
    <row r="762">
      <c r="A762" s="57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63"/>
      <c r="U762" s="56"/>
    </row>
    <row r="763">
      <c r="A763" s="57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63"/>
      <c r="U763" s="56"/>
    </row>
    <row r="764">
      <c r="A764" s="57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63"/>
      <c r="U764" s="56"/>
    </row>
    <row r="765">
      <c r="A765" s="57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63"/>
      <c r="U765" s="56"/>
    </row>
    <row r="766">
      <c r="A766" s="57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63"/>
      <c r="U766" s="56"/>
    </row>
    <row r="767">
      <c r="A767" s="57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63"/>
      <c r="U767" s="56"/>
    </row>
    <row r="768">
      <c r="A768" s="57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63"/>
      <c r="U768" s="56"/>
    </row>
    <row r="769">
      <c r="A769" s="57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63"/>
      <c r="U769" s="56"/>
    </row>
    <row r="770">
      <c r="A770" s="57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63"/>
      <c r="U770" s="56"/>
    </row>
    <row r="771">
      <c r="A771" s="57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63"/>
      <c r="U771" s="56"/>
    </row>
    <row r="772">
      <c r="A772" s="57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63"/>
      <c r="U772" s="56"/>
    </row>
    <row r="773">
      <c r="A773" s="57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63"/>
      <c r="U773" s="56"/>
    </row>
    <row r="774">
      <c r="A774" s="57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63"/>
      <c r="U774" s="56"/>
    </row>
    <row r="775">
      <c r="A775" s="57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63"/>
      <c r="U775" s="56"/>
    </row>
    <row r="776">
      <c r="A776" s="57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63"/>
      <c r="U776" s="56"/>
    </row>
    <row r="777">
      <c r="A777" s="57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63"/>
      <c r="U777" s="56"/>
    </row>
    <row r="778">
      <c r="A778" s="57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63"/>
      <c r="U778" s="56"/>
    </row>
    <row r="779">
      <c r="A779" s="57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63"/>
      <c r="U779" s="56"/>
    </row>
    <row r="780">
      <c r="A780" s="57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63"/>
      <c r="U780" s="56"/>
    </row>
    <row r="781">
      <c r="A781" s="57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63"/>
      <c r="U781" s="56"/>
    </row>
    <row r="782">
      <c r="A782" s="57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63"/>
      <c r="U782" s="56"/>
    </row>
    <row r="783">
      <c r="A783" s="57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63"/>
      <c r="U783" s="56"/>
    </row>
    <row r="784">
      <c r="A784" s="57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63"/>
      <c r="U784" s="56"/>
    </row>
    <row r="785">
      <c r="A785" s="57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63"/>
      <c r="U785" s="56"/>
    </row>
    <row r="786">
      <c r="A786" s="57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63"/>
      <c r="U786" s="56"/>
    </row>
    <row r="787">
      <c r="A787" s="57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63"/>
      <c r="U787" s="56"/>
    </row>
    <row r="788">
      <c r="A788" s="57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63"/>
      <c r="U788" s="56"/>
    </row>
    <row r="789">
      <c r="A789" s="57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63"/>
      <c r="U789" s="56"/>
    </row>
    <row r="790">
      <c r="A790" s="57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63"/>
      <c r="U790" s="56"/>
    </row>
    <row r="791">
      <c r="A791" s="57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63"/>
      <c r="U791" s="56"/>
    </row>
    <row r="792">
      <c r="A792" s="57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63"/>
      <c r="U792" s="56"/>
    </row>
    <row r="793">
      <c r="A793" s="57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63"/>
      <c r="U793" s="56"/>
    </row>
    <row r="794">
      <c r="A794" s="57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63"/>
      <c r="U794" s="56"/>
    </row>
    <row r="795">
      <c r="A795" s="57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63"/>
      <c r="U795" s="56"/>
    </row>
    <row r="796">
      <c r="A796" s="57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63"/>
      <c r="U796" s="56"/>
    </row>
    <row r="797">
      <c r="A797" s="57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63"/>
      <c r="U797" s="56"/>
    </row>
    <row r="798">
      <c r="A798" s="57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63"/>
      <c r="U798" s="56"/>
    </row>
    <row r="799">
      <c r="A799" s="57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63"/>
      <c r="U799" s="56"/>
    </row>
    <row r="800">
      <c r="A800" s="57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63"/>
      <c r="U800" s="56"/>
    </row>
    <row r="801">
      <c r="A801" s="57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63"/>
      <c r="U801" s="56"/>
    </row>
    <row r="802">
      <c r="A802" s="57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63"/>
      <c r="U802" s="56"/>
    </row>
    <row r="803">
      <c r="A803" s="57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63"/>
      <c r="U803" s="56"/>
    </row>
    <row r="804">
      <c r="A804" s="57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63"/>
      <c r="U804" s="56"/>
    </row>
    <row r="805">
      <c r="A805" s="57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63"/>
      <c r="U805" s="56"/>
    </row>
    <row r="806">
      <c r="A806" s="57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63"/>
      <c r="U806" s="56"/>
    </row>
    <row r="807">
      <c r="A807" s="57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63"/>
      <c r="U807" s="56"/>
    </row>
    <row r="808">
      <c r="A808" s="57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63"/>
      <c r="U808" s="56"/>
    </row>
    <row r="809">
      <c r="A809" s="57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63"/>
      <c r="U809" s="56"/>
    </row>
    <row r="810">
      <c r="A810" s="57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63"/>
      <c r="U810" s="56"/>
    </row>
    <row r="811">
      <c r="A811" s="57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63"/>
      <c r="U811" s="56"/>
    </row>
    <row r="812">
      <c r="A812" s="57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63"/>
      <c r="U812" s="56"/>
    </row>
    <row r="813">
      <c r="A813" s="57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63"/>
      <c r="U813" s="56"/>
    </row>
    <row r="814">
      <c r="A814" s="57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63"/>
      <c r="U814" s="56"/>
    </row>
    <row r="815">
      <c r="A815" s="57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63"/>
      <c r="U815" s="56"/>
    </row>
    <row r="816">
      <c r="A816" s="57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63"/>
      <c r="U816" s="56"/>
    </row>
    <row r="817">
      <c r="A817" s="57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63"/>
      <c r="U817" s="56"/>
    </row>
    <row r="818">
      <c r="A818" s="57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63"/>
      <c r="U818" s="56"/>
    </row>
    <row r="819">
      <c r="A819" s="57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63"/>
      <c r="U819" s="56"/>
    </row>
    <row r="820">
      <c r="A820" s="57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63"/>
      <c r="U820" s="56"/>
    </row>
    <row r="821">
      <c r="A821" s="57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63"/>
      <c r="U821" s="56"/>
    </row>
    <row r="822">
      <c r="A822" s="57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63"/>
      <c r="U822" s="56"/>
    </row>
    <row r="823">
      <c r="A823" s="57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63"/>
      <c r="U823" s="56"/>
    </row>
    <row r="824">
      <c r="A824" s="57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63"/>
      <c r="U824" s="56"/>
    </row>
    <row r="825">
      <c r="A825" s="57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63"/>
      <c r="U825" s="56"/>
    </row>
    <row r="826">
      <c r="A826" s="57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63"/>
      <c r="U826" s="56"/>
    </row>
    <row r="827">
      <c r="A827" s="57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63"/>
      <c r="U827" s="56"/>
    </row>
    <row r="828">
      <c r="A828" s="57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63"/>
      <c r="U828" s="56"/>
    </row>
    <row r="829">
      <c r="A829" s="57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63"/>
      <c r="U829" s="56"/>
    </row>
    <row r="830">
      <c r="A830" s="57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63"/>
      <c r="U830" s="56"/>
    </row>
    <row r="831">
      <c r="A831" s="57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63"/>
      <c r="U831" s="56"/>
    </row>
    <row r="832">
      <c r="A832" s="57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63"/>
      <c r="U832" s="56"/>
    </row>
    <row r="833">
      <c r="A833" s="57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63"/>
      <c r="U833" s="56"/>
    </row>
    <row r="834">
      <c r="A834" s="57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63"/>
      <c r="U834" s="56"/>
    </row>
    <row r="835">
      <c r="A835" s="57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63"/>
      <c r="U835" s="56"/>
    </row>
    <row r="836">
      <c r="A836" s="57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63"/>
      <c r="U836" s="56"/>
    </row>
    <row r="837">
      <c r="A837" s="57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63"/>
      <c r="U837" s="56"/>
    </row>
    <row r="838">
      <c r="A838" s="57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63"/>
      <c r="U838" s="56"/>
    </row>
    <row r="839">
      <c r="A839" s="57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63"/>
      <c r="U839" s="56"/>
    </row>
    <row r="840">
      <c r="A840" s="57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63"/>
      <c r="U840" s="56"/>
    </row>
    <row r="841">
      <c r="A841" s="57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63"/>
      <c r="U841" s="56"/>
    </row>
    <row r="842">
      <c r="A842" s="57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63"/>
      <c r="U842" s="56"/>
    </row>
    <row r="843">
      <c r="A843" s="57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63"/>
      <c r="U843" s="56"/>
    </row>
    <row r="844">
      <c r="A844" s="57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63"/>
      <c r="U844" s="56"/>
    </row>
    <row r="845">
      <c r="A845" s="57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63"/>
      <c r="U845" s="56"/>
    </row>
    <row r="846">
      <c r="A846" s="57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63"/>
      <c r="U846" s="56"/>
    </row>
    <row r="847">
      <c r="A847" s="57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63"/>
      <c r="U847" s="56"/>
    </row>
    <row r="848">
      <c r="A848" s="57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63"/>
      <c r="U848" s="56"/>
    </row>
    <row r="849">
      <c r="A849" s="57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63"/>
      <c r="U849" s="56"/>
    </row>
    <row r="850">
      <c r="A850" s="57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63"/>
      <c r="U850" s="56"/>
    </row>
    <row r="851">
      <c r="A851" s="57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63"/>
      <c r="U851" s="56"/>
    </row>
    <row r="852">
      <c r="A852" s="57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63"/>
      <c r="U852" s="56"/>
    </row>
    <row r="853">
      <c r="A853" s="57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63"/>
      <c r="U853" s="56"/>
    </row>
    <row r="854">
      <c r="A854" s="57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63"/>
      <c r="U854" s="56"/>
    </row>
    <row r="855">
      <c r="A855" s="57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63"/>
      <c r="U855" s="56"/>
    </row>
    <row r="856">
      <c r="A856" s="57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63"/>
      <c r="U856" s="56"/>
    </row>
    <row r="857">
      <c r="A857" s="57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63"/>
      <c r="U857" s="56"/>
    </row>
    <row r="858">
      <c r="A858" s="57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63"/>
      <c r="U858" s="56"/>
    </row>
    <row r="859">
      <c r="A859" s="57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63"/>
      <c r="U859" s="56"/>
    </row>
    <row r="860">
      <c r="A860" s="57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63"/>
      <c r="U860" s="56"/>
    </row>
    <row r="861">
      <c r="A861" s="57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63"/>
      <c r="U861" s="56"/>
    </row>
    <row r="862">
      <c r="A862" s="57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63"/>
      <c r="U862" s="56"/>
    </row>
    <row r="863">
      <c r="A863" s="57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63"/>
      <c r="U863" s="56"/>
    </row>
    <row r="864">
      <c r="A864" s="57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63"/>
      <c r="U864" s="56"/>
    </row>
    <row r="865">
      <c r="A865" s="57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63"/>
      <c r="U865" s="56"/>
    </row>
    <row r="866">
      <c r="A866" s="57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63"/>
      <c r="U866" s="56"/>
    </row>
    <row r="867">
      <c r="A867" s="57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63"/>
      <c r="U867" s="56"/>
    </row>
    <row r="868">
      <c r="A868" s="57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63"/>
      <c r="U868" s="56"/>
    </row>
    <row r="869">
      <c r="A869" s="57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63"/>
      <c r="U869" s="56"/>
    </row>
    <row r="870">
      <c r="A870" s="57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63"/>
      <c r="U870" s="56"/>
    </row>
    <row r="871">
      <c r="A871" s="57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63"/>
      <c r="U871" s="56"/>
    </row>
    <row r="872">
      <c r="A872" s="57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63"/>
      <c r="U872" s="56"/>
    </row>
    <row r="873">
      <c r="A873" s="57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63"/>
      <c r="U873" s="56"/>
    </row>
    <row r="874">
      <c r="A874" s="57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63"/>
      <c r="U874" s="56"/>
    </row>
    <row r="875">
      <c r="A875" s="57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63"/>
      <c r="U875" s="56"/>
    </row>
    <row r="876">
      <c r="A876" s="57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63"/>
      <c r="U876" s="56"/>
    </row>
    <row r="877">
      <c r="A877" s="57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63"/>
      <c r="U877" s="56"/>
    </row>
    <row r="878">
      <c r="A878" s="57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63"/>
      <c r="U878" s="56"/>
    </row>
    <row r="879">
      <c r="A879" s="57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63"/>
      <c r="U879" s="56"/>
    </row>
    <row r="880">
      <c r="A880" s="57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63"/>
      <c r="U880" s="56"/>
    </row>
    <row r="881">
      <c r="A881" s="57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63"/>
      <c r="U881" s="56"/>
    </row>
    <row r="882">
      <c r="A882" s="57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63"/>
      <c r="U882" s="56"/>
    </row>
    <row r="883">
      <c r="A883" s="57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63"/>
      <c r="U883" s="56"/>
    </row>
    <row r="884">
      <c r="A884" s="57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63"/>
      <c r="U884" s="56"/>
    </row>
    <row r="885">
      <c r="A885" s="57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63"/>
      <c r="U885" s="56"/>
    </row>
    <row r="886">
      <c r="A886" s="57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63"/>
      <c r="U886" s="56"/>
    </row>
    <row r="887">
      <c r="A887" s="57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63"/>
      <c r="U887" s="56"/>
    </row>
    <row r="888">
      <c r="A888" s="57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63"/>
      <c r="U888" s="56"/>
    </row>
    <row r="889">
      <c r="A889" s="57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63"/>
      <c r="U889" s="56"/>
    </row>
    <row r="890">
      <c r="A890" s="57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63"/>
      <c r="U890" s="56"/>
    </row>
    <row r="891">
      <c r="A891" s="57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63"/>
      <c r="U891" s="56"/>
    </row>
    <row r="892">
      <c r="A892" s="57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63"/>
      <c r="U892" s="56"/>
    </row>
    <row r="893">
      <c r="A893" s="57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63"/>
      <c r="U893" s="56"/>
    </row>
    <row r="894">
      <c r="A894" s="57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63"/>
      <c r="U894" s="56"/>
    </row>
    <row r="895">
      <c r="A895" s="57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63"/>
      <c r="U895" s="56"/>
    </row>
    <row r="896">
      <c r="A896" s="57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63"/>
      <c r="U896" s="56"/>
    </row>
    <row r="897">
      <c r="A897" s="57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63"/>
      <c r="U897" s="56"/>
    </row>
    <row r="898">
      <c r="A898" s="57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63"/>
      <c r="U898" s="56"/>
    </row>
    <row r="899">
      <c r="A899" s="57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63"/>
      <c r="U899" s="56"/>
    </row>
    <row r="900">
      <c r="A900" s="57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63"/>
      <c r="U900" s="56"/>
    </row>
    <row r="901">
      <c r="A901" s="57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63"/>
      <c r="U901" s="56"/>
    </row>
    <row r="902">
      <c r="A902" s="57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63"/>
      <c r="U902" s="56"/>
    </row>
    <row r="903">
      <c r="A903" s="57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63"/>
      <c r="U903" s="56"/>
    </row>
    <row r="904">
      <c r="A904" s="57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63"/>
      <c r="U904" s="56"/>
    </row>
    <row r="905">
      <c r="A905" s="57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63"/>
      <c r="U905" s="56"/>
    </row>
    <row r="906">
      <c r="A906" s="57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63"/>
      <c r="U906" s="56"/>
    </row>
    <row r="907">
      <c r="A907" s="57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63"/>
      <c r="U907" s="56"/>
    </row>
    <row r="908">
      <c r="A908" s="57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63"/>
      <c r="U908" s="56"/>
    </row>
    <row r="909">
      <c r="A909" s="57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63"/>
      <c r="U909" s="56"/>
    </row>
    <row r="910">
      <c r="A910" s="57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63"/>
      <c r="U910" s="56"/>
    </row>
    <row r="911">
      <c r="A911" s="57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63"/>
      <c r="U911" s="56"/>
    </row>
    <row r="912">
      <c r="A912" s="57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63"/>
      <c r="U912" s="56"/>
    </row>
    <row r="913">
      <c r="A913" s="57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63"/>
      <c r="U913" s="56"/>
    </row>
    <row r="914">
      <c r="A914" s="57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63"/>
      <c r="U914" s="56"/>
    </row>
    <row r="915">
      <c r="A915" s="57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63"/>
      <c r="U915" s="56"/>
    </row>
    <row r="916">
      <c r="A916" s="57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63"/>
      <c r="U916" s="56"/>
    </row>
    <row r="917">
      <c r="A917" s="57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63"/>
      <c r="U917" s="56"/>
    </row>
    <row r="918">
      <c r="A918" s="57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63"/>
      <c r="U918" s="56"/>
    </row>
    <row r="919">
      <c r="A919" s="57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63"/>
      <c r="U919" s="56"/>
    </row>
    <row r="920">
      <c r="A920" s="57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63"/>
      <c r="U920" s="56"/>
    </row>
    <row r="921">
      <c r="A921" s="57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63"/>
      <c r="U921" s="56"/>
    </row>
    <row r="922">
      <c r="A922" s="57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63"/>
      <c r="U922" s="56"/>
    </row>
    <row r="923">
      <c r="A923" s="57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63"/>
      <c r="U923" s="56"/>
    </row>
    <row r="924">
      <c r="A924" s="57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63"/>
      <c r="U924" s="56"/>
    </row>
    <row r="925">
      <c r="A925" s="57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63"/>
      <c r="U925" s="56"/>
    </row>
    <row r="926">
      <c r="A926" s="57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63"/>
      <c r="U926" s="56"/>
    </row>
    <row r="927">
      <c r="A927" s="57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63"/>
      <c r="U927" s="56"/>
    </row>
    <row r="928">
      <c r="A928" s="57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63"/>
      <c r="U928" s="56"/>
    </row>
    <row r="929">
      <c r="A929" s="57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63"/>
      <c r="U929" s="56"/>
    </row>
    <row r="930">
      <c r="A930" s="57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63"/>
      <c r="U930" s="56"/>
    </row>
    <row r="931">
      <c r="A931" s="57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63"/>
      <c r="U931" s="56"/>
    </row>
    <row r="932">
      <c r="A932" s="57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63"/>
      <c r="U932" s="56"/>
    </row>
    <row r="933">
      <c r="A933" s="57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63"/>
      <c r="U933" s="56"/>
    </row>
    <row r="934">
      <c r="A934" s="57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63"/>
      <c r="U934" s="56"/>
    </row>
    <row r="935">
      <c r="A935" s="57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63"/>
      <c r="U935" s="56"/>
    </row>
    <row r="936">
      <c r="A936" s="57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63"/>
      <c r="U936" s="56"/>
    </row>
    <row r="937">
      <c r="A937" s="57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63"/>
      <c r="U937" s="56"/>
    </row>
    <row r="938">
      <c r="A938" s="57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63"/>
      <c r="U938" s="56"/>
    </row>
    <row r="939">
      <c r="A939" s="57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63"/>
      <c r="U939" s="56"/>
    </row>
    <row r="940">
      <c r="A940" s="57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63"/>
      <c r="U940" s="56"/>
    </row>
    <row r="941">
      <c r="A941" s="57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63"/>
      <c r="U941" s="56"/>
    </row>
    <row r="942">
      <c r="A942" s="57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63"/>
      <c r="U942" s="56"/>
    </row>
    <row r="943">
      <c r="A943" s="57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63"/>
      <c r="U943" s="56"/>
    </row>
    <row r="944">
      <c r="A944" s="57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63"/>
      <c r="U944" s="56"/>
    </row>
    <row r="945">
      <c r="A945" s="57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63"/>
      <c r="U945" s="56"/>
    </row>
    <row r="946">
      <c r="A946" s="57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63"/>
      <c r="U946" s="56"/>
    </row>
    <row r="947">
      <c r="A947" s="57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63"/>
      <c r="U947" s="56"/>
    </row>
    <row r="948">
      <c r="A948" s="57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63"/>
      <c r="U948" s="56"/>
    </row>
    <row r="949">
      <c r="A949" s="57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63"/>
      <c r="U949" s="56"/>
    </row>
    <row r="950">
      <c r="A950" s="57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63"/>
      <c r="U950" s="56"/>
    </row>
    <row r="951">
      <c r="A951" s="57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63"/>
      <c r="U951" s="56"/>
    </row>
    <row r="952">
      <c r="A952" s="57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63"/>
      <c r="U952" s="56"/>
    </row>
    <row r="953">
      <c r="A953" s="57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63"/>
      <c r="U953" s="56"/>
    </row>
    <row r="954">
      <c r="A954" s="57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63"/>
      <c r="U954" s="56"/>
    </row>
    <row r="955">
      <c r="A955" s="57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63"/>
      <c r="U955" s="56"/>
    </row>
    <row r="956">
      <c r="A956" s="57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63"/>
      <c r="U956" s="56"/>
    </row>
    <row r="957">
      <c r="A957" s="57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63"/>
      <c r="U957" s="56"/>
    </row>
    <row r="958">
      <c r="A958" s="57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63"/>
      <c r="U958" s="56"/>
    </row>
    <row r="959">
      <c r="A959" s="57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63"/>
      <c r="U959" s="56"/>
    </row>
    <row r="960">
      <c r="A960" s="57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63"/>
      <c r="U960" s="56"/>
    </row>
    <row r="961">
      <c r="A961" s="57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63"/>
      <c r="U961" s="56"/>
    </row>
    <row r="962">
      <c r="A962" s="57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63"/>
      <c r="U962" s="56"/>
    </row>
    <row r="963">
      <c r="A963" s="57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63"/>
      <c r="U963" s="56"/>
    </row>
    <row r="964">
      <c r="A964" s="57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63"/>
      <c r="U964" s="56"/>
    </row>
    <row r="965">
      <c r="A965" s="57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63"/>
      <c r="U965" s="56"/>
    </row>
    <row r="966">
      <c r="A966" s="57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63"/>
      <c r="U966" s="56"/>
    </row>
    <row r="967">
      <c r="A967" s="57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63"/>
      <c r="U967" s="56"/>
    </row>
    <row r="968">
      <c r="A968" s="57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63"/>
      <c r="U968" s="56"/>
    </row>
    <row r="969">
      <c r="A969" s="57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63"/>
      <c r="U969" s="56"/>
    </row>
    <row r="970">
      <c r="A970" s="57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63"/>
      <c r="U970" s="56"/>
    </row>
    <row r="971">
      <c r="A971" s="57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63"/>
      <c r="U971" s="56"/>
    </row>
    <row r="972">
      <c r="A972" s="57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63"/>
      <c r="U972" s="56"/>
    </row>
    <row r="973">
      <c r="A973" s="57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63"/>
      <c r="U973" s="56"/>
    </row>
    <row r="974">
      <c r="A974" s="57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63"/>
      <c r="U974" s="56"/>
    </row>
    <row r="975">
      <c r="A975" s="57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63"/>
      <c r="U975" s="56"/>
    </row>
    <row r="976">
      <c r="A976" s="57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63"/>
      <c r="U976" s="56"/>
    </row>
    <row r="977">
      <c r="A977" s="57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63"/>
      <c r="U977" s="56"/>
    </row>
    <row r="978">
      <c r="A978" s="57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63"/>
      <c r="U978" s="56"/>
    </row>
    <row r="979">
      <c r="A979" s="57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63"/>
      <c r="U979" s="56"/>
    </row>
    <row r="980">
      <c r="A980" s="57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63"/>
      <c r="U980" s="56"/>
    </row>
    <row r="981">
      <c r="A981" s="57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63"/>
      <c r="U981" s="56"/>
    </row>
    <row r="982">
      <c r="A982" s="57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63"/>
      <c r="U982" s="56"/>
    </row>
    <row r="983">
      <c r="A983" s="57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63"/>
      <c r="U983" s="56"/>
    </row>
    <row r="984">
      <c r="A984" s="57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63"/>
      <c r="U984" s="56"/>
    </row>
    <row r="985">
      <c r="A985" s="57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63"/>
      <c r="U985" s="56"/>
    </row>
    <row r="986">
      <c r="A986" s="57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63"/>
      <c r="U986" s="56"/>
    </row>
    <row r="987">
      <c r="A987" s="57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63"/>
      <c r="U987" s="56"/>
    </row>
    <row r="988">
      <c r="A988" s="57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63"/>
      <c r="U988" s="56"/>
    </row>
    <row r="989">
      <c r="A989" s="57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63"/>
      <c r="U989" s="56"/>
    </row>
    <row r="990">
      <c r="A990" s="57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63"/>
      <c r="U990" s="56"/>
    </row>
    <row r="991">
      <c r="A991" s="57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63"/>
      <c r="U991" s="56"/>
    </row>
  </sheetData>
  <dataValidations>
    <dataValidation type="list" allowBlank="1" showErrorMessage="1" sqref="D3:D991">
      <formula1>Data!$C$2:$C991</formula1>
    </dataValidation>
    <dataValidation type="list" allowBlank="1" showErrorMessage="1" sqref="E3:E991">
      <formula1>Data!$D$2:$D991</formula1>
    </dataValidation>
    <dataValidation type="list" allowBlank="1" showErrorMessage="1" sqref="N3:N991">
      <formula1>Data!$K$3:$K991</formula1>
    </dataValidation>
    <dataValidation type="list" allowBlank="1" showErrorMessage="1" sqref="B3:B991">
      <formula1>Data!$A$2:$A991</formula1>
    </dataValidation>
    <dataValidation type="list" allowBlank="1" showErrorMessage="1" sqref="O3:O41 O43:O991">
      <formula1>Data!$O$2:$O991</formula1>
    </dataValidation>
    <dataValidation type="list" allowBlank="1" showErrorMessage="1" sqref="M3:M41 M43:M991">
      <formula1>Data!$P$2:$P991</formula1>
    </dataValidation>
    <dataValidation type="custom" allowBlank="1" showDropDown="1" sqref="A4:A991">
      <formula1>OR(NOT(ISERROR(DATEVALUE(A4))), AND(ISNUMBER(A4), LEFT(CELL("format", A4))="D"))</formula1>
    </dataValidation>
    <dataValidation type="list" allowBlank="1" showErrorMessage="1" sqref="L3:L41 L43:L86 L90:L91 L93:L991">
      <formula1>Data!$I$2:$I991</formula1>
    </dataValidation>
    <dataValidation type="list" allowBlank="1" showErrorMessage="1" sqref="F3:F41 F43:F991">
      <formula1>Data!$F$2:$F991</formula1>
    </dataValidation>
    <dataValidation type="list" allowBlank="1" showErrorMessage="1" sqref="H3:H236 H238:H991">
      <formula1>Data!$H$2:$H991</formula1>
    </dataValidation>
    <dataValidation type="list" allowBlank="1" showErrorMessage="1" sqref="P3:P41 P43:P991">
      <formula1>Data!$M$2:$M991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T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7"/>
    <hyperlink r:id="rId153" ref="B209"/>
    <hyperlink r:id="rId154" ref="B221"/>
    <hyperlink r:id="rId155" ref="I221"/>
    <hyperlink r:id="rId156" ref="B222"/>
    <hyperlink r:id="rId157" ref="B223"/>
    <hyperlink r:id="rId158" ref="B224"/>
    <hyperlink r:id="rId159" ref="B225"/>
    <hyperlink r:id="rId160" ref="B226"/>
    <hyperlink r:id="rId161" ref="B227"/>
    <hyperlink r:id="rId162" ref="B234"/>
    <hyperlink r:id="rId163" ref="B241"/>
    <hyperlink r:id="rId164" ref="B247"/>
    <hyperlink r:id="rId165" ref="B274"/>
    <hyperlink r:id="rId166" ref="B311"/>
    <hyperlink r:id="rId167" ref="B312"/>
    <hyperlink r:id="rId168" ref="B313"/>
    <hyperlink r:id="rId169" ref="B314"/>
    <hyperlink r:id="rId170" ref="B315"/>
    <hyperlink r:id="rId171" ref="B316"/>
    <hyperlink r:id="rId172" ref="B317"/>
    <hyperlink r:id="rId173" ref="B318"/>
    <hyperlink r:id="rId174" ref="B319"/>
    <hyperlink r:id="rId175" ref="B320"/>
    <hyperlink r:id="rId176" ref="B321"/>
    <hyperlink r:id="rId177" ref="B322"/>
    <hyperlink r:id="rId178" ref="B323"/>
    <hyperlink r:id="rId179" ref="B324"/>
    <hyperlink r:id="rId180" ref="B325"/>
    <hyperlink r:id="rId181" ref="B326"/>
    <hyperlink r:id="rId182" ref="B327"/>
    <hyperlink r:id="rId183" ref="B328"/>
    <hyperlink r:id="rId184" ref="B329"/>
    <hyperlink r:id="rId185" ref="B332"/>
    <hyperlink r:id="rId186" ref="B333"/>
    <hyperlink r:id="rId187" ref="B334"/>
    <hyperlink r:id="rId188" ref="B335"/>
    <hyperlink r:id="rId189" ref="B336"/>
    <hyperlink r:id="rId190" ref="B337"/>
    <hyperlink r:id="rId191" ref="B338"/>
    <hyperlink r:id="rId192" ref="B339"/>
    <hyperlink r:id="rId193" ref="B340"/>
    <hyperlink r:id="rId194" ref="B341"/>
    <hyperlink r:id="rId195" ref="B342"/>
    <hyperlink r:id="rId196" ref="B343"/>
    <hyperlink r:id="rId197" ref="B344"/>
    <hyperlink r:id="rId198" ref="B345"/>
    <hyperlink r:id="rId199" ref="B346"/>
    <hyperlink r:id="rId200" ref="B350"/>
    <hyperlink r:id="rId201" ref="B351"/>
    <hyperlink r:id="rId202" ref="B352"/>
    <hyperlink r:id="rId203" ref="B353"/>
    <hyperlink r:id="rId204" ref="B354"/>
    <hyperlink r:id="rId205" ref="B355"/>
    <hyperlink r:id="rId206" ref="B356"/>
    <hyperlink r:id="rId207" ref="B357"/>
    <hyperlink r:id="rId208" ref="B395"/>
    <hyperlink r:id="rId209" ref="B396"/>
    <hyperlink r:id="rId210" ref="B397"/>
    <hyperlink r:id="rId211" ref="B400"/>
    <hyperlink r:id="rId212" ref="B401"/>
    <hyperlink r:id="rId213" ref="B402"/>
    <hyperlink r:id="rId214" ref="B403"/>
    <hyperlink r:id="rId215" ref="B404"/>
    <hyperlink r:id="rId216" ref="B405"/>
    <hyperlink r:id="rId217" ref="B406"/>
    <hyperlink r:id="rId218" ref="B408"/>
    <hyperlink r:id="rId219" ref="B409"/>
    <hyperlink r:id="rId220" ref="B410"/>
    <hyperlink r:id="rId221" ref="B411"/>
    <hyperlink r:id="rId222" ref="B414"/>
    <hyperlink r:id="rId223" ref="B416"/>
    <hyperlink r:id="rId224" ref="B482"/>
    <hyperlink r:id="rId225" ref="B483"/>
    <hyperlink r:id="rId226" ref="B490"/>
    <hyperlink r:id="rId227" ref="B491"/>
    <hyperlink r:id="rId228" ref="I505"/>
    <hyperlink r:id="rId229" ref="I506"/>
    <hyperlink r:id="rId230" ref="I508"/>
    <hyperlink r:id="rId231" ref="I509"/>
    <hyperlink r:id="rId232" ref="I510"/>
    <hyperlink r:id="rId233" ref="I511"/>
    <hyperlink r:id="rId234" ref="I512"/>
    <hyperlink r:id="rId235" ref="I514"/>
    <hyperlink r:id="rId236" ref="J514"/>
    <hyperlink r:id="rId237" ref="I516"/>
    <hyperlink r:id="rId238" ref="J516"/>
    <hyperlink r:id="rId239" ref="I517"/>
    <hyperlink r:id="rId240" ref="J517"/>
    <hyperlink r:id="rId241" ref="I518"/>
    <hyperlink r:id="rId242" ref="J518"/>
    <hyperlink r:id="rId243" ref="I519"/>
    <hyperlink r:id="rId244" ref="J519"/>
    <hyperlink r:id="rId245" ref="I522"/>
    <hyperlink r:id="rId246" ref="J522"/>
    <hyperlink r:id="rId247" ref="I524"/>
    <hyperlink r:id="rId248" ref="J524"/>
    <hyperlink r:id="rId249" ref="I525"/>
    <hyperlink r:id="rId250" ref="J525"/>
    <hyperlink r:id="rId251" ref="I526"/>
    <hyperlink r:id="rId252" ref="J526"/>
    <hyperlink r:id="rId253" ref="I527"/>
    <hyperlink r:id="rId254" ref="J527"/>
    <hyperlink r:id="rId255" ref="I529"/>
    <hyperlink r:id="rId256" ref="J529"/>
    <hyperlink r:id="rId257" ref="I530"/>
    <hyperlink r:id="rId258" ref="J530"/>
    <hyperlink r:id="rId259" ref="I531"/>
    <hyperlink r:id="rId260" ref="J531"/>
    <hyperlink r:id="rId261" ref="I532"/>
    <hyperlink r:id="rId262" ref="J532"/>
    <hyperlink r:id="rId263" ref="I533"/>
    <hyperlink r:id="rId264" ref="J533"/>
    <hyperlink r:id="rId265" ref="B534"/>
    <hyperlink r:id="rId266" ref="I534"/>
    <hyperlink r:id="rId267" ref="J534"/>
    <hyperlink r:id="rId268" ref="B535"/>
    <hyperlink r:id="rId269" ref="I550"/>
    <hyperlink r:id="rId270" ref="I551"/>
    <hyperlink r:id="rId271" ref="I552"/>
    <hyperlink r:id="rId272" ref="I553"/>
    <hyperlink r:id="rId273" ref="I554"/>
    <hyperlink r:id="rId274" ref="I560"/>
    <hyperlink r:id="rId275" ref="I561"/>
    <hyperlink r:id="rId276" ref="I562"/>
    <hyperlink r:id="rId277" ref="I563"/>
    <hyperlink r:id="rId278" ref="I564"/>
    <hyperlink r:id="rId279" ref="I602"/>
    <hyperlink r:id="rId280" ref="J602"/>
    <hyperlink r:id="rId281" ref="I603"/>
    <hyperlink r:id="rId282" ref="J603"/>
    <hyperlink r:id="rId283" ref="I604"/>
    <hyperlink r:id="rId284" ref="J604"/>
    <hyperlink r:id="rId285" ref="I605"/>
    <hyperlink r:id="rId286" ref="J605"/>
    <hyperlink r:id="rId287" ref="I606"/>
    <hyperlink r:id="rId288" ref="J606"/>
    <hyperlink r:id="rId289" ref="I607"/>
    <hyperlink r:id="rId290" ref="J607"/>
    <hyperlink r:id="rId291" ref="B619"/>
    <hyperlink r:id="rId292" ref="B620"/>
    <hyperlink r:id="rId293" ref="B623"/>
    <hyperlink r:id="rId294" ref="B628"/>
    <hyperlink r:id="rId295" ref="B631"/>
    <hyperlink r:id="rId296" ref="B633"/>
    <hyperlink r:id="rId297" ref="B635"/>
    <hyperlink r:id="rId298" ref="B637"/>
    <hyperlink r:id="rId299" ref="B639"/>
    <hyperlink r:id="rId300" ref="B640"/>
    <hyperlink r:id="rId301" ref="B641"/>
    <hyperlink r:id="rId302" ref="B644"/>
    <hyperlink r:id="rId303" ref="B646"/>
    <hyperlink r:id="rId304" ref="B647"/>
    <hyperlink r:id="rId305" ref="B648"/>
    <hyperlink r:id="rId306" ref="B649"/>
    <hyperlink r:id="rId307" ref="B650"/>
    <hyperlink r:id="rId308" ref="B651"/>
    <hyperlink r:id="rId309" ref="B652"/>
    <hyperlink r:id="rId310" ref="B653"/>
    <hyperlink r:id="rId311" ref="B654"/>
    <hyperlink r:id="rId312" ref="B655"/>
    <hyperlink r:id="rId313" ref="B656"/>
    <hyperlink r:id="rId314" ref="B657"/>
    <hyperlink r:id="rId315" ref="B658"/>
    <hyperlink r:id="rId316" ref="B659"/>
    <hyperlink r:id="rId317" ref="I659"/>
    <hyperlink r:id="rId318" ref="B660"/>
    <hyperlink r:id="rId319" ref="I660"/>
    <hyperlink r:id="rId320" ref="B661"/>
    <hyperlink r:id="rId321" ref="I661"/>
    <hyperlink r:id="rId322" ref="B662"/>
    <hyperlink r:id="rId323" ref="I662"/>
    <hyperlink r:id="rId324" ref="B663"/>
    <hyperlink r:id="rId325" ref="I663"/>
    <hyperlink r:id="rId326" ref="B664"/>
    <hyperlink r:id="rId327" ref="B665"/>
    <hyperlink r:id="rId328" ref="B666"/>
    <hyperlink r:id="rId329" ref="B667"/>
    <hyperlink r:id="rId330" ref="T668"/>
    <hyperlink r:id="rId331" ref="T669"/>
    <hyperlink r:id="rId332" ref="T670"/>
    <hyperlink r:id="rId333" ref="T671"/>
    <hyperlink r:id="rId334" ref="T672"/>
    <hyperlink r:id="rId335" ref="T673"/>
    <hyperlink r:id="rId336" ref="T674"/>
    <hyperlink r:id="rId337" ref="T675"/>
    <hyperlink r:id="rId338" ref="T676"/>
    <hyperlink r:id="rId339" ref="T677"/>
    <hyperlink r:id="rId340" ref="T678"/>
    <hyperlink r:id="rId341" ref="T679"/>
    <hyperlink r:id="rId342" ref="T680"/>
    <hyperlink r:id="rId343" ref="T681"/>
    <hyperlink r:id="rId344" ref="T682"/>
    <hyperlink r:id="rId345" ref="T683"/>
    <hyperlink r:id="rId346" ref="T684"/>
    <hyperlink r:id="rId347" ref="T685"/>
    <hyperlink r:id="rId348" ref="T686"/>
    <hyperlink r:id="rId349" ref="T687"/>
    <hyperlink r:id="rId350" ref="T688"/>
    <hyperlink r:id="rId351" ref="T689"/>
    <hyperlink r:id="rId352" ref="T690"/>
    <hyperlink r:id="rId353" ref="T691"/>
    <hyperlink r:id="rId354" ref="T692"/>
    <hyperlink r:id="rId355" ref="T693"/>
    <hyperlink r:id="rId356" ref="T694"/>
    <hyperlink r:id="rId357" ref="T695"/>
    <hyperlink r:id="rId358" ref="T696"/>
    <hyperlink r:id="rId359" ref="T697"/>
    <hyperlink r:id="rId360" ref="T698"/>
    <hyperlink r:id="rId361" ref="T699"/>
    <hyperlink r:id="rId362" ref="T700"/>
    <hyperlink r:id="rId363" ref="T701"/>
    <hyperlink r:id="rId364" ref="T702"/>
    <hyperlink r:id="rId365" ref="T703"/>
    <hyperlink r:id="rId366" ref="T704"/>
    <hyperlink r:id="rId367" ref="T705"/>
    <hyperlink r:id="rId368" ref="T706"/>
    <hyperlink r:id="rId369" ref="T707"/>
    <hyperlink r:id="rId370" ref="T708"/>
    <hyperlink r:id="rId371" ref="T709"/>
    <hyperlink r:id="rId372" ref="T710"/>
    <hyperlink r:id="rId373" ref="T711"/>
    <hyperlink r:id="rId374" ref="T712"/>
    <hyperlink r:id="rId375" ref="T713"/>
    <hyperlink r:id="rId376" ref="T714"/>
    <hyperlink r:id="rId377" ref="T715"/>
    <hyperlink r:id="rId378" ref="T716"/>
    <hyperlink r:id="rId379" ref="T717"/>
    <hyperlink r:id="rId380" ref="T718"/>
    <hyperlink r:id="rId381" ref="T719"/>
    <hyperlink r:id="rId382" ref="T720"/>
    <hyperlink r:id="rId383" ref="T721"/>
    <hyperlink r:id="rId384" ref="T722"/>
    <hyperlink r:id="rId385" ref="T723"/>
    <hyperlink r:id="rId386" ref="T724"/>
    <hyperlink r:id="rId387" ref="T725"/>
    <hyperlink r:id="rId388" ref="T726"/>
    <hyperlink r:id="rId389" ref="T727"/>
    <hyperlink r:id="rId390" ref="T728"/>
    <hyperlink r:id="rId391" ref="T729"/>
    <hyperlink r:id="rId392" ref="T730"/>
    <hyperlink r:id="rId393" ref="T731"/>
    <hyperlink r:id="rId394" ref="T732"/>
    <hyperlink r:id="rId395" ref="T733"/>
    <hyperlink r:id="rId396" ref="T734"/>
    <hyperlink r:id="rId397" ref="T735"/>
    <hyperlink r:id="rId398" ref="T736"/>
    <hyperlink r:id="rId399" ref="T737"/>
    <hyperlink r:id="rId400" ref="T738"/>
    <hyperlink r:id="rId401" ref="T739"/>
    <hyperlink r:id="rId402" ref="T740"/>
    <hyperlink r:id="rId403" ref="T741"/>
    <hyperlink r:id="rId404" ref="T742"/>
    <hyperlink r:id="rId405" ref="T743"/>
    <hyperlink r:id="rId406" ref="T744"/>
    <hyperlink r:id="rId407" ref="T745"/>
    <hyperlink r:id="rId408" ref="T746"/>
    <hyperlink r:id="rId409" ref="T747"/>
    <hyperlink r:id="rId410" ref="T748"/>
    <hyperlink r:id="rId411" ref="T749"/>
    <hyperlink r:id="rId412" ref="T750"/>
    <hyperlink r:id="rId413" ref="T751"/>
    <hyperlink r:id="rId414" ref="T752"/>
    <hyperlink r:id="rId415" ref="T753"/>
    <hyperlink r:id="rId416" ref="T754"/>
    <hyperlink r:id="rId417" ref="T755"/>
    <hyperlink r:id="rId418" ref="T756"/>
    <hyperlink r:id="rId419" ref="T757"/>
    <hyperlink r:id="rId420" ref="T758"/>
    <hyperlink r:id="rId421" ref="T759"/>
    <hyperlink r:id="rId422" ref="T760"/>
    <hyperlink r:id="rId423" ref="T761"/>
    <hyperlink r:id="rId424" ref="T762"/>
    <hyperlink r:id="rId425" ref="T763"/>
    <hyperlink r:id="rId426" ref="T764"/>
    <hyperlink r:id="rId427" ref="T765"/>
    <hyperlink r:id="rId428" ref="T766"/>
    <hyperlink r:id="rId429" ref="T767"/>
    <hyperlink r:id="rId430" ref="T768"/>
    <hyperlink r:id="rId431" ref="T769"/>
    <hyperlink r:id="rId432" ref="T770"/>
    <hyperlink r:id="rId433" ref="T771"/>
    <hyperlink r:id="rId434" ref="T772"/>
    <hyperlink r:id="rId435" ref="T773"/>
    <hyperlink r:id="rId436" ref="T774"/>
    <hyperlink r:id="rId437" ref="T775"/>
    <hyperlink r:id="rId438" ref="T776"/>
    <hyperlink r:id="rId439" ref="T777"/>
    <hyperlink r:id="rId440" ref="T778"/>
    <hyperlink r:id="rId441" ref="T779"/>
    <hyperlink r:id="rId442" ref="T780"/>
    <hyperlink r:id="rId443" ref="T781"/>
    <hyperlink r:id="rId444" ref="T782"/>
    <hyperlink r:id="rId445" ref="T783"/>
    <hyperlink r:id="rId446" ref="T784"/>
    <hyperlink r:id="rId447" ref="T785"/>
    <hyperlink r:id="rId448" ref="T786"/>
    <hyperlink r:id="rId449" ref="T787"/>
    <hyperlink r:id="rId450" ref="T788"/>
    <hyperlink r:id="rId451" ref="T789"/>
    <hyperlink r:id="rId452" ref="T790"/>
    <hyperlink r:id="rId453" ref="T791"/>
    <hyperlink r:id="rId454" ref="T792"/>
    <hyperlink r:id="rId455" ref="T793"/>
    <hyperlink r:id="rId456" ref="T794"/>
    <hyperlink r:id="rId457" ref="T795"/>
    <hyperlink r:id="rId458" ref="T796"/>
    <hyperlink r:id="rId459" ref="T797"/>
    <hyperlink r:id="rId460" ref="T798"/>
    <hyperlink r:id="rId461" ref="T799"/>
    <hyperlink r:id="rId462" ref="T800"/>
    <hyperlink r:id="rId463" ref="T801"/>
    <hyperlink r:id="rId464" ref="T802"/>
    <hyperlink r:id="rId465" ref="T803"/>
    <hyperlink r:id="rId466" ref="T804"/>
    <hyperlink r:id="rId467" ref="T805"/>
    <hyperlink r:id="rId468" ref="T806"/>
    <hyperlink r:id="rId469" ref="T807"/>
    <hyperlink r:id="rId470" ref="T808"/>
    <hyperlink r:id="rId471" ref="T809"/>
    <hyperlink r:id="rId472" ref="T810"/>
    <hyperlink r:id="rId473" ref="T811"/>
    <hyperlink r:id="rId474" ref="T812"/>
    <hyperlink r:id="rId475" ref="T813"/>
    <hyperlink r:id="rId476" ref="T814"/>
    <hyperlink r:id="rId477" ref="T815"/>
    <hyperlink r:id="rId478" ref="T816"/>
    <hyperlink r:id="rId479" ref="T817"/>
    <hyperlink r:id="rId480" ref="T818"/>
    <hyperlink r:id="rId481" ref="T819"/>
    <hyperlink r:id="rId482" ref="T820"/>
    <hyperlink r:id="rId483" ref="T821"/>
    <hyperlink r:id="rId484" ref="T822"/>
    <hyperlink r:id="rId485" ref="T823"/>
    <hyperlink r:id="rId486" ref="T824"/>
    <hyperlink r:id="rId487" ref="T825"/>
    <hyperlink r:id="rId488" ref="T826"/>
    <hyperlink r:id="rId489" ref="T827"/>
    <hyperlink r:id="rId490" ref="T828"/>
    <hyperlink r:id="rId491" ref="T829"/>
    <hyperlink r:id="rId492" ref="T830"/>
    <hyperlink r:id="rId493" ref="T831"/>
    <hyperlink r:id="rId494" ref="T832"/>
    <hyperlink r:id="rId495" ref="T833"/>
    <hyperlink r:id="rId496" ref="T834"/>
    <hyperlink r:id="rId497" ref="T835"/>
    <hyperlink r:id="rId498" ref="T836"/>
    <hyperlink r:id="rId499" ref="T837"/>
    <hyperlink r:id="rId500" ref="T838"/>
    <hyperlink r:id="rId501" ref="T839"/>
    <hyperlink r:id="rId502" ref="T840"/>
    <hyperlink r:id="rId503" ref="T841"/>
    <hyperlink r:id="rId504" ref="T842"/>
    <hyperlink r:id="rId505" ref="T843"/>
    <hyperlink r:id="rId506" ref="T844"/>
    <hyperlink r:id="rId507" ref="T845"/>
    <hyperlink r:id="rId508" ref="T846"/>
    <hyperlink r:id="rId509" ref="T847"/>
    <hyperlink r:id="rId510" ref="T848"/>
    <hyperlink r:id="rId511" ref="T849"/>
    <hyperlink r:id="rId512" ref="T850"/>
    <hyperlink r:id="rId513" ref="T851"/>
    <hyperlink r:id="rId514" ref="T852"/>
    <hyperlink r:id="rId515" ref="T853"/>
    <hyperlink r:id="rId516" ref="T854"/>
    <hyperlink r:id="rId517" ref="T855"/>
    <hyperlink r:id="rId518" ref="T856"/>
    <hyperlink r:id="rId519" ref="T857"/>
    <hyperlink r:id="rId520" ref="T858"/>
    <hyperlink r:id="rId521" ref="T859"/>
    <hyperlink r:id="rId522" ref="T860"/>
    <hyperlink r:id="rId523" ref="T861"/>
    <hyperlink r:id="rId524" ref="T862"/>
    <hyperlink r:id="rId525" ref="T863"/>
    <hyperlink r:id="rId526" ref="T864"/>
    <hyperlink r:id="rId527" ref="T865"/>
    <hyperlink r:id="rId528" ref="T866"/>
    <hyperlink r:id="rId529" ref="T867"/>
    <hyperlink r:id="rId530" ref="T868"/>
    <hyperlink r:id="rId531" ref="T869"/>
    <hyperlink r:id="rId532" ref="T870"/>
    <hyperlink r:id="rId533" ref="T871"/>
    <hyperlink r:id="rId534" ref="T872"/>
    <hyperlink r:id="rId535" ref="T873"/>
    <hyperlink r:id="rId536" ref="T874"/>
    <hyperlink r:id="rId537" ref="T875"/>
    <hyperlink r:id="rId538" ref="T876"/>
    <hyperlink r:id="rId539" ref="T877"/>
    <hyperlink r:id="rId540" ref="T878"/>
    <hyperlink r:id="rId541" ref="T879"/>
    <hyperlink r:id="rId542" ref="T880"/>
    <hyperlink r:id="rId543" ref="T881"/>
    <hyperlink r:id="rId544" ref="T882"/>
    <hyperlink r:id="rId545" ref="T883"/>
    <hyperlink r:id="rId546" ref="T884"/>
    <hyperlink r:id="rId547" ref="T885"/>
    <hyperlink r:id="rId548" ref="T886"/>
    <hyperlink r:id="rId549" ref="T887"/>
    <hyperlink r:id="rId550" ref="T888"/>
    <hyperlink r:id="rId551" ref="T889"/>
    <hyperlink r:id="rId552" ref="T890"/>
    <hyperlink r:id="rId553" ref="T891"/>
    <hyperlink r:id="rId554" ref="T892"/>
    <hyperlink r:id="rId555" ref="T893"/>
    <hyperlink r:id="rId556" ref="T894"/>
    <hyperlink r:id="rId557" ref="T895"/>
    <hyperlink r:id="rId558" ref="T896"/>
    <hyperlink r:id="rId559" ref="T897"/>
    <hyperlink r:id="rId560" ref="T898"/>
    <hyperlink r:id="rId561" ref="T899"/>
    <hyperlink r:id="rId562" ref="T900"/>
    <hyperlink r:id="rId563" ref="T901"/>
    <hyperlink r:id="rId564" ref="T902"/>
    <hyperlink r:id="rId565" ref="T903"/>
    <hyperlink r:id="rId566" ref="T904"/>
    <hyperlink r:id="rId567" ref="T905"/>
    <hyperlink r:id="rId568" ref="T906"/>
    <hyperlink r:id="rId569" ref="T907"/>
    <hyperlink r:id="rId570" ref="T908"/>
    <hyperlink r:id="rId571" ref="T909"/>
    <hyperlink r:id="rId572" ref="T910"/>
    <hyperlink r:id="rId573" ref="T911"/>
    <hyperlink r:id="rId574" ref="T912"/>
    <hyperlink r:id="rId575" ref="T913"/>
    <hyperlink r:id="rId576" ref="T914"/>
    <hyperlink r:id="rId577" ref="T915"/>
    <hyperlink r:id="rId578" ref="T916"/>
    <hyperlink r:id="rId579" ref="T917"/>
    <hyperlink r:id="rId580" ref="T918"/>
    <hyperlink r:id="rId581" ref="T919"/>
    <hyperlink r:id="rId582" ref="T920"/>
    <hyperlink r:id="rId583" ref="T921"/>
    <hyperlink r:id="rId584" ref="T922"/>
    <hyperlink r:id="rId585" ref="T923"/>
    <hyperlink r:id="rId586" ref="T924"/>
    <hyperlink r:id="rId587" ref="T925"/>
    <hyperlink r:id="rId588" ref="T926"/>
    <hyperlink r:id="rId589" ref="T927"/>
    <hyperlink r:id="rId590" ref="T928"/>
    <hyperlink r:id="rId591" ref="T929"/>
    <hyperlink r:id="rId592" ref="T930"/>
    <hyperlink r:id="rId593" ref="T931"/>
    <hyperlink r:id="rId594" ref="T932"/>
    <hyperlink r:id="rId595" ref="T933"/>
    <hyperlink r:id="rId596" ref="T934"/>
    <hyperlink r:id="rId597" ref="T935"/>
    <hyperlink r:id="rId598" ref="T936"/>
    <hyperlink r:id="rId599" ref="T937"/>
    <hyperlink r:id="rId600" ref="T938"/>
    <hyperlink r:id="rId601" ref="T939"/>
    <hyperlink r:id="rId602" ref="T940"/>
    <hyperlink r:id="rId603" ref="T941"/>
    <hyperlink r:id="rId604" ref="T942"/>
    <hyperlink r:id="rId605" ref="T943"/>
    <hyperlink r:id="rId606" ref="T944"/>
    <hyperlink r:id="rId607" ref="T945"/>
    <hyperlink r:id="rId608" ref="T946"/>
    <hyperlink r:id="rId609" ref="T947"/>
    <hyperlink r:id="rId610" ref="T948"/>
    <hyperlink r:id="rId611" ref="T949"/>
    <hyperlink r:id="rId612" ref="T950"/>
    <hyperlink r:id="rId613" ref="T951"/>
    <hyperlink r:id="rId614" ref="T952"/>
    <hyperlink r:id="rId615" ref="T953"/>
    <hyperlink r:id="rId616" ref="T954"/>
    <hyperlink r:id="rId617" ref="T955"/>
    <hyperlink r:id="rId618" ref="T956"/>
    <hyperlink r:id="rId619" ref="T957"/>
    <hyperlink r:id="rId620" ref="T958"/>
    <hyperlink r:id="rId621" ref="T959"/>
    <hyperlink r:id="rId622" ref="T960"/>
    <hyperlink r:id="rId623" ref="T961"/>
    <hyperlink r:id="rId624" ref="T962"/>
    <hyperlink r:id="rId625" ref="T963"/>
    <hyperlink r:id="rId626" ref="T964"/>
    <hyperlink r:id="rId627" ref="T965"/>
    <hyperlink r:id="rId628" ref="T966"/>
    <hyperlink r:id="rId629" ref="T967"/>
    <hyperlink r:id="rId630" ref="T968"/>
    <hyperlink r:id="rId631" ref="T969"/>
    <hyperlink r:id="rId632" ref="T970"/>
    <hyperlink r:id="rId633" ref="T971"/>
    <hyperlink r:id="rId634" ref="T972"/>
    <hyperlink r:id="rId635" ref="T973"/>
    <hyperlink r:id="rId636" ref="T974"/>
    <hyperlink r:id="rId637" ref="T975"/>
    <hyperlink r:id="rId638" ref="T976"/>
    <hyperlink r:id="rId639" ref="T977"/>
    <hyperlink r:id="rId640" ref="T978"/>
    <hyperlink r:id="rId641" ref="T979"/>
    <hyperlink r:id="rId642" ref="T980"/>
    <hyperlink r:id="rId643" ref="T981"/>
    <hyperlink r:id="rId644" ref="T982"/>
    <hyperlink r:id="rId645" ref="T983"/>
    <hyperlink r:id="rId646" ref="T984"/>
    <hyperlink r:id="rId647" ref="T985"/>
    <hyperlink r:id="rId648" ref="T986"/>
    <hyperlink r:id="rId649" ref="T987"/>
    <hyperlink r:id="rId650" ref="T988"/>
    <hyperlink r:id="rId651" ref="T989"/>
    <hyperlink r:id="rId652" ref="T990"/>
    <hyperlink r:id="rId653" ref="T991"/>
  </hyperlinks>
  <drawing r:id="rId65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12.63"/>
    <col customWidth="1" min="2" max="2" width="33.38"/>
    <col customWidth="1" min="5" max="5" width="13.88"/>
    <col customWidth="1" min="9" max="9" width="24.13"/>
    <col customWidth="1" min="10" max="10" width="24.0"/>
    <col customWidth="1" min="11" max="11" width="7.0"/>
    <col customWidth="1" min="17" max="17" width="25.38"/>
    <col customWidth="1" min="18" max="18" width="20.25"/>
    <col customWidth="1" min="20" max="20" width="25.63"/>
  </cols>
  <sheetData>
    <row r="1">
      <c r="A1" s="1"/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/>
      <c r="H1" s="5" t="s">
        <v>6</v>
      </c>
      <c r="I1" s="5" t="s">
        <v>7</v>
      </c>
      <c r="J1" s="5" t="s">
        <v>9</v>
      </c>
      <c r="K1" s="5"/>
      <c r="L1" s="7"/>
      <c r="M1" s="7"/>
      <c r="N1" s="7"/>
      <c r="O1" s="7"/>
      <c r="P1" s="7"/>
      <c r="Q1" s="7"/>
      <c r="R1" s="7"/>
      <c r="S1" s="7"/>
      <c r="T1" s="7"/>
      <c r="U1" s="8"/>
    </row>
    <row r="2">
      <c r="A2" s="1"/>
      <c r="B2" s="10" t="s">
        <v>12</v>
      </c>
      <c r="C2" s="10" t="s">
        <v>8</v>
      </c>
      <c r="D2" s="10" t="s">
        <v>10</v>
      </c>
      <c r="E2" s="10" t="s">
        <v>16</v>
      </c>
      <c r="F2" s="10" t="s">
        <v>17</v>
      </c>
      <c r="G2" s="10"/>
      <c r="H2" s="11" t="s">
        <v>15</v>
      </c>
      <c r="I2" s="10" t="s">
        <v>22</v>
      </c>
      <c r="J2" s="10" t="s">
        <v>1</v>
      </c>
      <c r="K2" s="10"/>
      <c r="L2" s="10" t="s">
        <v>2</v>
      </c>
      <c r="M2" s="10" t="s">
        <v>24</v>
      </c>
      <c r="N2" s="10" t="s">
        <v>4</v>
      </c>
      <c r="O2" s="12" t="s">
        <v>23</v>
      </c>
      <c r="P2" s="10" t="s">
        <v>5</v>
      </c>
      <c r="Q2" s="13" t="s">
        <v>29</v>
      </c>
      <c r="R2" s="13" t="s">
        <v>31</v>
      </c>
      <c r="S2" s="13" t="s">
        <v>15</v>
      </c>
      <c r="T2" s="14" t="s">
        <v>32</v>
      </c>
      <c r="U2" s="14"/>
    </row>
    <row r="3">
      <c r="A3" s="1"/>
      <c r="B3" s="16">
        <v>221118.0</v>
      </c>
      <c r="C3" s="20" t="s">
        <v>35</v>
      </c>
      <c r="D3" s="22"/>
      <c r="E3" s="22" t="s">
        <v>37</v>
      </c>
      <c r="F3" s="22" t="s">
        <v>39</v>
      </c>
      <c r="G3" s="22"/>
      <c r="H3" s="24" t="s">
        <v>40</v>
      </c>
      <c r="I3" s="22" t="s">
        <v>41</v>
      </c>
      <c r="J3" s="22" t="s">
        <v>42</v>
      </c>
      <c r="K3" s="22"/>
      <c r="L3" s="22" t="s">
        <v>43</v>
      </c>
      <c r="M3" s="22" t="s">
        <v>45</v>
      </c>
      <c r="N3" s="22" t="s">
        <v>46</v>
      </c>
      <c r="O3" s="22"/>
      <c r="P3" s="22" t="s">
        <v>47</v>
      </c>
      <c r="Q3" s="24" t="str">
        <f>J3</f>
        <v>Facebook</v>
      </c>
      <c r="R3" s="26" t="str">
        <f>L3</f>
        <v>FA</v>
      </c>
      <c r="S3" s="28" t="str">
        <f>CONCATENATE(E3,"_",N3,"_",L3,"_",M3,"_",B3,"_",P3)</f>
        <v>Rongfly_HN_FA_TAH_221118_Badt</v>
      </c>
      <c r="T3" s="28" t="str">
        <f>CONCATENATE(F3,"_",E3,B3,"_",P3)</f>
        <v>sinhvien1823_Rongfly221118_Badt</v>
      </c>
      <c r="U3" s="30"/>
    </row>
    <row r="4">
      <c r="A4" s="1"/>
      <c r="B4" s="7"/>
      <c r="C4" s="7"/>
      <c r="D4" s="17"/>
      <c r="E4" s="32" t="s">
        <v>48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</row>
    <row r="5">
      <c r="A5" s="1"/>
      <c r="B5" s="7"/>
      <c r="C5" s="7"/>
      <c r="D5" s="35"/>
      <c r="E5" s="32" t="s">
        <v>49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</row>
    <row r="6">
      <c r="A6" s="1"/>
      <c r="B6" s="7"/>
      <c r="C6" s="7"/>
      <c r="D6" s="36"/>
      <c r="E6" s="37" t="s">
        <v>50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</row>
    <row r="7" ht="35.25" customHeight="1">
      <c r="A7" s="9"/>
      <c r="B7" s="9" t="s">
        <v>1123</v>
      </c>
      <c r="C7" s="42" t="s">
        <v>1124</v>
      </c>
      <c r="D7" s="6" t="s">
        <v>1</v>
      </c>
      <c r="E7" s="6" t="s">
        <v>2</v>
      </c>
      <c r="F7" s="6" t="s">
        <v>4</v>
      </c>
      <c r="G7" s="9" t="s">
        <v>11</v>
      </c>
      <c r="H7" s="6" t="s">
        <v>13</v>
      </c>
      <c r="I7" s="6" t="s">
        <v>14</v>
      </c>
      <c r="J7" s="39" t="s">
        <v>15</v>
      </c>
      <c r="K7" s="42" t="s">
        <v>18</v>
      </c>
      <c r="L7" s="39" t="s">
        <v>19</v>
      </c>
      <c r="M7" s="39" t="s">
        <v>20</v>
      </c>
      <c r="N7" s="39" t="s">
        <v>21</v>
      </c>
      <c r="O7" s="42" t="s">
        <v>23</v>
      </c>
      <c r="P7" s="39" t="s">
        <v>25</v>
      </c>
      <c r="Q7" s="6" t="s">
        <v>26</v>
      </c>
      <c r="R7" s="6" t="s">
        <v>27</v>
      </c>
      <c r="S7" s="6" t="s">
        <v>54</v>
      </c>
      <c r="T7" s="39" t="s">
        <v>30</v>
      </c>
      <c r="U7" s="6"/>
    </row>
    <row r="8" ht="38.25" customHeight="1">
      <c r="A8" s="45" t="s">
        <v>33</v>
      </c>
      <c r="B8" s="17" t="s">
        <v>34</v>
      </c>
      <c r="C8" s="46" t="s">
        <v>55</v>
      </c>
      <c r="D8" s="19" t="s">
        <v>36</v>
      </c>
      <c r="E8" s="21" t="s">
        <v>36</v>
      </c>
      <c r="F8" s="19" t="s">
        <v>36</v>
      </c>
      <c r="G8" s="47"/>
      <c r="H8" s="19" t="s">
        <v>36</v>
      </c>
      <c r="I8" s="23" t="s">
        <v>38</v>
      </c>
      <c r="J8" s="23" t="s">
        <v>38</v>
      </c>
      <c r="K8" s="23" t="s">
        <v>38</v>
      </c>
      <c r="L8" s="19" t="s">
        <v>36</v>
      </c>
      <c r="M8" s="19" t="s">
        <v>36</v>
      </c>
      <c r="N8" s="19" t="s">
        <v>36</v>
      </c>
      <c r="O8" s="19" t="s">
        <v>36</v>
      </c>
      <c r="P8" s="19" t="s">
        <v>36</v>
      </c>
      <c r="Q8" s="47" t="s">
        <v>62</v>
      </c>
      <c r="R8" s="47" t="s">
        <v>63</v>
      </c>
      <c r="S8" s="48" t="s">
        <v>64</v>
      </c>
      <c r="T8" s="49" t="s">
        <v>67</v>
      </c>
      <c r="U8" s="33"/>
    </row>
    <row r="9">
      <c r="A9" s="50">
        <v>44263.0</v>
      </c>
      <c r="B9" s="43" t="s">
        <v>1127</v>
      </c>
      <c r="C9" s="58" t="str">
        <f>IFERROR(__xludf.DUMMYFUNCTION("FILTER(VLOOKUP(B9:B327,Data!A:B,2,FALSE),B9:B327&lt;&gt;"""")"),"LD064")</f>
        <v>LD064</v>
      </c>
      <c r="D9" s="44" t="s">
        <v>188</v>
      </c>
      <c r="E9" s="44" t="s">
        <v>193</v>
      </c>
      <c r="F9" s="44" t="s">
        <v>60</v>
      </c>
      <c r="G9" s="44" t="s">
        <v>61</v>
      </c>
      <c r="H9" s="44" t="s">
        <v>426</v>
      </c>
      <c r="I9" s="44" t="s">
        <v>1128</v>
      </c>
      <c r="J9" s="44" t="s">
        <v>1129</v>
      </c>
      <c r="K9" s="44" t="s">
        <v>61</v>
      </c>
      <c r="L9" s="44" t="s">
        <v>1130</v>
      </c>
      <c r="M9" s="44" t="s">
        <v>116</v>
      </c>
      <c r="N9" s="44" t="s">
        <v>193</v>
      </c>
      <c r="O9" s="44" t="s">
        <v>70</v>
      </c>
      <c r="P9" s="44" t="s">
        <v>70</v>
      </c>
      <c r="Q9" s="62" t="str">
        <f>IFERROR(__xludf.DUMMYFUNCTION("FILTER(IF( A9:A327&lt;&gt;"""",IF(H9:H327&lt;&gt;"""",IF(I9:I327&lt;&gt;"""",IF(L9:L327&lt;&gt;"""",IF(N9:N327&lt;&gt;"""",I9:I327&amp;""_""&amp;L9:L327&amp;""_""&amp;N9:N327&amp;""_""&amp;H9:H327&amp;""_""&amp;TRIM(A9:A327),""!!!""),""!!!""),""!!!""),""!!!""),""!!!""),B9:B327&lt;&gt;"""")"),"Hoctienganhonline1kem1_Patado_SEA_HieuPM_080321")</f>
        <v>Hoctienganhonline1kem1_Patado_SEA_HieuPM_080321</v>
      </c>
      <c r="R9" s="62" t="str">
        <f>IFERROR(__xludf.DUMMYFUNCTION("FILTER(IF( A9:A327&lt;&gt;"""",IF(P9:P327&lt;&gt;"""",IF(F9:F327&lt;&gt;"""",IF(G9:G327&lt;&gt;"""",IF(K9:K327&lt;&gt;"""",P9:P327&amp;""_""&amp;F9:F327&amp;""_""&amp;G9:G327&amp;""_""&amp;K9:K327&amp;""_""&amp;TRIM(A9:A327),""!!!""),""!!!""),""!!!""),""!!!""),""!!!""),B9:B327&lt;&gt;"""")"),"NON_NONE_none_none_080321")</f>
        <v>NON_NONE_none_none_080321</v>
      </c>
      <c r="S9" s="62" t="str">
        <f>IFERROR(__xludf.DUMMYFUNCTION("FILTER(IF( M9:M327&lt;&gt;"""",IF(J9:J327&lt;&gt;"""",IF(O9:O327&lt;&gt;"""",IF(C9:C327&lt;&gt;"""",M9:M327&amp;""_""&amp;J9:J327&amp;""_""&amp;O9:O327&amp;""_""&amp;C9:C327,""!!!""),""!!!""),""!!!""),""!!!""),B9:B327&lt;&gt;"""")"),"khac_khoahocmatgoc.tienichmorong_NON_LD064")</f>
        <v>khac_khoahocmatgoc.tienichmorong_NON_LD064</v>
      </c>
      <c r="T9" s="65" t="str">
        <f>IFERROR(__xludf.DUMMYFUNCTION("FILTER(B9:B327&amp;if(right(B9:B327,1)=""/"",""?"",""/?"")&amp;""utm_source=""&amp;D9:D327&amp;""&amp;utm_medium=""&amp;E9:E327&amp;""&amp;utm_term=""&amp;R9:R327&amp;""&amp;utm_content=""&amp;S9:S327&amp;""&amp;utm_campaign=""&amp;Q9:Q327,B9:B327&lt;&gt;"""")"),"https://www.patado.net/tieng-anh-giao-tiep-online/?utm_source=Google&amp;utm_medium=SEA&amp;utm_term=NON_NONE_none_none_080321&amp;utm_content=khac_khoahocmatgoc.tienichmorong_NON_LD064&amp;utm_campaign=Hoctienganhonline1kem1_Patado_SEA_HieuPM_080321")</f>
        <v>https://www.patado.net/tieng-anh-giao-tiep-online/?utm_source=Google&amp;utm_medium=SEA&amp;utm_term=NON_NONE_none_none_080321&amp;utm_content=khac_khoahocmatgoc.tienichmorong_NON_LD064&amp;utm_campaign=Hoctienganhonline1kem1_Patado_SEA_HieuPM_080321</v>
      </c>
      <c r="U9" s="52"/>
    </row>
    <row r="10" ht="18.75" customHeight="1">
      <c r="A10" s="102">
        <f t="shared" ref="A10:A28" si="1">TODAY()</f>
        <v>46320</v>
      </c>
      <c r="B10" s="104" t="s">
        <v>1133</v>
      </c>
      <c r="C10" s="105" t="str">
        <f>IFERROR(__xludf.DUMMYFUNCTION("""COMPUTED_VALUE"""),"LD191")</f>
        <v>LD191</v>
      </c>
      <c r="D10" s="106" t="s">
        <v>1135</v>
      </c>
      <c r="E10" s="106" t="s">
        <v>69</v>
      </c>
      <c r="F10" s="106" t="s">
        <v>133</v>
      </c>
      <c r="G10" s="106">
        <v>1840.0</v>
      </c>
      <c r="H10" s="106" t="s">
        <v>426</v>
      </c>
      <c r="I10" s="104" t="s">
        <v>1136</v>
      </c>
      <c r="J10" s="104" t="s">
        <v>1140</v>
      </c>
      <c r="K10" s="106" t="s">
        <v>61</v>
      </c>
      <c r="L10" s="106" t="s">
        <v>1141</v>
      </c>
      <c r="M10" s="106" t="s">
        <v>78</v>
      </c>
      <c r="N10" s="106" t="s">
        <v>1135</v>
      </c>
      <c r="O10" s="106" t="s">
        <v>1142</v>
      </c>
      <c r="P10" s="106" t="s">
        <v>110</v>
      </c>
      <c r="Q10" s="105" t="str">
        <f>IFERROR(__xludf.DUMMYFUNCTION("""COMPUTED_VALUE"""),"Japan.TN.M2_PTD_Tiktok_HieuPM_251026")</f>
        <v>Japan.TN.M2_PTD_Tiktok_HieuPM_251026</v>
      </c>
      <c r="R10" s="105" t="str">
        <f>IFERROR(__xludf.DUMMYFUNCTION("""COMPUTED_VALUE"""),"NEW_Japan_1840_none_251026")</f>
        <v>NEW_Japan_1840_none_251026</v>
      </c>
      <c r="S10" s="105" t="str">
        <f>IFERROR(__xludf.DUMMYFUNCTION("""COMPUTED_VALUE"""),"saletructiep_Japan.TN.M2_THCNGDP_LD191")</f>
        <v>saletructiep_Japan.TN.M2_THCNGDP_LD191</v>
      </c>
      <c r="T10" s="108" t="str">
        <f>IFERROR(__xludf.DUMMYFUNCTION("""COMPUTED_VALUE"""),"https://patadovietnam.edu.vn/jptt249/?utm_source=Tiktok&amp;utm_medium=CVS&amp;utm_term=NEW_Japan_1840_none_251026&amp;utm_content=saletructiep_Japan.TN.M2_THCNGDP_LD191&amp;utm_campaign=Japan.TN.M2_PTD_Tiktok_HieuPM_251026")</f>
        <v>https://patadovietnam.edu.vn/jptt249/?utm_source=Tiktok&amp;utm_medium=CVS&amp;utm_term=NEW_Japan_1840_none_251026&amp;utm_content=saletructiep_Japan.TN.M2_THCNGDP_LD191&amp;utm_campaign=Japan.TN.M2_PTD_Tiktok_HieuPM_251026</v>
      </c>
      <c r="U10" s="109"/>
    </row>
    <row r="11" ht="18.75" customHeight="1">
      <c r="A11" s="102">
        <f t="shared" si="1"/>
        <v>46320</v>
      </c>
      <c r="B11" s="104" t="s">
        <v>1144</v>
      </c>
      <c r="C11" s="105" t="str">
        <f>IFERROR(__xludf.DUMMYFUNCTION("""COMPUTED_VALUE"""),"LD189")</f>
        <v>LD189</v>
      </c>
      <c r="D11" s="106" t="s">
        <v>1135</v>
      </c>
      <c r="E11" s="106" t="s">
        <v>69</v>
      </c>
      <c r="F11" s="106" t="s">
        <v>107</v>
      </c>
      <c r="G11" s="106">
        <v>1840.0</v>
      </c>
      <c r="H11" s="106" t="s">
        <v>426</v>
      </c>
      <c r="I11" s="104" t="s">
        <v>1147</v>
      </c>
      <c r="J11" s="104" t="s">
        <v>1148</v>
      </c>
      <c r="K11" s="106" t="s">
        <v>61</v>
      </c>
      <c r="L11" s="106" t="s">
        <v>1141</v>
      </c>
      <c r="M11" s="106" t="s">
        <v>78</v>
      </c>
      <c r="N11" s="106" t="s">
        <v>1135</v>
      </c>
      <c r="O11" s="106" t="s">
        <v>1142</v>
      </c>
      <c r="P11" s="106" t="s">
        <v>110</v>
      </c>
      <c r="Q11" s="105" t="str">
        <f>IFERROR(__xludf.DUMMYFUNCTION("""COMPUTED_VALUE"""),"UnitedStates.M1_PTD_Tiktok_HieuPM_251026")</f>
        <v>UnitedStates.M1_PTD_Tiktok_HieuPM_251026</v>
      </c>
      <c r="R11" s="105" t="str">
        <f>IFERROR(__xludf.DUMMYFUNCTION("""COMPUTED_VALUE"""),"NEW_UnitedStates_1840_none_251026")</f>
        <v>NEW_UnitedStates_1840_none_251026</v>
      </c>
      <c r="S11" s="105" t="str">
        <f>IFERROR(__xludf.DUMMYFUNCTION("""COMPUTED_VALUE"""),"saletructiep_UnitedStates.M1_THCNGDP_LD189")</f>
        <v>saletructiep_UnitedStates.M1_THCNGDP_LD189</v>
      </c>
      <c r="T11" s="108" t="str">
        <f>IFERROR(__xludf.DUMMYFUNCTION("""COMPUTED_VALUE"""),"https://patadovietnam.edu.vn/hktt249/?utm_source=Tiktok&amp;utm_medium=CVS&amp;utm_term=NEW_UnitedStates_1840_none_251026&amp;utm_content=saletructiep_UnitedStates.M1_THCNGDP_LD189&amp;utm_campaign=UnitedStates.M1_PTD_Tiktok_HieuPM_251026")</f>
        <v>https://patadovietnam.edu.vn/hktt249/?utm_source=Tiktok&amp;utm_medium=CVS&amp;utm_term=NEW_UnitedStates_1840_none_251026&amp;utm_content=saletructiep_UnitedStates.M1_THCNGDP_LD189&amp;utm_campaign=UnitedStates.M1_PTD_Tiktok_HieuPM_251026</v>
      </c>
      <c r="U11" s="109"/>
    </row>
    <row r="12" ht="18.75" customHeight="1">
      <c r="A12" s="102">
        <f t="shared" si="1"/>
        <v>46320</v>
      </c>
      <c r="B12" s="104" t="s">
        <v>1152</v>
      </c>
      <c r="C12" s="105" t="str">
        <f>IFERROR(__xludf.DUMMYFUNCTION("""COMPUTED_VALUE"""),"LD190")</f>
        <v>LD190</v>
      </c>
      <c r="D12" s="106" t="s">
        <v>1135</v>
      </c>
      <c r="E12" s="106" t="s">
        <v>69</v>
      </c>
      <c r="F12" s="106" t="s">
        <v>625</v>
      </c>
      <c r="G12" s="106">
        <v>1840.0</v>
      </c>
      <c r="H12" s="106" t="s">
        <v>426</v>
      </c>
      <c r="I12" s="104" t="s">
        <v>1153</v>
      </c>
      <c r="J12" s="104" t="s">
        <v>1155</v>
      </c>
      <c r="K12" s="106" t="s">
        <v>61</v>
      </c>
      <c r="L12" s="106" t="s">
        <v>1141</v>
      </c>
      <c r="M12" s="106" t="s">
        <v>78</v>
      </c>
      <c r="N12" s="106" t="s">
        <v>1135</v>
      </c>
      <c r="O12" s="106" t="s">
        <v>1142</v>
      </c>
      <c r="P12" s="106" t="s">
        <v>110</v>
      </c>
      <c r="Q12" s="105" t="str">
        <f>IFERROR(__xludf.DUMMYFUNCTION("""COMPUTED_VALUE"""),"KoreaSouth.M1_PTD_Tiktok_HieuPM_251026")</f>
        <v>KoreaSouth.M1_PTD_Tiktok_HieuPM_251026</v>
      </c>
      <c r="R12" s="105" t="str">
        <f>IFERROR(__xludf.DUMMYFUNCTION("""COMPUTED_VALUE"""),"NEW_KoreaSouth_1840_none_251026")</f>
        <v>NEW_KoreaSouth_1840_none_251026</v>
      </c>
      <c r="S12" s="105" t="str">
        <f>IFERROR(__xludf.DUMMYFUNCTION("""COMPUTED_VALUE"""),"saletructiep_KoreaSouth.M1_THCNGDP_LD190")</f>
        <v>saletructiep_KoreaSouth.M1_THCNGDP_LD190</v>
      </c>
      <c r="T12" s="108" t="str">
        <f>IFERROR(__xludf.DUMMYFUNCTION("""COMPUTED_VALUE"""),"https://patadovietnam.edu.vn/hqtt249/?utm_source=Tiktok&amp;utm_medium=CVS&amp;utm_term=NEW_KoreaSouth_1840_none_251026&amp;utm_content=saletructiep_KoreaSouth.M1_THCNGDP_LD190&amp;utm_campaign=KoreaSouth.M1_PTD_Tiktok_HieuPM_251026")</f>
        <v>https://patadovietnam.edu.vn/hqtt249/?utm_source=Tiktok&amp;utm_medium=CVS&amp;utm_term=NEW_KoreaSouth_1840_none_251026&amp;utm_content=saletructiep_KoreaSouth.M1_THCNGDP_LD190&amp;utm_campaign=KoreaSouth.M1_PTD_Tiktok_HieuPM_251026</v>
      </c>
      <c r="U12" s="109"/>
    </row>
    <row r="13">
      <c r="A13" s="102">
        <f t="shared" si="1"/>
        <v>46320</v>
      </c>
      <c r="B13" s="104" t="s">
        <v>1158</v>
      </c>
      <c r="C13" s="105" t="str">
        <f>IFERROR(__xludf.DUMMYFUNCTION("""COMPUTED_VALUE"""),"LD195")</f>
        <v>LD195</v>
      </c>
      <c r="D13" s="106" t="s">
        <v>1135</v>
      </c>
      <c r="E13" s="106" t="s">
        <v>69</v>
      </c>
      <c r="F13" s="106" t="s">
        <v>129</v>
      </c>
      <c r="G13" s="106">
        <v>1840.0</v>
      </c>
      <c r="H13" s="106" t="s">
        <v>426</v>
      </c>
      <c r="I13" s="106" t="s">
        <v>1160</v>
      </c>
      <c r="J13" s="106" t="s">
        <v>1160</v>
      </c>
      <c r="K13" s="106" t="s">
        <v>61</v>
      </c>
      <c r="L13" s="106" t="s">
        <v>1141</v>
      </c>
      <c r="M13" s="106" t="s">
        <v>78</v>
      </c>
      <c r="N13" s="106" t="s">
        <v>1135</v>
      </c>
      <c r="O13" s="106" t="s">
        <v>1142</v>
      </c>
      <c r="P13" s="106" t="s">
        <v>110</v>
      </c>
      <c r="Q13" s="105" t="str">
        <f>IFERROR(__xludf.DUMMYFUNCTION("""COMPUTED_VALUE"""),"Australia.M37_PTD_Tiktok_HieuPM_251026")</f>
        <v>Australia.M37_PTD_Tiktok_HieuPM_251026</v>
      </c>
      <c r="R13" s="105" t="str">
        <f>IFERROR(__xludf.DUMMYFUNCTION("""COMPUTED_VALUE"""),"NEW_Australia_1840_none_251026")</f>
        <v>NEW_Australia_1840_none_251026</v>
      </c>
      <c r="S13" s="105" t="str">
        <f>IFERROR(__xludf.DUMMYFUNCTION("""COMPUTED_VALUE"""),"saletructiep_Australia.M37_THCNGDP_LD195")</f>
        <v>saletructiep_Australia.M37_THCNGDP_LD195</v>
      </c>
      <c r="T13" s="108" t="str">
        <f>IFERROR(__xludf.DUMMYFUNCTION("""COMPUTED_VALUE"""),"https://patadovietnam.edu.vn/uctt249/?utm_source=Tiktok&amp;utm_medium=CVS&amp;utm_term=NEW_Australia_1840_none_251026&amp;utm_content=saletructiep_Australia.M37_THCNGDP_LD195&amp;utm_campaign=Australia.M37_PTD_Tiktok_HieuPM_251026")</f>
        <v>https://patadovietnam.edu.vn/uctt249/?utm_source=Tiktok&amp;utm_medium=CVS&amp;utm_term=NEW_Australia_1840_none_251026&amp;utm_content=saletructiep_Australia.M37_THCNGDP_LD195&amp;utm_campaign=Australia.M37_PTD_Tiktok_HieuPM_251026</v>
      </c>
      <c r="U13" s="109"/>
    </row>
    <row r="14">
      <c r="A14" s="102">
        <f t="shared" si="1"/>
        <v>46320</v>
      </c>
      <c r="B14" s="104" t="s">
        <v>1163</v>
      </c>
      <c r="C14" s="105" t="str">
        <f>IFERROR(__xludf.DUMMYFUNCTION("""COMPUTED_VALUE"""),"LD211")</f>
        <v>LD211</v>
      </c>
      <c r="D14" s="106" t="s">
        <v>1135</v>
      </c>
      <c r="E14" s="106" t="s">
        <v>69</v>
      </c>
      <c r="F14" s="106" t="s">
        <v>539</v>
      </c>
      <c r="G14" s="106">
        <v>1840.0</v>
      </c>
      <c r="H14" s="106" t="s">
        <v>426</v>
      </c>
      <c r="I14" s="106" t="s">
        <v>1165</v>
      </c>
      <c r="J14" s="106" t="s">
        <v>1165</v>
      </c>
      <c r="K14" s="106" t="s">
        <v>61</v>
      </c>
      <c r="L14" s="106" t="s">
        <v>1141</v>
      </c>
      <c r="M14" s="106" t="s">
        <v>78</v>
      </c>
      <c r="N14" s="106" t="s">
        <v>1135</v>
      </c>
      <c r="O14" s="106" t="s">
        <v>1142</v>
      </c>
      <c r="P14" s="106" t="s">
        <v>110</v>
      </c>
      <c r="Q14" s="105" t="str">
        <f>IFERROR(__xludf.DUMMYFUNCTION("""COMPUTED_VALUE"""),"ALL.IELTS.M23_PTD_Tiktok_HieuPM_251026")</f>
        <v>ALL.IELTS.M23_PTD_Tiktok_HieuPM_251026</v>
      </c>
      <c r="R14" s="105" t="str">
        <f>IFERROR(__xludf.DUMMYFUNCTION("""COMPUTED_VALUE"""),"NEW_ALL_1840_none_251026")</f>
        <v>NEW_ALL_1840_none_251026</v>
      </c>
      <c r="S14" s="105" t="str">
        <f>IFERROR(__xludf.DUMMYFUNCTION("""COMPUTED_VALUE"""),"saletructiep_ALL.IELTS.M23_THCNGDP_LD211")</f>
        <v>saletructiep_ALL.IELTS.M23_THCNGDP_LD211</v>
      </c>
      <c r="T14" s="108" t="str">
        <f>IFERROR(__xludf.DUMMYFUNCTION("""COMPUTED_VALUE"""),"https://patadovietnam.edu.vn/ielts26923/?utm_source=Tiktok&amp;utm_medium=CVS&amp;utm_term=NEW_ALL_1840_none_251026&amp;utm_content=saletructiep_ALL.IELTS.M23_THCNGDP_LD211&amp;utm_campaign=ALL.IELTS.M23_PTD_Tiktok_HieuPM_251026")</f>
        <v>https://patadovietnam.edu.vn/ielts26923/?utm_source=Tiktok&amp;utm_medium=CVS&amp;utm_term=NEW_ALL_1840_none_251026&amp;utm_content=saletructiep_ALL.IELTS.M23_THCNGDP_LD211&amp;utm_campaign=ALL.IELTS.M23_PTD_Tiktok_HieuPM_251026</v>
      </c>
      <c r="U14" s="109"/>
    </row>
    <row r="15">
      <c r="A15" s="102">
        <f t="shared" si="1"/>
        <v>46320</v>
      </c>
      <c r="B15" s="104" t="s">
        <v>1170</v>
      </c>
      <c r="C15" s="105" t="str">
        <f>IFERROR(__xludf.DUMMYFUNCTION("""COMPUTED_VALUE"""),"LD193")</f>
        <v>LD193</v>
      </c>
      <c r="D15" s="106" t="s">
        <v>1135</v>
      </c>
      <c r="E15" s="106" t="s">
        <v>69</v>
      </c>
      <c r="F15" s="106" t="s">
        <v>674</v>
      </c>
      <c r="G15" s="106">
        <v>1840.0</v>
      </c>
      <c r="H15" s="106" t="s">
        <v>426</v>
      </c>
      <c r="I15" s="104" t="s">
        <v>1173</v>
      </c>
      <c r="J15" s="104" t="s">
        <v>1174</v>
      </c>
      <c r="K15" s="106" t="s">
        <v>61</v>
      </c>
      <c r="L15" s="106" t="s">
        <v>1141</v>
      </c>
      <c r="M15" s="106" t="s">
        <v>78</v>
      </c>
      <c r="N15" s="106" t="s">
        <v>1135</v>
      </c>
      <c r="O15" s="106" t="s">
        <v>1142</v>
      </c>
      <c r="P15" s="106" t="s">
        <v>110</v>
      </c>
      <c r="Q15" s="105" t="str">
        <f>IFERROR(__xludf.DUMMYFUNCTION("""COMPUTED_VALUE"""),"Europe.M8_PTD_Tiktok_HieuPM_251026")</f>
        <v>Europe.M8_PTD_Tiktok_HieuPM_251026</v>
      </c>
      <c r="R15" s="105" t="str">
        <f>IFERROR(__xludf.DUMMYFUNCTION("""COMPUTED_VALUE"""),"NEW_Europe_1840_none_251026")</f>
        <v>NEW_Europe_1840_none_251026</v>
      </c>
      <c r="S15" s="105" t="str">
        <f>IFERROR(__xludf.DUMMYFUNCTION("""COMPUTED_VALUE"""),"saletructiep_Europe.M8_THCNGDP_LD193")</f>
        <v>saletructiep_Europe.M8_THCNGDP_LD193</v>
      </c>
      <c r="T15" s="108" t="str">
        <f>IFERROR(__xludf.DUMMYFUNCTION("""COMPUTED_VALUE"""),"https://patadovietnam.edu.vn/eutt249/?utm_source=Tiktok&amp;utm_medium=CVS&amp;utm_term=NEW_Europe_1840_none_251026&amp;utm_content=saletructiep_Europe.M8_THCNGDP_LD193&amp;utm_campaign=Europe.M8_PTD_Tiktok_HieuPM_251026")</f>
        <v>https://patadovietnam.edu.vn/eutt249/?utm_source=Tiktok&amp;utm_medium=CVS&amp;utm_term=NEW_Europe_1840_none_251026&amp;utm_content=saletructiep_Europe.M8_THCNGDP_LD193&amp;utm_campaign=Europe.M8_PTD_Tiktok_HieuPM_251026</v>
      </c>
      <c r="U15" s="109"/>
    </row>
    <row r="16">
      <c r="A16" s="102">
        <f t="shared" si="1"/>
        <v>46320</v>
      </c>
      <c r="B16" s="104" t="s">
        <v>1178</v>
      </c>
      <c r="C16" s="105" t="str">
        <f>IFERROR(__xludf.DUMMYFUNCTION("""COMPUTED_VALUE"""),"LD192")</f>
        <v>LD192</v>
      </c>
      <c r="D16" s="106" t="s">
        <v>1135</v>
      </c>
      <c r="E16" s="106" t="s">
        <v>69</v>
      </c>
      <c r="F16" s="106" t="s">
        <v>164</v>
      </c>
      <c r="G16" s="106">
        <v>1840.0</v>
      </c>
      <c r="H16" s="106" t="s">
        <v>426</v>
      </c>
      <c r="I16" s="104" t="s">
        <v>1179</v>
      </c>
      <c r="J16" s="104" t="s">
        <v>1181</v>
      </c>
      <c r="K16" s="106" t="s">
        <v>61</v>
      </c>
      <c r="L16" s="106" t="s">
        <v>1141</v>
      </c>
      <c r="M16" s="106" t="s">
        <v>78</v>
      </c>
      <c r="N16" s="106" t="s">
        <v>1135</v>
      </c>
      <c r="O16" s="106" t="s">
        <v>1142</v>
      </c>
      <c r="P16" s="106" t="s">
        <v>110</v>
      </c>
      <c r="Q16" s="105" t="str">
        <f>IFERROR(__xludf.DUMMYFUNCTION("""COMPUTED_VALUE"""),"Taiwan.TN.M1_PTD_Tiktok_HieuPM_251026")</f>
        <v>Taiwan.TN.M1_PTD_Tiktok_HieuPM_251026</v>
      </c>
      <c r="R16" s="105" t="str">
        <f>IFERROR(__xludf.DUMMYFUNCTION("""COMPUTED_VALUE"""),"NEW_Taiwan_1840_none_251026")</f>
        <v>NEW_Taiwan_1840_none_251026</v>
      </c>
      <c r="S16" s="105" t="str">
        <f>IFERROR(__xludf.DUMMYFUNCTION("""COMPUTED_VALUE"""),"saletructiep_Taiwan.TN.M1_THCNGDP_LD192")</f>
        <v>saletructiep_Taiwan.TN.M1_THCNGDP_LD192</v>
      </c>
      <c r="T16" s="108" t="str">
        <f>IFERROR(__xludf.DUMMYFUNCTION("""COMPUTED_VALUE"""),"https://patadovietnam.edu.vn/twtt249/?utm_source=Tiktok&amp;utm_medium=CVS&amp;utm_term=NEW_Taiwan_1840_none_251026&amp;utm_content=saletructiep_Taiwan.TN.M1_THCNGDP_LD192&amp;utm_campaign=Taiwan.TN.M1_PTD_Tiktok_HieuPM_251026")</f>
        <v>https://patadovietnam.edu.vn/twtt249/?utm_source=Tiktok&amp;utm_medium=CVS&amp;utm_term=NEW_Taiwan_1840_none_251026&amp;utm_content=saletructiep_Taiwan.TN.M1_THCNGDP_LD192&amp;utm_campaign=Taiwan.TN.M1_PTD_Tiktok_HieuPM_251026</v>
      </c>
      <c r="U16" s="109"/>
    </row>
    <row r="17">
      <c r="A17" s="102">
        <f t="shared" si="1"/>
        <v>46320</v>
      </c>
      <c r="B17" s="104" t="s">
        <v>1184</v>
      </c>
      <c r="C17" s="105" t="str">
        <f>IFERROR(__xludf.DUMMYFUNCTION("""COMPUTED_VALUE"""),"LD194")</f>
        <v>LD194</v>
      </c>
      <c r="D17" s="106" t="s">
        <v>1135</v>
      </c>
      <c r="E17" s="106" t="s">
        <v>69</v>
      </c>
      <c r="F17" s="106" t="s">
        <v>112</v>
      </c>
      <c r="G17" s="106">
        <v>1840.0</v>
      </c>
      <c r="H17" s="106" t="s">
        <v>426</v>
      </c>
      <c r="I17" s="106" t="s">
        <v>1185</v>
      </c>
      <c r="J17" s="106" t="s">
        <v>1185</v>
      </c>
      <c r="K17" s="106" t="s">
        <v>61</v>
      </c>
      <c r="L17" s="106" t="s">
        <v>1141</v>
      </c>
      <c r="M17" s="106" t="s">
        <v>78</v>
      </c>
      <c r="N17" s="106" t="s">
        <v>1135</v>
      </c>
      <c r="O17" s="106" t="s">
        <v>1142</v>
      </c>
      <c r="P17" s="106" t="s">
        <v>110</v>
      </c>
      <c r="Q17" s="105" t="str">
        <f>IFERROR(__xludf.DUMMYFUNCTION("""COMPUTED_VALUE"""),"Canada.HT6T1844_PTD_Tiktok_HieuPM_251026")</f>
        <v>Canada.HT6T1844_PTD_Tiktok_HieuPM_251026</v>
      </c>
      <c r="R17" s="105" t="str">
        <f>IFERROR(__xludf.DUMMYFUNCTION("""COMPUTED_VALUE"""),"NEW_Canada_1840_none_251026")</f>
        <v>NEW_Canada_1840_none_251026</v>
      </c>
      <c r="S17" s="105" t="str">
        <f>IFERROR(__xludf.DUMMYFUNCTION("""COMPUTED_VALUE"""),"saletructiep_Canada.HT6T1844_THCNGDP_LD194")</f>
        <v>saletructiep_Canada.HT6T1844_THCNGDP_LD194</v>
      </c>
      <c r="T17" s="108" t="str">
        <f>IFERROR(__xludf.DUMMYFUNCTION("""COMPUTED_VALUE"""),"https://patadovietnam.edu.vn/catt249/?utm_source=Tiktok&amp;utm_medium=CVS&amp;utm_term=NEW_Canada_1840_none_251026&amp;utm_content=saletructiep_Canada.HT6T1844_THCNGDP_LD194&amp;utm_campaign=Canada.HT6T1844_PTD_Tiktok_HieuPM_251026")</f>
        <v>https://patadovietnam.edu.vn/catt249/?utm_source=Tiktok&amp;utm_medium=CVS&amp;utm_term=NEW_Canada_1840_none_251026&amp;utm_content=saletructiep_Canada.HT6T1844_THCNGDP_LD194&amp;utm_campaign=Canada.HT6T1844_PTD_Tiktok_HieuPM_251026</v>
      </c>
      <c r="U17" s="109"/>
    </row>
    <row r="18">
      <c r="A18" s="102">
        <f t="shared" si="1"/>
        <v>46320</v>
      </c>
      <c r="B18" s="104" t="s">
        <v>1188</v>
      </c>
      <c r="C18" s="105" t="str">
        <f>IFERROR(__xludf.DUMMYFUNCTION("""COMPUTED_VALUE"""),"LD188")</f>
        <v>LD188</v>
      </c>
      <c r="D18" s="106" t="s">
        <v>1135</v>
      </c>
      <c r="E18" s="106" t="s">
        <v>69</v>
      </c>
      <c r="F18" s="106" t="s">
        <v>539</v>
      </c>
      <c r="G18" s="106">
        <v>1840.0</v>
      </c>
      <c r="H18" s="106" t="s">
        <v>426</v>
      </c>
      <c r="I18" s="106" t="s">
        <v>1191</v>
      </c>
      <c r="J18" s="106" t="s">
        <v>1191</v>
      </c>
      <c r="K18" s="106" t="s">
        <v>61</v>
      </c>
      <c r="L18" s="106" t="s">
        <v>1141</v>
      </c>
      <c r="M18" s="106" t="s">
        <v>78</v>
      </c>
      <c r="N18" s="106" t="s">
        <v>1135</v>
      </c>
      <c r="O18" s="106" t="s">
        <v>1142</v>
      </c>
      <c r="P18" s="106" t="s">
        <v>110</v>
      </c>
      <c r="Q18" s="105" t="str">
        <f>IFERROR(__xludf.DUMMYFUNCTION("""COMPUTED_VALUE"""),"ALL.M183_PTD_Tiktok_HieuPM_251026")</f>
        <v>ALL.M183_PTD_Tiktok_HieuPM_251026</v>
      </c>
      <c r="R18" s="105" t="str">
        <f>IFERROR(__xludf.DUMMYFUNCTION("""COMPUTED_VALUE"""),"NEW_ALL_1840_none_251026")</f>
        <v>NEW_ALL_1840_none_251026</v>
      </c>
      <c r="S18" s="105" t="str">
        <f>IFERROR(__xludf.DUMMYFUNCTION("""COMPUTED_VALUE"""),"saletructiep_ALL.M183_THCNGDP_LD188")</f>
        <v>saletructiep_ALL.M183_THCNGDP_LD188</v>
      </c>
      <c r="T18" s="108" t="str">
        <f>IFERROR(__xludf.DUMMYFUNCTION("""COMPUTED_VALUE"""),"https://patadovietnam.edu.vn/altiktok21923/?utm_source=Tiktok&amp;utm_medium=CVS&amp;utm_term=NEW_ALL_1840_none_251026&amp;utm_content=saletructiep_ALL.M183_THCNGDP_LD188&amp;utm_campaign=ALL.M183_PTD_Tiktok_HieuPM_251026")</f>
        <v>https://patadovietnam.edu.vn/altiktok21923/?utm_source=Tiktok&amp;utm_medium=CVS&amp;utm_term=NEW_ALL_1840_none_251026&amp;utm_content=saletructiep_ALL.M183_THCNGDP_LD188&amp;utm_campaign=ALL.M183_PTD_Tiktok_HieuPM_251026</v>
      </c>
      <c r="U18" s="109"/>
    </row>
    <row r="19">
      <c r="A19" s="72">
        <f t="shared" si="1"/>
        <v>46320</v>
      </c>
      <c r="B19" s="112" t="s">
        <v>1192</v>
      </c>
      <c r="C19" s="67" t="str">
        <f>IFERROR(__xludf.DUMMYFUNCTION("""COMPUTED_VALUE"""),"LD199")</f>
        <v>LD199</v>
      </c>
      <c r="D19" s="55" t="s">
        <v>42</v>
      </c>
      <c r="E19" s="55" t="s">
        <v>79</v>
      </c>
      <c r="F19" s="55" t="s">
        <v>107</v>
      </c>
      <c r="G19" s="55">
        <v>1845.0</v>
      </c>
      <c r="H19" s="55" t="s">
        <v>426</v>
      </c>
      <c r="I19" s="60" t="s">
        <v>1195</v>
      </c>
      <c r="J19" s="60" t="s">
        <v>1196</v>
      </c>
      <c r="K19" s="55" t="s">
        <v>61</v>
      </c>
      <c r="L19" s="114" t="s">
        <v>1141</v>
      </c>
      <c r="M19" s="114" t="s">
        <v>78</v>
      </c>
      <c r="N19" s="114" t="s">
        <v>79</v>
      </c>
      <c r="O19" s="114" t="s">
        <v>1142</v>
      </c>
      <c r="P19" s="114" t="s">
        <v>110</v>
      </c>
      <c r="Q19" s="68" t="str">
        <f>IFERROR(__xludf.DUMMYFUNCTION("""COMPUTED_VALUE"""),"UnitedStates.GT.M_PTD_MES_HieuPM_251026")</f>
        <v>UnitedStates.GT.M_PTD_MES_HieuPM_251026</v>
      </c>
      <c r="R19" s="68" t="str">
        <f>IFERROR(__xludf.DUMMYFUNCTION("""COMPUTED_VALUE"""),"NEW_UnitedStates_1845_none_251026")</f>
        <v>NEW_UnitedStates_1845_none_251026</v>
      </c>
      <c r="S19" s="68" t="str">
        <f>IFERROR(__xludf.DUMMYFUNCTION("""COMPUTED_VALUE"""),"saletructiep_UnitedStates.GT.M_THCNGDP_LD199")</f>
        <v>saletructiep_UnitedStates.GT.M_THCNGDP_LD199</v>
      </c>
      <c r="T19" s="70" t="str">
        <f>IFERROR(__xludf.DUMMYFUNCTION("""COMPUTED_VALUE"""),"https://patadovietnam.edu.vn/hkfb2910/?utm_source=Facebook&amp;utm_medium=MES&amp;utm_term=NEW_UnitedStates_1845_none_251026&amp;utm_content=saletructiep_UnitedStates.GT.M_THCNGDP_LD199&amp;utm_campaign=UnitedStates.GT.M_PTD_MES_HieuPM_251026")</f>
        <v>https://patadovietnam.edu.vn/hkfb2910/?utm_source=Facebook&amp;utm_medium=MES&amp;utm_term=NEW_UnitedStates_1845_none_251026&amp;utm_content=saletructiep_UnitedStates.GT.M_THCNGDP_LD199&amp;utm_campaign=UnitedStates.GT.M_PTD_MES_HieuPM_251026</v>
      </c>
      <c r="U19" s="56"/>
    </row>
    <row r="20">
      <c r="A20" s="72">
        <f t="shared" si="1"/>
        <v>46320</v>
      </c>
      <c r="B20" s="112" t="s">
        <v>1200</v>
      </c>
      <c r="C20" s="67" t="str">
        <f>IFERROR(__xludf.DUMMYFUNCTION("""COMPUTED_VALUE"""),"LD200")</f>
        <v>LD200</v>
      </c>
      <c r="D20" s="55" t="s">
        <v>42</v>
      </c>
      <c r="E20" s="55" t="s">
        <v>69</v>
      </c>
      <c r="F20" s="55" t="s">
        <v>133</v>
      </c>
      <c r="G20" s="55">
        <v>1840.0</v>
      </c>
      <c r="H20" s="55" t="s">
        <v>426</v>
      </c>
      <c r="I20" s="60" t="s">
        <v>1201</v>
      </c>
      <c r="J20" s="60" t="s">
        <v>1202</v>
      </c>
      <c r="K20" s="55" t="s">
        <v>61</v>
      </c>
      <c r="L20" s="114" t="s">
        <v>1141</v>
      </c>
      <c r="M20" s="114" t="s">
        <v>78</v>
      </c>
      <c r="N20" s="114" t="s">
        <v>69</v>
      </c>
      <c r="O20" s="114" t="s">
        <v>71</v>
      </c>
      <c r="P20" s="114" t="s">
        <v>110</v>
      </c>
      <c r="Q20" s="68" t="str">
        <f>IFERROR(__xludf.DUMMYFUNCTION("""COMPUTED_VALUE"""),"Japan.GT.M0_PTD_CVS_HieuPM_251026")</f>
        <v>Japan.GT.M0_PTD_CVS_HieuPM_251026</v>
      </c>
      <c r="R20" s="68" t="str">
        <f>IFERROR(__xludf.DUMMYFUNCTION("""COMPUTED_VALUE"""),"NEW_Japan_1840_none_251026")</f>
        <v>NEW_Japan_1840_none_251026</v>
      </c>
      <c r="S20" s="68" t="str">
        <f>IFERROR(__xludf.DUMMYFUNCTION("""COMPUTED_VALUE"""),"saletructiep_Japan.GT.M0_TAGTTDP_LD200")</f>
        <v>saletructiep_Japan.GT.M0_TAGTTDP_LD200</v>
      </c>
      <c r="T20" s="70" t="str">
        <f>IFERROR(__xludf.DUMMYFUNCTION("""COMPUTED_VALUE"""),"https://patadovietnam.edu.vn/jpfb2910/?utm_source=Facebook&amp;utm_medium=CVS&amp;utm_term=NEW_Japan_1840_none_251026&amp;utm_content=saletructiep_Japan.GT.M0_TAGTTDP_LD200&amp;utm_campaign=Japan.GT.M0_PTD_CVS_HieuPM_251026")</f>
        <v>https://patadovietnam.edu.vn/jpfb2910/?utm_source=Facebook&amp;utm_medium=CVS&amp;utm_term=NEW_Japan_1840_none_251026&amp;utm_content=saletructiep_Japan.GT.M0_TAGTTDP_LD200&amp;utm_campaign=Japan.GT.M0_PTD_CVS_HieuPM_251026</v>
      </c>
      <c r="U20" s="56"/>
    </row>
    <row r="21">
      <c r="A21" s="72">
        <f t="shared" si="1"/>
        <v>46320</v>
      </c>
      <c r="B21" s="112" t="s">
        <v>1206</v>
      </c>
      <c r="C21" s="67" t="str">
        <f>IFERROR(__xludf.DUMMYFUNCTION("""COMPUTED_VALUE"""),"LD201")</f>
        <v>LD201</v>
      </c>
      <c r="D21" s="55" t="s">
        <v>42</v>
      </c>
      <c r="E21" s="55" t="s">
        <v>69</v>
      </c>
      <c r="F21" s="55" t="s">
        <v>625</v>
      </c>
      <c r="G21" s="55">
        <v>1840.0</v>
      </c>
      <c r="H21" s="55" t="s">
        <v>426</v>
      </c>
      <c r="I21" s="55" t="s">
        <v>1207</v>
      </c>
      <c r="J21" s="55" t="s">
        <v>1208</v>
      </c>
      <c r="K21" s="55" t="s">
        <v>61</v>
      </c>
      <c r="L21" s="114" t="s">
        <v>1141</v>
      </c>
      <c r="M21" s="114" t="s">
        <v>78</v>
      </c>
      <c r="N21" s="114" t="s">
        <v>69</v>
      </c>
      <c r="O21" s="114" t="s">
        <v>1142</v>
      </c>
      <c r="P21" s="114" t="s">
        <v>110</v>
      </c>
      <c r="Q21" s="68" t="str">
        <f>IFERROR(__xludf.DUMMYFUNCTION("""COMPUTED_VALUE"""),"KoreaSouth.M32C51_PTD_CVS_HieuPM_251026")</f>
        <v>KoreaSouth.M32C51_PTD_CVS_HieuPM_251026</v>
      </c>
      <c r="R21" s="68" t="str">
        <f>IFERROR(__xludf.DUMMYFUNCTION("""COMPUTED_VALUE"""),"NEW_KoreaSouth_1840_none_251026")</f>
        <v>NEW_KoreaSouth_1840_none_251026</v>
      </c>
      <c r="S21" s="68" t="str">
        <f>IFERROR(__xludf.DUMMYFUNCTION("""COMPUTED_VALUE"""),"saletructiep_KoreaSouth.M69C4_THCNGDP_LD201")</f>
        <v>saletructiep_KoreaSouth.M69C4_THCNGDP_LD201</v>
      </c>
      <c r="T21" s="70" t="str">
        <f>IFERROR(__xludf.DUMMYFUNCTION("""COMPUTED_VALUE"""),"https://patadovietnam.edu.vn/hqfb2910/?utm_source=Facebook&amp;utm_medium=CVS&amp;utm_term=NEW_KoreaSouth_1840_none_251026&amp;utm_content=saletructiep_KoreaSouth.M69C4_THCNGDP_LD201&amp;utm_campaign=KoreaSouth.M32C51_PTD_CVS_HieuPM_251026")</f>
        <v>https://patadovietnam.edu.vn/hqfb2910/?utm_source=Facebook&amp;utm_medium=CVS&amp;utm_term=NEW_KoreaSouth_1840_none_251026&amp;utm_content=saletructiep_KoreaSouth.M69C4_THCNGDP_LD201&amp;utm_campaign=KoreaSouth.M32C51_PTD_CVS_HieuPM_251026</v>
      </c>
      <c r="U21" s="56"/>
    </row>
    <row r="22">
      <c r="A22" s="72">
        <f t="shared" si="1"/>
        <v>46320</v>
      </c>
      <c r="B22" s="60" t="s">
        <v>1212</v>
      </c>
      <c r="C22" s="67" t="str">
        <f>IFERROR(__xludf.DUMMYFUNCTION("""COMPUTED_VALUE"""),"LD197")</f>
        <v>LD197</v>
      </c>
      <c r="D22" s="55" t="s">
        <v>42</v>
      </c>
      <c r="E22" s="55" t="s">
        <v>69</v>
      </c>
      <c r="F22" s="55" t="s">
        <v>539</v>
      </c>
      <c r="G22" s="55">
        <v>1840.0</v>
      </c>
      <c r="H22" s="55" t="s">
        <v>426</v>
      </c>
      <c r="I22" s="60" t="s">
        <v>1213</v>
      </c>
      <c r="J22" s="60" t="s">
        <v>1215</v>
      </c>
      <c r="K22" s="55" t="s">
        <v>61</v>
      </c>
      <c r="L22" s="114" t="s">
        <v>1141</v>
      </c>
      <c r="M22" s="114" t="s">
        <v>78</v>
      </c>
      <c r="N22" s="114" t="s">
        <v>79</v>
      </c>
      <c r="O22" s="114" t="s">
        <v>1142</v>
      </c>
      <c r="P22" s="114" t="s">
        <v>110</v>
      </c>
      <c r="Q22" s="68" t="str">
        <f>IFERROR(__xludf.DUMMYFUNCTION("""COMPUTED_VALUE"""),"ALL.GT.M37_PTD_MES_HieuPM_251026")</f>
        <v>ALL.GT.M37_PTD_MES_HieuPM_251026</v>
      </c>
      <c r="R22" s="68" t="str">
        <f>IFERROR(__xludf.DUMMYFUNCTION("""COMPUTED_VALUE"""),"NEW_ALL_1840_none_251026")</f>
        <v>NEW_ALL_1840_none_251026</v>
      </c>
      <c r="S22" s="68" t="str">
        <f>IFERROR(__xludf.DUMMYFUNCTION("""COMPUTED_VALUE"""),"saletructiep_ALL.GT.M37_THCNGDP_LD197")</f>
        <v>saletructiep_ALL.GT.M37_THCNGDP_LD197</v>
      </c>
      <c r="T22" s="70" t="str">
        <f>IFERROR(__xludf.DUMMYFUNCTION("""COMPUTED_VALUE"""),"https://patadovietnam.edu.vn/allfb91123/?utm_source=Facebook&amp;utm_medium=CVS&amp;utm_term=NEW_ALL_1840_none_251026&amp;utm_content=saletructiep_ALL.GT.M37_THCNGDP_LD197&amp;utm_campaign=ALL.GT.M37_PTD_MES_HieuPM_251026")</f>
        <v>https://patadovietnam.edu.vn/allfb91123/?utm_source=Facebook&amp;utm_medium=CVS&amp;utm_term=NEW_ALL_1840_none_251026&amp;utm_content=saletructiep_ALL.GT.M37_THCNGDP_LD197&amp;utm_campaign=ALL.GT.M37_PTD_MES_HieuPM_251026</v>
      </c>
      <c r="U22" s="56"/>
    </row>
    <row r="23">
      <c r="A23" s="72">
        <f t="shared" si="1"/>
        <v>46320</v>
      </c>
      <c r="B23" s="75" t="s">
        <v>1212</v>
      </c>
      <c r="C23" s="67" t="str">
        <f>IFERROR(__xludf.DUMMYFUNCTION("""COMPUTED_VALUE"""),"LD197")</f>
        <v>LD197</v>
      </c>
      <c r="D23" s="55" t="s">
        <v>42</v>
      </c>
      <c r="E23" s="55" t="s">
        <v>69</v>
      </c>
      <c r="F23" s="55" t="s">
        <v>129</v>
      </c>
      <c r="G23" s="55">
        <v>1840.0</v>
      </c>
      <c r="H23" s="55" t="s">
        <v>426</v>
      </c>
      <c r="I23" s="60" t="s">
        <v>1219</v>
      </c>
      <c r="J23" s="60" t="s">
        <v>1221</v>
      </c>
      <c r="K23" s="55" t="s">
        <v>61</v>
      </c>
      <c r="L23" s="114" t="s">
        <v>1141</v>
      </c>
      <c r="M23" s="114" t="s">
        <v>78</v>
      </c>
      <c r="N23" s="114" t="s">
        <v>69</v>
      </c>
      <c r="O23" s="114" t="s">
        <v>1142</v>
      </c>
      <c r="P23" s="114" t="s">
        <v>110</v>
      </c>
      <c r="Q23" s="68" t="str">
        <f>IFERROR(__xludf.DUMMYFUNCTION("""COMPUTED_VALUE"""),"Australia.GT.M32C51_PTD_CVS_HieuPM_251026")</f>
        <v>Australia.GT.M32C51_PTD_CVS_HieuPM_251026</v>
      </c>
      <c r="R23" s="68" t="str">
        <f>IFERROR(__xludf.DUMMYFUNCTION("""COMPUTED_VALUE"""),"NEW_Australia_1840_none_251026")</f>
        <v>NEW_Australia_1840_none_251026</v>
      </c>
      <c r="S23" s="68" t="str">
        <f>IFERROR(__xludf.DUMMYFUNCTION("""COMPUTED_VALUE"""),"saletructiep_Australia.GT.M69C43_THCNGDP_LD197")</f>
        <v>saletructiep_Australia.GT.M69C43_THCNGDP_LD197</v>
      </c>
      <c r="T23" s="70" t="str">
        <f>IFERROR(__xludf.DUMMYFUNCTION("""COMPUTED_VALUE"""),"https://patadovietnam.edu.vn/allfb91123/?utm_source=Facebook&amp;utm_medium=CVS&amp;utm_term=NEW_Australia_1840_none_251026&amp;utm_content=saletructiep_Australia.GT.M69C43_THCNGDP_LD197&amp;utm_campaign=Australia.GT.M32C51_PTD_CVS_HieuPM_251026")</f>
        <v>https://patadovietnam.edu.vn/allfb91123/?utm_source=Facebook&amp;utm_medium=CVS&amp;utm_term=NEW_Australia_1840_none_251026&amp;utm_content=saletructiep_Australia.GT.M69C43_THCNGDP_LD197&amp;utm_campaign=Australia.GT.M32C51_PTD_CVS_HieuPM_251026</v>
      </c>
      <c r="U23" s="56"/>
    </row>
    <row r="24">
      <c r="A24" s="72">
        <f t="shared" si="1"/>
        <v>46320</v>
      </c>
      <c r="B24" s="75" t="s">
        <v>1212</v>
      </c>
      <c r="C24" s="67" t="str">
        <f>IFERROR(__xludf.DUMMYFUNCTION("""COMPUTED_VALUE"""),"LD197")</f>
        <v>LD197</v>
      </c>
      <c r="D24" s="55" t="s">
        <v>42</v>
      </c>
      <c r="E24" s="55" t="s">
        <v>69</v>
      </c>
      <c r="F24" s="55" t="s">
        <v>112</v>
      </c>
      <c r="G24" s="55">
        <v>1840.0</v>
      </c>
      <c r="H24" s="55" t="s">
        <v>426</v>
      </c>
      <c r="I24" s="60" t="s">
        <v>1227</v>
      </c>
      <c r="J24" s="60" t="s">
        <v>1228</v>
      </c>
      <c r="K24" s="55" t="s">
        <v>61</v>
      </c>
      <c r="L24" s="114" t="s">
        <v>1141</v>
      </c>
      <c r="M24" s="114" t="s">
        <v>78</v>
      </c>
      <c r="N24" s="114" t="s">
        <v>69</v>
      </c>
      <c r="O24" s="114" t="s">
        <v>1142</v>
      </c>
      <c r="P24" s="114" t="s">
        <v>110</v>
      </c>
      <c r="Q24" s="68" t="str">
        <f>IFERROR(__xludf.DUMMYFUNCTION("""COMPUTED_VALUE"""),"Canada.GT.M32C51_PTD_CVS_HieuPM_251026")</f>
        <v>Canada.GT.M32C51_PTD_CVS_HieuPM_251026</v>
      </c>
      <c r="R24" s="68" t="str">
        <f>IFERROR(__xludf.DUMMYFUNCTION("""COMPUTED_VALUE"""),"NEW_Canada_1840_none_251026")</f>
        <v>NEW_Canada_1840_none_251026</v>
      </c>
      <c r="S24" s="68" t="str">
        <f>IFERROR(__xludf.DUMMYFUNCTION("""COMPUTED_VALUE"""),"saletructiep_Canada.GT.M69C43_THCNGDP_LD197")</f>
        <v>saletructiep_Canada.GT.M69C43_THCNGDP_LD197</v>
      </c>
      <c r="T24" s="70" t="str">
        <f>IFERROR(__xludf.DUMMYFUNCTION("""COMPUTED_VALUE"""),"https://patadovietnam.edu.vn/allfb91123/?utm_source=Facebook&amp;utm_medium=CVS&amp;utm_term=NEW_Canada_1840_none_251026&amp;utm_content=saletructiep_Canada.GT.M69C43_THCNGDP_LD197&amp;utm_campaign=Canada.GT.M32C51_PTD_CVS_HieuPM_251026")</f>
        <v>https://patadovietnam.edu.vn/allfb91123/?utm_source=Facebook&amp;utm_medium=CVS&amp;utm_term=NEW_Canada_1840_none_251026&amp;utm_content=saletructiep_Canada.GT.M69C43_THCNGDP_LD197&amp;utm_campaign=Canada.GT.M32C51_PTD_CVS_HieuPM_251026</v>
      </c>
      <c r="U24" s="56"/>
    </row>
    <row r="25">
      <c r="A25" s="72">
        <f t="shared" si="1"/>
        <v>46320</v>
      </c>
      <c r="B25" s="75" t="s">
        <v>1212</v>
      </c>
      <c r="C25" s="67" t="str">
        <f>IFERROR(__xludf.DUMMYFUNCTION("""COMPUTED_VALUE"""),"LD197")</f>
        <v>LD197</v>
      </c>
      <c r="D25" s="55" t="s">
        <v>42</v>
      </c>
      <c r="E25" s="55" t="s">
        <v>69</v>
      </c>
      <c r="F25" s="55" t="s">
        <v>174</v>
      </c>
      <c r="G25" s="55">
        <v>1840.0</v>
      </c>
      <c r="H25" s="55" t="s">
        <v>426</v>
      </c>
      <c r="I25" s="60" t="s">
        <v>1235</v>
      </c>
      <c r="J25" s="60" t="s">
        <v>1236</v>
      </c>
      <c r="K25" s="55" t="s">
        <v>61</v>
      </c>
      <c r="L25" s="114" t="s">
        <v>1141</v>
      </c>
      <c r="M25" s="114" t="s">
        <v>78</v>
      </c>
      <c r="N25" s="114" t="s">
        <v>69</v>
      </c>
      <c r="O25" s="114" t="s">
        <v>1142</v>
      </c>
      <c r="P25" s="114" t="s">
        <v>110</v>
      </c>
      <c r="Q25" s="68" t="str">
        <f>IFERROR(__xludf.DUMMYFUNCTION("""COMPUTED_VALUE"""),"Philippine.GT.M32C51_PTD_CVS_HieuPM_251026")</f>
        <v>Philippine.GT.M32C51_PTD_CVS_HieuPM_251026</v>
      </c>
      <c r="R25" s="68" t="str">
        <f>IFERROR(__xludf.DUMMYFUNCTION("""COMPUTED_VALUE"""),"NEW_Philippines_1840_none_251026")</f>
        <v>NEW_Philippines_1840_none_251026</v>
      </c>
      <c r="S25" s="68" t="str">
        <f>IFERROR(__xludf.DUMMYFUNCTION("""COMPUTED_VALUE"""),"saletructiep_Philippine.GT.M69C43_THCNGDP_LD197")</f>
        <v>saletructiep_Philippine.GT.M69C43_THCNGDP_LD197</v>
      </c>
      <c r="T25" s="70" t="str">
        <f>IFERROR(__xludf.DUMMYFUNCTION("""COMPUTED_VALUE"""),"https://patadovietnam.edu.vn/allfb91123/?utm_source=Facebook&amp;utm_medium=CVS&amp;utm_term=NEW_Philippines_1840_none_251026&amp;utm_content=saletructiep_Philippine.GT.M69C43_THCNGDP_LD197&amp;utm_campaign=Philippine.GT.M32C51_PTD_CVS_HieuPM_251026")</f>
        <v>https://patadovietnam.edu.vn/allfb91123/?utm_source=Facebook&amp;utm_medium=CVS&amp;utm_term=NEW_Philippines_1840_none_251026&amp;utm_content=saletructiep_Philippine.GT.M69C43_THCNGDP_LD197&amp;utm_campaign=Philippine.GT.M32C51_PTD_CVS_HieuPM_251026</v>
      </c>
      <c r="U25" s="56"/>
    </row>
    <row r="26">
      <c r="A26" s="72">
        <f t="shared" si="1"/>
        <v>46320</v>
      </c>
      <c r="B26" s="75" t="s">
        <v>1212</v>
      </c>
      <c r="C26" s="67" t="str">
        <f>IFERROR(__xludf.DUMMYFUNCTION("""COMPUTED_VALUE"""),"LD197")</f>
        <v>LD197</v>
      </c>
      <c r="D26" s="55" t="s">
        <v>42</v>
      </c>
      <c r="E26" s="55" t="s">
        <v>69</v>
      </c>
      <c r="F26" s="55" t="s">
        <v>674</v>
      </c>
      <c r="G26" s="55">
        <v>1840.0</v>
      </c>
      <c r="H26" s="55" t="s">
        <v>426</v>
      </c>
      <c r="I26" s="60" t="s">
        <v>1241</v>
      </c>
      <c r="J26" s="60" t="s">
        <v>1244</v>
      </c>
      <c r="K26" s="55" t="s">
        <v>61</v>
      </c>
      <c r="L26" s="114" t="s">
        <v>1141</v>
      </c>
      <c r="M26" s="114" t="s">
        <v>78</v>
      </c>
      <c r="N26" s="114" t="s">
        <v>69</v>
      </c>
      <c r="O26" s="114" t="s">
        <v>1142</v>
      </c>
      <c r="P26" s="114" t="s">
        <v>110</v>
      </c>
      <c r="Q26" s="68" t="str">
        <f>IFERROR(__xludf.DUMMYFUNCTION("""COMPUTED_VALUE"""),"Europe.GT.M0_PTD_CVS_HieuPM_251026")</f>
        <v>Europe.GT.M0_PTD_CVS_HieuPM_251026</v>
      </c>
      <c r="R26" s="68" t="str">
        <f>IFERROR(__xludf.DUMMYFUNCTION("""COMPUTED_VALUE"""),"NEW_Europe_1840_none_251026")</f>
        <v>NEW_Europe_1840_none_251026</v>
      </c>
      <c r="S26" s="68" t="str">
        <f>IFERROR(__xludf.DUMMYFUNCTION("""COMPUTED_VALUE"""),"saletructiep_Europe.GT.M0_THCNGDP_LD197")</f>
        <v>saletructiep_Europe.GT.M0_THCNGDP_LD197</v>
      </c>
      <c r="T26" s="70" t="str">
        <f>IFERROR(__xludf.DUMMYFUNCTION("""COMPUTED_VALUE"""),"https://patadovietnam.edu.vn/allfb91123/?utm_source=Facebook&amp;utm_medium=CVS&amp;utm_term=NEW_Europe_1840_none_251026&amp;utm_content=saletructiep_Europe.GT.M0_THCNGDP_LD197&amp;utm_campaign=Europe.GT.M0_PTD_CVS_HieuPM_251026")</f>
        <v>https://patadovietnam.edu.vn/allfb91123/?utm_source=Facebook&amp;utm_medium=CVS&amp;utm_term=NEW_Europe_1840_none_251026&amp;utm_content=saletructiep_Europe.GT.M0_THCNGDP_LD197&amp;utm_campaign=Europe.GT.M0_PTD_CVS_HieuPM_251026</v>
      </c>
      <c r="U26" s="56"/>
    </row>
    <row r="27">
      <c r="A27" s="72">
        <f t="shared" si="1"/>
        <v>46320</v>
      </c>
      <c r="B27" s="75" t="s">
        <v>1163</v>
      </c>
      <c r="C27" s="67" t="str">
        <f>IFERROR(__xludf.DUMMYFUNCTION("""COMPUTED_VALUE"""),"LD211")</f>
        <v>LD211</v>
      </c>
      <c r="D27" s="55" t="s">
        <v>42</v>
      </c>
      <c r="E27" s="55" t="s">
        <v>69</v>
      </c>
      <c r="F27" s="55" t="s">
        <v>539</v>
      </c>
      <c r="G27" s="55">
        <v>1840.0</v>
      </c>
      <c r="H27" s="55" t="s">
        <v>426</v>
      </c>
      <c r="I27" s="55" t="s">
        <v>1247</v>
      </c>
      <c r="J27" s="55" t="s">
        <v>1247</v>
      </c>
      <c r="K27" s="55" t="s">
        <v>61</v>
      </c>
      <c r="L27" s="114" t="s">
        <v>1141</v>
      </c>
      <c r="M27" s="114" t="s">
        <v>78</v>
      </c>
      <c r="N27" s="114" t="s">
        <v>69</v>
      </c>
      <c r="O27" s="114" t="s">
        <v>1142</v>
      </c>
      <c r="P27" s="114" t="s">
        <v>110</v>
      </c>
      <c r="Q27" s="68" t="str">
        <f>IFERROR(__xludf.DUMMYFUNCTION("""COMPUTED_VALUE"""),"ALL.IELTS.M81C56_PTD_CVS_HieuPM_251026")</f>
        <v>ALL.IELTS.M81C56_PTD_CVS_HieuPM_251026</v>
      </c>
      <c r="R27" s="68" t="str">
        <f>IFERROR(__xludf.DUMMYFUNCTION("""COMPUTED_VALUE"""),"NEW_ALL_1840_none_251026")</f>
        <v>NEW_ALL_1840_none_251026</v>
      </c>
      <c r="S27" s="68" t="str">
        <f>IFERROR(__xludf.DUMMYFUNCTION("""COMPUTED_VALUE"""),"saletructiep_ALL.IELTS.M81C56_THCNGDP_LD211")</f>
        <v>saletructiep_ALL.IELTS.M81C56_THCNGDP_LD211</v>
      </c>
      <c r="T27" s="70" t="str">
        <f>IFERROR(__xludf.DUMMYFUNCTION("""COMPUTED_VALUE"""),"https://patadovietnam.edu.vn/ielts26923/?utm_source=Facebook&amp;utm_medium=CVS&amp;utm_term=NEW_ALL_1840_none_251026&amp;utm_content=saletructiep_ALL.IELTS.M81C56_THCNGDP_LD211&amp;utm_campaign=ALL.IELTS.M81C56_PTD_CVS_HieuPM_251026")</f>
        <v>https://patadovietnam.edu.vn/ielts26923/?utm_source=Facebook&amp;utm_medium=CVS&amp;utm_term=NEW_ALL_1840_none_251026&amp;utm_content=saletructiep_ALL.IELTS.M81C56_THCNGDP_LD211&amp;utm_campaign=ALL.IELTS.M81C56_PTD_CVS_HieuPM_251026</v>
      </c>
      <c r="U27" s="56"/>
    </row>
    <row r="28">
      <c r="A28" s="72">
        <f t="shared" si="1"/>
        <v>46320</v>
      </c>
      <c r="B28" s="54"/>
      <c r="C28" s="67"/>
      <c r="D28" s="54"/>
      <c r="E28" s="54"/>
      <c r="F28" s="55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68"/>
      <c r="R28" s="68"/>
      <c r="S28" s="68"/>
      <c r="T28" s="68"/>
      <c r="U28" s="56"/>
    </row>
    <row r="29">
      <c r="A29" s="72"/>
      <c r="B29" s="54"/>
      <c r="C29" s="67"/>
      <c r="D29" s="54"/>
      <c r="E29" s="54"/>
      <c r="F29" s="55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68"/>
      <c r="R29" s="68"/>
      <c r="S29" s="68"/>
      <c r="T29" s="68"/>
      <c r="U29" s="56"/>
    </row>
    <row r="30">
      <c r="A30" s="72"/>
      <c r="B30" s="54"/>
      <c r="C30" s="67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68"/>
      <c r="R30" s="68"/>
      <c r="S30" s="68"/>
      <c r="T30" s="68"/>
      <c r="U30" s="56"/>
    </row>
    <row r="31">
      <c r="A31" s="72"/>
      <c r="B31" s="54"/>
      <c r="C31" s="67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68"/>
      <c r="R31" s="68"/>
      <c r="S31" s="68"/>
      <c r="T31" s="68"/>
      <c r="U31" s="56"/>
    </row>
    <row r="32">
      <c r="A32" s="72"/>
      <c r="B32" s="54"/>
      <c r="C32" s="67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68"/>
      <c r="R32" s="68"/>
      <c r="S32" s="68"/>
      <c r="T32" s="68"/>
      <c r="U32" s="56"/>
    </row>
    <row r="33">
      <c r="A33" s="72"/>
      <c r="B33" s="54"/>
      <c r="C33" s="67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68"/>
      <c r="R33" s="68"/>
      <c r="S33" s="68"/>
      <c r="T33" s="68"/>
      <c r="U33" s="56"/>
    </row>
    <row r="34">
      <c r="A34" s="72"/>
      <c r="B34" s="54"/>
      <c r="C34" s="67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68"/>
      <c r="R34" s="68"/>
      <c r="S34" s="68"/>
      <c r="T34" s="68"/>
      <c r="U34" s="56"/>
    </row>
    <row r="35">
      <c r="A35" s="72"/>
      <c r="B35" s="54"/>
      <c r="C35" s="67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68"/>
      <c r="R35" s="68"/>
      <c r="S35" s="68"/>
      <c r="T35" s="68"/>
      <c r="U35" s="56"/>
    </row>
    <row r="36">
      <c r="A36" s="72"/>
      <c r="B36" s="54"/>
      <c r="C36" s="67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68"/>
      <c r="R36" s="68"/>
      <c r="S36" s="68"/>
      <c r="T36" s="68"/>
      <c r="U36" s="56"/>
    </row>
    <row r="37">
      <c r="A37" s="72"/>
      <c r="B37" s="54"/>
      <c r="C37" s="67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68"/>
      <c r="R37" s="68"/>
      <c r="S37" s="68"/>
      <c r="T37" s="68"/>
      <c r="U37" s="56"/>
    </row>
    <row r="38">
      <c r="A38" s="72"/>
      <c r="B38" s="54"/>
      <c r="C38" s="67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68"/>
      <c r="R38" s="68"/>
      <c r="S38" s="68"/>
      <c r="T38" s="68"/>
      <c r="U38" s="56"/>
    </row>
    <row r="39">
      <c r="A39" s="72"/>
      <c r="B39" s="54"/>
      <c r="C39" s="67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68"/>
      <c r="R39" s="68"/>
      <c r="S39" s="68"/>
      <c r="T39" s="68"/>
      <c r="U39" s="56"/>
    </row>
    <row r="40">
      <c r="A40" s="72"/>
      <c r="B40" s="54"/>
      <c r="C40" s="67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68"/>
      <c r="R40" s="68"/>
      <c r="S40" s="68"/>
      <c r="T40" s="68"/>
      <c r="U40" s="56"/>
    </row>
    <row r="41">
      <c r="A41" s="72"/>
      <c r="B41" s="54"/>
      <c r="C41" s="67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68"/>
      <c r="R41" s="68"/>
      <c r="S41" s="68"/>
      <c r="T41" s="68"/>
      <c r="U41" s="56"/>
    </row>
    <row r="42">
      <c r="A42" s="72"/>
      <c r="B42" s="54"/>
      <c r="C42" s="67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68"/>
      <c r="R42" s="68"/>
      <c r="S42" s="68"/>
      <c r="T42" s="68"/>
      <c r="U42" s="56"/>
    </row>
    <row r="43">
      <c r="A43" s="72"/>
      <c r="B43" s="54"/>
      <c r="C43" s="67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68"/>
      <c r="R43" s="68"/>
      <c r="S43" s="68"/>
      <c r="T43" s="68"/>
      <c r="U43" s="56"/>
    </row>
    <row r="44">
      <c r="A44" s="72"/>
      <c r="B44" s="54"/>
      <c r="C44" s="67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68"/>
      <c r="R44" s="68"/>
      <c r="S44" s="68"/>
      <c r="T44" s="68"/>
      <c r="U44" s="56"/>
    </row>
    <row r="45">
      <c r="A45" s="72"/>
      <c r="B45" s="54"/>
      <c r="C45" s="67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68"/>
      <c r="R45" s="68"/>
      <c r="S45" s="68"/>
      <c r="T45" s="68"/>
      <c r="U45" s="56"/>
    </row>
    <row r="46">
      <c r="A46" s="72"/>
      <c r="B46" s="54"/>
      <c r="C46" s="67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68"/>
      <c r="R46" s="68"/>
      <c r="S46" s="68"/>
      <c r="T46" s="68"/>
      <c r="U46" s="56"/>
    </row>
    <row r="47">
      <c r="A47" s="72"/>
      <c r="B47" s="54"/>
      <c r="C47" s="67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68"/>
      <c r="R47" s="68"/>
      <c r="S47" s="68"/>
      <c r="T47" s="68"/>
      <c r="U47" s="56"/>
    </row>
    <row r="48">
      <c r="A48" s="72"/>
      <c r="B48" s="54"/>
      <c r="C48" s="67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68"/>
      <c r="R48" s="68"/>
      <c r="S48" s="68"/>
      <c r="T48" s="68"/>
      <c r="U48" s="56"/>
    </row>
    <row r="49">
      <c r="A49" s="72"/>
      <c r="B49" s="54"/>
      <c r="C49" s="67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68"/>
      <c r="R49" s="68"/>
      <c r="S49" s="68"/>
      <c r="T49" s="68"/>
      <c r="U49" s="56"/>
    </row>
    <row r="50">
      <c r="A50" s="72"/>
      <c r="B50" s="54"/>
      <c r="C50" s="67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68"/>
      <c r="R50" s="68"/>
      <c r="S50" s="68"/>
      <c r="T50" s="68"/>
      <c r="U50" s="56"/>
    </row>
    <row r="51">
      <c r="A51" s="72"/>
      <c r="B51" s="54"/>
      <c r="C51" s="67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68"/>
      <c r="R51" s="68"/>
      <c r="S51" s="68"/>
      <c r="T51" s="68"/>
      <c r="U51" s="56"/>
    </row>
    <row r="52">
      <c r="A52" s="72"/>
      <c r="B52" s="54"/>
      <c r="C52" s="67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68"/>
      <c r="R52" s="68"/>
      <c r="S52" s="68"/>
      <c r="T52" s="68"/>
      <c r="U52" s="56"/>
    </row>
    <row r="53">
      <c r="A53" s="72"/>
      <c r="B53" s="54"/>
      <c r="C53" s="67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68"/>
      <c r="R53" s="68"/>
      <c r="S53" s="68"/>
      <c r="T53" s="68"/>
      <c r="U53" s="56"/>
    </row>
    <row r="54">
      <c r="A54" s="72"/>
      <c r="B54" s="54"/>
      <c r="C54" s="67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68"/>
      <c r="R54" s="68"/>
      <c r="S54" s="68"/>
      <c r="T54" s="68"/>
      <c r="U54" s="56"/>
    </row>
    <row r="55">
      <c r="A55" s="72"/>
      <c r="B55" s="54"/>
      <c r="C55" s="67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68"/>
      <c r="R55" s="68"/>
      <c r="S55" s="68"/>
      <c r="T55" s="68"/>
      <c r="U55" s="56"/>
    </row>
    <row r="56">
      <c r="A56" s="72"/>
      <c r="B56" s="54"/>
      <c r="C56" s="67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68"/>
      <c r="R56" s="68"/>
      <c r="S56" s="68"/>
      <c r="T56" s="68"/>
      <c r="U56" s="56"/>
    </row>
    <row r="57">
      <c r="A57" s="72"/>
      <c r="B57" s="54"/>
      <c r="C57" s="67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68"/>
      <c r="R57" s="68"/>
      <c r="S57" s="68"/>
      <c r="T57" s="68"/>
      <c r="U57" s="56"/>
    </row>
    <row r="58">
      <c r="A58" s="72"/>
      <c r="B58" s="54"/>
      <c r="C58" s="67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68"/>
      <c r="R58" s="68"/>
      <c r="S58" s="68"/>
      <c r="T58" s="68"/>
      <c r="U58" s="56"/>
    </row>
    <row r="59">
      <c r="A59" s="72"/>
      <c r="B59" s="54"/>
      <c r="C59" s="67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68"/>
      <c r="R59" s="68"/>
      <c r="S59" s="68"/>
      <c r="T59" s="68"/>
      <c r="U59" s="56"/>
    </row>
    <row r="60">
      <c r="A60" s="72"/>
      <c r="B60" s="54"/>
      <c r="C60" s="67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68"/>
      <c r="R60" s="68"/>
      <c r="S60" s="68"/>
      <c r="T60" s="68"/>
      <c r="U60" s="56"/>
    </row>
    <row r="61">
      <c r="A61" s="72"/>
      <c r="B61" s="54"/>
      <c r="C61" s="67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68"/>
      <c r="R61" s="68"/>
      <c r="S61" s="68"/>
      <c r="T61" s="68"/>
      <c r="U61" s="56"/>
    </row>
    <row r="62">
      <c r="A62" s="72"/>
      <c r="B62" s="54"/>
      <c r="C62" s="67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68"/>
      <c r="R62" s="68"/>
      <c r="S62" s="68"/>
      <c r="T62" s="68"/>
      <c r="U62" s="56"/>
    </row>
    <row r="63">
      <c r="A63" s="72"/>
      <c r="B63" s="54"/>
      <c r="C63" s="67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68"/>
      <c r="R63" s="68"/>
      <c r="S63" s="68"/>
      <c r="T63" s="68"/>
      <c r="U63" s="56"/>
    </row>
    <row r="64">
      <c r="A64" s="72"/>
      <c r="B64" s="54"/>
      <c r="C64" s="67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68"/>
      <c r="R64" s="68"/>
      <c r="S64" s="68"/>
      <c r="T64" s="68"/>
      <c r="U64" s="56"/>
    </row>
    <row r="65">
      <c r="A65" s="72"/>
      <c r="B65" s="54"/>
      <c r="C65" s="67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68"/>
      <c r="R65" s="68"/>
      <c r="S65" s="68"/>
      <c r="T65" s="68"/>
      <c r="U65" s="56"/>
    </row>
    <row r="66">
      <c r="A66" s="72"/>
      <c r="B66" s="54"/>
      <c r="C66" s="67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68"/>
      <c r="R66" s="68"/>
      <c r="S66" s="68"/>
      <c r="T66" s="68"/>
      <c r="U66" s="56"/>
    </row>
    <row r="67">
      <c r="A67" s="72"/>
      <c r="B67" s="54"/>
      <c r="C67" s="67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68"/>
      <c r="R67" s="68"/>
      <c r="S67" s="68"/>
      <c r="T67" s="68"/>
      <c r="U67" s="56"/>
    </row>
    <row r="68">
      <c r="A68" s="72"/>
      <c r="B68" s="54"/>
      <c r="C68" s="67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68"/>
      <c r="R68" s="68"/>
      <c r="S68" s="68"/>
      <c r="T68" s="68"/>
      <c r="U68" s="56"/>
    </row>
    <row r="69">
      <c r="A69" s="72"/>
      <c r="B69" s="54"/>
      <c r="C69" s="67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68"/>
      <c r="R69" s="68"/>
      <c r="S69" s="68"/>
      <c r="T69" s="68"/>
      <c r="U69" s="56"/>
    </row>
    <row r="70">
      <c r="A70" s="72"/>
      <c r="B70" s="54"/>
      <c r="C70" s="67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68"/>
      <c r="R70" s="68"/>
      <c r="S70" s="68"/>
      <c r="T70" s="68"/>
      <c r="U70" s="56"/>
    </row>
    <row r="71">
      <c r="A71" s="72"/>
      <c r="B71" s="54"/>
      <c r="C71" s="67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68"/>
      <c r="R71" s="68"/>
      <c r="S71" s="68"/>
      <c r="T71" s="68"/>
      <c r="U71" s="56"/>
    </row>
    <row r="72">
      <c r="A72" s="72"/>
      <c r="B72" s="54"/>
      <c r="C72" s="67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68"/>
      <c r="R72" s="68"/>
      <c r="S72" s="68"/>
      <c r="T72" s="68"/>
      <c r="U72" s="56"/>
    </row>
    <row r="73">
      <c r="A73" s="72"/>
      <c r="B73" s="54"/>
      <c r="C73" s="67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68"/>
      <c r="R73" s="68"/>
      <c r="S73" s="68"/>
      <c r="T73" s="68"/>
      <c r="U73" s="56"/>
    </row>
    <row r="74">
      <c r="A74" s="72"/>
      <c r="B74" s="54"/>
      <c r="C74" s="67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68"/>
      <c r="R74" s="68"/>
      <c r="S74" s="68"/>
      <c r="T74" s="68"/>
      <c r="U74" s="56"/>
    </row>
    <row r="75">
      <c r="A75" s="72"/>
      <c r="B75" s="54"/>
      <c r="C75" s="67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68"/>
      <c r="R75" s="68"/>
      <c r="S75" s="68"/>
      <c r="T75" s="68"/>
      <c r="U75" s="56"/>
    </row>
    <row r="76">
      <c r="A76" s="72"/>
      <c r="B76" s="54"/>
      <c r="C76" s="67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68"/>
      <c r="R76" s="68"/>
      <c r="S76" s="68"/>
      <c r="T76" s="68"/>
      <c r="U76" s="56"/>
    </row>
    <row r="77">
      <c r="A77" s="72"/>
      <c r="B77" s="54"/>
      <c r="C77" s="67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68"/>
      <c r="R77" s="68"/>
      <c r="S77" s="68"/>
      <c r="T77" s="68"/>
      <c r="U77" s="56"/>
    </row>
    <row r="78">
      <c r="A78" s="72"/>
      <c r="B78" s="54"/>
      <c r="C78" s="67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68"/>
      <c r="R78" s="68"/>
      <c r="S78" s="68"/>
      <c r="T78" s="68"/>
      <c r="U78" s="56"/>
    </row>
    <row r="79">
      <c r="A79" s="72"/>
      <c r="B79" s="54"/>
      <c r="C79" s="67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68"/>
      <c r="R79" s="68"/>
      <c r="S79" s="68"/>
      <c r="T79" s="68"/>
      <c r="U79" s="56"/>
    </row>
    <row r="80">
      <c r="A80" s="72"/>
      <c r="B80" s="54"/>
      <c r="C80" s="67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68"/>
      <c r="R80" s="68"/>
      <c r="S80" s="68"/>
      <c r="T80" s="68"/>
      <c r="U80" s="56"/>
    </row>
    <row r="81">
      <c r="A81" s="72"/>
      <c r="B81" s="54"/>
      <c r="C81" s="67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68"/>
      <c r="R81" s="68"/>
      <c r="S81" s="68"/>
      <c r="T81" s="68"/>
      <c r="U81" s="56"/>
    </row>
    <row r="82">
      <c r="A82" s="72"/>
      <c r="B82" s="54"/>
      <c r="C82" s="67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68"/>
      <c r="R82" s="68"/>
      <c r="S82" s="68"/>
      <c r="T82" s="68"/>
      <c r="U82" s="56"/>
    </row>
    <row r="83">
      <c r="A83" s="72"/>
      <c r="B83" s="54"/>
      <c r="C83" s="67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68"/>
      <c r="R83" s="68"/>
      <c r="S83" s="68"/>
      <c r="T83" s="68"/>
      <c r="U83" s="56"/>
    </row>
    <row r="84">
      <c r="A84" s="72"/>
      <c r="B84" s="54"/>
      <c r="C84" s="67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68"/>
      <c r="R84" s="68"/>
      <c r="S84" s="68"/>
      <c r="T84" s="68"/>
      <c r="U84" s="56"/>
    </row>
    <row r="85">
      <c r="A85" s="72"/>
      <c r="B85" s="54"/>
      <c r="C85" s="67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68"/>
      <c r="R85" s="68"/>
      <c r="S85" s="68"/>
      <c r="T85" s="68"/>
      <c r="U85" s="56"/>
    </row>
    <row r="86">
      <c r="A86" s="72"/>
      <c r="B86" s="54"/>
      <c r="C86" s="67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68"/>
      <c r="R86" s="68"/>
      <c r="S86" s="68"/>
      <c r="T86" s="68"/>
      <c r="U86" s="56"/>
    </row>
    <row r="87">
      <c r="A87" s="72"/>
      <c r="B87" s="54"/>
      <c r="C87" s="67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68"/>
      <c r="R87" s="68"/>
      <c r="S87" s="68"/>
      <c r="T87" s="68"/>
      <c r="U87" s="56"/>
    </row>
    <row r="88">
      <c r="A88" s="72"/>
      <c r="B88" s="54"/>
      <c r="C88" s="67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68"/>
      <c r="R88" s="68"/>
      <c r="S88" s="68"/>
      <c r="T88" s="68"/>
      <c r="U88" s="56"/>
    </row>
    <row r="89">
      <c r="A89" s="72"/>
      <c r="B89" s="54"/>
      <c r="C89" s="67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68"/>
      <c r="R89" s="68"/>
      <c r="S89" s="68"/>
      <c r="T89" s="68"/>
      <c r="U89" s="56"/>
    </row>
    <row r="90">
      <c r="A90" s="72"/>
      <c r="B90" s="54"/>
      <c r="C90" s="67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68"/>
      <c r="R90" s="68"/>
      <c r="S90" s="68"/>
      <c r="T90" s="68"/>
      <c r="U90" s="56"/>
    </row>
    <row r="91">
      <c r="A91" s="72"/>
      <c r="B91" s="54"/>
      <c r="C91" s="67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68"/>
      <c r="R91" s="68"/>
      <c r="S91" s="68"/>
      <c r="T91" s="68"/>
      <c r="U91" s="56"/>
    </row>
    <row r="92">
      <c r="A92" s="72"/>
      <c r="B92" s="54"/>
      <c r="C92" s="67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68"/>
      <c r="R92" s="68"/>
      <c r="S92" s="68"/>
      <c r="T92" s="68"/>
      <c r="U92" s="56"/>
    </row>
    <row r="93">
      <c r="A93" s="72"/>
      <c r="B93" s="54"/>
      <c r="C93" s="67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68"/>
      <c r="R93" s="68"/>
      <c r="S93" s="68"/>
      <c r="T93" s="68"/>
      <c r="U93" s="56"/>
    </row>
    <row r="94">
      <c r="A94" s="72"/>
      <c r="B94" s="54"/>
      <c r="C94" s="67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68"/>
      <c r="R94" s="68"/>
      <c r="S94" s="68"/>
      <c r="T94" s="68"/>
      <c r="U94" s="56"/>
    </row>
    <row r="95">
      <c r="A95" s="72"/>
      <c r="B95" s="54"/>
      <c r="C95" s="67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68"/>
      <c r="R95" s="68"/>
      <c r="S95" s="68"/>
      <c r="T95" s="68"/>
      <c r="U95" s="56"/>
    </row>
    <row r="96">
      <c r="A96" s="72"/>
      <c r="B96" s="54"/>
      <c r="C96" s="67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68"/>
      <c r="R96" s="68"/>
      <c r="S96" s="68"/>
      <c r="T96" s="68"/>
      <c r="U96" s="56"/>
    </row>
    <row r="97">
      <c r="A97" s="72"/>
      <c r="B97" s="54"/>
      <c r="C97" s="67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68"/>
      <c r="R97" s="68"/>
      <c r="S97" s="68"/>
      <c r="T97" s="68"/>
      <c r="U97" s="56"/>
    </row>
    <row r="98">
      <c r="A98" s="72"/>
      <c r="B98" s="54"/>
      <c r="C98" s="67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68"/>
      <c r="R98" s="68"/>
      <c r="S98" s="68"/>
      <c r="T98" s="68"/>
      <c r="U98" s="56"/>
    </row>
    <row r="99">
      <c r="A99" s="72"/>
      <c r="B99" s="54"/>
      <c r="C99" s="67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68"/>
      <c r="R99" s="68"/>
      <c r="S99" s="68"/>
      <c r="T99" s="68"/>
      <c r="U99" s="56"/>
    </row>
    <row r="100">
      <c r="A100" s="72"/>
      <c r="B100" s="54"/>
      <c r="C100" s="67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68"/>
      <c r="R100" s="68"/>
      <c r="S100" s="68"/>
      <c r="T100" s="68"/>
      <c r="U100" s="56"/>
    </row>
    <row r="101">
      <c r="A101" s="72"/>
      <c r="B101" s="54"/>
      <c r="C101" s="67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68"/>
      <c r="R101" s="68"/>
      <c r="S101" s="68"/>
      <c r="T101" s="68"/>
      <c r="U101" s="56"/>
    </row>
    <row r="102">
      <c r="A102" s="72"/>
      <c r="B102" s="54"/>
      <c r="C102" s="67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68"/>
      <c r="R102" s="68"/>
      <c r="S102" s="68"/>
      <c r="T102" s="68"/>
      <c r="U102" s="56"/>
    </row>
    <row r="103">
      <c r="A103" s="72"/>
      <c r="B103" s="54"/>
      <c r="C103" s="67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68"/>
      <c r="R103" s="68"/>
      <c r="S103" s="68"/>
      <c r="T103" s="68"/>
      <c r="U103" s="56"/>
    </row>
    <row r="104">
      <c r="A104" s="72"/>
      <c r="B104" s="54"/>
      <c r="C104" s="67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68"/>
      <c r="R104" s="68"/>
      <c r="S104" s="68"/>
      <c r="T104" s="68"/>
      <c r="U104" s="56"/>
    </row>
    <row r="105">
      <c r="A105" s="72"/>
      <c r="B105" s="54"/>
      <c r="C105" s="67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68"/>
      <c r="R105" s="68"/>
      <c r="S105" s="68"/>
      <c r="T105" s="68"/>
      <c r="U105" s="56"/>
    </row>
    <row r="106">
      <c r="A106" s="72"/>
      <c r="B106" s="54"/>
      <c r="C106" s="67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68"/>
      <c r="R106" s="68"/>
      <c r="S106" s="68"/>
      <c r="T106" s="68"/>
      <c r="U106" s="56"/>
    </row>
    <row r="107">
      <c r="A107" s="72"/>
      <c r="B107" s="54"/>
      <c r="C107" s="67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68"/>
      <c r="R107" s="68"/>
      <c r="S107" s="68"/>
      <c r="T107" s="68"/>
      <c r="U107" s="56"/>
    </row>
    <row r="108">
      <c r="A108" s="72"/>
      <c r="B108" s="54"/>
      <c r="C108" s="67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68"/>
      <c r="R108" s="68"/>
      <c r="S108" s="68"/>
      <c r="T108" s="68"/>
      <c r="U108" s="56"/>
    </row>
    <row r="109">
      <c r="A109" s="72"/>
      <c r="B109" s="54"/>
      <c r="C109" s="67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68"/>
      <c r="R109" s="68"/>
      <c r="S109" s="68"/>
      <c r="T109" s="68"/>
      <c r="U109" s="56"/>
    </row>
    <row r="110">
      <c r="A110" s="72"/>
      <c r="B110" s="54"/>
      <c r="C110" s="67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68"/>
      <c r="R110" s="68"/>
      <c r="S110" s="68"/>
      <c r="T110" s="68"/>
      <c r="U110" s="56"/>
    </row>
    <row r="111">
      <c r="A111" s="72"/>
      <c r="B111" s="54"/>
      <c r="C111" s="67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68"/>
      <c r="R111" s="68"/>
      <c r="S111" s="68"/>
      <c r="T111" s="68"/>
      <c r="U111" s="56"/>
    </row>
    <row r="112">
      <c r="A112" s="72"/>
      <c r="B112" s="54"/>
      <c r="C112" s="67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68"/>
      <c r="R112" s="68"/>
      <c r="S112" s="68"/>
      <c r="T112" s="68"/>
      <c r="U112" s="56"/>
    </row>
    <row r="113">
      <c r="A113" s="72"/>
      <c r="B113" s="54"/>
      <c r="C113" s="67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68"/>
      <c r="R113" s="68"/>
      <c r="S113" s="68"/>
      <c r="T113" s="68"/>
      <c r="U113" s="56"/>
    </row>
    <row r="114">
      <c r="A114" s="72"/>
      <c r="B114" s="54"/>
      <c r="C114" s="67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68"/>
      <c r="R114" s="68"/>
      <c r="S114" s="68"/>
      <c r="T114" s="68"/>
      <c r="U114" s="56"/>
    </row>
    <row r="115">
      <c r="A115" s="72"/>
      <c r="B115" s="54"/>
      <c r="C115" s="67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68"/>
      <c r="R115" s="68"/>
      <c r="S115" s="68"/>
      <c r="T115" s="68"/>
      <c r="U115" s="56"/>
    </row>
    <row r="116">
      <c r="A116" s="72"/>
      <c r="B116" s="54"/>
      <c r="C116" s="67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68"/>
      <c r="R116" s="68"/>
      <c r="S116" s="68"/>
      <c r="T116" s="68"/>
      <c r="U116" s="56"/>
    </row>
    <row r="117">
      <c r="A117" s="72"/>
      <c r="B117" s="54"/>
      <c r="C117" s="67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68"/>
      <c r="R117" s="68"/>
      <c r="S117" s="68"/>
      <c r="T117" s="68"/>
      <c r="U117" s="56"/>
    </row>
    <row r="118">
      <c r="A118" s="72"/>
      <c r="B118" s="54"/>
      <c r="C118" s="67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68"/>
      <c r="R118" s="68"/>
      <c r="S118" s="68"/>
      <c r="T118" s="68"/>
      <c r="U118" s="56"/>
    </row>
    <row r="119">
      <c r="A119" s="72"/>
      <c r="B119" s="54"/>
      <c r="C119" s="67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68"/>
      <c r="R119" s="68"/>
      <c r="S119" s="68"/>
      <c r="T119" s="68"/>
      <c r="U119" s="56"/>
    </row>
    <row r="120">
      <c r="A120" s="72"/>
      <c r="B120" s="54"/>
      <c r="C120" s="67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68"/>
      <c r="R120" s="68"/>
      <c r="S120" s="68"/>
      <c r="T120" s="68"/>
      <c r="U120" s="56"/>
    </row>
    <row r="121">
      <c r="A121" s="72"/>
      <c r="B121" s="54"/>
      <c r="C121" s="67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68"/>
      <c r="R121" s="68"/>
      <c r="S121" s="68"/>
      <c r="T121" s="68"/>
      <c r="U121" s="56"/>
    </row>
    <row r="122">
      <c r="A122" s="72"/>
      <c r="B122" s="54"/>
      <c r="C122" s="67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68"/>
      <c r="R122" s="68"/>
      <c r="S122" s="68"/>
      <c r="T122" s="68"/>
      <c r="U122" s="56"/>
    </row>
    <row r="123">
      <c r="A123" s="72"/>
      <c r="B123" s="54"/>
      <c r="C123" s="67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68"/>
      <c r="R123" s="68"/>
      <c r="S123" s="68"/>
      <c r="T123" s="68"/>
      <c r="U123" s="56"/>
    </row>
    <row r="124">
      <c r="A124" s="72"/>
      <c r="B124" s="54"/>
      <c r="C124" s="67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68"/>
      <c r="R124" s="68"/>
      <c r="S124" s="68"/>
      <c r="T124" s="68"/>
      <c r="U124" s="56"/>
    </row>
    <row r="125">
      <c r="A125" s="72"/>
      <c r="B125" s="54"/>
      <c r="C125" s="67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68"/>
      <c r="R125" s="68"/>
      <c r="S125" s="68"/>
      <c r="T125" s="68"/>
      <c r="U125" s="56"/>
    </row>
    <row r="126">
      <c r="A126" s="72"/>
      <c r="B126" s="54"/>
      <c r="C126" s="67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68"/>
      <c r="R126" s="68"/>
      <c r="S126" s="68"/>
      <c r="T126" s="68"/>
      <c r="U126" s="56"/>
    </row>
    <row r="127">
      <c r="A127" s="72"/>
      <c r="B127" s="54"/>
      <c r="C127" s="67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68"/>
      <c r="R127" s="68"/>
      <c r="S127" s="68"/>
      <c r="T127" s="68"/>
      <c r="U127" s="56"/>
    </row>
    <row r="128">
      <c r="A128" s="72"/>
      <c r="B128" s="54"/>
      <c r="C128" s="67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68"/>
      <c r="R128" s="68"/>
      <c r="S128" s="68"/>
      <c r="T128" s="68"/>
      <c r="U128" s="56"/>
    </row>
    <row r="129">
      <c r="A129" s="72"/>
      <c r="B129" s="54"/>
      <c r="C129" s="67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68"/>
      <c r="R129" s="68"/>
      <c r="S129" s="68"/>
      <c r="T129" s="68"/>
      <c r="U129" s="56"/>
    </row>
    <row r="130">
      <c r="A130" s="72"/>
      <c r="B130" s="54"/>
      <c r="C130" s="67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68"/>
      <c r="R130" s="68"/>
      <c r="S130" s="68"/>
      <c r="T130" s="68"/>
      <c r="U130" s="56"/>
    </row>
    <row r="131">
      <c r="A131" s="72"/>
      <c r="B131" s="54"/>
      <c r="C131" s="67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68"/>
      <c r="R131" s="68"/>
      <c r="S131" s="68"/>
      <c r="T131" s="68"/>
      <c r="U131" s="56"/>
    </row>
    <row r="132">
      <c r="A132" s="72"/>
      <c r="B132" s="54"/>
      <c r="C132" s="67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68"/>
      <c r="R132" s="68"/>
      <c r="S132" s="68"/>
      <c r="T132" s="68"/>
      <c r="U132" s="56"/>
    </row>
    <row r="133">
      <c r="A133" s="72"/>
      <c r="B133" s="54"/>
      <c r="C133" s="67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68"/>
      <c r="R133" s="68"/>
      <c r="S133" s="68"/>
      <c r="T133" s="68"/>
      <c r="U133" s="56"/>
    </row>
    <row r="134">
      <c r="A134" s="72"/>
      <c r="B134" s="54"/>
      <c r="C134" s="67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68"/>
      <c r="R134" s="68"/>
      <c r="S134" s="68"/>
      <c r="T134" s="68"/>
      <c r="U134" s="56"/>
    </row>
    <row r="135">
      <c r="A135" s="72"/>
      <c r="B135" s="54"/>
      <c r="C135" s="67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68"/>
      <c r="R135" s="68"/>
      <c r="S135" s="68"/>
      <c r="T135" s="68"/>
      <c r="U135" s="56"/>
    </row>
    <row r="136">
      <c r="A136" s="72"/>
      <c r="B136" s="54"/>
      <c r="C136" s="67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68"/>
      <c r="R136" s="68"/>
      <c r="S136" s="68"/>
      <c r="T136" s="68"/>
      <c r="U136" s="56"/>
    </row>
    <row r="137">
      <c r="A137" s="72"/>
      <c r="B137" s="54"/>
      <c r="C137" s="67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68"/>
      <c r="R137" s="68"/>
      <c r="S137" s="68"/>
      <c r="T137" s="68"/>
      <c r="U137" s="56"/>
    </row>
    <row r="138">
      <c r="A138" s="72"/>
      <c r="B138" s="54"/>
      <c r="C138" s="67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68"/>
      <c r="R138" s="68"/>
      <c r="S138" s="68"/>
      <c r="T138" s="68"/>
      <c r="U138" s="56"/>
    </row>
    <row r="139">
      <c r="A139" s="72"/>
      <c r="B139" s="54"/>
      <c r="C139" s="67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68"/>
      <c r="R139" s="68"/>
      <c r="S139" s="68"/>
      <c r="T139" s="68"/>
      <c r="U139" s="56"/>
    </row>
    <row r="140">
      <c r="A140" s="72"/>
      <c r="B140" s="54"/>
      <c r="C140" s="67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68"/>
      <c r="R140" s="68"/>
      <c r="S140" s="68"/>
      <c r="T140" s="68"/>
      <c r="U140" s="56"/>
    </row>
    <row r="141">
      <c r="A141" s="72"/>
      <c r="B141" s="54"/>
      <c r="C141" s="67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68"/>
      <c r="R141" s="68"/>
      <c r="S141" s="68"/>
      <c r="T141" s="68"/>
      <c r="U141" s="56"/>
    </row>
    <row r="142">
      <c r="A142" s="72"/>
      <c r="B142" s="54"/>
      <c r="C142" s="67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68"/>
      <c r="R142" s="68"/>
      <c r="S142" s="68"/>
      <c r="T142" s="68"/>
      <c r="U142" s="56"/>
    </row>
    <row r="143">
      <c r="A143" s="72"/>
      <c r="B143" s="54"/>
      <c r="C143" s="67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68"/>
      <c r="R143" s="68"/>
      <c r="S143" s="68"/>
      <c r="T143" s="68"/>
      <c r="U143" s="56"/>
    </row>
    <row r="144">
      <c r="A144" s="72"/>
      <c r="B144" s="54"/>
      <c r="C144" s="67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68"/>
      <c r="R144" s="68"/>
      <c r="S144" s="68"/>
      <c r="T144" s="68"/>
      <c r="U144" s="56"/>
    </row>
    <row r="145">
      <c r="A145" s="72"/>
      <c r="B145" s="54"/>
      <c r="C145" s="67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68"/>
      <c r="R145" s="68"/>
      <c r="S145" s="68"/>
      <c r="T145" s="68"/>
      <c r="U145" s="56"/>
    </row>
    <row r="146">
      <c r="A146" s="72"/>
      <c r="B146" s="54"/>
      <c r="C146" s="67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68"/>
      <c r="R146" s="68"/>
      <c r="S146" s="68"/>
      <c r="T146" s="68"/>
      <c r="U146" s="56"/>
    </row>
    <row r="147">
      <c r="A147" s="72"/>
      <c r="B147" s="54"/>
      <c r="C147" s="67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68"/>
      <c r="R147" s="68"/>
      <c r="S147" s="68"/>
      <c r="T147" s="68"/>
      <c r="U147" s="56"/>
    </row>
    <row r="148">
      <c r="A148" s="72"/>
      <c r="B148" s="54"/>
      <c r="C148" s="67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68"/>
      <c r="R148" s="68"/>
      <c r="S148" s="68"/>
      <c r="T148" s="68"/>
      <c r="U148" s="56"/>
    </row>
    <row r="149">
      <c r="A149" s="72"/>
      <c r="B149" s="54"/>
      <c r="C149" s="67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68"/>
      <c r="R149" s="68"/>
      <c r="S149" s="68"/>
      <c r="T149" s="68"/>
      <c r="U149" s="56"/>
    </row>
    <row r="150">
      <c r="A150" s="72"/>
      <c r="B150" s="54"/>
      <c r="C150" s="67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68"/>
      <c r="R150" s="68"/>
      <c r="S150" s="68"/>
      <c r="T150" s="68"/>
      <c r="U150" s="56"/>
    </row>
    <row r="151">
      <c r="A151" s="72"/>
      <c r="B151" s="54"/>
      <c r="C151" s="67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68"/>
      <c r="R151" s="68"/>
      <c r="S151" s="68"/>
      <c r="T151" s="68"/>
      <c r="U151" s="56"/>
    </row>
    <row r="152">
      <c r="A152" s="72"/>
      <c r="B152" s="54"/>
      <c r="C152" s="67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68"/>
      <c r="R152" s="68"/>
      <c r="S152" s="68"/>
      <c r="T152" s="68"/>
      <c r="U152" s="56"/>
    </row>
    <row r="153">
      <c r="A153" s="72"/>
      <c r="B153" s="54"/>
      <c r="C153" s="67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68"/>
      <c r="R153" s="68"/>
      <c r="S153" s="68"/>
      <c r="T153" s="68"/>
      <c r="U153" s="56"/>
    </row>
    <row r="154">
      <c r="A154" s="72"/>
      <c r="B154" s="54"/>
      <c r="C154" s="67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68"/>
      <c r="R154" s="68"/>
      <c r="S154" s="68"/>
      <c r="T154" s="68"/>
      <c r="U154" s="56"/>
    </row>
    <row r="155">
      <c r="A155" s="72"/>
      <c r="B155" s="54"/>
      <c r="C155" s="67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68"/>
      <c r="R155" s="68"/>
      <c r="S155" s="68"/>
      <c r="T155" s="68"/>
      <c r="U155" s="56"/>
    </row>
    <row r="156">
      <c r="A156" s="72"/>
      <c r="B156" s="54"/>
      <c r="C156" s="67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68"/>
      <c r="R156" s="68"/>
      <c r="S156" s="68"/>
      <c r="T156" s="68"/>
      <c r="U156" s="56"/>
    </row>
    <row r="157">
      <c r="A157" s="72"/>
      <c r="B157" s="54"/>
      <c r="C157" s="67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68"/>
      <c r="R157" s="68"/>
      <c r="S157" s="68"/>
      <c r="T157" s="68"/>
      <c r="U157" s="56"/>
    </row>
    <row r="158">
      <c r="A158" s="72"/>
      <c r="B158" s="54"/>
      <c r="C158" s="67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68"/>
      <c r="R158" s="68"/>
      <c r="S158" s="68"/>
      <c r="T158" s="68"/>
      <c r="U158" s="56"/>
    </row>
    <row r="159">
      <c r="A159" s="72"/>
      <c r="B159" s="54"/>
      <c r="C159" s="67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68"/>
      <c r="R159" s="68"/>
      <c r="S159" s="68"/>
      <c r="T159" s="68"/>
      <c r="U159" s="56"/>
    </row>
    <row r="160">
      <c r="A160" s="72"/>
      <c r="B160" s="54"/>
      <c r="C160" s="67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68"/>
      <c r="R160" s="68"/>
      <c r="S160" s="68"/>
      <c r="T160" s="68"/>
      <c r="U160" s="56"/>
    </row>
    <row r="161">
      <c r="A161" s="72"/>
      <c r="B161" s="54"/>
      <c r="C161" s="67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68"/>
      <c r="R161" s="68"/>
      <c r="S161" s="68"/>
      <c r="T161" s="68"/>
      <c r="U161" s="56"/>
    </row>
    <row r="162">
      <c r="A162" s="72"/>
      <c r="B162" s="54"/>
      <c r="C162" s="67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68"/>
      <c r="R162" s="68"/>
      <c r="S162" s="68"/>
      <c r="T162" s="68"/>
      <c r="U162" s="56"/>
    </row>
    <row r="163">
      <c r="A163" s="72"/>
      <c r="B163" s="54"/>
      <c r="C163" s="67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68"/>
      <c r="R163" s="68"/>
      <c r="S163" s="68"/>
      <c r="T163" s="68"/>
      <c r="U163" s="56"/>
    </row>
    <row r="164">
      <c r="A164" s="72"/>
      <c r="B164" s="54"/>
      <c r="C164" s="67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68"/>
      <c r="R164" s="68"/>
      <c r="S164" s="68"/>
      <c r="T164" s="68"/>
      <c r="U164" s="56"/>
    </row>
    <row r="165">
      <c r="A165" s="72"/>
      <c r="B165" s="54"/>
      <c r="C165" s="67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68"/>
      <c r="R165" s="68"/>
      <c r="S165" s="68"/>
      <c r="T165" s="68"/>
      <c r="U165" s="56"/>
    </row>
    <row r="166">
      <c r="A166" s="72"/>
      <c r="B166" s="54"/>
      <c r="C166" s="67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68"/>
      <c r="R166" s="68"/>
      <c r="S166" s="68"/>
      <c r="T166" s="68"/>
      <c r="U166" s="56"/>
    </row>
    <row r="167">
      <c r="A167" s="72"/>
      <c r="B167" s="54"/>
      <c r="C167" s="67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68"/>
      <c r="R167" s="68"/>
      <c r="S167" s="68"/>
      <c r="T167" s="68"/>
      <c r="U167" s="56"/>
    </row>
    <row r="168">
      <c r="A168" s="72"/>
      <c r="B168" s="54"/>
      <c r="C168" s="67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68"/>
      <c r="R168" s="68"/>
      <c r="S168" s="68"/>
      <c r="T168" s="68"/>
      <c r="U168" s="56"/>
    </row>
    <row r="169">
      <c r="A169" s="72"/>
      <c r="B169" s="54"/>
      <c r="C169" s="67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68"/>
      <c r="R169" s="68"/>
      <c r="S169" s="68"/>
      <c r="T169" s="68"/>
      <c r="U169" s="56"/>
    </row>
    <row r="170">
      <c r="A170" s="72"/>
      <c r="B170" s="54"/>
      <c r="C170" s="67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68"/>
      <c r="R170" s="68"/>
      <c r="S170" s="68"/>
      <c r="T170" s="68"/>
      <c r="U170" s="56"/>
    </row>
    <row r="171">
      <c r="A171" s="72"/>
      <c r="B171" s="54"/>
      <c r="C171" s="67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68"/>
      <c r="R171" s="68"/>
      <c r="S171" s="68"/>
      <c r="T171" s="68"/>
      <c r="U171" s="56"/>
    </row>
    <row r="172">
      <c r="A172" s="72"/>
      <c r="B172" s="54"/>
      <c r="C172" s="67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68"/>
      <c r="R172" s="68"/>
      <c r="S172" s="68"/>
      <c r="T172" s="68"/>
      <c r="U172" s="56"/>
    </row>
    <row r="173">
      <c r="A173" s="72"/>
      <c r="B173" s="54"/>
      <c r="C173" s="67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68"/>
      <c r="R173" s="68"/>
      <c r="S173" s="68"/>
      <c r="T173" s="68"/>
      <c r="U173" s="56"/>
    </row>
    <row r="174">
      <c r="A174" s="72"/>
      <c r="B174" s="54"/>
      <c r="C174" s="67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68"/>
      <c r="R174" s="68"/>
      <c r="S174" s="68"/>
      <c r="T174" s="68"/>
      <c r="U174" s="56"/>
    </row>
    <row r="175">
      <c r="A175" s="72"/>
      <c r="B175" s="54"/>
      <c r="C175" s="67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68"/>
      <c r="R175" s="68"/>
      <c r="S175" s="68"/>
      <c r="T175" s="68"/>
      <c r="U175" s="56"/>
    </row>
    <row r="176">
      <c r="A176" s="72"/>
      <c r="B176" s="54"/>
      <c r="C176" s="67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68"/>
      <c r="R176" s="68"/>
      <c r="S176" s="68"/>
      <c r="T176" s="68"/>
      <c r="U176" s="56"/>
    </row>
    <row r="177">
      <c r="A177" s="72"/>
      <c r="B177" s="54"/>
      <c r="C177" s="67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68"/>
      <c r="R177" s="68"/>
      <c r="S177" s="68"/>
      <c r="T177" s="68"/>
      <c r="U177" s="56"/>
    </row>
    <row r="178">
      <c r="A178" s="72"/>
      <c r="B178" s="54"/>
      <c r="C178" s="67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68"/>
      <c r="R178" s="68"/>
      <c r="S178" s="68"/>
      <c r="T178" s="68"/>
      <c r="U178" s="56"/>
    </row>
    <row r="179">
      <c r="A179" s="72"/>
      <c r="B179" s="54"/>
      <c r="C179" s="67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68"/>
      <c r="R179" s="68"/>
      <c r="S179" s="68"/>
      <c r="T179" s="68"/>
      <c r="U179" s="56"/>
    </row>
    <row r="180">
      <c r="A180" s="72"/>
      <c r="B180" s="54"/>
      <c r="C180" s="67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68"/>
      <c r="R180" s="68"/>
      <c r="S180" s="68"/>
      <c r="T180" s="68"/>
      <c r="U180" s="56"/>
    </row>
    <row r="181">
      <c r="A181" s="72"/>
      <c r="B181" s="54"/>
      <c r="C181" s="67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68"/>
      <c r="R181" s="68"/>
      <c r="S181" s="68"/>
      <c r="T181" s="68"/>
      <c r="U181" s="56"/>
    </row>
    <row r="182">
      <c r="A182" s="72"/>
      <c r="B182" s="54"/>
      <c r="C182" s="67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68"/>
      <c r="R182" s="68"/>
      <c r="S182" s="68"/>
      <c r="T182" s="68"/>
      <c r="U182" s="56"/>
    </row>
    <row r="183">
      <c r="A183" s="72"/>
      <c r="B183" s="54"/>
      <c r="C183" s="67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68"/>
      <c r="R183" s="68"/>
      <c r="S183" s="68"/>
      <c r="T183" s="68"/>
      <c r="U183" s="56"/>
    </row>
    <row r="184">
      <c r="A184" s="72"/>
      <c r="B184" s="54"/>
      <c r="C184" s="67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68"/>
      <c r="R184" s="68"/>
      <c r="S184" s="68"/>
      <c r="T184" s="68"/>
      <c r="U184" s="56"/>
    </row>
    <row r="185">
      <c r="A185" s="72"/>
      <c r="B185" s="54"/>
      <c r="C185" s="67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68"/>
      <c r="R185" s="68"/>
      <c r="S185" s="68"/>
      <c r="T185" s="68"/>
      <c r="U185" s="56"/>
    </row>
    <row r="186">
      <c r="A186" s="72"/>
      <c r="B186" s="54"/>
      <c r="C186" s="67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68"/>
      <c r="R186" s="68"/>
      <c r="S186" s="68"/>
      <c r="T186" s="68"/>
      <c r="U186" s="56"/>
    </row>
    <row r="187">
      <c r="A187" s="72"/>
      <c r="B187" s="54"/>
      <c r="C187" s="67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68"/>
      <c r="R187" s="68"/>
      <c r="S187" s="68"/>
      <c r="T187" s="68"/>
      <c r="U187" s="56"/>
    </row>
    <row r="188">
      <c r="A188" s="72"/>
      <c r="B188" s="54"/>
      <c r="C188" s="67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68"/>
      <c r="R188" s="68"/>
      <c r="S188" s="68"/>
      <c r="T188" s="68"/>
      <c r="U188" s="56"/>
    </row>
    <row r="189">
      <c r="A189" s="72"/>
      <c r="B189" s="54"/>
      <c r="C189" s="67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68"/>
      <c r="R189" s="68"/>
      <c r="S189" s="68"/>
      <c r="T189" s="68"/>
      <c r="U189" s="56"/>
    </row>
    <row r="190">
      <c r="A190" s="72"/>
      <c r="B190" s="54"/>
      <c r="C190" s="67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68"/>
      <c r="R190" s="68"/>
      <c r="S190" s="68"/>
      <c r="T190" s="68"/>
      <c r="U190" s="56"/>
    </row>
    <row r="191">
      <c r="A191" s="72"/>
      <c r="B191" s="54"/>
      <c r="C191" s="67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68"/>
      <c r="R191" s="68"/>
      <c r="S191" s="68"/>
      <c r="T191" s="68"/>
      <c r="U191" s="56"/>
    </row>
    <row r="192">
      <c r="A192" s="72"/>
      <c r="B192" s="54"/>
      <c r="C192" s="67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68"/>
      <c r="R192" s="68"/>
      <c r="S192" s="68"/>
      <c r="T192" s="68"/>
      <c r="U192" s="56"/>
    </row>
    <row r="193">
      <c r="A193" s="72"/>
      <c r="B193" s="54"/>
      <c r="C193" s="67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68"/>
      <c r="R193" s="68"/>
      <c r="S193" s="68"/>
      <c r="T193" s="68"/>
      <c r="U193" s="56"/>
    </row>
    <row r="194">
      <c r="A194" s="72"/>
      <c r="B194" s="54"/>
      <c r="C194" s="67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68"/>
      <c r="R194" s="68"/>
      <c r="S194" s="68"/>
      <c r="T194" s="68"/>
      <c r="U194" s="56"/>
    </row>
    <row r="195">
      <c r="A195" s="72"/>
      <c r="B195" s="54"/>
      <c r="C195" s="67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68"/>
      <c r="R195" s="68"/>
      <c r="S195" s="68"/>
      <c r="T195" s="68"/>
      <c r="U195" s="56"/>
    </row>
    <row r="196">
      <c r="A196" s="72"/>
      <c r="B196" s="54"/>
      <c r="C196" s="67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68"/>
      <c r="R196" s="68"/>
      <c r="S196" s="68"/>
      <c r="T196" s="68"/>
      <c r="U196" s="56"/>
    </row>
    <row r="197">
      <c r="A197" s="72"/>
      <c r="B197" s="54"/>
      <c r="C197" s="67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68"/>
      <c r="R197" s="68"/>
      <c r="S197" s="68"/>
      <c r="T197" s="68"/>
      <c r="U197" s="56"/>
    </row>
    <row r="198">
      <c r="A198" s="72"/>
      <c r="B198" s="54"/>
      <c r="C198" s="67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68"/>
      <c r="R198" s="68"/>
      <c r="S198" s="68"/>
      <c r="T198" s="68"/>
      <c r="U198" s="56"/>
    </row>
    <row r="199">
      <c r="A199" s="72"/>
      <c r="B199" s="54"/>
      <c r="C199" s="67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68"/>
      <c r="R199" s="68"/>
      <c r="S199" s="68"/>
      <c r="T199" s="68"/>
      <c r="U199" s="56"/>
    </row>
    <row r="200">
      <c r="A200" s="72"/>
      <c r="B200" s="54"/>
      <c r="C200" s="67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68"/>
      <c r="R200" s="68"/>
      <c r="S200" s="68"/>
      <c r="T200" s="68"/>
      <c r="U200" s="56"/>
    </row>
    <row r="201">
      <c r="A201" s="72"/>
      <c r="B201" s="54"/>
      <c r="C201" s="67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68"/>
      <c r="R201" s="68"/>
      <c r="S201" s="68"/>
      <c r="T201" s="68"/>
      <c r="U201" s="56"/>
    </row>
    <row r="202">
      <c r="A202" s="72"/>
      <c r="B202" s="54"/>
      <c r="C202" s="67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68"/>
      <c r="R202" s="68"/>
      <c r="S202" s="68"/>
      <c r="T202" s="68"/>
      <c r="U202" s="56"/>
    </row>
    <row r="203">
      <c r="A203" s="72"/>
      <c r="B203" s="54"/>
      <c r="C203" s="67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68"/>
      <c r="R203" s="68"/>
      <c r="S203" s="68"/>
      <c r="T203" s="68"/>
      <c r="U203" s="56"/>
    </row>
    <row r="204">
      <c r="A204" s="72"/>
      <c r="B204" s="54"/>
      <c r="C204" s="67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68"/>
      <c r="R204" s="68"/>
      <c r="S204" s="68"/>
      <c r="T204" s="68"/>
      <c r="U204" s="56"/>
    </row>
    <row r="205">
      <c r="A205" s="72"/>
      <c r="B205" s="54"/>
      <c r="C205" s="67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68"/>
      <c r="R205" s="68"/>
      <c r="S205" s="68"/>
      <c r="T205" s="68"/>
      <c r="U205" s="56"/>
    </row>
    <row r="206">
      <c r="A206" s="72"/>
      <c r="B206" s="54"/>
      <c r="C206" s="67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68"/>
      <c r="R206" s="68"/>
      <c r="S206" s="68"/>
      <c r="T206" s="68"/>
      <c r="U206" s="56"/>
    </row>
    <row r="207">
      <c r="A207" s="72"/>
      <c r="B207" s="54"/>
      <c r="C207" s="67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68"/>
      <c r="R207" s="68"/>
      <c r="S207" s="68"/>
      <c r="T207" s="68"/>
      <c r="U207" s="56"/>
    </row>
    <row r="208">
      <c r="A208" s="72"/>
      <c r="B208" s="54"/>
      <c r="C208" s="67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68"/>
      <c r="R208" s="68"/>
      <c r="S208" s="68"/>
      <c r="T208" s="68"/>
      <c r="U208" s="56"/>
    </row>
    <row r="209">
      <c r="A209" s="72"/>
      <c r="B209" s="54"/>
      <c r="C209" s="67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68"/>
      <c r="R209" s="68"/>
      <c r="S209" s="68"/>
      <c r="T209" s="68"/>
      <c r="U209" s="56"/>
    </row>
    <row r="210">
      <c r="A210" s="72"/>
      <c r="B210" s="54"/>
      <c r="C210" s="67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68"/>
      <c r="R210" s="68"/>
      <c r="S210" s="68"/>
      <c r="T210" s="68"/>
      <c r="U210" s="56"/>
    </row>
    <row r="211">
      <c r="A211" s="72"/>
      <c r="B211" s="54"/>
      <c r="C211" s="67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68"/>
      <c r="R211" s="68"/>
      <c r="S211" s="68"/>
      <c r="T211" s="68"/>
      <c r="U211" s="56"/>
    </row>
    <row r="212">
      <c r="A212" s="72"/>
      <c r="B212" s="54"/>
      <c r="C212" s="67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68"/>
      <c r="R212" s="68"/>
      <c r="S212" s="68"/>
      <c r="T212" s="68"/>
      <c r="U212" s="56"/>
    </row>
    <row r="213">
      <c r="A213" s="72"/>
      <c r="B213" s="54"/>
      <c r="C213" s="67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68"/>
      <c r="R213" s="68"/>
      <c r="S213" s="68"/>
      <c r="T213" s="68"/>
      <c r="U213" s="56"/>
    </row>
    <row r="214">
      <c r="A214" s="72"/>
      <c r="B214" s="54"/>
      <c r="C214" s="67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68"/>
      <c r="R214" s="68"/>
      <c r="S214" s="68"/>
      <c r="T214" s="68"/>
      <c r="U214" s="56"/>
    </row>
    <row r="215">
      <c r="A215" s="72"/>
      <c r="B215" s="54"/>
      <c r="C215" s="67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68"/>
      <c r="R215" s="68"/>
      <c r="S215" s="68"/>
      <c r="T215" s="68"/>
      <c r="U215" s="56"/>
    </row>
    <row r="216">
      <c r="A216" s="72"/>
      <c r="B216" s="54"/>
      <c r="C216" s="67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68"/>
      <c r="R216" s="68"/>
      <c r="S216" s="68"/>
      <c r="T216" s="68"/>
      <c r="U216" s="56"/>
    </row>
    <row r="217">
      <c r="A217" s="72"/>
      <c r="B217" s="54"/>
      <c r="C217" s="67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68"/>
      <c r="R217" s="68"/>
      <c r="S217" s="68"/>
      <c r="T217" s="68"/>
      <c r="U217" s="56"/>
    </row>
    <row r="218">
      <c r="A218" s="72"/>
      <c r="B218" s="54"/>
      <c r="C218" s="67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68"/>
      <c r="R218" s="68"/>
      <c r="S218" s="68"/>
      <c r="T218" s="68"/>
      <c r="U218" s="56"/>
    </row>
    <row r="219">
      <c r="A219" s="72"/>
      <c r="B219" s="54"/>
      <c r="C219" s="67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68"/>
      <c r="R219" s="68"/>
      <c r="S219" s="68"/>
      <c r="T219" s="68"/>
      <c r="U219" s="56"/>
    </row>
    <row r="220">
      <c r="A220" s="72"/>
      <c r="B220" s="54"/>
      <c r="C220" s="67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68"/>
      <c r="R220" s="68"/>
      <c r="S220" s="68"/>
      <c r="T220" s="68"/>
      <c r="U220" s="56"/>
    </row>
    <row r="221">
      <c r="A221" s="72"/>
      <c r="B221" s="54"/>
      <c r="C221" s="67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68"/>
      <c r="R221" s="68"/>
      <c r="S221" s="68"/>
      <c r="T221" s="68"/>
      <c r="U221" s="56"/>
    </row>
    <row r="222">
      <c r="A222" s="72"/>
      <c r="B222" s="54"/>
      <c r="C222" s="67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68"/>
      <c r="R222" s="68"/>
      <c r="S222" s="68"/>
      <c r="T222" s="68"/>
      <c r="U222" s="56"/>
    </row>
    <row r="223">
      <c r="A223" s="72"/>
      <c r="B223" s="54"/>
      <c r="C223" s="67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68"/>
      <c r="R223" s="68"/>
      <c r="S223" s="68"/>
      <c r="T223" s="68"/>
      <c r="U223" s="56"/>
    </row>
    <row r="224">
      <c r="A224" s="72"/>
      <c r="B224" s="54"/>
      <c r="C224" s="67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68"/>
      <c r="R224" s="68"/>
      <c r="S224" s="68"/>
      <c r="T224" s="68"/>
      <c r="U224" s="56"/>
    </row>
    <row r="225">
      <c r="A225" s="72"/>
      <c r="B225" s="54"/>
      <c r="C225" s="67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68"/>
      <c r="R225" s="68"/>
      <c r="S225" s="68"/>
      <c r="T225" s="68"/>
      <c r="U225" s="56"/>
    </row>
    <row r="226">
      <c r="A226" s="72"/>
      <c r="B226" s="54"/>
      <c r="C226" s="67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68"/>
      <c r="R226" s="68"/>
      <c r="S226" s="68"/>
      <c r="T226" s="68"/>
      <c r="U226" s="56"/>
    </row>
    <row r="227">
      <c r="A227" s="72"/>
      <c r="B227" s="54"/>
      <c r="C227" s="67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68"/>
      <c r="R227" s="68"/>
      <c r="S227" s="68"/>
      <c r="T227" s="68"/>
      <c r="U227" s="56"/>
    </row>
    <row r="228">
      <c r="A228" s="72"/>
      <c r="B228" s="54"/>
      <c r="C228" s="67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68"/>
      <c r="R228" s="68"/>
      <c r="S228" s="68"/>
      <c r="T228" s="68"/>
      <c r="U228" s="56"/>
    </row>
    <row r="229">
      <c r="A229" s="72"/>
      <c r="B229" s="54"/>
      <c r="C229" s="67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68"/>
      <c r="R229" s="68"/>
      <c r="S229" s="68"/>
      <c r="T229" s="68"/>
      <c r="U229" s="56"/>
    </row>
    <row r="230">
      <c r="A230" s="72"/>
      <c r="B230" s="54"/>
      <c r="C230" s="67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68"/>
      <c r="R230" s="68"/>
      <c r="S230" s="68"/>
      <c r="T230" s="68"/>
      <c r="U230" s="56"/>
    </row>
    <row r="231">
      <c r="A231" s="72"/>
      <c r="B231" s="54"/>
      <c r="C231" s="67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68"/>
      <c r="R231" s="68"/>
      <c r="S231" s="68"/>
      <c r="T231" s="68"/>
      <c r="U231" s="56"/>
    </row>
    <row r="232">
      <c r="A232" s="72"/>
      <c r="B232" s="54"/>
      <c r="C232" s="67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68"/>
      <c r="R232" s="68"/>
      <c r="S232" s="68"/>
      <c r="T232" s="68"/>
      <c r="U232" s="56"/>
    </row>
    <row r="233">
      <c r="A233" s="72"/>
      <c r="B233" s="54"/>
      <c r="C233" s="67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68"/>
      <c r="R233" s="68"/>
      <c r="S233" s="68"/>
      <c r="T233" s="68"/>
      <c r="U233" s="56"/>
    </row>
    <row r="234">
      <c r="A234" s="72"/>
      <c r="B234" s="54"/>
      <c r="C234" s="67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68"/>
      <c r="R234" s="68"/>
      <c r="S234" s="68"/>
      <c r="T234" s="68"/>
      <c r="U234" s="56"/>
    </row>
    <row r="235">
      <c r="A235" s="72"/>
      <c r="B235" s="54"/>
      <c r="C235" s="67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68"/>
      <c r="R235" s="68"/>
      <c r="S235" s="68"/>
      <c r="T235" s="68"/>
      <c r="U235" s="56"/>
    </row>
    <row r="236">
      <c r="A236" s="72"/>
      <c r="B236" s="54"/>
      <c r="C236" s="67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68"/>
      <c r="R236" s="68"/>
      <c r="S236" s="68"/>
      <c r="T236" s="68"/>
      <c r="U236" s="56"/>
    </row>
    <row r="237">
      <c r="A237" s="72"/>
      <c r="B237" s="54"/>
      <c r="C237" s="67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68"/>
      <c r="R237" s="68"/>
      <c r="S237" s="68"/>
      <c r="T237" s="68"/>
      <c r="U237" s="56"/>
    </row>
    <row r="238">
      <c r="A238" s="72"/>
      <c r="B238" s="54"/>
      <c r="C238" s="67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68"/>
      <c r="R238" s="68"/>
      <c r="S238" s="68"/>
      <c r="T238" s="68"/>
      <c r="U238" s="56"/>
    </row>
    <row r="239">
      <c r="A239" s="72"/>
      <c r="B239" s="54"/>
      <c r="C239" s="67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68"/>
      <c r="R239" s="68"/>
      <c r="S239" s="68"/>
      <c r="T239" s="68"/>
      <c r="U239" s="56"/>
    </row>
    <row r="240">
      <c r="A240" s="72"/>
      <c r="B240" s="54"/>
      <c r="C240" s="67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68"/>
      <c r="R240" s="68"/>
      <c r="S240" s="68"/>
      <c r="T240" s="68"/>
      <c r="U240" s="56"/>
    </row>
    <row r="241">
      <c r="A241" s="72"/>
      <c r="B241" s="54"/>
      <c r="C241" s="67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68"/>
      <c r="R241" s="68"/>
      <c r="S241" s="68"/>
      <c r="T241" s="68"/>
      <c r="U241" s="56"/>
    </row>
    <row r="242">
      <c r="A242" s="72"/>
      <c r="B242" s="54"/>
      <c r="C242" s="67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68"/>
      <c r="R242" s="68"/>
      <c r="S242" s="68"/>
      <c r="T242" s="68"/>
      <c r="U242" s="56"/>
    </row>
    <row r="243">
      <c r="A243" s="72"/>
      <c r="B243" s="54"/>
      <c r="C243" s="67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68"/>
      <c r="R243" s="68"/>
      <c r="S243" s="68"/>
      <c r="T243" s="68"/>
      <c r="U243" s="56"/>
    </row>
    <row r="244">
      <c r="A244" s="72"/>
      <c r="B244" s="54"/>
      <c r="C244" s="67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68"/>
      <c r="R244" s="68"/>
      <c r="S244" s="68"/>
      <c r="T244" s="68"/>
      <c r="U244" s="56"/>
    </row>
    <row r="245">
      <c r="A245" s="72"/>
      <c r="B245" s="54"/>
      <c r="C245" s="67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68"/>
      <c r="R245" s="68"/>
      <c r="S245" s="68"/>
      <c r="T245" s="68"/>
      <c r="U245" s="56"/>
    </row>
    <row r="246">
      <c r="A246" s="72"/>
      <c r="B246" s="54"/>
      <c r="C246" s="67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68"/>
      <c r="R246" s="68"/>
      <c r="S246" s="68"/>
      <c r="T246" s="68"/>
      <c r="U246" s="56"/>
    </row>
    <row r="247">
      <c r="A247" s="72"/>
      <c r="B247" s="54"/>
      <c r="C247" s="67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68"/>
      <c r="R247" s="68"/>
      <c r="S247" s="68"/>
      <c r="T247" s="68"/>
      <c r="U247" s="56"/>
    </row>
    <row r="248">
      <c r="A248" s="72"/>
      <c r="B248" s="54"/>
      <c r="C248" s="67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68"/>
      <c r="R248" s="68"/>
      <c r="S248" s="68"/>
      <c r="T248" s="68"/>
      <c r="U248" s="56"/>
    </row>
    <row r="249">
      <c r="A249" s="72"/>
      <c r="B249" s="54"/>
      <c r="C249" s="67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68"/>
      <c r="R249" s="68"/>
      <c r="S249" s="68"/>
      <c r="T249" s="68"/>
      <c r="U249" s="56"/>
    </row>
    <row r="250">
      <c r="A250" s="72"/>
      <c r="B250" s="54"/>
      <c r="C250" s="67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68"/>
      <c r="R250" s="68"/>
      <c r="S250" s="68"/>
      <c r="T250" s="68"/>
      <c r="U250" s="56"/>
    </row>
    <row r="251">
      <c r="A251" s="72"/>
      <c r="B251" s="54"/>
      <c r="C251" s="67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68"/>
      <c r="R251" s="68"/>
      <c r="S251" s="68"/>
      <c r="T251" s="68"/>
      <c r="U251" s="56"/>
    </row>
    <row r="252">
      <c r="A252" s="72"/>
      <c r="B252" s="54"/>
      <c r="C252" s="67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68"/>
      <c r="R252" s="68"/>
      <c r="S252" s="68"/>
      <c r="T252" s="68"/>
      <c r="U252" s="56"/>
    </row>
    <row r="253">
      <c r="A253" s="72"/>
      <c r="B253" s="54"/>
      <c r="C253" s="67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68"/>
      <c r="R253" s="68"/>
      <c r="S253" s="68"/>
      <c r="T253" s="68"/>
      <c r="U253" s="56"/>
    </row>
    <row r="254">
      <c r="A254" s="72"/>
      <c r="B254" s="54"/>
      <c r="C254" s="67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68"/>
      <c r="R254" s="68"/>
      <c r="S254" s="68"/>
      <c r="T254" s="68"/>
      <c r="U254" s="56"/>
    </row>
    <row r="255">
      <c r="A255" s="72"/>
      <c r="B255" s="54"/>
      <c r="C255" s="67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68"/>
      <c r="R255" s="68"/>
      <c r="S255" s="68"/>
      <c r="T255" s="68"/>
      <c r="U255" s="56"/>
    </row>
    <row r="256">
      <c r="A256" s="72"/>
      <c r="B256" s="54"/>
      <c r="C256" s="67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68"/>
      <c r="R256" s="68"/>
      <c r="S256" s="68"/>
      <c r="T256" s="68"/>
      <c r="U256" s="56"/>
    </row>
    <row r="257">
      <c r="A257" s="72"/>
      <c r="B257" s="54"/>
      <c r="C257" s="67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68"/>
      <c r="R257" s="68"/>
      <c r="S257" s="68"/>
      <c r="T257" s="68"/>
      <c r="U257" s="56"/>
    </row>
    <row r="258">
      <c r="A258" s="72"/>
      <c r="B258" s="54"/>
      <c r="C258" s="67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68"/>
      <c r="R258" s="68"/>
      <c r="S258" s="68"/>
      <c r="T258" s="68"/>
      <c r="U258" s="56"/>
    </row>
    <row r="259">
      <c r="A259" s="72"/>
      <c r="B259" s="54"/>
      <c r="C259" s="67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68"/>
      <c r="R259" s="68"/>
      <c r="S259" s="68"/>
      <c r="T259" s="68"/>
      <c r="U259" s="56"/>
    </row>
    <row r="260">
      <c r="A260" s="72"/>
      <c r="B260" s="54"/>
      <c r="C260" s="67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68"/>
      <c r="R260" s="68"/>
      <c r="S260" s="68"/>
      <c r="T260" s="68"/>
      <c r="U260" s="56"/>
    </row>
    <row r="261">
      <c r="A261" s="72"/>
      <c r="B261" s="54"/>
      <c r="C261" s="67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68"/>
      <c r="R261" s="68"/>
      <c r="S261" s="68"/>
      <c r="T261" s="68"/>
      <c r="U261" s="56"/>
    </row>
    <row r="262">
      <c r="A262" s="72"/>
      <c r="B262" s="54"/>
      <c r="C262" s="67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68"/>
      <c r="R262" s="68"/>
      <c r="S262" s="68"/>
      <c r="T262" s="68"/>
      <c r="U262" s="56"/>
    </row>
    <row r="263">
      <c r="A263" s="72"/>
      <c r="B263" s="54"/>
      <c r="C263" s="67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68"/>
      <c r="R263" s="68"/>
      <c r="S263" s="68"/>
      <c r="T263" s="68"/>
      <c r="U263" s="56"/>
    </row>
    <row r="264">
      <c r="A264" s="72"/>
      <c r="B264" s="54"/>
      <c r="C264" s="67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68"/>
      <c r="R264" s="68"/>
      <c r="S264" s="68"/>
      <c r="T264" s="68"/>
      <c r="U264" s="56"/>
    </row>
    <row r="265">
      <c r="A265" s="72"/>
      <c r="B265" s="54"/>
      <c r="C265" s="67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68"/>
      <c r="R265" s="68"/>
      <c r="S265" s="68"/>
      <c r="T265" s="68"/>
      <c r="U265" s="56"/>
    </row>
    <row r="266">
      <c r="A266" s="72"/>
      <c r="B266" s="54"/>
      <c r="C266" s="67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68"/>
      <c r="R266" s="68"/>
      <c r="S266" s="68"/>
      <c r="T266" s="68"/>
      <c r="U266" s="56"/>
    </row>
    <row r="267">
      <c r="A267" s="72"/>
      <c r="B267" s="54"/>
      <c r="C267" s="67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68"/>
      <c r="R267" s="68"/>
      <c r="S267" s="68"/>
      <c r="T267" s="68"/>
      <c r="U267" s="56"/>
    </row>
    <row r="268">
      <c r="A268" s="72"/>
      <c r="B268" s="54"/>
      <c r="C268" s="67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68"/>
      <c r="R268" s="68"/>
      <c r="S268" s="68"/>
      <c r="T268" s="68"/>
      <c r="U268" s="56"/>
    </row>
    <row r="269">
      <c r="A269" s="72"/>
      <c r="B269" s="54"/>
      <c r="C269" s="67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68"/>
      <c r="R269" s="68"/>
      <c r="S269" s="68"/>
      <c r="T269" s="68"/>
      <c r="U269" s="56"/>
    </row>
    <row r="270">
      <c r="A270" s="72"/>
      <c r="B270" s="54"/>
      <c r="C270" s="67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68"/>
      <c r="R270" s="68"/>
      <c r="S270" s="68"/>
      <c r="T270" s="68"/>
      <c r="U270" s="56"/>
    </row>
    <row r="271">
      <c r="A271" s="72"/>
      <c r="B271" s="54"/>
      <c r="C271" s="67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68"/>
      <c r="R271" s="68"/>
      <c r="S271" s="68"/>
      <c r="T271" s="68"/>
      <c r="U271" s="56"/>
    </row>
    <row r="272">
      <c r="A272" s="72"/>
      <c r="B272" s="54"/>
      <c r="C272" s="67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68"/>
      <c r="R272" s="68"/>
      <c r="S272" s="68"/>
      <c r="T272" s="68"/>
      <c r="U272" s="56"/>
    </row>
    <row r="273">
      <c r="A273" s="72"/>
      <c r="B273" s="54"/>
      <c r="C273" s="67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68"/>
      <c r="R273" s="68"/>
      <c r="S273" s="68"/>
      <c r="T273" s="68"/>
      <c r="U273" s="56"/>
    </row>
    <row r="274">
      <c r="A274" s="72"/>
      <c r="B274" s="54"/>
      <c r="C274" s="67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68"/>
      <c r="R274" s="68"/>
      <c r="S274" s="68"/>
      <c r="T274" s="68"/>
      <c r="U274" s="56"/>
    </row>
    <row r="275">
      <c r="A275" s="72"/>
      <c r="B275" s="54"/>
      <c r="C275" s="67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68"/>
      <c r="R275" s="68"/>
      <c r="S275" s="68"/>
      <c r="T275" s="68"/>
      <c r="U275" s="56"/>
    </row>
    <row r="276">
      <c r="A276" s="72"/>
      <c r="B276" s="54"/>
      <c r="C276" s="67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68"/>
      <c r="R276" s="68"/>
      <c r="S276" s="68"/>
      <c r="T276" s="68"/>
      <c r="U276" s="56"/>
    </row>
    <row r="277">
      <c r="A277" s="72"/>
      <c r="B277" s="54"/>
      <c r="C277" s="67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68"/>
      <c r="R277" s="68"/>
      <c r="S277" s="68"/>
      <c r="T277" s="68"/>
      <c r="U277" s="56"/>
    </row>
    <row r="278">
      <c r="A278" s="72"/>
      <c r="B278" s="54"/>
      <c r="C278" s="67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68"/>
      <c r="R278" s="68"/>
      <c r="S278" s="68"/>
      <c r="T278" s="68"/>
      <c r="U278" s="56"/>
    </row>
    <row r="279">
      <c r="A279" s="72"/>
      <c r="B279" s="54"/>
      <c r="C279" s="67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68"/>
      <c r="R279" s="68"/>
      <c r="S279" s="68"/>
      <c r="T279" s="68"/>
      <c r="U279" s="56"/>
    </row>
    <row r="280">
      <c r="A280" s="72"/>
      <c r="B280" s="54"/>
      <c r="C280" s="67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68"/>
      <c r="R280" s="68"/>
      <c r="S280" s="68"/>
      <c r="T280" s="68"/>
      <c r="U280" s="56"/>
    </row>
    <row r="281">
      <c r="A281" s="72"/>
      <c r="B281" s="54"/>
      <c r="C281" s="67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68"/>
      <c r="R281" s="68"/>
      <c r="S281" s="68"/>
      <c r="T281" s="68"/>
      <c r="U281" s="56"/>
    </row>
    <row r="282">
      <c r="A282" s="72"/>
      <c r="B282" s="54"/>
      <c r="C282" s="67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68"/>
      <c r="R282" s="68"/>
      <c r="S282" s="68"/>
      <c r="T282" s="68"/>
      <c r="U282" s="56"/>
    </row>
    <row r="283">
      <c r="A283" s="72"/>
      <c r="B283" s="54"/>
      <c r="C283" s="67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68"/>
      <c r="R283" s="68"/>
      <c r="S283" s="68"/>
      <c r="T283" s="68"/>
      <c r="U283" s="56"/>
    </row>
    <row r="284">
      <c r="A284" s="72"/>
      <c r="B284" s="54"/>
      <c r="C284" s="67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68"/>
      <c r="R284" s="68"/>
      <c r="S284" s="68"/>
      <c r="T284" s="68"/>
      <c r="U284" s="56"/>
    </row>
    <row r="285">
      <c r="A285" s="72"/>
      <c r="B285" s="54"/>
      <c r="C285" s="67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68"/>
      <c r="R285" s="68"/>
      <c r="S285" s="68"/>
      <c r="T285" s="68"/>
      <c r="U285" s="56"/>
    </row>
    <row r="286">
      <c r="A286" s="72"/>
      <c r="B286" s="54"/>
      <c r="C286" s="67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68"/>
      <c r="R286" s="68"/>
      <c r="S286" s="68"/>
      <c r="T286" s="68"/>
      <c r="U286" s="56"/>
    </row>
    <row r="287">
      <c r="A287" s="72"/>
      <c r="B287" s="54"/>
      <c r="C287" s="67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68"/>
      <c r="R287" s="68"/>
      <c r="S287" s="68"/>
      <c r="T287" s="68"/>
      <c r="U287" s="56"/>
    </row>
    <row r="288">
      <c r="A288" s="72"/>
      <c r="B288" s="54"/>
      <c r="C288" s="67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68"/>
      <c r="R288" s="68"/>
      <c r="S288" s="68"/>
      <c r="T288" s="68"/>
      <c r="U288" s="56"/>
    </row>
    <row r="289">
      <c r="A289" s="72"/>
      <c r="B289" s="54"/>
      <c r="C289" s="67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68"/>
      <c r="R289" s="68"/>
      <c r="S289" s="68"/>
      <c r="T289" s="68"/>
      <c r="U289" s="56"/>
    </row>
    <row r="290">
      <c r="A290" s="72"/>
      <c r="B290" s="54"/>
      <c r="C290" s="67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68"/>
      <c r="R290" s="68"/>
      <c r="S290" s="68"/>
      <c r="T290" s="68"/>
      <c r="U290" s="56"/>
    </row>
    <row r="291">
      <c r="A291" s="72"/>
      <c r="B291" s="54"/>
      <c r="C291" s="67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68"/>
      <c r="R291" s="68"/>
      <c r="S291" s="68"/>
      <c r="T291" s="68"/>
      <c r="U291" s="56"/>
    </row>
    <row r="292">
      <c r="A292" s="72"/>
      <c r="B292" s="54"/>
      <c r="C292" s="67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68"/>
      <c r="R292" s="68"/>
      <c r="S292" s="68"/>
      <c r="T292" s="68"/>
      <c r="U292" s="56"/>
    </row>
    <row r="293">
      <c r="A293" s="72"/>
      <c r="B293" s="54"/>
      <c r="C293" s="67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68"/>
      <c r="R293" s="68"/>
      <c r="S293" s="68"/>
      <c r="T293" s="68"/>
      <c r="U293" s="56"/>
    </row>
    <row r="294">
      <c r="A294" s="72"/>
      <c r="B294" s="54"/>
      <c r="C294" s="67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68"/>
      <c r="R294" s="68"/>
      <c r="S294" s="68"/>
      <c r="T294" s="68"/>
      <c r="U294" s="56"/>
    </row>
    <row r="295">
      <c r="A295" s="72"/>
      <c r="B295" s="54"/>
      <c r="C295" s="67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68"/>
      <c r="R295" s="68"/>
      <c r="S295" s="68"/>
      <c r="T295" s="68"/>
      <c r="U295" s="56"/>
    </row>
    <row r="296">
      <c r="A296" s="72"/>
      <c r="B296" s="54"/>
      <c r="C296" s="67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68"/>
      <c r="R296" s="68"/>
      <c r="S296" s="68"/>
      <c r="T296" s="68"/>
      <c r="U296" s="56"/>
    </row>
    <row r="297">
      <c r="A297" s="72"/>
      <c r="B297" s="54"/>
      <c r="C297" s="67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68"/>
      <c r="R297" s="68"/>
      <c r="S297" s="68"/>
      <c r="T297" s="68"/>
      <c r="U297" s="56"/>
    </row>
    <row r="298">
      <c r="A298" s="72"/>
      <c r="B298" s="54"/>
      <c r="C298" s="67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68"/>
      <c r="R298" s="68"/>
      <c r="S298" s="68"/>
      <c r="T298" s="68"/>
      <c r="U298" s="56"/>
    </row>
    <row r="299">
      <c r="A299" s="72"/>
      <c r="B299" s="54"/>
      <c r="C299" s="67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68"/>
      <c r="R299" s="68"/>
      <c r="S299" s="68"/>
      <c r="T299" s="68"/>
      <c r="U299" s="56"/>
    </row>
    <row r="300">
      <c r="A300" s="72"/>
      <c r="B300" s="54"/>
      <c r="C300" s="67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68"/>
      <c r="R300" s="68"/>
      <c r="S300" s="68"/>
      <c r="T300" s="68"/>
      <c r="U300" s="56"/>
    </row>
    <row r="301">
      <c r="A301" s="72"/>
      <c r="B301" s="54"/>
      <c r="C301" s="67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68"/>
      <c r="R301" s="68"/>
      <c r="S301" s="68"/>
      <c r="T301" s="68"/>
      <c r="U301" s="56"/>
    </row>
    <row r="302">
      <c r="A302" s="72"/>
      <c r="B302" s="54"/>
      <c r="C302" s="67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68"/>
      <c r="R302" s="68"/>
      <c r="S302" s="68"/>
      <c r="T302" s="68"/>
      <c r="U302" s="56"/>
    </row>
    <row r="303">
      <c r="A303" s="72"/>
      <c r="B303" s="54"/>
      <c r="C303" s="67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68"/>
      <c r="R303" s="68"/>
      <c r="S303" s="68"/>
      <c r="T303" s="68"/>
      <c r="U303" s="56"/>
    </row>
    <row r="304">
      <c r="A304" s="72"/>
      <c r="B304" s="54"/>
      <c r="C304" s="67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68"/>
      <c r="R304" s="68"/>
      <c r="S304" s="68"/>
      <c r="T304" s="68"/>
      <c r="U304" s="56"/>
    </row>
    <row r="305">
      <c r="A305" s="72"/>
      <c r="B305" s="54"/>
      <c r="C305" s="67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68"/>
      <c r="R305" s="68"/>
      <c r="S305" s="68"/>
      <c r="T305" s="68"/>
      <c r="U305" s="56"/>
    </row>
    <row r="306">
      <c r="A306" s="72"/>
      <c r="B306" s="54"/>
      <c r="C306" s="67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68"/>
      <c r="R306" s="68"/>
      <c r="S306" s="68"/>
      <c r="T306" s="68"/>
      <c r="U306" s="56"/>
    </row>
    <row r="307">
      <c r="A307" s="72"/>
      <c r="B307" s="54"/>
      <c r="C307" s="67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68"/>
      <c r="R307" s="68"/>
      <c r="S307" s="68"/>
      <c r="T307" s="68"/>
      <c r="U307" s="56"/>
    </row>
    <row r="308">
      <c r="A308" s="72"/>
      <c r="B308" s="54"/>
      <c r="C308" s="67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68"/>
      <c r="R308" s="68"/>
      <c r="S308" s="68"/>
      <c r="T308" s="68"/>
      <c r="U308" s="56"/>
    </row>
    <row r="309">
      <c r="A309" s="72"/>
      <c r="B309" s="54"/>
      <c r="C309" s="67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68"/>
      <c r="R309" s="68"/>
      <c r="S309" s="68"/>
      <c r="T309" s="68"/>
      <c r="U309" s="56"/>
    </row>
    <row r="310">
      <c r="A310" s="72"/>
      <c r="B310" s="54"/>
      <c r="C310" s="67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68"/>
      <c r="R310" s="68"/>
      <c r="S310" s="68"/>
      <c r="T310" s="68"/>
      <c r="U310" s="56"/>
    </row>
    <row r="311">
      <c r="A311" s="72"/>
      <c r="B311" s="54"/>
      <c r="C311" s="67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68"/>
      <c r="R311" s="68"/>
      <c r="S311" s="68"/>
      <c r="T311" s="68"/>
      <c r="U311" s="56"/>
    </row>
    <row r="312">
      <c r="A312" s="72"/>
      <c r="B312" s="54"/>
      <c r="C312" s="67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68"/>
      <c r="R312" s="68"/>
      <c r="S312" s="68"/>
      <c r="T312" s="68"/>
      <c r="U312" s="56"/>
    </row>
    <row r="313">
      <c r="A313" s="72"/>
      <c r="B313" s="54"/>
      <c r="C313" s="67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68"/>
      <c r="R313" s="68"/>
      <c r="S313" s="68"/>
      <c r="T313" s="68"/>
      <c r="U313" s="56"/>
    </row>
    <row r="314">
      <c r="A314" s="72"/>
      <c r="B314" s="54"/>
      <c r="C314" s="67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68"/>
      <c r="R314" s="68"/>
      <c r="S314" s="68"/>
      <c r="T314" s="68"/>
      <c r="U314" s="56"/>
    </row>
    <row r="315">
      <c r="A315" s="72"/>
      <c r="B315" s="54"/>
      <c r="C315" s="67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68"/>
      <c r="R315" s="68"/>
      <c r="S315" s="68"/>
      <c r="T315" s="68"/>
      <c r="U315" s="56"/>
    </row>
    <row r="316">
      <c r="A316" s="72"/>
      <c r="B316" s="54"/>
      <c r="C316" s="67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68"/>
      <c r="R316" s="68"/>
      <c r="S316" s="68"/>
      <c r="T316" s="68"/>
      <c r="U316" s="56"/>
    </row>
    <row r="317">
      <c r="A317" s="72"/>
      <c r="B317" s="54"/>
      <c r="C317" s="67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68"/>
      <c r="R317" s="68"/>
      <c r="S317" s="68"/>
      <c r="T317" s="68"/>
      <c r="U317" s="56"/>
    </row>
    <row r="318">
      <c r="A318" s="72"/>
      <c r="B318" s="54"/>
      <c r="C318" s="67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68"/>
      <c r="R318" s="68"/>
      <c r="S318" s="68"/>
      <c r="T318" s="68"/>
      <c r="U318" s="56"/>
    </row>
    <row r="319">
      <c r="A319" s="72"/>
      <c r="B319" s="54"/>
      <c r="C319" s="67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68"/>
      <c r="R319" s="68"/>
      <c r="S319" s="68"/>
      <c r="T319" s="68"/>
      <c r="U319" s="56"/>
    </row>
    <row r="320">
      <c r="A320" s="72"/>
      <c r="B320" s="54"/>
      <c r="C320" s="67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68"/>
      <c r="R320" s="68"/>
      <c r="S320" s="68"/>
      <c r="T320" s="68"/>
      <c r="U320" s="56"/>
    </row>
    <row r="321">
      <c r="A321" s="72"/>
      <c r="B321" s="54"/>
      <c r="C321" s="67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68"/>
      <c r="R321" s="68"/>
      <c r="S321" s="68"/>
      <c r="T321" s="68"/>
      <c r="U321" s="56"/>
    </row>
    <row r="322">
      <c r="A322" s="72"/>
      <c r="B322" s="54"/>
      <c r="C322" s="67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68"/>
      <c r="R322" s="68"/>
      <c r="S322" s="68"/>
      <c r="T322" s="68"/>
      <c r="U322" s="56"/>
    </row>
    <row r="323">
      <c r="A323" s="72"/>
      <c r="B323" s="54"/>
      <c r="C323" s="67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68"/>
      <c r="R323" s="68"/>
      <c r="S323" s="68"/>
      <c r="T323" s="68"/>
      <c r="U323" s="56"/>
    </row>
    <row r="324">
      <c r="A324" s="72"/>
      <c r="B324" s="54"/>
      <c r="C324" s="67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68"/>
      <c r="R324" s="68"/>
      <c r="S324" s="68"/>
      <c r="T324" s="68"/>
      <c r="U324" s="56"/>
    </row>
    <row r="325">
      <c r="A325" s="72"/>
      <c r="B325" s="54"/>
      <c r="C325" s="67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68"/>
      <c r="R325" s="68"/>
      <c r="S325" s="68"/>
      <c r="T325" s="68"/>
      <c r="U325" s="56"/>
    </row>
    <row r="326">
      <c r="A326" s="72"/>
      <c r="B326" s="54"/>
      <c r="C326" s="67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68"/>
      <c r="R326" s="68"/>
      <c r="S326" s="68"/>
      <c r="T326" s="68"/>
      <c r="U326" s="56"/>
    </row>
    <row r="327">
      <c r="A327" s="72"/>
      <c r="B327" s="54"/>
      <c r="C327" s="67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68"/>
      <c r="R327" s="68"/>
      <c r="S327" s="68"/>
      <c r="T327" s="68"/>
      <c r="U327" s="56"/>
    </row>
  </sheetData>
  <dataValidations>
    <dataValidation type="list" allowBlank="1" showErrorMessage="1" sqref="D9:D327">
      <formula1>Data!$C$2:$C327</formula1>
    </dataValidation>
    <dataValidation type="list" allowBlank="1" showErrorMessage="1" sqref="E9:E327">
      <formula1>Data!$D$2:$D327</formula1>
    </dataValidation>
    <dataValidation type="list" allowBlank="1" showErrorMessage="1" sqref="N9:N327">
      <formula1>Data!$K$3:$K327</formula1>
    </dataValidation>
    <dataValidation type="list" allowBlank="1" showErrorMessage="1" sqref="B9:B18 B22:B327">
      <formula1>Data!$A$2:$A327</formula1>
    </dataValidation>
    <dataValidation type="list" allowBlank="1" showErrorMessage="1" sqref="O9:O327">
      <formula1>Data!$O$2:$O327</formula1>
    </dataValidation>
    <dataValidation type="list" allowBlank="1" showErrorMessage="1" sqref="M9:M327">
      <formula1>Data!$P$2:$P327</formula1>
    </dataValidation>
    <dataValidation type="custom" allowBlank="1" showDropDown="1" sqref="A9:A327">
      <formula1>OR(NOT(ISERROR(DATEVALUE(A9))), AND(ISNUMBER(A9), LEFT(CELL("format", A9))="D"))</formula1>
    </dataValidation>
    <dataValidation type="list" allowBlank="1" showErrorMessage="1" sqref="L9:L327">
      <formula1>Data!$I$2:$I327</formula1>
    </dataValidation>
    <dataValidation type="list" allowBlank="1" showErrorMessage="1" sqref="F9:F327">
      <formula1>Data!$F$2:$F327</formula1>
    </dataValidation>
    <dataValidation type="list" allowBlank="1" showErrorMessage="1" sqref="H9:H327">
      <formula1>Data!$H$2:$H327</formula1>
    </dataValidation>
    <dataValidation type="list" allowBlank="1" showErrorMessage="1" sqref="P9:P327">
      <formula1>Data!$M$2:$M327</formula1>
    </dataValidation>
  </dataValidations>
  <hyperlinks>
    <hyperlink r:id="rId1" ref="C3"/>
    <hyperlink r:id="rId2" ref="B9"/>
    <hyperlink r:id="rId3" ref="B10"/>
    <hyperlink r:id="rId4" ref="I10"/>
    <hyperlink r:id="rId5" ref="J10"/>
    <hyperlink r:id="rId6" ref="T10"/>
    <hyperlink r:id="rId7" ref="B11"/>
    <hyperlink r:id="rId8" ref="I11"/>
    <hyperlink r:id="rId9" ref="J11"/>
    <hyperlink r:id="rId10" ref="T11"/>
    <hyperlink r:id="rId11" ref="B12"/>
    <hyperlink r:id="rId12" ref="I12"/>
    <hyperlink r:id="rId13" ref="J12"/>
    <hyperlink r:id="rId14" ref="T12"/>
    <hyperlink r:id="rId15" ref="B13"/>
    <hyperlink r:id="rId16" ref="T13"/>
    <hyperlink r:id="rId17" ref="B14"/>
    <hyperlink r:id="rId18" ref="T14"/>
    <hyperlink r:id="rId19" ref="B15"/>
    <hyperlink r:id="rId20" ref="I15"/>
    <hyperlink r:id="rId21" ref="J15"/>
    <hyperlink r:id="rId22" ref="T15"/>
    <hyperlink r:id="rId23" ref="B16"/>
    <hyperlink r:id="rId24" ref="I16"/>
    <hyperlink r:id="rId25" ref="J16"/>
    <hyperlink r:id="rId26" ref="T16"/>
    <hyperlink r:id="rId27" ref="B17"/>
    <hyperlink r:id="rId28" ref="T17"/>
    <hyperlink r:id="rId29" ref="B18"/>
    <hyperlink r:id="rId30" ref="T18"/>
    <hyperlink r:id="rId31" ref="B19"/>
    <hyperlink r:id="rId32" ref="I19"/>
    <hyperlink r:id="rId33" ref="J19"/>
    <hyperlink r:id="rId34" ref="T19"/>
    <hyperlink r:id="rId35" ref="B20"/>
    <hyperlink r:id="rId36" ref="I20"/>
    <hyperlink r:id="rId37" ref="J20"/>
    <hyperlink r:id="rId38" ref="T20"/>
    <hyperlink r:id="rId39" ref="B21"/>
    <hyperlink r:id="rId40" ref="T21"/>
    <hyperlink r:id="rId41" ref="B22"/>
    <hyperlink r:id="rId42" ref="I22"/>
    <hyperlink r:id="rId43" ref="J22"/>
    <hyperlink r:id="rId44" ref="T22"/>
    <hyperlink r:id="rId45" ref="B23"/>
    <hyperlink r:id="rId46" ref="I23"/>
    <hyperlink r:id="rId47" ref="J23"/>
    <hyperlink r:id="rId48" ref="T23"/>
    <hyperlink r:id="rId49" ref="B24"/>
    <hyperlink r:id="rId50" ref="I24"/>
    <hyperlink r:id="rId51" ref="J24"/>
    <hyperlink r:id="rId52" ref="T24"/>
    <hyperlink r:id="rId53" ref="B25"/>
    <hyperlink r:id="rId54" ref="I25"/>
    <hyperlink r:id="rId55" ref="J25"/>
    <hyperlink r:id="rId56" ref="T25"/>
    <hyperlink r:id="rId57" ref="B26"/>
    <hyperlink r:id="rId58" ref="I26"/>
    <hyperlink r:id="rId59" ref="J26"/>
    <hyperlink r:id="rId60" ref="T26"/>
    <hyperlink r:id="rId61" ref="B27"/>
    <hyperlink r:id="rId62" ref="T27"/>
  </hyperlinks>
  <drawing r:id="rId6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2.63"/>
    <col customWidth="1" min="2" max="2" width="37.5"/>
    <col customWidth="1" min="5" max="5" width="13.88"/>
    <col customWidth="1" min="9" max="9" width="31.88"/>
    <col customWidth="1" min="10" max="10" width="28.13"/>
    <col customWidth="1" min="17" max="17" width="34.5"/>
    <col customWidth="1" min="18" max="18" width="26.0"/>
    <col customWidth="1" min="20" max="20" width="25.63"/>
  </cols>
  <sheetData>
    <row r="1" hidden="1">
      <c r="A1" s="1"/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/>
      <c r="H1" s="5" t="s">
        <v>6</v>
      </c>
      <c r="I1" s="5" t="s">
        <v>7</v>
      </c>
      <c r="J1" s="5" t="s">
        <v>9</v>
      </c>
      <c r="K1" s="5"/>
      <c r="L1" s="7"/>
      <c r="M1" s="7"/>
      <c r="N1" s="7"/>
      <c r="O1" s="7"/>
      <c r="P1" s="7"/>
      <c r="Q1" s="7"/>
      <c r="R1" s="7"/>
      <c r="S1" s="7"/>
      <c r="T1" s="7"/>
      <c r="U1" s="97"/>
    </row>
    <row r="2" hidden="1">
      <c r="A2" s="1"/>
      <c r="B2" s="10" t="s">
        <v>12</v>
      </c>
      <c r="C2" s="10" t="s">
        <v>8</v>
      </c>
      <c r="D2" s="10" t="s">
        <v>10</v>
      </c>
      <c r="E2" s="10" t="s">
        <v>16</v>
      </c>
      <c r="F2" s="10" t="s">
        <v>17</v>
      </c>
      <c r="G2" s="10"/>
      <c r="H2" s="11" t="s">
        <v>15</v>
      </c>
      <c r="I2" s="10" t="s">
        <v>22</v>
      </c>
      <c r="J2" s="10" t="s">
        <v>1</v>
      </c>
      <c r="K2" s="10"/>
      <c r="L2" s="10" t="s">
        <v>2</v>
      </c>
      <c r="M2" s="10" t="s">
        <v>24</v>
      </c>
      <c r="N2" s="10" t="s">
        <v>4</v>
      </c>
      <c r="O2" s="12" t="s">
        <v>23</v>
      </c>
      <c r="P2" s="10" t="s">
        <v>5</v>
      </c>
      <c r="Q2" s="13" t="s">
        <v>29</v>
      </c>
      <c r="R2" s="13" t="s">
        <v>31</v>
      </c>
      <c r="S2" s="13" t="s">
        <v>15</v>
      </c>
      <c r="T2" s="14" t="s">
        <v>32</v>
      </c>
      <c r="U2" s="98"/>
    </row>
    <row r="3" hidden="1">
      <c r="A3" s="1"/>
      <c r="B3" s="16">
        <v>221118.0</v>
      </c>
      <c r="C3" s="20" t="s">
        <v>35</v>
      </c>
      <c r="D3" s="22"/>
      <c r="E3" s="22" t="s">
        <v>37</v>
      </c>
      <c r="F3" s="22" t="s">
        <v>39</v>
      </c>
      <c r="G3" s="22"/>
      <c r="H3" s="24" t="s">
        <v>40</v>
      </c>
      <c r="I3" s="22" t="s">
        <v>41</v>
      </c>
      <c r="J3" s="22" t="s">
        <v>42</v>
      </c>
      <c r="K3" s="22"/>
      <c r="L3" s="22" t="s">
        <v>43</v>
      </c>
      <c r="M3" s="22" t="s">
        <v>45</v>
      </c>
      <c r="N3" s="22" t="s">
        <v>46</v>
      </c>
      <c r="O3" s="22"/>
      <c r="P3" s="22" t="s">
        <v>47</v>
      </c>
      <c r="Q3" s="24" t="str">
        <f>J3</f>
        <v>Facebook</v>
      </c>
      <c r="R3" s="26" t="str">
        <f>L3</f>
        <v>FA</v>
      </c>
      <c r="S3" s="28" t="str">
        <f>CONCATENATE(E3,"_",N3,"_",L3,"_",M3,"_",B3,"_",P3)</f>
        <v>Rongfly_HN_FA_TAH_221118_Badt</v>
      </c>
      <c r="T3" s="28" t="str">
        <f>CONCATENATE(F3,"_",E3,B3,"_",P3)</f>
        <v>sinhvien1823_Rongfly221118_Badt</v>
      </c>
      <c r="U3" s="99"/>
    </row>
    <row r="4" hidden="1">
      <c r="A4" s="1"/>
      <c r="B4" s="7"/>
      <c r="C4" s="7"/>
      <c r="D4" s="17"/>
      <c r="E4" s="32" t="s">
        <v>48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97"/>
    </row>
    <row r="5" hidden="1">
      <c r="A5" s="1"/>
      <c r="B5" s="7"/>
      <c r="C5" s="7"/>
      <c r="D5" s="35"/>
      <c r="E5" s="32" t="s">
        <v>49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97"/>
    </row>
    <row r="6" hidden="1">
      <c r="A6" s="1"/>
      <c r="B6" s="7"/>
      <c r="C6" s="7"/>
      <c r="D6" s="36"/>
      <c r="E6" s="37" t="s">
        <v>50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97"/>
    </row>
    <row r="7">
      <c r="A7" s="9" t="s">
        <v>0</v>
      </c>
      <c r="B7" s="6" t="s">
        <v>8</v>
      </c>
      <c r="C7" s="39" t="s">
        <v>10</v>
      </c>
      <c r="D7" s="6" t="s">
        <v>1</v>
      </c>
      <c r="E7" s="6" t="s">
        <v>2</v>
      </c>
      <c r="F7" s="6" t="s">
        <v>4</v>
      </c>
      <c r="G7" s="9" t="s">
        <v>11</v>
      </c>
      <c r="H7" s="6" t="s">
        <v>13</v>
      </c>
      <c r="I7" s="6" t="s">
        <v>14</v>
      </c>
      <c r="J7" s="39" t="s">
        <v>15</v>
      </c>
      <c r="K7" s="42" t="s">
        <v>18</v>
      </c>
      <c r="L7" s="39" t="s">
        <v>19</v>
      </c>
      <c r="M7" s="39" t="s">
        <v>20</v>
      </c>
      <c r="N7" s="39" t="s">
        <v>21</v>
      </c>
      <c r="O7" s="42" t="s">
        <v>23</v>
      </c>
      <c r="P7" s="39" t="s">
        <v>25</v>
      </c>
      <c r="Q7" s="6" t="s">
        <v>26</v>
      </c>
      <c r="R7" s="6" t="s">
        <v>27</v>
      </c>
      <c r="S7" s="6" t="s">
        <v>54</v>
      </c>
      <c r="T7" s="39" t="s">
        <v>30</v>
      </c>
      <c r="U7" s="100" t="s">
        <v>1125</v>
      </c>
    </row>
    <row r="8">
      <c r="A8" s="45" t="s">
        <v>33</v>
      </c>
      <c r="B8" s="17" t="s">
        <v>34</v>
      </c>
      <c r="C8" s="46" t="s">
        <v>55</v>
      </c>
      <c r="D8" s="19" t="s">
        <v>36</v>
      </c>
      <c r="E8" s="21" t="s">
        <v>36</v>
      </c>
      <c r="F8" s="19" t="s">
        <v>36</v>
      </c>
      <c r="G8" s="47"/>
      <c r="H8" s="19" t="s">
        <v>36</v>
      </c>
      <c r="I8" s="25" t="s">
        <v>1126</v>
      </c>
      <c r="J8" s="25" t="s">
        <v>44</v>
      </c>
      <c r="K8" s="23" t="s">
        <v>38</v>
      </c>
      <c r="L8" s="19" t="s">
        <v>36</v>
      </c>
      <c r="M8" s="19" t="s">
        <v>36</v>
      </c>
      <c r="N8" s="19" t="s">
        <v>36</v>
      </c>
      <c r="O8" s="19" t="s">
        <v>36</v>
      </c>
      <c r="P8" s="19" t="s">
        <v>36</v>
      </c>
      <c r="Q8" s="47" t="s">
        <v>62</v>
      </c>
      <c r="R8" s="47" t="s">
        <v>63</v>
      </c>
      <c r="S8" s="48" t="s">
        <v>64</v>
      </c>
      <c r="T8" s="49" t="s">
        <v>67</v>
      </c>
      <c r="U8" s="101"/>
    </row>
    <row r="9">
      <c r="A9" s="50">
        <v>44183.0</v>
      </c>
      <c r="B9" s="43" t="s">
        <v>73</v>
      </c>
      <c r="C9" s="58" t="str">
        <f>IFERROR(__xludf.DUMMYFUNCTION("FILTER(VLOOKUP(B9:B1181,Data!A:B,2,FALSE),B9:B1181&lt;&gt;"""")"),"LD012")</f>
        <v>LD012</v>
      </c>
      <c r="D9" s="44" t="s">
        <v>42</v>
      </c>
      <c r="E9" s="44" t="s">
        <v>53</v>
      </c>
      <c r="F9" s="44" t="s">
        <v>60</v>
      </c>
      <c r="G9" s="44" t="s">
        <v>61</v>
      </c>
      <c r="H9" s="44" t="s">
        <v>1131</v>
      </c>
      <c r="I9" s="44" t="s">
        <v>1132</v>
      </c>
      <c r="J9" s="44" t="s">
        <v>88</v>
      </c>
      <c r="K9" s="44" t="s">
        <v>61</v>
      </c>
      <c r="L9" s="44">
        <v>95360.0</v>
      </c>
      <c r="M9" s="44" t="s">
        <v>116</v>
      </c>
      <c r="N9" s="44" t="s">
        <v>70</v>
      </c>
      <c r="O9" s="44" t="s">
        <v>70</v>
      </c>
      <c r="P9" s="44" t="s">
        <v>70</v>
      </c>
      <c r="Q9" s="58" t="str">
        <f>IFERROR(__xludf.DUMMYFUNCTION("FILTER(IF( A9:A1181&lt;&gt;"""",IF(H9:H1181&lt;&gt;"""",IF(I9:I1181&lt;&gt;"""",IF(L9:L1181&lt;&gt;"""",IF(N9:N1181&lt;&gt;"""",I9:I1181&amp;""_""&amp;L9:L1181&amp;""_""&amp;N9:N1181&amp;""_""&amp;H9:H1181&amp;""_""&amp;TRIM(A9:A1181),""!!!""),""!!!""),""!!!""),""!!!""),""!!!""),B9:B1181&lt;&gt;"""")"),"Blog_95360_NON_HuyLG_181220")</f>
        <v>Blog_95360_NON_HuyLG_181220</v>
      </c>
      <c r="R9" s="58" t="str">
        <f>IFERROR(__xludf.DUMMYFUNCTION("FILTER(IF( A9:A1181&lt;&gt;"""",IF(P9:P1181&lt;&gt;"""",IF(F9:F1181&lt;&gt;"""",IF(G9:G1181&lt;&gt;"""",IF(K9:K1181&lt;&gt;"""",P9:P1181&amp;""_""&amp;F9:F1181&amp;""_""&amp;G9:G1181&amp;""_""&amp;K9:K1181&amp;""_""&amp;TRIM(A9:A1181),""!!!""),""!!!""),""!!!""),""!!!""),""!!!""),B9:B1181&lt;&gt;"""")"),"NON_NONE_none_none_181220")</f>
        <v>NON_NONE_none_none_181220</v>
      </c>
      <c r="S9" s="58" t="str">
        <f>IFERROR(__xludf.DUMMYFUNCTION("FILTER(IF( M9:M1181&lt;&gt;"""",IF(J9:J1181&lt;&gt;"""",IF(O9:O1181&lt;&gt;"""",IF(C9:C1181&lt;&gt;"""",M9:M1181&amp;""_""&amp;J9:J1181&amp;""_""&amp;O9:O1181&amp;""_""&amp;C9:C1181,""!!!""),""!!!""),""!!!""),""!!!""),B9:B1181&lt;&gt;"""")"),"khac_Content2_NON_LD012")</f>
        <v>khac_Content2_NON_LD012</v>
      </c>
      <c r="T9" s="103" t="str">
        <f>IFERROR(__xludf.DUMMYFUNCTION("FILTER(B9:B1181&amp;if(right(B9:B1181,1)=""/"",""?"",""/?"")&amp;""utm_source=""&amp;D9:D1181&amp;""&amp;utm_medium=""&amp;E9:E1181&amp;""&amp;utm_term=""&amp;R9:R1181&amp;""&amp;utm_content=""&amp;S9:S1181&amp;""&amp;utm_campaign=""&amp;Q9:Q1181,B9:B1181&lt;&gt;"""")"),"https://patadovietnam.edu.vn/blog/?utm_source=Facebook&amp;utm_medium=SEE&amp;utm_term=NON_NONE_none_none_181220&amp;utm_content=khac_Content2_NON_LD012&amp;utm_campaign=Blog_95360_NON_HuyLG_181220")</f>
        <v>https://patadovietnam.edu.vn/blog/?utm_source=Facebook&amp;utm_medium=SEE&amp;utm_term=NON_NONE_none_none_181220&amp;utm_content=khac_Content2_NON_LD012&amp;utm_campaign=Blog_95360_NON_HuyLG_181220</v>
      </c>
      <c r="U9" s="97"/>
    </row>
    <row r="10">
      <c r="A10" s="72">
        <v>45027.0</v>
      </c>
      <c r="B10" s="60" t="s">
        <v>1134</v>
      </c>
      <c r="C10" s="67" t="str">
        <f>IFERROR(__xludf.DUMMYFUNCTION("""COMPUTED_VALUE"""),"LD153")</f>
        <v>LD153</v>
      </c>
      <c r="D10" s="55" t="s">
        <v>42</v>
      </c>
      <c r="E10" s="55" t="s">
        <v>79</v>
      </c>
      <c r="F10" s="55" t="s">
        <v>199</v>
      </c>
      <c r="G10" s="55">
        <v>2040.0</v>
      </c>
      <c r="H10" s="55" t="s">
        <v>1137</v>
      </c>
      <c r="I10" s="55" t="s">
        <v>1138</v>
      </c>
      <c r="J10" s="55" t="s">
        <v>1139</v>
      </c>
      <c r="K10" s="55" t="s">
        <v>61</v>
      </c>
      <c r="L10" s="55">
        <v>95360.0</v>
      </c>
      <c r="M10" s="55" t="s">
        <v>78</v>
      </c>
      <c r="N10" s="55" t="s">
        <v>79</v>
      </c>
      <c r="O10" s="55" t="s">
        <v>224</v>
      </c>
      <c r="P10" s="55" t="s">
        <v>110</v>
      </c>
      <c r="Q10" s="67" t="str">
        <f>IFERROR(__xludf.DUMMYFUNCTION("""COMPUTED_VALUE"""),"Vietnam.giaotiep.anhgiaotiep1_95360_MES_NamNH_110423")</f>
        <v>Vietnam.giaotiep.anhgiaotiep1_95360_MES_NamNH_110423</v>
      </c>
      <c r="R10" s="67" t="str">
        <f>IFERROR(__xludf.DUMMYFUNCTION("""COMPUTED_VALUE"""),"NEW_Vietnam_2040_none_110423")</f>
        <v>NEW_Vietnam_2040_none_110423</v>
      </c>
      <c r="S10" s="67" t="str">
        <f>IFERROR(__xludf.DUMMYFUNCTION("""COMPUTED_VALUE"""),"saletructiep_Vietnam.anhgiaotiep1.2040.giaotiep_PTATT_LD153")</f>
        <v>saletructiep_Vietnam.anhgiaotiep1.2040.giaotiep_PTATT_LD153</v>
      </c>
      <c r="T10" s="107" t="str">
        <f>IFERROR(__xludf.DUMMYFUNCTION("""COMPUTED_VALUE"""),"https://patadovietnam.edu.vn/tienganhgiaotiep_hn/?utm_source=Facebook&amp;utm_medium=MES&amp;utm_term=NEW_Vietnam_2040_none_110423&amp;utm_content=saletructiep_Vietnam.anhgiaotiep1.2040.giaotiep_PTATT_LD153&amp;utm_campaign=Vietnam.giaotiep.anhgiaotiep1_95360_MES_NamNH_1"&amp;"10423")</f>
        <v>https://patadovietnam.edu.vn/tienganhgiaotiep_hn/?utm_source=Facebook&amp;utm_medium=MES&amp;utm_term=NEW_Vietnam_2040_none_110423&amp;utm_content=saletructiep_Vietnam.anhgiaotiep1.2040.giaotiep_PTATT_LD153&amp;utm_campaign=Vietnam.giaotiep.anhgiaotiep1_95360_MES_NamNH_110423</v>
      </c>
      <c r="U10" s="110" t="s">
        <v>1143</v>
      </c>
    </row>
    <row r="11">
      <c r="A11" s="72">
        <v>45027.0</v>
      </c>
      <c r="B11" s="60" t="s">
        <v>1134</v>
      </c>
      <c r="C11" s="67" t="str">
        <f>IFERROR(__xludf.DUMMYFUNCTION("""COMPUTED_VALUE"""),"LD153")</f>
        <v>LD153</v>
      </c>
      <c r="D11" s="55" t="s">
        <v>42</v>
      </c>
      <c r="E11" s="55" t="s">
        <v>79</v>
      </c>
      <c r="F11" s="55" t="s">
        <v>107</v>
      </c>
      <c r="G11" s="55">
        <v>2045.0</v>
      </c>
      <c r="H11" s="55" t="s">
        <v>1137</v>
      </c>
      <c r="I11" s="55" t="s">
        <v>1145</v>
      </c>
      <c r="J11" s="55" t="s">
        <v>1146</v>
      </c>
      <c r="K11" s="55" t="s">
        <v>61</v>
      </c>
      <c r="L11" s="55">
        <v>95360.0</v>
      </c>
      <c r="M11" s="55" t="s">
        <v>78</v>
      </c>
      <c r="N11" s="55" t="s">
        <v>79</v>
      </c>
      <c r="O11" s="55" t="s">
        <v>224</v>
      </c>
      <c r="P11" s="55" t="s">
        <v>110</v>
      </c>
      <c r="Q11" s="67" t="str">
        <f>IFERROR(__xludf.DUMMYFUNCTION("""COMPUTED_VALUE"""),"UnitedStates.giaotiep.anhgiaotiep2_95360_MES_NamNH_110423")</f>
        <v>UnitedStates.giaotiep.anhgiaotiep2_95360_MES_NamNH_110423</v>
      </c>
      <c r="R11" s="67" t="str">
        <f>IFERROR(__xludf.DUMMYFUNCTION("""COMPUTED_VALUE"""),"NEW_UnitedStates_2045_none_110423")</f>
        <v>NEW_UnitedStates_2045_none_110423</v>
      </c>
      <c r="S11" s="84" t="str">
        <f>IFERROR(__xludf.DUMMYFUNCTION("""COMPUTED_VALUE"""),"saletructiep_UnitedStates.anhgiaotiep2.2045.giaotiep_PTATT_LD153")</f>
        <v>saletructiep_UnitedStates.anhgiaotiep2.2045.giaotiep_PTATT_LD153</v>
      </c>
      <c r="T11" s="107" t="str">
        <f>IFERROR(__xludf.DUMMYFUNCTION("""COMPUTED_VALUE"""),"https://patadovietnam.edu.vn/tienganhgiaotiep_hn/?utm_source=Facebook&amp;utm_medium=MES&amp;utm_term=NEW_UnitedStates_2045_none_110423&amp;utm_content=saletructiep_UnitedStates.anhgiaotiep2.2045.giaotiep_PTATT_LD153&amp;utm_campaign=UnitedStates.giaotiep.anhgiaotiep2_95"&amp;"360_MES_NamNH_110423")</f>
        <v>https://patadovietnam.edu.vn/tienganhgiaotiep_hn/?utm_source=Facebook&amp;utm_medium=MES&amp;utm_term=NEW_UnitedStates_2045_none_110423&amp;utm_content=saletructiep_UnitedStates.anhgiaotiep2.2045.giaotiep_PTATT_LD153&amp;utm_campaign=UnitedStates.giaotiep.anhgiaotiep2_95360_MES_NamNH_110423</v>
      </c>
      <c r="U11" s="110" t="s">
        <v>1149</v>
      </c>
    </row>
    <row r="12">
      <c r="A12" s="72">
        <v>45027.0</v>
      </c>
      <c r="B12" s="60" t="s">
        <v>1134</v>
      </c>
      <c r="C12" s="67" t="str">
        <f>IFERROR(__xludf.DUMMYFUNCTION("""COMPUTED_VALUE"""),"LD153")</f>
        <v>LD153</v>
      </c>
      <c r="D12" s="55" t="s">
        <v>42</v>
      </c>
      <c r="E12" s="55" t="s">
        <v>79</v>
      </c>
      <c r="F12" s="55" t="s">
        <v>129</v>
      </c>
      <c r="G12" s="55">
        <v>2045.0</v>
      </c>
      <c r="H12" s="55" t="s">
        <v>1137</v>
      </c>
      <c r="I12" s="55" t="s">
        <v>1150</v>
      </c>
      <c r="J12" s="55" t="s">
        <v>1151</v>
      </c>
      <c r="K12" s="55" t="s">
        <v>61</v>
      </c>
      <c r="L12" s="55">
        <v>95360.0</v>
      </c>
      <c r="M12" s="55" t="s">
        <v>78</v>
      </c>
      <c r="N12" s="55" t="s">
        <v>79</v>
      </c>
      <c r="O12" s="55" t="s">
        <v>224</v>
      </c>
      <c r="P12" s="55" t="s">
        <v>110</v>
      </c>
      <c r="Q12" s="67" t="str">
        <f>IFERROR(__xludf.DUMMYFUNCTION("""COMPUTED_VALUE"""),"Australia.giaotiep.anhgiaotiep2_95360_MES_NamNH_110423")</f>
        <v>Australia.giaotiep.anhgiaotiep2_95360_MES_NamNH_110423</v>
      </c>
      <c r="R12" s="67" t="str">
        <f>IFERROR(__xludf.DUMMYFUNCTION("""COMPUTED_VALUE"""),"NEW_Australia_2045_none_110423")</f>
        <v>NEW_Australia_2045_none_110423</v>
      </c>
      <c r="S12" s="67" t="str">
        <f>IFERROR(__xludf.DUMMYFUNCTION("""COMPUTED_VALUE"""),"saletructiep_Australia.anhgiaotiep2.2045.giaotiep_PTATT_LD153")</f>
        <v>saletructiep_Australia.anhgiaotiep2.2045.giaotiep_PTATT_LD153</v>
      </c>
      <c r="T12" s="107" t="str">
        <f>IFERROR(__xludf.DUMMYFUNCTION("""COMPUTED_VALUE"""),"https://patadovietnam.edu.vn/tienganhgiaotiep_hn/?utm_source=Facebook&amp;utm_medium=MES&amp;utm_term=NEW_Australia_2045_none_110423&amp;utm_content=saletructiep_Australia.anhgiaotiep2.2045.giaotiep_PTATT_LD153&amp;utm_campaign=Australia.giaotiep.anhgiaotiep2_95360_MES_N"&amp;"amNH_110423")</f>
        <v>https://patadovietnam.edu.vn/tienganhgiaotiep_hn/?utm_source=Facebook&amp;utm_medium=MES&amp;utm_term=NEW_Australia_2045_none_110423&amp;utm_content=saletructiep_Australia.anhgiaotiep2.2045.giaotiep_PTATT_LD153&amp;utm_campaign=Australia.giaotiep.anhgiaotiep2_95360_MES_NamNH_110423</v>
      </c>
      <c r="U12" s="110" t="s">
        <v>1154</v>
      </c>
    </row>
    <row r="13">
      <c r="A13" s="72">
        <v>45029.0</v>
      </c>
      <c r="B13" s="60" t="s">
        <v>1134</v>
      </c>
      <c r="C13" s="67" t="str">
        <f>IFERROR(__xludf.DUMMYFUNCTION("""COMPUTED_VALUE"""),"LD153")</f>
        <v>LD153</v>
      </c>
      <c r="D13" s="55" t="s">
        <v>42</v>
      </c>
      <c r="E13" s="55" t="s">
        <v>79</v>
      </c>
      <c r="F13" s="55" t="s">
        <v>162</v>
      </c>
      <c r="G13" s="55">
        <v>2045.0</v>
      </c>
      <c r="H13" s="55" t="s">
        <v>1137</v>
      </c>
      <c r="I13" s="55" t="s">
        <v>1156</v>
      </c>
      <c r="J13" s="55" t="s">
        <v>1157</v>
      </c>
      <c r="K13" s="55" t="s">
        <v>61</v>
      </c>
      <c r="L13" s="55">
        <v>95360.0</v>
      </c>
      <c r="M13" s="55" t="s">
        <v>78</v>
      </c>
      <c r="N13" s="55" t="s">
        <v>79</v>
      </c>
      <c r="O13" s="55" t="s">
        <v>224</v>
      </c>
      <c r="P13" s="55" t="s">
        <v>110</v>
      </c>
      <c r="Q13" s="67" t="str">
        <f>IFERROR(__xludf.DUMMYFUNCTION("""COMPUTED_VALUE"""),"Singapore.giaotiep.anhgiaotiep3_95360_MES_NamNH_130423")</f>
        <v>Singapore.giaotiep.anhgiaotiep3_95360_MES_NamNH_130423</v>
      </c>
      <c r="R13" s="67" t="str">
        <f>IFERROR(__xludf.DUMMYFUNCTION("""COMPUTED_VALUE"""),"NEW_Singapore_2045_none_130423")</f>
        <v>NEW_Singapore_2045_none_130423</v>
      </c>
      <c r="S13" s="67" t="str">
        <f>IFERROR(__xludf.DUMMYFUNCTION("""COMPUTED_VALUE"""),"saletructiep_Singapore.anhgiaotiep3.2045.giaotiep_PTATT_LD153")</f>
        <v>saletructiep_Singapore.anhgiaotiep3.2045.giaotiep_PTATT_LD153</v>
      </c>
      <c r="T13" s="107" t="str">
        <f>IFERROR(__xludf.DUMMYFUNCTION("""COMPUTED_VALUE"""),"https://patadovietnam.edu.vn/tienganhgiaotiep_hn/?utm_source=Facebook&amp;utm_medium=MES&amp;utm_term=NEW_Singapore_2045_none_130423&amp;utm_content=saletructiep_Singapore.anhgiaotiep3.2045.giaotiep_PTATT_LD153&amp;utm_campaign=Singapore.giaotiep.anhgiaotiep3_95360_MES_N"&amp;"amNH_130423")</f>
        <v>https://patadovietnam.edu.vn/tienganhgiaotiep_hn/?utm_source=Facebook&amp;utm_medium=MES&amp;utm_term=NEW_Singapore_2045_none_130423&amp;utm_content=saletructiep_Singapore.anhgiaotiep3.2045.giaotiep_PTATT_LD153&amp;utm_campaign=Singapore.giaotiep.anhgiaotiep3_95360_MES_NamNH_130423</v>
      </c>
      <c r="U13" s="110" t="s">
        <v>1159</v>
      </c>
    </row>
    <row r="14">
      <c r="A14" s="72">
        <v>45029.0</v>
      </c>
      <c r="B14" s="60" t="s">
        <v>1134</v>
      </c>
      <c r="C14" s="67" t="str">
        <f>IFERROR(__xludf.DUMMYFUNCTION("""COMPUTED_VALUE"""),"LD153")</f>
        <v>LD153</v>
      </c>
      <c r="D14" s="55" t="s">
        <v>42</v>
      </c>
      <c r="E14" s="55" t="s">
        <v>79</v>
      </c>
      <c r="F14" s="55" t="s">
        <v>828</v>
      </c>
      <c r="G14" s="55">
        <v>1843.0</v>
      </c>
      <c r="H14" s="55" t="s">
        <v>1137</v>
      </c>
      <c r="I14" s="55" t="s">
        <v>1161</v>
      </c>
      <c r="J14" s="55" t="s">
        <v>1162</v>
      </c>
      <c r="K14" s="55" t="s">
        <v>61</v>
      </c>
      <c r="L14" s="55">
        <v>95360.0</v>
      </c>
      <c r="M14" s="55" t="s">
        <v>78</v>
      </c>
      <c r="N14" s="55" t="s">
        <v>79</v>
      </c>
      <c r="O14" s="55" t="s">
        <v>224</v>
      </c>
      <c r="P14" s="55" t="s">
        <v>110</v>
      </c>
      <c r="Q14" s="67" t="str">
        <f>IFERROR(__xludf.DUMMYFUNCTION("""COMPUTED_VALUE"""),"Asia.giaotiep.anhgiaotiep4_95360_MES_NamNH_130423")</f>
        <v>Asia.giaotiep.anhgiaotiep4_95360_MES_NamNH_130423</v>
      </c>
      <c r="R14" s="67" t="str">
        <f>IFERROR(__xludf.DUMMYFUNCTION("""COMPUTED_VALUE"""),"NEW_Asia_1843_none_130423")</f>
        <v>NEW_Asia_1843_none_130423</v>
      </c>
      <c r="S14" s="67" t="str">
        <f>IFERROR(__xludf.DUMMYFUNCTION("""COMPUTED_VALUE"""),"saletructiep_Asia.anhgiaotiep4.1843.giaotiep_PTATT_LD153")</f>
        <v>saletructiep_Asia.anhgiaotiep4.1843.giaotiep_PTATT_LD153</v>
      </c>
      <c r="T14" s="107" t="str">
        <f>IFERROR(__xludf.DUMMYFUNCTION("""COMPUTED_VALUE"""),"https://patadovietnam.edu.vn/tienganhgiaotiep_hn/?utm_source=Facebook&amp;utm_medium=MES&amp;utm_term=NEW_Asia_1843_none_130423&amp;utm_content=saletructiep_Asia.anhgiaotiep4.1843.giaotiep_PTATT_LD153&amp;utm_campaign=Asia.giaotiep.anhgiaotiep4_95360_MES_NamNH_130423")</f>
        <v>https://patadovietnam.edu.vn/tienganhgiaotiep_hn/?utm_source=Facebook&amp;utm_medium=MES&amp;utm_term=NEW_Asia_1843_none_130423&amp;utm_content=saletructiep_Asia.anhgiaotiep4.1843.giaotiep_PTATT_LD153&amp;utm_campaign=Asia.giaotiep.anhgiaotiep4_95360_MES_NamNH_130423</v>
      </c>
      <c r="U14" s="110" t="s">
        <v>1164</v>
      </c>
    </row>
    <row r="15">
      <c r="A15" s="72">
        <v>45029.0</v>
      </c>
      <c r="B15" s="60" t="s">
        <v>1134</v>
      </c>
      <c r="C15" s="67" t="str">
        <f>IFERROR(__xludf.DUMMYFUNCTION("""COMPUTED_VALUE"""),"LD153")</f>
        <v>LD153</v>
      </c>
      <c r="D15" s="55" t="s">
        <v>42</v>
      </c>
      <c r="E15" s="55" t="s">
        <v>79</v>
      </c>
      <c r="F15" s="55" t="s">
        <v>1166</v>
      </c>
      <c r="G15" s="55">
        <v>1842.0</v>
      </c>
      <c r="H15" s="55" t="s">
        <v>1137</v>
      </c>
      <c r="I15" s="55" t="s">
        <v>1167</v>
      </c>
      <c r="J15" s="55" t="s">
        <v>1168</v>
      </c>
      <c r="K15" s="55" t="s">
        <v>61</v>
      </c>
      <c r="L15" s="55">
        <v>95360.0</v>
      </c>
      <c r="M15" s="55" t="s">
        <v>78</v>
      </c>
      <c r="N15" s="55" t="s">
        <v>79</v>
      </c>
      <c r="O15" s="55" t="s">
        <v>224</v>
      </c>
      <c r="P15" s="55" t="s">
        <v>110</v>
      </c>
      <c r="Q15" s="67" t="str">
        <f>IFERROR(__xludf.DUMMYFUNCTION("""COMPUTED_VALUE"""),"Hungary.giaotiep.anhgiaotiep3hungary_95360_MES_NamNH_130423")</f>
        <v>Hungary.giaotiep.anhgiaotiep3hungary_95360_MES_NamNH_130423</v>
      </c>
      <c r="R15" s="67" t="str">
        <f>IFERROR(__xludf.DUMMYFUNCTION("""COMPUTED_VALUE"""),"NEW_Hungary_1842_none_130423")</f>
        <v>NEW_Hungary_1842_none_130423</v>
      </c>
      <c r="S15" s="67" t="str">
        <f>IFERROR(__xludf.DUMMYFUNCTION("""COMPUTED_VALUE"""),"saletructiep_Hungary.anhgiaotiep3hungary.1842.giaotiep_PTATT_LD153")</f>
        <v>saletructiep_Hungary.anhgiaotiep3hungary.1842.giaotiep_PTATT_LD153</v>
      </c>
      <c r="T15" s="107" t="str">
        <f>IFERROR(__xludf.DUMMYFUNCTION("""COMPUTED_VALUE"""),"https://patadovietnam.edu.vn/tienganhgiaotiep_hn/?utm_source=Facebook&amp;utm_medium=MES&amp;utm_term=NEW_Hungary_1842_none_130423&amp;utm_content=saletructiep_Hungary.anhgiaotiep3hungary.1842.giaotiep_PTATT_LD153&amp;utm_campaign=Hungary.giaotiep.anhgiaotiep3hungary_953"&amp;"60_MES_NamNH_130423")</f>
        <v>https://patadovietnam.edu.vn/tienganhgiaotiep_hn/?utm_source=Facebook&amp;utm_medium=MES&amp;utm_term=NEW_Hungary_1842_none_130423&amp;utm_content=saletructiep_Hungary.anhgiaotiep3hungary.1842.giaotiep_PTATT_LD153&amp;utm_campaign=Hungary.giaotiep.anhgiaotiep3hungary_95360_MES_NamNH_130423</v>
      </c>
      <c r="U15" s="110" t="s">
        <v>1169</v>
      </c>
    </row>
    <row r="16">
      <c r="A16" s="72">
        <v>45031.0</v>
      </c>
      <c r="B16" s="60" t="s">
        <v>1134</v>
      </c>
      <c r="C16" s="67" t="str">
        <f>IFERROR(__xludf.DUMMYFUNCTION("""COMPUTED_VALUE"""),"LD153")</f>
        <v>LD153</v>
      </c>
      <c r="D16" s="55" t="s">
        <v>42</v>
      </c>
      <c r="E16" s="55" t="s">
        <v>79</v>
      </c>
      <c r="F16" s="55" t="s">
        <v>258</v>
      </c>
      <c r="G16" s="55">
        <v>1840.0</v>
      </c>
      <c r="H16" s="55" t="s">
        <v>1137</v>
      </c>
      <c r="I16" s="55" t="s">
        <v>1171</v>
      </c>
      <c r="J16" s="55" t="s">
        <v>1172</v>
      </c>
      <c r="K16" s="55" t="s">
        <v>61</v>
      </c>
      <c r="L16" s="55">
        <v>95360.0</v>
      </c>
      <c r="M16" s="55" t="s">
        <v>78</v>
      </c>
      <c r="N16" s="55" t="s">
        <v>79</v>
      </c>
      <c r="O16" s="55" t="s">
        <v>224</v>
      </c>
      <c r="P16" s="55" t="s">
        <v>110</v>
      </c>
      <c r="Q16" s="67" t="str">
        <f>IFERROR(__xludf.DUMMYFUNCTION("""COMPUTED_VALUE"""),"Germany.giaotiep.TAgiaotiepDUC_95360_MES_NamNH_150423")</f>
        <v>Germany.giaotiep.TAgiaotiepDUC_95360_MES_NamNH_150423</v>
      </c>
      <c r="R16" s="67" t="str">
        <f>IFERROR(__xludf.DUMMYFUNCTION("""COMPUTED_VALUE"""),"NEW_Germany_1840_none_150423")</f>
        <v>NEW_Germany_1840_none_150423</v>
      </c>
      <c r="S16" s="67" t="str">
        <f>IFERROR(__xludf.DUMMYFUNCTION("""COMPUTED_VALUE"""),"saletructiep_Germany.TAgiaotiepDUC.1840.giaotiep_PTATT_LD153")</f>
        <v>saletructiep_Germany.TAgiaotiepDUC.1840.giaotiep_PTATT_LD153</v>
      </c>
      <c r="T16" s="107" t="str">
        <f>IFERROR(__xludf.DUMMYFUNCTION("""COMPUTED_VALUE"""),"https://patadovietnam.edu.vn/tienganhgiaotiep_hn/?utm_source=Facebook&amp;utm_medium=MES&amp;utm_term=NEW_Germany_1840_none_150423&amp;utm_content=saletructiep_Germany.TAgiaotiepDUC.1840.giaotiep_PTATT_LD153&amp;utm_campaign=Germany.giaotiep.TAgiaotiepDUC_95360_MES_NamNH"&amp;"_150423")</f>
        <v>https://patadovietnam.edu.vn/tienganhgiaotiep_hn/?utm_source=Facebook&amp;utm_medium=MES&amp;utm_term=NEW_Germany_1840_none_150423&amp;utm_content=saletructiep_Germany.TAgiaotiepDUC.1840.giaotiep_PTATT_LD153&amp;utm_campaign=Germany.giaotiep.TAgiaotiepDUC_95360_MES_NamNH_150423</v>
      </c>
      <c r="U16" s="110" t="s">
        <v>1175</v>
      </c>
    </row>
    <row r="17">
      <c r="A17" s="72">
        <v>45031.0</v>
      </c>
      <c r="B17" s="60" t="s">
        <v>1134</v>
      </c>
      <c r="C17" s="67" t="str">
        <f>IFERROR(__xludf.DUMMYFUNCTION("""COMPUTED_VALUE"""),"LD153")</f>
        <v>LD153</v>
      </c>
      <c r="D17" s="55" t="s">
        <v>42</v>
      </c>
      <c r="E17" s="55" t="s">
        <v>79</v>
      </c>
      <c r="F17" s="55" t="s">
        <v>112</v>
      </c>
      <c r="G17" s="55">
        <v>2040.0</v>
      </c>
      <c r="H17" s="55" t="s">
        <v>1137</v>
      </c>
      <c r="I17" s="55" t="s">
        <v>1176</v>
      </c>
      <c r="J17" s="55" t="s">
        <v>1177</v>
      </c>
      <c r="K17" s="55" t="s">
        <v>61</v>
      </c>
      <c r="L17" s="55">
        <v>95360.0</v>
      </c>
      <c r="M17" s="55" t="s">
        <v>78</v>
      </c>
      <c r="N17" s="55" t="s">
        <v>79</v>
      </c>
      <c r="O17" s="55" t="s">
        <v>224</v>
      </c>
      <c r="P17" s="55" t="s">
        <v>110</v>
      </c>
      <c r="Q17" s="67" t="str">
        <f>IFERROR(__xludf.DUMMYFUNCTION("""COMPUTED_VALUE"""),"Canada.giaotiep.anhgiaotiepcanada_95360_MES_NamNH_150423")</f>
        <v>Canada.giaotiep.anhgiaotiepcanada_95360_MES_NamNH_150423</v>
      </c>
      <c r="R17" s="67" t="str">
        <f>IFERROR(__xludf.DUMMYFUNCTION("""COMPUTED_VALUE"""),"NEW_Canada_2040_none_150423")</f>
        <v>NEW_Canada_2040_none_150423</v>
      </c>
      <c r="S17" s="67" t="str">
        <f>IFERROR(__xludf.DUMMYFUNCTION("""COMPUTED_VALUE"""),"saletructiep_Canada.anhgiaotiepcanada.2040.giaotiep_PTATT_LD153")</f>
        <v>saletructiep_Canada.anhgiaotiepcanada.2040.giaotiep_PTATT_LD153</v>
      </c>
      <c r="T17" s="107" t="str">
        <f>IFERROR(__xludf.DUMMYFUNCTION("""COMPUTED_VALUE"""),"https://patadovietnam.edu.vn/tienganhgiaotiep_hn/?utm_source=Facebook&amp;utm_medium=MES&amp;utm_term=NEW_Canada_2040_none_150423&amp;utm_content=saletructiep_Canada.anhgiaotiepcanada.2040.giaotiep_PTATT_LD153&amp;utm_campaign=Canada.giaotiep.anhgiaotiepcanada_95360_MES_"&amp;"NamNH_150423")</f>
        <v>https://patadovietnam.edu.vn/tienganhgiaotiep_hn/?utm_source=Facebook&amp;utm_medium=MES&amp;utm_term=NEW_Canada_2040_none_150423&amp;utm_content=saletructiep_Canada.anhgiaotiepcanada.2040.giaotiep_PTATT_LD153&amp;utm_campaign=Canada.giaotiep.anhgiaotiepcanada_95360_MES_NamNH_150423</v>
      </c>
      <c r="U17" s="110" t="s">
        <v>1180</v>
      </c>
    </row>
    <row r="18">
      <c r="A18" s="72">
        <v>45031.0</v>
      </c>
      <c r="B18" s="60" t="s">
        <v>1134</v>
      </c>
      <c r="C18" s="67" t="str">
        <f>IFERROR(__xludf.DUMMYFUNCTION("""COMPUTED_VALUE"""),"LD153")</f>
        <v>LD153</v>
      </c>
      <c r="D18" s="55" t="s">
        <v>42</v>
      </c>
      <c r="E18" s="55" t="s">
        <v>79</v>
      </c>
      <c r="F18" s="55" t="s">
        <v>107</v>
      </c>
      <c r="G18" s="55">
        <v>1838.0</v>
      </c>
      <c r="H18" s="55" t="s">
        <v>1137</v>
      </c>
      <c r="I18" s="55" t="s">
        <v>1182</v>
      </c>
      <c r="J18" s="55" t="s">
        <v>1183</v>
      </c>
      <c r="K18" s="55" t="s">
        <v>61</v>
      </c>
      <c r="L18" s="55">
        <v>95360.0</v>
      </c>
      <c r="M18" s="55" t="s">
        <v>78</v>
      </c>
      <c r="N18" s="55" t="s">
        <v>79</v>
      </c>
      <c r="O18" s="55" t="s">
        <v>224</v>
      </c>
      <c r="P18" s="55" t="s">
        <v>110</v>
      </c>
      <c r="Q18" s="67" t="str">
        <f>IFERROR(__xludf.DUMMYFUNCTION("""COMPUTED_VALUE"""),"UnitedStates.giaotiep.TAgiaotiepHOAKY_95360_MES_NamNH_150423")</f>
        <v>UnitedStates.giaotiep.TAgiaotiepHOAKY_95360_MES_NamNH_150423</v>
      </c>
      <c r="R18" s="67" t="str">
        <f>IFERROR(__xludf.DUMMYFUNCTION("""COMPUTED_VALUE"""),"NEW_UnitedStates_1838_none_150423")</f>
        <v>NEW_UnitedStates_1838_none_150423</v>
      </c>
      <c r="S18" s="67" t="str">
        <f>IFERROR(__xludf.DUMMYFUNCTION("""COMPUTED_VALUE"""),"saletructiep_UnitedStates.TAgiaotiepHOAKY.1838.giaotiep_PTATT_LD153")</f>
        <v>saletructiep_UnitedStates.TAgiaotiepHOAKY.1838.giaotiep_PTATT_LD153</v>
      </c>
      <c r="T18" s="107" t="str">
        <f>IFERROR(__xludf.DUMMYFUNCTION("""COMPUTED_VALUE"""),"https://patadovietnam.edu.vn/tienganhgiaotiep_hn/?utm_source=Facebook&amp;utm_medium=MES&amp;utm_term=NEW_UnitedStates_1838_none_150423&amp;utm_content=saletructiep_UnitedStates.TAgiaotiepHOAKY.1838.giaotiep_PTATT_LD153&amp;utm_campaign=UnitedStates.giaotiep.TAgiaotiepHO"&amp;"AKY_95360_MES_NamNH_150423")</f>
        <v>https://patadovietnam.edu.vn/tienganhgiaotiep_hn/?utm_source=Facebook&amp;utm_medium=MES&amp;utm_term=NEW_UnitedStates_1838_none_150423&amp;utm_content=saletructiep_UnitedStates.TAgiaotiepHOAKY.1838.giaotiep_PTATT_LD153&amp;utm_campaign=UnitedStates.giaotiep.TAgiaotiepHOAKY_95360_MES_NamNH_150423</v>
      </c>
      <c r="U18" s="111" t="s">
        <v>1149</v>
      </c>
    </row>
    <row r="19">
      <c r="A19" s="72">
        <v>45033.0</v>
      </c>
      <c r="B19" s="60" t="s">
        <v>1134</v>
      </c>
      <c r="C19" s="67" t="str">
        <f>IFERROR(__xludf.DUMMYFUNCTION("""COMPUTED_VALUE"""),"LD153")</f>
        <v>LD153</v>
      </c>
      <c r="D19" s="55" t="s">
        <v>42</v>
      </c>
      <c r="E19" s="55" t="s">
        <v>79</v>
      </c>
      <c r="F19" s="55" t="s">
        <v>129</v>
      </c>
      <c r="G19" s="55">
        <v>1842.0</v>
      </c>
      <c r="H19" s="55" t="s">
        <v>1137</v>
      </c>
      <c r="I19" s="55" t="s">
        <v>1186</v>
      </c>
      <c r="J19" s="55" t="s">
        <v>1187</v>
      </c>
      <c r="K19" s="55" t="s">
        <v>61</v>
      </c>
      <c r="L19" s="55">
        <v>95360.0</v>
      </c>
      <c r="M19" s="55" t="s">
        <v>78</v>
      </c>
      <c r="N19" s="55" t="s">
        <v>79</v>
      </c>
      <c r="O19" s="55" t="s">
        <v>224</v>
      </c>
      <c r="P19" s="55" t="s">
        <v>110</v>
      </c>
      <c r="Q19" s="67" t="str">
        <f>IFERROR(__xludf.DUMMYFUNCTION("""COMPUTED_VALUE"""),"Australia.giaotiep.TAgiaotiepAUSTRALIA1_95360_MES_NamNH_170423")</f>
        <v>Australia.giaotiep.TAgiaotiepAUSTRALIA1_95360_MES_NamNH_170423</v>
      </c>
      <c r="R19" s="67" t="str">
        <f>IFERROR(__xludf.DUMMYFUNCTION("""COMPUTED_VALUE"""),"NEW_Australia_1842_none_170423")</f>
        <v>NEW_Australia_1842_none_170423</v>
      </c>
      <c r="S19" s="84" t="str">
        <f>IFERROR(__xludf.DUMMYFUNCTION("""COMPUTED_VALUE"""),"saletructiep_Australia.TAgiaotiepAUSTRALIA1.1842.giaotiep_PTATT_LD153")</f>
        <v>saletructiep_Australia.TAgiaotiepAUSTRALIA1.1842.giaotiep_PTATT_LD153</v>
      </c>
      <c r="T19" s="107" t="str">
        <f>IFERROR(__xludf.DUMMYFUNCTION("""COMPUTED_VALUE"""),"https://patadovietnam.edu.vn/tienganhgiaotiep_hn/?utm_source=Facebook&amp;utm_medium=MES&amp;utm_term=NEW_Australia_1842_none_170423&amp;utm_content=saletructiep_Australia.TAgiaotiepAUSTRALIA1.1842.giaotiep_PTATT_LD153&amp;utm_campaign=Australia.giaotiep.TAgiaotiepAUSTRA"&amp;"LIA1_95360_MES_NamNH_170423")</f>
        <v>https://patadovietnam.edu.vn/tienganhgiaotiep_hn/?utm_source=Facebook&amp;utm_medium=MES&amp;utm_term=NEW_Australia_1842_none_170423&amp;utm_content=saletructiep_Australia.TAgiaotiepAUSTRALIA1.1842.giaotiep_PTATT_LD153&amp;utm_campaign=Australia.giaotiep.TAgiaotiepAUSTRALIA1_95360_MES_NamNH_170423</v>
      </c>
      <c r="U19" s="110" t="s">
        <v>1154</v>
      </c>
    </row>
    <row r="20">
      <c r="A20" s="72">
        <v>45034.0</v>
      </c>
      <c r="B20" s="60" t="s">
        <v>1134</v>
      </c>
      <c r="C20" s="67" t="str">
        <f>IFERROR(__xludf.DUMMYFUNCTION("""COMPUTED_VALUE"""),"LD153")</f>
        <v>LD153</v>
      </c>
      <c r="D20" s="55" t="s">
        <v>42</v>
      </c>
      <c r="E20" s="55" t="s">
        <v>79</v>
      </c>
      <c r="F20" s="55" t="s">
        <v>674</v>
      </c>
      <c r="G20" s="55">
        <v>2042.0</v>
      </c>
      <c r="H20" s="55" t="s">
        <v>1137</v>
      </c>
      <c r="I20" s="55" t="s">
        <v>1189</v>
      </c>
      <c r="J20" s="55" t="s">
        <v>1190</v>
      </c>
      <c r="K20" s="55" t="s">
        <v>61</v>
      </c>
      <c r="L20" s="55">
        <v>95360.0</v>
      </c>
      <c r="M20" s="55" t="s">
        <v>78</v>
      </c>
      <c r="N20" s="55" t="s">
        <v>79</v>
      </c>
      <c r="O20" s="55" t="s">
        <v>224</v>
      </c>
      <c r="P20" s="55" t="s">
        <v>110</v>
      </c>
      <c r="Q20" s="67" t="str">
        <f>IFERROR(__xludf.DUMMYFUNCTION("""COMPUTED_VALUE"""),"Europe.giaotiep.TAgiaotiepEurope_95360_MES_NamNH_180423")</f>
        <v>Europe.giaotiep.TAgiaotiepEurope_95360_MES_NamNH_180423</v>
      </c>
      <c r="R20" s="67" t="str">
        <f>IFERROR(__xludf.DUMMYFUNCTION("""COMPUTED_VALUE"""),"NEW_Europe_2042_none_180423")</f>
        <v>NEW_Europe_2042_none_180423</v>
      </c>
      <c r="S20" s="67" t="str">
        <f>IFERROR(__xludf.DUMMYFUNCTION("""COMPUTED_VALUE"""),"saletructiep_Europe.TAgiaotiepeurope.2042.giaotiep_PTATT_LD153")</f>
        <v>saletructiep_Europe.TAgiaotiepeurope.2042.giaotiep_PTATT_LD153</v>
      </c>
      <c r="T20" s="107" t="str">
        <f>IFERROR(__xludf.DUMMYFUNCTION("""COMPUTED_VALUE"""),"https://patadovietnam.edu.vn/tienganhgiaotiep_hn/?utm_source=Facebook&amp;utm_medium=MES&amp;utm_term=NEW_Europe_2042_none_180423&amp;utm_content=saletructiep_Europe.TAgiaotiepeurope.2042.giaotiep_PTATT_LD153&amp;utm_campaign=Europe.giaotiep.TAgiaotiepEurope_95360_MES_Na"&amp;"mNH_180423")</f>
        <v>https://patadovietnam.edu.vn/tienganhgiaotiep_hn/?utm_source=Facebook&amp;utm_medium=MES&amp;utm_term=NEW_Europe_2042_none_180423&amp;utm_content=saletructiep_Europe.TAgiaotiepeurope.2042.giaotiep_PTATT_LD153&amp;utm_campaign=Europe.giaotiep.TAgiaotiepEurope_95360_MES_NamNH_180423</v>
      </c>
      <c r="U20" s="110" t="s">
        <v>1193</v>
      </c>
    </row>
    <row r="21">
      <c r="A21" s="72">
        <v>45035.0</v>
      </c>
      <c r="B21" s="75" t="s">
        <v>1194</v>
      </c>
      <c r="C21" s="67" t="str">
        <f>IFERROR(__xludf.DUMMYFUNCTION("""COMPUTED_VALUE"""),"LD155")</f>
        <v>LD155</v>
      </c>
      <c r="D21" s="55" t="s">
        <v>42</v>
      </c>
      <c r="E21" s="55" t="s">
        <v>79</v>
      </c>
      <c r="F21" s="55" t="s">
        <v>614</v>
      </c>
      <c r="G21" s="113">
        <v>2045.0</v>
      </c>
      <c r="H21" s="55" t="s">
        <v>1137</v>
      </c>
      <c r="I21" s="55" t="s">
        <v>1197</v>
      </c>
      <c r="J21" s="55" t="s">
        <v>1198</v>
      </c>
      <c r="K21" s="55" t="s">
        <v>61</v>
      </c>
      <c r="L21" s="55">
        <v>95360.0</v>
      </c>
      <c r="M21" s="55" t="s">
        <v>78</v>
      </c>
      <c r="N21" s="55" t="s">
        <v>79</v>
      </c>
      <c r="O21" s="55" t="s">
        <v>224</v>
      </c>
      <c r="P21" s="55" t="s">
        <v>110</v>
      </c>
      <c r="Q21" s="67" t="str">
        <f>IFERROR(__xludf.DUMMYFUNCTION("""COMPUTED_VALUE"""),"Korea.giaotiep.giaotiepkorea1_95360_MES_NamNH_190423")</f>
        <v>Korea.giaotiep.giaotiepkorea1_95360_MES_NamNH_190423</v>
      </c>
      <c r="R21" s="67" t="str">
        <f>IFERROR(__xludf.DUMMYFUNCTION("""COMPUTED_VALUE"""),"NEW_Korea_2045_none_190423")</f>
        <v>NEW_Korea_2045_none_190423</v>
      </c>
      <c r="S21" s="67" t="str">
        <f>IFERROR(__xludf.DUMMYFUNCTION("""COMPUTED_VALUE"""),"saletructiep_Korea.giaotiepkorea1.2045.giaotiep_PTATT_LD155")</f>
        <v>saletructiep_Korea.giaotiepkorea1.2045.giaotiep_PTATT_LD155</v>
      </c>
      <c r="T21" s="107" t="str">
        <f>IFERROR(__xludf.DUMMYFUNCTION("""COMPUTED_VALUE"""),"https://patadovietnam.edu.vn/tienganhgiaotiepkorea_nhn/?utm_source=Facebook&amp;utm_medium=MES&amp;utm_term=NEW_Korea_2045_none_190423&amp;utm_content=saletructiep_Korea.giaotiepkorea1.2045.giaotiep_PTATT_LD155&amp;utm_campaign=Korea.giaotiep.giaotiepkorea1_95360_MES_Nam"&amp;"NH_190423")</f>
        <v>https://patadovietnam.edu.vn/tienganhgiaotiepkorea_nhn/?utm_source=Facebook&amp;utm_medium=MES&amp;utm_term=NEW_Korea_2045_none_190423&amp;utm_content=saletructiep_Korea.giaotiepkorea1.2045.giaotiep_PTATT_LD155&amp;utm_campaign=Korea.giaotiep.giaotiepkorea1_95360_MES_NamNH_190423</v>
      </c>
      <c r="U21" s="110" t="s">
        <v>1199</v>
      </c>
    </row>
    <row r="22">
      <c r="A22" s="72">
        <v>45035.0</v>
      </c>
      <c r="B22" s="60" t="s">
        <v>1134</v>
      </c>
      <c r="C22" s="67" t="str">
        <f>IFERROR(__xludf.DUMMYFUNCTION("""COMPUTED_VALUE"""),"LD153")</f>
        <v>LD153</v>
      </c>
      <c r="D22" s="55" t="s">
        <v>42</v>
      </c>
      <c r="E22" s="55" t="s">
        <v>79</v>
      </c>
      <c r="F22" s="55" t="s">
        <v>129</v>
      </c>
      <c r="G22" s="113">
        <v>2045.0</v>
      </c>
      <c r="H22" s="55" t="s">
        <v>1137</v>
      </c>
      <c r="I22" s="55" t="s">
        <v>1150</v>
      </c>
      <c r="J22" s="55" t="s">
        <v>1151</v>
      </c>
      <c r="K22" s="55" t="s">
        <v>61</v>
      </c>
      <c r="L22" s="55">
        <v>95360.0</v>
      </c>
      <c r="M22" s="55" t="s">
        <v>78</v>
      </c>
      <c r="N22" s="55" t="s">
        <v>79</v>
      </c>
      <c r="O22" s="55" t="s">
        <v>224</v>
      </c>
      <c r="P22" s="55" t="s">
        <v>110</v>
      </c>
      <c r="Q22" s="67" t="str">
        <f>IFERROR(__xludf.DUMMYFUNCTION("""COMPUTED_VALUE"""),"Australia.giaotiep.anhgiaotiep2_95360_MES_NamNH_190423")</f>
        <v>Australia.giaotiep.anhgiaotiep2_95360_MES_NamNH_190423</v>
      </c>
      <c r="R22" s="67" t="str">
        <f>IFERROR(__xludf.DUMMYFUNCTION("""COMPUTED_VALUE"""),"NEW_Australia_2045_none_190423")</f>
        <v>NEW_Australia_2045_none_190423</v>
      </c>
      <c r="S22" s="67" t="str">
        <f>IFERROR(__xludf.DUMMYFUNCTION("""COMPUTED_VALUE"""),"saletructiep_Australia.anhgiaotiep2.2045.giaotiep_PTATT_LD153")</f>
        <v>saletructiep_Australia.anhgiaotiep2.2045.giaotiep_PTATT_LD153</v>
      </c>
      <c r="T22" s="107" t="str">
        <f>IFERROR(__xludf.DUMMYFUNCTION("""COMPUTED_VALUE"""),"https://patadovietnam.edu.vn/tienganhgiaotiep_hn/?utm_source=Facebook&amp;utm_medium=MES&amp;utm_term=NEW_Australia_2045_none_190423&amp;utm_content=saletructiep_Australia.anhgiaotiep2.2045.giaotiep_PTATT_LD153&amp;utm_campaign=Australia.giaotiep.anhgiaotiep2_95360_MES_N"&amp;"amNH_190423")</f>
        <v>https://patadovietnam.edu.vn/tienganhgiaotiep_hn/?utm_source=Facebook&amp;utm_medium=MES&amp;utm_term=NEW_Australia_2045_none_190423&amp;utm_content=saletructiep_Australia.anhgiaotiep2.2045.giaotiep_PTATT_LD153&amp;utm_campaign=Australia.giaotiep.anhgiaotiep2_95360_MES_NamNH_190423</v>
      </c>
      <c r="U22" s="110" t="s">
        <v>1154</v>
      </c>
    </row>
    <row r="23">
      <c r="A23" s="72">
        <v>45037.0</v>
      </c>
      <c r="B23" s="75" t="s">
        <v>1203</v>
      </c>
      <c r="C23" s="67" t="str">
        <f>IFERROR(__xludf.DUMMYFUNCTION("""COMPUTED_VALUE"""),"LD156")</f>
        <v>LD156</v>
      </c>
      <c r="D23" s="55" t="s">
        <v>42</v>
      </c>
      <c r="E23" s="55" t="s">
        <v>79</v>
      </c>
      <c r="F23" s="55" t="s">
        <v>133</v>
      </c>
      <c r="G23" s="55">
        <v>1842.0</v>
      </c>
      <c r="H23" s="55" t="s">
        <v>1137</v>
      </c>
      <c r="I23" s="55" t="s">
        <v>1204</v>
      </c>
      <c r="J23" s="55" t="s">
        <v>1205</v>
      </c>
      <c r="K23" s="55" t="s">
        <v>61</v>
      </c>
      <c r="L23" s="55">
        <v>95360.0</v>
      </c>
      <c r="M23" s="55" t="s">
        <v>78</v>
      </c>
      <c r="N23" s="55" t="s">
        <v>79</v>
      </c>
      <c r="O23" s="55" t="s">
        <v>224</v>
      </c>
      <c r="P23" s="55" t="s">
        <v>110</v>
      </c>
      <c r="Q23" s="67" t="str">
        <f>IFERROR(__xludf.DUMMYFUNCTION("""COMPUTED_VALUE"""),"Japan.giaotiep.giaotiepjapan1_95360_MES_NamNH_210423")</f>
        <v>Japan.giaotiep.giaotiepjapan1_95360_MES_NamNH_210423</v>
      </c>
      <c r="R23" s="67" t="str">
        <f>IFERROR(__xludf.DUMMYFUNCTION("""COMPUTED_VALUE"""),"NEW_Japan_1842_none_210423")</f>
        <v>NEW_Japan_1842_none_210423</v>
      </c>
      <c r="S23" s="67" t="str">
        <f>IFERROR(__xludf.DUMMYFUNCTION("""COMPUTED_VALUE"""),"saletructiep_Japan.giaotiepjapan1.1842.giaotiep_PTATT_LD156")</f>
        <v>saletructiep_Japan.giaotiepjapan1.1842.giaotiep_PTATT_LD156</v>
      </c>
      <c r="T23" s="107" t="str">
        <f>IFERROR(__xludf.DUMMYFUNCTION("""COMPUTED_VALUE"""),"https://patadovietnam.edu.vn/gtjapan_namnh/?utm_source=Facebook&amp;utm_medium=MES&amp;utm_term=NEW_Japan_1842_none_210423&amp;utm_content=saletructiep_Japan.giaotiepjapan1.1842.giaotiep_PTATT_LD156&amp;utm_campaign=Japan.giaotiep.giaotiepjapan1_95360_MES_NamNH_210423")</f>
        <v>https://patadovietnam.edu.vn/gtjapan_namnh/?utm_source=Facebook&amp;utm_medium=MES&amp;utm_term=NEW_Japan_1842_none_210423&amp;utm_content=saletructiep_Japan.giaotiepjapan1.1842.giaotiep_PTATT_LD156&amp;utm_campaign=Japan.giaotiep.giaotiepjapan1_95360_MES_NamNH_210423</v>
      </c>
      <c r="U23" s="111" t="s">
        <v>1209</v>
      </c>
    </row>
    <row r="24">
      <c r="A24" s="72">
        <v>45037.0</v>
      </c>
      <c r="B24" s="60" t="s">
        <v>1134</v>
      </c>
      <c r="C24" s="67" t="str">
        <f>IFERROR(__xludf.DUMMYFUNCTION("""COMPUTED_VALUE"""),"LD153")</f>
        <v>LD153</v>
      </c>
      <c r="D24" s="55" t="s">
        <v>42</v>
      </c>
      <c r="E24" s="55" t="s">
        <v>79</v>
      </c>
      <c r="F24" s="55" t="s">
        <v>174</v>
      </c>
      <c r="G24" s="55">
        <v>1840.0</v>
      </c>
      <c r="H24" s="55" t="s">
        <v>1137</v>
      </c>
      <c r="I24" s="55" t="s">
        <v>1210</v>
      </c>
      <c r="J24" s="55" t="s">
        <v>1211</v>
      </c>
      <c r="K24" s="55" t="s">
        <v>61</v>
      </c>
      <c r="L24" s="55">
        <v>95360.0</v>
      </c>
      <c r="M24" s="55" t="s">
        <v>78</v>
      </c>
      <c r="N24" s="55" t="s">
        <v>79</v>
      </c>
      <c r="O24" s="55" t="s">
        <v>224</v>
      </c>
      <c r="P24" s="55" t="s">
        <v>110</v>
      </c>
      <c r="Q24" s="67" t="str">
        <f>IFERROR(__xludf.DUMMYFUNCTION("""COMPUTED_VALUE"""),"Philipines.giao.tiep.GTPHILIPINES1_95360_MES_NamNH_210423")</f>
        <v>Philipines.giao.tiep.GTPHILIPINES1_95360_MES_NamNH_210423</v>
      </c>
      <c r="R24" s="67" t="str">
        <f>IFERROR(__xludf.DUMMYFUNCTION("""COMPUTED_VALUE"""),"NEW_Philippines_1840_none_210423")</f>
        <v>NEW_Philippines_1840_none_210423</v>
      </c>
      <c r="S24" s="67" t="str">
        <f>IFERROR(__xludf.DUMMYFUNCTION("""COMPUTED_VALUE"""),"saletructiep_Philipines.GTPHILIPINES1.1840.giaotiep_PTATT_LD153")</f>
        <v>saletructiep_Philipines.GTPHILIPINES1.1840.giaotiep_PTATT_LD153</v>
      </c>
      <c r="T24" s="107" t="str">
        <f>IFERROR(__xludf.DUMMYFUNCTION("""COMPUTED_VALUE"""),"https://patadovietnam.edu.vn/tienganhgiaotiep_hn/?utm_source=Facebook&amp;utm_medium=MES&amp;utm_term=NEW_Philippines_1840_none_210423&amp;utm_content=saletructiep_Philipines.GTPHILIPINES1.1840.giaotiep_PTATT_LD153&amp;utm_campaign=Philipines.giao.tiep.GTPHILIPINES1_9536"&amp;"0_MES_NamNH_210423")</f>
        <v>https://patadovietnam.edu.vn/tienganhgiaotiep_hn/?utm_source=Facebook&amp;utm_medium=MES&amp;utm_term=NEW_Philippines_1840_none_210423&amp;utm_content=saletructiep_Philipines.GTPHILIPINES1.1840.giaotiep_PTATT_LD153&amp;utm_campaign=Philipines.giao.tiep.GTPHILIPINES1_95360_MES_NamNH_210423</v>
      </c>
      <c r="U24" s="110" t="s">
        <v>1214</v>
      </c>
    </row>
    <row r="25">
      <c r="A25" s="72">
        <v>45040.0</v>
      </c>
      <c r="B25" s="75" t="s">
        <v>1216</v>
      </c>
      <c r="C25" s="67" t="str">
        <f>IFERROR(__xludf.DUMMYFUNCTION("""COMPUTED_VALUE"""),"LD157")</f>
        <v>LD157</v>
      </c>
      <c r="D25" s="55" t="s">
        <v>42</v>
      </c>
      <c r="E25" s="55" t="s">
        <v>79</v>
      </c>
      <c r="F25" s="55" t="s">
        <v>133</v>
      </c>
      <c r="G25" s="55">
        <v>2043.0</v>
      </c>
      <c r="H25" s="55" t="s">
        <v>1137</v>
      </c>
      <c r="I25" s="55" t="s">
        <v>1217</v>
      </c>
      <c r="J25" s="55" t="s">
        <v>1218</v>
      </c>
      <c r="K25" s="55" t="s">
        <v>61</v>
      </c>
      <c r="L25" s="55">
        <v>95360.0</v>
      </c>
      <c r="M25" s="55" t="s">
        <v>78</v>
      </c>
      <c r="N25" s="55" t="s">
        <v>79</v>
      </c>
      <c r="O25" s="55" t="s">
        <v>224</v>
      </c>
      <c r="P25" s="55" t="s">
        <v>110</v>
      </c>
      <c r="Q25" s="67" t="str">
        <f>IFERROR(__xludf.DUMMYFUNCTION("""COMPUTED_VALUE"""),"Japan.giaotiep.giaotiepjapan2_95360_MES_NamNH_240423")</f>
        <v>Japan.giaotiep.giaotiepjapan2_95360_MES_NamNH_240423</v>
      </c>
      <c r="R25" s="67" t="str">
        <f>IFERROR(__xludf.DUMMYFUNCTION("""COMPUTED_VALUE"""),"NEW_Japan_2043_none_240423")</f>
        <v>NEW_Japan_2043_none_240423</v>
      </c>
      <c r="S25" s="67" t="str">
        <f>IFERROR(__xludf.DUMMYFUNCTION("""COMPUTED_VALUE"""),"saletructiep_Japan.giaotiepjapan2.2043.giaotiep_PTATT_LD157")</f>
        <v>saletructiep_Japan.giaotiepjapan2.2043.giaotiep_PTATT_LD157</v>
      </c>
      <c r="T25" s="107" t="str">
        <f>IFERROR(__xludf.DUMMYFUNCTION("""COMPUTED_VALUE"""),"https://patadovietnam.edu.vn/gtjapan_namnh1/?utm_source=Facebook&amp;utm_medium=MES&amp;utm_term=NEW_Japan_2043_none_240423&amp;utm_content=saletructiep_Japan.giaotiepjapan2.2043.giaotiep_PTATT_LD157&amp;utm_campaign=Japan.giaotiep.giaotiepjapan2_95360_MES_NamNH_240423")</f>
        <v>https://patadovietnam.edu.vn/gtjapan_namnh1/?utm_source=Facebook&amp;utm_medium=MES&amp;utm_term=NEW_Japan_2043_none_240423&amp;utm_content=saletructiep_Japan.giaotiepjapan2.2043.giaotiep_PTATT_LD157&amp;utm_campaign=Japan.giaotiep.giaotiepjapan2_95360_MES_NamNH_240423</v>
      </c>
      <c r="U25" s="110" t="s">
        <v>1220</v>
      </c>
    </row>
    <row r="26">
      <c r="A26" s="72">
        <v>45041.0</v>
      </c>
      <c r="B26" s="75" t="s">
        <v>1224</v>
      </c>
      <c r="C26" s="67" t="str">
        <f>IFERROR(__xludf.DUMMYFUNCTION("""COMPUTED_VALUE"""),"LD158")</f>
        <v>LD158</v>
      </c>
      <c r="D26" s="55" t="s">
        <v>42</v>
      </c>
      <c r="E26" s="55" t="s">
        <v>69</v>
      </c>
      <c r="F26" s="55" t="s">
        <v>107</v>
      </c>
      <c r="G26" s="55">
        <v>2043.0</v>
      </c>
      <c r="H26" s="55" t="s">
        <v>1137</v>
      </c>
      <c r="I26" s="55" t="s">
        <v>1225</v>
      </c>
      <c r="J26" s="55" t="s">
        <v>1226</v>
      </c>
      <c r="K26" s="55" t="s">
        <v>61</v>
      </c>
      <c r="L26" s="55">
        <v>95360.0</v>
      </c>
      <c r="M26" s="55" t="s">
        <v>78</v>
      </c>
      <c r="N26" s="55" t="s">
        <v>69</v>
      </c>
      <c r="O26" s="55" t="s">
        <v>224</v>
      </c>
      <c r="P26" s="55" t="s">
        <v>110</v>
      </c>
      <c r="Q26" s="67" t="str">
        <f>IFERROR(__xludf.DUMMYFUNCTION("""COMPUTED_VALUE"""),"Unitedstates.giaotiep.giaotiepmy_nhn_95360_CVS_NamNH_250423")</f>
        <v>Unitedstates.giaotiep.giaotiepmy_nhn_95360_CVS_NamNH_250423</v>
      </c>
      <c r="R26" s="67" t="str">
        <f>IFERROR(__xludf.DUMMYFUNCTION("""COMPUTED_VALUE"""),"NEW_UnitedStates_2043_none_250423")</f>
        <v>NEW_UnitedStates_2043_none_250423</v>
      </c>
      <c r="S26" s="67" t="str">
        <f>IFERROR(__xludf.DUMMYFUNCTION("""COMPUTED_VALUE"""),"saletructiep_Unitedstates.giaotiepmy_nhn.2043.giaotiep_PTATT_LD158")</f>
        <v>saletructiep_Unitedstates.giaotiepmy_nhn.2043.giaotiep_PTATT_LD158</v>
      </c>
      <c r="T26" s="107" t="str">
        <f>IFERROR(__xludf.DUMMYFUNCTION("""COMPUTED_VALUE"""),"https://patadovietnam.edu.vn/gtusa_namnh/?utm_source=Facebook&amp;utm_medium=CVS&amp;utm_term=NEW_UnitedStates_2043_none_250423&amp;utm_content=saletructiep_Unitedstates.giaotiepmy_nhn.2043.giaotiep_PTATT_LD158&amp;utm_campaign=Unitedstates.giaotiep.giaotiepmy_nhn_95360_"&amp;"CVS_NamNH_250423")</f>
        <v>https://patadovietnam.edu.vn/gtusa_namnh/?utm_source=Facebook&amp;utm_medium=CVS&amp;utm_term=NEW_UnitedStates_2043_none_250423&amp;utm_content=saletructiep_Unitedstates.giaotiepmy_nhn.2043.giaotiep_PTATT_LD158&amp;utm_campaign=Unitedstates.giaotiep.giaotiepmy_nhn_95360_CVS_NamNH_250423</v>
      </c>
      <c r="U26" s="110" t="s">
        <v>1230</v>
      </c>
    </row>
    <row r="27">
      <c r="A27" s="72">
        <v>45042.0</v>
      </c>
      <c r="B27" s="75" t="s">
        <v>1231</v>
      </c>
      <c r="C27" s="67" t="str">
        <f>IFERROR(__xludf.DUMMYFUNCTION("""COMPUTED_VALUE"""),"LD159")</f>
        <v>LD159</v>
      </c>
      <c r="D27" s="55" t="s">
        <v>42</v>
      </c>
      <c r="E27" s="55" t="s">
        <v>69</v>
      </c>
      <c r="F27" s="55" t="s">
        <v>828</v>
      </c>
      <c r="G27" s="55">
        <v>2043.0</v>
      </c>
      <c r="H27" s="55" t="s">
        <v>1137</v>
      </c>
      <c r="I27" s="55" t="s">
        <v>1161</v>
      </c>
      <c r="J27" s="55" t="s">
        <v>1234</v>
      </c>
      <c r="K27" s="55" t="s">
        <v>61</v>
      </c>
      <c r="L27" s="55">
        <v>95360.0</v>
      </c>
      <c r="M27" s="55" t="s">
        <v>78</v>
      </c>
      <c r="N27" s="55" t="s">
        <v>69</v>
      </c>
      <c r="O27" s="55" t="s">
        <v>224</v>
      </c>
      <c r="P27" s="55" t="s">
        <v>110</v>
      </c>
      <c r="Q27" s="67" t="str">
        <f>IFERROR(__xludf.DUMMYFUNCTION("""COMPUTED_VALUE"""),"Asia.giaotiep.anhgiaotiep4_95360_CVS_NamNH_260423")</f>
        <v>Asia.giaotiep.anhgiaotiep4_95360_CVS_NamNH_260423</v>
      </c>
      <c r="R27" s="67" t="str">
        <f>IFERROR(__xludf.DUMMYFUNCTION("""COMPUTED_VALUE"""),"NEW_Asia_2043_none_260423")</f>
        <v>NEW_Asia_2043_none_260423</v>
      </c>
      <c r="S27" s="117" t="str">
        <f>IFERROR(__xludf.DUMMYFUNCTION("""COMPUTED_VALUE"""),"saletructiep_Asia.anhgiaotiep4.2043.giaotiep_PTATT_LD159")</f>
        <v>saletructiep_Asia.anhgiaotiep4.2043.giaotiep_PTATT_LD159</v>
      </c>
      <c r="T27" s="107" t="str">
        <f>IFERROR(__xludf.DUMMYFUNCTION("""COMPUTED_VALUE"""),"https://patadovietnam.edu.vn/tagiaotiep_nhn/?utm_source=Facebook&amp;utm_medium=CVS&amp;utm_term=NEW_Asia_2043_none_260423&amp;utm_content=saletructiep_Asia.anhgiaotiep4.2043.giaotiep_PTATT_LD159&amp;utm_campaign=Asia.giaotiep.anhgiaotiep4_95360_CVS_NamNH_260423")</f>
        <v>https://patadovietnam.edu.vn/tagiaotiep_nhn/?utm_source=Facebook&amp;utm_medium=CVS&amp;utm_term=NEW_Asia_2043_none_260423&amp;utm_content=saletructiep_Asia.anhgiaotiep4.2043.giaotiep_PTATT_LD159&amp;utm_campaign=Asia.giaotiep.anhgiaotiep4_95360_CVS_NamNH_260423</v>
      </c>
      <c r="U27" s="111" t="s">
        <v>1237</v>
      </c>
    </row>
    <row r="28">
      <c r="A28" s="72">
        <v>45042.0</v>
      </c>
      <c r="B28" s="75" t="s">
        <v>1240</v>
      </c>
      <c r="C28" s="67" t="str">
        <f>IFERROR(__xludf.DUMMYFUNCTION("""COMPUTED_VALUE"""),"LD160")</f>
        <v>LD160</v>
      </c>
      <c r="D28" s="55" t="s">
        <v>42</v>
      </c>
      <c r="E28" s="55" t="s">
        <v>69</v>
      </c>
      <c r="F28" s="55" t="s">
        <v>133</v>
      </c>
      <c r="G28" s="55">
        <v>1840.0</v>
      </c>
      <c r="H28" s="55" t="s">
        <v>1137</v>
      </c>
      <c r="I28" s="55" t="s">
        <v>1242</v>
      </c>
      <c r="J28" s="55" t="s">
        <v>1243</v>
      </c>
      <c r="K28" s="55" t="s">
        <v>61</v>
      </c>
      <c r="L28" s="55">
        <v>95360.0</v>
      </c>
      <c r="M28" s="55" t="s">
        <v>78</v>
      </c>
      <c r="N28" s="55" t="s">
        <v>69</v>
      </c>
      <c r="O28" s="55" t="s">
        <v>224</v>
      </c>
      <c r="P28" s="55" t="s">
        <v>110</v>
      </c>
      <c r="Q28" s="67" t="str">
        <f>IFERROR(__xludf.DUMMYFUNCTION("""COMPUTED_VALUE"""),"Japan.giaotiep.GTJAPAN_95360_CVS_NamNH_260423")</f>
        <v>Japan.giaotiep.GTJAPAN_95360_CVS_NamNH_260423</v>
      </c>
      <c r="R28" s="67" t="str">
        <f>IFERROR(__xludf.DUMMYFUNCTION("""COMPUTED_VALUE"""),"NEW_Japan_1840_none_260423")</f>
        <v>NEW_Japan_1840_none_260423</v>
      </c>
      <c r="S28" s="67" t="str">
        <f>IFERROR(__xludf.DUMMYFUNCTION("""COMPUTED_VALUE"""),"saletructiep_Japan.GTJAPAN.1840.giaotiep_PTATT_LD160")</f>
        <v>saletructiep_Japan.GTJAPAN.1840.giaotiep_PTATT_LD160</v>
      </c>
      <c r="T28" s="107" t="str">
        <f>IFERROR(__xludf.DUMMYFUNCTION("""COMPUTED_VALUE"""),"https://patadovietnam.edu.vn/gtjapannm_nhn/?utm_source=Facebook&amp;utm_medium=CVS&amp;utm_term=NEW_Japan_1840_none_260423&amp;utm_content=saletructiep_Japan.GTJAPAN.1840.giaotiep_PTATT_LD160&amp;utm_campaign=Japan.giaotiep.GTJAPAN_95360_CVS_NamNH_260423")</f>
        <v>https://patadovietnam.edu.vn/gtjapannm_nhn/?utm_source=Facebook&amp;utm_medium=CVS&amp;utm_term=NEW_Japan_1840_none_260423&amp;utm_content=saletructiep_Japan.GTJAPAN.1840.giaotiep_PTATT_LD160&amp;utm_campaign=Japan.giaotiep.GTJAPAN_95360_CVS_NamNH_260423</v>
      </c>
      <c r="U28" s="110" t="s">
        <v>1246</v>
      </c>
    </row>
    <row r="29">
      <c r="A29" s="72">
        <v>45048.0</v>
      </c>
      <c r="B29" s="75" t="s">
        <v>1245</v>
      </c>
      <c r="C29" s="67" t="str">
        <f>IFERROR(__xludf.DUMMYFUNCTION("""COMPUTED_VALUE"""),"LD161")</f>
        <v>LD161</v>
      </c>
      <c r="D29" s="55" t="s">
        <v>42</v>
      </c>
      <c r="E29" s="55" t="s">
        <v>79</v>
      </c>
      <c r="F29" s="55" t="s">
        <v>107</v>
      </c>
      <c r="G29" s="55">
        <v>2045.0</v>
      </c>
      <c r="H29" s="55" t="s">
        <v>1137</v>
      </c>
      <c r="I29" s="55" t="s">
        <v>1225</v>
      </c>
      <c r="J29" s="55" t="s">
        <v>1248</v>
      </c>
      <c r="K29" s="55" t="s">
        <v>61</v>
      </c>
      <c r="L29" s="55">
        <v>95360.0</v>
      </c>
      <c r="M29" s="55" t="s">
        <v>78</v>
      </c>
      <c r="N29" s="55" t="s">
        <v>69</v>
      </c>
      <c r="O29" s="55" t="s">
        <v>224</v>
      </c>
      <c r="P29" s="55" t="s">
        <v>110</v>
      </c>
      <c r="Q29" s="67" t="str">
        <f>IFERROR(__xludf.DUMMYFUNCTION("""COMPUTED_VALUE"""),"Unitedstates.giaotiep.giaotiepmy_nhn_95360_CVS_NamNH_020523")</f>
        <v>Unitedstates.giaotiep.giaotiepmy_nhn_95360_CVS_NamNH_020523</v>
      </c>
      <c r="R29" s="67" t="str">
        <f>IFERROR(__xludf.DUMMYFUNCTION("""COMPUTED_VALUE"""),"NEW_UnitedStates_2045_none_020523")</f>
        <v>NEW_UnitedStates_2045_none_020523</v>
      </c>
      <c r="S29" s="67" t="str">
        <f>IFERROR(__xludf.DUMMYFUNCTION("""COMPUTED_VALUE"""),"saletructiep_Unitedstates.giaotiepmy_nhn.2045.giaotiep_PTATT_LD161")</f>
        <v>saletructiep_Unitedstates.giaotiepmy_nhn.2045.giaotiep_PTATT_LD161</v>
      </c>
      <c r="T29" s="107" t="str">
        <f>IFERROR(__xludf.DUMMYFUNCTION("""COMPUTED_VALUE"""),"https://patadovietnam.edu.vn/gtusa1_nhn/?utm_source=Facebook&amp;utm_medium=MES&amp;utm_term=NEW_UnitedStates_2045_none_020523&amp;utm_content=saletructiep_Unitedstates.giaotiepmy_nhn.2045.giaotiep_PTATT_LD161&amp;utm_campaign=Unitedstates.giaotiep.giaotiepmy_nhn_95360_C"&amp;"VS_NamNH_020523")</f>
        <v>https://patadovietnam.edu.vn/gtusa1_nhn/?utm_source=Facebook&amp;utm_medium=MES&amp;utm_term=NEW_UnitedStates_2045_none_020523&amp;utm_content=saletructiep_Unitedstates.giaotiepmy_nhn.2045.giaotiep_PTATT_LD161&amp;utm_campaign=Unitedstates.giaotiep.giaotiepmy_nhn_95360_CVS_NamNH_020523</v>
      </c>
      <c r="U29" s="110" t="s">
        <v>1251</v>
      </c>
    </row>
    <row r="30">
      <c r="A30" s="72">
        <v>45049.0</v>
      </c>
      <c r="B30" s="75" t="s">
        <v>1216</v>
      </c>
      <c r="C30" s="67" t="str">
        <f>IFERROR(__xludf.DUMMYFUNCTION("""COMPUTED_VALUE"""),"LD157")</f>
        <v>LD157</v>
      </c>
      <c r="D30" s="55" t="s">
        <v>42</v>
      </c>
      <c r="E30" s="55" t="s">
        <v>79</v>
      </c>
      <c r="F30" s="55" t="s">
        <v>133</v>
      </c>
      <c r="G30" s="55">
        <v>2040.0</v>
      </c>
      <c r="H30" s="55" t="s">
        <v>1137</v>
      </c>
      <c r="I30" s="55" t="s">
        <v>1254</v>
      </c>
      <c r="J30" s="55" t="s">
        <v>1255</v>
      </c>
      <c r="K30" s="55" t="s">
        <v>61</v>
      </c>
      <c r="L30" s="55">
        <v>95360.0</v>
      </c>
      <c r="M30" s="55" t="s">
        <v>78</v>
      </c>
      <c r="N30" s="55" t="s">
        <v>79</v>
      </c>
      <c r="O30" s="55" t="s">
        <v>224</v>
      </c>
      <c r="P30" s="55" t="s">
        <v>110</v>
      </c>
      <c r="Q30" s="67" t="str">
        <f>IFERROR(__xludf.DUMMYFUNCTION("""COMPUTED_VALUE"""),"Japan.giaotiep.GTJAPAN2_95360_MES_NamNH_030523")</f>
        <v>Japan.giaotiep.GTJAPAN2_95360_MES_NamNH_030523</v>
      </c>
      <c r="R30" s="67" t="str">
        <f>IFERROR(__xludf.DUMMYFUNCTION("""COMPUTED_VALUE"""),"NEW_Japan_2040_none_030523")</f>
        <v>NEW_Japan_2040_none_030523</v>
      </c>
      <c r="S30" s="67" t="str">
        <f>IFERROR(__xludf.DUMMYFUNCTION("""COMPUTED_VALUE"""),"saletructiep_Japan.GTJAPAN2.2040.giaotiep_PTATT_LD157")</f>
        <v>saletructiep_Japan.GTJAPAN2.2040.giaotiep_PTATT_LD157</v>
      </c>
      <c r="T30" s="107" t="str">
        <f>IFERROR(__xludf.DUMMYFUNCTION("""COMPUTED_VALUE"""),"https://patadovietnam.edu.vn/gtjapan_namnh1/?utm_source=Facebook&amp;utm_medium=MES&amp;utm_term=NEW_Japan_2040_none_030523&amp;utm_content=saletructiep_Japan.GTJAPAN2.2040.giaotiep_PTATT_LD157&amp;utm_campaign=Japan.giaotiep.GTJAPAN2_95360_MES_NamNH_030523")</f>
        <v>https://patadovietnam.edu.vn/gtjapan_namnh1/?utm_source=Facebook&amp;utm_medium=MES&amp;utm_term=NEW_Japan_2040_none_030523&amp;utm_content=saletructiep_Japan.GTJAPAN2.2040.giaotiep_PTATT_LD157&amp;utm_campaign=Japan.giaotiep.GTJAPAN2_95360_MES_NamNH_030523</v>
      </c>
      <c r="U30" s="110" t="s">
        <v>1220</v>
      </c>
    </row>
    <row r="31">
      <c r="A31" s="72">
        <v>45050.0</v>
      </c>
      <c r="B31" s="75" t="s">
        <v>1134</v>
      </c>
      <c r="C31" s="67" t="str">
        <f>IFERROR(__xludf.DUMMYFUNCTION("""COMPUTED_VALUE"""),"LD153")</f>
        <v>LD153</v>
      </c>
      <c r="D31" s="55" t="s">
        <v>42</v>
      </c>
      <c r="E31" s="55" t="s">
        <v>79</v>
      </c>
      <c r="F31" s="55" t="s">
        <v>164</v>
      </c>
      <c r="G31" s="55">
        <v>1840.0</v>
      </c>
      <c r="H31" s="55" t="s">
        <v>1137</v>
      </c>
      <c r="I31" s="55" t="s">
        <v>1259</v>
      </c>
      <c r="J31" s="55" t="s">
        <v>1260</v>
      </c>
      <c r="K31" s="55" t="s">
        <v>61</v>
      </c>
      <c r="L31" s="55">
        <v>95360.0</v>
      </c>
      <c r="M31" s="55" t="s">
        <v>78</v>
      </c>
      <c r="N31" s="55" t="s">
        <v>79</v>
      </c>
      <c r="O31" s="55" t="s">
        <v>224</v>
      </c>
      <c r="P31" s="55" t="s">
        <v>110</v>
      </c>
      <c r="Q31" s="67" t="str">
        <f>IFERROR(__xludf.DUMMYFUNCTION("""COMPUTED_VALUE"""),"Taiwan.giaotiep.GTtaiwan_95360_MES_NamNH_040523")</f>
        <v>Taiwan.giaotiep.GTtaiwan_95360_MES_NamNH_040523</v>
      </c>
      <c r="R31" s="67" t="str">
        <f>IFERROR(__xludf.DUMMYFUNCTION("""COMPUTED_VALUE"""),"NEW_Taiwan_1840_none_040523")</f>
        <v>NEW_Taiwan_1840_none_040523</v>
      </c>
      <c r="S31" s="67" t="str">
        <f>IFERROR(__xludf.DUMMYFUNCTION("""COMPUTED_VALUE"""),"saletructiep_Taiwan.GTtaiwan.1840.giaotiep_PTATT_LD153")</f>
        <v>saletructiep_Taiwan.GTtaiwan.1840.giaotiep_PTATT_LD153</v>
      </c>
      <c r="T31" s="107" t="str">
        <f>IFERROR(__xludf.DUMMYFUNCTION("""COMPUTED_VALUE"""),"https://patadovietnam.edu.vn/tienganhgiaotiep_hn/?utm_source=Facebook&amp;utm_medium=MES&amp;utm_term=NEW_Taiwan_1840_none_040523&amp;utm_content=saletructiep_Taiwan.GTtaiwan.1840.giaotiep_PTATT_LD153&amp;utm_campaign=Taiwan.giaotiep.GTtaiwan_95360_MES_NamNH_040523")</f>
        <v>https://patadovietnam.edu.vn/tienganhgiaotiep_hn/?utm_source=Facebook&amp;utm_medium=MES&amp;utm_term=NEW_Taiwan_1840_none_040523&amp;utm_content=saletructiep_Taiwan.GTtaiwan.1840.giaotiep_PTATT_LD153&amp;utm_campaign=Taiwan.giaotiep.GTtaiwan_95360_MES_NamNH_040523</v>
      </c>
      <c r="U31" s="110" t="s">
        <v>1265</v>
      </c>
    </row>
    <row r="32">
      <c r="A32" s="72">
        <v>45050.0</v>
      </c>
      <c r="B32" s="75" t="s">
        <v>1269</v>
      </c>
      <c r="C32" s="67" t="str">
        <f>IFERROR(__xludf.DUMMYFUNCTION("""COMPUTED_VALUE"""),"LD162")</f>
        <v>LD162</v>
      </c>
      <c r="D32" s="55" t="s">
        <v>42</v>
      </c>
      <c r="E32" s="55" t="s">
        <v>69</v>
      </c>
      <c r="F32" s="55" t="s">
        <v>674</v>
      </c>
      <c r="G32" s="55">
        <v>2045.0</v>
      </c>
      <c r="H32" s="55" t="s">
        <v>1137</v>
      </c>
      <c r="I32" s="55" t="s">
        <v>1271</v>
      </c>
      <c r="J32" s="55" t="s">
        <v>1272</v>
      </c>
      <c r="K32" s="55" t="s">
        <v>61</v>
      </c>
      <c r="L32" s="55">
        <v>95360.0</v>
      </c>
      <c r="M32" s="55" t="s">
        <v>78</v>
      </c>
      <c r="N32" s="55" t="s">
        <v>69</v>
      </c>
      <c r="O32" s="55" t="s">
        <v>224</v>
      </c>
      <c r="P32" s="55" t="s">
        <v>110</v>
      </c>
      <c r="Q32" s="67" t="str">
        <f>IFERROR(__xludf.DUMMYFUNCTION("""COMPUTED_VALUE"""),"Europe.giaotiep.GTeurope2_95360_CVS_NamNH_040523")</f>
        <v>Europe.giaotiep.GTeurope2_95360_CVS_NamNH_040523</v>
      </c>
      <c r="R32" s="67" t="str">
        <f>IFERROR(__xludf.DUMMYFUNCTION("""COMPUTED_VALUE"""),"NEW_Europe_2045_none_040523")</f>
        <v>NEW_Europe_2045_none_040523</v>
      </c>
      <c r="S32" s="67" t="str">
        <f>IFERROR(__xludf.DUMMYFUNCTION("""COMPUTED_VALUE"""),"saletructiep_Europe.GTeurope2.2045.giaotiep_PTATT_LD162")</f>
        <v>saletructiep_Europe.GTeurope2.2045.giaotiep_PTATT_LD162</v>
      </c>
      <c r="T32" s="107" t="str">
        <f>IFERROR(__xludf.DUMMYFUNCTION("""COMPUTED_VALUE"""),"https://patadovietnam.edu.vn/gteurope_nhn/?utm_source=Facebook&amp;utm_medium=CVS&amp;utm_term=NEW_Europe_2045_none_040523&amp;utm_content=saletructiep_Europe.GTeurope2.2045.giaotiep_PTATT_LD162&amp;utm_campaign=Europe.giaotiep.GTeurope2_95360_CVS_NamNH_040523")</f>
        <v>https://patadovietnam.edu.vn/gteurope_nhn/?utm_source=Facebook&amp;utm_medium=CVS&amp;utm_term=NEW_Europe_2045_none_040523&amp;utm_content=saletructiep_Europe.GTeurope2.2045.giaotiep_PTATT_LD162&amp;utm_campaign=Europe.giaotiep.GTeurope2_95360_CVS_NamNH_040523</v>
      </c>
      <c r="U32" s="110" t="s">
        <v>1277</v>
      </c>
    </row>
    <row r="33">
      <c r="A33" s="72">
        <v>45050.0</v>
      </c>
      <c r="B33" s="75" t="s">
        <v>1245</v>
      </c>
      <c r="C33" s="67" t="str">
        <f>IFERROR(__xludf.DUMMYFUNCTION("""COMPUTED_VALUE"""),"LD161")</f>
        <v>LD161</v>
      </c>
      <c r="D33" s="55" t="s">
        <v>42</v>
      </c>
      <c r="E33" s="55" t="s">
        <v>79</v>
      </c>
      <c r="F33" s="55" t="s">
        <v>107</v>
      </c>
      <c r="G33" s="55">
        <v>2045.0</v>
      </c>
      <c r="H33" s="55" t="s">
        <v>1137</v>
      </c>
      <c r="I33" s="55" t="s">
        <v>1225</v>
      </c>
      <c r="J33" s="55" t="s">
        <v>1225</v>
      </c>
      <c r="K33" s="55" t="s">
        <v>61</v>
      </c>
      <c r="L33" s="55">
        <v>95360.0</v>
      </c>
      <c r="M33" s="55" t="s">
        <v>78</v>
      </c>
      <c r="N33" s="55" t="s">
        <v>79</v>
      </c>
      <c r="O33" s="55" t="s">
        <v>224</v>
      </c>
      <c r="P33" s="55" t="s">
        <v>110</v>
      </c>
      <c r="Q33" s="67" t="str">
        <f>IFERROR(__xludf.DUMMYFUNCTION("""COMPUTED_VALUE"""),"Unitedstates.giaotiep.giaotiepmy_nhn_95360_MES_NamNH_040523")</f>
        <v>Unitedstates.giaotiep.giaotiepmy_nhn_95360_MES_NamNH_040523</v>
      </c>
      <c r="R33" s="67" t="str">
        <f>IFERROR(__xludf.DUMMYFUNCTION("""COMPUTED_VALUE"""),"NEW_UnitedStates_2045_none_040523")</f>
        <v>NEW_UnitedStates_2045_none_040523</v>
      </c>
      <c r="S33" s="67" t="str">
        <f>IFERROR(__xludf.DUMMYFUNCTION("""COMPUTED_VALUE"""),"saletructiep_Unitedstates.giaotiep.giaotiepmy_nhn_PTATT_LD161")</f>
        <v>saletructiep_Unitedstates.giaotiep.giaotiepmy_nhn_PTATT_LD161</v>
      </c>
      <c r="T33" s="107" t="str">
        <f>IFERROR(__xludf.DUMMYFUNCTION("""COMPUTED_VALUE"""),"https://patadovietnam.edu.vn/gtusa1_nhn/?utm_source=Facebook&amp;utm_medium=MES&amp;utm_term=NEW_UnitedStates_2045_none_040523&amp;utm_content=saletructiep_Unitedstates.giaotiep.giaotiepmy_nhn_PTATT_LD161&amp;utm_campaign=Unitedstates.giaotiep.giaotiepmy_nhn_95360_MES_Na"&amp;"mNH_040523")</f>
        <v>https://patadovietnam.edu.vn/gtusa1_nhn/?utm_source=Facebook&amp;utm_medium=MES&amp;utm_term=NEW_UnitedStates_2045_none_040523&amp;utm_content=saletructiep_Unitedstates.giaotiep.giaotiepmy_nhn_PTATT_LD161&amp;utm_campaign=Unitedstates.giaotiep.giaotiepmy_nhn_95360_MES_NamNH_040523</v>
      </c>
      <c r="U33" s="119" t="s">
        <v>1251</v>
      </c>
    </row>
    <row r="34">
      <c r="A34" s="72">
        <v>45050.0</v>
      </c>
      <c r="B34" s="75" t="s">
        <v>1282</v>
      </c>
      <c r="C34" s="67" t="str">
        <f>IFERROR(__xludf.DUMMYFUNCTION("""COMPUTED_VALUE"""),"LD163")</f>
        <v>LD163</v>
      </c>
      <c r="D34" s="55" t="s">
        <v>42</v>
      </c>
      <c r="E34" s="55" t="s">
        <v>69</v>
      </c>
      <c r="F34" s="55" t="s">
        <v>133</v>
      </c>
      <c r="G34" s="55">
        <v>2045.0</v>
      </c>
      <c r="H34" s="55" t="s">
        <v>1137</v>
      </c>
      <c r="I34" s="55" t="s">
        <v>1287</v>
      </c>
      <c r="J34" s="55" t="s">
        <v>1288</v>
      </c>
      <c r="K34" s="55" t="s">
        <v>61</v>
      </c>
      <c r="L34" s="55">
        <v>95360.0</v>
      </c>
      <c r="M34" s="55" t="s">
        <v>78</v>
      </c>
      <c r="N34" s="55" t="s">
        <v>69</v>
      </c>
      <c r="O34" s="55" t="s">
        <v>224</v>
      </c>
      <c r="P34" s="55" t="s">
        <v>110</v>
      </c>
      <c r="Q34" s="67" t="str">
        <f>IFERROR(__xludf.DUMMYFUNCTION("""COMPUTED_VALUE"""),"Japan.giaotiep.GTjapan3_95360_CVS_NamNH_040523")</f>
        <v>Japan.giaotiep.GTjapan3_95360_CVS_NamNH_040523</v>
      </c>
      <c r="R34" s="67" t="str">
        <f>IFERROR(__xludf.DUMMYFUNCTION("""COMPUTED_VALUE"""),"NEW_Japan_2045_none_040523")</f>
        <v>NEW_Japan_2045_none_040523</v>
      </c>
      <c r="S34" s="67" t="str">
        <f>IFERROR(__xludf.DUMMYFUNCTION("""COMPUTED_VALUE"""),"saletructiep_Japan.GTjapan3.2045.giaotiep_PTATT_LD163")</f>
        <v>saletructiep_Japan.GTjapan3.2045.giaotiep_PTATT_LD163</v>
      </c>
      <c r="T34" s="120" t="str">
        <f>IFERROR(__xludf.DUMMYFUNCTION("""COMPUTED_VALUE"""),"https://patadovietnam.edu.vn/gtjapan_nhn2/?utm_source=Facebook&amp;utm_medium=CVS&amp;utm_term=NEW_Japan_2045_none_040523&amp;utm_content=saletructiep_Japan.GTjapan3.2045.giaotiep_PTATT_LD163&amp;utm_campaign=Japan.giaotiep.GTjapan3_95360_CVS_NamNH_040523")</f>
        <v>https://patadovietnam.edu.vn/gtjapan_nhn2/?utm_source=Facebook&amp;utm_medium=CVS&amp;utm_term=NEW_Japan_2045_none_040523&amp;utm_content=saletructiep_Japan.GTjapan3.2045.giaotiep_PTATT_LD163&amp;utm_campaign=Japan.giaotiep.GTjapan3_95360_CVS_NamNH_040523</v>
      </c>
      <c r="U34" s="110" t="s">
        <v>1293</v>
      </c>
    </row>
    <row r="35">
      <c r="A35" s="72">
        <v>45050.0</v>
      </c>
      <c r="B35" s="60" t="s">
        <v>1134</v>
      </c>
      <c r="C35" s="67" t="str">
        <f>IFERROR(__xludf.DUMMYFUNCTION("""COMPUTED_VALUE"""),"LD153")</f>
        <v>LD153</v>
      </c>
      <c r="D35" s="55" t="s">
        <v>42</v>
      </c>
      <c r="E35" s="55" t="s">
        <v>79</v>
      </c>
      <c r="F35" s="55" t="s">
        <v>129</v>
      </c>
      <c r="G35" s="55">
        <v>2045.0</v>
      </c>
      <c r="H35" s="55" t="s">
        <v>1137</v>
      </c>
      <c r="I35" s="55" t="s">
        <v>1296</v>
      </c>
      <c r="J35" s="55" t="s">
        <v>1297</v>
      </c>
      <c r="K35" s="55" t="s">
        <v>61</v>
      </c>
      <c r="L35" s="55">
        <v>95360.0</v>
      </c>
      <c r="M35" s="55" t="s">
        <v>78</v>
      </c>
      <c r="N35" s="55" t="s">
        <v>79</v>
      </c>
      <c r="O35" s="55" t="s">
        <v>224</v>
      </c>
      <c r="P35" s="55" t="s">
        <v>110</v>
      </c>
      <c r="Q35" s="67" t="str">
        <f>IFERROR(__xludf.DUMMYFUNCTION("""COMPUTED_VALUE"""),"Australia.giaotiep.Gtaustra2_95360_MES_NamNH_040523")</f>
        <v>Australia.giaotiep.Gtaustra2_95360_MES_NamNH_040523</v>
      </c>
      <c r="R35" s="67" t="str">
        <f>IFERROR(__xludf.DUMMYFUNCTION("""COMPUTED_VALUE"""),"NEW_Australia_2045_none_040523")</f>
        <v>NEW_Australia_2045_none_040523</v>
      </c>
      <c r="S35" s="67" t="str">
        <f>IFERROR(__xludf.DUMMYFUNCTION("""COMPUTED_VALUE"""),"saletructiep_Australia.GTaustra2.2045.giaotiep_PTATT_LD153")</f>
        <v>saletructiep_Australia.GTaustra2.2045.giaotiep_PTATT_LD153</v>
      </c>
      <c r="T35" s="107" t="str">
        <f>IFERROR(__xludf.DUMMYFUNCTION("""COMPUTED_VALUE"""),"https://patadovietnam.edu.vn/tienganhgiaotiep_hn/?utm_source=Facebook&amp;utm_medium=MES&amp;utm_term=NEW_Australia_2045_none_040523&amp;utm_content=saletructiep_Australia.GTaustra2.2045.giaotiep_PTATT_LD153&amp;utm_campaign=Australia.giaotiep.Gtaustra2_95360_MES_NamNH_0"&amp;"40523")</f>
        <v>https://patadovietnam.edu.vn/tienganhgiaotiep_hn/?utm_source=Facebook&amp;utm_medium=MES&amp;utm_term=NEW_Australia_2045_none_040523&amp;utm_content=saletructiep_Australia.GTaustra2.2045.giaotiep_PTATT_LD153&amp;utm_campaign=Australia.giaotiep.Gtaustra2_95360_MES_NamNH_040523</v>
      </c>
      <c r="U35" s="119" t="s">
        <v>1154</v>
      </c>
    </row>
    <row r="36">
      <c r="A36" s="72">
        <v>45051.0</v>
      </c>
      <c r="B36" s="60" t="s">
        <v>1134</v>
      </c>
      <c r="C36" s="67" t="str">
        <f>IFERROR(__xludf.DUMMYFUNCTION("""COMPUTED_VALUE"""),"LD153")</f>
        <v>LD153</v>
      </c>
      <c r="D36" s="55" t="s">
        <v>42</v>
      </c>
      <c r="E36" s="55" t="s">
        <v>79</v>
      </c>
      <c r="F36" s="55" t="s">
        <v>129</v>
      </c>
      <c r="G36" s="55">
        <v>2045.0</v>
      </c>
      <c r="H36" s="55" t="s">
        <v>1137</v>
      </c>
      <c r="I36" s="55" t="s">
        <v>1150</v>
      </c>
      <c r="J36" s="55" t="s">
        <v>1151</v>
      </c>
      <c r="K36" s="55" t="s">
        <v>61</v>
      </c>
      <c r="L36" s="55">
        <v>95360.0</v>
      </c>
      <c r="M36" s="55" t="s">
        <v>78</v>
      </c>
      <c r="N36" s="55" t="s">
        <v>79</v>
      </c>
      <c r="O36" s="55" t="s">
        <v>224</v>
      </c>
      <c r="P36" s="55" t="s">
        <v>110</v>
      </c>
      <c r="Q36" s="67" t="str">
        <f>IFERROR(__xludf.DUMMYFUNCTION("""COMPUTED_VALUE"""),"Australia.giaotiep.anhgiaotiep2_95360_MES_NamNH_050523")</f>
        <v>Australia.giaotiep.anhgiaotiep2_95360_MES_NamNH_050523</v>
      </c>
      <c r="R36" s="67" t="str">
        <f>IFERROR(__xludf.DUMMYFUNCTION("""COMPUTED_VALUE"""),"NEW_Australia_2045_none_050523")</f>
        <v>NEW_Australia_2045_none_050523</v>
      </c>
      <c r="S36" s="67" t="str">
        <f>IFERROR(__xludf.DUMMYFUNCTION("""COMPUTED_VALUE"""),"saletructiep_Australia.anhgiaotiep2.2045.giaotiep_PTATT_LD153")</f>
        <v>saletructiep_Australia.anhgiaotiep2.2045.giaotiep_PTATT_LD153</v>
      </c>
      <c r="T36" s="107" t="str">
        <f>IFERROR(__xludf.DUMMYFUNCTION("""COMPUTED_VALUE"""),"https://patadovietnam.edu.vn/tienganhgiaotiep_hn/?utm_source=Facebook&amp;utm_medium=MES&amp;utm_term=NEW_Australia_2045_none_050523&amp;utm_content=saletructiep_Australia.anhgiaotiep2.2045.giaotiep_PTATT_LD153&amp;utm_campaign=Australia.giaotiep.anhgiaotiep2_95360_MES_N"&amp;"amNH_050523")</f>
        <v>https://patadovietnam.edu.vn/tienganhgiaotiep_hn/?utm_source=Facebook&amp;utm_medium=MES&amp;utm_term=NEW_Australia_2045_none_050523&amp;utm_content=saletructiep_Australia.anhgiaotiep2.2045.giaotiep_PTATT_LD153&amp;utm_campaign=Australia.giaotiep.anhgiaotiep2_95360_MES_NamNH_050523</v>
      </c>
      <c r="U36" s="110" t="s">
        <v>1154</v>
      </c>
    </row>
    <row r="37">
      <c r="A37" s="72">
        <v>45052.0</v>
      </c>
      <c r="B37" s="75" t="s">
        <v>1245</v>
      </c>
      <c r="C37" s="67" t="str">
        <f>IFERROR(__xludf.DUMMYFUNCTION("""COMPUTED_VALUE"""),"LD161")</f>
        <v>LD161</v>
      </c>
      <c r="D37" s="55" t="s">
        <v>42</v>
      </c>
      <c r="E37" s="55" t="s">
        <v>79</v>
      </c>
      <c r="F37" s="55" t="s">
        <v>107</v>
      </c>
      <c r="G37" s="55">
        <v>2045.0</v>
      </c>
      <c r="H37" s="55" t="s">
        <v>1137</v>
      </c>
      <c r="I37" s="55" t="s">
        <v>1225</v>
      </c>
      <c r="J37" s="55" t="s">
        <v>1225</v>
      </c>
      <c r="K37" s="55" t="s">
        <v>61</v>
      </c>
      <c r="L37" s="55">
        <v>95360.0</v>
      </c>
      <c r="M37" s="55" t="s">
        <v>78</v>
      </c>
      <c r="N37" s="55" t="s">
        <v>79</v>
      </c>
      <c r="O37" s="55" t="s">
        <v>224</v>
      </c>
      <c r="P37" s="55" t="s">
        <v>110</v>
      </c>
      <c r="Q37" s="67" t="str">
        <f>IFERROR(__xludf.DUMMYFUNCTION("""COMPUTED_VALUE"""),"Unitedstates.giaotiep.giaotiepmy_nhn_95360_MES_NamNH_060523")</f>
        <v>Unitedstates.giaotiep.giaotiepmy_nhn_95360_MES_NamNH_060523</v>
      </c>
      <c r="R37" s="67" t="str">
        <f>IFERROR(__xludf.DUMMYFUNCTION("""COMPUTED_VALUE"""),"NEW_UnitedStates_2045_none_060523")</f>
        <v>NEW_UnitedStates_2045_none_060523</v>
      </c>
      <c r="S37" s="67" t="str">
        <f>IFERROR(__xludf.DUMMYFUNCTION("""COMPUTED_VALUE"""),"saletructiep_Unitedstates.giaotiep.giaotiepmy_nhn_PTATT_LD161")</f>
        <v>saletructiep_Unitedstates.giaotiep.giaotiepmy_nhn_PTATT_LD161</v>
      </c>
      <c r="T37" s="107" t="str">
        <f>IFERROR(__xludf.DUMMYFUNCTION("""COMPUTED_VALUE"""),"https://patadovietnam.edu.vn/gtusa1_nhn/?utm_source=Facebook&amp;utm_medium=MES&amp;utm_term=NEW_UnitedStates_2045_none_060523&amp;utm_content=saletructiep_Unitedstates.giaotiep.giaotiepmy_nhn_PTATT_LD161&amp;utm_campaign=Unitedstates.giaotiep.giaotiepmy_nhn_95360_MES_Na"&amp;"mNH_060523")</f>
        <v>https://patadovietnam.edu.vn/gtusa1_nhn/?utm_source=Facebook&amp;utm_medium=MES&amp;utm_term=NEW_UnitedStates_2045_none_060523&amp;utm_content=saletructiep_Unitedstates.giaotiep.giaotiepmy_nhn_PTATT_LD161&amp;utm_campaign=Unitedstates.giaotiep.giaotiepmy_nhn_95360_MES_NamNH_060523</v>
      </c>
      <c r="U37" s="110" t="s">
        <v>1251</v>
      </c>
    </row>
    <row r="38">
      <c r="A38" s="72">
        <v>45052.0</v>
      </c>
      <c r="B38" s="75" t="s">
        <v>1134</v>
      </c>
      <c r="C38" s="67" t="str">
        <f>IFERROR(__xludf.DUMMYFUNCTION("""COMPUTED_VALUE"""),"LD153")</f>
        <v>LD153</v>
      </c>
      <c r="D38" s="55" t="s">
        <v>42</v>
      </c>
      <c r="E38" s="55" t="s">
        <v>79</v>
      </c>
      <c r="F38" s="55" t="s">
        <v>129</v>
      </c>
      <c r="G38" s="55">
        <v>2045.0</v>
      </c>
      <c r="H38" s="55" t="s">
        <v>1137</v>
      </c>
      <c r="I38" s="55" t="s">
        <v>1150</v>
      </c>
      <c r="J38" s="55" t="s">
        <v>1151</v>
      </c>
      <c r="K38" s="55" t="s">
        <v>61</v>
      </c>
      <c r="L38" s="55">
        <v>95360.0</v>
      </c>
      <c r="M38" s="55" t="s">
        <v>78</v>
      </c>
      <c r="N38" s="55" t="s">
        <v>79</v>
      </c>
      <c r="O38" s="55" t="s">
        <v>224</v>
      </c>
      <c r="P38" s="55" t="s">
        <v>110</v>
      </c>
      <c r="Q38" s="67" t="str">
        <f>IFERROR(__xludf.DUMMYFUNCTION("""COMPUTED_VALUE"""),"Australia.giaotiep.anhgiaotiep2_95360_MES_NamNH_060523")</f>
        <v>Australia.giaotiep.anhgiaotiep2_95360_MES_NamNH_060523</v>
      </c>
      <c r="R38" s="67" t="str">
        <f>IFERROR(__xludf.DUMMYFUNCTION("""COMPUTED_VALUE"""),"NEW_Australia_2045_none_060523")</f>
        <v>NEW_Australia_2045_none_060523</v>
      </c>
      <c r="S38" s="67" t="str">
        <f>IFERROR(__xludf.DUMMYFUNCTION("""COMPUTED_VALUE"""),"saletructiep_Australia.anhgiaotiep2.2045.giaotiep_PTATT_LD153")</f>
        <v>saletructiep_Australia.anhgiaotiep2.2045.giaotiep_PTATT_LD153</v>
      </c>
      <c r="T38" s="107" t="str">
        <f>IFERROR(__xludf.DUMMYFUNCTION("""COMPUTED_VALUE"""),"https://patadovietnam.edu.vn/tienganhgiaotiep_hn/?utm_source=Facebook&amp;utm_medium=MES&amp;utm_term=NEW_Australia_2045_none_060523&amp;utm_content=saletructiep_Australia.anhgiaotiep2.2045.giaotiep_PTATT_LD153&amp;utm_campaign=Australia.giaotiep.anhgiaotiep2_95360_MES_N"&amp;"amNH_060523")</f>
        <v>https://patadovietnam.edu.vn/tienganhgiaotiep_hn/?utm_source=Facebook&amp;utm_medium=MES&amp;utm_term=NEW_Australia_2045_none_060523&amp;utm_content=saletructiep_Australia.anhgiaotiep2.2045.giaotiep_PTATT_LD153&amp;utm_campaign=Australia.giaotiep.anhgiaotiep2_95360_MES_NamNH_060523</v>
      </c>
      <c r="U38" s="110" t="s">
        <v>1317</v>
      </c>
    </row>
    <row r="39">
      <c r="A39" s="72">
        <v>45052.0</v>
      </c>
      <c r="B39" s="75" t="s">
        <v>1282</v>
      </c>
      <c r="C39" s="67" t="str">
        <f>IFERROR(__xludf.DUMMYFUNCTION("""COMPUTED_VALUE"""),"LD163")</f>
        <v>LD163</v>
      </c>
      <c r="D39" s="55" t="s">
        <v>42</v>
      </c>
      <c r="E39" s="55" t="s">
        <v>79</v>
      </c>
      <c r="F39" s="55" t="s">
        <v>133</v>
      </c>
      <c r="G39" s="55">
        <v>1840.0</v>
      </c>
      <c r="H39" s="55" t="s">
        <v>1137</v>
      </c>
      <c r="I39" s="55" t="s">
        <v>1319</v>
      </c>
      <c r="J39" s="55" t="s">
        <v>1320</v>
      </c>
      <c r="K39" s="55" t="s">
        <v>61</v>
      </c>
      <c r="L39" s="55">
        <v>95360.0</v>
      </c>
      <c r="M39" s="55" t="s">
        <v>78</v>
      </c>
      <c r="N39" s="55" t="s">
        <v>79</v>
      </c>
      <c r="O39" s="55" t="s">
        <v>224</v>
      </c>
      <c r="P39" s="55" t="s">
        <v>110</v>
      </c>
      <c r="Q39" s="67" t="str">
        <f>IFERROR(__xludf.DUMMYFUNCTION("""COMPUTED_VALUE"""),"Japan.giaotiep.GTjapan4_95360_MES_NamNH_060523")</f>
        <v>Japan.giaotiep.GTjapan4_95360_MES_NamNH_060523</v>
      </c>
      <c r="R39" s="67" t="str">
        <f>IFERROR(__xludf.DUMMYFUNCTION("""COMPUTED_VALUE"""),"NEW_Japan_1840_none_060523")</f>
        <v>NEW_Japan_1840_none_060523</v>
      </c>
      <c r="S39" s="67" t="str">
        <f>IFERROR(__xludf.DUMMYFUNCTION("""COMPUTED_VALUE"""),"saletructiep_Japan.GTjapan4.1840.giaotiep_PTATT_LD163")</f>
        <v>saletructiep_Japan.GTjapan4.1840.giaotiep_PTATT_LD163</v>
      </c>
      <c r="T39" s="107" t="str">
        <f>IFERROR(__xludf.DUMMYFUNCTION("""COMPUTED_VALUE"""),"https://patadovietnam.edu.vn/gtjapan_nhn2/?utm_source=Facebook&amp;utm_medium=MES&amp;utm_term=NEW_Japan_1840_none_060523&amp;utm_content=saletructiep_Japan.GTjapan4.1840.giaotiep_PTATT_LD163&amp;utm_campaign=Japan.giaotiep.GTjapan4_95360_MES_NamNH_060523")</f>
        <v>https://patadovietnam.edu.vn/gtjapan_nhn2/?utm_source=Facebook&amp;utm_medium=MES&amp;utm_term=NEW_Japan_1840_none_060523&amp;utm_content=saletructiep_Japan.GTjapan4.1840.giaotiep_PTATT_LD163&amp;utm_campaign=Japan.giaotiep.GTjapan4_95360_MES_NamNH_060523</v>
      </c>
      <c r="U39" s="111" t="s">
        <v>1325</v>
      </c>
    </row>
    <row r="40">
      <c r="A40" s="72">
        <v>45050.0</v>
      </c>
      <c r="B40" s="75" t="s">
        <v>1245</v>
      </c>
      <c r="C40" s="67" t="str">
        <f>IFERROR(__xludf.DUMMYFUNCTION("""COMPUTED_VALUE"""),"LD161")</f>
        <v>LD161</v>
      </c>
      <c r="D40" s="55" t="s">
        <v>42</v>
      </c>
      <c r="E40" s="55" t="s">
        <v>79</v>
      </c>
      <c r="F40" s="55" t="s">
        <v>107</v>
      </c>
      <c r="G40" s="55">
        <v>2045.0</v>
      </c>
      <c r="H40" s="55" t="s">
        <v>1137</v>
      </c>
      <c r="I40" s="55" t="s">
        <v>1327</v>
      </c>
      <c r="J40" s="55" t="s">
        <v>1327</v>
      </c>
      <c r="K40" s="55" t="s">
        <v>61</v>
      </c>
      <c r="L40" s="55">
        <v>95360.0</v>
      </c>
      <c r="M40" s="55" t="s">
        <v>78</v>
      </c>
      <c r="N40" s="55" t="s">
        <v>79</v>
      </c>
      <c r="O40" s="55" t="s">
        <v>224</v>
      </c>
      <c r="P40" s="55" t="s">
        <v>110</v>
      </c>
      <c r="Q40" s="67" t="str">
        <f>IFERROR(__xludf.DUMMYFUNCTION("""COMPUTED_VALUE"""),"Unitedstates.giaotiep.giaotiepmynhn_95360_MES_NamNH_040523")</f>
        <v>Unitedstates.giaotiep.giaotiepmynhn_95360_MES_NamNH_040523</v>
      </c>
      <c r="R40" s="67" t="str">
        <f>IFERROR(__xludf.DUMMYFUNCTION("""COMPUTED_VALUE"""),"NEW_UnitedStates_2045_none_040523")</f>
        <v>NEW_UnitedStates_2045_none_040523</v>
      </c>
      <c r="S40" s="67" t="str">
        <f>IFERROR(__xludf.DUMMYFUNCTION("""COMPUTED_VALUE"""),"saletructiep_Unitedstates.giaotiep.giaotiepmynhn_PTATT_LD161")</f>
        <v>saletructiep_Unitedstates.giaotiep.giaotiepmynhn_PTATT_LD161</v>
      </c>
      <c r="T40" s="107" t="str">
        <f>IFERROR(__xludf.DUMMYFUNCTION("""COMPUTED_VALUE"""),"https://patadovietnam.edu.vn/gtusa1_nhn/?utm_source=Facebook&amp;utm_medium=MES&amp;utm_term=NEW_UnitedStates_2045_none_040523&amp;utm_content=saletructiep_Unitedstates.giaotiep.giaotiepmynhn_PTATT_LD161&amp;utm_campaign=Unitedstates.giaotiep.giaotiepmynhn_95360_MES_NamN"&amp;"H_040523")</f>
        <v>https://patadovietnam.edu.vn/gtusa1_nhn/?utm_source=Facebook&amp;utm_medium=MES&amp;utm_term=NEW_UnitedStates_2045_none_040523&amp;utm_content=saletructiep_Unitedstates.giaotiep.giaotiepmynhn_PTATT_LD161&amp;utm_campaign=Unitedstates.giaotiep.giaotiepmynhn_95360_MES_NamNH_040523</v>
      </c>
      <c r="U40" s="119" t="s">
        <v>1251</v>
      </c>
    </row>
    <row r="41">
      <c r="A41" s="72">
        <v>45055.0</v>
      </c>
      <c r="B41" s="75" t="s">
        <v>1229</v>
      </c>
      <c r="C41" s="67" t="str">
        <f>IFERROR(__xludf.DUMMYFUNCTION("""COMPUTED_VALUE"""),"LD164")</f>
        <v>LD164</v>
      </c>
      <c r="D41" s="55" t="s">
        <v>42</v>
      </c>
      <c r="E41" s="55" t="s">
        <v>79</v>
      </c>
      <c r="F41" s="55" t="s">
        <v>133</v>
      </c>
      <c r="G41" s="55">
        <v>1840.0</v>
      </c>
      <c r="H41" s="55" t="s">
        <v>1137</v>
      </c>
      <c r="I41" s="55" t="s">
        <v>1319</v>
      </c>
      <c r="J41" s="55" t="s">
        <v>1320</v>
      </c>
      <c r="K41" s="55" t="s">
        <v>61</v>
      </c>
      <c r="L41" s="55">
        <v>16917.0</v>
      </c>
      <c r="M41" s="55" t="s">
        <v>78</v>
      </c>
      <c r="N41" s="55" t="s">
        <v>79</v>
      </c>
      <c r="O41" s="55" t="s">
        <v>224</v>
      </c>
      <c r="P41" s="55" t="s">
        <v>110</v>
      </c>
      <c r="Q41" s="67" t="str">
        <f>IFERROR(__xludf.DUMMYFUNCTION("""COMPUTED_VALUE"""),"Japan.giaotiep.GTjapan4_16917_MES_NamNH_090523")</f>
        <v>Japan.giaotiep.GTjapan4_16917_MES_NamNH_090523</v>
      </c>
      <c r="R41" s="67" t="str">
        <f>IFERROR(__xludf.DUMMYFUNCTION("""COMPUTED_VALUE"""),"NEW_Japan_1840_none_090523")</f>
        <v>NEW_Japan_1840_none_090523</v>
      </c>
      <c r="S41" s="67" t="str">
        <f>IFERROR(__xludf.DUMMYFUNCTION("""COMPUTED_VALUE"""),"saletructiep_Japan.GTjapan4.1840.giaotiep_PTATT_LD164")</f>
        <v>saletructiep_Japan.GTjapan4.1840.giaotiep_PTATT_LD164</v>
      </c>
      <c r="T41" s="107" t="str">
        <f>IFERROR(__xludf.DUMMYFUNCTION("""COMPUTED_VALUE"""),"https://patadovietnam.edu.vn/gtjapan_nhn3/?utm_source=Facebook&amp;utm_medium=MES&amp;utm_term=NEW_Japan_1840_none_090523&amp;utm_content=saletructiep_Japan.GTjapan4.1840.giaotiep_PTATT_LD164&amp;utm_campaign=Japan.giaotiep.GTjapan4_16917_MES_NamNH_090523")</f>
        <v>https://patadovietnam.edu.vn/gtjapan_nhn3/?utm_source=Facebook&amp;utm_medium=MES&amp;utm_term=NEW_Japan_1840_none_090523&amp;utm_content=saletructiep_Japan.GTjapan4.1840.giaotiep_PTATT_LD164&amp;utm_campaign=Japan.giaotiep.GTjapan4_16917_MES_NamNH_090523</v>
      </c>
      <c r="U41" s="110" t="s">
        <v>1340</v>
      </c>
    </row>
    <row r="42">
      <c r="A42" s="72">
        <v>45056.0</v>
      </c>
      <c r="B42" s="75" t="s">
        <v>1134</v>
      </c>
      <c r="C42" s="67" t="str">
        <f>IFERROR(__xludf.DUMMYFUNCTION("""COMPUTED_VALUE"""),"LD153")</f>
        <v>LD153</v>
      </c>
      <c r="D42" s="55" t="s">
        <v>42</v>
      </c>
      <c r="E42" s="55" t="s">
        <v>79</v>
      </c>
      <c r="F42" s="55" t="s">
        <v>129</v>
      </c>
      <c r="G42" s="55">
        <v>2050.0</v>
      </c>
      <c r="H42" s="55" t="s">
        <v>1137</v>
      </c>
      <c r="I42" s="55" t="s">
        <v>1150</v>
      </c>
      <c r="J42" s="55" t="s">
        <v>1151</v>
      </c>
      <c r="K42" s="55" t="s">
        <v>61</v>
      </c>
      <c r="L42" s="55">
        <v>16917.0</v>
      </c>
      <c r="M42" s="55" t="s">
        <v>78</v>
      </c>
      <c r="N42" s="55" t="s">
        <v>79</v>
      </c>
      <c r="O42" s="55" t="s">
        <v>224</v>
      </c>
      <c r="P42" s="55" t="s">
        <v>110</v>
      </c>
      <c r="Q42" s="67" t="str">
        <f>IFERROR(__xludf.DUMMYFUNCTION("""COMPUTED_VALUE"""),"Australia.giaotiep.anhgiaotiep2_16917_MES_NamNH_100523")</f>
        <v>Australia.giaotiep.anhgiaotiep2_16917_MES_NamNH_100523</v>
      </c>
      <c r="R42" s="67" t="str">
        <f>IFERROR(__xludf.DUMMYFUNCTION("""COMPUTED_VALUE"""),"NEW_Australia_2050_none_100523")</f>
        <v>NEW_Australia_2050_none_100523</v>
      </c>
      <c r="S42" s="67" t="str">
        <f>IFERROR(__xludf.DUMMYFUNCTION("""COMPUTED_VALUE"""),"saletructiep_Australia.anhgiaotiep2.2045.giaotiep_PTATT_LD153")</f>
        <v>saletructiep_Australia.anhgiaotiep2.2045.giaotiep_PTATT_LD153</v>
      </c>
      <c r="T42" s="107" t="str">
        <f>IFERROR(__xludf.DUMMYFUNCTION("""COMPUTED_VALUE"""),"https://patadovietnam.edu.vn/tienganhgiaotiep_hn/?utm_source=Facebook&amp;utm_medium=MES&amp;utm_term=NEW_Australia_2050_none_100523&amp;utm_content=saletructiep_Australia.anhgiaotiep2.2045.giaotiep_PTATT_LD153&amp;utm_campaign=Australia.giaotiep.anhgiaotiep2_16917_MES_N"&amp;"amNH_100523")</f>
        <v>https://patadovietnam.edu.vn/tienganhgiaotiep_hn/?utm_source=Facebook&amp;utm_medium=MES&amp;utm_term=NEW_Australia_2050_none_100523&amp;utm_content=saletructiep_Australia.anhgiaotiep2.2045.giaotiep_PTATT_LD153&amp;utm_campaign=Australia.giaotiep.anhgiaotiep2_16917_MES_NamNH_100523</v>
      </c>
      <c r="U42" s="110" t="s">
        <v>1348</v>
      </c>
    </row>
    <row r="43">
      <c r="A43" s="72">
        <v>45056.0</v>
      </c>
      <c r="B43" s="75" t="s">
        <v>1245</v>
      </c>
      <c r="C43" s="67" t="str">
        <f>IFERROR(__xludf.DUMMYFUNCTION("""COMPUTED_VALUE"""),"LD161")</f>
        <v>LD161</v>
      </c>
      <c r="D43" s="55" t="s">
        <v>42</v>
      </c>
      <c r="E43" s="55" t="s">
        <v>79</v>
      </c>
      <c r="F43" s="55" t="s">
        <v>107</v>
      </c>
      <c r="G43" s="55">
        <v>2047.0</v>
      </c>
      <c r="H43" s="55" t="s">
        <v>1137</v>
      </c>
      <c r="I43" s="55" t="s">
        <v>1349</v>
      </c>
      <c r="J43" s="55" t="s">
        <v>1349</v>
      </c>
      <c r="K43" s="55" t="s">
        <v>61</v>
      </c>
      <c r="L43" s="55">
        <v>16917.0</v>
      </c>
      <c r="M43" s="55" t="s">
        <v>78</v>
      </c>
      <c r="N43" s="55" t="s">
        <v>79</v>
      </c>
      <c r="O43" s="55" t="s">
        <v>224</v>
      </c>
      <c r="P43" s="55" t="s">
        <v>110</v>
      </c>
      <c r="Q43" s="67" t="str">
        <f>IFERROR(__xludf.DUMMYFUNCTION("""COMPUTED_VALUE"""),"Unitedstates.giaotiep.anhGTmy3_16917_MES_NamNH_100523")</f>
        <v>Unitedstates.giaotiep.anhGTmy3_16917_MES_NamNH_100523</v>
      </c>
      <c r="R43" s="67" t="str">
        <f>IFERROR(__xludf.DUMMYFUNCTION("""COMPUTED_VALUE"""),"NEW_UnitedStates_2047_none_100523")</f>
        <v>NEW_UnitedStates_2047_none_100523</v>
      </c>
      <c r="S43" s="67" t="str">
        <f>IFERROR(__xludf.DUMMYFUNCTION("""COMPUTED_VALUE"""),"saletructiep_Unitedstates.giaotiep.anhGTmy3_PTATT_LD161")</f>
        <v>saletructiep_Unitedstates.giaotiep.anhGTmy3_PTATT_LD161</v>
      </c>
      <c r="T43" s="107" t="str">
        <f>IFERROR(__xludf.DUMMYFUNCTION("""COMPUTED_VALUE"""),"https://patadovietnam.edu.vn/gtusa1_nhn/?utm_source=Facebook&amp;utm_medium=MES&amp;utm_term=NEW_UnitedStates_2047_none_100523&amp;utm_content=saletructiep_Unitedstates.giaotiep.anhGTmy3_PTATT_LD161&amp;utm_campaign=Unitedstates.giaotiep.anhGTmy3_16917_MES_NamNH_100523")</f>
        <v>https://patadovietnam.edu.vn/gtusa1_nhn/?utm_source=Facebook&amp;utm_medium=MES&amp;utm_term=NEW_UnitedStates_2047_none_100523&amp;utm_content=saletructiep_Unitedstates.giaotiep.anhGTmy3_PTATT_LD161&amp;utm_campaign=Unitedstates.giaotiep.anhGTmy3_16917_MES_NamNH_100523</v>
      </c>
      <c r="U43" s="110" t="s">
        <v>1355</v>
      </c>
    </row>
    <row r="44">
      <c r="A44" s="72">
        <v>45056.0</v>
      </c>
      <c r="B44" s="75" t="s">
        <v>1356</v>
      </c>
      <c r="C44" s="67" t="str">
        <f>IFERROR(__xludf.DUMMYFUNCTION("""COMPUTED_VALUE"""),"LD165")</f>
        <v>LD165</v>
      </c>
      <c r="D44" s="55" t="s">
        <v>42</v>
      </c>
      <c r="E44" s="55" t="s">
        <v>69</v>
      </c>
      <c r="F44" s="55" t="s">
        <v>674</v>
      </c>
      <c r="G44" s="55">
        <v>2040.0</v>
      </c>
      <c r="H44" s="55" t="s">
        <v>1137</v>
      </c>
      <c r="I44" s="55" t="s">
        <v>1360</v>
      </c>
      <c r="J44" s="55" t="s">
        <v>1361</v>
      </c>
      <c r="K44" s="55" t="s">
        <v>61</v>
      </c>
      <c r="L44" s="55">
        <v>16917.0</v>
      </c>
      <c r="M44" s="55" t="s">
        <v>78</v>
      </c>
      <c r="N44" s="55" t="s">
        <v>69</v>
      </c>
      <c r="O44" s="55" t="s">
        <v>224</v>
      </c>
      <c r="P44" s="55" t="s">
        <v>110</v>
      </c>
      <c r="Q44" s="67" t="str">
        <f>IFERROR(__xludf.DUMMYFUNCTION("""COMPUTED_VALUE"""),"Europe.giaotiep.anhgteurope3_16917_CVS_NamNH_100523")</f>
        <v>Europe.giaotiep.anhgteurope3_16917_CVS_NamNH_100523</v>
      </c>
      <c r="R44" s="67" t="str">
        <f>IFERROR(__xludf.DUMMYFUNCTION("""COMPUTED_VALUE"""),"NEW_Europe_2040_none_100523")</f>
        <v>NEW_Europe_2040_none_100523</v>
      </c>
      <c r="S44" s="67" t="str">
        <f>IFERROR(__xludf.DUMMYFUNCTION("""COMPUTED_VALUE"""),"saletructiep_Europe.anhgteurope3.2040.giaotiep_PTATT_LD165")</f>
        <v>saletructiep_Europe.anhgteurope3.2040.giaotiep_PTATT_LD165</v>
      </c>
      <c r="T44" s="107" t="str">
        <f>IFERROR(__xludf.DUMMYFUNCTION("""COMPUTED_VALUE"""),"https://patadovietnam.edu.vn/gtchauau_nhn/?utm_source=Facebook&amp;utm_medium=CVS&amp;utm_term=NEW_Europe_2040_none_100523&amp;utm_content=saletructiep_Europe.anhgteurope3.2040.giaotiep_PTATT_LD165&amp;utm_campaign=Europe.giaotiep.anhgteurope3_16917_CVS_NamNH_100523")</f>
        <v>https://patadovietnam.edu.vn/gtchauau_nhn/?utm_source=Facebook&amp;utm_medium=CVS&amp;utm_term=NEW_Europe_2040_none_100523&amp;utm_content=saletructiep_Europe.anhgteurope3.2040.giaotiep_PTATT_LD165&amp;utm_campaign=Europe.giaotiep.anhgteurope3_16917_CVS_NamNH_100523</v>
      </c>
      <c r="U44" s="110" t="s">
        <v>1365</v>
      </c>
    </row>
    <row r="45">
      <c r="A45" s="72">
        <v>45056.0</v>
      </c>
      <c r="B45" s="75" t="s">
        <v>1134</v>
      </c>
      <c r="C45" s="67" t="str">
        <f>IFERROR(__xludf.DUMMYFUNCTION("""COMPUTED_VALUE"""),"LD153")</f>
        <v>LD153</v>
      </c>
      <c r="D45" s="55" t="s">
        <v>42</v>
      </c>
      <c r="E45" s="55" t="s">
        <v>79</v>
      </c>
      <c r="F45" s="55" t="s">
        <v>112</v>
      </c>
      <c r="G45" s="55">
        <v>2045.0</v>
      </c>
      <c r="H45" s="55" t="s">
        <v>1137</v>
      </c>
      <c r="I45" s="55" t="s">
        <v>1370</v>
      </c>
      <c r="J45" s="55" t="s">
        <v>1371</v>
      </c>
      <c r="K45" s="55" t="s">
        <v>61</v>
      </c>
      <c r="L45" s="55">
        <v>16917.0</v>
      </c>
      <c r="M45" s="55" t="s">
        <v>78</v>
      </c>
      <c r="N45" s="55" t="s">
        <v>79</v>
      </c>
      <c r="O45" s="55" t="s">
        <v>224</v>
      </c>
      <c r="P45" s="55" t="s">
        <v>110</v>
      </c>
      <c r="Q45" s="67" t="str">
        <f>IFERROR(__xludf.DUMMYFUNCTION("""COMPUTED_VALUE"""),"Canada.giaotiep.anhgiaotiepcanada2_16917_MES_NamNH_100523")</f>
        <v>Canada.giaotiep.anhgiaotiepcanada2_16917_MES_NamNH_100523</v>
      </c>
      <c r="R45" s="67" t="str">
        <f>IFERROR(__xludf.DUMMYFUNCTION("""COMPUTED_VALUE"""),"NEW_Canada_2045_none_100523")</f>
        <v>NEW_Canada_2045_none_100523</v>
      </c>
      <c r="S45" s="67" t="str">
        <f>IFERROR(__xludf.DUMMYFUNCTION("""COMPUTED_VALUE"""),"saletructiep_Canada.anhgiaotiepcanada2.2045.giaotiep_PTATT_LD153")</f>
        <v>saletructiep_Canada.anhgiaotiepcanada2.2045.giaotiep_PTATT_LD153</v>
      </c>
      <c r="T45" s="107" t="str">
        <f>IFERROR(__xludf.DUMMYFUNCTION("""COMPUTED_VALUE"""),"https://patadovietnam.edu.vn/tienganhgiaotiep_hn/?utm_source=Facebook&amp;utm_medium=MES&amp;utm_term=NEW_Canada_2045_none_100523&amp;utm_content=saletructiep_Canada.anhgiaotiepcanada2.2045.giaotiep_PTATT_LD153&amp;utm_campaign=Canada.giaotiep.anhgiaotiepcanada2_16917_ME"&amp;"S_NamNH_100523")</f>
        <v>https://patadovietnam.edu.vn/tienganhgiaotiep_hn/?utm_source=Facebook&amp;utm_medium=MES&amp;utm_term=NEW_Canada_2045_none_100523&amp;utm_content=saletructiep_Canada.anhgiaotiepcanada2.2045.giaotiep_PTATT_LD153&amp;utm_campaign=Canada.giaotiep.anhgiaotiepcanada2_16917_MES_NamNH_100523</v>
      </c>
      <c r="U45" s="110" t="s">
        <v>1375</v>
      </c>
    </row>
    <row r="46">
      <c r="A46" s="72">
        <v>45059.0</v>
      </c>
      <c r="B46" s="75" t="s">
        <v>1379</v>
      </c>
      <c r="C46" s="67" t="str">
        <f>IFERROR(__xludf.DUMMYFUNCTION("""COMPUTED_VALUE"""),"LD166")</f>
        <v>LD166</v>
      </c>
      <c r="D46" s="55" t="s">
        <v>42</v>
      </c>
      <c r="E46" s="55" t="s">
        <v>79</v>
      </c>
      <c r="F46" s="55" t="s">
        <v>614</v>
      </c>
      <c r="G46" s="55">
        <v>1840.0</v>
      </c>
      <c r="H46" s="55" t="s">
        <v>1137</v>
      </c>
      <c r="I46" s="55" t="s">
        <v>1382</v>
      </c>
      <c r="J46" s="55" t="s">
        <v>1383</v>
      </c>
      <c r="K46" s="55" t="s">
        <v>61</v>
      </c>
      <c r="L46" s="55">
        <v>16917.0</v>
      </c>
      <c r="M46" s="55" t="s">
        <v>78</v>
      </c>
      <c r="N46" s="55" t="s">
        <v>79</v>
      </c>
      <c r="O46" s="55" t="s">
        <v>224</v>
      </c>
      <c r="P46" s="55" t="s">
        <v>110</v>
      </c>
      <c r="Q46" s="67" t="str">
        <f>IFERROR(__xludf.DUMMYFUNCTION("""COMPUTED_VALUE"""),"Korea.giaotiep.GTkorea3_16917_MES_NamNH_130523")</f>
        <v>Korea.giaotiep.GTkorea3_16917_MES_NamNH_130523</v>
      </c>
      <c r="R46" s="67" t="str">
        <f>IFERROR(__xludf.DUMMYFUNCTION("""COMPUTED_VALUE"""),"NEW_Korea_1840_none_130523")</f>
        <v>NEW_Korea_1840_none_130523</v>
      </c>
      <c r="S46" s="67" t="str">
        <f>IFERROR(__xludf.DUMMYFUNCTION("""COMPUTED_VALUE"""),"saletructiep_Korea.GTkorea3.1840.giaotiep_PTATT_LD166")</f>
        <v>saletructiep_Korea.GTkorea3.1840.giaotiep_PTATT_LD166</v>
      </c>
      <c r="T46" s="107" t="str">
        <f>IFERROR(__xludf.DUMMYFUNCTION("""COMPUTED_VALUE"""),"https://patadovietnam.edu.vn/gtkorea_nhn/?utm_source=Facebook&amp;utm_medium=MES&amp;utm_term=NEW_Korea_1840_none_130523&amp;utm_content=saletructiep_Korea.GTkorea3.1840.giaotiep_PTATT_LD166&amp;utm_campaign=Korea.giaotiep.GTkorea3_16917_MES_NamNH_130523")</f>
        <v>https://patadovietnam.edu.vn/gtkorea_nhn/?utm_source=Facebook&amp;utm_medium=MES&amp;utm_term=NEW_Korea_1840_none_130523&amp;utm_content=saletructiep_Korea.GTkorea3.1840.giaotiep_PTATT_LD166&amp;utm_campaign=Korea.giaotiep.GTkorea3_16917_MES_NamNH_130523</v>
      </c>
      <c r="U46" s="110" t="s">
        <v>1389</v>
      </c>
    </row>
    <row r="47">
      <c r="A47" s="72">
        <v>45059.0</v>
      </c>
      <c r="B47" s="75" t="s">
        <v>1134</v>
      </c>
      <c r="C47" s="67" t="str">
        <f>IFERROR(__xludf.DUMMYFUNCTION("""COMPUTED_VALUE"""),"LD153")</f>
        <v>LD153</v>
      </c>
      <c r="D47" s="55" t="s">
        <v>42</v>
      </c>
      <c r="E47" s="55" t="s">
        <v>79</v>
      </c>
      <c r="F47" s="55" t="s">
        <v>129</v>
      </c>
      <c r="G47" s="55">
        <v>2045.0</v>
      </c>
      <c r="H47" s="55" t="s">
        <v>1137</v>
      </c>
      <c r="I47" s="55" t="s">
        <v>1150</v>
      </c>
      <c r="J47" s="55" t="s">
        <v>1151</v>
      </c>
      <c r="K47" s="55" t="s">
        <v>61</v>
      </c>
      <c r="L47" s="55">
        <v>16917.0</v>
      </c>
      <c r="M47" s="55" t="s">
        <v>78</v>
      </c>
      <c r="N47" s="55" t="s">
        <v>79</v>
      </c>
      <c r="O47" s="55" t="s">
        <v>224</v>
      </c>
      <c r="P47" s="55" t="s">
        <v>110</v>
      </c>
      <c r="Q47" s="67" t="str">
        <f>IFERROR(__xludf.DUMMYFUNCTION("""COMPUTED_VALUE"""),"Australia.giaotiep.anhgiaotiep2_16917_MES_NamNH_130523")</f>
        <v>Australia.giaotiep.anhgiaotiep2_16917_MES_NamNH_130523</v>
      </c>
      <c r="R47" s="67" t="str">
        <f>IFERROR(__xludf.DUMMYFUNCTION("""COMPUTED_VALUE"""),"NEW_Australia_2045_none_130523")</f>
        <v>NEW_Australia_2045_none_130523</v>
      </c>
      <c r="S47" s="67" t="str">
        <f>IFERROR(__xludf.DUMMYFUNCTION("""COMPUTED_VALUE"""),"saletructiep_Australia.anhgiaotiep2.2045.giaotiep_PTATT_LD153")</f>
        <v>saletructiep_Australia.anhgiaotiep2.2045.giaotiep_PTATT_LD153</v>
      </c>
      <c r="T47" s="107" t="str">
        <f>IFERROR(__xludf.DUMMYFUNCTION("""COMPUTED_VALUE"""),"https://patadovietnam.edu.vn/tienganhgiaotiep_hn/?utm_source=Facebook&amp;utm_medium=MES&amp;utm_term=NEW_Australia_2045_none_130523&amp;utm_content=saletructiep_Australia.anhgiaotiep2.2045.giaotiep_PTATT_LD153&amp;utm_campaign=Australia.giaotiep.anhgiaotiep2_16917_MES_N"&amp;"amNH_130523")</f>
        <v>https://patadovietnam.edu.vn/tienganhgiaotiep_hn/?utm_source=Facebook&amp;utm_medium=MES&amp;utm_term=NEW_Australia_2045_none_130523&amp;utm_content=saletructiep_Australia.anhgiaotiep2.2045.giaotiep_PTATT_LD153&amp;utm_campaign=Australia.giaotiep.anhgiaotiep2_16917_MES_NamNH_130523</v>
      </c>
      <c r="U47" s="110" t="s">
        <v>1348</v>
      </c>
    </row>
    <row r="48">
      <c r="A48" s="72">
        <v>45060.0</v>
      </c>
      <c r="B48" s="75" t="s">
        <v>1245</v>
      </c>
      <c r="C48" s="67" t="str">
        <f>IFERROR(__xludf.DUMMYFUNCTION("""COMPUTED_VALUE"""),"LD161")</f>
        <v>LD161</v>
      </c>
      <c r="D48" s="55" t="s">
        <v>42</v>
      </c>
      <c r="E48" s="55" t="s">
        <v>79</v>
      </c>
      <c r="F48" s="55" t="s">
        <v>107</v>
      </c>
      <c r="G48" s="55">
        <v>2545.0</v>
      </c>
      <c r="H48" s="55" t="s">
        <v>1137</v>
      </c>
      <c r="I48" s="55" t="s">
        <v>1349</v>
      </c>
      <c r="J48" s="55" t="s">
        <v>1349</v>
      </c>
      <c r="K48" s="55" t="s">
        <v>61</v>
      </c>
      <c r="L48" s="55">
        <v>16917.0</v>
      </c>
      <c r="M48" s="55" t="s">
        <v>78</v>
      </c>
      <c r="N48" s="55" t="s">
        <v>79</v>
      </c>
      <c r="O48" s="55" t="s">
        <v>224</v>
      </c>
      <c r="P48" s="55" t="s">
        <v>110</v>
      </c>
      <c r="Q48" s="67" t="str">
        <f>IFERROR(__xludf.DUMMYFUNCTION("""COMPUTED_VALUE"""),"Unitedstates.giaotiep.anhGTmy3_16917_MES_NamNH_140523")</f>
        <v>Unitedstates.giaotiep.anhGTmy3_16917_MES_NamNH_140523</v>
      </c>
      <c r="R48" s="67" t="str">
        <f>IFERROR(__xludf.DUMMYFUNCTION("""COMPUTED_VALUE"""),"NEW_UnitedStates_2545_none_140523")</f>
        <v>NEW_UnitedStates_2545_none_140523</v>
      </c>
      <c r="S48" s="67" t="str">
        <f>IFERROR(__xludf.DUMMYFUNCTION("""COMPUTED_VALUE"""),"saletructiep_Unitedstates.giaotiep.anhGTmy3_PTATT_LD161")</f>
        <v>saletructiep_Unitedstates.giaotiep.anhGTmy3_PTATT_LD161</v>
      </c>
      <c r="T48" s="107" t="str">
        <f>IFERROR(__xludf.DUMMYFUNCTION("""COMPUTED_VALUE"""),"https://patadovietnam.edu.vn/gtusa1_nhn/?utm_source=Facebook&amp;utm_medium=MES&amp;utm_term=NEW_UnitedStates_2545_none_140523&amp;utm_content=saletructiep_Unitedstates.giaotiep.anhGTmy3_PTATT_LD161&amp;utm_campaign=Unitedstates.giaotiep.anhGTmy3_16917_MES_NamNH_140523")</f>
        <v>https://patadovietnam.edu.vn/gtusa1_nhn/?utm_source=Facebook&amp;utm_medium=MES&amp;utm_term=NEW_UnitedStates_2545_none_140523&amp;utm_content=saletructiep_Unitedstates.giaotiep.anhGTmy3_PTATT_LD161&amp;utm_campaign=Unitedstates.giaotiep.anhGTmy3_16917_MES_NamNH_140523</v>
      </c>
      <c r="U48" s="110" t="s">
        <v>1400</v>
      </c>
    </row>
    <row r="49">
      <c r="A49" s="72">
        <v>45061.0</v>
      </c>
      <c r="B49" s="75" t="s">
        <v>1282</v>
      </c>
      <c r="C49" s="67" t="str">
        <f>IFERROR(__xludf.DUMMYFUNCTION("""COMPUTED_VALUE"""),"LD163")</f>
        <v>LD163</v>
      </c>
      <c r="D49" s="55" t="s">
        <v>42</v>
      </c>
      <c r="E49" s="55" t="s">
        <v>79</v>
      </c>
      <c r="F49" s="55" t="s">
        <v>133</v>
      </c>
      <c r="G49" s="55">
        <v>1840.0</v>
      </c>
      <c r="H49" s="55" t="s">
        <v>1137</v>
      </c>
      <c r="I49" s="55" t="s">
        <v>1287</v>
      </c>
      <c r="J49" s="55" t="s">
        <v>1402</v>
      </c>
      <c r="K49" s="55" t="s">
        <v>61</v>
      </c>
      <c r="L49" s="55">
        <v>95360.0</v>
      </c>
      <c r="M49" s="55" t="s">
        <v>78</v>
      </c>
      <c r="N49" s="55" t="s">
        <v>79</v>
      </c>
      <c r="O49" s="55" t="s">
        <v>224</v>
      </c>
      <c r="P49" s="55" t="s">
        <v>110</v>
      </c>
      <c r="Q49" s="67" t="str">
        <f>IFERROR(__xludf.DUMMYFUNCTION("""COMPUTED_VALUE"""),"Japan.giaotiep.GTjapan3_95360_MES_NamNH_150523")</f>
        <v>Japan.giaotiep.GTjapan3_95360_MES_NamNH_150523</v>
      </c>
      <c r="R49" s="67" t="str">
        <f>IFERROR(__xludf.DUMMYFUNCTION("""COMPUTED_VALUE"""),"NEW_Japan_1840_none_150523")</f>
        <v>NEW_Japan_1840_none_150523</v>
      </c>
      <c r="S49" s="67" t="str">
        <f>IFERROR(__xludf.DUMMYFUNCTION("""COMPUTED_VALUE"""),"saletructiep_Japan.GTjapan3.1840.giaotiep_PTATT_LD163")</f>
        <v>saletructiep_Japan.GTjapan3.1840.giaotiep_PTATT_LD163</v>
      </c>
      <c r="T49" s="107" t="str">
        <f>IFERROR(__xludf.DUMMYFUNCTION("""COMPUTED_VALUE"""),"https://patadovietnam.edu.vn/gtjapan_nhn2/?utm_source=Facebook&amp;utm_medium=MES&amp;utm_term=NEW_Japan_1840_none_150523&amp;utm_content=saletructiep_Japan.GTjapan3.1840.giaotiep_PTATT_LD163&amp;utm_campaign=Japan.giaotiep.GTjapan3_95360_MES_NamNH_150523")</f>
        <v>https://patadovietnam.edu.vn/gtjapan_nhn2/?utm_source=Facebook&amp;utm_medium=MES&amp;utm_term=NEW_Japan_1840_none_150523&amp;utm_content=saletructiep_Japan.GTjapan3.1840.giaotiep_PTATT_LD163&amp;utm_campaign=Japan.giaotiep.GTjapan3_95360_MES_NamNH_150523</v>
      </c>
      <c r="U49" s="110" t="s">
        <v>1407</v>
      </c>
    </row>
    <row r="50">
      <c r="A50" s="72">
        <v>45061.0</v>
      </c>
      <c r="B50" s="75" t="s">
        <v>1134</v>
      </c>
      <c r="C50" s="67" t="str">
        <f>IFERROR(__xludf.DUMMYFUNCTION("""COMPUTED_VALUE"""),"LD153")</f>
        <v>LD153</v>
      </c>
      <c r="D50" s="55" t="s">
        <v>42</v>
      </c>
      <c r="E50" s="55" t="s">
        <v>79</v>
      </c>
      <c r="F50" s="55" t="s">
        <v>129</v>
      </c>
      <c r="G50" s="55">
        <v>2040.0</v>
      </c>
      <c r="H50" s="55" t="s">
        <v>1137</v>
      </c>
      <c r="I50" s="55" t="s">
        <v>1150</v>
      </c>
      <c r="J50" s="55" t="s">
        <v>1151</v>
      </c>
      <c r="K50" s="55" t="s">
        <v>61</v>
      </c>
      <c r="L50" s="55">
        <v>95360.0</v>
      </c>
      <c r="M50" s="55" t="s">
        <v>78</v>
      </c>
      <c r="N50" s="55" t="s">
        <v>79</v>
      </c>
      <c r="O50" s="55" t="s">
        <v>224</v>
      </c>
      <c r="P50" s="55" t="s">
        <v>110</v>
      </c>
      <c r="Q50" s="67" t="str">
        <f>IFERROR(__xludf.DUMMYFUNCTION("""COMPUTED_VALUE"""),"Australia.giaotiep.anhgiaotiep2_95360_MES_NamNH_150523")</f>
        <v>Australia.giaotiep.anhgiaotiep2_95360_MES_NamNH_150523</v>
      </c>
      <c r="R50" s="67" t="str">
        <f>IFERROR(__xludf.DUMMYFUNCTION("""COMPUTED_VALUE"""),"NEW_Australia_2040_none_150523")</f>
        <v>NEW_Australia_2040_none_150523</v>
      </c>
      <c r="S50" s="67" t="str">
        <f>IFERROR(__xludf.DUMMYFUNCTION("""COMPUTED_VALUE"""),"saletructiep_Australia.anhgiaotiep2.2045.giaotiep_PTATT_LD153")</f>
        <v>saletructiep_Australia.anhgiaotiep2.2045.giaotiep_PTATT_LD153</v>
      </c>
      <c r="T50" s="107" t="str">
        <f>IFERROR(__xludf.DUMMYFUNCTION("""COMPUTED_VALUE"""),"https://patadovietnam.edu.vn/tienganhgiaotiep_hn/?utm_source=Facebook&amp;utm_medium=MES&amp;utm_term=NEW_Australia_2040_none_150523&amp;utm_content=saletructiep_Australia.anhgiaotiep2.2045.giaotiep_PTATT_LD153&amp;utm_campaign=Australia.giaotiep.anhgiaotiep2_95360_MES_N"&amp;"amNH_150523")</f>
        <v>https://patadovietnam.edu.vn/tienganhgiaotiep_hn/?utm_source=Facebook&amp;utm_medium=MES&amp;utm_term=NEW_Australia_2040_none_150523&amp;utm_content=saletructiep_Australia.anhgiaotiep2.2045.giaotiep_PTATT_LD153&amp;utm_campaign=Australia.giaotiep.anhgiaotiep2_95360_MES_NamNH_150523</v>
      </c>
      <c r="U50" s="110" t="s">
        <v>1414</v>
      </c>
    </row>
    <row r="51">
      <c r="A51" s="72">
        <v>45061.0</v>
      </c>
      <c r="B51" s="75" t="s">
        <v>1269</v>
      </c>
      <c r="C51" s="67" t="str">
        <f>IFERROR(__xludf.DUMMYFUNCTION("""COMPUTED_VALUE"""),"LD162")</f>
        <v>LD162</v>
      </c>
      <c r="D51" s="55" t="s">
        <v>42</v>
      </c>
      <c r="E51" s="55" t="s">
        <v>69</v>
      </c>
      <c r="F51" s="55" t="s">
        <v>674</v>
      </c>
      <c r="G51" s="55">
        <v>2045.0</v>
      </c>
      <c r="H51" s="55" t="s">
        <v>1137</v>
      </c>
      <c r="I51" s="55" t="s">
        <v>1360</v>
      </c>
      <c r="J51" s="55" t="s">
        <v>1416</v>
      </c>
      <c r="K51" s="55" t="s">
        <v>61</v>
      </c>
      <c r="L51" s="55">
        <v>95360.0</v>
      </c>
      <c r="M51" s="55" t="s">
        <v>78</v>
      </c>
      <c r="N51" s="55" t="s">
        <v>69</v>
      </c>
      <c r="O51" s="55" t="s">
        <v>224</v>
      </c>
      <c r="P51" s="55" t="s">
        <v>110</v>
      </c>
      <c r="Q51" s="67" t="str">
        <f>IFERROR(__xludf.DUMMYFUNCTION("""COMPUTED_VALUE"""),"Europe.giaotiep.anhgteurope3_95360_CVS_NamNH_150523")</f>
        <v>Europe.giaotiep.anhgteurope3_95360_CVS_NamNH_150523</v>
      </c>
      <c r="R51" s="67" t="str">
        <f>IFERROR(__xludf.DUMMYFUNCTION("""COMPUTED_VALUE"""),"NEW_Europe_2045_none_150523")</f>
        <v>NEW_Europe_2045_none_150523</v>
      </c>
      <c r="S51" s="67" t="str">
        <f>IFERROR(__xludf.DUMMYFUNCTION("""COMPUTED_VALUE"""),"saletructiep_Europe.anhgteurope3.2045.giaotiep_PTATT_LD162")</f>
        <v>saletructiep_Europe.anhgteurope3.2045.giaotiep_PTATT_LD162</v>
      </c>
      <c r="T51" s="107" t="str">
        <f>IFERROR(__xludf.DUMMYFUNCTION("""COMPUTED_VALUE"""),"https://patadovietnam.edu.vn/gteurope_nhn/?utm_source=Facebook&amp;utm_medium=CVS&amp;utm_term=NEW_Europe_2045_none_150523&amp;utm_content=saletructiep_Europe.anhgteurope3.2045.giaotiep_PTATT_LD162&amp;utm_campaign=Europe.giaotiep.anhgteurope3_95360_CVS_NamNH_150523")</f>
        <v>https://patadovietnam.edu.vn/gteurope_nhn/?utm_source=Facebook&amp;utm_medium=CVS&amp;utm_term=NEW_Europe_2045_none_150523&amp;utm_content=saletructiep_Europe.anhgteurope3.2045.giaotiep_PTATT_LD162&amp;utm_campaign=Europe.giaotiep.anhgteurope3_95360_CVS_NamNH_150523</v>
      </c>
      <c r="U51" s="110" t="s">
        <v>1424</v>
      </c>
    </row>
    <row r="52">
      <c r="A52" s="72">
        <v>45062.0</v>
      </c>
      <c r="B52" s="75" t="s">
        <v>1134</v>
      </c>
      <c r="C52" s="67" t="str">
        <f>IFERROR(__xludf.DUMMYFUNCTION("""COMPUTED_VALUE"""),"LD153")</f>
        <v>LD153</v>
      </c>
      <c r="D52" s="55" t="s">
        <v>42</v>
      </c>
      <c r="E52" s="55" t="s">
        <v>79</v>
      </c>
      <c r="F52" s="55" t="s">
        <v>129</v>
      </c>
      <c r="G52" s="55">
        <v>2045.0</v>
      </c>
      <c r="H52" s="55" t="s">
        <v>1137</v>
      </c>
      <c r="I52" s="55" t="s">
        <v>1296</v>
      </c>
      <c r="J52" s="55" t="s">
        <v>1297</v>
      </c>
      <c r="K52" s="55" t="s">
        <v>61</v>
      </c>
      <c r="L52" s="55">
        <v>95360.0</v>
      </c>
      <c r="M52" s="55" t="s">
        <v>78</v>
      </c>
      <c r="N52" s="55" t="s">
        <v>79</v>
      </c>
      <c r="O52" s="55" t="s">
        <v>224</v>
      </c>
      <c r="P52" s="55" t="s">
        <v>110</v>
      </c>
      <c r="Q52" s="67" t="str">
        <f>IFERROR(__xludf.DUMMYFUNCTION("""COMPUTED_VALUE"""),"Australia.giaotiep.Gtaustra2_95360_MES_NamNH_160523")</f>
        <v>Australia.giaotiep.Gtaustra2_95360_MES_NamNH_160523</v>
      </c>
      <c r="R52" s="67" t="str">
        <f>IFERROR(__xludf.DUMMYFUNCTION("""COMPUTED_VALUE"""),"NEW_Australia_2045_none_160523")</f>
        <v>NEW_Australia_2045_none_160523</v>
      </c>
      <c r="S52" s="67" t="str">
        <f>IFERROR(__xludf.DUMMYFUNCTION("""COMPUTED_VALUE"""),"saletructiep_Australia.GTaustra2.2045.giaotiep_PTATT_LD153")</f>
        <v>saletructiep_Australia.GTaustra2.2045.giaotiep_PTATT_LD153</v>
      </c>
      <c r="T52" s="107" t="str">
        <f>IFERROR(__xludf.DUMMYFUNCTION("""COMPUTED_VALUE"""),"https://patadovietnam.edu.vn/tienganhgiaotiep_hn/?utm_source=Facebook&amp;utm_medium=MES&amp;utm_term=NEW_Australia_2045_none_160523&amp;utm_content=saletructiep_Australia.GTaustra2.2045.giaotiep_PTATT_LD153&amp;utm_campaign=Australia.giaotiep.Gtaustra2_95360_MES_NamNH_1"&amp;"60523")</f>
        <v>https://patadovietnam.edu.vn/tienganhgiaotiep_hn/?utm_source=Facebook&amp;utm_medium=MES&amp;utm_term=NEW_Australia_2045_none_160523&amp;utm_content=saletructiep_Australia.GTaustra2.2045.giaotiep_PTATT_LD153&amp;utm_campaign=Australia.giaotiep.Gtaustra2_95360_MES_NamNH_160523</v>
      </c>
      <c r="U52" s="111" t="s">
        <v>1430</v>
      </c>
    </row>
    <row r="53">
      <c r="A53" s="72">
        <v>45062.0</v>
      </c>
      <c r="B53" s="75" t="s">
        <v>1379</v>
      </c>
      <c r="C53" s="67" t="str">
        <f>IFERROR(__xludf.DUMMYFUNCTION("""COMPUTED_VALUE"""),"LD166")</f>
        <v>LD166</v>
      </c>
      <c r="D53" s="55" t="s">
        <v>42</v>
      </c>
      <c r="E53" s="55" t="s">
        <v>69</v>
      </c>
      <c r="F53" s="55" t="s">
        <v>625</v>
      </c>
      <c r="G53" s="55">
        <v>1838.0</v>
      </c>
      <c r="H53" s="55" t="s">
        <v>1137</v>
      </c>
      <c r="I53" s="55" t="s">
        <v>1434</v>
      </c>
      <c r="J53" s="55" t="s">
        <v>1435</v>
      </c>
      <c r="K53" s="55" t="s">
        <v>61</v>
      </c>
      <c r="L53" s="55">
        <v>95360.0</v>
      </c>
      <c r="M53" s="55" t="s">
        <v>78</v>
      </c>
      <c r="N53" s="55" t="s">
        <v>69</v>
      </c>
      <c r="O53" s="55" t="s">
        <v>224</v>
      </c>
      <c r="P53" s="55" t="s">
        <v>110</v>
      </c>
      <c r="Q53" s="67" t="str">
        <f>IFERROR(__xludf.DUMMYFUNCTION("""COMPUTED_VALUE"""),"Southkorea.giaotiep.videoGT_95360_CVS_NamNH_160523")</f>
        <v>Southkorea.giaotiep.videoGT_95360_CVS_NamNH_160523</v>
      </c>
      <c r="R53" s="67" t="str">
        <f>IFERROR(__xludf.DUMMYFUNCTION("""COMPUTED_VALUE"""),"NEW_KoreaSouth_1838_none_160523")</f>
        <v>NEW_KoreaSouth_1838_none_160523</v>
      </c>
      <c r="S53" s="67" t="str">
        <f>IFERROR(__xludf.DUMMYFUNCTION("""COMPUTED_VALUE"""),"saletructiep_Southkorea.videoGT.1838.giaotiep_PTATT_LD166")</f>
        <v>saletructiep_Southkorea.videoGT.1838.giaotiep_PTATT_LD166</v>
      </c>
      <c r="T53" s="107" t="str">
        <f>IFERROR(__xludf.DUMMYFUNCTION("""COMPUTED_VALUE"""),"https://patadovietnam.edu.vn/gtkorea_nhn/?utm_source=Facebook&amp;utm_medium=CVS&amp;utm_term=NEW_KoreaSouth_1838_none_160523&amp;utm_content=saletructiep_Southkorea.videoGT.1838.giaotiep_PTATT_LD166&amp;utm_campaign=Southkorea.giaotiep.videoGT_95360_CVS_NamNH_160523")</f>
        <v>https://patadovietnam.edu.vn/gtkorea_nhn/?utm_source=Facebook&amp;utm_medium=CVS&amp;utm_term=NEW_KoreaSouth_1838_none_160523&amp;utm_content=saletructiep_Southkorea.videoGT.1838.giaotiep_PTATT_LD166&amp;utm_campaign=Southkorea.giaotiep.videoGT_95360_CVS_NamNH_160523</v>
      </c>
      <c r="U53" s="110" t="s">
        <v>1441</v>
      </c>
    </row>
    <row r="54">
      <c r="A54" s="72">
        <v>45063.0</v>
      </c>
      <c r="B54" s="75" t="s">
        <v>1282</v>
      </c>
      <c r="C54" s="67" t="str">
        <f>IFERROR(__xludf.DUMMYFUNCTION("""COMPUTED_VALUE"""),"LD163")</f>
        <v>LD163</v>
      </c>
      <c r="D54" s="55" t="s">
        <v>42</v>
      </c>
      <c r="E54" s="55" t="s">
        <v>69</v>
      </c>
      <c r="F54" s="55" t="s">
        <v>133</v>
      </c>
      <c r="G54" s="55">
        <v>1840.0</v>
      </c>
      <c r="H54" s="55" t="s">
        <v>1137</v>
      </c>
      <c r="I54" s="55" t="s">
        <v>1442</v>
      </c>
      <c r="J54" s="55" t="s">
        <v>1443</v>
      </c>
      <c r="K54" s="55" t="s">
        <v>61</v>
      </c>
      <c r="L54" s="55">
        <v>95360.0</v>
      </c>
      <c r="M54" s="55" t="s">
        <v>78</v>
      </c>
      <c r="N54" s="55" t="s">
        <v>69</v>
      </c>
      <c r="O54" s="55" t="s">
        <v>224</v>
      </c>
      <c r="P54" s="55" t="s">
        <v>110</v>
      </c>
      <c r="Q54" s="67" t="str">
        <f>IFERROR(__xludf.DUMMYFUNCTION("""COMPUTED_VALUE"""),"Japan.giaotiep.videoGT_95360_CVS_NamNH_170523")</f>
        <v>Japan.giaotiep.videoGT_95360_CVS_NamNH_170523</v>
      </c>
      <c r="R54" s="67" t="str">
        <f>IFERROR(__xludf.DUMMYFUNCTION("""COMPUTED_VALUE"""),"NEW_Japan_1840_none_170523")</f>
        <v>NEW_Japan_1840_none_170523</v>
      </c>
      <c r="S54" s="67" t="str">
        <f>IFERROR(__xludf.DUMMYFUNCTION("""COMPUTED_VALUE"""),"saletructiep_Japan.videoGT.1840.giaotiep_PTATT_LD163")</f>
        <v>saletructiep_Japan.videoGT.1840.giaotiep_PTATT_LD163</v>
      </c>
      <c r="T54" s="107" t="str">
        <f>IFERROR(__xludf.DUMMYFUNCTION("""COMPUTED_VALUE"""),"https://patadovietnam.edu.vn/gtjapan_nhn2/?utm_source=Facebook&amp;utm_medium=CVS&amp;utm_term=NEW_Japan_1840_none_170523&amp;utm_content=saletructiep_Japan.videoGT.1840.giaotiep_PTATT_LD163&amp;utm_campaign=Japan.giaotiep.videoGT_95360_CVS_NamNH_170523")</f>
        <v>https://patadovietnam.edu.vn/gtjapan_nhn2/?utm_source=Facebook&amp;utm_medium=CVS&amp;utm_term=NEW_Japan_1840_none_170523&amp;utm_content=saletructiep_Japan.videoGT.1840.giaotiep_PTATT_LD163&amp;utm_campaign=Japan.giaotiep.videoGT_95360_CVS_NamNH_170523</v>
      </c>
      <c r="U54" s="110" t="s">
        <v>1448</v>
      </c>
    </row>
    <row r="55">
      <c r="A55" s="72">
        <v>45063.0</v>
      </c>
      <c r="B55" s="75" t="s">
        <v>1282</v>
      </c>
      <c r="C55" s="67" t="str">
        <f>IFERROR(__xludf.DUMMYFUNCTION("""COMPUTED_VALUE"""),"LD163")</f>
        <v>LD163</v>
      </c>
      <c r="D55" s="55" t="s">
        <v>42</v>
      </c>
      <c r="E55" s="55" t="s">
        <v>79</v>
      </c>
      <c r="F55" s="55" t="s">
        <v>133</v>
      </c>
      <c r="G55" s="55">
        <v>1838.0</v>
      </c>
      <c r="H55" s="55" t="s">
        <v>1137</v>
      </c>
      <c r="I55" s="55" t="s">
        <v>1287</v>
      </c>
      <c r="J55" s="55" t="s">
        <v>1450</v>
      </c>
      <c r="K55" s="55" t="s">
        <v>61</v>
      </c>
      <c r="L55" s="55">
        <v>95360.0</v>
      </c>
      <c r="M55" s="55" t="s">
        <v>78</v>
      </c>
      <c r="N55" s="55" t="s">
        <v>79</v>
      </c>
      <c r="O55" s="55" t="s">
        <v>224</v>
      </c>
      <c r="P55" s="55" t="s">
        <v>110</v>
      </c>
      <c r="Q55" s="67" t="str">
        <f>IFERROR(__xludf.DUMMYFUNCTION("""COMPUTED_VALUE"""),"Japan.giaotiep.GTjapan3_95360_MES_NamNH_170523")</f>
        <v>Japan.giaotiep.GTjapan3_95360_MES_NamNH_170523</v>
      </c>
      <c r="R55" s="67" t="str">
        <f>IFERROR(__xludf.DUMMYFUNCTION("""COMPUTED_VALUE"""),"NEW_Japan_1838_none_170523")</f>
        <v>NEW_Japan_1838_none_170523</v>
      </c>
      <c r="S55" s="67" t="str">
        <f>IFERROR(__xludf.DUMMYFUNCTION("""COMPUTED_VALUE"""),"saletructiep_Japan.GTjapan3.1838.giaotiep_PTATT_LD163")</f>
        <v>saletructiep_Japan.GTjapan3.1838.giaotiep_PTATT_LD163</v>
      </c>
      <c r="T55" s="107" t="str">
        <f>IFERROR(__xludf.DUMMYFUNCTION("""COMPUTED_VALUE"""),"https://patadovietnam.edu.vn/gtjapan_nhn2/?utm_source=Facebook&amp;utm_medium=MES&amp;utm_term=NEW_Japan_1838_none_170523&amp;utm_content=saletructiep_Japan.GTjapan3.1838.giaotiep_PTATT_LD163&amp;utm_campaign=Japan.giaotiep.GTjapan3_95360_MES_NamNH_170523")</f>
        <v>https://patadovietnam.edu.vn/gtjapan_nhn2/?utm_source=Facebook&amp;utm_medium=MES&amp;utm_term=NEW_Japan_1838_none_170523&amp;utm_content=saletructiep_Japan.GTjapan3.1838.giaotiep_PTATT_LD163&amp;utm_campaign=Japan.giaotiep.GTjapan3_95360_MES_NamNH_170523</v>
      </c>
      <c r="U55" s="110" t="s">
        <v>1455</v>
      </c>
    </row>
    <row r="56">
      <c r="A56" s="72">
        <v>45063.0</v>
      </c>
      <c r="B56" s="75" t="s">
        <v>1282</v>
      </c>
      <c r="C56" s="67" t="str">
        <f>IFERROR(__xludf.DUMMYFUNCTION("""COMPUTED_VALUE"""),"LD163")</f>
        <v>LD163</v>
      </c>
      <c r="D56" s="55" t="s">
        <v>42</v>
      </c>
      <c r="E56" s="55" t="s">
        <v>69</v>
      </c>
      <c r="F56" s="55" t="s">
        <v>133</v>
      </c>
      <c r="G56" s="55">
        <v>1840.0</v>
      </c>
      <c r="H56" s="55" t="s">
        <v>1137</v>
      </c>
      <c r="I56" s="55" t="s">
        <v>1458</v>
      </c>
      <c r="J56" s="55" t="s">
        <v>1459</v>
      </c>
      <c r="K56" s="55" t="s">
        <v>61</v>
      </c>
      <c r="L56" s="55">
        <v>16917.0</v>
      </c>
      <c r="M56" s="55" t="s">
        <v>78</v>
      </c>
      <c r="N56" s="55" t="s">
        <v>69</v>
      </c>
      <c r="O56" s="55" t="s">
        <v>224</v>
      </c>
      <c r="P56" s="55" t="s">
        <v>110</v>
      </c>
      <c r="Q56" s="67" t="str">
        <f>IFERROR(__xludf.DUMMYFUNCTION("""COMPUTED_VALUE"""),"Japan.giaotiep.jhuynh_16917_CVS_NamNH_170523")</f>
        <v>Japan.giaotiep.jhuynh_16917_CVS_NamNH_170523</v>
      </c>
      <c r="R56" s="67" t="str">
        <f>IFERROR(__xludf.DUMMYFUNCTION("""COMPUTED_VALUE"""),"NEW_Japan_1840_none_170523")</f>
        <v>NEW_Japan_1840_none_170523</v>
      </c>
      <c r="S56" s="67" t="str">
        <f>IFERROR(__xludf.DUMMYFUNCTION("""COMPUTED_VALUE"""),"saletructiep_Japan.jhuynh.1840.giaotiep_PTATT_LD163")</f>
        <v>saletructiep_Japan.jhuynh.1840.giaotiep_PTATT_LD163</v>
      </c>
      <c r="T56" s="107" t="str">
        <f>IFERROR(__xludf.DUMMYFUNCTION("""COMPUTED_VALUE"""),"https://patadovietnam.edu.vn/gtjapan_nhn2/?utm_source=Facebook&amp;utm_medium=CVS&amp;utm_term=NEW_Japan_1840_none_170523&amp;utm_content=saletructiep_Japan.jhuynh.1840.giaotiep_PTATT_LD163&amp;utm_campaign=Japan.giaotiep.jhuynh_16917_CVS_NamNH_170523")</f>
        <v>https://patadovietnam.edu.vn/gtjapan_nhn2/?utm_source=Facebook&amp;utm_medium=CVS&amp;utm_term=NEW_Japan_1840_none_170523&amp;utm_content=saletructiep_Japan.jhuynh.1840.giaotiep_PTATT_LD163&amp;utm_campaign=Japan.giaotiep.jhuynh_16917_CVS_NamNH_170523</v>
      </c>
      <c r="U56" s="110" t="s">
        <v>1463</v>
      </c>
    </row>
    <row r="57">
      <c r="A57" s="72">
        <v>45064.0</v>
      </c>
      <c r="B57" s="75" t="s">
        <v>1229</v>
      </c>
      <c r="C57" s="67" t="str">
        <f>IFERROR(__xludf.DUMMYFUNCTION("""COMPUTED_VALUE"""),"LD164")</f>
        <v>LD164</v>
      </c>
      <c r="D57" s="55" t="s">
        <v>42</v>
      </c>
      <c r="E57" s="55" t="s">
        <v>69</v>
      </c>
      <c r="F57" s="55" t="s">
        <v>133</v>
      </c>
      <c r="G57" s="55">
        <v>1838.0</v>
      </c>
      <c r="H57" s="55" t="s">
        <v>1137</v>
      </c>
      <c r="I57" s="55" t="s">
        <v>1458</v>
      </c>
      <c r="J57" s="55" t="s">
        <v>1464</v>
      </c>
      <c r="K57" s="55" t="s">
        <v>61</v>
      </c>
      <c r="L57" s="55">
        <v>16917.0</v>
      </c>
      <c r="M57" s="55" t="s">
        <v>78</v>
      </c>
      <c r="N57" s="55" t="s">
        <v>69</v>
      </c>
      <c r="O57" s="55" t="s">
        <v>224</v>
      </c>
      <c r="P57" s="55" t="s">
        <v>110</v>
      </c>
      <c r="Q57" s="67" t="str">
        <f>IFERROR(__xludf.DUMMYFUNCTION("""COMPUTED_VALUE"""),"Japan.giaotiep.jhuynh_16917_CVS_NamNH_180523")</f>
        <v>Japan.giaotiep.jhuynh_16917_CVS_NamNH_180523</v>
      </c>
      <c r="R57" s="67" t="str">
        <f>IFERROR(__xludf.DUMMYFUNCTION("""COMPUTED_VALUE"""),"NEW_Japan_1838_none_180523")</f>
        <v>NEW_Japan_1838_none_180523</v>
      </c>
      <c r="S57" s="67" t="str">
        <f>IFERROR(__xludf.DUMMYFUNCTION("""COMPUTED_VALUE"""),"saletructiep_Japan.jhuynh.1838.giaotiep_PTATT_LD164")</f>
        <v>saletructiep_Japan.jhuynh.1838.giaotiep_PTATT_LD164</v>
      </c>
      <c r="T57" s="107" t="str">
        <f>IFERROR(__xludf.DUMMYFUNCTION("""COMPUTED_VALUE"""),"https://patadovietnam.edu.vn/gtjapan_nhn3/?utm_source=Facebook&amp;utm_medium=CVS&amp;utm_term=NEW_Japan_1838_none_180523&amp;utm_content=saletructiep_Japan.jhuynh.1838.giaotiep_PTATT_LD164&amp;utm_campaign=Japan.giaotiep.jhuynh_16917_CVS_NamNH_180523")</f>
        <v>https://patadovietnam.edu.vn/gtjapan_nhn3/?utm_source=Facebook&amp;utm_medium=CVS&amp;utm_term=NEW_Japan_1838_none_180523&amp;utm_content=saletructiep_Japan.jhuynh.1838.giaotiep_PTATT_LD164&amp;utm_campaign=Japan.giaotiep.jhuynh_16917_CVS_NamNH_180523</v>
      </c>
      <c r="U57" s="110" t="s">
        <v>1468</v>
      </c>
    </row>
    <row r="58">
      <c r="A58" s="72">
        <v>45064.0</v>
      </c>
      <c r="B58" s="75" t="s">
        <v>1134</v>
      </c>
      <c r="C58" s="67" t="str">
        <f>IFERROR(__xludf.DUMMYFUNCTION("""COMPUTED_VALUE"""),"LD153")</f>
        <v>LD153</v>
      </c>
      <c r="D58" s="55" t="s">
        <v>42</v>
      </c>
      <c r="E58" s="55" t="s">
        <v>79</v>
      </c>
      <c r="F58" s="55" t="s">
        <v>129</v>
      </c>
      <c r="G58" s="55">
        <v>2540.0</v>
      </c>
      <c r="H58" s="55" t="s">
        <v>1137</v>
      </c>
      <c r="I58" s="55" t="s">
        <v>1296</v>
      </c>
      <c r="J58" s="55" t="s">
        <v>1470</v>
      </c>
      <c r="K58" s="55" t="s">
        <v>61</v>
      </c>
      <c r="L58" s="55">
        <v>95360.0</v>
      </c>
      <c r="M58" s="55" t="s">
        <v>78</v>
      </c>
      <c r="N58" s="55" t="s">
        <v>79</v>
      </c>
      <c r="O58" s="55" t="s">
        <v>224</v>
      </c>
      <c r="P58" s="55" t="s">
        <v>110</v>
      </c>
      <c r="Q58" s="67" t="str">
        <f>IFERROR(__xludf.DUMMYFUNCTION("""COMPUTED_VALUE"""),"Australia.giaotiep.Gtaustra2_95360_MES_NamNH_180523")</f>
        <v>Australia.giaotiep.Gtaustra2_95360_MES_NamNH_180523</v>
      </c>
      <c r="R58" s="67" t="str">
        <f>IFERROR(__xludf.DUMMYFUNCTION("""COMPUTED_VALUE"""),"NEW_Australia_2540_none_180523")</f>
        <v>NEW_Australia_2540_none_180523</v>
      </c>
      <c r="S58" s="67" t="str">
        <f>IFERROR(__xludf.DUMMYFUNCTION("""COMPUTED_VALUE"""),"saletructiep_Australia.GTaustra2.2540.giaotiep_PTATT_LD153")</f>
        <v>saletructiep_Australia.GTaustra2.2540.giaotiep_PTATT_LD153</v>
      </c>
      <c r="T58" s="107" t="str">
        <f>IFERROR(__xludf.DUMMYFUNCTION("""COMPUTED_VALUE"""),"https://patadovietnam.edu.vn/tienganhgiaotiep_hn/?utm_source=Facebook&amp;utm_medium=MES&amp;utm_term=NEW_Australia_2540_none_180523&amp;utm_content=saletructiep_Australia.GTaustra2.2540.giaotiep_PTATT_LD153&amp;utm_campaign=Australia.giaotiep.Gtaustra2_95360_MES_NamNH_1"&amp;"80523")</f>
        <v>https://patadovietnam.edu.vn/tienganhgiaotiep_hn/?utm_source=Facebook&amp;utm_medium=MES&amp;utm_term=NEW_Australia_2540_none_180523&amp;utm_content=saletructiep_Australia.GTaustra2.2540.giaotiep_PTATT_LD153&amp;utm_campaign=Australia.giaotiep.Gtaustra2_95360_MES_NamNH_180523</v>
      </c>
      <c r="U58" s="110" t="s">
        <v>1473</v>
      </c>
    </row>
    <row r="59">
      <c r="A59" s="72">
        <v>45072.0</v>
      </c>
      <c r="B59" s="75" t="s">
        <v>1245</v>
      </c>
      <c r="C59" s="67" t="str">
        <f>IFERROR(__xludf.DUMMYFUNCTION("""COMPUTED_VALUE"""),"LD161")</f>
        <v>LD161</v>
      </c>
      <c r="D59" s="55" t="s">
        <v>42</v>
      </c>
      <c r="E59" s="55" t="s">
        <v>79</v>
      </c>
      <c r="F59" s="55" t="s">
        <v>107</v>
      </c>
      <c r="G59" s="55">
        <v>1855.0</v>
      </c>
      <c r="H59" s="55" t="s">
        <v>1137</v>
      </c>
      <c r="I59" s="55" t="s">
        <v>1475</v>
      </c>
      <c r="J59" s="55" t="s">
        <v>1476</v>
      </c>
      <c r="K59" s="55" t="s">
        <v>61</v>
      </c>
      <c r="L59" s="55">
        <v>16917.0</v>
      </c>
      <c r="M59" s="55" t="s">
        <v>78</v>
      </c>
      <c r="N59" s="55" t="s">
        <v>79</v>
      </c>
      <c r="O59" s="55" t="s">
        <v>224</v>
      </c>
      <c r="P59" s="55" t="s">
        <v>110</v>
      </c>
      <c r="Q59" s="67" t="str">
        <f>IFERROR(__xludf.DUMMYFUNCTION("""COMPUTED_VALUE"""),"UnitedStates.giaotiep.anhttmy_16917_MES_NamNH_260523")</f>
        <v>UnitedStates.giaotiep.anhttmy_16917_MES_NamNH_260523</v>
      </c>
      <c r="R59" s="67" t="str">
        <f>IFERROR(__xludf.DUMMYFUNCTION("""COMPUTED_VALUE"""),"NEW_UnitedStates_1855_none_260523")</f>
        <v>NEW_UnitedStates_1855_none_260523</v>
      </c>
      <c r="S59" s="67" t="str">
        <f>IFERROR(__xludf.DUMMYFUNCTION("""COMPUTED_VALUE"""),"saletructiep_Unitedstates.giaotiep.anhttmy_PTATT_LD161")</f>
        <v>saletructiep_Unitedstates.giaotiep.anhttmy_PTATT_LD161</v>
      </c>
      <c r="T59" s="107" t="str">
        <f>IFERROR(__xludf.DUMMYFUNCTION("""COMPUTED_VALUE"""),"https://patadovietnam.edu.vn/gtusa1_nhn/?utm_source=Facebook&amp;utm_medium=MES&amp;utm_term=NEW_UnitedStates_1855_none_260523&amp;utm_content=saletructiep_Unitedstates.giaotiep.anhttmy_PTATT_LD161&amp;utm_campaign=UnitedStates.giaotiep.anhttmy_16917_MES_NamNH_260523")</f>
        <v>https://patadovietnam.edu.vn/gtusa1_nhn/?utm_source=Facebook&amp;utm_medium=MES&amp;utm_term=NEW_UnitedStates_1855_none_260523&amp;utm_content=saletructiep_Unitedstates.giaotiep.anhttmy_PTATT_LD161&amp;utm_campaign=UnitedStates.giaotiep.anhttmy_16917_MES_NamNH_260523</v>
      </c>
      <c r="U59" s="110" t="s">
        <v>1479</v>
      </c>
    </row>
    <row r="60">
      <c r="A60" s="72">
        <v>45073.0</v>
      </c>
      <c r="B60" s="75" t="s">
        <v>1229</v>
      </c>
      <c r="C60" s="67" t="str">
        <f>IFERROR(__xludf.DUMMYFUNCTION("""COMPUTED_VALUE"""),"LD164")</f>
        <v>LD164</v>
      </c>
      <c r="D60" s="55" t="s">
        <v>42</v>
      </c>
      <c r="E60" s="55" t="s">
        <v>69</v>
      </c>
      <c r="F60" s="55" t="s">
        <v>133</v>
      </c>
      <c r="G60" s="55">
        <v>1840.0</v>
      </c>
      <c r="H60" s="55" t="s">
        <v>1137</v>
      </c>
      <c r="I60" s="55" t="s">
        <v>1481</v>
      </c>
      <c r="J60" s="55" t="s">
        <v>1482</v>
      </c>
      <c r="K60" s="55" t="s">
        <v>61</v>
      </c>
      <c r="L60" s="55">
        <v>16917.0</v>
      </c>
      <c r="M60" s="55" t="s">
        <v>78</v>
      </c>
      <c r="N60" s="55" t="s">
        <v>69</v>
      </c>
      <c r="O60" s="55" t="s">
        <v>224</v>
      </c>
      <c r="P60" s="55" t="s">
        <v>110</v>
      </c>
      <c r="Q60" s="67" t="str">
        <f>IFERROR(__xludf.DUMMYFUNCTION("""COMPUTED_VALUE"""),"Japan.giaotiep.dhsnhat_16917_CVS_NamNH_270523")</f>
        <v>Japan.giaotiep.dhsnhat_16917_CVS_NamNH_270523</v>
      </c>
      <c r="R60" s="67" t="str">
        <f>IFERROR(__xludf.DUMMYFUNCTION("""COMPUTED_VALUE"""),"NEW_Japan_1840_none_270523")</f>
        <v>NEW_Japan_1840_none_270523</v>
      </c>
      <c r="S60" s="67" t="str">
        <f>IFERROR(__xludf.DUMMYFUNCTION("""COMPUTED_VALUE"""),"saletructiep_Japan.dhsnhat.1840.giaotiep_PTATT_LD164")</f>
        <v>saletructiep_Japan.dhsnhat.1840.giaotiep_PTATT_LD164</v>
      </c>
      <c r="T60" s="107" t="str">
        <f>IFERROR(__xludf.DUMMYFUNCTION("""COMPUTED_VALUE"""),"https://patadovietnam.edu.vn/gtjapan_nhn3/?utm_source=Facebook&amp;utm_medium=CVS&amp;utm_term=NEW_Japan_1840_none_270523&amp;utm_content=saletructiep_Japan.dhsnhat.1840.giaotiep_PTATT_LD164&amp;utm_campaign=Japan.giaotiep.dhsnhat_16917_CVS_NamNH_270523")</f>
        <v>https://patadovietnam.edu.vn/gtjapan_nhn3/?utm_source=Facebook&amp;utm_medium=CVS&amp;utm_term=NEW_Japan_1840_none_270523&amp;utm_content=saletructiep_Japan.dhsnhat.1840.giaotiep_PTATT_LD164&amp;utm_campaign=Japan.giaotiep.dhsnhat_16917_CVS_NamNH_270523</v>
      </c>
      <c r="U60" s="110" t="s">
        <v>1489</v>
      </c>
    </row>
    <row r="61">
      <c r="A61" s="72">
        <v>45079.0</v>
      </c>
      <c r="B61" s="75" t="s">
        <v>1134</v>
      </c>
      <c r="C61" s="67" t="str">
        <f>IFERROR(__xludf.DUMMYFUNCTION("""COMPUTED_VALUE"""),"LD153")</f>
        <v>LD153</v>
      </c>
      <c r="D61" s="55" t="s">
        <v>42</v>
      </c>
      <c r="E61" s="55" t="s">
        <v>79</v>
      </c>
      <c r="F61" s="55" t="s">
        <v>461</v>
      </c>
      <c r="G61" s="55">
        <v>2545.0</v>
      </c>
      <c r="H61" s="55" t="s">
        <v>1137</v>
      </c>
      <c r="I61" s="55" t="s">
        <v>1493</v>
      </c>
      <c r="J61" s="55" t="s">
        <v>1494</v>
      </c>
      <c r="K61" s="55" t="s">
        <v>61</v>
      </c>
      <c r="L61" s="55">
        <v>95360.0</v>
      </c>
      <c r="M61" s="55" t="s">
        <v>78</v>
      </c>
      <c r="N61" s="55" t="s">
        <v>79</v>
      </c>
      <c r="O61" s="55" t="s">
        <v>224</v>
      </c>
      <c r="P61" s="55" t="s">
        <v>110</v>
      </c>
      <c r="Q61" s="67" t="str">
        <f>IFERROR(__xludf.DUMMYFUNCTION("""COMPUTED_VALUE"""),"CzechRepublic.giaotiep.jh_95360_MES_NamNH_020623")</f>
        <v>CzechRepublic.giaotiep.jh_95360_MES_NamNH_020623</v>
      </c>
      <c r="R61" s="67" t="str">
        <f>IFERROR(__xludf.DUMMYFUNCTION("""COMPUTED_VALUE"""),"NEW_CzechRepublic_2545_none_020623")</f>
        <v>NEW_CzechRepublic_2545_none_020623</v>
      </c>
      <c r="S61" s="67" t="str">
        <f>IFERROR(__xludf.DUMMYFUNCTION("""COMPUTED_VALUE"""),"saletructiep_CzechRepublic.jh.2545.giaotiep_PTATT_LD153")</f>
        <v>saletructiep_CzechRepublic.jh.2545.giaotiep_PTATT_LD153</v>
      </c>
      <c r="T61" s="107" t="str">
        <f>IFERROR(__xludf.DUMMYFUNCTION("""COMPUTED_VALUE"""),"https://patadovietnam.edu.vn/tienganhgiaotiep_hn/?utm_source=Facebook&amp;utm_medium=MES&amp;utm_term=NEW_CzechRepublic_2545_none_020623&amp;utm_content=saletructiep_CzechRepublic.jh.2545.giaotiep_PTATT_LD153&amp;utm_campaign=CzechRepublic.giaotiep.jh_95360_MES_NamNH_020"&amp;"623")</f>
        <v>https://patadovietnam.edu.vn/tienganhgiaotiep_hn/?utm_source=Facebook&amp;utm_medium=MES&amp;utm_term=NEW_CzechRepublic_2545_none_020623&amp;utm_content=saletructiep_CzechRepublic.jh.2545.giaotiep_PTATT_LD153&amp;utm_campaign=CzechRepublic.giaotiep.jh_95360_MES_NamNH_020623</v>
      </c>
      <c r="U61" s="110" t="s">
        <v>1496</v>
      </c>
    </row>
    <row r="62">
      <c r="A62" s="122">
        <v>45079.0</v>
      </c>
      <c r="B62" s="123" t="s">
        <v>1229</v>
      </c>
      <c r="C62" s="124" t="str">
        <f>IFERROR(__xludf.DUMMYFUNCTION("""COMPUTED_VALUE"""),"LD164")</f>
        <v>LD164</v>
      </c>
      <c r="D62" s="125" t="s">
        <v>42</v>
      </c>
      <c r="E62" s="125" t="s">
        <v>69</v>
      </c>
      <c r="F62" s="125" t="s">
        <v>133</v>
      </c>
      <c r="G62" s="125">
        <v>1838.0</v>
      </c>
      <c r="H62" s="125" t="s">
        <v>1137</v>
      </c>
      <c r="I62" s="125" t="s">
        <v>1499</v>
      </c>
      <c r="J62" s="125" t="s">
        <v>1500</v>
      </c>
      <c r="K62" s="125" t="s">
        <v>61</v>
      </c>
      <c r="L62" s="125">
        <v>95360.0</v>
      </c>
      <c r="M62" s="125" t="s">
        <v>78</v>
      </c>
      <c r="N62" s="125" t="s">
        <v>69</v>
      </c>
      <c r="O62" s="125" t="s">
        <v>224</v>
      </c>
      <c r="P62" s="125" t="s">
        <v>110</v>
      </c>
      <c r="Q62" s="124" t="str">
        <f>IFERROR(__xludf.DUMMYFUNCTION("""COMPUTED_VALUE"""),"Japan.giaotiep.anhlt_95360_CVS_NamNH_020623")</f>
        <v>Japan.giaotiep.anhlt_95360_CVS_NamNH_020623</v>
      </c>
      <c r="R62" s="124" t="str">
        <f>IFERROR(__xludf.DUMMYFUNCTION("""COMPUTED_VALUE"""),"NEW_Japan_1838_none_020623")</f>
        <v>NEW_Japan_1838_none_020623</v>
      </c>
      <c r="S62" s="124" t="str">
        <f>IFERROR(__xludf.DUMMYFUNCTION("""COMPUTED_VALUE"""),"saletructiep_Japan.anhlt.1838.giaotiep_PTATT_LD164")</f>
        <v>saletructiep_Japan.anhlt.1838.giaotiep_PTATT_LD164</v>
      </c>
      <c r="T62" s="126" t="str">
        <f>IFERROR(__xludf.DUMMYFUNCTION("""COMPUTED_VALUE"""),"https://patadovietnam.edu.vn/gtjapan_nhn3/?utm_source=Facebook&amp;utm_medium=CVS&amp;utm_term=NEW_Japan_1838_none_020623&amp;utm_content=saletructiep_Japan.anhlt.1838.giaotiep_PTATT_LD164&amp;utm_campaign=Japan.giaotiep.anhlt_95360_CVS_NamNH_020623")</f>
        <v>https://patadovietnam.edu.vn/gtjapan_nhn3/?utm_source=Facebook&amp;utm_medium=CVS&amp;utm_term=NEW_Japan_1838_none_020623&amp;utm_content=saletructiep_Japan.anhlt.1838.giaotiep_PTATT_LD164&amp;utm_campaign=Japan.giaotiep.anhlt_95360_CVS_NamNH_020623</v>
      </c>
      <c r="U62" s="127" t="s">
        <v>1505</v>
      </c>
    </row>
    <row r="63">
      <c r="A63" s="72">
        <v>45080.0</v>
      </c>
      <c r="B63" s="75" t="s">
        <v>1245</v>
      </c>
      <c r="C63" s="67" t="str">
        <f>IFERROR(__xludf.DUMMYFUNCTION("""COMPUTED_VALUE"""),"LD161")</f>
        <v>LD161</v>
      </c>
      <c r="D63" s="55" t="s">
        <v>42</v>
      </c>
      <c r="E63" s="55" t="s">
        <v>79</v>
      </c>
      <c r="F63" s="55" t="s">
        <v>107</v>
      </c>
      <c r="G63" s="55">
        <v>2045.0</v>
      </c>
      <c r="H63" s="55" t="s">
        <v>1137</v>
      </c>
      <c r="I63" s="55" t="s">
        <v>1506</v>
      </c>
      <c r="J63" s="55" t="s">
        <v>1508</v>
      </c>
      <c r="K63" s="55" t="s">
        <v>61</v>
      </c>
      <c r="L63" s="55">
        <v>16917.0</v>
      </c>
      <c r="M63" s="55" t="s">
        <v>78</v>
      </c>
      <c r="N63" s="55" t="s">
        <v>79</v>
      </c>
      <c r="O63" s="55" t="s">
        <v>224</v>
      </c>
      <c r="P63" s="55" t="s">
        <v>110</v>
      </c>
      <c r="Q63" s="67" t="str">
        <f>IFERROR(__xludf.DUMMYFUNCTION("""COMPUTED_VALUE"""),"UnitedStates.giaotiep.anhlt_16917_MES_NamNH_030623")</f>
        <v>UnitedStates.giaotiep.anhlt_16917_MES_NamNH_030623</v>
      </c>
      <c r="R63" s="67" t="str">
        <f>IFERROR(__xludf.DUMMYFUNCTION("""COMPUTED_VALUE"""),"NEW_UnitedStates_2045_none_030623")</f>
        <v>NEW_UnitedStates_2045_none_030623</v>
      </c>
      <c r="S63" s="67" t="str">
        <f>IFERROR(__xludf.DUMMYFUNCTION("""COMPUTED_VALUE"""),"saletructiep_Unitedstates.anhlt.2045.giaotiep_PTATT_LD161")</f>
        <v>saletructiep_Unitedstates.anhlt.2045.giaotiep_PTATT_LD161</v>
      </c>
      <c r="T63" s="107" t="str">
        <f>IFERROR(__xludf.DUMMYFUNCTION("""COMPUTED_VALUE"""),"https://patadovietnam.edu.vn/gtusa1_nhn/?utm_source=Facebook&amp;utm_medium=MES&amp;utm_term=NEW_UnitedStates_2045_none_030623&amp;utm_content=saletructiep_Unitedstates.anhlt.2045.giaotiep_PTATT_LD161&amp;utm_campaign=UnitedStates.giaotiep.anhlt_16917_MES_NamNH_030623")</f>
        <v>https://patadovietnam.edu.vn/gtusa1_nhn/?utm_source=Facebook&amp;utm_medium=MES&amp;utm_term=NEW_UnitedStates_2045_none_030623&amp;utm_content=saletructiep_Unitedstates.anhlt.2045.giaotiep_PTATT_LD161&amp;utm_campaign=UnitedStates.giaotiep.anhlt_16917_MES_NamNH_030623</v>
      </c>
      <c r="U63" s="110" t="s">
        <v>1513</v>
      </c>
    </row>
    <row r="64">
      <c r="A64" s="72">
        <v>45082.0</v>
      </c>
      <c r="B64" s="75" t="s">
        <v>1245</v>
      </c>
      <c r="C64" s="67" t="str">
        <f>IFERROR(__xludf.DUMMYFUNCTION("""COMPUTED_VALUE"""),"LD161")</f>
        <v>LD161</v>
      </c>
      <c r="D64" s="55" t="s">
        <v>42</v>
      </c>
      <c r="E64" s="55" t="s">
        <v>79</v>
      </c>
      <c r="F64" s="55" t="s">
        <v>107</v>
      </c>
      <c r="G64" s="55">
        <v>2045.0</v>
      </c>
      <c r="H64" s="55" t="s">
        <v>1137</v>
      </c>
      <c r="I64" s="55" t="s">
        <v>1517</v>
      </c>
      <c r="J64" s="55" t="s">
        <v>1518</v>
      </c>
      <c r="K64" s="55" t="s">
        <v>61</v>
      </c>
      <c r="L64" s="55">
        <v>16917.0</v>
      </c>
      <c r="M64" s="55" t="s">
        <v>78</v>
      </c>
      <c r="N64" s="55" t="s">
        <v>79</v>
      </c>
      <c r="O64" s="55" t="s">
        <v>224</v>
      </c>
      <c r="P64" s="55" t="s">
        <v>110</v>
      </c>
      <c r="Q64" s="67" t="str">
        <f>IFERROR(__xludf.DUMMYFUNCTION("""COMPUTED_VALUE"""),"UnitedStates.giaotiep.qcpatado_16917_MES_NamNH_050623")</f>
        <v>UnitedStates.giaotiep.qcpatado_16917_MES_NamNH_050623</v>
      </c>
      <c r="R64" s="67" t="str">
        <f>IFERROR(__xludf.DUMMYFUNCTION("""COMPUTED_VALUE"""),"NEW_UnitedStates_2045_none_050623")</f>
        <v>NEW_UnitedStates_2045_none_050623</v>
      </c>
      <c r="S64" s="67" t="str">
        <f>IFERROR(__xludf.DUMMYFUNCTION("""COMPUTED_VALUE"""),"saletructiep_Unitedstates.qcpatado.2045.giaotiep_PTATT_LD161")</f>
        <v>saletructiep_Unitedstates.qcpatado.2045.giaotiep_PTATT_LD161</v>
      </c>
      <c r="T64" s="107" t="str">
        <f>IFERROR(__xludf.DUMMYFUNCTION("""COMPUTED_VALUE"""),"https://patadovietnam.edu.vn/gtusa1_nhn/?utm_source=Facebook&amp;utm_medium=MES&amp;utm_term=NEW_UnitedStates_2045_none_050623&amp;utm_content=saletructiep_Unitedstates.qcpatado.2045.giaotiep_PTATT_LD161&amp;utm_campaign=UnitedStates.giaotiep.qcpatado_16917_MES_NamNH_050"&amp;"623")</f>
        <v>https://patadovietnam.edu.vn/gtusa1_nhn/?utm_source=Facebook&amp;utm_medium=MES&amp;utm_term=NEW_UnitedStates_2045_none_050623&amp;utm_content=saletructiep_Unitedstates.qcpatado.2045.giaotiep_PTATT_LD161&amp;utm_campaign=UnitedStates.giaotiep.qcpatado_16917_MES_NamNH_050623</v>
      </c>
      <c r="U64" s="110" t="s">
        <v>1521</v>
      </c>
    </row>
    <row r="65">
      <c r="A65" s="72">
        <v>45082.0</v>
      </c>
      <c r="B65" s="75" t="s">
        <v>1134</v>
      </c>
      <c r="C65" s="67" t="str">
        <f>IFERROR(__xludf.DUMMYFUNCTION("""COMPUTED_VALUE"""),"LD153")</f>
        <v>LD153</v>
      </c>
      <c r="D65" s="55" t="s">
        <v>42</v>
      </c>
      <c r="E65" s="55" t="s">
        <v>79</v>
      </c>
      <c r="F65" s="55" t="s">
        <v>174</v>
      </c>
      <c r="G65" s="55">
        <v>2038.0</v>
      </c>
      <c r="H65" s="55" t="s">
        <v>1137</v>
      </c>
      <c r="I65" s="55" t="s">
        <v>1525</v>
      </c>
      <c r="J65" s="55" t="s">
        <v>1526</v>
      </c>
      <c r="K65" s="55" t="s">
        <v>61</v>
      </c>
      <c r="L65" s="55">
        <v>95360.0</v>
      </c>
      <c r="M65" s="55" t="s">
        <v>78</v>
      </c>
      <c r="N65" s="55" t="s">
        <v>79</v>
      </c>
      <c r="O65" s="55" t="s">
        <v>224</v>
      </c>
      <c r="P65" s="55" t="s">
        <v>110</v>
      </c>
      <c r="Q65" s="67" t="str">
        <f>IFERROR(__xludf.DUMMYFUNCTION("""COMPUTED_VALUE"""),"Philipines.giao.tiep.qcpatado_95360_MES_NamNH_050623")</f>
        <v>Philipines.giao.tiep.qcpatado_95360_MES_NamNH_050623</v>
      </c>
      <c r="R65" s="67" t="str">
        <f>IFERROR(__xludf.DUMMYFUNCTION("""COMPUTED_VALUE"""),"NEW_Philippines_2038_none_050623")</f>
        <v>NEW_Philippines_2038_none_050623</v>
      </c>
      <c r="S65" s="67" t="str">
        <f>IFERROR(__xludf.DUMMYFUNCTION("""COMPUTED_VALUE"""),"saletructiep_Philipines.qcpatado.2038.giaotiep_PTATT_LD153")</f>
        <v>saletructiep_Philipines.qcpatado.2038.giaotiep_PTATT_LD153</v>
      </c>
      <c r="T65" s="107" t="str">
        <f>IFERROR(__xludf.DUMMYFUNCTION("""COMPUTED_VALUE"""),"https://patadovietnam.edu.vn/tienganhgiaotiep_hn/?utm_source=Facebook&amp;utm_medium=MES&amp;utm_term=NEW_Philippines_2038_none_050623&amp;utm_content=saletructiep_Philipines.qcpatado.2038.giaotiep_PTATT_LD153&amp;utm_campaign=Philipines.giao.tiep.qcpatado_95360_MES_NamN"&amp;"H_050623")</f>
        <v>https://patadovietnam.edu.vn/tienganhgiaotiep_hn/?utm_source=Facebook&amp;utm_medium=MES&amp;utm_term=NEW_Philippines_2038_none_050623&amp;utm_content=saletructiep_Philipines.qcpatado.2038.giaotiep_PTATT_LD153&amp;utm_campaign=Philipines.giao.tiep.qcpatado_95360_MES_NamNH_050623</v>
      </c>
      <c r="U65" s="110" t="s">
        <v>1530</v>
      </c>
    </row>
    <row r="66">
      <c r="A66" s="72">
        <v>45083.0</v>
      </c>
      <c r="B66" s="75" t="s">
        <v>1134</v>
      </c>
      <c r="C66" s="67" t="str">
        <f>IFERROR(__xludf.DUMMYFUNCTION("""COMPUTED_VALUE"""),"LD153")</f>
        <v>LD153</v>
      </c>
      <c r="D66" s="55" t="s">
        <v>42</v>
      </c>
      <c r="E66" s="55" t="s">
        <v>79</v>
      </c>
      <c r="F66" s="55" t="s">
        <v>199</v>
      </c>
      <c r="G66" s="55">
        <v>1836.0</v>
      </c>
      <c r="H66" s="55" t="s">
        <v>1137</v>
      </c>
      <c r="I66" s="55" t="s">
        <v>1533</v>
      </c>
      <c r="J66" s="55" t="s">
        <v>1534</v>
      </c>
      <c r="K66" s="55" t="s">
        <v>61</v>
      </c>
      <c r="L66" s="55">
        <v>95360.0</v>
      </c>
      <c r="M66" s="55" t="s">
        <v>78</v>
      </c>
      <c r="N66" s="55" t="s">
        <v>79</v>
      </c>
      <c r="O66" s="55" t="s">
        <v>224</v>
      </c>
      <c r="P66" s="55" t="s">
        <v>110</v>
      </c>
      <c r="Q66" s="67" t="str">
        <f>IFERROR(__xludf.DUMMYFUNCTION("""COMPUTED_VALUE"""),"Vietnam.giaotiep.videoGT_95360_MES_NamNH_060623")</f>
        <v>Vietnam.giaotiep.videoGT_95360_MES_NamNH_060623</v>
      </c>
      <c r="R66" s="67" t="str">
        <f>IFERROR(__xludf.DUMMYFUNCTION("""COMPUTED_VALUE"""),"NEW_Vietnam_1836_none_060623")</f>
        <v>NEW_Vietnam_1836_none_060623</v>
      </c>
      <c r="S66" s="67" t="str">
        <f>IFERROR(__xludf.DUMMYFUNCTION("""COMPUTED_VALUE"""),"saletructiep_Vietnam.videoGT.1836.giaotiep_PTATT_LD153")</f>
        <v>saletructiep_Vietnam.videoGT.1836.giaotiep_PTATT_LD153</v>
      </c>
      <c r="T66" s="107" t="str">
        <f>IFERROR(__xludf.DUMMYFUNCTION("""COMPUTED_VALUE"""),"https://patadovietnam.edu.vn/tienganhgiaotiep_hn/?utm_source=Facebook&amp;utm_medium=MES&amp;utm_term=NEW_Vietnam_1836_none_060623&amp;utm_content=saletructiep_Vietnam.videoGT.1836.giaotiep_PTATT_LD153&amp;utm_campaign=Vietnam.giaotiep.videoGT_95360_MES_NamNH_060623")</f>
        <v>https://patadovietnam.edu.vn/tienganhgiaotiep_hn/?utm_source=Facebook&amp;utm_medium=MES&amp;utm_term=NEW_Vietnam_1836_none_060623&amp;utm_content=saletructiep_Vietnam.videoGT.1836.giaotiep_PTATT_LD153&amp;utm_campaign=Vietnam.giaotiep.videoGT_95360_MES_NamNH_060623</v>
      </c>
      <c r="U66" s="110" t="s">
        <v>1541</v>
      </c>
    </row>
    <row r="67">
      <c r="A67" s="72">
        <v>45083.0</v>
      </c>
      <c r="B67" s="75" t="s">
        <v>1379</v>
      </c>
      <c r="C67" s="67" t="str">
        <f>IFERROR(__xludf.DUMMYFUNCTION("""COMPUTED_VALUE"""),"LD166")</f>
        <v>LD166</v>
      </c>
      <c r="D67" s="55" t="s">
        <v>42</v>
      </c>
      <c r="E67" s="55" t="s">
        <v>79</v>
      </c>
      <c r="F67" s="55" t="s">
        <v>625</v>
      </c>
      <c r="G67" s="55">
        <v>1836.0</v>
      </c>
      <c r="H67" s="55" t="s">
        <v>1137</v>
      </c>
      <c r="I67" s="55" t="s">
        <v>1542</v>
      </c>
      <c r="J67" s="55" t="s">
        <v>1543</v>
      </c>
      <c r="K67" s="55" t="s">
        <v>61</v>
      </c>
      <c r="L67" s="55">
        <v>95360.0</v>
      </c>
      <c r="M67" s="55" t="s">
        <v>78</v>
      </c>
      <c r="N67" s="55" t="s">
        <v>79</v>
      </c>
      <c r="O67" s="55" t="s">
        <v>224</v>
      </c>
      <c r="P67" s="55" t="s">
        <v>110</v>
      </c>
      <c r="Q67" s="67" t="str">
        <f>IFERROR(__xludf.DUMMYFUNCTION("""COMPUTED_VALUE"""),"Southkorea.giaotiep.anhtbkorea_95360_MES_NamNH_060623")</f>
        <v>Southkorea.giaotiep.anhtbkorea_95360_MES_NamNH_060623</v>
      </c>
      <c r="R67" s="67" t="str">
        <f>IFERROR(__xludf.DUMMYFUNCTION("""COMPUTED_VALUE"""),"NEW_KoreaSouth_1836_none_060623")</f>
        <v>NEW_KoreaSouth_1836_none_060623</v>
      </c>
      <c r="S67" s="67" t="str">
        <f>IFERROR(__xludf.DUMMYFUNCTION("""COMPUTED_VALUE"""),"saletructiep_Southkorea.anhtbkorea.1836.giaotiep_PTATT_LD166")</f>
        <v>saletructiep_Southkorea.anhtbkorea.1836.giaotiep_PTATT_LD166</v>
      </c>
      <c r="T67" s="107" t="str">
        <f>IFERROR(__xludf.DUMMYFUNCTION("""COMPUTED_VALUE"""),"https://patadovietnam.edu.vn/gtkorea_nhn/?utm_source=Facebook&amp;utm_medium=MES&amp;utm_term=NEW_KoreaSouth_1836_none_060623&amp;utm_content=saletructiep_Southkorea.anhtbkorea.1836.giaotiep_PTATT_LD166&amp;utm_campaign=Southkorea.giaotiep.anhtbkorea_95360_MES_NamNH_0606"&amp;"23")</f>
        <v>https://patadovietnam.edu.vn/gtkorea_nhn/?utm_source=Facebook&amp;utm_medium=MES&amp;utm_term=NEW_KoreaSouth_1836_none_060623&amp;utm_content=saletructiep_Southkorea.anhtbkorea.1836.giaotiep_PTATT_LD166&amp;utm_campaign=Southkorea.giaotiep.anhtbkorea_95360_MES_NamNH_060623</v>
      </c>
      <c r="U67" s="110" t="s">
        <v>1547</v>
      </c>
    </row>
    <row r="68">
      <c r="A68" s="72">
        <v>45083.0</v>
      </c>
      <c r="B68" s="75" t="s">
        <v>1282</v>
      </c>
      <c r="C68" s="67" t="str">
        <f>IFERROR(__xludf.DUMMYFUNCTION("""COMPUTED_VALUE"""),"LD163")</f>
        <v>LD163</v>
      </c>
      <c r="D68" s="55" t="s">
        <v>42</v>
      </c>
      <c r="E68" s="55" t="s">
        <v>69</v>
      </c>
      <c r="F68" s="55" t="s">
        <v>133</v>
      </c>
      <c r="G68" s="55">
        <v>1840.0</v>
      </c>
      <c r="H68" s="55" t="s">
        <v>1137</v>
      </c>
      <c r="I68" s="55" t="s">
        <v>1550</v>
      </c>
      <c r="J68" s="55" t="s">
        <v>1552</v>
      </c>
      <c r="K68" s="55" t="s">
        <v>61</v>
      </c>
      <c r="L68" s="55">
        <v>95360.0</v>
      </c>
      <c r="M68" s="55" t="s">
        <v>78</v>
      </c>
      <c r="N68" s="55" t="s">
        <v>69</v>
      </c>
      <c r="O68" s="55" t="s">
        <v>224</v>
      </c>
      <c r="P68" s="55" t="s">
        <v>110</v>
      </c>
      <c r="Q68" s="67" t="str">
        <f>IFERROR(__xludf.DUMMYFUNCTION("""COMPUTED_VALUE"""),"Japan.giaotiep.dich_95360_CVS_NamNH_060623")</f>
        <v>Japan.giaotiep.dich_95360_CVS_NamNH_060623</v>
      </c>
      <c r="R68" s="67" t="str">
        <f>IFERROR(__xludf.DUMMYFUNCTION("""COMPUTED_VALUE"""),"NEW_Japan_1840_none_060623")</f>
        <v>NEW_Japan_1840_none_060623</v>
      </c>
      <c r="S68" s="67" t="str">
        <f>IFERROR(__xludf.DUMMYFUNCTION("""COMPUTED_VALUE"""),"saletructiep_Japan.dich.1840.giaotiep_PTATT_LD163")</f>
        <v>saletructiep_Japan.dich.1840.giaotiep_PTATT_LD163</v>
      </c>
      <c r="T68" s="107" t="str">
        <f>IFERROR(__xludf.DUMMYFUNCTION("""COMPUTED_VALUE"""),"https://patadovietnam.edu.vn/gtjapan_nhn2/?utm_source=Facebook&amp;utm_medium=CVS&amp;utm_term=NEW_Japan_1840_none_060623&amp;utm_content=saletructiep_Japan.dich.1840.giaotiep_PTATT_LD163&amp;utm_campaign=Japan.giaotiep.dich_95360_CVS_NamNH_060623")</f>
        <v>https://patadovietnam.edu.vn/gtjapan_nhn2/?utm_source=Facebook&amp;utm_medium=CVS&amp;utm_term=NEW_Japan_1840_none_060623&amp;utm_content=saletructiep_Japan.dich.1840.giaotiep_PTATT_LD163&amp;utm_campaign=Japan.giaotiep.dich_95360_CVS_NamNH_060623</v>
      </c>
      <c r="U68" s="110" t="s">
        <v>1556</v>
      </c>
    </row>
    <row r="69">
      <c r="A69" s="72">
        <v>45084.0</v>
      </c>
      <c r="B69" s="60" t="s">
        <v>1245</v>
      </c>
      <c r="C69" s="67" t="str">
        <f>IFERROR(__xludf.DUMMYFUNCTION("""COMPUTED_VALUE"""),"LD161")</f>
        <v>LD161</v>
      </c>
      <c r="D69" s="55" t="s">
        <v>42</v>
      </c>
      <c r="E69" s="55" t="s">
        <v>79</v>
      </c>
      <c r="F69" s="55" t="s">
        <v>107</v>
      </c>
      <c r="G69" s="55">
        <v>2040.0</v>
      </c>
      <c r="H69" s="55" t="s">
        <v>1137</v>
      </c>
      <c r="I69" s="55" t="s">
        <v>1558</v>
      </c>
      <c r="J69" s="55" t="s">
        <v>1559</v>
      </c>
      <c r="K69" s="55" t="s">
        <v>61</v>
      </c>
      <c r="L69" s="55">
        <v>95360.0</v>
      </c>
      <c r="M69" s="55" t="s">
        <v>78</v>
      </c>
      <c r="N69" s="55" t="s">
        <v>79</v>
      </c>
      <c r="O69" s="55" t="s">
        <v>224</v>
      </c>
      <c r="P69" s="55" t="s">
        <v>110</v>
      </c>
      <c r="Q69" s="67" t="str">
        <f>IFERROR(__xludf.DUMMYFUNCTION("""COMPUTED_VALUE"""),"UnitedStates.giaotiep.dich_95360_MES_NamNH_070623")</f>
        <v>UnitedStates.giaotiep.dich_95360_MES_NamNH_070623</v>
      </c>
      <c r="R69" s="67" t="str">
        <f>IFERROR(__xludf.DUMMYFUNCTION("""COMPUTED_VALUE"""),"NEW_UnitedStates_2040_none_070623")</f>
        <v>NEW_UnitedStates_2040_none_070623</v>
      </c>
      <c r="S69" s="67" t="str">
        <f>IFERROR(__xludf.DUMMYFUNCTION("""COMPUTED_VALUE"""),"saletructiep_Unitedstates.dich.2040.giaotiep_PTATT_LD161")</f>
        <v>saletructiep_Unitedstates.dich.2040.giaotiep_PTATT_LD161</v>
      </c>
      <c r="T69" s="107" t="str">
        <f>IFERROR(__xludf.DUMMYFUNCTION("""COMPUTED_VALUE"""),"https://patadovietnam.edu.vn/gtusa1_nhn/?utm_source=Facebook&amp;utm_medium=MES&amp;utm_term=NEW_UnitedStates_2040_none_070623&amp;utm_content=saletructiep_Unitedstates.dich.2040.giaotiep_PTATT_LD161&amp;utm_campaign=UnitedStates.giaotiep.dich_95360_MES_NamNH_070623")</f>
        <v>https://patadovietnam.edu.vn/gtusa1_nhn/?utm_source=Facebook&amp;utm_medium=MES&amp;utm_term=NEW_UnitedStates_2040_none_070623&amp;utm_content=saletructiep_Unitedstates.dich.2040.giaotiep_PTATT_LD161&amp;utm_campaign=UnitedStates.giaotiep.dich_95360_MES_NamNH_070623</v>
      </c>
      <c r="U69" s="110" t="s">
        <v>1563</v>
      </c>
    </row>
    <row r="70">
      <c r="A70" s="72">
        <v>45084.0</v>
      </c>
      <c r="B70" s="75" t="s">
        <v>1282</v>
      </c>
      <c r="C70" s="67" t="str">
        <f>IFERROR(__xludf.DUMMYFUNCTION("""COMPUTED_VALUE"""),"LD163")</f>
        <v>LD163</v>
      </c>
      <c r="D70" s="55" t="s">
        <v>42</v>
      </c>
      <c r="E70" s="55" t="s">
        <v>79</v>
      </c>
      <c r="F70" s="55" t="s">
        <v>133</v>
      </c>
      <c r="G70" s="55">
        <v>1838.0</v>
      </c>
      <c r="H70" s="55" t="s">
        <v>1137</v>
      </c>
      <c r="I70" s="55" t="s">
        <v>1458</v>
      </c>
      <c r="J70" s="55" t="s">
        <v>1464</v>
      </c>
      <c r="K70" s="55" t="s">
        <v>61</v>
      </c>
      <c r="L70" s="55">
        <v>16917.0</v>
      </c>
      <c r="M70" s="55" t="s">
        <v>78</v>
      </c>
      <c r="N70" s="55" t="s">
        <v>79</v>
      </c>
      <c r="O70" s="55" t="s">
        <v>224</v>
      </c>
      <c r="P70" s="55" t="s">
        <v>110</v>
      </c>
      <c r="Q70" s="67" t="str">
        <f>IFERROR(__xludf.DUMMYFUNCTION("""COMPUTED_VALUE"""),"Japan.giaotiep.jhuynh_16917_MES_NamNH_070623")</f>
        <v>Japan.giaotiep.jhuynh_16917_MES_NamNH_070623</v>
      </c>
      <c r="R70" s="67" t="str">
        <f>IFERROR(__xludf.DUMMYFUNCTION("""COMPUTED_VALUE"""),"NEW_Japan_1838_none_070623")</f>
        <v>NEW_Japan_1838_none_070623</v>
      </c>
      <c r="S70" s="67" t="str">
        <f>IFERROR(__xludf.DUMMYFUNCTION("""COMPUTED_VALUE"""),"saletructiep_Japan.jhuynh.1838.giaotiep_PTATT_LD163")</f>
        <v>saletructiep_Japan.jhuynh.1838.giaotiep_PTATT_LD163</v>
      </c>
      <c r="T70" s="107" t="str">
        <f>IFERROR(__xludf.DUMMYFUNCTION("""COMPUTED_VALUE"""),"https://patadovietnam.edu.vn/gtjapan_nhn2/?utm_source=Facebook&amp;utm_medium=MES&amp;utm_term=NEW_Japan_1838_none_070623&amp;utm_content=saletructiep_Japan.jhuynh.1838.giaotiep_PTATT_LD163&amp;utm_campaign=Japan.giaotiep.jhuynh_16917_MES_NamNH_070623")</f>
        <v>https://patadovietnam.edu.vn/gtjapan_nhn2/?utm_source=Facebook&amp;utm_medium=MES&amp;utm_term=NEW_Japan_1838_none_070623&amp;utm_content=saletructiep_Japan.jhuynh.1838.giaotiep_PTATT_LD163&amp;utm_campaign=Japan.giaotiep.jhuynh_16917_MES_NamNH_070623</v>
      </c>
      <c r="U70" s="110" t="s">
        <v>1569</v>
      </c>
    </row>
    <row r="71">
      <c r="A71" s="72">
        <v>45086.0</v>
      </c>
      <c r="B71" s="75" t="s">
        <v>1134</v>
      </c>
      <c r="C71" s="67" t="str">
        <f>IFERROR(__xludf.DUMMYFUNCTION("""COMPUTED_VALUE"""),"LD153")</f>
        <v>LD153</v>
      </c>
      <c r="D71" s="55" t="s">
        <v>42</v>
      </c>
      <c r="E71" s="55" t="s">
        <v>79</v>
      </c>
      <c r="F71" s="55" t="s">
        <v>129</v>
      </c>
      <c r="G71" s="55">
        <v>2045.0</v>
      </c>
      <c r="H71" s="55" t="s">
        <v>1137</v>
      </c>
      <c r="I71" s="55" t="s">
        <v>1572</v>
      </c>
      <c r="J71" s="55" t="s">
        <v>1573</v>
      </c>
      <c r="K71" s="55" t="s">
        <v>61</v>
      </c>
      <c r="L71" s="55">
        <v>95360.0</v>
      </c>
      <c r="M71" s="55" t="s">
        <v>78</v>
      </c>
      <c r="N71" s="55" t="s">
        <v>79</v>
      </c>
      <c r="O71" s="55" t="s">
        <v>224</v>
      </c>
      <c r="P71" s="55" t="s">
        <v>110</v>
      </c>
      <c r="Q71" s="67" t="str">
        <f>IFERROR(__xludf.DUMMYFUNCTION("""COMPUTED_VALUE"""),"Australia.giaotiep.anhtbuc_95360_MES_NamNH_090623")</f>
        <v>Australia.giaotiep.anhtbuc_95360_MES_NamNH_090623</v>
      </c>
      <c r="R71" s="67" t="str">
        <f>IFERROR(__xludf.DUMMYFUNCTION("""COMPUTED_VALUE"""),"NEW_Australia_2045_none_090623")</f>
        <v>NEW_Australia_2045_none_090623</v>
      </c>
      <c r="S71" s="67" t="str">
        <f>IFERROR(__xludf.DUMMYFUNCTION("""COMPUTED_VALUE"""),"saletructiep_Australia.anhtbuc.2045.giaotiep_PTATT_LD153")</f>
        <v>saletructiep_Australia.anhtbuc.2045.giaotiep_PTATT_LD153</v>
      </c>
      <c r="T71" s="107" t="str">
        <f>IFERROR(__xludf.DUMMYFUNCTION("""COMPUTED_VALUE"""),"https://patadovietnam.edu.vn/tienganhgiaotiep_hn/?utm_source=Facebook&amp;utm_medium=MES&amp;utm_term=NEW_Australia_2045_none_090623&amp;utm_content=saletructiep_Australia.anhtbuc.2045.giaotiep_PTATT_LD153&amp;utm_campaign=Australia.giaotiep.anhtbuc_95360_MES_NamNH_09062"&amp;"3")</f>
        <v>https://patadovietnam.edu.vn/tienganhgiaotiep_hn/?utm_source=Facebook&amp;utm_medium=MES&amp;utm_term=NEW_Australia_2045_none_090623&amp;utm_content=saletructiep_Australia.anhtbuc.2045.giaotiep_PTATT_LD153&amp;utm_campaign=Australia.giaotiep.anhtbuc_95360_MES_NamNH_090623</v>
      </c>
      <c r="U71" s="110" t="s">
        <v>1577</v>
      </c>
    </row>
    <row r="72">
      <c r="A72" s="72">
        <v>45087.0</v>
      </c>
      <c r="B72" s="75" t="s">
        <v>1134</v>
      </c>
      <c r="C72" s="67" t="str">
        <f>IFERROR(__xludf.DUMMYFUNCTION("""COMPUTED_VALUE"""),"LD153")</f>
        <v>LD153</v>
      </c>
      <c r="D72" s="55" t="s">
        <v>42</v>
      </c>
      <c r="E72" s="55" t="s">
        <v>79</v>
      </c>
      <c r="F72" s="55" t="s">
        <v>182</v>
      </c>
      <c r="G72" s="55">
        <v>2040.0</v>
      </c>
      <c r="H72" s="55" t="s">
        <v>1137</v>
      </c>
      <c r="I72" s="55" t="s">
        <v>1578</v>
      </c>
      <c r="J72" s="55" t="s">
        <v>1579</v>
      </c>
      <c r="K72" s="55" t="s">
        <v>61</v>
      </c>
      <c r="L72" s="55">
        <v>95360.0</v>
      </c>
      <c r="M72" s="55" t="s">
        <v>78</v>
      </c>
      <c r="N72" s="55" t="s">
        <v>79</v>
      </c>
      <c r="O72" s="55" t="s">
        <v>224</v>
      </c>
      <c r="P72" s="55" t="s">
        <v>110</v>
      </c>
      <c r="Q72" s="67" t="str">
        <f>IFERROR(__xludf.DUMMYFUNCTION("""COMPUTED_VALUE"""),"Malaysia.giaotiep.jh_95360_MES_NamNH_100623")</f>
        <v>Malaysia.giaotiep.jh_95360_MES_NamNH_100623</v>
      </c>
      <c r="R72" s="67" t="str">
        <f>IFERROR(__xludf.DUMMYFUNCTION("""COMPUTED_VALUE"""),"NEW_Malaysia_2040_none_100623")</f>
        <v>NEW_Malaysia_2040_none_100623</v>
      </c>
      <c r="S72" s="67" t="str">
        <f>IFERROR(__xludf.DUMMYFUNCTION("""COMPUTED_VALUE"""),"saletructiep_malaysia.jh.2040.giaotiep_PTATT_LD153")</f>
        <v>saletructiep_malaysia.jh.2040.giaotiep_PTATT_LD153</v>
      </c>
      <c r="T72" s="107" t="str">
        <f>IFERROR(__xludf.DUMMYFUNCTION("""COMPUTED_VALUE"""),"https://patadovietnam.edu.vn/tienganhgiaotiep_hn/?utm_source=Facebook&amp;utm_medium=MES&amp;utm_term=NEW_Malaysia_2040_none_100623&amp;utm_content=saletructiep_malaysia.jh.2040.giaotiep_PTATT_LD153&amp;utm_campaign=Malaysia.giaotiep.jh_95360_MES_NamNH_100623")</f>
        <v>https://patadovietnam.edu.vn/tienganhgiaotiep_hn/?utm_source=Facebook&amp;utm_medium=MES&amp;utm_term=NEW_Malaysia_2040_none_100623&amp;utm_content=saletructiep_malaysia.jh.2040.giaotiep_PTATT_LD153&amp;utm_campaign=Malaysia.giaotiep.jh_95360_MES_NamNH_100623</v>
      </c>
      <c r="U72" s="110" t="s">
        <v>1582</v>
      </c>
    </row>
    <row r="73">
      <c r="A73" s="72">
        <v>45087.0</v>
      </c>
      <c r="B73" s="75" t="s">
        <v>1229</v>
      </c>
      <c r="C73" s="67" t="str">
        <f>IFERROR(__xludf.DUMMYFUNCTION("""COMPUTED_VALUE"""),"LD164")</f>
        <v>LD164</v>
      </c>
      <c r="D73" s="55" t="s">
        <v>42</v>
      </c>
      <c r="E73" s="55" t="s">
        <v>69</v>
      </c>
      <c r="F73" s="55" t="s">
        <v>133</v>
      </c>
      <c r="G73" s="55">
        <v>1838.0</v>
      </c>
      <c r="H73" s="55" t="s">
        <v>1137</v>
      </c>
      <c r="I73" s="55" t="s">
        <v>1585</v>
      </c>
      <c r="J73" s="55" t="s">
        <v>1588</v>
      </c>
      <c r="K73" s="55" t="s">
        <v>61</v>
      </c>
      <c r="L73" s="55">
        <v>16917.0</v>
      </c>
      <c r="M73" s="55" t="s">
        <v>78</v>
      </c>
      <c r="N73" s="55" t="s">
        <v>69</v>
      </c>
      <c r="O73" s="55" t="s">
        <v>224</v>
      </c>
      <c r="P73" s="55" t="s">
        <v>110</v>
      </c>
      <c r="Q73" s="67" t="str">
        <f>IFERROR(__xludf.DUMMYFUNCTION("""COMPUTED_VALUE"""),"Japan.giaotiep.jh2_16917_CVS_NamNH_100623")</f>
        <v>Japan.giaotiep.jh2_16917_CVS_NamNH_100623</v>
      </c>
      <c r="R73" s="67" t="str">
        <f>IFERROR(__xludf.DUMMYFUNCTION("""COMPUTED_VALUE"""),"NEW_Japan_1838_none_100623")</f>
        <v>NEW_Japan_1838_none_100623</v>
      </c>
      <c r="S73" s="67" t="str">
        <f>IFERROR(__xludf.DUMMYFUNCTION("""COMPUTED_VALUE"""),"saletructiep_Japan.jh2.1838.giaotiep_PTATT_LD164")</f>
        <v>saletructiep_Japan.jh2.1838.giaotiep_PTATT_LD164</v>
      </c>
      <c r="T73" s="107" t="str">
        <f>IFERROR(__xludf.DUMMYFUNCTION("""COMPUTED_VALUE"""),"https://patadovietnam.edu.vn/gtjapan_nhn3/?utm_source=Facebook&amp;utm_medium=CVS&amp;utm_term=NEW_Japan_1838_none_100623&amp;utm_content=saletructiep_Japan.jh2.1838.giaotiep_PTATT_LD164&amp;utm_campaign=Japan.giaotiep.jh2_16917_CVS_NamNH_100623")</f>
        <v>https://patadovietnam.edu.vn/gtjapan_nhn3/?utm_source=Facebook&amp;utm_medium=CVS&amp;utm_term=NEW_Japan_1838_none_100623&amp;utm_content=saletructiep_Japan.jh2.1838.giaotiep_PTATT_LD164&amp;utm_campaign=Japan.giaotiep.jh2_16917_CVS_NamNH_100623</v>
      </c>
      <c r="U73" s="110" t="s">
        <v>1589</v>
      </c>
    </row>
    <row r="74">
      <c r="A74" s="72">
        <v>45087.0</v>
      </c>
      <c r="B74" s="75" t="s">
        <v>1594</v>
      </c>
      <c r="C74" s="67" t="str">
        <f>IFERROR(__xludf.DUMMYFUNCTION("""COMPUTED_VALUE"""),"LD169")</f>
        <v>LD169</v>
      </c>
      <c r="D74" s="55" t="s">
        <v>42</v>
      </c>
      <c r="E74" s="55" t="s">
        <v>69</v>
      </c>
      <c r="F74" s="55" t="s">
        <v>674</v>
      </c>
      <c r="G74" s="55">
        <v>2045.0</v>
      </c>
      <c r="H74" s="55" t="s">
        <v>1137</v>
      </c>
      <c r="I74" s="55" t="s">
        <v>1595</v>
      </c>
      <c r="J74" s="55" t="s">
        <v>1596</v>
      </c>
      <c r="K74" s="55" t="s">
        <v>61</v>
      </c>
      <c r="L74" s="55">
        <v>16917.0</v>
      </c>
      <c r="M74" s="55" t="s">
        <v>78</v>
      </c>
      <c r="N74" s="55" t="s">
        <v>69</v>
      </c>
      <c r="O74" s="55" t="s">
        <v>224</v>
      </c>
      <c r="P74" s="55" t="s">
        <v>110</v>
      </c>
      <c r="Q74" s="67" t="str">
        <f>IFERROR(__xludf.DUMMYFUNCTION("""COMPUTED_VALUE"""),"Europe.giaotiep.jh2_16917_CVS_NamNH_100623")</f>
        <v>Europe.giaotiep.jh2_16917_CVS_NamNH_100623</v>
      </c>
      <c r="R74" s="67" t="str">
        <f>IFERROR(__xludf.DUMMYFUNCTION("""COMPUTED_VALUE"""),"NEW_Europe_2045_none_100623")</f>
        <v>NEW_Europe_2045_none_100623</v>
      </c>
      <c r="S74" s="67" t="str">
        <f>IFERROR(__xludf.DUMMYFUNCTION("""COMPUTED_VALUE"""),"saletructiep_Europe.jh2.2045.giaotiep_PTATT_LD169")</f>
        <v>saletructiep_Europe.jh2.2045.giaotiep_PTATT_LD169</v>
      </c>
      <c r="T74" s="107" t="str">
        <f>IFERROR(__xludf.DUMMYFUNCTION("""COMPUTED_VALUE"""),"https://patadovietnam.edu.vn/gtall_namnh/?utm_source=Facebook&amp;utm_medium=CVS&amp;utm_term=NEW_Europe_2045_none_100623&amp;utm_content=saletructiep_Europe.jh2.2045.giaotiep_PTATT_LD169&amp;utm_campaign=Europe.giaotiep.jh2_16917_CVS_NamNH_100623")</f>
        <v>https://patadovietnam.edu.vn/gtall_namnh/?utm_source=Facebook&amp;utm_medium=CVS&amp;utm_term=NEW_Europe_2045_none_100623&amp;utm_content=saletructiep_Europe.jh2.2045.giaotiep_PTATT_LD169&amp;utm_campaign=Europe.giaotiep.jh2_16917_CVS_NamNH_100623</v>
      </c>
      <c r="U74" s="110" t="s">
        <v>1600</v>
      </c>
    </row>
    <row r="75">
      <c r="A75" s="72">
        <v>45087.0</v>
      </c>
      <c r="B75" s="75" t="s">
        <v>1594</v>
      </c>
      <c r="C75" s="67" t="str">
        <f>IFERROR(__xludf.DUMMYFUNCTION("""COMPUTED_VALUE"""),"LD169")</f>
        <v>LD169</v>
      </c>
      <c r="D75" s="55" t="s">
        <v>42</v>
      </c>
      <c r="E75" s="55" t="s">
        <v>69</v>
      </c>
      <c r="F75" s="55" t="s">
        <v>614</v>
      </c>
      <c r="G75" s="55">
        <v>1838.0</v>
      </c>
      <c r="H75" s="55" t="s">
        <v>1137</v>
      </c>
      <c r="I75" s="55" t="s">
        <v>1601</v>
      </c>
      <c r="J75" s="55" t="s">
        <v>1602</v>
      </c>
      <c r="K75" s="55" t="s">
        <v>61</v>
      </c>
      <c r="L75" s="55">
        <v>16917.0</v>
      </c>
      <c r="M75" s="55" t="s">
        <v>78</v>
      </c>
      <c r="N75" s="55" t="s">
        <v>69</v>
      </c>
      <c r="O75" s="55" t="s">
        <v>224</v>
      </c>
      <c r="P75" s="55" t="s">
        <v>110</v>
      </c>
      <c r="Q75" s="67" t="str">
        <f>IFERROR(__xludf.DUMMYFUNCTION("""COMPUTED_VALUE"""),"Korea.giaotiep.jh2_16917_CVS_NamNH_100623")</f>
        <v>Korea.giaotiep.jh2_16917_CVS_NamNH_100623</v>
      </c>
      <c r="R75" s="67" t="str">
        <f>IFERROR(__xludf.DUMMYFUNCTION("""COMPUTED_VALUE"""),"NEW_Korea_1838_none_100623")</f>
        <v>NEW_Korea_1838_none_100623</v>
      </c>
      <c r="S75" s="67" t="str">
        <f>IFERROR(__xludf.DUMMYFUNCTION("""COMPUTED_VALUE"""),"saletructiep_Korea.jh2.1838.giaotiep_PTATT_LD169")</f>
        <v>saletructiep_Korea.jh2.1838.giaotiep_PTATT_LD169</v>
      </c>
      <c r="T75" s="107" t="str">
        <f>IFERROR(__xludf.DUMMYFUNCTION("""COMPUTED_VALUE"""),"https://patadovietnam.edu.vn/gtall_namnh/?utm_source=Facebook&amp;utm_medium=CVS&amp;utm_term=NEW_Korea_1838_none_100623&amp;utm_content=saletructiep_Korea.jh2.1838.giaotiep_PTATT_LD169&amp;utm_campaign=Korea.giaotiep.jh2_16917_CVS_NamNH_100623")</f>
        <v>https://patadovietnam.edu.vn/gtall_namnh/?utm_source=Facebook&amp;utm_medium=CVS&amp;utm_term=NEW_Korea_1838_none_100623&amp;utm_content=saletructiep_Korea.jh2.1838.giaotiep_PTATT_LD169&amp;utm_campaign=Korea.giaotiep.jh2_16917_CVS_NamNH_100623</v>
      </c>
      <c r="U75" s="110" t="s">
        <v>1606</v>
      </c>
    </row>
    <row r="76">
      <c r="A76" s="72">
        <v>45089.0</v>
      </c>
      <c r="B76" s="75" t="s">
        <v>1607</v>
      </c>
      <c r="C76" s="67" t="str">
        <f>IFERROR(__xludf.DUMMYFUNCTION("""COMPUTED_VALUE"""),"LD170")</f>
        <v>LD170</v>
      </c>
      <c r="D76" s="55" t="s">
        <v>42</v>
      </c>
      <c r="E76" s="55" t="s">
        <v>69</v>
      </c>
      <c r="F76" s="55" t="s">
        <v>133</v>
      </c>
      <c r="G76" s="55">
        <v>1838.0</v>
      </c>
      <c r="H76" s="55" t="s">
        <v>1137</v>
      </c>
      <c r="I76" s="55" t="s">
        <v>1610</v>
      </c>
      <c r="J76" s="55" t="s">
        <v>1611</v>
      </c>
      <c r="K76" s="55" t="s">
        <v>61</v>
      </c>
      <c r="L76" s="55">
        <v>16917.0</v>
      </c>
      <c r="M76" s="55" t="s">
        <v>78</v>
      </c>
      <c r="N76" s="55" t="s">
        <v>69</v>
      </c>
      <c r="O76" s="55" t="s">
        <v>224</v>
      </c>
      <c r="P76" s="55" t="s">
        <v>110</v>
      </c>
      <c r="Q76" s="67" t="str">
        <f>IFERROR(__xludf.DUMMYFUNCTION("""COMPUTED_VALUE"""),"Japan.giaotiep.anhsale_16917_CVS_NamNH_120623")</f>
        <v>Japan.giaotiep.anhsale_16917_CVS_NamNH_120623</v>
      </c>
      <c r="R76" s="67" t="str">
        <f>IFERROR(__xludf.DUMMYFUNCTION("""COMPUTED_VALUE"""),"NEW_Japan_1838_none_120623")</f>
        <v>NEW_Japan_1838_none_120623</v>
      </c>
      <c r="S76" s="67" t="str">
        <f>IFERROR(__xludf.DUMMYFUNCTION("""COMPUTED_VALUE"""),"saletructiep_Japan.anhsale.1838.giaotiep_PTATT_LD170")</f>
        <v>saletructiep_Japan.anhsale.1838.giaotiep_PTATT_LD170</v>
      </c>
      <c r="T76" s="107" t="str">
        <f>IFERROR(__xludf.DUMMYFUNCTION("""COMPUTED_VALUE"""),"https://patadovietnam.edu.vn/allcvs_hn/?utm_source=Facebook&amp;utm_medium=CVS&amp;utm_term=NEW_Japan_1838_none_120623&amp;utm_content=saletructiep_Japan.anhsale.1838.giaotiep_PTATT_LD170&amp;utm_campaign=Japan.giaotiep.anhsale_16917_CVS_NamNH_120623")</f>
        <v>https://patadovietnam.edu.vn/allcvs_hn/?utm_source=Facebook&amp;utm_medium=CVS&amp;utm_term=NEW_Japan_1838_none_120623&amp;utm_content=saletructiep_Japan.anhsale.1838.giaotiep_PTATT_LD170&amp;utm_campaign=Japan.giaotiep.anhsale_16917_CVS_NamNH_120623</v>
      </c>
      <c r="U76" s="110" t="s">
        <v>1615</v>
      </c>
    </row>
    <row r="77">
      <c r="A77" s="72">
        <v>45092.0</v>
      </c>
      <c r="B77" s="75" t="s">
        <v>1607</v>
      </c>
      <c r="C77" s="67" t="str">
        <f>IFERROR(__xludf.DUMMYFUNCTION("""COMPUTED_VALUE"""),"LD170")</f>
        <v>LD170</v>
      </c>
      <c r="D77" s="55" t="s">
        <v>42</v>
      </c>
      <c r="E77" s="55" t="s">
        <v>69</v>
      </c>
      <c r="F77" s="55" t="s">
        <v>674</v>
      </c>
      <c r="G77" s="55">
        <v>2045.0</v>
      </c>
      <c r="H77" s="55" t="s">
        <v>1137</v>
      </c>
      <c r="I77" s="55" t="s">
        <v>1360</v>
      </c>
      <c r="J77" s="55" t="s">
        <v>1416</v>
      </c>
      <c r="K77" s="55" t="s">
        <v>61</v>
      </c>
      <c r="L77" s="55">
        <v>16917.0</v>
      </c>
      <c r="M77" s="55" t="s">
        <v>78</v>
      </c>
      <c r="N77" s="55" t="s">
        <v>69</v>
      </c>
      <c r="O77" s="55" t="s">
        <v>224</v>
      </c>
      <c r="P77" s="55" t="s">
        <v>110</v>
      </c>
      <c r="Q77" s="67" t="str">
        <f>IFERROR(__xludf.DUMMYFUNCTION("""COMPUTED_VALUE"""),"Europe.giaotiep.anhgteurope3_16917_CVS_NamNH_150623")</f>
        <v>Europe.giaotiep.anhgteurope3_16917_CVS_NamNH_150623</v>
      </c>
      <c r="R77" s="67" t="str">
        <f>IFERROR(__xludf.DUMMYFUNCTION("""COMPUTED_VALUE"""),"NEW_Europe_2045_none_150623")</f>
        <v>NEW_Europe_2045_none_150623</v>
      </c>
      <c r="S77" s="67" t="str">
        <f>IFERROR(__xludf.DUMMYFUNCTION("""COMPUTED_VALUE"""),"saletructiep_Europe.anhgteurope3.2045.giaotiep_PTATT_LD170")</f>
        <v>saletructiep_Europe.anhgteurope3.2045.giaotiep_PTATT_LD170</v>
      </c>
      <c r="T77" s="107" t="str">
        <f>IFERROR(__xludf.DUMMYFUNCTION("""COMPUTED_VALUE"""),"https://patadovietnam.edu.vn/allcvs_hn/?utm_source=Facebook&amp;utm_medium=CVS&amp;utm_term=NEW_Europe_2045_none_150623&amp;utm_content=saletructiep_Europe.anhgteurope3.2045.giaotiep_PTATT_LD170&amp;utm_campaign=Europe.giaotiep.anhgteurope3_16917_CVS_NamNH_150623")</f>
        <v>https://patadovietnam.edu.vn/allcvs_hn/?utm_source=Facebook&amp;utm_medium=CVS&amp;utm_term=NEW_Europe_2045_none_150623&amp;utm_content=saletructiep_Europe.anhgteurope3.2045.giaotiep_PTATT_LD170&amp;utm_campaign=Europe.giaotiep.anhgteurope3_16917_CVS_NamNH_150623</v>
      </c>
      <c r="U77" s="110" t="s">
        <v>1619</v>
      </c>
    </row>
    <row r="78">
      <c r="A78" s="122">
        <v>45092.0</v>
      </c>
      <c r="B78" s="123" t="s">
        <v>1620</v>
      </c>
      <c r="C78" s="124" t="str">
        <f>IFERROR(__xludf.DUMMYFUNCTION("""COMPUTED_VALUE"""),"LD172")</f>
        <v>LD172</v>
      </c>
      <c r="D78" s="125" t="s">
        <v>42</v>
      </c>
      <c r="E78" s="125" t="s">
        <v>69</v>
      </c>
      <c r="F78" s="125" t="s">
        <v>133</v>
      </c>
      <c r="G78" s="125">
        <v>1838.0</v>
      </c>
      <c r="H78" s="125" t="s">
        <v>1137</v>
      </c>
      <c r="I78" s="125" t="s">
        <v>1623</v>
      </c>
      <c r="J78" s="125" t="s">
        <v>1624</v>
      </c>
      <c r="K78" s="125" t="s">
        <v>61</v>
      </c>
      <c r="L78" s="125">
        <v>16917.0</v>
      </c>
      <c r="M78" s="125" t="s">
        <v>78</v>
      </c>
      <c r="N78" s="125" t="s">
        <v>69</v>
      </c>
      <c r="O78" s="125" t="s">
        <v>224</v>
      </c>
      <c r="P78" s="125" t="s">
        <v>110</v>
      </c>
      <c r="Q78" s="124" t="str">
        <f>IFERROR(__xludf.DUMMYFUNCTION("""COMPUTED_VALUE"""),"Japan.giaotiep.jh1_16917_CVS_NamNH_150623")</f>
        <v>Japan.giaotiep.jh1_16917_CVS_NamNH_150623</v>
      </c>
      <c r="R78" s="124" t="str">
        <f>IFERROR(__xludf.DUMMYFUNCTION("""COMPUTED_VALUE"""),"NEW_Japan_1838_none_150623")</f>
        <v>NEW_Japan_1838_none_150623</v>
      </c>
      <c r="S78" s="124" t="str">
        <f>IFERROR(__xludf.DUMMYFUNCTION("""COMPUTED_VALUE"""),"saletructiep_Japan.jh1.1838.giaotiep_PTATT_LD172")</f>
        <v>saletructiep_Japan.jh1.1838.giaotiep_PTATT_LD172</v>
      </c>
      <c r="T78" s="126" t="str">
        <f>IFERROR(__xludf.DUMMYFUNCTION("""COMPUTED_VALUE"""),"https://patadovietnam.edu.vn/japanall_nhn/?utm_source=Facebook&amp;utm_medium=CVS&amp;utm_term=NEW_Japan_1838_none_150623&amp;utm_content=saletructiep_Japan.jh1.1838.giaotiep_PTATT_LD172&amp;utm_campaign=Japan.giaotiep.jh1_16917_CVS_NamNH_150623")</f>
        <v>https://patadovietnam.edu.vn/japanall_nhn/?utm_source=Facebook&amp;utm_medium=CVS&amp;utm_term=NEW_Japan_1838_none_150623&amp;utm_content=saletructiep_Japan.jh1.1838.giaotiep_PTATT_LD172&amp;utm_campaign=Japan.giaotiep.jh1_16917_CVS_NamNH_150623</v>
      </c>
      <c r="U78" s="127" t="s">
        <v>1628</v>
      </c>
    </row>
    <row r="79">
      <c r="A79" s="72">
        <v>45092.0</v>
      </c>
      <c r="B79" s="75" t="s">
        <v>1607</v>
      </c>
      <c r="C79" s="67" t="str">
        <f>IFERROR(__xludf.DUMMYFUNCTION("""COMPUTED_VALUE"""),"LD170")</f>
        <v>LD170</v>
      </c>
      <c r="D79" s="55" t="s">
        <v>42</v>
      </c>
      <c r="E79" s="55" t="s">
        <v>79</v>
      </c>
      <c r="F79" s="55" t="s">
        <v>174</v>
      </c>
      <c r="G79" s="55">
        <v>2038.0</v>
      </c>
      <c r="H79" s="55" t="s">
        <v>1137</v>
      </c>
      <c r="I79" s="55" t="s">
        <v>1629</v>
      </c>
      <c r="J79" s="55" t="s">
        <v>1630</v>
      </c>
      <c r="K79" s="55" t="s">
        <v>61</v>
      </c>
      <c r="L79" s="55">
        <v>95360.0</v>
      </c>
      <c r="M79" s="55" t="s">
        <v>78</v>
      </c>
      <c r="N79" s="55" t="s">
        <v>79</v>
      </c>
      <c r="O79" s="55" t="s">
        <v>224</v>
      </c>
      <c r="P79" s="55" t="s">
        <v>110</v>
      </c>
      <c r="Q79" s="67" t="str">
        <f>IFERROR(__xludf.DUMMYFUNCTION("""COMPUTED_VALUE"""),"Philippines.giaotiep.anhlt_95360_MES_NamNH_150623")</f>
        <v>Philippines.giaotiep.anhlt_95360_MES_NamNH_150623</v>
      </c>
      <c r="R79" s="67" t="str">
        <f>IFERROR(__xludf.DUMMYFUNCTION("""COMPUTED_VALUE"""),"NEW_Philippines_2038_none_150623")</f>
        <v>NEW_Philippines_2038_none_150623</v>
      </c>
      <c r="S79" s="67" t="str">
        <f>IFERROR(__xludf.DUMMYFUNCTION("""COMPUTED_VALUE"""),"saletructiep_Philipines.anhlt.2038.giaotiep_PTATT_LD170")</f>
        <v>saletructiep_Philipines.anhlt.2038.giaotiep_PTATT_LD170</v>
      </c>
      <c r="T79" s="107" t="str">
        <f>IFERROR(__xludf.DUMMYFUNCTION("""COMPUTED_VALUE"""),"https://patadovietnam.edu.vn/allcvs_hn/?utm_source=Facebook&amp;utm_medium=MES&amp;utm_term=NEW_Philippines_2038_none_150623&amp;utm_content=saletructiep_Philipines.anhlt.2038.giaotiep_PTATT_LD170&amp;utm_campaign=Philippines.giaotiep.anhlt_95360_MES_NamNH_150623")</f>
        <v>https://patadovietnam.edu.vn/allcvs_hn/?utm_source=Facebook&amp;utm_medium=MES&amp;utm_term=NEW_Philippines_2038_none_150623&amp;utm_content=saletructiep_Philipines.anhlt.2038.giaotiep_PTATT_LD170&amp;utm_campaign=Philippines.giaotiep.anhlt_95360_MES_NamNH_150623</v>
      </c>
      <c r="U79" s="110" t="s">
        <v>1635</v>
      </c>
    </row>
    <row r="80">
      <c r="A80" s="72">
        <v>45094.0</v>
      </c>
      <c r="B80" s="75" t="s">
        <v>1607</v>
      </c>
      <c r="C80" s="67" t="str">
        <f>IFERROR(__xludf.DUMMYFUNCTION("""COMPUTED_VALUE"""),"LD170")</f>
        <v>LD170</v>
      </c>
      <c r="D80" s="55" t="s">
        <v>42</v>
      </c>
      <c r="E80" s="55" t="s">
        <v>79</v>
      </c>
      <c r="F80" s="55" t="s">
        <v>164</v>
      </c>
      <c r="G80" s="55">
        <v>1840.0</v>
      </c>
      <c r="H80" s="55" t="s">
        <v>1137</v>
      </c>
      <c r="I80" s="55" t="s">
        <v>1640</v>
      </c>
      <c r="J80" s="55" t="s">
        <v>1641</v>
      </c>
      <c r="K80" s="55" t="s">
        <v>61</v>
      </c>
      <c r="L80" s="55">
        <v>95360.0</v>
      </c>
      <c r="M80" s="55" t="s">
        <v>78</v>
      </c>
      <c r="N80" s="55" t="s">
        <v>79</v>
      </c>
      <c r="O80" s="55" t="s">
        <v>224</v>
      </c>
      <c r="P80" s="55" t="s">
        <v>110</v>
      </c>
      <c r="Q80" s="67" t="str">
        <f>IFERROR(__xludf.DUMMYFUNCTION("""COMPUTED_VALUE"""),"Taiwan.giaotiep.anhlt_95360_MES_NamNH_170623")</f>
        <v>Taiwan.giaotiep.anhlt_95360_MES_NamNH_170623</v>
      </c>
      <c r="R80" s="67" t="str">
        <f>IFERROR(__xludf.DUMMYFUNCTION("""COMPUTED_VALUE"""),"NEW_Taiwan_1840_none_170623")</f>
        <v>NEW_Taiwan_1840_none_170623</v>
      </c>
      <c r="S80" s="67" t="str">
        <f>IFERROR(__xludf.DUMMYFUNCTION("""COMPUTED_VALUE"""),"saletructiep_Taiwan.anhlt.1840.giaotiep_PTATT_LD170")</f>
        <v>saletructiep_Taiwan.anhlt.1840.giaotiep_PTATT_LD170</v>
      </c>
      <c r="T80" s="107" t="str">
        <f>IFERROR(__xludf.DUMMYFUNCTION("""COMPUTED_VALUE"""),"https://patadovietnam.edu.vn/allcvs_hn/?utm_source=Facebook&amp;utm_medium=MES&amp;utm_term=NEW_Taiwan_1840_none_170623&amp;utm_content=saletructiep_Taiwan.anhlt.1840.giaotiep_PTATT_LD170&amp;utm_campaign=Taiwan.giaotiep.anhlt_95360_MES_NamNH_170623")</f>
        <v>https://patadovietnam.edu.vn/allcvs_hn/?utm_source=Facebook&amp;utm_medium=MES&amp;utm_term=NEW_Taiwan_1840_none_170623&amp;utm_content=saletructiep_Taiwan.anhlt.1840.giaotiep_PTATT_LD170&amp;utm_campaign=Taiwan.giaotiep.anhlt_95360_MES_NamNH_170623</v>
      </c>
      <c r="U80" s="110" t="s">
        <v>1645</v>
      </c>
    </row>
    <row r="81">
      <c r="A81" s="72">
        <v>45096.0</v>
      </c>
      <c r="B81" s="75" t="s">
        <v>1607</v>
      </c>
      <c r="C81" s="67" t="str">
        <f>IFERROR(__xludf.DUMMYFUNCTION("""COMPUTED_VALUE"""),"LD170")</f>
        <v>LD170</v>
      </c>
      <c r="D81" s="55" t="s">
        <v>42</v>
      </c>
      <c r="E81" s="55" t="s">
        <v>79</v>
      </c>
      <c r="F81" s="55" t="s">
        <v>162</v>
      </c>
      <c r="G81" s="55">
        <v>2040.0</v>
      </c>
      <c r="H81" s="55" t="s">
        <v>1137</v>
      </c>
      <c r="I81" s="55" t="s">
        <v>1646</v>
      </c>
      <c r="J81" s="55" t="s">
        <v>1647</v>
      </c>
      <c r="K81" s="55" t="s">
        <v>61</v>
      </c>
      <c r="L81" s="55">
        <v>95360.0</v>
      </c>
      <c r="M81" s="55" t="s">
        <v>78</v>
      </c>
      <c r="N81" s="55" t="s">
        <v>79</v>
      </c>
      <c r="O81" s="55" t="s">
        <v>224</v>
      </c>
      <c r="P81" s="55" t="s">
        <v>110</v>
      </c>
      <c r="Q81" s="67" t="str">
        <f>IFERROR(__xludf.DUMMYFUNCTION("""COMPUTED_VALUE"""),"Singapore.giaotiep.jh1_95360_MES_NamNH_190623")</f>
        <v>Singapore.giaotiep.jh1_95360_MES_NamNH_190623</v>
      </c>
      <c r="R81" s="67" t="str">
        <f>IFERROR(__xludf.DUMMYFUNCTION("""COMPUTED_VALUE"""),"NEW_Singapore_2040_none_190623")</f>
        <v>NEW_Singapore_2040_none_190623</v>
      </c>
      <c r="S81" s="67" t="str">
        <f>IFERROR(__xludf.DUMMYFUNCTION("""COMPUTED_VALUE"""),"saletructiep_Singapore.jh1.2040.giaotiep_PTATT_LD170")</f>
        <v>saletructiep_Singapore.jh1.2040.giaotiep_PTATT_LD170</v>
      </c>
      <c r="T81" s="107" t="str">
        <f>IFERROR(__xludf.DUMMYFUNCTION("""COMPUTED_VALUE"""),"https://patadovietnam.edu.vn/allcvs_hn/?utm_source=Facebook&amp;utm_medium=MES&amp;utm_term=NEW_Singapore_2040_none_190623&amp;utm_content=saletructiep_Singapore.jh1.2040.giaotiep_PTATT_LD170&amp;utm_campaign=Singapore.giaotiep.jh1_95360_MES_NamNH_190623")</f>
        <v>https://patadovietnam.edu.vn/allcvs_hn/?utm_source=Facebook&amp;utm_medium=MES&amp;utm_term=NEW_Singapore_2040_none_190623&amp;utm_content=saletructiep_Singapore.jh1.2040.giaotiep_PTATT_LD170&amp;utm_campaign=Singapore.giaotiep.jh1_95360_MES_NamNH_190623</v>
      </c>
      <c r="U81" s="110" t="s">
        <v>1652</v>
      </c>
    </row>
    <row r="82">
      <c r="A82" s="72">
        <v>45098.0</v>
      </c>
      <c r="B82" s="75" t="s">
        <v>1607</v>
      </c>
      <c r="C82" s="67" t="str">
        <f>IFERROR(__xludf.DUMMYFUNCTION("""COMPUTED_VALUE"""),"LD170")</f>
        <v>LD170</v>
      </c>
      <c r="D82" s="55" t="s">
        <v>42</v>
      </c>
      <c r="E82" s="55" t="s">
        <v>79</v>
      </c>
      <c r="F82" s="55" t="s">
        <v>674</v>
      </c>
      <c r="G82" s="55">
        <v>2045.0</v>
      </c>
      <c r="H82" s="55" t="s">
        <v>1137</v>
      </c>
      <c r="I82" s="55" t="s">
        <v>1656</v>
      </c>
      <c r="J82" s="55" t="s">
        <v>1657</v>
      </c>
      <c r="K82" s="55" t="s">
        <v>61</v>
      </c>
      <c r="L82" s="55">
        <v>95360.0</v>
      </c>
      <c r="M82" s="55" t="s">
        <v>78</v>
      </c>
      <c r="N82" s="55" t="s">
        <v>79</v>
      </c>
      <c r="O82" s="55" t="s">
        <v>224</v>
      </c>
      <c r="P82" s="55" t="s">
        <v>110</v>
      </c>
      <c r="Q82" s="67" t="str">
        <f>IFERROR(__xludf.DUMMYFUNCTION("""COMPUTED_VALUE"""),"Europe.giaotiep.Patadottam_95360_MES_NamNH_210623")</f>
        <v>Europe.giaotiep.Patadottam_95360_MES_NamNH_210623</v>
      </c>
      <c r="R82" s="67" t="str">
        <f>IFERROR(__xludf.DUMMYFUNCTION("""COMPUTED_VALUE"""),"NEW_Europe_2045_none_210623")</f>
        <v>NEW_Europe_2045_none_210623</v>
      </c>
      <c r="S82" s="67" t="str">
        <f>IFERROR(__xludf.DUMMYFUNCTION("""COMPUTED_VALUE"""),"saletructiep_Europe.Patadottam.2045.giaotiep_PTATT_LD170")</f>
        <v>saletructiep_Europe.Patadottam.2045.giaotiep_PTATT_LD170</v>
      </c>
      <c r="T82" s="107" t="str">
        <f>IFERROR(__xludf.DUMMYFUNCTION("""COMPUTED_VALUE"""),"https://patadovietnam.edu.vn/allcvs_hn/?utm_source=Facebook&amp;utm_medium=MES&amp;utm_term=NEW_Europe_2045_none_210623&amp;utm_content=saletructiep_Europe.Patadottam.2045.giaotiep_PTATT_LD170&amp;utm_campaign=Europe.giaotiep.Patadottam_95360_MES_NamNH_210623")</f>
        <v>https://patadovietnam.edu.vn/allcvs_hn/?utm_source=Facebook&amp;utm_medium=MES&amp;utm_term=NEW_Europe_2045_none_210623&amp;utm_content=saletructiep_Europe.Patadottam.2045.giaotiep_PTATT_LD170&amp;utm_campaign=Europe.giaotiep.Patadottam_95360_MES_NamNH_210623</v>
      </c>
      <c r="U82" s="110" t="s">
        <v>1660</v>
      </c>
    </row>
    <row r="83">
      <c r="A83" s="72">
        <v>45106.0</v>
      </c>
      <c r="B83" s="75" t="s">
        <v>1245</v>
      </c>
      <c r="C83" s="67" t="str">
        <f>IFERROR(__xludf.DUMMYFUNCTION("""COMPUTED_VALUE"""),"LD161")</f>
        <v>LD161</v>
      </c>
      <c r="D83" s="55" t="s">
        <v>42</v>
      </c>
      <c r="E83" s="55" t="s">
        <v>79</v>
      </c>
      <c r="F83" s="55" t="s">
        <v>107</v>
      </c>
      <c r="G83" s="55">
        <v>2045.0</v>
      </c>
      <c r="H83" s="55" t="s">
        <v>1137</v>
      </c>
      <c r="I83" s="55" t="s">
        <v>1664</v>
      </c>
      <c r="J83" s="55" t="s">
        <v>1665</v>
      </c>
      <c r="K83" s="55" t="s">
        <v>61</v>
      </c>
      <c r="L83" s="55">
        <v>16917.0</v>
      </c>
      <c r="M83" s="55" t="s">
        <v>78</v>
      </c>
      <c r="N83" s="55" t="s">
        <v>79</v>
      </c>
      <c r="O83" s="55" t="s">
        <v>224</v>
      </c>
      <c r="P83" s="55" t="s">
        <v>110</v>
      </c>
      <c r="Q83" s="67" t="str">
        <f>IFERROR(__xludf.DUMMYFUNCTION("""COMPUTED_VALUE"""),"UnitedStates.giaotiep.Kghoaky_16917_MES_NamNH_290623")</f>
        <v>UnitedStates.giaotiep.Kghoaky_16917_MES_NamNH_290623</v>
      </c>
      <c r="R83" s="67" t="str">
        <f>IFERROR(__xludf.DUMMYFUNCTION("""COMPUTED_VALUE"""),"NEW_UnitedStates_2045_none_290623")</f>
        <v>NEW_UnitedStates_2045_none_290623</v>
      </c>
      <c r="S83" s="67" t="str">
        <f>IFERROR(__xludf.DUMMYFUNCTION("""COMPUTED_VALUE"""),"saletructiep_UnitedStates.Kghoaky.giaotiep.2045_PTATT_LD161")</f>
        <v>saletructiep_UnitedStates.Kghoaky.giaotiep.2045_PTATT_LD161</v>
      </c>
      <c r="T83" s="107" t="str">
        <f>IFERROR(__xludf.DUMMYFUNCTION("""COMPUTED_VALUE"""),"https://patadovietnam.edu.vn/gtusa1_nhn/?utm_source=Facebook&amp;utm_medium=MES&amp;utm_term=NEW_UnitedStates_2045_none_290623&amp;utm_content=saletructiep_UnitedStates.Kghoaky.giaotiep.2045_PTATT_LD161&amp;utm_campaign=UnitedStates.giaotiep.Kghoaky_16917_MES_NamNH_29062"&amp;"3")</f>
        <v>https://patadovietnam.edu.vn/gtusa1_nhn/?utm_source=Facebook&amp;utm_medium=MES&amp;utm_term=NEW_UnitedStates_2045_none_290623&amp;utm_content=saletructiep_UnitedStates.Kghoaky.giaotiep.2045_PTATT_LD161&amp;utm_campaign=UnitedStates.giaotiep.Kghoaky_16917_MES_NamNH_290623</v>
      </c>
      <c r="U83" s="110" t="s">
        <v>1671</v>
      </c>
    </row>
    <row r="84">
      <c r="A84" s="72">
        <v>45106.0</v>
      </c>
      <c r="B84" s="75" t="s">
        <v>1607</v>
      </c>
      <c r="C84" s="67" t="str">
        <f>IFERROR(__xludf.DUMMYFUNCTION("""COMPUTED_VALUE"""),"LD170")</f>
        <v>LD170</v>
      </c>
      <c r="D84" s="55" t="s">
        <v>42</v>
      </c>
      <c r="E84" s="55" t="s">
        <v>79</v>
      </c>
      <c r="F84" s="55" t="s">
        <v>174</v>
      </c>
      <c r="G84" s="55">
        <v>2038.0</v>
      </c>
      <c r="H84" s="55" t="s">
        <v>1137</v>
      </c>
      <c r="I84" s="55" t="s">
        <v>1674</v>
      </c>
      <c r="J84" s="55" t="s">
        <v>1675</v>
      </c>
      <c r="K84" s="55" t="s">
        <v>61</v>
      </c>
      <c r="L84" s="55">
        <v>95360.0</v>
      </c>
      <c r="M84" s="55" t="s">
        <v>78</v>
      </c>
      <c r="N84" s="55" t="s">
        <v>79</v>
      </c>
      <c r="O84" s="55" t="s">
        <v>224</v>
      </c>
      <c r="P84" s="55" t="s">
        <v>110</v>
      </c>
      <c r="Q84" s="67" t="str">
        <f>IFERROR(__xludf.DUMMYFUNCTION("""COMPUTED_VALUE"""),"Philippines.giaotiep.Kgphilipines_95360_MES_NamNH_290623")</f>
        <v>Philippines.giaotiep.Kgphilipines_95360_MES_NamNH_290623</v>
      </c>
      <c r="R84" s="67" t="str">
        <f>IFERROR(__xludf.DUMMYFUNCTION("""COMPUTED_VALUE"""),"NEW_Philippines_2038_none_290623")</f>
        <v>NEW_Philippines_2038_none_290623</v>
      </c>
      <c r="S84" s="67" t="str">
        <f>IFERROR(__xludf.DUMMYFUNCTION("""COMPUTED_VALUE"""),"saletructiep_Philipines.Kgphilipines.2038.giaotiep_PTATT_LD170")</f>
        <v>saletructiep_Philipines.Kgphilipines.2038.giaotiep_PTATT_LD170</v>
      </c>
      <c r="T84" s="107" t="str">
        <f>IFERROR(__xludf.DUMMYFUNCTION("""COMPUTED_VALUE"""),"https://patadovietnam.edu.vn/allcvs_hn/?utm_source=Facebook&amp;utm_medium=MES&amp;utm_term=NEW_Philippines_2038_none_290623&amp;utm_content=saletructiep_Philipines.Kgphilipines.2038.giaotiep_PTATT_LD170&amp;utm_campaign=Philippines.giaotiep.Kgphilipines_95360_MES_NamNH_"&amp;"290623")</f>
        <v>https://patadovietnam.edu.vn/allcvs_hn/?utm_source=Facebook&amp;utm_medium=MES&amp;utm_term=NEW_Philippines_2038_none_290623&amp;utm_content=saletructiep_Philipines.Kgphilipines.2038.giaotiep_PTATT_LD170&amp;utm_campaign=Philippines.giaotiep.Kgphilipines_95360_MES_NamNH_290623</v>
      </c>
      <c r="U84" s="110" t="s">
        <v>1681</v>
      </c>
    </row>
    <row r="85">
      <c r="A85" s="72">
        <v>45106.0</v>
      </c>
      <c r="B85" s="75" t="s">
        <v>1245</v>
      </c>
      <c r="C85" s="67" t="str">
        <f>IFERROR(__xludf.DUMMYFUNCTION("""COMPUTED_VALUE"""),"LD161")</f>
        <v>LD161</v>
      </c>
      <c r="D85" s="55" t="s">
        <v>42</v>
      </c>
      <c r="E85" s="55" t="s">
        <v>79</v>
      </c>
      <c r="F85" s="55" t="s">
        <v>107</v>
      </c>
      <c r="G85" s="55">
        <v>2045.0</v>
      </c>
      <c r="H85" s="55" t="s">
        <v>1137</v>
      </c>
      <c r="I85" s="55" t="s">
        <v>1682</v>
      </c>
      <c r="J85" s="55" t="s">
        <v>1683</v>
      </c>
      <c r="K85" s="55" t="s">
        <v>61</v>
      </c>
      <c r="L85" s="55">
        <v>95360.0</v>
      </c>
      <c r="M85" s="55" t="s">
        <v>78</v>
      </c>
      <c r="N85" s="55" t="s">
        <v>79</v>
      </c>
      <c r="O85" s="55" t="s">
        <v>224</v>
      </c>
      <c r="P85" s="55" t="s">
        <v>110</v>
      </c>
      <c r="Q85" s="67" t="str">
        <f>IFERROR(__xludf.DUMMYFUNCTION("""COMPUTED_VALUE"""),"UnitedStates.giaotiep.giaotiepmynhn_95360_MES_NamNH_290623")</f>
        <v>UnitedStates.giaotiep.giaotiepmynhn_95360_MES_NamNH_290623</v>
      </c>
      <c r="R85" s="67" t="str">
        <f>IFERROR(__xludf.DUMMYFUNCTION("""COMPUTED_VALUE"""),"NEW_UnitedStates_2045_none_290623")</f>
        <v>NEW_UnitedStates_2045_none_290623</v>
      </c>
      <c r="S85" s="67" t="str">
        <f>IFERROR(__xludf.DUMMYFUNCTION("""COMPUTED_VALUE"""),"saletructiep_UnitedStates.giaotiepmynhn.giaotiep.2045_PTATT_LD161")</f>
        <v>saletructiep_UnitedStates.giaotiepmynhn.giaotiep.2045_PTATT_LD161</v>
      </c>
      <c r="T85" s="107" t="str">
        <f>IFERROR(__xludf.DUMMYFUNCTION("""COMPUTED_VALUE"""),"https://patadovietnam.edu.vn/gtusa1_nhn/?utm_source=Facebook&amp;utm_medium=MES&amp;utm_term=NEW_UnitedStates_2045_none_290623&amp;utm_content=saletructiep_UnitedStates.giaotiepmynhn.giaotiep.2045_PTATT_LD161&amp;utm_campaign=UnitedStates.giaotiep.giaotiepmynhn_95360_MES"&amp;"_NamNH_290623")</f>
        <v>https://patadovietnam.edu.vn/gtusa1_nhn/?utm_source=Facebook&amp;utm_medium=MES&amp;utm_term=NEW_UnitedStates_2045_none_290623&amp;utm_content=saletructiep_UnitedStates.giaotiepmynhn.giaotiep.2045_PTATT_LD161&amp;utm_campaign=UnitedStates.giaotiep.giaotiepmynhn_95360_MES_NamNH_290623</v>
      </c>
      <c r="U85" s="110" t="s">
        <v>1689</v>
      </c>
    </row>
    <row r="86">
      <c r="A86" s="72">
        <v>45106.0</v>
      </c>
      <c r="B86" s="75" t="s">
        <v>1620</v>
      </c>
      <c r="C86" s="67" t="str">
        <f>IFERROR(__xludf.DUMMYFUNCTION("""COMPUTED_VALUE"""),"LD172")</f>
        <v>LD172</v>
      </c>
      <c r="D86" s="55" t="s">
        <v>42</v>
      </c>
      <c r="E86" s="55" t="s">
        <v>69</v>
      </c>
      <c r="F86" s="55" t="s">
        <v>133</v>
      </c>
      <c r="G86" s="55">
        <v>1838.0</v>
      </c>
      <c r="H86" s="55" t="s">
        <v>1137</v>
      </c>
      <c r="I86" s="55" t="s">
        <v>1693</v>
      </c>
      <c r="J86" s="55" t="s">
        <v>1694</v>
      </c>
      <c r="K86" s="55" t="s">
        <v>61</v>
      </c>
      <c r="L86" s="55">
        <v>16917.0</v>
      </c>
      <c r="M86" s="55" t="s">
        <v>78</v>
      </c>
      <c r="N86" s="55" t="s">
        <v>69</v>
      </c>
      <c r="O86" s="55" t="s">
        <v>224</v>
      </c>
      <c r="P86" s="55" t="s">
        <v>110</v>
      </c>
      <c r="Q86" s="67" t="str">
        <f>IFERROR(__xludf.DUMMYFUNCTION("""COMPUTED_VALUE"""),"Japan.giaotiep.Kgjapan_16917_CVS_NamNH_290623")</f>
        <v>Japan.giaotiep.Kgjapan_16917_CVS_NamNH_290623</v>
      </c>
      <c r="R86" s="67" t="str">
        <f>IFERROR(__xludf.DUMMYFUNCTION("""COMPUTED_VALUE"""),"NEW_Japan_1838_none_290623")</f>
        <v>NEW_Japan_1838_none_290623</v>
      </c>
      <c r="S86" s="67" t="str">
        <f>IFERROR(__xludf.DUMMYFUNCTION("""COMPUTED_VALUE"""),"saletructiep_Japan.Kgjapan.1838.giaotiep_PTATT_LD172")</f>
        <v>saletructiep_Japan.Kgjapan.1838.giaotiep_PTATT_LD172</v>
      </c>
      <c r="T86" s="107" t="str">
        <f>IFERROR(__xludf.DUMMYFUNCTION("""COMPUTED_VALUE"""),"https://patadovietnam.edu.vn/japanall_nhn/?utm_source=Facebook&amp;utm_medium=CVS&amp;utm_term=NEW_Japan_1838_none_290623&amp;utm_content=saletructiep_Japan.Kgjapan.1838.giaotiep_PTATT_LD172&amp;utm_campaign=Japan.giaotiep.Kgjapan_16917_CVS_NamNH_290623")</f>
        <v>https://patadovietnam.edu.vn/japanall_nhn/?utm_source=Facebook&amp;utm_medium=CVS&amp;utm_term=NEW_Japan_1838_none_290623&amp;utm_content=saletructiep_Japan.Kgjapan.1838.giaotiep_PTATT_LD172&amp;utm_campaign=Japan.giaotiep.Kgjapan_16917_CVS_NamNH_290623</v>
      </c>
      <c r="U86" s="111" t="s">
        <v>1697</v>
      </c>
    </row>
    <row r="87">
      <c r="A87" s="72">
        <v>45107.0</v>
      </c>
      <c r="B87" s="75" t="s">
        <v>1607</v>
      </c>
      <c r="C87" s="67" t="str">
        <f>IFERROR(__xludf.DUMMYFUNCTION("""COMPUTED_VALUE"""),"LD170")</f>
        <v>LD170</v>
      </c>
      <c r="D87" s="55" t="s">
        <v>42</v>
      </c>
      <c r="E87" s="55" t="s">
        <v>79</v>
      </c>
      <c r="F87" s="55" t="s">
        <v>164</v>
      </c>
      <c r="G87" s="55">
        <v>1840.0</v>
      </c>
      <c r="H87" s="55" t="s">
        <v>1137</v>
      </c>
      <c r="I87" s="55" t="s">
        <v>1701</v>
      </c>
      <c r="J87" s="55" t="s">
        <v>1702</v>
      </c>
      <c r="K87" s="55" t="s">
        <v>61</v>
      </c>
      <c r="L87" s="55">
        <v>95360.0</v>
      </c>
      <c r="M87" s="55" t="s">
        <v>78</v>
      </c>
      <c r="N87" s="55" t="s">
        <v>79</v>
      </c>
      <c r="O87" s="55" t="s">
        <v>224</v>
      </c>
      <c r="P87" s="55" t="s">
        <v>110</v>
      </c>
      <c r="Q87" s="67" t="str">
        <f>IFERROR(__xludf.DUMMYFUNCTION("""COMPUTED_VALUE"""),"Taiwan.giaotiep.anhtb2_95360_MES_NamNH_300623")</f>
        <v>Taiwan.giaotiep.anhtb2_95360_MES_NamNH_300623</v>
      </c>
      <c r="R87" s="67" t="str">
        <f>IFERROR(__xludf.DUMMYFUNCTION("""COMPUTED_VALUE"""),"NEW_Taiwan_1840_none_300623")</f>
        <v>NEW_Taiwan_1840_none_300623</v>
      </c>
      <c r="S87" s="67" t="str">
        <f>IFERROR(__xludf.DUMMYFUNCTION("""COMPUTED_VALUE"""),"saletructiep_Taiwan.anhtb2.1840.giaotiep_PTATT_LD170")</f>
        <v>saletructiep_Taiwan.anhtb2.1840.giaotiep_PTATT_LD170</v>
      </c>
      <c r="T87" s="107" t="str">
        <f>IFERROR(__xludf.DUMMYFUNCTION("""COMPUTED_VALUE"""),"https://patadovietnam.edu.vn/allcvs_hn/?utm_source=Facebook&amp;utm_medium=MES&amp;utm_term=NEW_Taiwan_1840_none_300623&amp;utm_content=saletructiep_Taiwan.anhtb2.1840.giaotiep_PTATT_LD170&amp;utm_campaign=Taiwan.giaotiep.anhtb2_95360_MES_NamNH_300623")</f>
        <v>https://patadovietnam.edu.vn/allcvs_hn/?utm_source=Facebook&amp;utm_medium=MES&amp;utm_term=NEW_Taiwan_1840_none_300623&amp;utm_content=saletructiep_Taiwan.anhtb2.1840.giaotiep_PTATT_LD170&amp;utm_campaign=Taiwan.giaotiep.anhtb2_95360_MES_NamNH_300623</v>
      </c>
      <c r="U87" s="110" t="s">
        <v>1703</v>
      </c>
    </row>
    <row r="88">
      <c r="A88" s="72">
        <v>45109.0</v>
      </c>
      <c r="B88" s="75" t="s">
        <v>1229</v>
      </c>
      <c r="C88" s="67" t="str">
        <f>IFERROR(__xludf.DUMMYFUNCTION("""COMPUTED_VALUE"""),"LD164")</f>
        <v>LD164</v>
      </c>
      <c r="D88" s="55" t="s">
        <v>42</v>
      </c>
      <c r="E88" s="55" t="s">
        <v>69</v>
      </c>
      <c r="F88" s="55" t="s">
        <v>133</v>
      </c>
      <c r="G88" s="55">
        <v>1838.0</v>
      </c>
      <c r="H88" s="55" t="s">
        <v>1137</v>
      </c>
      <c r="I88" s="55" t="s">
        <v>1706</v>
      </c>
      <c r="J88" s="55" t="s">
        <v>1707</v>
      </c>
      <c r="K88" s="55" t="s">
        <v>61</v>
      </c>
      <c r="L88" s="55">
        <v>16917.0</v>
      </c>
      <c r="M88" s="55" t="s">
        <v>78</v>
      </c>
      <c r="N88" s="55" t="s">
        <v>69</v>
      </c>
      <c r="O88" s="55" t="s">
        <v>224</v>
      </c>
      <c r="P88" s="55" t="s">
        <v>110</v>
      </c>
      <c r="Q88" s="67" t="str">
        <f>IFERROR(__xludf.DUMMYFUNCTION("""COMPUTED_VALUE"""),"Japan.giaotiep.anhtb2_16917_CVS_NamNH_020723")</f>
        <v>Japan.giaotiep.anhtb2_16917_CVS_NamNH_020723</v>
      </c>
      <c r="R88" s="67" t="str">
        <f>IFERROR(__xludf.DUMMYFUNCTION("""COMPUTED_VALUE"""),"NEW_Japan_1838_none_020723")</f>
        <v>NEW_Japan_1838_none_020723</v>
      </c>
      <c r="S88" s="67" t="str">
        <f>IFERROR(__xludf.DUMMYFUNCTION("""COMPUTED_VALUE"""),"saletructiep_Japan.anhtb2.1838.giaotiep_PTATT_LD164")</f>
        <v>saletructiep_Japan.anhtb2.1838.giaotiep_PTATT_LD164</v>
      </c>
      <c r="T88" s="107" t="str">
        <f>IFERROR(__xludf.DUMMYFUNCTION("""COMPUTED_VALUE"""),"https://patadovietnam.edu.vn/gtjapan_nhn3/?utm_source=Facebook&amp;utm_medium=CVS&amp;utm_term=NEW_Japan_1838_none_020723&amp;utm_content=saletructiep_Japan.anhtb2.1838.giaotiep_PTATT_LD164&amp;utm_campaign=Japan.giaotiep.anhtb2_16917_CVS_NamNH_020723")</f>
        <v>https://patadovietnam.edu.vn/gtjapan_nhn3/?utm_source=Facebook&amp;utm_medium=CVS&amp;utm_term=NEW_Japan_1838_none_020723&amp;utm_content=saletructiep_Japan.anhtb2.1838.giaotiep_PTATT_LD164&amp;utm_campaign=Japan.giaotiep.anhtb2_16917_CVS_NamNH_020723</v>
      </c>
      <c r="U88" s="110" t="s">
        <v>1710</v>
      </c>
    </row>
    <row r="89">
      <c r="A89" s="72">
        <v>45110.0</v>
      </c>
      <c r="B89" s="75" t="s">
        <v>1607</v>
      </c>
      <c r="C89" s="67" t="str">
        <f>IFERROR(__xludf.DUMMYFUNCTION("""COMPUTED_VALUE"""),"LD170")</f>
        <v>LD170</v>
      </c>
      <c r="D89" s="55" t="s">
        <v>42</v>
      </c>
      <c r="E89" s="55" t="s">
        <v>79</v>
      </c>
      <c r="F89" s="55" t="s">
        <v>174</v>
      </c>
      <c r="G89" s="55">
        <v>1838.0</v>
      </c>
      <c r="H89" s="55" t="s">
        <v>1137</v>
      </c>
      <c r="I89" s="55" t="s">
        <v>1712</v>
      </c>
      <c r="J89" s="55" t="s">
        <v>1714</v>
      </c>
      <c r="K89" s="55" t="s">
        <v>61</v>
      </c>
      <c r="L89" s="55">
        <v>95360.0</v>
      </c>
      <c r="M89" s="55" t="s">
        <v>78</v>
      </c>
      <c r="N89" s="55" t="s">
        <v>79</v>
      </c>
      <c r="O89" s="55" t="s">
        <v>224</v>
      </c>
      <c r="P89" s="55" t="s">
        <v>110</v>
      </c>
      <c r="Q89" s="67" t="str">
        <f>IFERROR(__xludf.DUMMYFUNCTION("""COMPUTED_VALUE"""),"Philippines.giaotiep.ttam_95360_MES_NamNH_030723")</f>
        <v>Philippines.giaotiep.ttam_95360_MES_NamNH_030723</v>
      </c>
      <c r="R89" s="67" t="str">
        <f>IFERROR(__xludf.DUMMYFUNCTION("""COMPUTED_VALUE"""),"NEW_Philippines_1838_none_030723")</f>
        <v>NEW_Philippines_1838_none_030723</v>
      </c>
      <c r="S89" s="67" t="str">
        <f>IFERROR(__xludf.DUMMYFUNCTION("""COMPUTED_VALUE"""),"saletructiep_Philipines.ttam.1838.giaotiep_PTATT_LD170")</f>
        <v>saletructiep_Philipines.ttam.1838.giaotiep_PTATT_LD170</v>
      </c>
      <c r="T89" s="107" t="str">
        <f>IFERROR(__xludf.DUMMYFUNCTION("""COMPUTED_VALUE"""),"https://patadovietnam.edu.vn/allcvs_hn/?utm_source=Facebook&amp;utm_medium=MES&amp;utm_term=NEW_Philippines_1838_none_030723&amp;utm_content=saletructiep_Philipines.ttam.1838.giaotiep_PTATT_LD170&amp;utm_campaign=Philippines.giaotiep.ttam_95360_MES_NamNH_030723")</f>
        <v>https://patadovietnam.edu.vn/allcvs_hn/?utm_source=Facebook&amp;utm_medium=MES&amp;utm_term=NEW_Philippines_1838_none_030723&amp;utm_content=saletructiep_Philipines.ttam.1838.giaotiep_PTATT_LD170&amp;utm_campaign=Philippines.giaotiep.ttam_95360_MES_NamNH_030723</v>
      </c>
      <c r="U89" s="110" t="s">
        <v>1718</v>
      </c>
    </row>
    <row r="90">
      <c r="A90" s="72">
        <v>45111.0</v>
      </c>
      <c r="B90" s="75" t="s">
        <v>1245</v>
      </c>
      <c r="C90" s="67" t="str">
        <f>IFERROR(__xludf.DUMMYFUNCTION("""COMPUTED_VALUE"""),"LD161")</f>
        <v>LD161</v>
      </c>
      <c r="D90" s="55" t="s">
        <v>42</v>
      </c>
      <c r="E90" s="55" t="s">
        <v>79</v>
      </c>
      <c r="F90" s="55" t="s">
        <v>107</v>
      </c>
      <c r="G90" s="55">
        <v>2045.0</v>
      </c>
      <c r="H90" s="55" t="s">
        <v>1137</v>
      </c>
      <c r="I90" s="55" t="s">
        <v>1517</v>
      </c>
      <c r="J90" s="55" t="s">
        <v>1720</v>
      </c>
      <c r="K90" s="55" t="s">
        <v>61</v>
      </c>
      <c r="L90" s="55">
        <v>16917.0</v>
      </c>
      <c r="M90" s="55" t="s">
        <v>78</v>
      </c>
      <c r="N90" s="55" t="s">
        <v>79</v>
      </c>
      <c r="O90" s="55" t="s">
        <v>224</v>
      </c>
      <c r="P90" s="55" t="s">
        <v>110</v>
      </c>
      <c r="Q90" s="67" t="str">
        <f>IFERROR(__xludf.DUMMYFUNCTION("""COMPUTED_VALUE"""),"UnitedStates.giaotiep.qcpatado_16917_MES_NamNH_040723")</f>
        <v>UnitedStates.giaotiep.qcpatado_16917_MES_NamNH_040723</v>
      </c>
      <c r="R90" s="67" t="str">
        <f>IFERROR(__xludf.DUMMYFUNCTION("""COMPUTED_VALUE"""),"NEW_UnitedStates_2045_none_040723")</f>
        <v>NEW_UnitedStates_2045_none_040723</v>
      </c>
      <c r="S90" s="67" t="str">
        <f>IFERROR(__xludf.DUMMYFUNCTION("""COMPUTED_VALUE"""),"saletructiep_UnitedStates.qcpatado.giaotiep.2045_PTATT_LD161")</f>
        <v>saletructiep_UnitedStates.qcpatado.giaotiep.2045_PTATT_LD161</v>
      </c>
      <c r="T90" s="107" t="str">
        <f>IFERROR(__xludf.DUMMYFUNCTION("""COMPUTED_VALUE"""),"https://patadovietnam.edu.vn/gtusa1_nhn/?utm_source=Facebook&amp;utm_medium=MES&amp;utm_term=NEW_UnitedStates_2045_none_040723&amp;utm_content=saletructiep_UnitedStates.qcpatado.giaotiep.2045_PTATT_LD161&amp;utm_campaign=UnitedStates.giaotiep.qcpatado_16917_MES_NamNH_040"&amp;"723")</f>
        <v>https://patadovietnam.edu.vn/gtusa1_nhn/?utm_source=Facebook&amp;utm_medium=MES&amp;utm_term=NEW_UnitedStates_2045_none_040723&amp;utm_content=saletructiep_UnitedStates.qcpatado.giaotiep.2045_PTATT_LD161&amp;utm_campaign=UnitedStates.giaotiep.qcpatado_16917_MES_NamNH_040723</v>
      </c>
      <c r="U90" s="110" t="s">
        <v>1723</v>
      </c>
    </row>
    <row r="91">
      <c r="A91" s="72">
        <v>45111.0</v>
      </c>
      <c r="B91" s="75" t="s">
        <v>1728</v>
      </c>
      <c r="C91" s="67" t="str">
        <f>IFERROR(__xludf.DUMMYFUNCTION("""COMPUTED_VALUE"""),"LD173")</f>
        <v>LD173</v>
      </c>
      <c r="D91" s="55" t="s">
        <v>42</v>
      </c>
      <c r="E91" s="55" t="s">
        <v>79</v>
      </c>
      <c r="F91" s="55" t="s">
        <v>107</v>
      </c>
      <c r="G91" s="55">
        <v>2045.0</v>
      </c>
      <c r="H91" s="55" t="s">
        <v>1137</v>
      </c>
      <c r="I91" s="55" t="s">
        <v>1517</v>
      </c>
      <c r="J91" s="55" t="s">
        <v>1732</v>
      </c>
      <c r="K91" s="55" t="s">
        <v>61</v>
      </c>
      <c r="L91" s="55">
        <v>16917.0</v>
      </c>
      <c r="M91" s="55" t="s">
        <v>78</v>
      </c>
      <c r="N91" s="55" t="s">
        <v>79</v>
      </c>
      <c r="O91" s="55" t="s">
        <v>224</v>
      </c>
      <c r="P91" s="55" t="s">
        <v>110</v>
      </c>
      <c r="Q91" s="67" t="str">
        <f>IFERROR(__xludf.DUMMYFUNCTION("""COMPUTED_VALUE"""),"UnitedStates.giaotiep.qcpatado_16917_MES_NamNH_040723")</f>
        <v>UnitedStates.giaotiep.qcpatado_16917_MES_NamNH_040723</v>
      </c>
      <c r="R91" s="67" t="str">
        <f>IFERROR(__xludf.DUMMYFUNCTION("""COMPUTED_VALUE"""),"NEW_UnitedStates_2045_none_040723")</f>
        <v>NEW_UnitedStates_2045_none_040723</v>
      </c>
      <c r="S91" s="67" t="str">
        <f>IFERROR(__xludf.DUMMYFUNCTION("""COMPUTED_VALUE"""),"saletructiep_UnitedStates.qcpatado.giaotiep.2046_PTATT_LD173")</f>
        <v>saletructiep_UnitedStates.qcpatado.giaotiep.2046_PTATT_LD173</v>
      </c>
      <c r="T91" s="107" t="str">
        <f>IFERROR(__xludf.DUMMYFUNCTION("""COMPUTED_VALUE"""),"https://patadovietnam.edu.vn/gtusa2_hn/?utm_source=Facebook&amp;utm_medium=MES&amp;utm_term=NEW_UnitedStates_2045_none_040723&amp;utm_content=saletructiep_UnitedStates.qcpatado.giaotiep.2046_PTATT_LD173&amp;utm_campaign=UnitedStates.giaotiep.qcpatado_16917_MES_NamNH_0407"&amp;"23")</f>
        <v>https://patadovietnam.edu.vn/gtusa2_hn/?utm_source=Facebook&amp;utm_medium=MES&amp;utm_term=NEW_UnitedStates_2045_none_040723&amp;utm_content=saletructiep_UnitedStates.qcpatado.giaotiep.2046_PTATT_LD173&amp;utm_campaign=UnitedStates.giaotiep.qcpatado_16917_MES_NamNH_040723</v>
      </c>
      <c r="U91" s="110" t="s">
        <v>1740</v>
      </c>
    </row>
    <row r="92">
      <c r="A92" s="72">
        <v>45112.0</v>
      </c>
      <c r="B92" s="75" t="s">
        <v>1134</v>
      </c>
      <c r="C92" s="67" t="str">
        <f>IFERROR(__xludf.DUMMYFUNCTION("""COMPUTED_VALUE"""),"LD153")</f>
        <v>LD153</v>
      </c>
      <c r="D92" s="55" t="s">
        <v>42</v>
      </c>
      <c r="E92" s="55" t="s">
        <v>79</v>
      </c>
      <c r="F92" s="55" t="s">
        <v>174</v>
      </c>
      <c r="G92" s="55">
        <v>1838.0</v>
      </c>
      <c r="H92" s="55" t="s">
        <v>1137</v>
      </c>
      <c r="I92" s="55" t="s">
        <v>1743</v>
      </c>
      <c r="J92" s="55" t="s">
        <v>1744</v>
      </c>
      <c r="K92" s="55" t="s">
        <v>61</v>
      </c>
      <c r="L92" s="55">
        <v>95360.0</v>
      </c>
      <c r="M92" s="55" t="s">
        <v>78</v>
      </c>
      <c r="N92" s="55" t="s">
        <v>79</v>
      </c>
      <c r="O92" s="55" t="s">
        <v>224</v>
      </c>
      <c r="P92" s="55" t="s">
        <v>110</v>
      </c>
      <c r="Q92" s="67" t="str">
        <f>IFERROR(__xludf.DUMMYFUNCTION("""COMPUTED_VALUE"""),"Philippines.giaotiep.qcpatado_95360_MES_NamNH_050723")</f>
        <v>Philippines.giaotiep.qcpatado_95360_MES_NamNH_050723</v>
      </c>
      <c r="R92" s="67" t="str">
        <f>IFERROR(__xludf.DUMMYFUNCTION("""COMPUTED_VALUE"""),"NEW_Philippines_1838_none_050723")</f>
        <v>NEW_Philippines_1838_none_050723</v>
      </c>
      <c r="S92" s="67" t="str">
        <f>IFERROR(__xludf.DUMMYFUNCTION("""COMPUTED_VALUE"""),"saletructiep_Philipines.qcpatado.1838.giaotiep_PTATT_LD153")</f>
        <v>saletructiep_Philipines.qcpatado.1838.giaotiep_PTATT_LD153</v>
      </c>
      <c r="T92" s="107" t="str">
        <f>IFERROR(__xludf.DUMMYFUNCTION("""COMPUTED_VALUE"""),"https://patadovietnam.edu.vn/tienganhgiaotiep_hn/?utm_source=Facebook&amp;utm_medium=MES&amp;utm_term=NEW_Philippines_1838_none_050723&amp;utm_content=saletructiep_Philipines.qcpatado.1838.giaotiep_PTATT_LD153&amp;utm_campaign=Philippines.giaotiep.qcpatado_95360_MES_NamN"&amp;"H_050723")</f>
        <v>https://patadovietnam.edu.vn/tienganhgiaotiep_hn/?utm_source=Facebook&amp;utm_medium=MES&amp;utm_term=NEW_Philippines_1838_none_050723&amp;utm_content=saletructiep_Philipines.qcpatado.1838.giaotiep_PTATT_LD153&amp;utm_campaign=Philippines.giaotiep.qcpatado_95360_MES_NamNH_050723</v>
      </c>
      <c r="U92" s="110" t="s">
        <v>1748</v>
      </c>
    </row>
    <row r="93">
      <c r="A93" s="72">
        <v>45115.0</v>
      </c>
      <c r="B93" s="75" t="s">
        <v>1134</v>
      </c>
      <c r="C93" s="67" t="str">
        <f>IFERROR(__xludf.DUMMYFUNCTION("""COMPUTED_VALUE"""),"LD153")</f>
        <v>LD153</v>
      </c>
      <c r="D93" s="55" t="s">
        <v>42</v>
      </c>
      <c r="E93" s="55" t="s">
        <v>79</v>
      </c>
      <c r="F93" s="55" t="s">
        <v>107</v>
      </c>
      <c r="G93" s="55">
        <v>2045.0</v>
      </c>
      <c r="H93" s="55" t="s">
        <v>1137</v>
      </c>
      <c r="I93" s="55" t="s">
        <v>1753</v>
      </c>
      <c r="J93" s="55" t="s">
        <v>1754</v>
      </c>
      <c r="K93" s="55" t="s">
        <v>61</v>
      </c>
      <c r="L93" s="55">
        <v>16917.0</v>
      </c>
      <c r="M93" s="55" t="s">
        <v>78</v>
      </c>
      <c r="N93" s="55" t="s">
        <v>79</v>
      </c>
      <c r="O93" s="55" t="s">
        <v>224</v>
      </c>
      <c r="P93" s="55" t="s">
        <v>110</v>
      </c>
      <c r="Q93" s="67" t="str">
        <f>IFERROR(__xludf.DUMMYFUNCTION("""COMPUTED_VALUE"""),"UnitedStates.giaotiep.anhdt_16917_MES_NamNH_080723")</f>
        <v>UnitedStates.giaotiep.anhdt_16917_MES_NamNH_080723</v>
      </c>
      <c r="R93" s="67" t="str">
        <f>IFERROR(__xludf.DUMMYFUNCTION("""COMPUTED_VALUE"""),"NEW_UnitedStates_2045_none_080723")</f>
        <v>NEW_UnitedStates_2045_none_080723</v>
      </c>
      <c r="S93" s="67" t="str">
        <f>IFERROR(__xludf.DUMMYFUNCTION("""COMPUTED_VALUE"""),"saletructiep_UnitedStates.anhdt.giaotiep.2045_PTATT_LD153")</f>
        <v>saletructiep_UnitedStates.anhdt.giaotiep.2045_PTATT_LD153</v>
      </c>
      <c r="T93" s="107" t="str">
        <f>IFERROR(__xludf.DUMMYFUNCTION("""COMPUTED_VALUE"""),"https://patadovietnam.edu.vn/tienganhgiaotiep_hn/?utm_source=Facebook&amp;utm_medium=MES&amp;utm_term=NEW_UnitedStates_2045_none_080723&amp;utm_content=saletructiep_UnitedStates.anhdt.giaotiep.2045_PTATT_LD153&amp;utm_campaign=UnitedStates.giaotiep.anhdt_16917_MES_NamNH_"&amp;"080723")</f>
        <v>https://patadovietnam.edu.vn/tienganhgiaotiep_hn/?utm_source=Facebook&amp;utm_medium=MES&amp;utm_term=NEW_UnitedStates_2045_none_080723&amp;utm_content=saletructiep_UnitedStates.anhdt.giaotiep.2045_PTATT_LD153&amp;utm_campaign=UnitedStates.giaotiep.anhdt_16917_MES_NamNH_080723</v>
      </c>
      <c r="U93" s="110" t="s">
        <v>1758</v>
      </c>
    </row>
    <row r="94">
      <c r="A94" s="72">
        <v>45115.0</v>
      </c>
      <c r="B94" s="75" t="s">
        <v>1134</v>
      </c>
      <c r="C94" s="67" t="str">
        <f>IFERROR(__xludf.DUMMYFUNCTION("""COMPUTED_VALUE"""),"LD153")</f>
        <v>LD153</v>
      </c>
      <c r="D94" s="55" t="s">
        <v>42</v>
      </c>
      <c r="E94" s="55" t="s">
        <v>79</v>
      </c>
      <c r="F94" s="55" t="s">
        <v>129</v>
      </c>
      <c r="G94" s="55">
        <v>2045.0</v>
      </c>
      <c r="H94" s="55" t="s">
        <v>1137</v>
      </c>
      <c r="I94" s="55" t="s">
        <v>1766</v>
      </c>
      <c r="J94" s="55" t="s">
        <v>1767</v>
      </c>
      <c r="K94" s="55" t="s">
        <v>61</v>
      </c>
      <c r="L94" s="55">
        <v>95360.0</v>
      </c>
      <c r="M94" s="55" t="s">
        <v>78</v>
      </c>
      <c r="N94" s="55" t="s">
        <v>79</v>
      </c>
      <c r="O94" s="55" t="s">
        <v>224</v>
      </c>
      <c r="P94" s="55" t="s">
        <v>110</v>
      </c>
      <c r="Q94" s="67" t="str">
        <f>IFERROR(__xludf.DUMMYFUNCTION("""COMPUTED_VALUE"""),"Australia.giaotiep.anhdt_95360_MES_NamNH_080723")</f>
        <v>Australia.giaotiep.anhdt_95360_MES_NamNH_080723</v>
      </c>
      <c r="R94" s="67" t="str">
        <f>IFERROR(__xludf.DUMMYFUNCTION("""COMPUTED_VALUE"""),"NEW_Australia_2045_none_080723")</f>
        <v>NEW_Australia_2045_none_080723</v>
      </c>
      <c r="S94" s="67" t="str">
        <f>IFERROR(__xludf.DUMMYFUNCTION("""COMPUTED_VALUE"""),"saletructiep_Australia.anhdt.2045.giaotiep_PTATT_LD153")</f>
        <v>saletructiep_Australia.anhdt.2045.giaotiep_PTATT_LD153</v>
      </c>
      <c r="T94" s="107" t="str">
        <f>IFERROR(__xludf.DUMMYFUNCTION("""COMPUTED_VALUE"""),"https://patadovietnam.edu.vn/tienganhgiaotiep_hn/?utm_source=Facebook&amp;utm_medium=MES&amp;utm_term=NEW_Australia_2045_none_080723&amp;utm_content=saletructiep_Australia.anhdt.2045.giaotiep_PTATT_LD153&amp;utm_campaign=Australia.giaotiep.anhdt_95360_MES_NamNH_080723")</f>
        <v>https://patadovietnam.edu.vn/tienganhgiaotiep_hn/?utm_source=Facebook&amp;utm_medium=MES&amp;utm_term=NEW_Australia_2045_none_080723&amp;utm_content=saletructiep_Australia.anhdt.2045.giaotiep_PTATT_LD153&amp;utm_campaign=Australia.giaotiep.anhdt_95360_MES_NamNH_080723</v>
      </c>
      <c r="U94" s="110" t="s">
        <v>1774</v>
      </c>
    </row>
    <row r="95">
      <c r="A95" s="72">
        <v>45115.0</v>
      </c>
      <c r="B95" s="75" t="s">
        <v>1134</v>
      </c>
      <c r="C95" s="67" t="str">
        <f>IFERROR(__xludf.DUMMYFUNCTION("""COMPUTED_VALUE"""),"LD153")</f>
        <v>LD153</v>
      </c>
      <c r="D95" s="55" t="s">
        <v>42</v>
      </c>
      <c r="E95" s="55" t="s">
        <v>79</v>
      </c>
      <c r="F95" s="55" t="s">
        <v>164</v>
      </c>
      <c r="G95" s="55">
        <v>1838.0</v>
      </c>
      <c r="H95" s="55" t="s">
        <v>1137</v>
      </c>
      <c r="I95" s="55" t="s">
        <v>1777</v>
      </c>
      <c r="J95" s="55" t="s">
        <v>1778</v>
      </c>
      <c r="K95" s="55" t="s">
        <v>61</v>
      </c>
      <c r="L95" s="55">
        <v>95360.0</v>
      </c>
      <c r="M95" s="55" t="s">
        <v>78</v>
      </c>
      <c r="N95" s="55" t="s">
        <v>79</v>
      </c>
      <c r="O95" s="55" t="s">
        <v>224</v>
      </c>
      <c r="P95" s="55" t="s">
        <v>110</v>
      </c>
      <c r="Q95" s="67" t="str">
        <f>IFERROR(__xludf.DUMMYFUNCTION("""COMPUTED_VALUE"""),"Taiwan.giaotiep.anhphoto_95360_MES_NamNH_080723")</f>
        <v>Taiwan.giaotiep.anhphoto_95360_MES_NamNH_080723</v>
      </c>
      <c r="R95" s="67" t="str">
        <f>IFERROR(__xludf.DUMMYFUNCTION("""COMPUTED_VALUE"""),"NEW_Taiwan_1838_none_080723")</f>
        <v>NEW_Taiwan_1838_none_080723</v>
      </c>
      <c r="S95" s="67" t="str">
        <f>IFERROR(__xludf.DUMMYFUNCTION("""COMPUTED_VALUE"""),"saletructiep_Taiwan.anhphoto.1838.giaotiep_PTATT_LD153")</f>
        <v>saletructiep_Taiwan.anhphoto.1838.giaotiep_PTATT_LD153</v>
      </c>
      <c r="T95" s="107" t="str">
        <f>IFERROR(__xludf.DUMMYFUNCTION("""COMPUTED_VALUE"""),"https://patadovietnam.edu.vn/tienganhgiaotiep_hn/?utm_source=Facebook&amp;utm_medium=MES&amp;utm_term=NEW_Taiwan_1838_none_080723&amp;utm_content=saletructiep_Taiwan.anhphoto.1838.giaotiep_PTATT_LD153&amp;utm_campaign=Taiwan.giaotiep.anhphoto_95360_MES_NamNH_080723")</f>
        <v>https://patadovietnam.edu.vn/tienganhgiaotiep_hn/?utm_source=Facebook&amp;utm_medium=MES&amp;utm_term=NEW_Taiwan_1838_none_080723&amp;utm_content=saletructiep_Taiwan.anhphoto.1838.giaotiep_PTATT_LD153&amp;utm_campaign=Taiwan.giaotiep.anhphoto_95360_MES_NamNH_080723</v>
      </c>
      <c r="U95" s="110" t="s">
        <v>1782</v>
      </c>
    </row>
    <row r="96">
      <c r="A96" s="72">
        <v>45117.0</v>
      </c>
      <c r="B96" s="75" t="s">
        <v>1245</v>
      </c>
      <c r="C96" s="67" t="str">
        <f>IFERROR(__xludf.DUMMYFUNCTION("""COMPUTED_VALUE"""),"LD161")</f>
        <v>LD161</v>
      </c>
      <c r="D96" s="55" t="s">
        <v>42</v>
      </c>
      <c r="E96" s="55" t="s">
        <v>79</v>
      </c>
      <c r="F96" s="55" t="s">
        <v>107</v>
      </c>
      <c r="G96" s="55">
        <v>2045.0</v>
      </c>
      <c r="H96" s="55" t="s">
        <v>1137</v>
      </c>
      <c r="I96" s="55" t="s">
        <v>1785</v>
      </c>
      <c r="J96" s="55" t="s">
        <v>1786</v>
      </c>
      <c r="K96" s="55" t="s">
        <v>61</v>
      </c>
      <c r="L96" s="55">
        <v>95360.0</v>
      </c>
      <c r="M96" s="55" t="s">
        <v>78</v>
      </c>
      <c r="N96" s="55" t="s">
        <v>79</v>
      </c>
      <c r="O96" s="55" t="s">
        <v>224</v>
      </c>
      <c r="P96" s="55" t="s">
        <v>110</v>
      </c>
      <c r="Q96" s="67" t="str">
        <f>IFERROR(__xludf.DUMMYFUNCTION("""COMPUTED_VALUE"""),"UnitedStates.giaotiep.Patadottam_95360_MES_NamNH_100723")</f>
        <v>UnitedStates.giaotiep.Patadottam_95360_MES_NamNH_100723</v>
      </c>
      <c r="R96" s="67" t="str">
        <f>IFERROR(__xludf.DUMMYFUNCTION("""COMPUTED_VALUE"""),"NEW_UnitedStates_2045_none_100723")</f>
        <v>NEW_UnitedStates_2045_none_100723</v>
      </c>
      <c r="S96" s="67" t="str">
        <f>IFERROR(__xludf.DUMMYFUNCTION("""COMPUTED_VALUE"""),"saletructiep_UnitedStates.Patadottam.giaotiep.2045_PTATT_LD161")</f>
        <v>saletructiep_UnitedStates.Patadottam.giaotiep.2045_PTATT_LD161</v>
      </c>
      <c r="T96" s="107" t="str">
        <f>IFERROR(__xludf.DUMMYFUNCTION("""COMPUTED_VALUE"""),"https://patadovietnam.edu.vn/gtusa1_nhn/?utm_source=Facebook&amp;utm_medium=MES&amp;utm_term=NEW_UnitedStates_2045_none_100723&amp;utm_content=saletructiep_UnitedStates.Patadottam.giaotiep.2045_PTATT_LD161&amp;utm_campaign=UnitedStates.giaotiep.Patadottam_95360_MES_NamNH"&amp;"_100723")</f>
        <v>https://patadovietnam.edu.vn/gtusa1_nhn/?utm_source=Facebook&amp;utm_medium=MES&amp;utm_term=NEW_UnitedStates_2045_none_100723&amp;utm_content=saletructiep_UnitedStates.Patadottam.giaotiep.2045_PTATT_LD161&amp;utm_campaign=UnitedStates.giaotiep.Patadottam_95360_MES_NamNH_100723</v>
      </c>
      <c r="U96" s="110" t="s">
        <v>1793</v>
      </c>
    </row>
    <row r="97">
      <c r="A97" s="72">
        <v>45118.0</v>
      </c>
      <c r="B97" s="75" t="s">
        <v>1229</v>
      </c>
      <c r="C97" s="67" t="str">
        <f>IFERROR(__xludf.DUMMYFUNCTION("""COMPUTED_VALUE"""),"LD164")</f>
        <v>LD164</v>
      </c>
      <c r="D97" s="55" t="s">
        <v>42</v>
      </c>
      <c r="E97" s="55" t="s">
        <v>69</v>
      </c>
      <c r="F97" s="55" t="s">
        <v>133</v>
      </c>
      <c r="G97" s="55">
        <v>1838.0</v>
      </c>
      <c r="H97" s="55" t="s">
        <v>1137</v>
      </c>
      <c r="I97" s="55" t="s">
        <v>1797</v>
      </c>
      <c r="J97" s="55" t="s">
        <v>1798</v>
      </c>
      <c r="K97" s="55" t="s">
        <v>61</v>
      </c>
      <c r="L97" s="55">
        <v>16917.0</v>
      </c>
      <c r="M97" s="55" t="s">
        <v>78</v>
      </c>
      <c r="N97" s="55" t="s">
        <v>69</v>
      </c>
      <c r="O97" s="55" t="s">
        <v>224</v>
      </c>
      <c r="P97" s="55" t="s">
        <v>110</v>
      </c>
      <c r="Q97" s="67" t="str">
        <f>IFERROR(__xludf.DUMMYFUNCTION("""COMPUTED_VALUE"""),"Japan.giaotiep.anhhot_16917_CVS_NamNH_110723")</f>
        <v>Japan.giaotiep.anhhot_16917_CVS_NamNH_110723</v>
      </c>
      <c r="R97" s="67" t="str">
        <f>IFERROR(__xludf.DUMMYFUNCTION("""COMPUTED_VALUE"""),"NEW_Japan_1838_none_110723")</f>
        <v>NEW_Japan_1838_none_110723</v>
      </c>
      <c r="S97" s="67" t="str">
        <f>IFERROR(__xludf.DUMMYFUNCTION("""COMPUTED_VALUE"""),"saletructiep_Japan.anhhot.1838.giaotiep_PTATT_LD164")</f>
        <v>saletructiep_Japan.anhhot.1838.giaotiep_PTATT_LD164</v>
      </c>
      <c r="T97" s="107" t="str">
        <f>IFERROR(__xludf.DUMMYFUNCTION("""COMPUTED_VALUE"""),"https://patadovietnam.edu.vn/gtjapan_nhn3/?utm_source=Facebook&amp;utm_medium=CVS&amp;utm_term=NEW_Japan_1838_none_110723&amp;utm_content=saletructiep_Japan.anhhot.1838.giaotiep_PTATT_LD164&amp;utm_campaign=Japan.giaotiep.anhhot_16917_CVS_NamNH_110723")</f>
        <v>https://patadovietnam.edu.vn/gtjapan_nhn3/?utm_source=Facebook&amp;utm_medium=CVS&amp;utm_term=NEW_Japan_1838_none_110723&amp;utm_content=saletructiep_Japan.anhhot.1838.giaotiep_PTATT_LD164&amp;utm_campaign=Japan.giaotiep.anhhot_16917_CVS_NamNH_110723</v>
      </c>
      <c r="U97" s="110" t="s">
        <v>1804</v>
      </c>
    </row>
    <row r="98">
      <c r="A98" s="72">
        <v>45119.0</v>
      </c>
      <c r="B98" s="75" t="s">
        <v>1134</v>
      </c>
      <c r="C98" s="67" t="str">
        <f>IFERROR(__xludf.DUMMYFUNCTION("""COMPUTED_VALUE"""),"LD153")</f>
        <v>LD153</v>
      </c>
      <c r="D98" s="55" t="s">
        <v>42</v>
      </c>
      <c r="E98" s="55" t="s">
        <v>79</v>
      </c>
      <c r="F98" s="55" t="s">
        <v>174</v>
      </c>
      <c r="G98" s="55">
        <v>1838.0</v>
      </c>
      <c r="H98" s="55" t="s">
        <v>1137</v>
      </c>
      <c r="I98" s="55" t="s">
        <v>1807</v>
      </c>
      <c r="J98" s="55" t="s">
        <v>1808</v>
      </c>
      <c r="K98" s="55" t="s">
        <v>61</v>
      </c>
      <c r="L98" s="55">
        <v>95360.0</v>
      </c>
      <c r="M98" s="55" t="s">
        <v>78</v>
      </c>
      <c r="N98" s="55" t="s">
        <v>79</v>
      </c>
      <c r="O98" s="55" t="s">
        <v>224</v>
      </c>
      <c r="P98" s="55" t="s">
        <v>110</v>
      </c>
      <c r="Q98" s="67" t="str">
        <f>IFERROR(__xludf.DUMMYFUNCTION("""COMPUTED_VALUE"""),"Philippines.giaotiep.anhhot_95360_MES_NamNH_120723")</f>
        <v>Philippines.giaotiep.anhhot_95360_MES_NamNH_120723</v>
      </c>
      <c r="R98" s="67" t="str">
        <f>IFERROR(__xludf.DUMMYFUNCTION("""COMPUTED_VALUE"""),"NEW_Philippines_1838_none_120723")</f>
        <v>NEW_Philippines_1838_none_120723</v>
      </c>
      <c r="S98" s="67" t="str">
        <f>IFERROR(__xludf.DUMMYFUNCTION("""COMPUTED_VALUE"""),"saletructiep_Philipines.anhhot.1838.giaotiep_PTATT_LD153")</f>
        <v>saletructiep_Philipines.anhhot.1838.giaotiep_PTATT_LD153</v>
      </c>
      <c r="T98" s="107" t="str">
        <f>IFERROR(__xludf.DUMMYFUNCTION("""COMPUTED_VALUE"""),"https://patadovietnam.edu.vn/tienganhgiaotiep_hn/?utm_source=Facebook&amp;utm_medium=MES&amp;utm_term=NEW_Philippines_1838_none_120723&amp;utm_content=saletructiep_Philipines.anhhot.1838.giaotiep_PTATT_LD153&amp;utm_campaign=Philippines.giaotiep.anhhot_95360_MES_NamNH_12"&amp;"0723")</f>
        <v>https://patadovietnam.edu.vn/tienganhgiaotiep_hn/?utm_source=Facebook&amp;utm_medium=MES&amp;utm_term=NEW_Philippines_1838_none_120723&amp;utm_content=saletructiep_Philipines.anhhot.1838.giaotiep_PTATT_LD153&amp;utm_campaign=Philippines.giaotiep.anhhot_95360_MES_NamNH_120723</v>
      </c>
      <c r="U98" s="110" t="s">
        <v>1813</v>
      </c>
    </row>
    <row r="99">
      <c r="A99" s="72">
        <v>45119.0</v>
      </c>
      <c r="B99" s="75" t="s">
        <v>1594</v>
      </c>
      <c r="C99" s="67" t="str">
        <f>IFERROR(__xludf.DUMMYFUNCTION("""COMPUTED_VALUE"""),"LD169")</f>
        <v>LD169</v>
      </c>
      <c r="D99" s="55" t="s">
        <v>42</v>
      </c>
      <c r="E99" s="55" t="s">
        <v>79</v>
      </c>
      <c r="F99" s="55" t="s">
        <v>625</v>
      </c>
      <c r="G99" s="55">
        <v>1838.0</v>
      </c>
      <c r="H99" s="55" t="s">
        <v>1137</v>
      </c>
      <c r="I99" s="55" t="s">
        <v>1816</v>
      </c>
      <c r="J99" s="55" t="s">
        <v>1817</v>
      </c>
      <c r="K99" s="55" t="s">
        <v>61</v>
      </c>
      <c r="L99" s="55">
        <v>95360.0</v>
      </c>
      <c r="M99" s="55" t="s">
        <v>78</v>
      </c>
      <c r="N99" s="55" t="s">
        <v>79</v>
      </c>
      <c r="O99" s="55" t="s">
        <v>224</v>
      </c>
      <c r="P99" s="55" t="s">
        <v>110</v>
      </c>
      <c r="Q99" s="67" t="str">
        <f>IFERROR(__xludf.DUMMYFUNCTION("""COMPUTED_VALUE"""),"Korea.giaotiep.anhhot_95360_MES_NamNH_120723")</f>
        <v>Korea.giaotiep.anhhot_95360_MES_NamNH_120723</v>
      </c>
      <c r="R99" s="67" t="str">
        <f>IFERROR(__xludf.DUMMYFUNCTION("""COMPUTED_VALUE"""),"NEW_KoreaSouth_1838_none_120723")</f>
        <v>NEW_KoreaSouth_1838_none_120723</v>
      </c>
      <c r="S99" s="67" t="str">
        <f>IFERROR(__xludf.DUMMYFUNCTION("""COMPUTED_VALUE"""),"saletructiep_Korea.anhhot.1838.giaotiep_PTATT_LD169")</f>
        <v>saletructiep_Korea.anhhot.1838.giaotiep_PTATT_LD169</v>
      </c>
      <c r="T99" s="107" t="str">
        <f>IFERROR(__xludf.DUMMYFUNCTION("""COMPUTED_VALUE"""),"https://patadovietnam.edu.vn/gtall_namnh/?utm_source=Facebook&amp;utm_medium=MES&amp;utm_term=NEW_KoreaSouth_1838_none_120723&amp;utm_content=saletructiep_Korea.anhhot.1838.giaotiep_PTATT_LD169&amp;utm_campaign=Korea.giaotiep.anhhot_95360_MES_NamNH_120723")</f>
        <v>https://patadovietnam.edu.vn/gtall_namnh/?utm_source=Facebook&amp;utm_medium=MES&amp;utm_term=NEW_KoreaSouth_1838_none_120723&amp;utm_content=saletructiep_Korea.anhhot.1838.giaotiep_PTATT_LD169&amp;utm_campaign=Korea.giaotiep.anhhot_95360_MES_NamNH_120723</v>
      </c>
      <c r="U99" s="110" t="s">
        <v>1823</v>
      </c>
    </row>
    <row r="100">
      <c r="A100" s="72">
        <v>45121.0</v>
      </c>
      <c r="B100" s="75" t="s">
        <v>1245</v>
      </c>
      <c r="C100" s="67" t="str">
        <f>IFERROR(__xludf.DUMMYFUNCTION("""COMPUTED_VALUE"""),"LD161")</f>
        <v>LD161</v>
      </c>
      <c r="D100" s="55" t="s">
        <v>42</v>
      </c>
      <c r="E100" s="55" t="s">
        <v>79</v>
      </c>
      <c r="F100" s="55" t="s">
        <v>107</v>
      </c>
      <c r="G100" s="55">
        <v>2045.0</v>
      </c>
      <c r="H100" s="55" t="s">
        <v>1137</v>
      </c>
      <c r="I100" s="55" t="s">
        <v>1828</v>
      </c>
      <c r="J100" s="55" t="s">
        <v>1829</v>
      </c>
      <c r="K100" s="55" t="s">
        <v>61</v>
      </c>
      <c r="L100" s="55">
        <v>16917.0</v>
      </c>
      <c r="M100" s="55" t="s">
        <v>78</v>
      </c>
      <c r="N100" s="55" t="s">
        <v>79</v>
      </c>
      <c r="O100" s="55" t="s">
        <v>224</v>
      </c>
      <c r="P100" s="55" t="s">
        <v>110</v>
      </c>
      <c r="Q100" s="67" t="str">
        <f>IFERROR(__xludf.DUMMYFUNCTION("""COMPUTED_VALUE"""),"UnitedStates.giaotiep.QT_16917_MES_NamNH_140723")</f>
        <v>UnitedStates.giaotiep.QT_16917_MES_NamNH_140723</v>
      </c>
      <c r="R100" s="67" t="str">
        <f>IFERROR(__xludf.DUMMYFUNCTION("""COMPUTED_VALUE"""),"NEW_UnitedStates_2045_none_140723")</f>
        <v>NEW_UnitedStates_2045_none_140723</v>
      </c>
      <c r="S100" s="67" t="str">
        <f>IFERROR(__xludf.DUMMYFUNCTION("""COMPUTED_VALUE"""),"saletructiep_UnitedStates.QT.giaotiep.2045_PTATT_LD161")</f>
        <v>saletructiep_UnitedStates.QT.giaotiep.2045_PTATT_LD161</v>
      </c>
      <c r="T100" s="107" t="str">
        <f>IFERROR(__xludf.DUMMYFUNCTION("""COMPUTED_VALUE"""),"https://patadovietnam.edu.vn/gtusa1_nhn/?utm_source=Facebook&amp;utm_medium=MES&amp;utm_term=NEW_UnitedStates_2045_none_140723&amp;utm_content=saletructiep_UnitedStates.QT.giaotiep.2045_PTATT_LD161&amp;utm_campaign=UnitedStates.giaotiep.QT_16917_MES_NamNH_140723")</f>
        <v>https://patadovietnam.edu.vn/gtusa1_nhn/?utm_source=Facebook&amp;utm_medium=MES&amp;utm_term=NEW_UnitedStates_2045_none_140723&amp;utm_content=saletructiep_UnitedStates.QT.giaotiep.2045_PTATT_LD161&amp;utm_campaign=UnitedStates.giaotiep.QT_16917_MES_NamNH_140723</v>
      </c>
      <c r="U100" s="110" t="s">
        <v>1832</v>
      </c>
    </row>
    <row r="101">
      <c r="A101" s="72">
        <v>45129.0</v>
      </c>
      <c r="B101" s="75" t="s">
        <v>1607</v>
      </c>
      <c r="C101" s="67" t="str">
        <f>IFERROR(__xludf.DUMMYFUNCTION("""COMPUTED_VALUE"""),"LD170")</f>
        <v>LD170</v>
      </c>
      <c r="D101" s="55" t="s">
        <v>42</v>
      </c>
      <c r="E101" s="55" t="s">
        <v>79</v>
      </c>
      <c r="F101" s="55" t="s">
        <v>539</v>
      </c>
      <c r="G101" s="55">
        <v>2045.0</v>
      </c>
      <c r="H101" s="55" t="s">
        <v>1137</v>
      </c>
      <c r="I101" s="55" t="s">
        <v>1838</v>
      </c>
      <c r="J101" s="55" t="s">
        <v>1839</v>
      </c>
      <c r="K101" s="55" t="s">
        <v>61</v>
      </c>
      <c r="L101" s="55">
        <v>95360.0</v>
      </c>
      <c r="M101" s="55" t="s">
        <v>78</v>
      </c>
      <c r="N101" s="55" t="s">
        <v>79</v>
      </c>
      <c r="O101" s="55" t="s">
        <v>224</v>
      </c>
      <c r="P101" s="55" t="s">
        <v>110</v>
      </c>
      <c r="Q101" s="67" t="str">
        <f>IFERROR(__xludf.DUMMYFUNCTION("""COMPUTED_VALUE"""),"ALL.giaotiep.anhlt3_95360_MES_NamNH_220723")</f>
        <v>ALL.giaotiep.anhlt3_95360_MES_NamNH_220723</v>
      </c>
      <c r="R101" s="67" t="str">
        <f>IFERROR(__xludf.DUMMYFUNCTION("""COMPUTED_VALUE"""),"NEW_ALL_2045_none_220723")</f>
        <v>NEW_ALL_2045_none_220723</v>
      </c>
      <c r="S101" s="67" t="str">
        <f>IFERROR(__xludf.DUMMYFUNCTION("""COMPUTED_VALUE"""),"saletructiep_ALL.anhlt3.giaotiep.2045_PTATT_LD170")</f>
        <v>saletructiep_ALL.anhlt3.giaotiep.2045_PTATT_LD170</v>
      </c>
      <c r="T101" s="107" t="str">
        <f>IFERROR(__xludf.DUMMYFUNCTION("""COMPUTED_VALUE"""),"https://patadovietnam.edu.vn/allcvs_hn/?utm_source=Facebook&amp;utm_medium=MES&amp;utm_term=NEW_ALL_2045_none_220723&amp;utm_content=saletructiep_ALL.anhlt3.giaotiep.2045_PTATT_LD170&amp;utm_campaign=ALL.giaotiep.anhlt3_95360_MES_NamNH_220723")</f>
        <v>https://patadovietnam.edu.vn/allcvs_hn/?utm_source=Facebook&amp;utm_medium=MES&amp;utm_term=NEW_ALL_2045_none_220723&amp;utm_content=saletructiep_ALL.anhlt3.giaotiep.2045_PTATT_LD170&amp;utm_campaign=ALL.giaotiep.anhlt3_95360_MES_NamNH_220723</v>
      </c>
      <c r="U101" s="110" t="s">
        <v>1842</v>
      </c>
    </row>
    <row r="102">
      <c r="A102" s="72">
        <v>45129.0</v>
      </c>
      <c r="B102" s="75" t="s">
        <v>1245</v>
      </c>
      <c r="C102" s="67" t="str">
        <f>IFERROR(__xludf.DUMMYFUNCTION("""COMPUTED_VALUE"""),"LD161")</f>
        <v>LD161</v>
      </c>
      <c r="D102" s="55" t="s">
        <v>42</v>
      </c>
      <c r="E102" s="55" t="s">
        <v>79</v>
      </c>
      <c r="F102" s="55" t="s">
        <v>107</v>
      </c>
      <c r="G102" s="55">
        <v>2045.0</v>
      </c>
      <c r="H102" s="55" t="s">
        <v>1137</v>
      </c>
      <c r="I102" s="55" t="s">
        <v>1845</v>
      </c>
      <c r="J102" s="55" t="s">
        <v>1846</v>
      </c>
      <c r="K102" s="55" t="s">
        <v>61</v>
      </c>
      <c r="L102" s="55">
        <v>16917.0</v>
      </c>
      <c r="M102" s="55" t="s">
        <v>78</v>
      </c>
      <c r="N102" s="55" t="s">
        <v>79</v>
      </c>
      <c r="O102" s="55" t="s">
        <v>224</v>
      </c>
      <c r="P102" s="55" t="s">
        <v>110</v>
      </c>
      <c r="Q102" s="67" t="str">
        <f>IFERROR(__xludf.DUMMYFUNCTION("""COMPUTED_VALUE"""),"UnitedStates.giaotiep.content_16917_MES_NamNH_220723")</f>
        <v>UnitedStates.giaotiep.content_16917_MES_NamNH_220723</v>
      </c>
      <c r="R102" s="67" t="str">
        <f>IFERROR(__xludf.DUMMYFUNCTION("""COMPUTED_VALUE"""),"NEW_UnitedStates_2045_none_220723")</f>
        <v>NEW_UnitedStates_2045_none_220723</v>
      </c>
      <c r="S102" s="67" t="str">
        <f>IFERROR(__xludf.DUMMYFUNCTION("""COMPUTED_VALUE"""),"saletructiep_UnitedStates.content.giaotiep.2045_PTATT_LD161")</f>
        <v>saletructiep_UnitedStates.content.giaotiep.2045_PTATT_LD161</v>
      </c>
      <c r="T102" s="107" t="str">
        <f>IFERROR(__xludf.DUMMYFUNCTION("""COMPUTED_VALUE"""),"https://patadovietnam.edu.vn/gtusa1_nhn/?utm_source=Facebook&amp;utm_medium=MES&amp;utm_term=NEW_UnitedStates_2045_none_220723&amp;utm_content=saletructiep_UnitedStates.content.giaotiep.2045_PTATT_LD161&amp;utm_campaign=UnitedStates.giaotiep.content_16917_MES_NamNH_22072"&amp;"3")</f>
        <v>https://patadovietnam.edu.vn/gtusa1_nhn/?utm_source=Facebook&amp;utm_medium=MES&amp;utm_term=NEW_UnitedStates_2045_none_220723&amp;utm_content=saletructiep_UnitedStates.content.giaotiep.2045_PTATT_LD161&amp;utm_campaign=UnitedStates.giaotiep.content_16917_MES_NamNH_220723</v>
      </c>
      <c r="U102" s="110" t="s">
        <v>1852</v>
      </c>
    </row>
    <row r="103">
      <c r="A103" s="72">
        <v>45132.0</v>
      </c>
      <c r="B103" s="75" t="s">
        <v>1134</v>
      </c>
      <c r="C103" s="67" t="str">
        <f>IFERROR(__xludf.DUMMYFUNCTION("""COMPUTED_VALUE"""),"LD153")</f>
        <v>LD153</v>
      </c>
      <c r="D103" s="55" t="s">
        <v>42</v>
      </c>
      <c r="E103" s="55" t="s">
        <v>79</v>
      </c>
      <c r="F103" s="55" t="s">
        <v>539</v>
      </c>
      <c r="G103" s="55">
        <v>2045.0</v>
      </c>
      <c r="H103" s="55" t="s">
        <v>1137</v>
      </c>
      <c r="I103" s="55" t="s">
        <v>1856</v>
      </c>
      <c r="J103" s="55" t="s">
        <v>1857</v>
      </c>
      <c r="K103" s="55" t="s">
        <v>61</v>
      </c>
      <c r="L103" s="55">
        <v>95360.0</v>
      </c>
      <c r="M103" s="55" t="s">
        <v>78</v>
      </c>
      <c r="N103" s="55" t="s">
        <v>79</v>
      </c>
      <c r="O103" s="55" t="s">
        <v>224</v>
      </c>
      <c r="P103" s="55" t="s">
        <v>110</v>
      </c>
      <c r="Q103" s="67" t="str">
        <f>IFERROR(__xludf.DUMMYFUNCTION("""COMPUTED_VALUE"""),"ALL.giaotiep.flashsale1_95360_MES_NamNH_250723")</f>
        <v>ALL.giaotiep.flashsale1_95360_MES_NamNH_250723</v>
      </c>
      <c r="R103" s="67" t="str">
        <f>IFERROR(__xludf.DUMMYFUNCTION("""COMPUTED_VALUE"""),"NEW_ALL_2045_none_250723")</f>
        <v>NEW_ALL_2045_none_250723</v>
      </c>
      <c r="S103" s="67" t="str">
        <f>IFERROR(__xludf.DUMMYFUNCTION("""COMPUTED_VALUE"""),"saletructiep_ALL.flashsale1.giaotiep.2045_PTATT_LD153")</f>
        <v>saletructiep_ALL.flashsale1.giaotiep.2045_PTATT_LD153</v>
      </c>
      <c r="T103" s="107" t="str">
        <f>IFERROR(__xludf.DUMMYFUNCTION("""COMPUTED_VALUE"""),"https://patadovietnam.edu.vn/tienganhgiaotiep_hn/?utm_source=Facebook&amp;utm_medium=MES&amp;utm_term=NEW_ALL_2045_none_250723&amp;utm_content=saletructiep_ALL.flashsale1.giaotiep.2045_PTATT_LD153&amp;utm_campaign=ALL.giaotiep.flashsale1_95360_MES_NamNH_250723")</f>
        <v>https://patadovietnam.edu.vn/tienganhgiaotiep_hn/?utm_source=Facebook&amp;utm_medium=MES&amp;utm_term=NEW_ALL_2045_none_250723&amp;utm_content=saletructiep_ALL.flashsale1.giaotiep.2045_PTATT_LD153&amp;utm_campaign=ALL.giaotiep.flashsale1_95360_MES_NamNH_250723</v>
      </c>
      <c r="U103" s="110" t="s">
        <v>1862</v>
      </c>
    </row>
    <row r="104">
      <c r="A104" s="72">
        <v>45140.0</v>
      </c>
      <c r="B104" s="75" t="s">
        <v>1134</v>
      </c>
      <c r="C104" s="67" t="str">
        <f>IFERROR(__xludf.DUMMYFUNCTION("""COMPUTED_VALUE"""),"LD153")</f>
        <v>LD153</v>
      </c>
      <c r="D104" s="55" t="s">
        <v>42</v>
      </c>
      <c r="E104" s="55" t="s">
        <v>79</v>
      </c>
      <c r="F104" s="55" t="s">
        <v>164</v>
      </c>
      <c r="G104" s="55">
        <v>1838.0</v>
      </c>
      <c r="H104" s="55" t="s">
        <v>1137</v>
      </c>
      <c r="I104" s="55" t="s">
        <v>1865</v>
      </c>
      <c r="J104" s="55" t="s">
        <v>1866</v>
      </c>
      <c r="K104" s="55" t="s">
        <v>61</v>
      </c>
      <c r="L104" s="55">
        <v>95360.0</v>
      </c>
      <c r="M104" s="55" t="s">
        <v>78</v>
      </c>
      <c r="N104" s="55" t="s">
        <v>79</v>
      </c>
      <c r="O104" s="55" t="s">
        <v>224</v>
      </c>
      <c r="P104" s="55" t="s">
        <v>110</v>
      </c>
      <c r="Q104" s="67" t="str">
        <f>IFERROR(__xludf.DUMMYFUNCTION("""COMPUTED_VALUE"""),"Taiwan.giaotiep.videoCNHV_95360_MES_NamNH_020823")</f>
        <v>Taiwan.giaotiep.videoCNHV_95360_MES_NamNH_020823</v>
      </c>
      <c r="R104" s="67" t="str">
        <f>IFERROR(__xludf.DUMMYFUNCTION("""COMPUTED_VALUE"""),"NEW_Taiwan_1838_none_020823")</f>
        <v>NEW_Taiwan_1838_none_020823</v>
      </c>
      <c r="S104" s="67" t="str">
        <f>IFERROR(__xludf.DUMMYFUNCTION("""COMPUTED_VALUE"""),"saletructiep_Taiwan.videoCNHV.1838.giaotiep_PTATT_LD153")</f>
        <v>saletructiep_Taiwan.videoCNHV.1838.giaotiep_PTATT_LD153</v>
      </c>
      <c r="T104" s="107" t="str">
        <f>IFERROR(__xludf.DUMMYFUNCTION("""COMPUTED_VALUE"""),"https://patadovietnam.edu.vn/tienganhgiaotiep_hn/?utm_source=Facebook&amp;utm_medium=MES&amp;utm_term=NEW_Taiwan_1838_none_020823&amp;utm_content=saletructiep_Taiwan.videoCNHV.1838.giaotiep_PTATT_LD153&amp;utm_campaign=Taiwan.giaotiep.videoCNHV_95360_MES_NamNH_020823")</f>
        <v>https://patadovietnam.edu.vn/tienganhgiaotiep_hn/?utm_source=Facebook&amp;utm_medium=MES&amp;utm_term=NEW_Taiwan_1838_none_020823&amp;utm_content=saletructiep_Taiwan.videoCNHV.1838.giaotiep_PTATT_LD153&amp;utm_campaign=Taiwan.giaotiep.videoCNHV_95360_MES_NamNH_020823</v>
      </c>
      <c r="U104" s="110" t="s">
        <v>1872</v>
      </c>
    </row>
    <row r="105">
      <c r="A105" s="72">
        <v>45140.0</v>
      </c>
      <c r="B105" s="75" t="s">
        <v>1134</v>
      </c>
      <c r="C105" s="67" t="str">
        <f>IFERROR(__xludf.DUMMYFUNCTION("""COMPUTED_VALUE"""),"LD153")</f>
        <v>LD153</v>
      </c>
      <c r="D105" s="55" t="s">
        <v>42</v>
      </c>
      <c r="E105" s="55" t="s">
        <v>79</v>
      </c>
      <c r="F105" s="55" t="s">
        <v>174</v>
      </c>
      <c r="G105" s="55">
        <v>1838.0</v>
      </c>
      <c r="H105" s="55" t="s">
        <v>1137</v>
      </c>
      <c r="I105" s="55" t="s">
        <v>1874</v>
      </c>
      <c r="J105" s="55" t="s">
        <v>1875</v>
      </c>
      <c r="K105" s="55" t="s">
        <v>61</v>
      </c>
      <c r="L105" s="55">
        <v>95360.0</v>
      </c>
      <c r="M105" s="55" t="s">
        <v>78</v>
      </c>
      <c r="N105" s="55" t="s">
        <v>79</v>
      </c>
      <c r="O105" s="55" t="s">
        <v>224</v>
      </c>
      <c r="P105" s="55" t="s">
        <v>110</v>
      </c>
      <c r="Q105" s="67" t="str">
        <f>IFERROR(__xludf.DUMMYFUNCTION("""COMPUTED_VALUE"""),"Philippines.giaotiep.videoCNHV_95360_MES_NamNH_020823")</f>
        <v>Philippines.giaotiep.videoCNHV_95360_MES_NamNH_020823</v>
      </c>
      <c r="R105" s="67" t="str">
        <f>IFERROR(__xludf.DUMMYFUNCTION("""COMPUTED_VALUE"""),"NEW_Philippines_1838_none_020823")</f>
        <v>NEW_Philippines_1838_none_020823</v>
      </c>
      <c r="S105" s="67" t="str">
        <f>IFERROR(__xludf.DUMMYFUNCTION("""COMPUTED_VALUE"""),"saletructiep_Philipines.videoCNHV.1838.giaotiep_PTATT_LD153")</f>
        <v>saletructiep_Philipines.videoCNHV.1838.giaotiep_PTATT_LD153</v>
      </c>
      <c r="T105" s="107" t="str">
        <f>IFERROR(__xludf.DUMMYFUNCTION("""COMPUTED_VALUE"""),"https://patadovietnam.edu.vn/tienganhgiaotiep_hn/?utm_source=Facebook&amp;utm_medium=MES&amp;utm_term=NEW_Philippines_1838_none_020823&amp;utm_content=saletructiep_Philipines.videoCNHV.1838.giaotiep_PTATT_LD153&amp;utm_campaign=Philippines.giaotiep.videoCNHV_95360_MES_Na"&amp;"mNH_020823")</f>
        <v>https://patadovietnam.edu.vn/tienganhgiaotiep_hn/?utm_source=Facebook&amp;utm_medium=MES&amp;utm_term=NEW_Philippines_1838_none_020823&amp;utm_content=saletructiep_Philipines.videoCNHV.1838.giaotiep_PTATT_LD153&amp;utm_campaign=Philippines.giaotiep.videoCNHV_95360_MES_NamNH_020823</v>
      </c>
      <c r="U105" s="110" t="s">
        <v>1882</v>
      </c>
    </row>
    <row r="106">
      <c r="A106" s="72">
        <v>45140.0</v>
      </c>
      <c r="B106" s="75" t="s">
        <v>1594</v>
      </c>
      <c r="C106" s="67" t="str">
        <f>IFERROR(__xludf.DUMMYFUNCTION("""COMPUTED_VALUE"""),"LD169")</f>
        <v>LD169</v>
      </c>
      <c r="D106" s="55" t="s">
        <v>42</v>
      </c>
      <c r="E106" s="55" t="s">
        <v>79</v>
      </c>
      <c r="F106" s="55" t="s">
        <v>614</v>
      </c>
      <c r="G106" s="55">
        <v>1840.0</v>
      </c>
      <c r="H106" s="55" t="s">
        <v>1137</v>
      </c>
      <c r="I106" s="55" t="s">
        <v>1883</v>
      </c>
      <c r="J106" s="55" t="s">
        <v>1884</v>
      </c>
      <c r="K106" s="55" t="s">
        <v>61</v>
      </c>
      <c r="L106" s="55">
        <v>95360.0</v>
      </c>
      <c r="M106" s="55" t="s">
        <v>78</v>
      </c>
      <c r="N106" s="55" t="s">
        <v>79</v>
      </c>
      <c r="O106" s="55" t="s">
        <v>224</v>
      </c>
      <c r="P106" s="55" t="s">
        <v>110</v>
      </c>
      <c r="Q106" s="67" t="str">
        <f>IFERROR(__xludf.DUMMYFUNCTION("""COMPUTED_VALUE"""),"Korea.giaotiep.videoCNHV_95360_MES_NamNH_020823")</f>
        <v>Korea.giaotiep.videoCNHV_95360_MES_NamNH_020823</v>
      </c>
      <c r="R106" s="67" t="str">
        <f>IFERROR(__xludf.DUMMYFUNCTION("""COMPUTED_VALUE"""),"NEW_Korea_1840_none_020823")</f>
        <v>NEW_Korea_1840_none_020823</v>
      </c>
      <c r="S106" s="67" t="str">
        <f>IFERROR(__xludf.DUMMYFUNCTION("""COMPUTED_VALUE"""),"saletructiep_Korea.videoCNHV.1840.giaotiep_PTATT_LD169")</f>
        <v>saletructiep_Korea.videoCNHV.1840.giaotiep_PTATT_LD169</v>
      </c>
      <c r="T106" s="107" t="str">
        <f>IFERROR(__xludf.DUMMYFUNCTION("""COMPUTED_VALUE"""),"https://patadovietnam.edu.vn/gtall_namnh/?utm_source=Facebook&amp;utm_medium=MES&amp;utm_term=NEW_Korea_1840_none_020823&amp;utm_content=saletructiep_Korea.videoCNHV.1840.giaotiep_PTATT_LD169&amp;utm_campaign=Korea.giaotiep.videoCNHV_95360_MES_NamNH_020823")</f>
        <v>https://patadovietnam.edu.vn/gtall_namnh/?utm_source=Facebook&amp;utm_medium=MES&amp;utm_term=NEW_Korea_1840_none_020823&amp;utm_content=saletructiep_Korea.videoCNHV.1840.giaotiep_PTATT_LD169&amp;utm_campaign=Korea.giaotiep.videoCNHV_95360_MES_NamNH_020823</v>
      </c>
      <c r="U106" s="110" t="s">
        <v>1891</v>
      </c>
    </row>
    <row r="107">
      <c r="A107" s="72">
        <v>45140.0</v>
      </c>
      <c r="B107" s="75" t="s">
        <v>1229</v>
      </c>
      <c r="C107" s="67" t="str">
        <f>IFERROR(__xludf.DUMMYFUNCTION("""COMPUTED_VALUE"""),"LD164")</f>
        <v>LD164</v>
      </c>
      <c r="D107" s="55" t="s">
        <v>42</v>
      </c>
      <c r="E107" s="55" t="s">
        <v>69</v>
      </c>
      <c r="F107" s="55" t="s">
        <v>133</v>
      </c>
      <c r="G107" s="55">
        <v>1840.0</v>
      </c>
      <c r="H107" s="55" t="s">
        <v>1137</v>
      </c>
      <c r="I107" s="55" t="s">
        <v>1894</v>
      </c>
      <c r="J107" s="55" t="s">
        <v>1895</v>
      </c>
      <c r="K107" s="55" t="s">
        <v>61</v>
      </c>
      <c r="L107" s="55">
        <v>16917.0</v>
      </c>
      <c r="M107" s="55" t="s">
        <v>78</v>
      </c>
      <c r="N107" s="55" t="s">
        <v>69</v>
      </c>
      <c r="O107" s="55" t="s">
        <v>224</v>
      </c>
      <c r="P107" s="55" t="s">
        <v>110</v>
      </c>
      <c r="Q107" s="67" t="str">
        <f>IFERROR(__xludf.DUMMYFUNCTION("""COMPUTED_VALUE"""),"Japan.giaotiep.videoCNHV_16917_CVS_NamNH_020823")</f>
        <v>Japan.giaotiep.videoCNHV_16917_CVS_NamNH_020823</v>
      </c>
      <c r="R107" s="67" t="str">
        <f>IFERROR(__xludf.DUMMYFUNCTION("""COMPUTED_VALUE"""),"NEW_Japan_1840_none_020823")</f>
        <v>NEW_Japan_1840_none_020823</v>
      </c>
      <c r="S107" s="67" t="str">
        <f>IFERROR(__xludf.DUMMYFUNCTION("""COMPUTED_VALUE"""),"saletructiep_Japan.videoCNHV.1840.giaotiep_PTATT_LD164")</f>
        <v>saletructiep_Japan.videoCNHV.1840.giaotiep_PTATT_LD164</v>
      </c>
      <c r="T107" s="107" t="str">
        <f>IFERROR(__xludf.DUMMYFUNCTION("""COMPUTED_VALUE"""),"https://patadovietnam.edu.vn/gtjapan_nhn3/?utm_source=Facebook&amp;utm_medium=CVS&amp;utm_term=NEW_Japan_1840_none_020823&amp;utm_content=saletructiep_Japan.videoCNHV.1840.giaotiep_PTATT_LD164&amp;utm_campaign=Japan.giaotiep.videoCNHV_16917_CVS_NamNH_020823")</f>
        <v>https://patadovietnam.edu.vn/gtjapan_nhn3/?utm_source=Facebook&amp;utm_medium=CVS&amp;utm_term=NEW_Japan_1840_none_020823&amp;utm_content=saletructiep_Japan.videoCNHV.1840.giaotiep_PTATT_LD164&amp;utm_campaign=Japan.giaotiep.videoCNHV_16917_CVS_NamNH_020823</v>
      </c>
      <c r="U107" s="110" t="s">
        <v>1901</v>
      </c>
    </row>
    <row r="108">
      <c r="A108" s="72">
        <v>45140.0</v>
      </c>
      <c r="B108" s="75" t="s">
        <v>1245</v>
      </c>
      <c r="C108" s="67" t="str">
        <f>IFERROR(__xludf.DUMMYFUNCTION("""COMPUTED_VALUE"""),"LD161")</f>
        <v>LD161</v>
      </c>
      <c r="D108" s="55" t="s">
        <v>42</v>
      </c>
      <c r="E108" s="55" t="s">
        <v>79</v>
      </c>
      <c r="F108" s="55" t="s">
        <v>107</v>
      </c>
      <c r="G108" s="55">
        <v>2047.0</v>
      </c>
      <c r="H108" s="55" t="s">
        <v>1137</v>
      </c>
      <c r="I108" s="55" t="s">
        <v>1904</v>
      </c>
      <c r="J108" s="55" t="s">
        <v>1905</v>
      </c>
      <c r="K108" s="55" t="s">
        <v>61</v>
      </c>
      <c r="L108" s="55">
        <v>16917.0</v>
      </c>
      <c r="M108" s="55" t="s">
        <v>78</v>
      </c>
      <c r="N108" s="55" t="s">
        <v>79</v>
      </c>
      <c r="O108" s="55" t="s">
        <v>224</v>
      </c>
      <c r="P108" s="55" t="s">
        <v>110</v>
      </c>
      <c r="Q108" s="67" t="str">
        <f>IFERROR(__xludf.DUMMYFUNCTION("""COMPUTED_VALUE"""),"UnitedStates.giaotiep.videoCNHV_16917_MES_NamNH_020823")</f>
        <v>UnitedStates.giaotiep.videoCNHV_16917_MES_NamNH_020823</v>
      </c>
      <c r="R108" s="67" t="str">
        <f>IFERROR(__xludf.DUMMYFUNCTION("""COMPUTED_VALUE"""),"NEW_UnitedStates_2047_none_020823")</f>
        <v>NEW_UnitedStates_2047_none_020823</v>
      </c>
      <c r="S108" s="67" t="str">
        <f>IFERROR(__xludf.DUMMYFUNCTION("""COMPUTED_VALUE"""),"saletructiep_UnitedStates.videoCNHV.1840.giaotiep_PTATT_LD161")</f>
        <v>saletructiep_UnitedStates.videoCNHV.1840.giaotiep_PTATT_LD161</v>
      </c>
      <c r="T108" s="107" t="str">
        <f>IFERROR(__xludf.DUMMYFUNCTION("""COMPUTED_VALUE"""),"https://patadovietnam.edu.vn/gtusa1_nhn/?utm_source=Facebook&amp;utm_medium=MES&amp;utm_term=NEW_UnitedStates_2047_none_020823&amp;utm_content=saletructiep_UnitedStates.videoCNHV.1840.giaotiep_PTATT_LD161&amp;utm_campaign=UnitedStates.giaotiep.videoCNHV_16917_MES_NamNH_0"&amp;"20823")</f>
        <v>https://patadovietnam.edu.vn/gtusa1_nhn/?utm_source=Facebook&amp;utm_medium=MES&amp;utm_term=NEW_UnitedStates_2047_none_020823&amp;utm_content=saletructiep_UnitedStates.videoCNHV.1840.giaotiep_PTATT_LD161&amp;utm_campaign=UnitedStates.giaotiep.videoCNHV_16917_MES_NamNH_020823</v>
      </c>
      <c r="U108" s="110" t="s">
        <v>1912</v>
      </c>
    </row>
    <row r="109">
      <c r="A109" s="72">
        <v>45141.0</v>
      </c>
      <c r="B109" s="75" t="s">
        <v>1594</v>
      </c>
      <c r="C109" s="67" t="str">
        <f>IFERROR(__xludf.DUMMYFUNCTION("""COMPUTED_VALUE"""),"LD169")</f>
        <v>LD169</v>
      </c>
      <c r="D109" s="55" t="s">
        <v>42</v>
      </c>
      <c r="E109" s="55" t="s">
        <v>79</v>
      </c>
      <c r="F109" s="55" t="s">
        <v>614</v>
      </c>
      <c r="G109" s="55">
        <v>1838.0</v>
      </c>
      <c r="H109" s="55" t="s">
        <v>1137</v>
      </c>
      <c r="I109" s="55" t="s">
        <v>1915</v>
      </c>
      <c r="J109" s="55" t="s">
        <v>1916</v>
      </c>
      <c r="K109" s="55" t="s">
        <v>61</v>
      </c>
      <c r="L109" s="55">
        <v>95360.0</v>
      </c>
      <c r="M109" s="55" t="s">
        <v>78</v>
      </c>
      <c r="N109" s="55" t="s">
        <v>79</v>
      </c>
      <c r="O109" s="55" t="s">
        <v>224</v>
      </c>
      <c r="P109" s="55" t="s">
        <v>110</v>
      </c>
      <c r="Q109" s="67" t="str">
        <f>IFERROR(__xludf.DUMMYFUNCTION("""COMPUTED_VALUE"""),"Korea.giaotiep.anhib_95360_MES_NamNH_030823")</f>
        <v>Korea.giaotiep.anhib_95360_MES_NamNH_030823</v>
      </c>
      <c r="R109" s="67" t="str">
        <f>IFERROR(__xludf.DUMMYFUNCTION("""COMPUTED_VALUE"""),"NEW_Korea_1838_none_030823")</f>
        <v>NEW_Korea_1838_none_030823</v>
      </c>
      <c r="S109" s="67" t="str">
        <f>IFERROR(__xludf.DUMMYFUNCTION("""COMPUTED_VALUE"""),"saletructiep_Korea.anhib.1840.giaotiep_PTATT_LD169")</f>
        <v>saletructiep_Korea.anhib.1840.giaotiep_PTATT_LD169</v>
      </c>
      <c r="T109" s="107" t="str">
        <f>IFERROR(__xludf.DUMMYFUNCTION("""COMPUTED_VALUE"""),"https://patadovietnam.edu.vn/gtall_namnh/?utm_source=Facebook&amp;utm_medium=MES&amp;utm_term=NEW_Korea_1838_none_030823&amp;utm_content=saletructiep_Korea.anhib.1840.giaotiep_PTATT_LD169&amp;utm_campaign=Korea.giaotiep.anhib_95360_MES_NamNH_030823")</f>
        <v>https://patadovietnam.edu.vn/gtall_namnh/?utm_source=Facebook&amp;utm_medium=MES&amp;utm_term=NEW_Korea_1838_none_030823&amp;utm_content=saletructiep_Korea.anhib.1840.giaotiep_PTATT_LD169&amp;utm_campaign=Korea.giaotiep.anhib_95360_MES_NamNH_030823</v>
      </c>
      <c r="U109" s="110" t="s">
        <v>1921</v>
      </c>
    </row>
    <row r="110">
      <c r="A110" s="72">
        <v>45141.0</v>
      </c>
      <c r="B110" s="75" t="s">
        <v>1594</v>
      </c>
      <c r="C110" s="67" t="str">
        <f>IFERROR(__xludf.DUMMYFUNCTION("""COMPUTED_VALUE"""),"LD169")</f>
        <v>LD169</v>
      </c>
      <c r="D110" s="55" t="s">
        <v>42</v>
      </c>
      <c r="E110" s="55" t="s">
        <v>79</v>
      </c>
      <c r="F110" s="55" t="s">
        <v>164</v>
      </c>
      <c r="G110" s="55">
        <v>1840.0</v>
      </c>
      <c r="H110" s="55" t="s">
        <v>1137</v>
      </c>
      <c r="I110" s="55" t="s">
        <v>1925</v>
      </c>
      <c r="J110" s="55" t="s">
        <v>1926</v>
      </c>
      <c r="K110" s="55" t="s">
        <v>61</v>
      </c>
      <c r="L110" s="55">
        <v>95360.0</v>
      </c>
      <c r="M110" s="55" t="s">
        <v>78</v>
      </c>
      <c r="N110" s="55" t="s">
        <v>79</v>
      </c>
      <c r="O110" s="55" t="s">
        <v>224</v>
      </c>
      <c r="P110" s="55" t="s">
        <v>110</v>
      </c>
      <c r="Q110" s="67" t="str">
        <f>IFERROR(__xludf.DUMMYFUNCTION("""COMPUTED_VALUE"""),"Taiwan.giaotiep.anhib_95360_MES_NamNH_030823")</f>
        <v>Taiwan.giaotiep.anhib_95360_MES_NamNH_030823</v>
      </c>
      <c r="R110" s="67" t="str">
        <f>IFERROR(__xludf.DUMMYFUNCTION("""COMPUTED_VALUE"""),"NEW_Taiwan_1840_none_030823")</f>
        <v>NEW_Taiwan_1840_none_030823</v>
      </c>
      <c r="S110" s="67" t="str">
        <f>IFERROR(__xludf.DUMMYFUNCTION("""COMPUTED_VALUE"""),"saletructiep_Taiwan.anhib.1840.giaotiep_PTATT_LD169")</f>
        <v>saletructiep_Taiwan.anhib.1840.giaotiep_PTATT_LD169</v>
      </c>
      <c r="T110" s="107" t="str">
        <f>IFERROR(__xludf.DUMMYFUNCTION("""COMPUTED_VALUE"""),"https://patadovietnam.edu.vn/gtall_namnh/?utm_source=Facebook&amp;utm_medium=MES&amp;utm_term=NEW_Taiwan_1840_none_030823&amp;utm_content=saletructiep_Taiwan.anhib.1840.giaotiep_PTATT_LD169&amp;utm_campaign=Taiwan.giaotiep.anhib_95360_MES_NamNH_030823")</f>
        <v>https://patadovietnam.edu.vn/gtall_namnh/?utm_source=Facebook&amp;utm_medium=MES&amp;utm_term=NEW_Taiwan_1840_none_030823&amp;utm_content=saletructiep_Taiwan.anhib.1840.giaotiep_PTATT_LD169&amp;utm_campaign=Taiwan.giaotiep.anhib_95360_MES_NamNH_030823</v>
      </c>
      <c r="U110" s="110" t="s">
        <v>1933</v>
      </c>
    </row>
    <row r="111">
      <c r="A111" s="72">
        <v>45142.0</v>
      </c>
      <c r="B111" s="75" t="s">
        <v>1594</v>
      </c>
      <c r="C111" s="67" t="str">
        <f>IFERROR(__xludf.DUMMYFUNCTION("""COMPUTED_VALUE"""),"LD169")</f>
        <v>LD169</v>
      </c>
      <c r="D111" s="55" t="s">
        <v>42</v>
      </c>
      <c r="E111" s="55" t="s">
        <v>79</v>
      </c>
      <c r="F111" s="55" t="s">
        <v>129</v>
      </c>
      <c r="G111" s="55">
        <v>2045.0</v>
      </c>
      <c r="H111" s="55" t="s">
        <v>1137</v>
      </c>
      <c r="I111" s="55" t="s">
        <v>1938</v>
      </c>
      <c r="J111" s="55" t="s">
        <v>1939</v>
      </c>
      <c r="K111" s="55" t="s">
        <v>61</v>
      </c>
      <c r="L111" s="55">
        <v>95360.0</v>
      </c>
      <c r="M111" s="55" t="s">
        <v>78</v>
      </c>
      <c r="N111" s="55" t="s">
        <v>79</v>
      </c>
      <c r="O111" s="55" t="s">
        <v>224</v>
      </c>
      <c r="P111" s="55" t="s">
        <v>110</v>
      </c>
      <c r="Q111" s="67" t="str">
        <f>IFERROR(__xludf.DUMMYFUNCTION("""COMPUTED_VALUE"""),"Australia.giaotiep.videoCNHV_95360_MES_NamNH_040823")</f>
        <v>Australia.giaotiep.videoCNHV_95360_MES_NamNH_040823</v>
      </c>
      <c r="R111" s="67" t="str">
        <f>IFERROR(__xludf.DUMMYFUNCTION("""COMPUTED_VALUE"""),"NEW_Australia_2045_none_040823")</f>
        <v>NEW_Australia_2045_none_040823</v>
      </c>
      <c r="S111" s="67" t="str">
        <f>IFERROR(__xludf.DUMMYFUNCTION("""COMPUTED_VALUE"""),"saletructiep_Australia.videoCNHV.2045.giaotiep_PTATT_LD169")</f>
        <v>saletructiep_Australia.videoCNHV.2045.giaotiep_PTATT_LD169</v>
      </c>
      <c r="T111" s="107" t="str">
        <f>IFERROR(__xludf.DUMMYFUNCTION("""COMPUTED_VALUE"""),"https://patadovietnam.edu.vn/gtall_namnh/?utm_source=Facebook&amp;utm_medium=MES&amp;utm_term=NEW_Australia_2045_none_040823&amp;utm_content=saletructiep_Australia.videoCNHV.2045.giaotiep_PTATT_LD169&amp;utm_campaign=Australia.giaotiep.videoCNHV_95360_MES_NamNH_040823")</f>
        <v>https://patadovietnam.edu.vn/gtall_namnh/?utm_source=Facebook&amp;utm_medium=MES&amp;utm_term=NEW_Australia_2045_none_040823&amp;utm_content=saletructiep_Australia.videoCNHV.2045.giaotiep_PTATT_LD169&amp;utm_campaign=Australia.giaotiep.videoCNHV_95360_MES_NamNH_040823</v>
      </c>
      <c r="U111" s="110" t="s">
        <v>1944</v>
      </c>
    </row>
    <row r="112">
      <c r="A112" s="122">
        <v>45150.0</v>
      </c>
      <c r="B112" s="123" t="s">
        <v>1134</v>
      </c>
      <c r="C112" s="124" t="str">
        <f>IFERROR(__xludf.DUMMYFUNCTION("""COMPUTED_VALUE"""),"LD153")</f>
        <v>LD153</v>
      </c>
      <c r="D112" s="125" t="s">
        <v>42</v>
      </c>
      <c r="E112" s="125" t="s">
        <v>79</v>
      </c>
      <c r="F112" s="125" t="s">
        <v>164</v>
      </c>
      <c r="G112" s="125">
        <v>1838.0</v>
      </c>
      <c r="H112" s="125" t="s">
        <v>1137</v>
      </c>
      <c r="I112" s="125" t="s">
        <v>1949</v>
      </c>
      <c r="J112" s="125" t="s">
        <v>1950</v>
      </c>
      <c r="K112" s="125" t="s">
        <v>61</v>
      </c>
      <c r="L112" s="125">
        <v>95360.0</v>
      </c>
      <c r="M112" s="125" t="s">
        <v>78</v>
      </c>
      <c r="N112" s="125" t="s">
        <v>79</v>
      </c>
      <c r="O112" s="125" t="s">
        <v>224</v>
      </c>
      <c r="P112" s="125" t="s">
        <v>110</v>
      </c>
      <c r="Q112" s="124" t="str">
        <f>IFERROR(__xludf.DUMMYFUNCTION("""COMPUTED_VALUE"""),"Taiwan.giaotiep.anhnote_95360_MES_NamNH_120823")</f>
        <v>Taiwan.giaotiep.anhnote_95360_MES_NamNH_120823</v>
      </c>
      <c r="R112" s="124" t="str">
        <f>IFERROR(__xludf.DUMMYFUNCTION("""COMPUTED_VALUE"""),"NEW_Taiwan_1838_none_120823")</f>
        <v>NEW_Taiwan_1838_none_120823</v>
      </c>
      <c r="S112" s="124" t="str">
        <f>IFERROR(__xludf.DUMMYFUNCTION("""COMPUTED_VALUE"""),"saletructiep_Taiwan.anhnote.1838.giaotiep_PTATT_LD153")</f>
        <v>saletructiep_Taiwan.anhnote.1838.giaotiep_PTATT_LD153</v>
      </c>
      <c r="T112" s="126" t="str">
        <f>IFERROR(__xludf.DUMMYFUNCTION("""COMPUTED_VALUE"""),"https://patadovietnam.edu.vn/tienganhgiaotiep_hn/?utm_source=Facebook&amp;utm_medium=MES&amp;utm_term=NEW_Taiwan_1838_none_120823&amp;utm_content=saletructiep_Taiwan.anhnote.1838.giaotiep_PTATT_LD153&amp;utm_campaign=Taiwan.giaotiep.anhnote_95360_MES_NamNH_120823")</f>
        <v>https://patadovietnam.edu.vn/tienganhgiaotiep_hn/?utm_source=Facebook&amp;utm_medium=MES&amp;utm_term=NEW_Taiwan_1838_none_120823&amp;utm_content=saletructiep_Taiwan.anhnote.1838.giaotiep_PTATT_LD153&amp;utm_campaign=Taiwan.giaotiep.anhnote_95360_MES_NamNH_120823</v>
      </c>
      <c r="U112" s="127" t="s">
        <v>1957</v>
      </c>
    </row>
    <row r="113">
      <c r="A113" s="72">
        <v>45150.0</v>
      </c>
      <c r="B113" s="75" t="s">
        <v>1134</v>
      </c>
      <c r="C113" s="67" t="str">
        <f>IFERROR(__xludf.DUMMYFUNCTION("""COMPUTED_VALUE"""),"LD153")</f>
        <v>LD153</v>
      </c>
      <c r="D113" s="55" t="s">
        <v>42</v>
      </c>
      <c r="E113" s="55" t="s">
        <v>79</v>
      </c>
      <c r="F113" s="55" t="s">
        <v>174</v>
      </c>
      <c r="G113" s="55">
        <v>1838.0</v>
      </c>
      <c r="H113" s="55" t="s">
        <v>1137</v>
      </c>
      <c r="I113" s="55" t="s">
        <v>1959</v>
      </c>
      <c r="J113" s="55" t="s">
        <v>1960</v>
      </c>
      <c r="K113" s="55" t="s">
        <v>61</v>
      </c>
      <c r="L113" s="55">
        <v>95360.0</v>
      </c>
      <c r="M113" s="55" t="s">
        <v>78</v>
      </c>
      <c r="N113" s="55" t="s">
        <v>79</v>
      </c>
      <c r="O113" s="55" t="s">
        <v>224</v>
      </c>
      <c r="P113" s="55" t="s">
        <v>110</v>
      </c>
      <c r="Q113" s="67" t="str">
        <f>IFERROR(__xludf.DUMMYFUNCTION("""COMPUTED_VALUE"""),"Philippines.giaotiep.anhnote_95360_MES_NamNH_120823")</f>
        <v>Philippines.giaotiep.anhnote_95360_MES_NamNH_120823</v>
      </c>
      <c r="R113" s="67" t="str">
        <f>IFERROR(__xludf.DUMMYFUNCTION("""COMPUTED_VALUE"""),"NEW_Philippines_1838_none_120823")</f>
        <v>NEW_Philippines_1838_none_120823</v>
      </c>
      <c r="S113" s="67" t="str">
        <f>IFERROR(__xludf.DUMMYFUNCTION("""COMPUTED_VALUE"""),"saletructiep_Philipines.anhnote.1838.giaotiep_PTATT_LD153")</f>
        <v>saletructiep_Philipines.anhnote.1838.giaotiep_PTATT_LD153</v>
      </c>
      <c r="T113" s="107" t="str">
        <f>IFERROR(__xludf.DUMMYFUNCTION("""COMPUTED_VALUE"""),"https://patadovietnam.edu.vn/tienganhgiaotiep_hn/?utm_source=Facebook&amp;utm_medium=MES&amp;utm_term=NEW_Philippines_1838_none_120823&amp;utm_content=saletructiep_Philipines.anhnote.1838.giaotiep_PTATT_LD153&amp;utm_campaign=Philippines.giaotiep.anhnote_95360_MES_NamNH_"&amp;"120823")</f>
        <v>https://patadovietnam.edu.vn/tienganhgiaotiep_hn/?utm_source=Facebook&amp;utm_medium=MES&amp;utm_term=NEW_Philippines_1838_none_120823&amp;utm_content=saletructiep_Philipines.anhnote.1838.giaotiep_PTATT_LD153&amp;utm_campaign=Philippines.giaotiep.anhnote_95360_MES_NamNH_120823</v>
      </c>
      <c r="U113" s="110" t="s">
        <v>1967</v>
      </c>
    </row>
    <row r="114">
      <c r="A114" s="122">
        <v>45151.0</v>
      </c>
      <c r="B114" s="123" t="s">
        <v>1229</v>
      </c>
      <c r="C114" s="124" t="str">
        <f>IFERROR(__xludf.DUMMYFUNCTION("""COMPUTED_VALUE"""),"LD164")</f>
        <v>LD164</v>
      </c>
      <c r="D114" s="125" t="s">
        <v>42</v>
      </c>
      <c r="E114" s="125" t="s">
        <v>69</v>
      </c>
      <c r="F114" s="125" t="s">
        <v>133</v>
      </c>
      <c r="G114" s="125">
        <v>1838.0</v>
      </c>
      <c r="H114" s="125" t="s">
        <v>1137</v>
      </c>
      <c r="I114" s="125" t="s">
        <v>1971</v>
      </c>
      <c r="J114" s="125" t="s">
        <v>1972</v>
      </c>
      <c r="K114" s="125" t="s">
        <v>61</v>
      </c>
      <c r="L114" s="125">
        <v>16917.0</v>
      </c>
      <c r="M114" s="125" t="s">
        <v>78</v>
      </c>
      <c r="N114" s="125" t="s">
        <v>69</v>
      </c>
      <c r="O114" s="125" t="s">
        <v>224</v>
      </c>
      <c r="P114" s="125" t="s">
        <v>110</v>
      </c>
      <c r="Q114" s="124" t="str">
        <f>IFERROR(__xludf.DUMMYFUNCTION("""COMPUTED_VALUE"""),"Japan.giaotiep.anhnote_16917_CVS_NamNH_130823")</f>
        <v>Japan.giaotiep.anhnote_16917_CVS_NamNH_130823</v>
      </c>
      <c r="R114" s="124" t="str">
        <f>IFERROR(__xludf.DUMMYFUNCTION("""COMPUTED_VALUE"""),"NEW_Japan_1838_none_130823")</f>
        <v>NEW_Japan_1838_none_130823</v>
      </c>
      <c r="S114" s="124" t="str">
        <f>IFERROR(__xludf.DUMMYFUNCTION("""COMPUTED_VALUE"""),"saletructiep_Japan.anhnote.1838.giaotiep_PTATT_LD164")</f>
        <v>saletructiep_Japan.anhnote.1838.giaotiep_PTATT_LD164</v>
      </c>
      <c r="T114" s="126" t="str">
        <f>IFERROR(__xludf.DUMMYFUNCTION("""COMPUTED_VALUE"""),"https://patadovietnam.edu.vn/gtjapan_nhn3/?utm_source=Facebook&amp;utm_medium=CVS&amp;utm_term=NEW_Japan_1838_none_130823&amp;utm_content=saletructiep_Japan.anhnote.1838.giaotiep_PTATT_LD164&amp;utm_campaign=Japan.giaotiep.anhnote_16917_CVS_NamNH_130823")</f>
        <v>https://patadovietnam.edu.vn/gtjapan_nhn3/?utm_source=Facebook&amp;utm_medium=CVS&amp;utm_term=NEW_Japan_1838_none_130823&amp;utm_content=saletructiep_Japan.anhnote.1838.giaotiep_PTATT_LD164&amp;utm_campaign=Japan.giaotiep.anhnote_16917_CVS_NamNH_130823</v>
      </c>
      <c r="U114" s="127" t="s">
        <v>1978</v>
      </c>
    </row>
    <row r="115">
      <c r="A115" s="72">
        <v>45151.0</v>
      </c>
      <c r="B115" s="75" t="s">
        <v>1245</v>
      </c>
      <c r="C115" s="67" t="str">
        <f>IFERROR(__xludf.DUMMYFUNCTION("""COMPUTED_VALUE"""),"LD161")</f>
        <v>LD161</v>
      </c>
      <c r="D115" s="55" t="s">
        <v>42</v>
      </c>
      <c r="E115" s="55" t="s">
        <v>79</v>
      </c>
      <c r="F115" s="55" t="s">
        <v>107</v>
      </c>
      <c r="G115" s="55">
        <v>2045.0</v>
      </c>
      <c r="H115" s="55" t="s">
        <v>1137</v>
      </c>
      <c r="I115" s="55" t="s">
        <v>1983</v>
      </c>
      <c r="J115" s="55" t="s">
        <v>1984</v>
      </c>
      <c r="K115" s="55" t="s">
        <v>61</v>
      </c>
      <c r="L115" s="55">
        <v>16917.0</v>
      </c>
      <c r="M115" s="55" t="s">
        <v>78</v>
      </c>
      <c r="N115" s="55" t="s">
        <v>79</v>
      </c>
      <c r="O115" s="55" t="s">
        <v>224</v>
      </c>
      <c r="P115" s="55" t="s">
        <v>110</v>
      </c>
      <c r="Q115" s="67" t="str">
        <f>IFERROR(__xludf.DUMMYFUNCTION("""COMPUTED_VALUE"""),"UnitedStates.giaotiep.anhnote_16917_MES_NamNH_130823")</f>
        <v>UnitedStates.giaotiep.anhnote_16917_MES_NamNH_130823</v>
      </c>
      <c r="R115" s="67" t="str">
        <f>IFERROR(__xludf.DUMMYFUNCTION("""COMPUTED_VALUE"""),"NEW_UnitedStates_2045_none_130823")</f>
        <v>NEW_UnitedStates_2045_none_130823</v>
      </c>
      <c r="S115" s="67" t="str">
        <f>IFERROR(__xludf.DUMMYFUNCTION("""COMPUTED_VALUE"""),"saletructiep_UnitedStates.anhnote.2045.giaotiep_PTATT_LD161")</f>
        <v>saletructiep_UnitedStates.anhnote.2045.giaotiep_PTATT_LD161</v>
      </c>
      <c r="T115" s="107" t="str">
        <f>IFERROR(__xludf.DUMMYFUNCTION("""COMPUTED_VALUE"""),"https://patadovietnam.edu.vn/gtusa1_nhn/?utm_source=Facebook&amp;utm_medium=MES&amp;utm_term=NEW_UnitedStates_2045_none_130823&amp;utm_content=saletructiep_UnitedStates.anhnote.2045.giaotiep_PTATT_LD161&amp;utm_campaign=UnitedStates.giaotiep.anhnote_16917_MES_NamNH_13082"&amp;"3")</f>
        <v>https://patadovietnam.edu.vn/gtusa1_nhn/?utm_source=Facebook&amp;utm_medium=MES&amp;utm_term=NEW_UnitedStates_2045_none_130823&amp;utm_content=saletructiep_UnitedStates.anhnote.2045.giaotiep_PTATT_LD161&amp;utm_campaign=UnitedStates.giaotiep.anhnote_16917_MES_NamNH_130823</v>
      </c>
      <c r="U115" s="110" t="s">
        <v>1990</v>
      </c>
    </row>
    <row r="116">
      <c r="A116" s="72">
        <v>45153.0</v>
      </c>
      <c r="B116" s="75" t="s">
        <v>1134</v>
      </c>
      <c r="C116" s="67" t="str">
        <f>IFERROR(__xludf.DUMMYFUNCTION("""COMPUTED_VALUE"""),"LD153")</f>
        <v>LD153</v>
      </c>
      <c r="D116" s="55" t="s">
        <v>42</v>
      </c>
      <c r="E116" s="55" t="s">
        <v>79</v>
      </c>
      <c r="F116" s="55" t="s">
        <v>174</v>
      </c>
      <c r="G116" s="55">
        <v>1838.0</v>
      </c>
      <c r="H116" s="55" t="s">
        <v>1137</v>
      </c>
      <c r="I116" s="55" t="s">
        <v>1993</v>
      </c>
      <c r="J116" s="55" t="s">
        <v>1994</v>
      </c>
      <c r="K116" s="55" t="s">
        <v>61</v>
      </c>
      <c r="L116" s="55">
        <v>16917.0</v>
      </c>
      <c r="M116" s="55" t="s">
        <v>78</v>
      </c>
      <c r="N116" s="55" t="s">
        <v>79</v>
      </c>
      <c r="O116" s="55" t="s">
        <v>224</v>
      </c>
      <c r="P116" s="55" t="s">
        <v>110</v>
      </c>
      <c r="Q116" s="67" t="str">
        <f>IFERROR(__xludf.DUMMYFUNCTION("""COMPUTED_VALUE"""),"Philippines.giaotiep.anhhot2_16917_MES_NamNH_150823")</f>
        <v>Philippines.giaotiep.anhhot2_16917_MES_NamNH_150823</v>
      </c>
      <c r="R116" s="67" t="str">
        <f>IFERROR(__xludf.DUMMYFUNCTION("""COMPUTED_VALUE"""),"NEW_Philippines_1838_none_150823")</f>
        <v>NEW_Philippines_1838_none_150823</v>
      </c>
      <c r="S116" s="67" t="str">
        <f>IFERROR(__xludf.DUMMYFUNCTION("""COMPUTED_VALUE"""),"saletructiep_Philipines.anhhot2.1838.giaotiep_PTATT_LD153")</f>
        <v>saletructiep_Philipines.anhhot2.1838.giaotiep_PTATT_LD153</v>
      </c>
      <c r="T116" s="107" t="str">
        <f>IFERROR(__xludf.DUMMYFUNCTION("""COMPUTED_VALUE"""),"https://patadovietnam.edu.vn/tienganhgiaotiep_hn/?utm_source=Facebook&amp;utm_medium=MES&amp;utm_term=NEW_Philippines_1838_none_150823&amp;utm_content=saletructiep_Philipines.anhhot2.1838.giaotiep_PTATT_LD153&amp;utm_campaign=Philippines.giaotiep.anhhot2_16917_MES_NamNH_"&amp;"150823")</f>
        <v>https://patadovietnam.edu.vn/tienganhgiaotiep_hn/?utm_source=Facebook&amp;utm_medium=MES&amp;utm_term=NEW_Philippines_1838_none_150823&amp;utm_content=saletructiep_Philipines.anhhot2.1838.giaotiep_PTATT_LD153&amp;utm_campaign=Philippines.giaotiep.anhhot2_16917_MES_NamNH_150823</v>
      </c>
      <c r="U116" s="110" t="s">
        <v>2002</v>
      </c>
    </row>
    <row r="117">
      <c r="A117" s="72">
        <v>45153.0</v>
      </c>
      <c r="B117" s="75" t="s">
        <v>1134</v>
      </c>
      <c r="C117" s="67" t="str">
        <f>IFERROR(__xludf.DUMMYFUNCTION("""COMPUTED_VALUE"""),"LD153")</f>
        <v>LD153</v>
      </c>
      <c r="D117" s="55" t="s">
        <v>42</v>
      </c>
      <c r="E117" s="55" t="s">
        <v>79</v>
      </c>
      <c r="F117" s="55" t="s">
        <v>164</v>
      </c>
      <c r="G117" s="55">
        <v>1838.0</v>
      </c>
      <c r="H117" s="55" t="s">
        <v>1137</v>
      </c>
      <c r="I117" s="55" t="s">
        <v>2004</v>
      </c>
      <c r="J117" s="55" t="s">
        <v>2005</v>
      </c>
      <c r="K117" s="55" t="s">
        <v>61</v>
      </c>
      <c r="L117" s="55">
        <v>95360.0</v>
      </c>
      <c r="M117" s="55" t="s">
        <v>78</v>
      </c>
      <c r="N117" s="55" t="s">
        <v>79</v>
      </c>
      <c r="O117" s="55" t="s">
        <v>224</v>
      </c>
      <c r="P117" s="55" t="s">
        <v>110</v>
      </c>
      <c r="Q117" s="67" t="str">
        <f>IFERROR(__xludf.DUMMYFUNCTION("""COMPUTED_VALUE"""),"Taiwan.giaotiep.anhhot2_95360_MES_NamNH_150823")</f>
        <v>Taiwan.giaotiep.anhhot2_95360_MES_NamNH_150823</v>
      </c>
      <c r="R117" s="67" t="str">
        <f>IFERROR(__xludf.DUMMYFUNCTION("""COMPUTED_VALUE"""),"NEW_Taiwan_1838_none_150823")</f>
        <v>NEW_Taiwan_1838_none_150823</v>
      </c>
      <c r="S117" s="67" t="str">
        <f>IFERROR(__xludf.DUMMYFUNCTION("""COMPUTED_VALUE"""),"saletructiep_Taiwan.anhhot2.1838.giaotiep_PTATT_LD153")</f>
        <v>saletructiep_Taiwan.anhhot2.1838.giaotiep_PTATT_LD153</v>
      </c>
      <c r="T117" s="107" t="str">
        <f>IFERROR(__xludf.DUMMYFUNCTION("""COMPUTED_VALUE"""),"https://patadovietnam.edu.vn/tienganhgiaotiep_hn/?utm_source=Facebook&amp;utm_medium=MES&amp;utm_term=NEW_Taiwan_1838_none_150823&amp;utm_content=saletructiep_Taiwan.anhhot2.1838.giaotiep_PTATT_LD153&amp;utm_campaign=Taiwan.giaotiep.anhhot2_95360_MES_NamNH_150823")</f>
        <v>https://patadovietnam.edu.vn/tienganhgiaotiep_hn/?utm_source=Facebook&amp;utm_medium=MES&amp;utm_term=NEW_Taiwan_1838_none_150823&amp;utm_content=saletructiep_Taiwan.anhhot2.1838.giaotiep_PTATT_LD153&amp;utm_campaign=Taiwan.giaotiep.anhhot2_95360_MES_NamNH_150823</v>
      </c>
      <c r="U117" s="110" t="s">
        <v>2008</v>
      </c>
    </row>
    <row r="118">
      <c r="A118" s="72">
        <v>45155.0</v>
      </c>
      <c r="B118" s="75" t="s">
        <v>1607</v>
      </c>
      <c r="C118" s="67" t="str">
        <f>IFERROR(__xludf.DUMMYFUNCTION("""COMPUTED_VALUE"""),"LD170")</f>
        <v>LD170</v>
      </c>
      <c r="D118" s="55" t="s">
        <v>42</v>
      </c>
      <c r="E118" s="55" t="s">
        <v>79</v>
      </c>
      <c r="F118" s="55" t="s">
        <v>539</v>
      </c>
      <c r="G118" s="55">
        <v>1845.0</v>
      </c>
      <c r="H118" s="55" t="s">
        <v>1137</v>
      </c>
      <c r="I118" s="55" t="s">
        <v>2011</v>
      </c>
      <c r="J118" s="55" t="s">
        <v>2012</v>
      </c>
      <c r="K118" s="55" t="s">
        <v>61</v>
      </c>
      <c r="L118" s="55">
        <v>16917.0</v>
      </c>
      <c r="M118" s="55" t="s">
        <v>78</v>
      </c>
      <c r="N118" s="55" t="s">
        <v>79</v>
      </c>
      <c r="O118" s="55" t="s">
        <v>224</v>
      </c>
      <c r="P118" s="55" t="s">
        <v>110</v>
      </c>
      <c r="Q118" s="67" t="str">
        <f>IFERROR(__xludf.DUMMYFUNCTION("""COMPUTED_VALUE"""),"ALL.giaotiep.Patadottam_16917_MES_NamNH_170823")</f>
        <v>ALL.giaotiep.Patadottam_16917_MES_NamNH_170823</v>
      </c>
      <c r="R118" s="67" t="str">
        <f>IFERROR(__xludf.DUMMYFUNCTION("""COMPUTED_VALUE"""),"NEW_ALL_1845_none_170823")</f>
        <v>NEW_ALL_1845_none_170823</v>
      </c>
      <c r="S118" s="67" t="str">
        <f>IFERROR(__xludf.DUMMYFUNCTION("""COMPUTED_VALUE"""),"saletructiep_ALL.Patadottam.1845.giaotiep_PTATT_LD170")</f>
        <v>saletructiep_ALL.Patadottam.1845.giaotiep_PTATT_LD170</v>
      </c>
      <c r="T118" s="107" t="str">
        <f>IFERROR(__xludf.DUMMYFUNCTION("""COMPUTED_VALUE"""),"https://patadovietnam.edu.vn/allcvs_hn/?utm_source=Facebook&amp;utm_medium=MES&amp;utm_term=NEW_ALL_1845_none_170823&amp;utm_content=saletructiep_ALL.Patadottam.1845.giaotiep_PTATT_LD170&amp;utm_campaign=ALL.giaotiep.Patadottam_16917_MES_NamNH_170823")</f>
        <v>https://patadovietnam.edu.vn/allcvs_hn/?utm_source=Facebook&amp;utm_medium=MES&amp;utm_term=NEW_ALL_1845_none_170823&amp;utm_content=saletructiep_ALL.Patadottam.1845.giaotiep_PTATT_LD170&amp;utm_campaign=ALL.giaotiep.Patadottam_16917_MES_NamNH_170823</v>
      </c>
      <c r="U118" s="110" t="s">
        <v>2018</v>
      </c>
    </row>
    <row r="119">
      <c r="A119" s="72">
        <v>45156.0</v>
      </c>
      <c r="B119" s="75" t="s">
        <v>1594</v>
      </c>
      <c r="C119" s="67" t="str">
        <f>IFERROR(__xludf.DUMMYFUNCTION("""COMPUTED_VALUE"""),"LD169")</f>
        <v>LD169</v>
      </c>
      <c r="D119" s="55" t="s">
        <v>42</v>
      </c>
      <c r="E119" s="55" t="s">
        <v>79</v>
      </c>
      <c r="F119" s="55" t="s">
        <v>164</v>
      </c>
      <c r="G119" s="55">
        <v>1838.0</v>
      </c>
      <c r="H119" s="55" t="s">
        <v>1137</v>
      </c>
      <c r="I119" s="55" t="s">
        <v>2021</v>
      </c>
      <c r="J119" s="55" t="s">
        <v>2022</v>
      </c>
      <c r="K119" s="55" t="s">
        <v>61</v>
      </c>
      <c r="L119" s="55">
        <v>16917.0</v>
      </c>
      <c r="M119" s="55" t="s">
        <v>78</v>
      </c>
      <c r="N119" s="55" t="s">
        <v>79</v>
      </c>
      <c r="O119" s="55" t="s">
        <v>224</v>
      </c>
      <c r="P119" s="55" t="s">
        <v>110</v>
      </c>
      <c r="Q119" s="67" t="str">
        <f>IFERROR(__xludf.DUMMYFUNCTION("""COMPUTED_VALUE"""),"Taiwan.giaotiep.Patadottam_16917_MES_NamNH_180823")</f>
        <v>Taiwan.giaotiep.Patadottam_16917_MES_NamNH_180823</v>
      </c>
      <c r="R119" s="67" t="str">
        <f>IFERROR(__xludf.DUMMYFUNCTION("""COMPUTED_VALUE"""),"NEW_Taiwan_1838_none_180823")</f>
        <v>NEW_Taiwan_1838_none_180823</v>
      </c>
      <c r="S119" s="67" t="str">
        <f>IFERROR(__xludf.DUMMYFUNCTION("""COMPUTED_VALUE"""),"saletructiep_Taiwan.Patadottam.1838.giaotiep_PTATT_LD169")</f>
        <v>saletructiep_Taiwan.Patadottam.1838.giaotiep_PTATT_LD169</v>
      </c>
      <c r="T119" s="107" t="str">
        <f>IFERROR(__xludf.DUMMYFUNCTION("""COMPUTED_VALUE"""),"https://patadovietnam.edu.vn/gtall_namnh/?utm_source=Facebook&amp;utm_medium=MES&amp;utm_term=NEW_Taiwan_1838_none_180823&amp;utm_content=saletructiep_Taiwan.Patadottam.1838.giaotiep_PTATT_LD169&amp;utm_campaign=Taiwan.giaotiep.Patadottam_16917_MES_NamNH_180823")</f>
        <v>https://patadovietnam.edu.vn/gtall_namnh/?utm_source=Facebook&amp;utm_medium=MES&amp;utm_term=NEW_Taiwan_1838_none_180823&amp;utm_content=saletructiep_Taiwan.Patadottam.1838.giaotiep_PTATT_LD169&amp;utm_campaign=Taiwan.giaotiep.Patadottam_16917_MES_NamNH_180823</v>
      </c>
      <c r="U119" s="110" t="s">
        <v>2028</v>
      </c>
    </row>
    <row r="120">
      <c r="A120" s="72">
        <v>45156.0</v>
      </c>
      <c r="B120" s="75" t="s">
        <v>1594</v>
      </c>
      <c r="C120" s="67" t="str">
        <f>IFERROR(__xludf.DUMMYFUNCTION("""COMPUTED_VALUE"""),"LD169")</f>
        <v>LD169</v>
      </c>
      <c r="D120" s="55" t="s">
        <v>42</v>
      </c>
      <c r="E120" s="55" t="s">
        <v>79</v>
      </c>
      <c r="F120" s="55" t="s">
        <v>625</v>
      </c>
      <c r="G120" s="55">
        <v>1840.0</v>
      </c>
      <c r="H120" s="55" t="s">
        <v>1137</v>
      </c>
      <c r="I120" s="55" t="s">
        <v>2032</v>
      </c>
      <c r="J120" s="55" t="s">
        <v>2033</v>
      </c>
      <c r="K120" s="55" t="s">
        <v>61</v>
      </c>
      <c r="L120" s="55">
        <v>95360.0</v>
      </c>
      <c r="M120" s="55" t="s">
        <v>78</v>
      </c>
      <c r="N120" s="55" t="s">
        <v>79</v>
      </c>
      <c r="O120" s="55" t="s">
        <v>224</v>
      </c>
      <c r="P120" s="55" t="s">
        <v>110</v>
      </c>
      <c r="Q120" s="67" t="str">
        <f>IFERROR(__xludf.DUMMYFUNCTION("""COMPUTED_VALUE"""),"Korea.giaotiep.anhhot2_95360_MES_NamNH_180823")</f>
        <v>Korea.giaotiep.anhhot2_95360_MES_NamNH_180823</v>
      </c>
      <c r="R120" s="67" t="str">
        <f>IFERROR(__xludf.DUMMYFUNCTION("""COMPUTED_VALUE"""),"NEW_KoreaSouth_1840_none_180823")</f>
        <v>NEW_KoreaSouth_1840_none_180823</v>
      </c>
      <c r="S120" s="67" t="str">
        <f>IFERROR(__xludf.DUMMYFUNCTION("""COMPUTED_VALUE"""),"saletructiep_Korea.anhhot2.1840.giaotiep_PTATT_LD169")</f>
        <v>saletructiep_Korea.anhhot2.1840.giaotiep_PTATT_LD169</v>
      </c>
      <c r="T120" s="107" t="str">
        <f>IFERROR(__xludf.DUMMYFUNCTION("""COMPUTED_VALUE"""),"https://patadovietnam.edu.vn/gtall_namnh/?utm_source=Facebook&amp;utm_medium=MES&amp;utm_term=NEW_KoreaSouth_1840_none_180823&amp;utm_content=saletructiep_Korea.anhhot2.1840.giaotiep_PTATT_LD169&amp;utm_campaign=Korea.giaotiep.anhhot2_95360_MES_NamNH_180823")</f>
        <v>https://patadovietnam.edu.vn/gtall_namnh/?utm_source=Facebook&amp;utm_medium=MES&amp;utm_term=NEW_KoreaSouth_1840_none_180823&amp;utm_content=saletructiep_Korea.anhhot2.1840.giaotiep_PTATT_LD169&amp;utm_campaign=Korea.giaotiep.anhhot2_95360_MES_NamNH_180823</v>
      </c>
      <c r="U120" s="110" t="s">
        <v>2037</v>
      </c>
    </row>
    <row r="121">
      <c r="A121" s="72">
        <v>45157.0</v>
      </c>
      <c r="B121" s="75" t="s">
        <v>1594</v>
      </c>
      <c r="C121" s="67" t="str">
        <f>IFERROR(__xludf.DUMMYFUNCTION("""COMPUTED_VALUE"""),"LD169")</f>
        <v>LD169</v>
      </c>
      <c r="D121" s="55" t="s">
        <v>42</v>
      </c>
      <c r="E121" s="55" t="s">
        <v>79</v>
      </c>
      <c r="F121" s="55" t="s">
        <v>174</v>
      </c>
      <c r="G121" s="55">
        <v>1838.0</v>
      </c>
      <c r="H121" s="55" t="s">
        <v>1137</v>
      </c>
      <c r="I121" s="55" t="s">
        <v>2041</v>
      </c>
      <c r="J121" s="55" t="s">
        <v>2042</v>
      </c>
      <c r="K121" s="55" t="s">
        <v>61</v>
      </c>
      <c r="L121" s="55">
        <v>16917.0</v>
      </c>
      <c r="M121" s="55" t="s">
        <v>78</v>
      </c>
      <c r="N121" s="55" t="s">
        <v>79</v>
      </c>
      <c r="O121" s="55" t="s">
        <v>224</v>
      </c>
      <c r="P121" s="55" t="s">
        <v>110</v>
      </c>
      <c r="Q121" s="67" t="str">
        <f>IFERROR(__xludf.DUMMYFUNCTION("""COMPUTED_VALUE"""),"Philippines.giaotiep.anhhot3_16917_MES_NamNH_190823")</f>
        <v>Philippines.giaotiep.anhhot3_16917_MES_NamNH_190823</v>
      </c>
      <c r="R121" s="67" t="str">
        <f>IFERROR(__xludf.DUMMYFUNCTION("""COMPUTED_VALUE"""),"NEW_Philippines_1838_none_190823")</f>
        <v>NEW_Philippines_1838_none_190823</v>
      </c>
      <c r="S121" s="67" t="str">
        <f>IFERROR(__xludf.DUMMYFUNCTION("""COMPUTED_VALUE"""),"saletructiep_Philipines.anhhot3.1838.giaotiep_PTATT_LD169")</f>
        <v>saletructiep_Philipines.anhhot3.1838.giaotiep_PTATT_LD169</v>
      </c>
      <c r="T121" s="107" t="str">
        <f>IFERROR(__xludf.DUMMYFUNCTION("""COMPUTED_VALUE"""),"https://patadovietnam.edu.vn/gtall_namnh/?utm_source=Facebook&amp;utm_medium=MES&amp;utm_term=NEW_Philippines_1838_none_190823&amp;utm_content=saletructiep_Philipines.anhhot3.1838.giaotiep_PTATT_LD169&amp;utm_campaign=Philippines.giaotiep.anhhot3_16917_MES_NamNH_190823")</f>
        <v>https://patadovietnam.edu.vn/gtall_namnh/?utm_source=Facebook&amp;utm_medium=MES&amp;utm_term=NEW_Philippines_1838_none_190823&amp;utm_content=saletructiep_Philipines.anhhot3.1838.giaotiep_PTATT_LD169&amp;utm_campaign=Philippines.giaotiep.anhhot3_16917_MES_NamNH_190823</v>
      </c>
      <c r="U121" s="110" t="s">
        <v>2050</v>
      </c>
    </row>
    <row r="122">
      <c r="A122" s="72">
        <v>45157.0</v>
      </c>
      <c r="B122" s="75" t="s">
        <v>1245</v>
      </c>
      <c r="C122" s="67" t="str">
        <f>IFERROR(__xludf.DUMMYFUNCTION("""COMPUTED_VALUE"""),"LD161")</f>
        <v>LD161</v>
      </c>
      <c r="D122" s="55" t="s">
        <v>42</v>
      </c>
      <c r="E122" s="55" t="s">
        <v>79</v>
      </c>
      <c r="F122" s="55" t="s">
        <v>107</v>
      </c>
      <c r="G122" s="55">
        <v>2045.0</v>
      </c>
      <c r="H122" s="55" t="s">
        <v>1137</v>
      </c>
      <c r="I122" s="55" t="s">
        <v>2051</v>
      </c>
      <c r="J122" s="55" t="s">
        <v>2052</v>
      </c>
      <c r="K122" s="55" t="s">
        <v>61</v>
      </c>
      <c r="L122" s="55">
        <v>95360.0</v>
      </c>
      <c r="M122" s="55" t="s">
        <v>78</v>
      </c>
      <c r="N122" s="55" t="s">
        <v>79</v>
      </c>
      <c r="O122" s="55" t="s">
        <v>224</v>
      </c>
      <c r="P122" s="55" t="s">
        <v>110</v>
      </c>
      <c r="Q122" s="67" t="str">
        <f>IFERROR(__xludf.DUMMYFUNCTION("""COMPUTED_VALUE"""),"UnitedStates.giaotiep.anhhot3_95360_MES_NamNH_190823")</f>
        <v>UnitedStates.giaotiep.anhhot3_95360_MES_NamNH_190823</v>
      </c>
      <c r="R122" s="67" t="str">
        <f>IFERROR(__xludf.DUMMYFUNCTION("""COMPUTED_VALUE"""),"NEW_UnitedStates_2045_none_190823")</f>
        <v>NEW_UnitedStates_2045_none_190823</v>
      </c>
      <c r="S122" s="67" t="str">
        <f>IFERROR(__xludf.DUMMYFUNCTION("""COMPUTED_VALUE"""),"saletructiep_UnitedStates.anhhot3.2045.giaotiep_PTATT_LD161")</f>
        <v>saletructiep_UnitedStates.anhhot3.2045.giaotiep_PTATT_LD161</v>
      </c>
      <c r="T122" s="107" t="str">
        <f>IFERROR(__xludf.DUMMYFUNCTION("""COMPUTED_VALUE"""),"https://patadovietnam.edu.vn/gtusa1_nhn/?utm_source=Facebook&amp;utm_medium=MES&amp;utm_term=NEW_UnitedStates_2045_none_190823&amp;utm_content=saletructiep_UnitedStates.anhhot3.2045.giaotiep_PTATT_LD161&amp;utm_campaign=UnitedStates.giaotiep.anhhot3_95360_MES_NamNH_19082"&amp;"3")</f>
        <v>https://patadovietnam.edu.vn/gtusa1_nhn/?utm_source=Facebook&amp;utm_medium=MES&amp;utm_term=NEW_UnitedStates_2045_none_190823&amp;utm_content=saletructiep_UnitedStates.anhhot3.2045.giaotiep_PTATT_LD161&amp;utm_campaign=UnitedStates.giaotiep.anhhot3_95360_MES_NamNH_190823</v>
      </c>
      <c r="U122" s="110" t="s">
        <v>2056</v>
      </c>
    </row>
    <row r="123">
      <c r="A123" s="72">
        <v>45157.0</v>
      </c>
      <c r="B123" s="75" t="s">
        <v>1594</v>
      </c>
      <c r="C123" s="67" t="str">
        <f>IFERROR(__xludf.DUMMYFUNCTION("""COMPUTED_VALUE"""),"LD169")</f>
        <v>LD169</v>
      </c>
      <c r="D123" s="55" t="s">
        <v>42</v>
      </c>
      <c r="E123" s="55" t="s">
        <v>79</v>
      </c>
      <c r="F123" s="55" t="s">
        <v>112</v>
      </c>
      <c r="G123" s="55">
        <v>2045.0</v>
      </c>
      <c r="H123" s="55" t="s">
        <v>1137</v>
      </c>
      <c r="I123" s="55" t="s">
        <v>2061</v>
      </c>
      <c r="J123" s="55" t="s">
        <v>2062</v>
      </c>
      <c r="K123" s="55" t="s">
        <v>61</v>
      </c>
      <c r="L123" s="55">
        <v>16917.0</v>
      </c>
      <c r="M123" s="55" t="s">
        <v>78</v>
      </c>
      <c r="N123" s="55" t="s">
        <v>79</v>
      </c>
      <c r="O123" s="55" t="s">
        <v>224</v>
      </c>
      <c r="P123" s="55" t="s">
        <v>110</v>
      </c>
      <c r="Q123" s="67" t="str">
        <f>IFERROR(__xludf.DUMMYFUNCTION("""COMPUTED_VALUE"""),"Canada.giaotiep.anhhot3_16917_MES_NamNH_190823")</f>
        <v>Canada.giaotiep.anhhot3_16917_MES_NamNH_190823</v>
      </c>
      <c r="R123" s="67" t="str">
        <f>IFERROR(__xludf.DUMMYFUNCTION("""COMPUTED_VALUE"""),"NEW_Canada_2045_none_190823")</f>
        <v>NEW_Canada_2045_none_190823</v>
      </c>
      <c r="S123" s="67" t="str">
        <f>IFERROR(__xludf.DUMMYFUNCTION("""COMPUTED_VALUE"""),"saletructiep_Canada.anhhot3.2045.giaotiep_PTATT_LD169")</f>
        <v>saletructiep_Canada.anhhot3.2045.giaotiep_PTATT_LD169</v>
      </c>
      <c r="T123" s="107" t="str">
        <f>IFERROR(__xludf.DUMMYFUNCTION("""COMPUTED_VALUE"""),"https://patadovietnam.edu.vn/gtall_namnh/?utm_source=Facebook&amp;utm_medium=MES&amp;utm_term=NEW_Canada_2045_none_190823&amp;utm_content=saletructiep_Canada.anhhot3.2045.giaotiep_PTATT_LD169&amp;utm_campaign=Canada.giaotiep.anhhot3_16917_MES_NamNH_190823")</f>
        <v>https://patadovietnam.edu.vn/gtall_namnh/?utm_source=Facebook&amp;utm_medium=MES&amp;utm_term=NEW_Canada_2045_none_190823&amp;utm_content=saletructiep_Canada.anhhot3.2045.giaotiep_PTATT_LD169&amp;utm_campaign=Canada.giaotiep.anhhot3_16917_MES_NamNH_190823</v>
      </c>
      <c r="U123" s="110" t="s">
        <v>2066</v>
      </c>
    </row>
    <row r="124">
      <c r="A124" s="72">
        <v>45159.0</v>
      </c>
      <c r="B124" s="75" t="s">
        <v>1594</v>
      </c>
      <c r="C124" s="67" t="str">
        <f>IFERROR(__xludf.DUMMYFUNCTION("""COMPUTED_VALUE"""),"LD169")</f>
        <v>LD169</v>
      </c>
      <c r="D124" s="55" t="s">
        <v>42</v>
      </c>
      <c r="E124" s="55" t="s">
        <v>79</v>
      </c>
      <c r="F124" s="55" t="s">
        <v>625</v>
      </c>
      <c r="G124" s="55">
        <v>1838.0</v>
      </c>
      <c r="H124" s="55" t="s">
        <v>1137</v>
      </c>
      <c r="I124" s="55" t="s">
        <v>2069</v>
      </c>
      <c r="J124" s="55" t="s">
        <v>2070</v>
      </c>
      <c r="K124" s="55" t="s">
        <v>61</v>
      </c>
      <c r="L124" s="55">
        <v>95360.0</v>
      </c>
      <c r="M124" s="55" t="s">
        <v>78</v>
      </c>
      <c r="N124" s="55" t="s">
        <v>79</v>
      </c>
      <c r="O124" s="55" t="s">
        <v>224</v>
      </c>
      <c r="P124" s="55" t="s">
        <v>110</v>
      </c>
      <c r="Q124" s="67" t="str">
        <f>IFERROR(__xludf.DUMMYFUNCTION("""COMPUTED_VALUE"""),"Korea.giaotiep.anhsquid_95360_MES_NamNH_210823")</f>
        <v>Korea.giaotiep.anhsquid_95360_MES_NamNH_210823</v>
      </c>
      <c r="R124" s="67" t="str">
        <f>IFERROR(__xludf.DUMMYFUNCTION("""COMPUTED_VALUE"""),"NEW_KoreaSouth_1838_none_210823")</f>
        <v>NEW_KoreaSouth_1838_none_210823</v>
      </c>
      <c r="S124" s="67" t="str">
        <f>IFERROR(__xludf.DUMMYFUNCTION("""COMPUTED_VALUE"""),"saletructiep_Korea.anhsquid.1838.giaotiep_PTATT_LD169")</f>
        <v>saletructiep_Korea.anhsquid.1838.giaotiep_PTATT_LD169</v>
      </c>
      <c r="T124" s="107" t="str">
        <f>IFERROR(__xludf.DUMMYFUNCTION("""COMPUTED_VALUE"""),"https://patadovietnam.edu.vn/gtall_namnh/?utm_source=Facebook&amp;utm_medium=MES&amp;utm_term=NEW_KoreaSouth_1838_none_210823&amp;utm_content=saletructiep_Korea.anhsquid.1838.giaotiep_PTATT_LD169&amp;utm_campaign=Korea.giaotiep.anhsquid_95360_MES_NamNH_210823")</f>
        <v>https://patadovietnam.edu.vn/gtall_namnh/?utm_source=Facebook&amp;utm_medium=MES&amp;utm_term=NEW_KoreaSouth_1838_none_210823&amp;utm_content=saletructiep_Korea.anhsquid.1838.giaotiep_PTATT_LD169&amp;utm_campaign=Korea.giaotiep.anhsquid_95360_MES_NamNH_210823</v>
      </c>
      <c r="U124" s="110" t="s">
        <v>2074</v>
      </c>
    </row>
    <row r="125">
      <c r="A125" s="72">
        <v>45160.0</v>
      </c>
      <c r="B125" s="75" t="s">
        <v>1594</v>
      </c>
      <c r="C125" s="67" t="str">
        <f>IFERROR(__xludf.DUMMYFUNCTION("""COMPUTED_VALUE"""),"LD169")</f>
        <v>LD169</v>
      </c>
      <c r="D125" s="55" t="s">
        <v>42</v>
      </c>
      <c r="E125" s="55" t="s">
        <v>79</v>
      </c>
      <c r="F125" s="55" t="s">
        <v>164</v>
      </c>
      <c r="G125" s="55">
        <v>1838.0</v>
      </c>
      <c r="H125" s="55" t="s">
        <v>1137</v>
      </c>
      <c r="I125" s="55" t="s">
        <v>2079</v>
      </c>
      <c r="J125" s="55" t="s">
        <v>2080</v>
      </c>
      <c r="K125" s="55" t="s">
        <v>61</v>
      </c>
      <c r="L125" s="55">
        <v>95360.0</v>
      </c>
      <c r="M125" s="55" t="s">
        <v>78</v>
      </c>
      <c r="N125" s="55" t="s">
        <v>79</v>
      </c>
      <c r="O125" s="55" t="s">
        <v>224</v>
      </c>
      <c r="P125" s="55" t="s">
        <v>110</v>
      </c>
      <c r="Q125" s="67" t="str">
        <f>IFERROR(__xludf.DUMMYFUNCTION("""COMPUTED_VALUE"""),"Taiwan.giaotiep.anhsquid_95360_MES_NamNH_220823")</f>
        <v>Taiwan.giaotiep.anhsquid_95360_MES_NamNH_220823</v>
      </c>
      <c r="R125" s="67" t="str">
        <f>IFERROR(__xludf.DUMMYFUNCTION("""COMPUTED_VALUE"""),"NEW_Taiwan_1838_none_220823")</f>
        <v>NEW_Taiwan_1838_none_220823</v>
      </c>
      <c r="S125" s="67" t="str">
        <f>IFERROR(__xludf.DUMMYFUNCTION("""COMPUTED_VALUE"""),"saletructiep_Taiwan.anhsquid.1838.giaotiep_PTATT_LD169")</f>
        <v>saletructiep_Taiwan.anhsquid.1838.giaotiep_PTATT_LD169</v>
      </c>
      <c r="T125" s="107" t="str">
        <f>IFERROR(__xludf.DUMMYFUNCTION("""COMPUTED_VALUE"""),"https://patadovietnam.edu.vn/gtall_namnh/?utm_source=Facebook&amp;utm_medium=MES&amp;utm_term=NEW_Taiwan_1838_none_220823&amp;utm_content=saletructiep_Taiwan.anhsquid.1838.giaotiep_PTATT_LD169&amp;utm_campaign=Taiwan.giaotiep.anhsquid_95360_MES_NamNH_220823")</f>
        <v>https://patadovietnam.edu.vn/gtall_namnh/?utm_source=Facebook&amp;utm_medium=MES&amp;utm_term=NEW_Taiwan_1838_none_220823&amp;utm_content=saletructiep_Taiwan.anhsquid.1838.giaotiep_PTATT_LD169&amp;utm_campaign=Taiwan.giaotiep.anhsquid_95360_MES_NamNH_220823</v>
      </c>
      <c r="U125" s="110" t="s">
        <v>2084</v>
      </c>
    </row>
    <row r="126">
      <c r="A126" s="72">
        <v>45159.0</v>
      </c>
      <c r="B126" s="75" t="s">
        <v>1245</v>
      </c>
      <c r="C126" s="67" t="str">
        <f>IFERROR(__xludf.DUMMYFUNCTION("""COMPUTED_VALUE"""),"LD161")</f>
        <v>LD161</v>
      </c>
      <c r="D126" s="55" t="s">
        <v>42</v>
      </c>
      <c r="E126" s="55" t="s">
        <v>79</v>
      </c>
      <c r="F126" s="55" t="s">
        <v>107</v>
      </c>
      <c r="G126" s="55">
        <v>2045.0</v>
      </c>
      <c r="H126" s="55" t="s">
        <v>1137</v>
      </c>
      <c r="I126" s="55" t="s">
        <v>2087</v>
      </c>
      <c r="J126" s="55" t="s">
        <v>2088</v>
      </c>
      <c r="K126" s="55" t="s">
        <v>61</v>
      </c>
      <c r="L126" s="55">
        <v>16917.0</v>
      </c>
      <c r="M126" s="55" t="s">
        <v>78</v>
      </c>
      <c r="N126" s="55" t="s">
        <v>79</v>
      </c>
      <c r="O126" s="55" t="s">
        <v>224</v>
      </c>
      <c r="P126" s="55" t="s">
        <v>110</v>
      </c>
      <c r="Q126" s="67" t="str">
        <f>IFERROR(__xludf.DUMMYFUNCTION("""COMPUTED_VALUE"""),"UnitedStates.giaotiep.anhsquid_16917_MES_NamNH_210823")</f>
        <v>UnitedStates.giaotiep.anhsquid_16917_MES_NamNH_210823</v>
      </c>
      <c r="R126" s="67" t="str">
        <f>IFERROR(__xludf.DUMMYFUNCTION("""COMPUTED_VALUE"""),"NEW_UnitedStates_2045_none_210823")</f>
        <v>NEW_UnitedStates_2045_none_210823</v>
      </c>
      <c r="S126" s="67" t="str">
        <f>IFERROR(__xludf.DUMMYFUNCTION("""COMPUTED_VALUE"""),"saletructiep_UnitedStates.anhsquid.2045.giaotiep_PTATT_LD161")</f>
        <v>saletructiep_UnitedStates.anhsquid.2045.giaotiep_PTATT_LD161</v>
      </c>
      <c r="T126" s="107" t="str">
        <f>IFERROR(__xludf.DUMMYFUNCTION("""COMPUTED_VALUE"""),"https://patadovietnam.edu.vn/gtusa1_nhn/?utm_source=Facebook&amp;utm_medium=MES&amp;utm_term=NEW_UnitedStates_2045_none_210823&amp;utm_content=saletructiep_UnitedStates.anhsquid.2045.giaotiep_PTATT_LD161&amp;utm_campaign=UnitedStates.giaotiep.anhsquid_16917_MES_NamNH_210"&amp;"823")</f>
        <v>https://patadovietnam.edu.vn/gtusa1_nhn/?utm_source=Facebook&amp;utm_medium=MES&amp;utm_term=NEW_UnitedStates_2045_none_210823&amp;utm_content=saletructiep_UnitedStates.anhsquid.2045.giaotiep_PTATT_LD161&amp;utm_campaign=UnitedStates.giaotiep.anhsquid_16917_MES_NamNH_210823</v>
      </c>
      <c r="U126" s="110" t="s">
        <v>2092</v>
      </c>
    </row>
    <row r="127">
      <c r="A127" s="72">
        <v>45159.0</v>
      </c>
      <c r="B127" s="75" t="s">
        <v>1594</v>
      </c>
      <c r="C127" s="67" t="str">
        <f>IFERROR(__xludf.DUMMYFUNCTION("""COMPUTED_VALUE"""),"LD169")</f>
        <v>LD169</v>
      </c>
      <c r="D127" s="55" t="s">
        <v>42</v>
      </c>
      <c r="E127" s="55" t="s">
        <v>79</v>
      </c>
      <c r="F127" s="55" t="s">
        <v>174</v>
      </c>
      <c r="G127" s="55">
        <v>1836.0</v>
      </c>
      <c r="H127" s="55" t="s">
        <v>1137</v>
      </c>
      <c r="I127" s="55" t="s">
        <v>2096</v>
      </c>
      <c r="J127" s="55" t="s">
        <v>2098</v>
      </c>
      <c r="K127" s="55" t="s">
        <v>61</v>
      </c>
      <c r="L127" s="55">
        <v>95360.0</v>
      </c>
      <c r="M127" s="55" t="s">
        <v>78</v>
      </c>
      <c r="N127" s="55" t="s">
        <v>79</v>
      </c>
      <c r="O127" s="55" t="s">
        <v>224</v>
      </c>
      <c r="P127" s="55" t="s">
        <v>110</v>
      </c>
      <c r="Q127" s="67" t="str">
        <f>IFERROR(__xludf.DUMMYFUNCTION("""COMPUTED_VALUE"""),"Philippines.giaotiep.anhsquid_95360_MES_NamNH_210823")</f>
        <v>Philippines.giaotiep.anhsquid_95360_MES_NamNH_210823</v>
      </c>
      <c r="R127" s="67" t="str">
        <f>IFERROR(__xludf.DUMMYFUNCTION("""COMPUTED_VALUE"""),"NEW_Philippines_1836_none_210823")</f>
        <v>NEW_Philippines_1836_none_210823</v>
      </c>
      <c r="S127" s="67" t="str">
        <f>IFERROR(__xludf.DUMMYFUNCTION("""COMPUTED_VALUE"""),"saletructiep_Philippines.anhsquid.1836.giaotiep_PTATT_LD169")</f>
        <v>saletructiep_Philippines.anhsquid.1836.giaotiep_PTATT_LD169</v>
      </c>
      <c r="T127" s="107" t="str">
        <f>IFERROR(__xludf.DUMMYFUNCTION("""COMPUTED_VALUE"""),"https://patadovietnam.edu.vn/gtall_namnh/?utm_source=Facebook&amp;utm_medium=MES&amp;utm_term=NEW_Philippines_1836_none_210823&amp;utm_content=saletructiep_Philippines.anhsquid.1836.giaotiep_PTATT_LD169&amp;utm_campaign=Philippines.giaotiep.anhsquid_95360_MES_NamNH_21082"&amp;"3")</f>
        <v>https://patadovietnam.edu.vn/gtall_namnh/?utm_source=Facebook&amp;utm_medium=MES&amp;utm_term=NEW_Philippines_1836_none_210823&amp;utm_content=saletructiep_Philippines.anhsquid.1836.giaotiep_PTATT_LD169&amp;utm_campaign=Philippines.giaotiep.anhsquid_95360_MES_NamNH_210823</v>
      </c>
      <c r="U127" s="110" t="s">
        <v>2101</v>
      </c>
    </row>
    <row r="128">
      <c r="A128" s="72">
        <v>45159.0</v>
      </c>
      <c r="B128" s="75" t="s">
        <v>1245</v>
      </c>
      <c r="C128" s="67" t="str">
        <f>IFERROR(__xludf.DUMMYFUNCTION("""COMPUTED_VALUE"""),"LD161")</f>
        <v>LD161</v>
      </c>
      <c r="D128" s="55" t="s">
        <v>42</v>
      </c>
      <c r="E128" s="55" t="s">
        <v>79</v>
      </c>
      <c r="F128" s="55" t="s">
        <v>107</v>
      </c>
      <c r="G128" s="55">
        <v>2045.0</v>
      </c>
      <c r="H128" s="55" t="s">
        <v>1137</v>
      </c>
      <c r="I128" s="55" t="s">
        <v>2103</v>
      </c>
      <c r="J128" s="55" t="s">
        <v>2104</v>
      </c>
      <c r="K128" s="55" t="s">
        <v>61</v>
      </c>
      <c r="L128" s="55">
        <v>16917.0</v>
      </c>
      <c r="M128" s="55" t="s">
        <v>78</v>
      </c>
      <c r="N128" s="55" t="s">
        <v>79</v>
      </c>
      <c r="O128" s="55" t="s">
        <v>224</v>
      </c>
      <c r="P128" s="55" t="s">
        <v>110</v>
      </c>
      <c r="Q128" s="67" t="str">
        <f>IFERROR(__xludf.DUMMYFUNCTION("""COMPUTED_VALUE"""),"UnitedStates.giaotiep.anhnote2_16917_MES_NamNH_210823")</f>
        <v>UnitedStates.giaotiep.anhnote2_16917_MES_NamNH_210823</v>
      </c>
      <c r="R128" s="67" t="str">
        <f>IFERROR(__xludf.DUMMYFUNCTION("""COMPUTED_VALUE"""),"NEW_UnitedStates_2045_none_210823")</f>
        <v>NEW_UnitedStates_2045_none_210823</v>
      </c>
      <c r="S128" s="67" t="str">
        <f>IFERROR(__xludf.DUMMYFUNCTION("""COMPUTED_VALUE"""),"saletructiep_UnitedStates.anhnote2.2045.giaotiep_PTATT_LD161")</f>
        <v>saletructiep_UnitedStates.anhnote2.2045.giaotiep_PTATT_LD161</v>
      </c>
      <c r="T128" s="107" t="str">
        <f>IFERROR(__xludf.DUMMYFUNCTION("""COMPUTED_VALUE"""),"https://patadovietnam.edu.vn/gtusa1_nhn/?utm_source=Facebook&amp;utm_medium=MES&amp;utm_term=NEW_UnitedStates_2045_none_210823&amp;utm_content=saletructiep_UnitedStates.anhnote2.2045.giaotiep_PTATT_LD161&amp;utm_campaign=UnitedStates.giaotiep.anhnote2_16917_MES_NamNH_210"&amp;"823")</f>
        <v>https://patadovietnam.edu.vn/gtusa1_nhn/?utm_source=Facebook&amp;utm_medium=MES&amp;utm_term=NEW_UnitedStates_2045_none_210823&amp;utm_content=saletructiep_UnitedStates.anhnote2.2045.giaotiep_PTATT_LD161&amp;utm_campaign=UnitedStates.giaotiep.anhnote2_16917_MES_NamNH_210823</v>
      </c>
      <c r="U128" s="110" t="s">
        <v>2109</v>
      </c>
    </row>
    <row r="129">
      <c r="A129" s="72">
        <v>45160.0</v>
      </c>
      <c r="B129" s="75" t="s">
        <v>1594</v>
      </c>
      <c r="C129" s="67" t="str">
        <f>IFERROR(__xludf.DUMMYFUNCTION("""COMPUTED_VALUE"""),"LD169")</f>
        <v>LD169</v>
      </c>
      <c r="D129" s="55" t="s">
        <v>42</v>
      </c>
      <c r="E129" s="55" t="s">
        <v>79</v>
      </c>
      <c r="F129" s="55" t="s">
        <v>164</v>
      </c>
      <c r="G129" s="55">
        <v>1838.0</v>
      </c>
      <c r="H129" s="55" t="s">
        <v>1137</v>
      </c>
      <c r="I129" s="55" t="s">
        <v>2112</v>
      </c>
      <c r="J129" s="55" t="s">
        <v>2114</v>
      </c>
      <c r="K129" s="55" t="s">
        <v>61</v>
      </c>
      <c r="L129" s="55">
        <v>95360.0</v>
      </c>
      <c r="M129" s="55" t="s">
        <v>78</v>
      </c>
      <c r="N129" s="55" t="s">
        <v>79</v>
      </c>
      <c r="O129" s="55" t="s">
        <v>224</v>
      </c>
      <c r="P129" s="55" t="s">
        <v>110</v>
      </c>
      <c r="Q129" s="67" t="str">
        <f>IFERROR(__xludf.DUMMYFUNCTION("""COMPUTED_VALUE"""),"Taiwan.giaotiep.anhnote2_95360_MES_NamNH_220823")</f>
        <v>Taiwan.giaotiep.anhnote2_95360_MES_NamNH_220823</v>
      </c>
      <c r="R129" s="67" t="str">
        <f>IFERROR(__xludf.DUMMYFUNCTION("""COMPUTED_VALUE"""),"NEW_Taiwan_1838_none_220823")</f>
        <v>NEW_Taiwan_1838_none_220823</v>
      </c>
      <c r="S129" s="67" t="str">
        <f>IFERROR(__xludf.DUMMYFUNCTION("""COMPUTED_VALUE"""),"saletructiep_Taiwan.anhnote2.1838.giaotiep_PTATT_LD169")</f>
        <v>saletructiep_Taiwan.anhnote2.1838.giaotiep_PTATT_LD169</v>
      </c>
      <c r="T129" s="107" t="str">
        <f>IFERROR(__xludf.DUMMYFUNCTION("""COMPUTED_VALUE"""),"https://patadovietnam.edu.vn/gtall_namnh/?utm_source=Facebook&amp;utm_medium=MES&amp;utm_term=NEW_Taiwan_1838_none_220823&amp;utm_content=saletructiep_Taiwan.anhnote2.1838.giaotiep_PTATT_LD169&amp;utm_campaign=Taiwan.giaotiep.anhnote2_95360_MES_NamNH_220823")</f>
        <v>https://patadovietnam.edu.vn/gtall_namnh/?utm_source=Facebook&amp;utm_medium=MES&amp;utm_term=NEW_Taiwan_1838_none_220823&amp;utm_content=saletructiep_Taiwan.anhnote2.1838.giaotiep_PTATT_LD169&amp;utm_campaign=Taiwan.giaotiep.anhnote2_95360_MES_NamNH_220823</v>
      </c>
      <c r="U129" s="110" t="s">
        <v>2120</v>
      </c>
    </row>
    <row r="130">
      <c r="A130" s="72">
        <v>45160.0</v>
      </c>
      <c r="B130" s="75" t="s">
        <v>1594</v>
      </c>
      <c r="C130" s="67" t="str">
        <f>IFERROR(__xludf.DUMMYFUNCTION("""COMPUTED_VALUE"""),"LD169")</f>
        <v>LD169</v>
      </c>
      <c r="D130" s="55" t="s">
        <v>42</v>
      </c>
      <c r="E130" s="55" t="s">
        <v>79</v>
      </c>
      <c r="F130" s="55" t="s">
        <v>625</v>
      </c>
      <c r="G130" s="55">
        <v>1838.0</v>
      </c>
      <c r="H130" s="55" t="s">
        <v>1137</v>
      </c>
      <c r="I130" s="55" t="s">
        <v>2121</v>
      </c>
      <c r="J130" s="55" t="s">
        <v>2122</v>
      </c>
      <c r="K130" s="55" t="s">
        <v>61</v>
      </c>
      <c r="L130" s="55">
        <v>95360.0</v>
      </c>
      <c r="M130" s="55" t="s">
        <v>78</v>
      </c>
      <c r="N130" s="55" t="s">
        <v>79</v>
      </c>
      <c r="O130" s="55" t="s">
        <v>224</v>
      </c>
      <c r="P130" s="55" t="s">
        <v>110</v>
      </c>
      <c r="Q130" s="67" t="str">
        <f>IFERROR(__xludf.DUMMYFUNCTION("""COMPUTED_VALUE"""),"Korea.giaotiep.anhnote2_95360_MES_NamNH_220823")</f>
        <v>Korea.giaotiep.anhnote2_95360_MES_NamNH_220823</v>
      </c>
      <c r="R130" s="67" t="str">
        <f>IFERROR(__xludf.DUMMYFUNCTION("""COMPUTED_VALUE"""),"NEW_KoreaSouth_1838_none_220823")</f>
        <v>NEW_KoreaSouth_1838_none_220823</v>
      </c>
      <c r="S130" s="67" t="str">
        <f>IFERROR(__xludf.DUMMYFUNCTION("""COMPUTED_VALUE"""),"saletructiep_Korea.anhnote2.1838.giaotiep_PTATT_LD169")</f>
        <v>saletructiep_Korea.anhnote2.1838.giaotiep_PTATT_LD169</v>
      </c>
      <c r="T130" s="107" t="str">
        <f>IFERROR(__xludf.DUMMYFUNCTION("""COMPUTED_VALUE"""),"https://patadovietnam.edu.vn/gtall_namnh/?utm_source=Facebook&amp;utm_medium=MES&amp;utm_term=NEW_KoreaSouth_1838_none_220823&amp;utm_content=saletructiep_Korea.anhnote2.1838.giaotiep_PTATT_LD169&amp;utm_campaign=Korea.giaotiep.anhnote2_95360_MES_NamNH_220823")</f>
        <v>https://patadovietnam.edu.vn/gtall_namnh/?utm_source=Facebook&amp;utm_medium=MES&amp;utm_term=NEW_KoreaSouth_1838_none_220823&amp;utm_content=saletructiep_Korea.anhnote2.1838.giaotiep_PTATT_LD169&amp;utm_campaign=Korea.giaotiep.anhnote2_95360_MES_NamNH_220823</v>
      </c>
      <c r="U130" s="110" t="s">
        <v>2128</v>
      </c>
    </row>
    <row r="131">
      <c r="A131" s="72">
        <v>45160.0</v>
      </c>
      <c r="B131" s="75" t="s">
        <v>1229</v>
      </c>
      <c r="C131" s="67" t="str">
        <f>IFERROR(__xludf.DUMMYFUNCTION("""COMPUTED_VALUE"""),"LD164")</f>
        <v>LD164</v>
      </c>
      <c r="D131" s="55" t="s">
        <v>42</v>
      </c>
      <c r="E131" s="55" t="s">
        <v>69</v>
      </c>
      <c r="F131" s="55" t="s">
        <v>133</v>
      </c>
      <c r="G131" s="55">
        <v>1840.0</v>
      </c>
      <c r="H131" s="55" t="s">
        <v>1137</v>
      </c>
      <c r="I131" s="55" t="s">
        <v>2130</v>
      </c>
      <c r="J131" s="55" t="s">
        <v>2131</v>
      </c>
      <c r="K131" s="55" t="s">
        <v>61</v>
      </c>
      <c r="L131" s="55">
        <v>16917.0</v>
      </c>
      <c r="M131" s="55" t="s">
        <v>78</v>
      </c>
      <c r="N131" s="55" t="s">
        <v>69</v>
      </c>
      <c r="O131" s="55" t="s">
        <v>224</v>
      </c>
      <c r="P131" s="55" t="s">
        <v>110</v>
      </c>
      <c r="Q131" s="67" t="str">
        <f>IFERROR(__xludf.DUMMYFUNCTION("""COMPUTED_VALUE"""),"Japan.giaotiep.anhsquid_16917_CVS_NamNH_220823")</f>
        <v>Japan.giaotiep.anhsquid_16917_CVS_NamNH_220823</v>
      </c>
      <c r="R131" s="67" t="str">
        <f>IFERROR(__xludf.DUMMYFUNCTION("""COMPUTED_VALUE"""),"NEW_Japan_1840_none_220823")</f>
        <v>NEW_Japan_1840_none_220823</v>
      </c>
      <c r="S131" s="67" t="str">
        <f>IFERROR(__xludf.DUMMYFUNCTION("""COMPUTED_VALUE"""),"saletructiep_Japan.anhsquid.1840.giaotiep_PTATT_LD164")</f>
        <v>saletructiep_Japan.anhsquid.1840.giaotiep_PTATT_LD164</v>
      </c>
      <c r="T131" s="107" t="str">
        <f>IFERROR(__xludf.DUMMYFUNCTION("""COMPUTED_VALUE"""),"https://patadovietnam.edu.vn/gtjapan_nhn3/?utm_source=Facebook&amp;utm_medium=CVS&amp;utm_term=NEW_Japan_1840_none_220823&amp;utm_content=saletructiep_Japan.anhsquid.1840.giaotiep_PTATT_LD164&amp;utm_campaign=Japan.giaotiep.anhsquid_16917_CVS_NamNH_220823")</f>
        <v>https://patadovietnam.edu.vn/gtjapan_nhn3/?utm_source=Facebook&amp;utm_medium=CVS&amp;utm_term=NEW_Japan_1840_none_220823&amp;utm_content=saletructiep_Japan.anhsquid.1840.giaotiep_PTATT_LD164&amp;utm_campaign=Japan.giaotiep.anhsquid_16917_CVS_NamNH_220823</v>
      </c>
      <c r="U131" s="110" t="s">
        <v>2137</v>
      </c>
    </row>
    <row r="132">
      <c r="A132" s="72">
        <v>45169.0</v>
      </c>
      <c r="B132" s="75" t="s">
        <v>1594</v>
      </c>
      <c r="C132" s="67" t="str">
        <f>IFERROR(__xludf.DUMMYFUNCTION("""COMPUTED_VALUE"""),"LD169")</f>
        <v>LD169</v>
      </c>
      <c r="D132" s="55" t="s">
        <v>42</v>
      </c>
      <c r="E132" s="55" t="s">
        <v>79</v>
      </c>
      <c r="F132" s="55" t="s">
        <v>625</v>
      </c>
      <c r="G132" s="55">
        <v>1840.0</v>
      </c>
      <c r="H132" s="55" t="s">
        <v>1137</v>
      </c>
      <c r="I132" s="55" t="s">
        <v>2140</v>
      </c>
      <c r="J132" s="55" t="s">
        <v>2141</v>
      </c>
      <c r="K132" s="55" t="s">
        <v>61</v>
      </c>
      <c r="L132" s="55">
        <v>95360.0</v>
      </c>
      <c r="M132" s="55" t="s">
        <v>78</v>
      </c>
      <c r="N132" s="55" t="s">
        <v>79</v>
      </c>
      <c r="O132" s="55" t="s">
        <v>224</v>
      </c>
      <c r="P132" s="55" t="s">
        <v>110</v>
      </c>
      <c r="Q132" s="67" t="str">
        <f>IFERROR(__xludf.DUMMYFUNCTION("""COMPUTED_VALUE"""),"Korea.giaotiep.anhnote3_95360_MES_NamNH_310823")</f>
        <v>Korea.giaotiep.anhnote3_95360_MES_NamNH_310823</v>
      </c>
      <c r="R132" s="67" t="str">
        <f>IFERROR(__xludf.DUMMYFUNCTION("""COMPUTED_VALUE"""),"NEW_KoreaSouth_1840_none_310823")</f>
        <v>NEW_KoreaSouth_1840_none_310823</v>
      </c>
      <c r="S132" s="67" t="str">
        <f>IFERROR(__xludf.DUMMYFUNCTION("""COMPUTED_VALUE"""),"saletructiep_Korea.anhnote3.1840.giaotiep_PTATT_LD169")</f>
        <v>saletructiep_Korea.anhnote3.1840.giaotiep_PTATT_LD169</v>
      </c>
      <c r="T132" s="107" t="str">
        <f>IFERROR(__xludf.DUMMYFUNCTION("""COMPUTED_VALUE"""),"https://patadovietnam.edu.vn/gtall_namnh/?utm_source=Facebook&amp;utm_medium=MES&amp;utm_term=NEW_KoreaSouth_1840_none_310823&amp;utm_content=saletructiep_Korea.anhnote3.1840.giaotiep_PTATT_LD169&amp;utm_campaign=Korea.giaotiep.anhnote3_95360_MES_NamNH_310823")</f>
        <v>https://patadovietnam.edu.vn/gtall_namnh/?utm_source=Facebook&amp;utm_medium=MES&amp;utm_term=NEW_KoreaSouth_1840_none_310823&amp;utm_content=saletructiep_Korea.anhnote3.1840.giaotiep_PTATT_LD169&amp;utm_campaign=Korea.giaotiep.anhnote3_95360_MES_NamNH_310823</v>
      </c>
      <c r="U132" s="110" t="s">
        <v>2147</v>
      </c>
    </row>
    <row r="133">
      <c r="A133" s="72">
        <v>45169.0</v>
      </c>
      <c r="B133" s="75" t="s">
        <v>1594</v>
      </c>
      <c r="C133" s="67" t="str">
        <f>IFERROR(__xludf.DUMMYFUNCTION("""COMPUTED_VALUE"""),"LD169")</f>
        <v>LD169</v>
      </c>
      <c r="D133" s="55" t="s">
        <v>42</v>
      </c>
      <c r="E133" s="55" t="s">
        <v>79</v>
      </c>
      <c r="F133" s="55" t="s">
        <v>174</v>
      </c>
      <c r="G133" s="55">
        <v>1836.0</v>
      </c>
      <c r="H133" s="55" t="s">
        <v>1137</v>
      </c>
      <c r="I133" s="55" t="s">
        <v>2148</v>
      </c>
      <c r="J133" s="55" t="s">
        <v>2149</v>
      </c>
      <c r="K133" s="55" t="s">
        <v>61</v>
      </c>
      <c r="L133" s="55">
        <v>95360.0</v>
      </c>
      <c r="M133" s="55" t="s">
        <v>78</v>
      </c>
      <c r="N133" s="55" t="s">
        <v>79</v>
      </c>
      <c r="O133" s="55" t="s">
        <v>224</v>
      </c>
      <c r="P133" s="55" t="s">
        <v>110</v>
      </c>
      <c r="Q133" s="67" t="str">
        <f>IFERROR(__xludf.DUMMYFUNCTION("""COMPUTED_VALUE"""),"Philippines.giaotiep.anhnote3_95360_MES_NamNH_310823")</f>
        <v>Philippines.giaotiep.anhnote3_95360_MES_NamNH_310823</v>
      </c>
      <c r="R133" s="67" t="str">
        <f>IFERROR(__xludf.DUMMYFUNCTION("""COMPUTED_VALUE"""),"NEW_Philippines_1836_none_310823")</f>
        <v>NEW_Philippines_1836_none_310823</v>
      </c>
      <c r="S133" s="67" t="str">
        <f>IFERROR(__xludf.DUMMYFUNCTION("""COMPUTED_VALUE"""),"saletructiep_Philippines.anhnote3.1836.giaotiep_PTATT_LD169")</f>
        <v>saletructiep_Philippines.anhnote3.1836.giaotiep_PTATT_LD169</v>
      </c>
      <c r="T133" s="107" t="str">
        <f>IFERROR(__xludf.DUMMYFUNCTION("""COMPUTED_VALUE"""),"https://patadovietnam.edu.vn/gtall_namnh/?utm_source=Facebook&amp;utm_medium=MES&amp;utm_term=NEW_Philippines_1836_none_310823&amp;utm_content=saletructiep_Philippines.anhnote3.1836.giaotiep_PTATT_LD169&amp;utm_campaign=Philippines.giaotiep.anhnote3_95360_MES_NamNH_31082"&amp;"3")</f>
        <v>https://patadovietnam.edu.vn/gtall_namnh/?utm_source=Facebook&amp;utm_medium=MES&amp;utm_term=NEW_Philippines_1836_none_310823&amp;utm_content=saletructiep_Philippines.anhnote3.1836.giaotiep_PTATT_LD169&amp;utm_campaign=Philippines.giaotiep.anhnote3_95360_MES_NamNH_310823</v>
      </c>
      <c r="U133" s="110" t="s">
        <v>2157</v>
      </c>
    </row>
    <row r="134">
      <c r="A134" s="72">
        <v>45169.0</v>
      </c>
      <c r="B134" s="75" t="s">
        <v>1594</v>
      </c>
      <c r="C134" s="67" t="str">
        <f>IFERROR(__xludf.DUMMYFUNCTION("""COMPUTED_VALUE"""),"LD169")</f>
        <v>LD169</v>
      </c>
      <c r="D134" s="55" t="s">
        <v>42</v>
      </c>
      <c r="E134" s="55" t="s">
        <v>79</v>
      </c>
      <c r="F134" s="55" t="s">
        <v>129</v>
      </c>
      <c r="G134" s="55">
        <v>1843.0</v>
      </c>
      <c r="H134" s="55" t="s">
        <v>1137</v>
      </c>
      <c r="I134" s="55" t="s">
        <v>2160</v>
      </c>
      <c r="J134" s="55" t="s">
        <v>2161</v>
      </c>
      <c r="K134" s="55" t="s">
        <v>61</v>
      </c>
      <c r="L134" s="55">
        <v>95360.0</v>
      </c>
      <c r="M134" s="55" t="s">
        <v>78</v>
      </c>
      <c r="N134" s="55" t="s">
        <v>79</v>
      </c>
      <c r="O134" s="55" t="s">
        <v>224</v>
      </c>
      <c r="P134" s="55" t="s">
        <v>110</v>
      </c>
      <c r="Q134" s="67" t="str">
        <f>IFERROR(__xludf.DUMMYFUNCTION("""COMPUTED_VALUE"""),"Australia.giaotiep.anhnote3_95360_MES_NamNH_310823")</f>
        <v>Australia.giaotiep.anhnote3_95360_MES_NamNH_310823</v>
      </c>
      <c r="R134" s="67" t="str">
        <f>IFERROR(__xludf.DUMMYFUNCTION("""COMPUTED_VALUE"""),"NEW_Australia_1843_none_310823")</f>
        <v>NEW_Australia_1843_none_310823</v>
      </c>
      <c r="S134" s="67" t="str">
        <f>IFERROR(__xludf.DUMMYFUNCTION("""COMPUTED_VALUE"""),"saletructiep_Australia.anhnote3.1843.giaotiep_PTATT_LD169")</f>
        <v>saletructiep_Australia.anhnote3.1843.giaotiep_PTATT_LD169</v>
      </c>
      <c r="T134" s="107" t="str">
        <f>IFERROR(__xludf.DUMMYFUNCTION("""COMPUTED_VALUE"""),"https://patadovietnam.edu.vn/gtall_namnh/?utm_source=Facebook&amp;utm_medium=MES&amp;utm_term=NEW_Australia_1843_none_310823&amp;utm_content=saletructiep_Australia.anhnote3.1843.giaotiep_PTATT_LD169&amp;utm_campaign=Australia.giaotiep.anhnote3_95360_MES_NamNH_310823")</f>
        <v>https://patadovietnam.edu.vn/gtall_namnh/?utm_source=Facebook&amp;utm_medium=MES&amp;utm_term=NEW_Australia_1843_none_310823&amp;utm_content=saletructiep_Australia.anhnote3.1843.giaotiep_PTATT_LD169&amp;utm_campaign=Australia.giaotiep.anhnote3_95360_MES_NamNH_310823</v>
      </c>
      <c r="U134" s="110" t="s">
        <v>2166</v>
      </c>
    </row>
    <row r="135">
      <c r="A135" s="72">
        <v>45174.0</v>
      </c>
      <c r="B135" s="75" t="s">
        <v>1594</v>
      </c>
      <c r="C135" s="67" t="str">
        <f>IFERROR(__xludf.DUMMYFUNCTION("""COMPUTED_VALUE"""),"LD169")</f>
        <v>LD169</v>
      </c>
      <c r="D135" s="55" t="s">
        <v>42</v>
      </c>
      <c r="E135" s="55" t="s">
        <v>79</v>
      </c>
      <c r="F135" s="55" t="s">
        <v>112</v>
      </c>
      <c r="G135" s="55">
        <v>2043.0</v>
      </c>
      <c r="H135" s="55" t="s">
        <v>1137</v>
      </c>
      <c r="I135" s="55" t="s">
        <v>2170</v>
      </c>
      <c r="J135" s="55" t="s">
        <v>2172</v>
      </c>
      <c r="K135" s="55" t="s">
        <v>61</v>
      </c>
      <c r="L135" s="55">
        <v>95360.0</v>
      </c>
      <c r="M135" s="55" t="s">
        <v>78</v>
      </c>
      <c r="N135" s="55" t="s">
        <v>79</v>
      </c>
      <c r="O135" s="55" t="s">
        <v>224</v>
      </c>
      <c r="P135" s="55" t="s">
        <v>110</v>
      </c>
      <c r="Q135" s="67" t="str">
        <f>IFERROR(__xludf.DUMMYFUNCTION("""COMPUTED_VALUE"""),"Canada.giaotiep.anhnote3_95360_MES_NamNH_050923")</f>
        <v>Canada.giaotiep.anhnote3_95360_MES_NamNH_050923</v>
      </c>
      <c r="R135" s="67" t="str">
        <f>IFERROR(__xludf.DUMMYFUNCTION("""COMPUTED_VALUE"""),"NEW_Canada_2043_none_050923")</f>
        <v>NEW_Canada_2043_none_050923</v>
      </c>
      <c r="S135" s="67" t="str">
        <f>IFERROR(__xludf.DUMMYFUNCTION("""COMPUTED_VALUE"""),"saletructiep_Canada.anhnote3.2043.giaotiep_PTATT_LD169")</f>
        <v>saletructiep_Canada.anhnote3.2043.giaotiep_PTATT_LD169</v>
      </c>
      <c r="T135" s="107" t="str">
        <f>IFERROR(__xludf.DUMMYFUNCTION("""COMPUTED_VALUE"""),"https://patadovietnam.edu.vn/gtall_namnh/?utm_source=Facebook&amp;utm_medium=MES&amp;utm_term=NEW_Canada_2043_none_050923&amp;utm_content=saletructiep_Canada.anhnote3.2043.giaotiep_PTATT_LD169&amp;utm_campaign=Canada.giaotiep.anhnote3_95360_MES_NamNH_050923")</f>
        <v>https://patadovietnam.edu.vn/gtall_namnh/?utm_source=Facebook&amp;utm_medium=MES&amp;utm_term=NEW_Canada_2043_none_050923&amp;utm_content=saletructiep_Canada.anhnote3.2043.giaotiep_PTATT_LD169&amp;utm_campaign=Canada.giaotiep.anhnote3_95360_MES_NamNH_050923</v>
      </c>
      <c r="U135" s="110" t="s">
        <v>2174</v>
      </c>
    </row>
    <row r="136">
      <c r="A136" s="122">
        <v>45174.0</v>
      </c>
      <c r="B136" s="123" t="s">
        <v>1245</v>
      </c>
      <c r="C136" s="124" t="str">
        <f>IFERROR(__xludf.DUMMYFUNCTION("""COMPUTED_VALUE"""),"LD161")</f>
        <v>LD161</v>
      </c>
      <c r="D136" s="125" t="s">
        <v>42</v>
      </c>
      <c r="E136" s="125" t="s">
        <v>79</v>
      </c>
      <c r="F136" s="125" t="s">
        <v>107</v>
      </c>
      <c r="G136" s="125">
        <v>2045.0</v>
      </c>
      <c r="H136" s="125" t="s">
        <v>1137</v>
      </c>
      <c r="I136" s="125" t="s">
        <v>2177</v>
      </c>
      <c r="J136" s="125" t="s">
        <v>2178</v>
      </c>
      <c r="K136" s="125" t="s">
        <v>61</v>
      </c>
      <c r="L136" s="125">
        <v>16917.0</v>
      </c>
      <c r="M136" s="125" t="s">
        <v>78</v>
      </c>
      <c r="N136" s="125" t="s">
        <v>79</v>
      </c>
      <c r="O136" s="125" t="s">
        <v>224</v>
      </c>
      <c r="P136" s="125" t="s">
        <v>110</v>
      </c>
      <c r="Q136" s="124" t="str">
        <f>IFERROR(__xludf.DUMMYFUNCTION("""COMPUTED_VALUE"""),"UnitedStates.giaotiep.anhnote3_16917_MES_NamNH_050923")</f>
        <v>UnitedStates.giaotiep.anhnote3_16917_MES_NamNH_050923</v>
      </c>
      <c r="R136" s="124" t="str">
        <f>IFERROR(__xludf.DUMMYFUNCTION("""COMPUTED_VALUE"""),"NEW_UnitedStates_2045_none_050923")</f>
        <v>NEW_UnitedStates_2045_none_050923</v>
      </c>
      <c r="S136" s="124" t="str">
        <f>IFERROR(__xludf.DUMMYFUNCTION("""COMPUTED_VALUE"""),"saletructiep_UnitedStates.anhnote3.2045.giaotiep_PTATT_LD161")</f>
        <v>saletructiep_UnitedStates.anhnote3.2045.giaotiep_PTATT_LD161</v>
      </c>
      <c r="T136" s="126" t="str">
        <f>IFERROR(__xludf.DUMMYFUNCTION("""COMPUTED_VALUE"""),"https://patadovietnam.edu.vn/gtusa1_nhn/?utm_source=Facebook&amp;utm_medium=MES&amp;utm_term=NEW_UnitedStates_2045_none_050923&amp;utm_content=saletructiep_UnitedStates.anhnote3.2045.giaotiep_PTATT_LD161&amp;utm_campaign=UnitedStates.giaotiep.anhnote3_16917_MES_NamNH_050"&amp;"923")</f>
        <v>https://patadovietnam.edu.vn/gtusa1_nhn/?utm_source=Facebook&amp;utm_medium=MES&amp;utm_term=NEW_UnitedStates_2045_none_050923&amp;utm_content=saletructiep_UnitedStates.anhnote3.2045.giaotiep_PTATT_LD161&amp;utm_campaign=UnitedStates.giaotiep.anhnote3_16917_MES_NamNH_050923</v>
      </c>
      <c r="U136" s="144" t="s">
        <v>2183</v>
      </c>
    </row>
    <row r="137">
      <c r="A137" s="72">
        <v>45174.0</v>
      </c>
      <c r="B137" s="75" t="s">
        <v>1594</v>
      </c>
      <c r="C137" s="67" t="str">
        <f>IFERROR(__xludf.DUMMYFUNCTION("""COMPUTED_VALUE"""),"LD169")</f>
        <v>LD169</v>
      </c>
      <c r="D137" s="55" t="s">
        <v>42</v>
      </c>
      <c r="E137" s="55" t="s">
        <v>79</v>
      </c>
      <c r="F137" s="55" t="s">
        <v>625</v>
      </c>
      <c r="G137" s="55">
        <v>1840.0</v>
      </c>
      <c r="H137" s="55" t="s">
        <v>1137</v>
      </c>
      <c r="I137" s="55" t="s">
        <v>2187</v>
      </c>
      <c r="J137" s="55" t="s">
        <v>2188</v>
      </c>
      <c r="K137" s="55" t="s">
        <v>61</v>
      </c>
      <c r="L137" s="55">
        <v>95360.0</v>
      </c>
      <c r="M137" s="55" t="s">
        <v>78</v>
      </c>
      <c r="N137" s="55" t="s">
        <v>79</v>
      </c>
      <c r="O137" s="55" t="s">
        <v>224</v>
      </c>
      <c r="P137" s="55" t="s">
        <v>110</v>
      </c>
      <c r="Q137" s="67" t="str">
        <f>IFERROR(__xludf.DUMMYFUNCTION("""COMPUTED_VALUE"""),"Korea.giaotiep.anhltx2_95360_MES_NamNH_050923")</f>
        <v>Korea.giaotiep.anhltx2_95360_MES_NamNH_050923</v>
      </c>
      <c r="R137" s="67" t="str">
        <f>IFERROR(__xludf.DUMMYFUNCTION("""COMPUTED_VALUE"""),"NEW_KoreaSouth_1840_none_050923")</f>
        <v>NEW_KoreaSouth_1840_none_050923</v>
      </c>
      <c r="S137" s="67" t="str">
        <f>IFERROR(__xludf.DUMMYFUNCTION("""COMPUTED_VALUE"""),"saletructiep_Korea.anhltx2.1840.giaotiep_PTATT_LD169")</f>
        <v>saletructiep_Korea.anhltx2.1840.giaotiep_PTATT_LD169</v>
      </c>
      <c r="T137" s="107" t="str">
        <f>IFERROR(__xludf.DUMMYFUNCTION("""COMPUTED_VALUE"""),"https://patadovietnam.edu.vn/gtall_namnh/?utm_source=Facebook&amp;utm_medium=MES&amp;utm_term=NEW_KoreaSouth_1840_none_050923&amp;utm_content=saletructiep_Korea.anhltx2.1840.giaotiep_PTATT_LD169&amp;utm_campaign=Korea.giaotiep.anhltx2_95360_MES_NamNH_050923")</f>
        <v>https://patadovietnam.edu.vn/gtall_namnh/?utm_source=Facebook&amp;utm_medium=MES&amp;utm_term=NEW_KoreaSouth_1840_none_050923&amp;utm_content=saletructiep_Korea.anhltx2.1840.giaotiep_PTATT_LD169&amp;utm_campaign=Korea.giaotiep.anhltx2_95360_MES_NamNH_050923</v>
      </c>
      <c r="U137" s="110" t="s">
        <v>2192</v>
      </c>
    </row>
    <row r="138">
      <c r="A138" s="72">
        <v>45174.0</v>
      </c>
      <c r="B138" s="75" t="s">
        <v>1245</v>
      </c>
      <c r="C138" s="67" t="str">
        <f>IFERROR(__xludf.DUMMYFUNCTION("""COMPUTED_VALUE"""),"LD161")</f>
        <v>LD161</v>
      </c>
      <c r="D138" s="55" t="s">
        <v>42</v>
      </c>
      <c r="E138" s="55" t="s">
        <v>79</v>
      </c>
      <c r="F138" s="55" t="s">
        <v>107</v>
      </c>
      <c r="G138" s="55">
        <v>2045.0</v>
      </c>
      <c r="H138" s="55" t="s">
        <v>1137</v>
      </c>
      <c r="I138" s="55" t="s">
        <v>2193</v>
      </c>
      <c r="J138" s="55" t="s">
        <v>2194</v>
      </c>
      <c r="K138" s="55" t="s">
        <v>61</v>
      </c>
      <c r="L138" s="55">
        <v>95360.0</v>
      </c>
      <c r="M138" s="55" t="s">
        <v>78</v>
      </c>
      <c r="N138" s="55" t="s">
        <v>79</v>
      </c>
      <c r="O138" s="55" t="s">
        <v>224</v>
      </c>
      <c r="P138" s="55" t="s">
        <v>110</v>
      </c>
      <c r="Q138" s="67" t="str">
        <f>IFERROR(__xludf.DUMMYFUNCTION("""COMPUTED_VALUE"""),"UnitedStates.giaotiep.anhhot2_95360_MES_NamNH_050923")</f>
        <v>UnitedStates.giaotiep.anhhot2_95360_MES_NamNH_050923</v>
      </c>
      <c r="R138" s="67" t="str">
        <f>IFERROR(__xludf.DUMMYFUNCTION("""COMPUTED_VALUE"""),"NEW_UnitedStates_2045_none_050923")</f>
        <v>NEW_UnitedStates_2045_none_050923</v>
      </c>
      <c r="S138" s="67" t="str">
        <f>IFERROR(__xludf.DUMMYFUNCTION("""COMPUTED_VALUE"""),"saletructiep_UnitedStates.anhhot2.2045.giaotiep_PTATT_LD161")</f>
        <v>saletructiep_UnitedStates.anhhot2.2045.giaotiep_PTATT_LD161</v>
      </c>
      <c r="T138" s="107" t="str">
        <f>IFERROR(__xludf.DUMMYFUNCTION("""COMPUTED_VALUE"""),"https://patadovietnam.edu.vn/gtusa1_nhn/?utm_source=Facebook&amp;utm_medium=MES&amp;utm_term=NEW_UnitedStates_2045_none_050923&amp;utm_content=saletructiep_UnitedStates.anhhot2.2045.giaotiep_PTATT_LD161&amp;utm_campaign=UnitedStates.giaotiep.anhhot2_95360_MES_NamNH_05092"&amp;"3")</f>
        <v>https://patadovietnam.edu.vn/gtusa1_nhn/?utm_source=Facebook&amp;utm_medium=MES&amp;utm_term=NEW_UnitedStates_2045_none_050923&amp;utm_content=saletructiep_UnitedStates.anhhot2.2045.giaotiep_PTATT_LD161&amp;utm_campaign=UnitedStates.giaotiep.anhhot2_95360_MES_NamNH_050923</v>
      </c>
      <c r="U138" s="146" t="s">
        <v>2199</v>
      </c>
    </row>
    <row r="139">
      <c r="A139" s="72">
        <v>45174.0</v>
      </c>
      <c r="B139" s="75" t="s">
        <v>1594</v>
      </c>
      <c r="C139" s="67" t="str">
        <f>IFERROR(__xludf.DUMMYFUNCTION("""COMPUTED_VALUE"""),"LD169")</f>
        <v>LD169</v>
      </c>
      <c r="D139" s="55" t="s">
        <v>42</v>
      </c>
      <c r="E139" s="55" t="s">
        <v>79</v>
      </c>
      <c r="F139" s="55" t="s">
        <v>164</v>
      </c>
      <c r="G139" s="55">
        <v>1838.0</v>
      </c>
      <c r="H139" s="55" t="s">
        <v>1137</v>
      </c>
      <c r="I139" s="55" t="s">
        <v>2200</v>
      </c>
      <c r="J139" s="55" t="s">
        <v>2201</v>
      </c>
      <c r="K139" s="55" t="s">
        <v>61</v>
      </c>
      <c r="L139" s="55">
        <v>95360.0</v>
      </c>
      <c r="M139" s="55" t="s">
        <v>78</v>
      </c>
      <c r="N139" s="55" t="s">
        <v>79</v>
      </c>
      <c r="O139" s="55" t="s">
        <v>224</v>
      </c>
      <c r="P139" s="55" t="s">
        <v>110</v>
      </c>
      <c r="Q139" s="67" t="str">
        <f>IFERROR(__xludf.DUMMYFUNCTION("""COMPUTED_VALUE"""),"Taiwan.giaotiep.anhltx2_95360_MES_NamNH_050923")</f>
        <v>Taiwan.giaotiep.anhltx2_95360_MES_NamNH_050923</v>
      </c>
      <c r="R139" s="67" t="str">
        <f>IFERROR(__xludf.DUMMYFUNCTION("""COMPUTED_VALUE"""),"NEW_Taiwan_1838_none_050923")</f>
        <v>NEW_Taiwan_1838_none_050923</v>
      </c>
      <c r="S139" s="67" t="str">
        <f>IFERROR(__xludf.DUMMYFUNCTION("""COMPUTED_VALUE"""),"saletructiep_Taiwan.anhltx2.1838.giaotiep_PTATT_LD169")</f>
        <v>saletructiep_Taiwan.anhltx2.1838.giaotiep_PTATT_LD169</v>
      </c>
      <c r="T139" s="107" t="str">
        <f>IFERROR(__xludf.DUMMYFUNCTION("""COMPUTED_VALUE"""),"https://patadovietnam.edu.vn/gtall_namnh/?utm_source=Facebook&amp;utm_medium=MES&amp;utm_term=NEW_Taiwan_1838_none_050923&amp;utm_content=saletructiep_Taiwan.anhltx2.1838.giaotiep_PTATT_LD169&amp;utm_campaign=Taiwan.giaotiep.anhltx2_95360_MES_NamNH_050923")</f>
        <v>https://patadovietnam.edu.vn/gtall_namnh/?utm_source=Facebook&amp;utm_medium=MES&amp;utm_term=NEW_Taiwan_1838_none_050923&amp;utm_content=saletructiep_Taiwan.anhltx2.1838.giaotiep_PTATT_LD169&amp;utm_campaign=Taiwan.giaotiep.anhltx2_95360_MES_NamNH_050923</v>
      </c>
      <c r="U139" s="110" t="s">
        <v>2207</v>
      </c>
    </row>
    <row r="140">
      <c r="A140" s="72">
        <v>45175.0</v>
      </c>
      <c r="B140" s="75" t="s">
        <v>1594</v>
      </c>
      <c r="C140" s="67" t="str">
        <f>IFERROR(__xludf.DUMMYFUNCTION("""COMPUTED_VALUE"""),"LD169")</f>
        <v>LD169</v>
      </c>
      <c r="D140" s="55" t="s">
        <v>42</v>
      </c>
      <c r="E140" s="55" t="s">
        <v>79</v>
      </c>
      <c r="F140" s="55" t="s">
        <v>625</v>
      </c>
      <c r="G140" s="55">
        <v>1840.0</v>
      </c>
      <c r="H140" s="55" t="s">
        <v>1137</v>
      </c>
      <c r="I140" s="55" t="s">
        <v>2208</v>
      </c>
      <c r="J140" s="55" t="s">
        <v>2209</v>
      </c>
      <c r="K140" s="55" t="s">
        <v>61</v>
      </c>
      <c r="L140" s="55">
        <v>95360.0</v>
      </c>
      <c r="M140" s="55" t="s">
        <v>78</v>
      </c>
      <c r="N140" s="55" t="s">
        <v>79</v>
      </c>
      <c r="O140" s="55" t="s">
        <v>224</v>
      </c>
      <c r="P140" s="55" t="s">
        <v>110</v>
      </c>
      <c r="Q140" s="67" t="str">
        <f>IFERROR(__xludf.DUMMYFUNCTION("""COMPUTED_VALUE"""),"Korea.giaotiep.videoCNHV2_95360_MES_NamNH_060923")</f>
        <v>Korea.giaotiep.videoCNHV2_95360_MES_NamNH_060923</v>
      </c>
      <c r="R140" s="67" t="str">
        <f>IFERROR(__xludf.DUMMYFUNCTION("""COMPUTED_VALUE"""),"NEW_KoreaSouth_1840_none_060923")</f>
        <v>NEW_KoreaSouth_1840_none_060923</v>
      </c>
      <c r="S140" s="67" t="str">
        <f>IFERROR(__xludf.DUMMYFUNCTION("""COMPUTED_VALUE"""),"saletructiep_Korea.videoCNHV2.1840.giaotiep_PTATT_LD169")</f>
        <v>saletructiep_Korea.videoCNHV2.1840.giaotiep_PTATT_LD169</v>
      </c>
      <c r="T140" s="107" t="str">
        <f>IFERROR(__xludf.DUMMYFUNCTION("""COMPUTED_VALUE"""),"https://patadovietnam.edu.vn/gtall_namnh/?utm_source=Facebook&amp;utm_medium=MES&amp;utm_term=NEW_KoreaSouth_1840_none_060923&amp;utm_content=saletructiep_Korea.videoCNHV2.1840.giaotiep_PTATT_LD169&amp;utm_campaign=Korea.giaotiep.videoCNHV2_95360_MES_NamNH_060923")</f>
        <v>https://patadovietnam.edu.vn/gtall_namnh/?utm_source=Facebook&amp;utm_medium=MES&amp;utm_term=NEW_KoreaSouth_1840_none_060923&amp;utm_content=saletructiep_Korea.videoCNHV2.1840.giaotiep_PTATT_LD169&amp;utm_campaign=Korea.giaotiep.videoCNHV2_95360_MES_NamNH_060923</v>
      </c>
      <c r="U140" s="110" t="s">
        <v>2222</v>
      </c>
    </row>
    <row r="141">
      <c r="A141" s="72">
        <v>45175.0</v>
      </c>
      <c r="B141" s="75" t="s">
        <v>1594</v>
      </c>
      <c r="C141" s="67" t="str">
        <f>IFERROR(__xludf.DUMMYFUNCTION("""COMPUTED_VALUE"""),"LD169")</f>
        <v>LD169</v>
      </c>
      <c r="D141" s="55" t="s">
        <v>42</v>
      </c>
      <c r="E141" s="55" t="s">
        <v>79</v>
      </c>
      <c r="F141" s="55" t="s">
        <v>174</v>
      </c>
      <c r="G141" s="55">
        <v>1838.0</v>
      </c>
      <c r="H141" s="55" t="s">
        <v>1137</v>
      </c>
      <c r="I141" s="55" t="s">
        <v>2227</v>
      </c>
      <c r="J141" s="55" t="s">
        <v>2228</v>
      </c>
      <c r="K141" s="55" t="s">
        <v>61</v>
      </c>
      <c r="L141" s="55">
        <v>95360.0</v>
      </c>
      <c r="M141" s="55" t="s">
        <v>78</v>
      </c>
      <c r="N141" s="55" t="s">
        <v>79</v>
      </c>
      <c r="O141" s="55" t="s">
        <v>224</v>
      </c>
      <c r="P141" s="55" t="s">
        <v>110</v>
      </c>
      <c r="Q141" s="67" t="str">
        <f>IFERROR(__xludf.DUMMYFUNCTION("""COMPUTED_VALUE"""),"Philippines.giaotiep.videoCNHV2_95360_MES_NamNH_060923")</f>
        <v>Philippines.giaotiep.videoCNHV2_95360_MES_NamNH_060923</v>
      </c>
      <c r="R141" s="67" t="str">
        <f>IFERROR(__xludf.DUMMYFUNCTION("""COMPUTED_VALUE"""),"NEW_Philippines_1838_none_060923")</f>
        <v>NEW_Philippines_1838_none_060923</v>
      </c>
      <c r="S141" s="67" t="str">
        <f>IFERROR(__xludf.DUMMYFUNCTION("""COMPUTED_VALUE"""),"saletructiep_Philippines.videoCNHV2.1838.giaotiep_PTATT_LD169")</f>
        <v>saletructiep_Philippines.videoCNHV2.1838.giaotiep_PTATT_LD169</v>
      </c>
      <c r="T141" s="107" t="str">
        <f>IFERROR(__xludf.DUMMYFUNCTION("""COMPUTED_VALUE"""),"https://patadovietnam.edu.vn/gtall_namnh/?utm_source=Facebook&amp;utm_medium=MES&amp;utm_term=NEW_Philippines_1838_none_060923&amp;utm_content=saletructiep_Philippines.videoCNHV2.1838.giaotiep_PTATT_LD169&amp;utm_campaign=Philippines.giaotiep.videoCNHV2_95360_MES_NamNH_0"&amp;"60923")</f>
        <v>https://patadovietnam.edu.vn/gtall_namnh/?utm_source=Facebook&amp;utm_medium=MES&amp;utm_term=NEW_Philippines_1838_none_060923&amp;utm_content=saletructiep_Philippines.videoCNHV2.1838.giaotiep_PTATT_LD169&amp;utm_campaign=Philippines.giaotiep.videoCNHV2_95360_MES_NamNH_060923</v>
      </c>
      <c r="U141" s="110" t="s">
        <v>2229</v>
      </c>
    </row>
    <row r="142">
      <c r="A142" s="72">
        <v>45175.0</v>
      </c>
      <c r="B142" s="75" t="s">
        <v>1594</v>
      </c>
      <c r="C142" s="67" t="str">
        <f>IFERROR(__xludf.DUMMYFUNCTION("""COMPUTED_VALUE"""),"LD169")</f>
        <v>LD169</v>
      </c>
      <c r="D142" s="55" t="s">
        <v>42</v>
      </c>
      <c r="E142" s="55" t="s">
        <v>79</v>
      </c>
      <c r="F142" s="55" t="s">
        <v>174</v>
      </c>
      <c r="G142" s="55">
        <v>1838.0</v>
      </c>
      <c r="H142" s="55" t="s">
        <v>1137</v>
      </c>
      <c r="I142" s="55" t="s">
        <v>2232</v>
      </c>
      <c r="J142" s="55" t="s">
        <v>2233</v>
      </c>
      <c r="K142" s="55" t="s">
        <v>61</v>
      </c>
      <c r="L142" s="55">
        <v>95360.0</v>
      </c>
      <c r="M142" s="55" t="s">
        <v>78</v>
      </c>
      <c r="N142" s="55" t="s">
        <v>79</v>
      </c>
      <c r="O142" s="55" t="s">
        <v>224</v>
      </c>
      <c r="P142" s="55" t="s">
        <v>110</v>
      </c>
      <c r="Q142" s="67" t="str">
        <f>IFERROR(__xludf.DUMMYFUNCTION("""COMPUTED_VALUE"""),"Philippines.giaotiep.Hhot_95360_MES_NamNH_060923")</f>
        <v>Philippines.giaotiep.Hhot_95360_MES_NamNH_060923</v>
      </c>
      <c r="R142" s="67" t="str">
        <f>IFERROR(__xludf.DUMMYFUNCTION("""COMPUTED_VALUE"""),"NEW_Philippines_1838_none_060923")</f>
        <v>NEW_Philippines_1838_none_060923</v>
      </c>
      <c r="S142" s="67" t="str">
        <f>IFERROR(__xludf.DUMMYFUNCTION("""COMPUTED_VALUE"""),"saletructiep_Philippines.Hhot.1838.giaotiep_PTATT_LD169")</f>
        <v>saletructiep_Philippines.Hhot.1838.giaotiep_PTATT_LD169</v>
      </c>
      <c r="T142" s="107" t="str">
        <f>IFERROR(__xludf.DUMMYFUNCTION("""COMPUTED_VALUE"""),"https://patadovietnam.edu.vn/gtall_namnh/?utm_source=Facebook&amp;utm_medium=MES&amp;utm_term=NEW_Philippines_1838_none_060923&amp;utm_content=saletructiep_Philippines.Hhot.1838.giaotiep_PTATT_LD169&amp;utm_campaign=Philippines.giaotiep.Hhot_95360_MES_NamNH_060923")</f>
        <v>https://patadovietnam.edu.vn/gtall_namnh/?utm_source=Facebook&amp;utm_medium=MES&amp;utm_term=NEW_Philippines_1838_none_060923&amp;utm_content=saletructiep_Philippines.Hhot.1838.giaotiep_PTATT_LD169&amp;utm_campaign=Philippines.giaotiep.Hhot_95360_MES_NamNH_060923</v>
      </c>
      <c r="U142" s="110" t="s">
        <v>2238</v>
      </c>
    </row>
    <row r="143">
      <c r="A143" s="72">
        <v>45175.0</v>
      </c>
      <c r="B143" s="75" t="s">
        <v>1245</v>
      </c>
      <c r="C143" s="67" t="str">
        <f>IFERROR(__xludf.DUMMYFUNCTION("""COMPUTED_VALUE"""),"LD161")</f>
        <v>LD161</v>
      </c>
      <c r="D143" s="55" t="s">
        <v>42</v>
      </c>
      <c r="E143" s="55" t="s">
        <v>79</v>
      </c>
      <c r="F143" s="55" t="s">
        <v>107</v>
      </c>
      <c r="G143" s="55">
        <v>2045.0</v>
      </c>
      <c r="H143" s="55" t="s">
        <v>1137</v>
      </c>
      <c r="I143" s="55" t="s">
        <v>2239</v>
      </c>
      <c r="J143" s="55" t="s">
        <v>2240</v>
      </c>
      <c r="K143" s="55" t="s">
        <v>61</v>
      </c>
      <c r="L143" s="55">
        <v>16917.0</v>
      </c>
      <c r="M143" s="55" t="s">
        <v>78</v>
      </c>
      <c r="N143" s="55" t="s">
        <v>79</v>
      </c>
      <c r="O143" s="55" t="s">
        <v>224</v>
      </c>
      <c r="P143" s="55" t="s">
        <v>110</v>
      </c>
      <c r="Q143" s="67" t="str">
        <f>IFERROR(__xludf.DUMMYFUNCTION("""COMPUTED_VALUE"""),"UnitedStates.giaotiep.Hhot_16917_MES_NamNH_060923")</f>
        <v>UnitedStates.giaotiep.Hhot_16917_MES_NamNH_060923</v>
      </c>
      <c r="R143" s="67" t="str">
        <f>IFERROR(__xludf.DUMMYFUNCTION("""COMPUTED_VALUE"""),"NEW_UnitedStates_2045_none_060923")</f>
        <v>NEW_UnitedStates_2045_none_060923</v>
      </c>
      <c r="S143" s="67" t="str">
        <f>IFERROR(__xludf.DUMMYFUNCTION("""COMPUTED_VALUE"""),"saletructiep_UnitedStates.Hhot.2045.giaotiep_PTATT_LD161")</f>
        <v>saletructiep_UnitedStates.Hhot.2045.giaotiep_PTATT_LD161</v>
      </c>
      <c r="T143" s="107" t="str">
        <f>IFERROR(__xludf.DUMMYFUNCTION("""COMPUTED_VALUE"""),"https://patadovietnam.edu.vn/gtusa1_nhn/?utm_source=Facebook&amp;utm_medium=MES&amp;utm_term=NEW_UnitedStates_2045_none_060923&amp;utm_content=saletructiep_UnitedStates.Hhot.2045.giaotiep_PTATT_LD161&amp;utm_campaign=UnitedStates.giaotiep.Hhot_16917_MES_NamNH_060923")</f>
        <v>https://patadovietnam.edu.vn/gtusa1_nhn/?utm_source=Facebook&amp;utm_medium=MES&amp;utm_term=NEW_UnitedStates_2045_none_060923&amp;utm_content=saletructiep_UnitedStates.Hhot.2045.giaotiep_PTATT_LD161&amp;utm_campaign=UnitedStates.giaotiep.Hhot_16917_MES_NamNH_060923</v>
      </c>
      <c r="U143" s="110" t="s">
        <v>2244</v>
      </c>
    </row>
    <row r="144">
      <c r="A144" s="72">
        <v>45176.0</v>
      </c>
      <c r="B144" s="75" t="s">
        <v>1594</v>
      </c>
      <c r="C144" s="67" t="str">
        <f>IFERROR(__xludf.DUMMYFUNCTION("""COMPUTED_VALUE"""),"LD169")</f>
        <v>LD169</v>
      </c>
      <c r="D144" s="55" t="s">
        <v>42</v>
      </c>
      <c r="E144" s="55" t="s">
        <v>79</v>
      </c>
      <c r="F144" s="55" t="s">
        <v>164</v>
      </c>
      <c r="G144" s="55">
        <v>1838.0</v>
      </c>
      <c r="H144" s="55" t="s">
        <v>1137</v>
      </c>
      <c r="I144" s="55" t="s">
        <v>2245</v>
      </c>
      <c r="J144" s="55" t="s">
        <v>2246</v>
      </c>
      <c r="K144" s="55" t="s">
        <v>61</v>
      </c>
      <c r="L144" s="55">
        <v>95360.0</v>
      </c>
      <c r="M144" s="55" t="s">
        <v>78</v>
      </c>
      <c r="N144" s="55" t="s">
        <v>79</v>
      </c>
      <c r="O144" s="55" t="s">
        <v>224</v>
      </c>
      <c r="P144" s="55" t="s">
        <v>110</v>
      </c>
      <c r="Q144" s="67" t="str">
        <f>IFERROR(__xludf.DUMMYFUNCTION("""COMPUTED_VALUE"""),"Taiwan.giaotiep.Hhot_95360_MES_NamNH_070923")</f>
        <v>Taiwan.giaotiep.Hhot_95360_MES_NamNH_070923</v>
      </c>
      <c r="R144" s="67" t="str">
        <f>IFERROR(__xludf.DUMMYFUNCTION("""COMPUTED_VALUE"""),"NEW_Taiwan_1838_none_070923")</f>
        <v>NEW_Taiwan_1838_none_070923</v>
      </c>
      <c r="S144" s="67" t="str">
        <f>IFERROR(__xludf.DUMMYFUNCTION("""COMPUTED_VALUE"""),"saletructiep_Taiwan.Hhot.1838.giaotiep_PTATT_LD169")</f>
        <v>saletructiep_Taiwan.Hhot.1838.giaotiep_PTATT_LD169</v>
      </c>
      <c r="T144" s="107" t="str">
        <f>IFERROR(__xludf.DUMMYFUNCTION("""COMPUTED_VALUE"""),"https://patadovietnam.edu.vn/gtall_namnh/?utm_source=Facebook&amp;utm_medium=MES&amp;utm_term=NEW_Taiwan_1838_none_070923&amp;utm_content=saletructiep_Taiwan.Hhot.1838.giaotiep_PTATT_LD169&amp;utm_campaign=Taiwan.giaotiep.Hhot_95360_MES_NamNH_070923")</f>
        <v>https://patadovietnam.edu.vn/gtall_namnh/?utm_source=Facebook&amp;utm_medium=MES&amp;utm_term=NEW_Taiwan_1838_none_070923&amp;utm_content=saletructiep_Taiwan.Hhot.1838.giaotiep_PTATT_LD169&amp;utm_campaign=Taiwan.giaotiep.Hhot_95360_MES_NamNH_070923</v>
      </c>
      <c r="U144" s="110" t="s">
        <v>2251</v>
      </c>
    </row>
    <row r="145">
      <c r="A145" s="72">
        <v>45176.0</v>
      </c>
      <c r="B145" s="75" t="s">
        <v>1245</v>
      </c>
      <c r="C145" s="67" t="str">
        <f>IFERROR(__xludf.DUMMYFUNCTION("""COMPUTED_VALUE"""),"LD161")</f>
        <v>LD161</v>
      </c>
      <c r="D145" s="55" t="s">
        <v>42</v>
      </c>
      <c r="E145" s="55" t="s">
        <v>69</v>
      </c>
      <c r="F145" s="55" t="s">
        <v>107</v>
      </c>
      <c r="G145" s="55">
        <v>2045.0</v>
      </c>
      <c r="H145" s="55" t="s">
        <v>1137</v>
      </c>
      <c r="I145" s="55" t="s">
        <v>2252</v>
      </c>
      <c r="J145" s="55" t="s">
        <v>2254</v>
      </c>
      <c r="K145" s="55" t="s">
        <v>61</v>
      </c>
      <c r="L145" s="55">
        <v>16917.0</v>
      </c>
      <c r="M145" s="55" t="s">
        <v>78</v>
      </c>
      <c r="N145" s="55" t="s">
        <v>69</v>
      </c>
      <c r="O145" s="55" t="s">
        <v>224</v>
      </c>
      <c r="P145" s="55" t="s">
        <v>110</v>
      </c>
      <c r="Q145" s="67" t="str">
        <f>IFERROR(__xludf.DUMMYFUNCTION("""COMPUTED_VALUE"""),"UnitedStates.giaotiep.Gthocvien_16917_CVS_NamNH_070923")</f>
        <v>UnitedStates.giaotiep.Gthocvien_16917_CVS_NamNH_070923</v>
      </c>
      <c r="R145" s="67" t="str">
        <f>IFERROR(__xludf.DUMMYFUNCTION("""COMPUTED_VALUE"""),"NEW_UnitedStates_2045_none_070923")</f>
        <v>NEW_UnitedStates_2045_none_070923</v>
      </c>
      <c r="S145" s="67" t="str">
        <f>IFERROR(__xludf.DUMMYFUNCTION("""COMPUTED_VALUE"""),"saletructiep_UnitedStates.Gthocvien.2045.giaotiep_PTATT_LD161")</f>
        <v>saletructiep_UnitedStates.Gthocvien.2045.giaotiep_PTATT_LD161</v>
      </c>
      <c r="T145" s="107" t="str">
        <f>IFERROR(__xludf.DUMMYFUNCTION("""COMPUTED_VALUE"""),"https://patadovietnam.edu.vn/gtusa1_nhn/?utm_source=Facebook&amp;utm_medium=CVS&amp;utm_term=NEW_UnitedStates_2045_none_070923&amp;utm_content=saletructiep_UnitedStates.Gthocvien.2045.giaotiep_PTATT_LD161&amp;utm_campaign=UnitedStates.giaotiep.Gthocvien_16917_CVS_NamNH_0"&amp;"70923")</f>
        <v>https://patadovietnam.edu.vn/gtusa1_nhn/?utm_source=Facebook&amp;utm_medium=CVS&amp;utm_term=NEW_UnitedStates_2045_none_070923&amp;utm_content=saletructiep_UnitedStates.Gthocvien.2045.giaotiep_PTATT_LD161&amp;utm_campaign=UnitedStates.giaotiep.Gthocvien_16917_CVS_NamNH_070923</v>
      </c>
      <c r="U145" s="110" t="s">
        <v>2257</v>
      </c>
    </row>
    <row r="146">
      <c r="A146" s="72">
        <v>45177.0</v>
      </c>
      <c r="B146" s="75" t="s">
        <v>1594</v>
      </c>
      <c r="C146" s="67" t="str">
        <f>IFERROR(__xludf.DUMMYFUNCTION("""COMPUTED_VALUE"""),"LD169")</f>
        <v>LD169</v>
      </c>
      <c r="D146" s="55" t="s">
        <v>42</v>
      </c>
      <c r="E146" s="55" t="s">
        <v>69</v>
      </c>
      <c r="F146" s="55" t="s">
        <v>674</v>
      </c>
      <c r="G146" s="55">
        <v>1845.0</v>
      </c>
      <c r="H146" s="55" t="s">
        <v>1137</v>
      </c>
      <c r="I146" s="55" t="s">
        <v>2260</v>
      </c>
      <c r="J146" s="55" t="s">
        <v>2261</v>
      </c>
      <c r="K146" s="55" t="s">
        <v>61</v>
      </c>
      <c r="L146" s="55">
        <v>16917.0</v>
      </c>
      <c r="M146" s="55" t="s">
        <v>78</v>
      </c>
      <c r="N146" s="55" t="s">
        <v>69</v>
      </c>
      <c r="O146" s="55" t="s">
        <v>224</v>
      </c>
      <c r="P146" s="55" t="s">
        <v>110</v>
      </c>
      <c r="Q146" s="67" t="str">
        <f>IFERROR(__xludf.DUMMYFUNCTION("""COMPUTED_VALUE"""),"Europe.giaotiep.Hhot_16917_CVS_NamNH_080923")</f>
        <v>Europe.giaotiep.Hhot_16917_CVS_NamNH_080923</v>
      </c>
      <c r="R146" s="67" t="str">
        <f>IFERROR(__xludf.DUMMYFUNCTION("""COMPUTED_VALUE"""),"NEW_Europe_1845_none_080923")</f>
        <v>NEW_Europe_1845_none_080923</v>
      </c>
      <c r="S146" s="67" t="str">
        <f>IFERROR(__xludf.DUMMYFUNCTION("""COMPUTED_VALUE"""),"saletructiep_Europe.Hhot.1845.giaotiep_PTATT_LD169")</f>
        <v>saletructiep_Europe.Hhot.1845.giaotiep_PTATT_LD169</v>
      </c>
      <c r="T146" s="107" t="str">
        <f>IFERROR(__xludf.DUMMYFUNCTION("""COMPUTED_VALUE"""),"https://patadovietnam.edu.vn/gtall_namnh/?utm_source=Facebook&amp;utm_medium=CVS&amp;utm_term=NEW_Europe_1845_none_080923&amp;utm_content=saletructiep_Europe.Hhot.1845.giaotiep_PTATT_LD169&amp;utm_campaign=Europe.giaotiep.Hhot_16917_CVS_NamNH_080923")</f>
        <v>https://patadovietnam.edu.vn/gtall_namnh/?utm_source=Facebook&amp;utm_medium=CVS&amp;utm_term=NEW_Europe_1845_none_080923&amp;utm_content=saletructiep_Europe.Hhot.1845.giaotiep_PTATT_LD169&amp;utm_campaign=Europe.giaotiep.Hhot_16917_CVS_NamNH_080923</v>
      </c>
      <c r="U146" s="110" t="s">
        <v>2264</v>
      </c>
    </row>
    <row r="147">
      <c r="A147" s="72">
        <v>45178.0</v>
      </c>
      <c r="B147" s="75" t="s">
        <v>1594</v>
      </c>
      <c r="C147" s="67" t="str">
        <f>IFERROR(__xludf.DUMMYFUNCTION("""COMPUTED_VALUE"""),"LD169")</f>
        <v>LD169</v>
      </c>
      <c r="D147" s="55" t="s">
        <v>42</v>
      </c>
      <c r="E147" s="55" t="s">
        <v>79</v>
      </c>
      <c r="F147" s="55" t="s">
        <v>625</v>
      </c>
      <c r="G147" s="55">
        <v>1838.0</v>
      </c>
      <c r="H147" s="55" t="s">
        <v>1137</v>
      </c>
      <c r="I147" s="55" t="s">
        <v>2268</v>
      </c>
      <c r="J147" s="55" t="s">
        <v>2269</v>
      </c>
      <c r="K147" s="55" t="s">
        <v>61</v>
      </c>
      <c r="L147" s="55">
        <v>95360.0</v>
      </c>
      <c r="M147" s="55" t="s">
        <v>78</v>
      </c>
      <c r="N147" s="55" t="s">
        <v>79</v>
      </c>
      <c r="O147" s="55" t="s">
        <v>224</v>
      </c>
      <c r="P147" s="55" t="s">
        <v>110</v>
      </c>
      <c r="Q147" s="67" t="str">
        <f>IFERROR(__xludf.DUMMYFUNCTION("""COMPUTED_VALUE"""),"Korea.giaotiep.GThocvien_95360_MES_NamNH_090923")</f>
        <v>Korea.giaotiep.GThocvien_95360_MES_NamNH_090923</v>
      </c>
      <c r="R147" s="67" t="str">
        <f>IFERROR(__xludf.DUMMYFUNCTION("""COMPUTED_VALUE"""),"NEW_KoreaSouth_1838_none_090923")</f>
        <v>NEW_KoreaSouth_1838_none_090923</v>
      </c>
      <c r="S147" s="67" t="str">
        <f>IFERROR(__xludf.DUMMYFUNCTION("""COMPUTED_VALUE"""),"saletructiep_Korea.Hhot.1838.giaotiep_PTATT_LD169")</f>
        <v>saletructiep_Korea.Hhot.1838.giaotiep_PTATT_LD169</v>
      </c>
      <c r="T147" s="107" t="str">
        <f>IFERROR(__xludf.DUMMYFUNCTION("""COMPUTED_VALUE"""),"https://patadovietnam.edu.vn/gtall_namnh/?utm_source=Facebook&amp;utm_medium=MES&amp;utm_term=NEW_KoreaSouth_1838_none_090923&amp;utm_content=saletructiep_Korea.Hhot.1838.giaotiep_PTATT_LD169&amp;utm_campaign=Korea.giaotiep.GThocvien_95360_MES_NamNH_090923")</f>
        <v>https://patadovietnam.edu.vn/gtall_namnh/?utm_source=Facebook&amp;utm_medium=MES&amp;utm_term=NEW_KoreaSouth_1838_none_090923&amp;utm_content=saletructiep_Korea.Hhot.1838.giaotiep_PTATT_LD169&amp;utm_campaign=Korea.giaotiep.GThocvien_95360_MES_NamNH_090923</v>
      </c>
      <c r="U147" s="110" t="s">
        <v>2274</v>
      </c>
    </row>
    <row r="148">
      <c r="A148" s="72">
        <v>45177.0</v>
      </c>
      <c r="B148" s="75" t="s">
        <v>1594</v>
      </c>
      <c r="C148" s="67" t="str">
        <f>IFERROR(__xludf.DUMMYFUNCTION("""COMPUTED_VALUE"""),"LD169")</f>
        <v>LD169</v>
      </c>
      <c r="D148" s="55" t="s">
        <v>42</v>
      </c>
      <c r="E148" s="55" t="s">
        <v>79</v>
      </c>
      <c r="F148" s="55" t="s">
        <v>625</v>
      </c>
      <c r="G148" s="55">
        <v>1838.0</v>
      </c>
      <c r="H148" s="55" t="s">
        <v>1137</v>
      </c>
      <c r="I148" s="55" t="s">
        <v>2275</v>
      </c>
      <c r="J148" s="55" t="s">
        <v>2276</v>
      </c>
      <c r="K148" s="55" t="s">
        <v>61</v>
      </c>
      <c r="L148" s="55">
        <v>95360.0</v>
      </c>
      <c r="M148" s="55" t="s">
        <v>78</v>
      </c>
      <c r="N148" s="55" t="s">
        <v>79</v>
      </c>
      <c r="O148" s="55" t="s">
        <v>224</v>
      </c>
      <c r="P148" s="55" t="s">
        <v>110</v>
      </c>
      <c r="Q148" s="67" t="str">
        <f>IFERROR(__xludf.DUMMYFUNCTION("""COMPUTED_VALUE"""),"Korea.giaotiep.Hhot_95360_MES_NamNH_080923")</f>
        <v>Korea.giaotiep.Hhot_95360_MES_NamNH_080923</v>
      </c>
      <c r="R148" s="67" t="str">
        <f>IFERROR(__xludf.DUMMYFUNCTION("""COMPUTED_VALUE"""),"NEW_KoreaSouth_1838_none_080923")</f>
        <v>NEW_KoreaSouth_1838_none_080923</v>
      </c>
      <c r="S148" s="67" t="str">
        <f>IFERROR(__xludf.DUMMYFUNCTION("""COMPUTED_VALUE"""),"saletructiep_Korea.GThocvien.1838.giaotiep_PTATT_LD169")</f>
        <v>saletructiep_Korea.GThocvien.1838.giaotiep_PTATT_LD169</v>
      </c>
      <c r="T148" s="107" t="str">
        <f>IFERROR(__xludf.DUMMYFUNCTION("""COMPUTED_VALUE"""),"https://patadovietnam.edu.vn/gtall_namnh/?utm_source=Facebook&amp;utm_medium=MES&amp;utm_term=NEW_KoreaSouth_1838_none_080923&amp;utm_content=saletructiep_Korea.GThocvien.1838.giaotiep_PTATT_LD169&amp;utm_campaign=Korea.giaotiep.Hhot_95360_MES_NamNH_080923")</f>
        <v>https://patadovietnam.edu.vn/gtall_namnh/?utm_source=Facebook&amp;utm_medium=MES&amp;utm_term=NEW_KoreaSouth_1838_none_080923&amp;utm_content=saletructiep_Korea.GThocvien.1838.giaotiep_PTATT_LD169&amp;utm_campaign=Korea.giaotiep.Hhot_95360_MES_NamNH_080923</v>
      </c>
      <c r="U148" s="110" t="s">
        <v>2281</v>
      </c>
    </row>
    <row r="149">
      <c r="A149" s="72">
        <v>45179.0</v>
      </c>
      <c r="B149" s="75" t="s">
        <v>1594</v>
      </c>
      <c r="C149" s="67" t="str">
        <f>IFERROR(__xludf.DUMMYFUNCTION("""COMPUTED_VALUE"""),"LD169")</f>
        <v>LD169</v>
      </c>
      <c r="D149" s="55" t="s">
        <v>42</v>
      </c>
      <c r="E149" s="55" t="s">
        <v>79</v>
      </c>
      <c r="F149" s="55" t="s">
        <v>112</v>
      </c>
      <c r="G149" s="55">
        <v>1843.0</v>
      </c>
      <c r="H149" s="55" t="s">
        <v>1137</v>
      </c>
      <c r="I149" s="55" t="s">
        <v>2282</v>
      </c>
      <c r="J149" s="55" t="s">
        <v>2283</v>
      </c>
      <c r="K149" s="55" t="s">
        <v>61</v>
      </c>
      <c r="L149" s="55">
        <v>95360.0</v>
      </c>
      <c r="M149" s="55" t="s">
        <v>78</v>
      </c>
      <c r="N149" s="55" t="s">
        <v>79</v>
      </c>
      <c r="O149" s="55" t="s">
        <v>224</v>
      </c>
      <c r="P149" s="55" t="s">
        <v>110</v>
      </c>
      <c r="Q149" s="67" t="str">
        <f>IFERROR(__xludf.DUMMYFUNCTION("""COMPUTED_VALUE"""),"Canada.giaotiep.Hhot_95360_MES_NamNH_100923")</f>
        <v>Canada.giaotiep.Hhot_95360_MES_NamNH_100923</v>
      </c>
      <c r="R149" s="67" t="str">
        <f>IFERROR(__xludf.DUMMYFUNCTION("""COMPUTED_VALUE"""),"NEW_Canada_1843_none_100923")</f>
        <v>NEW_Canada_1843_none_100923</v>
      </c>
      <c r="S149" s="67" t="str">
        <f>IFERROR(__xludf.DUMMYFUNCTION("""COMPUTED_VALUE"""),"saletructiep_Canada.Hhot.1843.giaotiep_PTATT_LD169")</f>
        <v>saletructiep_Canada.Hhot.1843.giaotiep_PTATT_LD169</v>
      </c>
      <c r="T149" s="107" t="str">
        <f>IFERROR(__xludf.DUMMYFUNCTION("""COMPUTED_VALUE"""),"https://patadovietnam.edu.vn/gtall_namnh/?utm_source=Facebook&amp;utm_medium=MES&amp;utm_term=NEW_Canada_1843_none_100923&amp;utm_content=saletructiep_Canada.Hhot.1843.giaotiep_PTATT_LD169&amp;utm_campaign=Canada.giaotiep.Hhot_95360_MES_NamNH_100923")</f>
        <v>https://patadovietnam.edu.vn/gtall_namnh/?utm_source=Facebook&amp;utm_medium=MES&amp;utm_term=NEW_Canada_1843_none_100923&amp;utm_content=saletructiep_Canada.Hhot.1843.giaotiep_PTATT_LD169&amp;utm_campaign=Canada.giaotiep.Hhot_95360_MES_NamNH_100923</v>
      </c>
      <c r="U149" s="110" t="s">
        <v>2288</v>
      </c>
    </row>
    <row r="150">
      <c r="A150" s="72">
        <v>45187.0</v>
      </c>
      <c r="B150" s="75" t="s">
        <v>1229</v>
      </c>
      <c r="C150" s="67" t="str">
        <f>IFERROR(__xludf.DUMMYFUNCTION("""COMPUTED_VALUE"""),"LD164")</f>
        <v>LD164</v>
      </c>
      <c r="D150" s="55" t="s">
        <v>42</v>
      </c>
      <c r="E150" s="55" t="s">
        <v>69</v>
      </c>
      <c r="F150" s="55" t="s">
        <v>133</v>
      </c>
      <c r="G150" s="55">
        <v>1840.0</v>
      </c>
      <c r="H150" s="55" t="s">
        <v>1137</v>
      </c>
      <c r="I150" s="55" t="s">
        <v>2290</v>
      </c>
      <c r="J150" s="55" t="s">
        <v>2292</v>
      </c>
      <c r="K150" s="55" t="s">
        <v>61</v>
      </c>
      <c r="L150" s="55">
        <v>16917.0</v>
      </c>
      <c r="M150" s="55" t="s">
        <v>78</v>
      </c>
      <c r="N150" s="55" t="s">
        <v>69</v>
      </c>
      <c r="O150" s="55" t="s">
        <v>224</v>
      </c>
      <c r="P150" s="55" t="s">
        <v>110</v>
      </c>
      <c r="Q150" s="67" t="str">
        <f>IFERROR(__xludf.DUMMYFUNCTION("""COMPUTED_VALUE"""),"Japan.giaotiep.Hhot_16917_CVS_NamNH_180923")</f>
        <v>Japan.giaotiep.Hhot_16917_CVS_NamNH_180923</v>
      </c>
      <c r="R150" s="67" t="str">
        <f>IFERROR(__xludf.DUMMYFUNCTION("""COMPUTED_VALUE"""),"NEW_Japan_1840_none_180923")</f>
        <v>NEW_Japan_1840_none_180923</v>
      </c>
      <c r="S150" s="67" t="str">
        <f>IFERROR(__xludf.DUMMYFUNCTION("""COMPUTED_VALUE"""),"saletructiep_Japan.Hhot.1840.giaotiep_PTATT_LD164")</f>
        <v>saletructiep_Japan.Hhot.1840.giaotiep_PTATT_LD164</v>
      </c>
      <c r="T150" s="107" t="str">
        <f>IFERROR(__xludf.DUMMYFUNCTION("""COMPUTED_VALUE"""),"https://patadovietnam.edu.vn/gtjapan_nhn3/?utm_source=Facebook&amp;utm_medium=CVS&amp;utm_term=NEW_Japan_1840_none_180923&amp;utm_content=saletructiep_Japan.Hhot.1840.giaotiep_PTATT_LD164&amp;utm_campaign=Japan.giaotiep.Hhot_16917_CVS_NamNH_180923")</f>
        <v>https://patadovietnam.edu.vn/gtjapan_nhn3/?utm_source=Facebook&amp;utm_medium=CVS&amp;utm_term=NEW_Japan_1840_none_180923&amp;utm_content=saletructiep_Japan.Hhot.1840.giaotiep_PTATT_LD164&amp;utm_campaign=Japan.giaotiep.Hhot_16917_CVS_NamNH_180923</v>
      </c>
      <c r="U150" s="110" t="s">
        <v>2296</v>
      </c>
    </row>
    <row r="151">
      <c r="A151" s="72">
        <v>45189.0</v>
      </c>
      <c r="B151" s="75" t="s">
        <v>1594</v>
      </c>
      <c r="C151" s="67" t="str">
        <f>IFERROR(__xludf.DUMMYFUNCTION("""COMPUTED_VALUE"""),"LD169")</f>
        <v>LD169</v>
      </c>
      <c r="D151" s="55" t="s">
        <v>42</v>
      </c>
      <c r="E151" s="55" t="s">
        <v>79</v>
      </c>
      <c r="F151" s="55" t="s">
        <v>164</v>
      </c>
      <c r="G151" s="55">
        <v>1840.0</v>
      </c>
      <c r="H151" s="55" t="s">
        <v>1137</v>
      </c>
      <c r="I151" s="55" t="s">
        <v>2299</v>
      </c>
      <c r="J151" s="55" t="s">
        <v>2300</v>
      </c>
      <c r="K151" s="55" t="s">
        <v>61</v>
      </c>
      <c r="L151" s="55">
        <v>95360.0</v>
      </c>
      <c r="M151" s="55" t="s">
        <v>78</v>
      </c>
      <c r="N151" s="55" t="s">
        <v>79</v>
      </c>
      <c r="O151" s="55" t="s">
        <v>224</v>
      </c>
      <c r="P151" s="55" t="s">
        <v>110</v>
      </c>
      <c r="Q151" s="67" t="str">
        <f>IFERROR(__xludf.DUMMYFUNCTION("""COMPUTED_VALUE"""),"Taiwan.giaotiep.anhchungchi_95360_MES_NamNH_200923")</f>
        <v>Taiwan.giaotiep.anhchungchi_95360_MES_NamNH_200923</v>
      </c>
      <c r="R151" s="67" t="str">
        <f>IFERROR(__xludf.DUMMYFUNCTION("""COMPUTED_VALUE"""),"NEW_Taiwan_1840_none_200923")</f>
        <v>NEW_Taiwan_1840_none_200923</v>
      </c>
      <c r="S151" s="67" t="str">
        <f>IFERROR(__xludf.DUMMYFUNCTION("""COMPUTED_VALUE"""),"saletructiep_UnitedStates.anhchungchi.2045.giaotiep_PTATT_LD169")</f>
        <v>saletructiep_UnitedStates.anhchungchi.2045.giaotiep_PTATT_LD169</v>
      </c>
      <c r="T151" s="107" t="str">
        <f>IFERROR(__xludf.DUMMYFUNCTION("""COMPUTED_VALUE"""),"https://patadovietnam.edu.vn/gtall_namnh/?utm_source=Facebook&amp;utm_medium=MES&amp;utm_term=NEW_Taiwan_1840_none_200923&amp;utm_content=saletructiep_UnitedStates.anhchungchi.2045.giaotiep_PTATT_LD169&amp;utm_campaign=Taiwan.giaotiep.anhchungchi_95360_MES_NamNH_200923")</f>
        <v>https://patadovietnam.edu.vn/gtall_namnh/?utm_source=Facebook&amp;utm_medium=MES&amp;utm_term=NEW_Taiwan_1840_none_200923&amp;utm_content=saletructiep_UnitedStates.anhchungchi.2045.giaotiep_PTATT_LD169&amp;utm_campaign=Taiwan.giaotiep.anhchungchi_95360_MES_NamNH_200923</v>
      </c>
      <c r="U151" s="110" t="s">
        <v>2302</v>
      </c>
    </row>
    <row r="152">
      <c r="A152" s="72">
        <v>45189.0</v>
      </c>
      <c r="B152" s="75" t="s">
        <v>1245</v>
      </c>
      <c r="C152" s="67" t="str">
        <f>IFERROR(__xludf.DUMMYFUNCTION("""COMPUTED_VALUE"""),"LD161")</f>
        <v>LD161</v>
      </c>
      <c r="D152" s="55" t="s">
        <v>42</v>
      </c>
      <c r="E152" s="55" t="s">
        <v>79</v>
      </c>
      <c r="F152" s="55" t="s">
        <v>107</v>
      </c>
      <c r="G152" s="55">
        <v>2045.0</v>
      </c>
      <c r="H152" s="55" t="s">
        <v>1137</v>
      </c>
      <c r="I152" s="55" t="s">
        <v>2306</v>
      </c>
      <c r="J152" s="55" t="s">
        <v>2307</v>
      </c>
      <c r="K152" s="55" t="s">
        <v>61</v>
      </c>
      <c r="L152" s="55">
        <v>16917.0</v>
      </c>
      <c r="M152" s="55" t="s">
        <v>78</v>
      </c>
      <c r="N152" s="55" t="s">
        <v>79</v>
      </c>
      <c r="O152" s="55" t="s">
        <v>224</v>
      </c>
      <c r="P152" s="55" t="s">
        <v>110</v>
      </c>
      <c r="Q152" s="67" t="str">
        <f>IFERROR(__xludf.DUMMYFUNCTION("""COMPUTED_VALUE"""),"UnitedStates.giaotiep.anhchungchi_16917_MES_NamNH_200923")</f>
        <v>UnitedStates.giaotiep.anhchungchi_16917_MES_NamNH_200923</v>
      </c>
      <c r="R152" s="67" t="str">
        <f>IFERROR(__xludf.DUMMYFUNCTION("""COMPUTED_VALUE"""),"NEW_UnitedStates_2045_none_200923")</f>
        <v>NEW_UnitedStates_2045_none_200923</v>
      </c>
      <c r="S152" s="67" t="str">
        <f>IFERROR(__xludf.DUMMYFUNCTION("""COMPUTED_VALUE"""),"saletructiep_Taiwan.anhchungchi.1840.giaotiep_PTATT_LD161")</f>
        <v>saletructiep_Taiwan.anhchungchi.1840.giaotiep_PTATT_LD161</v>
      </c>
      <c r="T152" s="107" t="str">
        <f>IFERROR(__xludf.DUMMYFUNCTION("""COMPUTED_VALUE"""),"https://patadovietnam.edu.vn/gtusa1_nhn/?utm_source=Facebook&amp;utm_medium=MES&amp;utm_term=NEW_UnitedStates_2045_none_200923&amp;utm_content=saletructiep_Taiwan.anhchungchi.1840.giaotiep_PTATT_LD161&amp;utm_campaign=UnitedStates.giaotiep.anhchungchi_16917_MES_NamNH_200"&amp;"923")</f>
        <v>https://patadovietnam.edu.vn/gtusa1_nhn/?utm_source=Facebook&amp;utm_medium=MES&amp;utm_term=NEW_UnitedStates_2045_none_200923&amp;utm_content=saletructiep_Taiwan.anhchungchi.1840.giaotiep_PTATT_LD161&amp;utm_campaign=UnitedStates.giaotiep.anhchungchi_16917_MES_NamNH_200923</v>
      </c>
      <c r="U152" s="110" t="s">
        <v>2310</v>
      </c>
    </row>
    <row r="153">
      <c r="A153" s="72">
        <v>45190.0</v>
      </c>
      <c r="B153" s="75" t="s">
        <v>1594</v>
      </c>
      <c r="C153" s="67" t="str">
        <f>IFERROR(__xludf.DUMMYFUNCTION("""COMPUTED_VALUE"""),"LD169")</f>
        <v>LD169</v>
      </c>
      <c r="D153" s="55" t="s">
        <v>42</v>
      </c>
      <c r="E153" s="55" t="s">
        <v>79</v>
      </c>
      <c r="F153" s="55" t="s">
        <v>625</v>
      </c>
      <c r="G153" s="55">
        <v>1838.0</v>
      </c>
      <c r="H153" s="55" t="s">
        <v>1137</v>
      </c>
      <c r="I153" s="55" t="s">
        <v>2313</v>
      </c>
      <c r="J153" s="55" t="s">
        <v>2314</v>
      </c>
      <c r="K153" s="55" t="s">
        <v>61</v>
      </c>
      <c r="L153" s="55">
        <v>95360.0</v>
      </c>
      <c r="M153" s="55" t="s">
        <v>78</v>
      </c>
      <c r="N153" s="55" t="s">
        <v>79</v>
      </c>
      <c r="O153" s="55" t="s">
        <v>224</v>
      </c>
      <c r="P153" s="55" t="s">
        <v>110</v>
      </c>
      <c r="Q153" s="67" t="str">
        <f>IFERROR(__xludf.DUMMYFUNCTION("""COMPUTED_VALUE"""),"KoreaSouth.giaotiep.Hhot1_95360_MES_NamNH_210923")</f>
        <v>KoreaSouth.giaotiep.Hhot1_95360_MES_NamNH_210923</v>
      </c>
      <c r="R153" s="67" t="str">
        <f>IFERROR(__xludf.DUMMYFUNCTION("""COMPUTED_VALUE"""),"NEW_KoreaSouth_1838_none_210923")</f>
        <v>NEW_KoreaSouth_1838_none_210923</v>
      </c>
      <c r="S153" s="67" t="str">
        <f>IFERROR(__xludf.DUMMYFUNCTION("""COMPUTED_VALUE"""),"saletructiep_KoreaSouth.Hhot1.1838.giaotiep_PTATT_LD169")</f>
        <v>saletructiep_KoreaSouth.Hhot1.1838.giaotiep_PTATT_LD169</v>
      </c>
      <c r="T153" s="107" t="str">
        <f>IFERROR(__xludf.DUMMYFUNCTION("""COMPUTED_VALUE"""),"https://patadovietnam.edu.vn/gtall_namnh/?utm_source=Facebook&amp;utm_medium=MES&amp;utm_term=NEW_KoreaSouth_1838_none_210923&amp;utm_content=saletructiep_KoreaSouth.Hhot1.1838.giaotiep_PTATT_LD169&amp;utm_campaign=KoreaSouth.giaotiep.Hhot1_95360_MES_NamNH_210923")</f>
        <v>https://patadovietnam.edu.vn/gtall_namnh/?utm_source=Facebook&amp;utm_medium=MES&amp;utm_term=NEW_KoreaSouth_1838_none_210923&amp;utm_content=saletructiep_KoreaSouth.Hhot1.1838.giaotiep_PTATT_LD169&amp;utm_campaign=KoreaSouth.giaotiep.Hhot1_95360_MES_NamNH_210923</v>
      </c>
      <c r="U153" s="110" t="s">
        <v>2318</v>
      </c>
    </row>
    <row r="154">
      <c r="A154" s="134">
        <v>45190.0</v>
      </c>
      <c r="B154" s="148" t="s">
        <v>1594</v>
      </c>
      <c r="C154" s="92" t="str">
        <f>IFERROR(__xludf.DUMMYFUNCTION("""COMPUTED_VALUE"""),"LD169")</f>
        <v>LD169</v>
      </c>
      <c r="D154" s="136" t="s">
        <v>42</v>
      </c>
      <c r="E154" s="136" t="s">
        <v>79</v>
      </c>
      <c r="F154" s="136" t="s">
        <v>674</v>
      </c>
      <c r="G154" s="136">
        <v>2045.0</v>
      </c>
      <c r="H154" s="136" t="s">
        <v>1137</v>
      </c>
      <c r="I154" s="136" t="s">
        <v>2321</v>
      </c>
      <c r="J154" s="136" t="s">
        <v>2322</v>
      </c>
      <c r="K154" s="136" t="s">
        <v>61</v>
      </c>
      <c r="L154" s="136">
        <v>95360.0</v>
      </c>
      <c r="M154" s="136" t="s">
        <v>78</v>
      </c>
      <c r="N154" s="136" t="s">
        <v>79</v>
      </c>
      <c r="O154" s="136" t="s">
        <v>224</v>
      </c>
      <c r="P154" s="136" t="s">
        <v>110</v>
      </c>
      <c r="Q154" s="92" t="str">
        <f>IFERROR(__xludf.DUMMYFUNCTION("""COMPUTED_VALUE"""),"Europe.giaotiep.Patadohot_95360_MES_NamNH_210923")</f>
        <v>Europe.giaotiep.Patadohot_95360_MES_NamNH_210923</v>
      </c>
      <c r="R154" s="92" t="str">
        <f>IFERROR(__xludf.DUMMYFUNCTION("""COMPUTED_VALUE"""),"NEW_Europe_2045_none_210923")</f>
        <v>NEW_Europe_2045_none_210923</v>
      </c>
      <c r="S154" s="92" t="str">
        <f>IFERROR(__xludf.DUMMYFUNCTION("""COMPUTED_VALUE"""),"saletructiep_Europe.Patadohot.2045.giaotiep_PTATT_LD169")</f>
        <v>saletructiep_Europe.Patadohot.2045.giaotiep_PTATT_LD169</v>
      </c>
      <c r="T154" s="137" t="str">
        <f>IFERROR(__xludf.DUMMYFUNCTION("""COMPUTED_VALUE"""),"https://patadovietnam.edu.vn/gtall_namnh/?utm_source=Facebook&amp;utm_medium=MES&amp;utm_term=NEW_Europe_2045_none_210923&amp;utm_content=saletructiep_Europe.Patadohot.2045.giaotiep_PTATT_LD169&amp;utm_campaign=Europe.giaotiep.Patadohot_95360_MES_NamNH_210923")</f>
        <v>https://patadovietnam.edu.vn/gtall_namnh/?utm_source=Facebook&amp;utm_medium=MES&amp;utm_term=NEW_Europe_2045_none_210923&amp;utm_content=saletructiep_Europe.Patadohot.2045.giaotiep_PTATT_LD169&amp;utm_campaign=Europe.giaotiep.Patadohot_95360_MES_NamNH_210923</v>
      </c>
      <c r="U154" s="138" t="s">
        <v>2326</v>
      </c>
    </row>
    <row r="155">
      <c r="A155" s="72">
        <v>45190.0</v>
      </c>
      <c r="B155" s="75" t="s">
        <v>1245</v>
      </c>
      <c r="C155" s="67" t="str">
        <f>IFERROR(__xludf.DUMMYFUNCTION("""COMPUTED_VALUE"""),"LD161")</f>
        <v>LD161</v>
      </c>
      <c r="D155" s="55" t="s">
        <v>42</v>
      </c>
      <c r="E155" s="55" t="s">
        <v>79</v>
      </c>
      <c r="F155" s="55" t="s">
        <v>107</v>
      </c>
      <c r="G155" s="55">
        <v>2045.0</v>
      </c>
      <c r="H155" s="55" t="s">
        <v>1137</v>
      </c>
      <c r="I155" s="55" t="s">
        <v>2331</v>
      </c>
      <c r="J155" s="55" t="s">
        <v>2332</v>
      </c>
      <c r="K155" s="55" t="s">
        <v>61</v>
      </c>
      <c r="L155" s="55">
        <v>95360.0</v>
      </c>
      <c r="M155" s="55" t="s">
        <v>78</v>
      </c>
      <c r="N155" s="55" t="s">
        <v>79</v>
      </c>
      <c r="O155" s="55" t="s">
        <v>224</v>
      </c>
      <c r="P155" s="55" t="s">
        <v>110</v>
      </c>
      <c r="Q155" s="67" t="str">
        <f>IFERROR(__xludf.DUMMYFUNCTION("""COMPUTED_VALUE"""),"UnitedStates.giaotiep.Hhot1_95360_MES_NamNH_210923")</f>
        <v>UnitedStates.giaotiep.Hhot1_95360_MES_NamNH_210923</v>
      </c>
      <c r="R155" s="67" t="str">
        <f>IFERROR(__xludf.DUMMYFUNCTION("""COMPUTED_VALUE"""),"NEW_UnitedStates_2045_none_210923")</f>
        <v>NEW_UnitedStates_2045_none_210923</v>
      </c>
      <c r="S155" s="67" t="str">
        <f>IFERROR(__xludf.DUMMYFUNCTION("""COMPUTED_VALUE"""),"saletructiep_UnitedStates.Hhot1.2045.giaotiep_PTATT_LD161")</f>
        <v>saletructiep_UnitedStates.Hhot1.2045.giaotiep_PTATT_LD161</v>
      </c>
      <c r="T155" s="107" t="str">
        <f>IFERROR(__xludf.DUMMYFUNCTION("""COMPUTED_VALUE"""),"https://patadovietnam.edu.vn/gtusa1_nhn/?utm_source=Facebook&amp;utm_medium=MES&amp;utm_term=NEW_UnitedStates_2045_none_210923&amp;utm_content=saletructiep_UnitedStates.Hhot1.2045.giaotiep_PTATT_LD161&amp;utm_campaign=UnitedStates.giaotiep.Hhot1_95360_MES_NamNH_210923")</f>
        <v>https://patadovietnam.edu.vn/gtusa1_nhn/?utm_source=Facebook&amp;utm_medium=MES&amp;utm_term=NEW_UnitedStates_2045_none_210923&amp;utm_content=saletructiep_UnitedStates.Hhot1.2045.giaotiep_PTATT_LD161&amp;utm_campaign=UnitedStates.giaotiep.Hhot1_95360_MES_NamNH_210923</v>
      </c>
      <c r="U155" s="110" t="s">
        <v>2336</v>
      </c>
    </row>
    <row r="156">
      <c r="A156" s="72">
        <v>45190.0</v>
      </c>
      <c r="B156" s="75" t="s">
        <v>1229</v>
      </c>
      <c r="C156" s="67" t="str">
        <f>IFERROR(__xludf.DUMMYFUNCTION("""COMPUTED_VALUE"""),"LD164")</f>
        <v>LD164</v>
      </c>
      <c r="D156" s="55" t="s">
        <v>42</v>
      </c>
      <c r="E156" s="55" t="s">
        <v>69</v>
      </c>
      <c r="F156" s="55" t="s">
        <v>133</v>
      </c>
      <c r="G156" s="55">
        <v>1840.0</v>
      </c>
      <c r="H156" s="55" t="s">
        <v>1137</v>
      </c>
      <c r="I156" s="55" t="s">
        <v>2340</v>
      </c>
      <c r="J156" s="55" t="s">
        <v>2341</v>
      </c>
      <c r="K156" s="55" t="s">
        <v>61</v>
      </c>
      <c r="L156" s="55">
        <v>16917.0</v>
      </c>
      <c r="M156" s="55" t="s">
        <v>78</v>
      </c>
      <c r="N156" s="55" t="s">
        <v>69</v>
      </c>
      <c r="O156" s="55" t="s">
        <v>224</v>
      </c>
      <c r="P156" s="55" t="s">
        <v>110</v>
      </c>
      <c r="Q156" s="67" t="str">
        <f>IFERROR(__xludf.DUMMYFUNCTION("""COMPUTED_VALUE"""),"Japan.giaotiep.Hhot1_16917_CVS_NamNH_210923")</f>
        <v>Japan.giaotiep.Hhot1_16917_CVS_NamNH_210923</v>
      </c>
      <c r="R156" s="67" t="str">
        <f>IFERROR(__xludf.DUMMYFUNCTION("""COMPUTED_VALUE"""),"NEW_Japan_1840_none_210923")</f>
        <v>NEW_Japan_1840_none_210923</v>
      </c>
      <c r="S156" s="67" t="str">
        <f>IFERROR(__xludf.DUMMYFUNCTION("""COMPUTED_VALUE"""),"saletructiep_Japan.Hhot1.1840.giaotiep_PTATT_LD164")</f>
        <v>saletructiep_Japan.Hhot1.1840.giaotiep_PTATT_LD164</v>
      </c>
      <c r="T156" s="107" t="str">
        <f>IFERROR(__xludf.DUMMYFUNCTION("""COMPUTED_VALUE"""),"https://patadovietnam.edu.vn/gtjapan_nhn3/?utm_source=Facebook&amp;utm_medium=CVS&amp;utm_term=NEW_Japan_1840_none_210923&amp;utm_content=saletructiep_Japan.Hhot1.1840.giaotiep_PTATT_LD164&amp;utm_campaign=Japan.giaotiep.Hhot1_16917_CVS_NamNH_210923")</f>
        <v>https://patadovietnam.edu.vn/gtjapan_nhn3/?utm_source=Facebook&amp;utm_medium=CVS&amp;utm_term=NEW_Japan_1840_none_210923&amp;utm_content=saletructiep_Japan.Hhot1.1840.giaotiep_PTATT_LD164&amp;utm_campaign=Japan.giaotiep.Hhot1_16917_CVS_NamNH_210923</v>
      </c>
      <c r="U156" s="110" t="s">
        <v>2346</v>
      </c>
    </row>
    <row r="157">
      <c r="A157" s="72">
        <v>45190.0</v>
      </c>
      <c r="B157" s="75" t="s">
        <v>1594</v>
      </c>
      <c r="C157" s="67" t="str">
        <f>IFERROR(__xludf.DUMMYFUNCTION("""COMPUTED_VALUE"""),"LD169")</f>
        <v>LD169</v>
      </c>
      <c r="D157" s="55" t="s">
        <v>42</v>
      </c>
      <c r="E157" s="55" t="s">
        <v>69</v>
      </c>
      <c r="F157" s="55" t="s">
        <v>674</v>
      </c>
      <c r="G157" s="55">
        <v>2045.0</v>
      </c>
      <c r="H157" s="55" t="s">
        <v>1137</v>
      </c>
      <c r="I157" s="55" t="s">
        <v>2348</v>
      </c>
      <c r="J157" s="55" t="s">
        <v>2349</v>
      </c>
      <c r="K157" s="55" t="s">
        <v>61</v>
      </c>
      <c r="L157" s="55">
        <v>16917.0</v>
      </c>
      <c r="M157" s="55" t="s">
        <v>78</v>
      </c>
      <c r="N157" s="55" t="s">
        <v>69</v>
      </c>
      <c r="O157" s="55" t="s">
        <v>224</v>
      </c>
      <c r="P157" s="55" t="s">
        <v>110</v>
      </c>
      <c r="Q157" s="67" t="str">
        <f>IFERROR(__xludf.DUMMYFUNCTION("""COMPUTED_VALUE"""),"Europe.giaotiep.Hhot1_16917_CVS_NamNH_210923")</f>
        <v>Europe.giaotiep.Hhot1_16917_CVS_NamNH_210923</v>
      </c>
      <c r="R157" s="67" t="str">
        <f>IFERROR(__xludf.DUMMYFUNCTION("""COMPUTED_VALUE"""),"NEW_Europe_2045_none_210923")</f>
        <v>NEW_Europe_2045_none_210923</v>
      </c>
      <c r="S157" s="67" t="str">
        <f>IFERROR(__xludf.DUMMYFUNCTION("""COMPUTED_VALUE"""),"saletructiep_Europe.Hhot.2045.giaotiep_PTATT_LD169")</f>
        <v>saletructiep_Europe.Hhot.2045.giaotiep_PTATT_LD169</v>
      </c>
      <c r="T157" s="107" t="str">
        <f>IFERROR(__xludf.DUMMYFUNCTION("""COMPUTED_VALUE"""),"https://patadovietnam.edu.vn/gtall_namnh/?utm_source=Facebook&amp;utm_medium=CVS&amp;utm_term=NEW_Europe_2045_none_210923&amp;utm_content=saletructiep_Europe.Hhot.2045.giaotiep_PTATT_LD169&amp;utm_campaign=Europe.giaotiep.Hhot1_16917_CVS_NamNH_210923")</f>
        <v>https://patadovietnam.edu.vn/gtall_namnh/?utm_source=Facebook&amp;utm_medium=CVS&amp;utm_term=NEW_Europe_2045_none_210923&amp;utm_content=saletructiep_Europe.Hhot.2045.giaotiep_PTATT_LD169&amp;utm_campaign=Europe.giaotiep.Hhot1_16917_CVS_NamNH_210923</v>
      </c>
      <c r="U157" s="110" t="s">
        <v>2352</v>
      </c>
    </row>
    <row r="158">
      <c r="A158" s="72">
        <v>45190.0</v>
      </c>
      <c r="B158" s="75" t="s">
        <v>1245</v>
      </c>
      <c r="C158" s="67" t="str">
        <f>IFERROR(__xludf.DUMMYFUNCTION("""COMPUTED_VALUE"""),"LD161")</f>
        <v>LD161</v>
      </c>
      <c r="D158" s="55" t="s">
        <v>42</v>
      </c>
      <c r="E158" s="55" t="s">
        <v>79</v>
      </c>
      <c r="F158" s="55" t="s">
        <v>107</v>
      </c>
      <c r="G158" s="55">
        <v>2045.0</v>
      </c>
      <c r="H158" s="55" t="s">
        <v>1137</v>
      </c>
      <c r="I158" s="55" t="s">
        <v>2357</v>
      </c>
      <c r="J158" s="55" t="s">
        <v>2358</v>
      </c>
      <c r="K158" s="55" t="s">
        <v>61</v>
      </c>
      <c r="L158" s="55">
        <v>16917.0</v>
      </c>
      <c r="M158" s="55" t="s">
        <v>78</v>
      </c>
      <c r="N158" s="55" t="s">
        <v>79</v>
      </c>
      <c r="O158" s="55" t="s">
        <v>224</v>
      </c>
      <c r="P158" s="55" t="s">
        <v>110</v>
      </c>
      <c r="Q158" s="67" t="str">
        <f>IFERROR(__xludf.DUMMYFUNCTION("""COMPUTED_VALUE"""),"UnitedStates.giaotiep.PatadoH_16917_MES_NamNH_210923")</f>
        <v>UnitedStates.giaotiep.PatadoH_16917_MES_NamNH_210923</v>
      </c>
      <c r="R158" s="67" t="str">
        <f>IFERROR(__xludf.DUMMYFUNCTION("""COMPUTED_VALUE"""),"NEW_UnitedStates_2045_none_210923")</f>
        <v>NEW_UnitedStates_2045_none_210923</v>
      </c>
      <c r="S158" s="67" t="str">
        <f>IFERROR(__xludf.DUMMYFUNCTION("""COMPUTED_VALUE"""),"saletructiep_UnitedStates.PatadoH.2045.giaotiep_PTATT_LD161")</f>
        <v>saletructiep_UnitedStates.PatadoH.2045.giaotiep_PTATT_LD161</v>
      </c>
      <c r="T158" s="107" t="str">
        <f>IFERROR(__xludf.DUMMYFUNCTION("""COMPUTED_VALUE"""),"https://patadovietnam.edu.vn/gtusa1_nhn/?utm_source=Facebook&amp;utm_medium=MES&amp;utm_term=NEW_UnitedStates_2045_none_210923&amp;utm_content=saletructiep_UnitedStates.PatadoH.2045.giaotiep_PTATT_LD161&amp;utm_campaign=UnitedStates.giaotiep.PatadoH_16917_MES_NamNH_21092"&amp;"3")</f>
        <v>https://patadovietnam.edu.vn/gtusa1_nhn/?utm_source=Facebook&amp;utm_medium=MES&amp;utm_term=NEW_UnitedStates_2045_none_210923&amp;utm_content=saletructiep_UnitedStates.PatadoH.2045.giaotiep_PTATT_LD161&amp;utm_campaign=UnitedStates.giaotiep.PatadoH_16917_MES_NamNH_210923</v>
      </c>
      <c r="U158" s="110" t="s">
        <v>2359</v>
      </c>
    </row>
    <row r="159">
      <c r="A159" s="72">
        <v>45190.0</v>
      </c>
      <c r="B159" s="75" t="s">
        <v>1229</v>
      </c>
      <c r="C159" s="67" t="str">
        <f>IFERROR(__xludf.DUMMYFUNCTION("""COMPUTED_VALUE"""),"LD164")</f>
        <v>LD164</v>
      </c>
      <c r="D159" s="55" t="s">
        <v>42</v>
      </c>
      <c r="E159" s="55" t="s">
        <v>69</v>
      </c>
      <c r="F159" s="55" t="s">
        <v>133</v>
      </c>
      <c r="G159" s="55">
        <v>1840.0</v>
      </c>
      <c r="H159" s="55" t="s">
        <v>1137</v>
      </c>
      <c r="I159" s="55" t="s">
        <v>2362</v>
      </c>
      <c r="J159" s="55" t="s">
        <v>2363</v>
      </c>
      <c r="K159" s="55" t="s">
        <v>61</v>
      </c>
      <c r="L159" s="55">
        <v>16917.0</v>
      </c>
      <c r="M159" s="55" t="s">
        <v>78</v>
      </c>
      <c r="N159" s="55" t="s">
        <v>69</v>
      </c>
      <c r="O159" s="55" t="s">
        <v>224</v>
      </c>
      <c r="P159" s="55" t="s">
        <v>110</v>
      </c>
      <c r="Q159" s="67" t="str">
        <f>IFERROR(__xludf.DUMMYFUNCTION("""COMPUTED_VALUE"""),"Japan.giaotiep.videoCNHV1_16917_CVS_NamNH_210923")</f>
        <v>Japan.giaotiep.videoCNHV1_16917_CVS_NamNH_210923</v>
      </c>
      <c r="R159" s="67" t="str">
        <f>IFERROR(__xludf.DUMMYFUNCTION("""COMPUTED_VALUE"""),"NEW_Japan_1840_none_210923")</f>
        <v>NEW_Japan_1840_none_210923</v>
      </c>
      <c r="S159" s="67" t="str">
        <f>IFERROR(__xludf.DUMMYFUNCTION("""COMPUTED_VALUE"""),"saletructiep_Japan.videoCNHV1.1840.giaotiep_PTATT_LD164")</f>
        <v>saletructiep_Japan.videoCNHV1.1840.giaotiep_PTATT_LD164</v>
      </c>
      <c r="T159" s="107" t="str">
        <f>IFERROR(__xludf.DUMMYFUNCTION("""COMPUTED_VALUE"""),"https://patadovietnam.edu.vn/gtjapan_nhn3/?utm_source=Facebook&amp;utm_medium=CVS&amp;utm_term=NEW_Japan_1840_none_210923&amp;utm_content=saletructiep_Japan.videoCNHV1.1840.giaotiep_PTATT_LD164&amp;utm_campaign=Japan.giaotiep.videoCNHV1_16917_CVS_NamNH_210923")</f>
        <v>https://patadovietnam.edu.vn/gtjapan_nhn3/?utm_source=Facebook&amp;utm_medium=CVS&amp;utm_term=NEW_Japan_1840_none_210923&amp;utm_content=saletructiep_Japan.videoCNHV1.1840.giaotiep_PTATT_LD164&amp;utm_campaign=Japan.giaotiep.videoCNHV1_16917_CVS_NamNH_210923</v>
      </c>
      <c r="U159" s="110" t="s">
        <v>2366</v>
      </c>
    </row>
    <row r="160">
      <c r="A160" s="72">
        <v>45191.0</v>
      </c>
      <c r="B160" s="75" t="s">
        <v>1594</v>
      </c>
      <c r="C160" s="67" t="str">
        <f>IFERROR(__xludf.DUMMYFUNCTION("""COMPUTED_VALUE"""),"LD169")</f>
        <v>LD169</v>
      </c>
      <c r="D160" s="55" t="s">
        <v>42</v>
      </c>
      <c r="E160" s="55" t="s">
        <v>79</v>
      </c>
      <c r="F160" s="55" t="s">
        <v>164</v>
      </c>
      <c r="G160" s="55">
        <v>1840.0</v>
      </c>
      <c r="H160" s="55" t="s">
        <v>1137</v>
      </c>
      <c r="I160" s="55" t="s">
        <v>2367</v>
      </c>
      <c r="J160" s="55" t="s">
        <v>2368</v>
      </c>
      <c r="K160" s="55" t="s">
        <v>61</v>
      </c>
      <c r="L160" s="55">
        <v>95360.0</v>
      </c>
      <c r="M160" s="55" t="s">
        <v>78</v>
      </c>
      <c r="N160" s="55" t="s">
        <v>79</v>
      </c>
      <c r="O160" s="55" t="s">
        <v>224</v>
      </c>
      <c r="P160" s="55" t="s">
        <v>110</v>
      </c>
      <c r="Q160" s="67" t="str">
        <f>IFERROR(__xludf.DUMMYFUNCTION("""COMPUTED_VALUE"""),"Taiwan.giaotiep.NNCD_95360_MES_NamNH_220923")</f>
        <v>Taiwan.giaotiep.NNCD_95360_MES_NamNH_220923</v>
      </c>
      <c r="R160" s="67" t="str">
        <f>IFERROR(__xludf.DUMMYFUNCTION("""COMPUTED_VALUE"""),"NEW_Taiwan_1840_none_220923")</f>
        <v>NEW_Taiwan_1840_none_220923</v>
      </c>
      <c r="S160" s="67" t="str">
        <f>IFERROR(__xludf.DUMMYFUNCTION("""COMPUTED_VALUE"""),"saletructiep_Taiwan.NNCD.1840.giaotiep_PTATT_LD169")</f>
        <v>saletructiep_Taiwan.NNCD.1840.giaotiep_PTATT_LD169</v>
      </c>
      <c r="T160" s="107" t="str">
        <f>IFERROR(__xludf.DUMMYFUNCTION("""COMPUTED_VALUE"""),"https://patadovietnam.edu.vn/gtall_namnh/?utm_source=Facebook&amp;utm_medium=MES&amp;utm_term=NEW_Taiwan_1840_none_220923&amp;utm_content=saletructiep_Taiwan.NNCD.1840.giaotiep_PTATT_LD169&amp;utm_campaign=Taiwan.giaotiep.NNCD_95360_MES_NamNH_220923")</f>
        <v>https://patadovietnam.edu.vn/gtall_namnh/?utm_source=Facebook&amp;utm_medium=MES&amp;utm_term=NEW_Taiwan_1840_none_220923&amp;utm_content=saletructiep_Taiwan.NNCD.1840.giaotiep_PTATT_LD169&amp;utm_campaign=Taiwan.giaotiep.NNCD_95360_MES_NamNH_220923</v>
      </c>
      <c r="U160" s="118"/>
    </row>
    <row r="161">
      <c r="A161" s="72">
        <v>45191.0</v>
      </c>
      <c r="B161" s="75" t="s">
        <v>2371</v>
      </c>
      <c r="C161" s="67" t="str">
        <f>IFERROR(__xludf.DUMMYFUNCTION("""COMPUTED_VALUE"""),"LD187")</f>
        <v>LD187</v>
      </c>
      <c r="D161" s="55" t="s">
        <v>42</v>
      </c>
      <c r="E161" s="55" t="s">
        <v>79</v>
      </c>
      <c r="F161" s="55" t="s">
        <v>625</v>
      </c>
      <c r="G161" s="55">
        <v>1838.0</v>
      </c>
      <c r="H161" s="55" t="s">
        <v>1137</v>
      </c>
      <c r="I161" s="55" t="s">
        <v>2374</v>
      </c>
      <c r="J161" s="55" t="s">
        <v>2375</v>
      </c>
      <c r="K161" s="55" t="s">
        <v>61</v>
      </c>
      <c r="L161" s="55">
        <v>95360.0</v>
      </c>
      <c r="M161" s="55" t="s">
        <v>78</v>
      </c>
      <c r="N161" s="55" t="s">
        <v>79</v>
      </c>
      <c r="O161" s="55" t="s">
        <v>224</v>
      </c>
      <c r="P161" s="55" t="s">
        <v>110</v>
      </c>
      <c r="Q161" s="67" t="str">
        <f>IFERROR(__xludf.DUMMYFUNCTION("""COMPUTED_VALUE"""),"KoreaSouth.giaotiep.NNCD_95360_MES_NamNH_220923")</f>
        <v>KoreaSouth.giaotiep.NNCD_95360_MES_NamNH_220923</v>
      </c>
      <c r="R161" s="67" t="str">
        <f>IFERROR(__xludf.DUMMYFUNCTION("""COMPUTED_VALUE"""),"NEW_KoreaSouth_1838_none_220923")</f>
        <v>NEW_KoreaSouth_1838_none_220923</v>
      </c>
      <c r="S161" s="67" t="str">
        <f>IFERROR(__xludf.DUMMYFUNCTION("""COMPUTED_VALUE"""),"saletructiep_KoreaSouth.NNCD.1838.giaotiep_PTATT_LD187")</f>
        <v>saletructiep_KoreaSouth.NNCD.1838.giaotiep_PTATT_LD187</v>
      </c>
      <c r="T161" s="107" t="str">
        <f>IFERROR(__xludf.DUMMYFUNCTION("""COMPUTED_VALUE"""),"https://patadovietnam.edu.vn/tatoandien_namnh/?utm_source=Facebook&amp;utm_medium=MES&amp;utm_term=NEW_KoreaSouth_1838_none_220923&amp;utm_content=saletructiep_KoreaSouth.NNCD.1838.giaotiep_PTATT_LD187&amp;utm_campaign=KoreaSouth.giaotiep.NNCD_95360_MES_NamNH_220923")</f>
        <v>https://patadovietnam.edu.vn/tatoandien_namnh/?utm_source=Facebook&amp;utm_medium=MES&amp;utm_term=NEW_KoreaSouth_1838_none_220923&amp;utm_content=saletructiep_KoreaSouth.NNCD.1838.giaotiep_PTATT_LD187&amp;utm_campaign=KoreaSouth.giaotiep.NNCD_95360_MES_NamNH_220923</v>
      </c>
      <c r="U161" s="118"/>
    </row>
    <row r="162">
      <c r="A162" s="72">
        <v>45191.0</v>
      </c>
      <c r="B162" s="75" t="s">
        <v>2371</v>
      </c>
      <c r="C162" s="67" t="str">
        <f>IFERROR(__xludf.DUMMYFUNCTION("""COMPUTED_VALUE"""),"LD187")</f>
        <v>LD187</v>
      </c>
      <c r="D162" s="55" t="s">
        <v>42</v>
      </c>
      <c r="E162" s="55" t="s">
        <v>79</v>
      </c>
      <c r="F162" s="55" t="s">
        <v>107</v>
      </c>
      <c r="G162" s="55">
        <v>2045.0</v>
      </c>
      <c r="H162" s="55" t="s">
        <v>1137</v>
      </c>
      <c r="I162" s="55" t="s">
        <v>2378</v>
      </c>
      <c r="J162" s="55" t="s">
        <v>2379</v>
      </c>
      <c r="K162" s="55" t="s">
        <v>61</v>
      </c>
      <c r="L162" s="55">
        <v>16917.0</v>
      </c>
      <c r="M162" s="55" t="s">
        <v>78</v>
      </c>
      <c r="N162" s="55" t="s">
        <v>79</v>
      </c>
      <c r="O162" s="55" t="s">
        <v>224</v>
      </c>
      <c r="P162" s="55" t="s">
        <v>110</v>
      </c>
      <c r="Q162" s="67" t="str">
        <f>IFERROR(__xludf.DUMMYFUNCTION("""COMPUTED_VALUE"""),"UnitedStates.giaotiep.NNCD_16917_MES_NamNH_220923")</f>
        <v>UnitedStates.giaotiep.NNCD_16917_MES_NamNH_220923</v>
      </c>
      <c r="R162" s="67" t="str">
        <f>IFERROR(__xludf.DUMMYFUNCTION("""COMPUTED_VALUE"""),"NEW_UnitedStates_2045_none_220923")</f>
        <v>NEW_UnitedStates_2045_none_220923</v>
      </c>
      <c r="S162" s="67" t="str">
        <f>IFERROR(__xludf.DUMMYFUNCTION("""COMPUTED_VALUE"""),"saletructiep_UnitedStates.NNCD.2045.giaotiep_PTATT_LD187")</f>
        <v>saletructiep_UnitedStates.NNCD.2045.giaotiep_PTATT_LD187</v>
      </c>
      <c r="T162" s="107" t="str">
        <f>IFERROR(__xludf.DUMMYFUNCTION("""COMPUTED_VALUE"""),"https://patadovietnam.edu.vn/tatoandien_namnh/?utm_source=Facebook&amp;utm_medium=MES&amp;utm_term=NEW_UnitedStates_2045_none_220923&amp;utm_content=saletructiep_UnitedStates.NNCD.2045.giaotiep_PTATT_LD187&amp;utm_campaign=UnitedStates.giaotiep.NNCD_16917_MES_NamNH_22092"&amp;"3")</f>
        <v>https://patadovietnam.edu.vn/tatoandien_namnh/?utm_source=Facebook&amp;utm_medium=MES&amp;utm_term=NEW_UnitedStates_2045_none_220923&amp;utm_content=saletructiep_UnitedStates.NNCD.2045.giaotiep_PTATT_LD187&amp;utm_campaign=UnitedStates.giaotiep.NNCD_16917_MES_NamNH_220923</v>
      </c>
      <c r="U162" s="118"/>
    </row>
    <row r="163">
      <c r="A163" s="72">
        <v>45191.0</v>
      </c>
      <c r="B163" s="60" t="s">
        <v>2371</v>
      </c>
      <c r="C163" s="67" t="str">
        <f>IFERROR(__xludf.DUMMYFUNCTION("""COMPUTED_VALUE"""),"LD187")</f>
        <v>LD187</v>
      </c>
      <c r="D163" s="55" t="s">
        <v>42</v>
      </c>
      <c r="E163" s="55" t="s">
        <v>69</v>
      </c>
      <c r="F163" s="55" t="s">
        <v>133</v>
      </c>
      <c r="G163" s="55">
        <v>1840.0</v>
      </c>
      <c r="H163" s="55" t="s">
        <v>1137</v>
      </c>
      <c r="I163" s="55" t="s">
        <v>2382</v>
      </c>
      <c r="J163" s="55" t="s">
        <v>2383</v>
      </c>
      <c r="K163" s="55" t="s">
        <v>61</v>
      </c>
      <c r="L163" s="55">
        <v>16917.0</v>
      </c>
      <c r="M163" s="55" t="s">
        <v>78</v>
      </c>
      <c r="N163" s="55" t="s">
        <v>69</v>
      </c>
      <c r="O163" s="55" t="s">
        <v>224</v>
      </c>
      <c r="P163" s="55" t="s">
        <v>110</v>
      </c>
      <c r="Q163" s="67" t="str">
        <f>IFERROR(__xludf.DUMMYFUNCTION("""COMPUTED_VALUE"""),"Japan.giaotiep.NNCD_16917_CVS_NamNH_220923")</f>
        <v>Japan.giaotiep.NNCD_16917_CVS_NamNH_220923</v>
      </c>
      <c r="R163" s="67" t="str">
        <f>IFERROR(__xludf.DUMMYFUNCTION("""COMPUTED_VALUE"""),"NEW_Japan_1840_none_220923")</f>
        <v>NEW_Japan_1840_none_220923</v>
      </c>
      <c r="S163" s="67" t="str">
        <f>IFERROR(__xludf.DUMMYFUNCTION("""COMPUTED_VALUE"""),"saletructiep_Japan.NNCD.1840.giaotiep_PTATT_LD187")</f>
        <v>saletructiep_Japan.NNCD.1840.giaotiep_PTATT_LD187</v>
      </c>
      <c r="T163" s="107" t="str">
        <f>IFERROR(__xludf.DUMMYFUNCTION("""COMPUTED_VALUE"""),"https://patadovietnam.edu.vn/tatoandien_namnh/?utm_source=Facebook&amp;utm_medium=CVS&amp;utm_term=NEW_Japan_1840_none_220923&amp;utm_content=saletructiep_Japan.NNCD.1840.giaotiep_PTATT_LD187&amp;utm_campaign=Japan.giaotiep.NNCD_16917_CVS_NamNH_220923")</f>
        <v>https://patadovietnam.edu.vn/tatoandien_namnh/?utm_source=Facebook&amp;utm_medium=CVS&amp;utm_term=NEW_Japan_1840_none_220923&amp;utm_content=saletructiep_Japan.NNCD.1840.giaotiep_PTATT_LD187&amp;utm_campaign=Japan.giaotiep.NNCD_16917_CVS_NamNH_220923</v>
      </c>
      <c r="U163" s="110" t="s">
        <v>2384</v>
      </c>
    </row>
    <row r="164">
      <c r="A164" s="72">
        <v>45192.0</v>
      </c>
      <c r="B164" s="60" t="s">
        <v>2371</v>
      </c>
      <c r="C164" s="67" t="str">
        <f>IFERROR(__xludf.DUMMYFUNCTION("""COMPUTED_VALUE"""),"LD187")</f>
        <v>LD187</v>
      </c>
      <c r="D164" s="55" t="s">
        <v>42</v>
      </c>
      <c r="E164" s="55" t="s">
        <v>79</v>
      </c>
      <c r="F164" s="55" t="s">
        <v>129</v>
      </c>
      <c r="G164" s="55">
        <v>2045.0</v>
      </c>
      <c r="H164" s="55" t="s">
        <v>1137</v>
      </c>
      <c r="I164" s="55" t="s">
        <v>2387</v>
      </c>
      <c r="J164" s="55" t="s">
        <v>2388</v>
      </c>
      <c r="K164" s="55" t="s">
        <v>61</v>
      </c>
      <c r="L164" s="55">
        <v>95360.0</v>
      </c>
      <c r="M164" s="55" t="s">
        <v>78</v>
      </c>
      <c r="N164" s="55" t="s">
        <v>79</v>
      </c>
      <c r="O164" s="55" t="s">
        <v>224</v>
      </c>
      <c r="P164" s="55" t="s">
        <v>110</v>
      </c>
      <c r="Q164" s="67" t="str">
        <f>IFERROR(__xludf.DUMMYFUNCTION("""COMPUTED_VALUE"""),"Australia.giaotiep.NNCD_95360_MES_NamNH_230923")</f>
        <v>Australia.giaotiep.NNCD_95360_MES_NamNH_230923</v>
      </c>
      <c r="R164" s="67" t="str">
        <f>IFERROR(__xludf.DUMMYFUNCTION("""COMPUTED_VALUE"""),"NEW_Australia_2045_none_230923")</f>
        <v>NEW_Australia_2045_none_230923</v>
      </c>
      <c r="S164" s="67" t="str">
        <f>IFERROR(__xludf.DUMMYFUNCTION("""COMPUTED_VALUE"""),"saletructiep_Australia.NNCD.2045.giaotiep_PTATT_LD187")</f>
        <v>saletructiep_Australia.NNCD.2045.giaotiep_PTATT_LD187</v>
      </c>
      <c r="T164" s="107" t="str">
        <f>IFERROR(__xludf.DUMMYFUNCTION("""COMPUTED_VALUE"""),"https://patadovietnam.edu.vn/tatoandien_namnh/?utm_source=Facebook&amp;utm_medium=MES&amp;utm_term=NEW_Australia_2045_none_230923&amp;utm_content=saletructiep_Australia.NNCD.2045.giaotiep_PTATT_LD187&amp;utm_campaign=Australia.giaotiep.NNCD_95360_MES_NamNH_230923")</f>
        <v>https://patadovietnam.edu.vn/tatoandien_namnh/?utm_source=Facebook&amp;utm_medium=MES&amp;utm_term=NEW_Australia_2045_none_230923&amp;utm_content=saletructiep_Australia.NNCD.2045.giaotiep_PTATT_LD187&amp;utm_campaign=Australia.giaotiep.NNCD_95360_MES_NamNH_230923</v>
      </c>
      <c r="U164" s="110" t="s">
        <v>2391</v>
      </c>
    </row>
    <row r="165">
      <c r="A165" s="72">
        <v>45191.0</v>
      </c>
      <c r="B165" s="75" t="s">
        <v>2371</v>
      </c>
      <c r="C165" s="67" t="str">
        <f>IFERROR(__xludf.DUMMYFUNCTION("""COMPUTED_VALUE"""),"LD187")</f>
        <v>LD187</v>
      </c>
      <c r="D165" s="55" t="s">
        <v>42</v>
      </c>
      <c r="E165" s="55" t="s">
        <v>79</v>
      </c>
      <c r="F165" s="55" t="s">
        <v>174</v>
      </c>
      <c r="G165" s="55">
        <v>1838.0</v>
      </c>
      <c r="H165" s="55" t="s">
        <v>1137</v>
      </c>
      <c r="I165" s="55" t="s">
        <v>2392</v>
      </c>
      <c r="J165" s="55" t="s">
        <v>2393</v>
      </c>
      <c r="K165" s="55" t="s">
        <v>61</v>
      </c>
      <c r="L165" s="55">
        <v>95360.0</v>
      </c>
      <c r="M165" s="55" t="s">
        <v>78</v>
      </c>
      <c r="N165" s="55" t="s">
        <v>79</v>
      </c>
      <c r="O165" s="55" t="s">
        <v>224</v>
      </c>
      <c r="P165" s="55" t="s">
        <v>110</v>
      </c>
      <c r="Q165" s="67" t="str">
        <f>IFERROR(__xludf.DUMMYFUNCTION("""COMPUTED_VALUE"""),"Philippines.giaotiep.NNCD_95360_MES_NamNH_220923")</f>
        <v>Philippines.giaotiep.NNCD_95360_MES_NamNH_220923</v>
      </c>
      <c r="R165" s="67" t="str">
        <f>IFERROR(__xludf.DUMMYFUNCTION("""COMPUTED_VALUE"""),"NEW_Philippines_1838_none_220923")</f>
        <v>NEW_Philippines_1838_none_220923</v>
      </c>
      <c r="S165" s="67" t="str">
        <f>IFERROR(__xludf.DUMMYFUNCTION("""COMPUTED_VALUE"""),"saletructiep_Philippines.NNCD.2045.giaotiep_PTATT_LD187")</f>
        <v>saletructiep_Philippines.NNCD.2045.giaotiep_PTATT_LD187</v>
      </c>
      <c r="T165" s="107" t="str">
        <f>IFERROR(__xludf.DUMMYFUNCTION("""COMPUTED_VALUE"""),"https://patadovietnam.edu.vn/tatoandien_namnh/?utm_source=Facebook&amp;utm_medium=MES&amp;utm_term=NEW_Philippines_1838_none_220923&amp;utm_content=saletructiep_Philippines.NNCD.2045.giaotiep_PTATT_LD187&amp;utm_campaign=Philippines.giaotiep.NNCD_95360_MES_NamNH_220923")</f>
        <v>https://patadovietnam.edu.vn/tatoandien_namnh/?utm_source=Facebook&amp;utm_medium=MES&amp;utm_term=NEW_Philippines_1838_none_220923&amp;utm_content=saletructiep_Philippines.NNCD.2045.giaotiep_PTATT_LD187&amp;utm_campaign=Philippines.giaotiep.NNCD_95360_MES_NamNH_220923</v>
      </c>
      <c r="U165" s="118"/>
    </row>
    <row r="166">
      <c r="A166" s="72">
        <v>45196.0</v>
      </c>
      <c r="B166" s="75" t="s">
        <v>2371</v>
      </c>
      <c r="C166" s="67" t="str">
        <f>IFERROR(__xludf.DUMMYFUNCTION("""COMPUTED_VALUE"""),"LD187")</f>
        <v>LD187</v>
      </c>
      <c r="D166" s="55" t="s">
        <v>188</v>
      </c>
      <c r="E166" s="55" t="s">
        <v>193</v>
      </c>
      <c r="F166" s="55" t="s">
        <v>107</v>
      </c>
      <c r="G166" s="55">
        <v>2045.0</v>
      </c>
      <c r="H166" s="55" t="s">
        <v>1137</v>
      </c>
      <c r="I166" s="55" t="s">
        <v>2400</v>
      </c>
      <c r="J166" s="55" t="s">
        <v>2401</v>
      </c>
      <c r="K166" s="55" t="s">
        <v>61</v>
      </c>
      <c r="L166" s="55" t="s">
        <v>2403</v>
      </c>
      <c r="M166" s="55" t="s">
        <v>78</v>
      </c>
      <c r="N166" s="55" t="s">
        <v>193</v>
      </c>
      <c r="O166" s="55" t="s">
        <v>2405</v>
      </c>
      <c r="P166" s="55" t="s">
        <v>110</v>
      </c>
      <c r="Q166" s="67" t="str">
        <f>IFERROR(__xludf.DUMMYFUNCTION("""COMPUTED_VALUE"""),"HoaKy.hoctienganhgiaotiep_nam.patado_SEA_NamNH_270923")</f>
        <v>HoaKy.hoctienganhgiaotiep_nam.patado_SEA_NamNH_270923</v>
      </c>
      <c r="R166" s="67" t="str">
        <f>IFERROR(__xludf.DUMMYFUNCTION("""COMPUTED_VALUE"""),"NEW_UnitedStates_2045_none_270923")</f>
        <v>NEW_UnitedStates_2045_none_270923</v>
      </c>
      <c r="S166" s="67" t="str">
        <f>IFERROR(__xludf.DUMMYFUNCTION("""COMPUTED_VALUE"""),"saletructiep_tieude1_PTATTTD_LD187")</f>
        <v>saletructiep_tieude1_PTATTTD_LD187</v>
      </c>
      <c r="T166" s="107" t="str">
        <f>IFERROR(__xludf.DUMMYFUNCTION("""COMPUTED_VALUE"""),"https://patadovietnam.edu.vn/tatoandien_namnh/?utm_source=Google&amp;utm_medium=SEA&amp;utm_term=NEW_UnitedStates_2045_none_270923&amp;utm_content=saletructiep_tieude1_PTATTTD_LD187&amp;utm_campaign=HoaKy.hoctienganhgiaotiep_nam.patado_SEA_NamNH_270923")</f>
        <v>https://patadovietnam.edu.vn/tatoandien_namnh/?utm_source=Google&amp;utm_medium=SEA&amp;utm_term=NEW_UnitedStates_2045_none_270923&amp;utm_content=saletructiep_tieude1_PTATTTD_LD187&amp;utm_campaign=HoaKy.hoctienganhgiaotiep_nam.patado_SEA_NamNH_270923</v>
      </c>
      <c r="U166" s="118"/>
    </row>
    <row r="167">
      <c r="A167" s="72">
        <v>45196.0</v>
      </c>
      <c r="B167" s="75" t="s">
        <v>2371</v>
      </c>
      <c r="C167" s="67" t="str">
        <f>IFERROR(__xludf.DUMMYFUNCTION("""COMPUTED_VALUE"""),"LD187")</f>
        <v>LD187</v>
      </c>
      <c r="D167" s="55" t="s">
        <v>188</v>
      </c>
      <c r="E167" s="55" t="s">
        <v>193</v>
      </c>
      <c r="F167" s="55" t="s">
        <v>107</v>
      </c>
      <c r="G167" s="55">
        <v>2045.0</v>
      </c>
      <c r="H167" s="55" t="s">
        <v>1137</v>
      </c>
      <c r="I167" s="55" t="s">
        <v>2409</v>
      </c>
      <c r="J167" s="55" t="s">
        <v>2401</v>
      </c>
      <c r="K167" s="55" t="s">
        <v>61</v>
      </c>
      <c r="L167" s="55" t="s">
        <v>2403</v>
      </c>
      <c r="M167" s="55" t="s">
        <v>78</v>
      </c>
      <c r="N167" s="55" t="s">
        <v>193</v>
      </c>
      <c r="O167" s="55" t="s">
        <v>2405</v>
      </c>
      <c r="P167" s="55" t="s">
        <v>110</v>
      </c>
      <c r="Q167" s="67" t="str">
        <f>IFERROR(__xludf.DUMMYFUNCTION("""COMPUTED_VALUE"""),"Hoaky.giaotiep.CDKL_nam.patado_SEA_NamNH_270923")</f>
        <v>Hoaky.giaotiep.CDKL_nam.patado_SEA_NamNH_270923</v>
      </c>
      <c r="R167" s="67" t="str">
        <f>IFERROR(__xludf.DUMMYFUNCTION("""COMPUTED_VALUE"""),"NEW_UnitedStates_2045_none_270923")</f>
        <v>NEW_UnitedStates_2045_none_270923</v>
      </c>
      <c r="S167" s="67" t="str">
        <f>IFERROR(__xludf.DUMMYFUNCTION("""COMPUTED_VALUE"""),"saletructiep_tieude1_PTATTTD_LD187")</f>
        <v>saletructiep_tieude1_PTATTTD_LD187</v>
      </c>
      <c r="T167" s="107" t="str">
        <f>IFERROR(__xludf.DUMMYFUNCTION("""COMPUTED_VALUE"""),"https://patadovietnam.edu.vn/tatoandien_namnh/?utm_source=Google&amp;utm_medium=SEA&amp;utm_term=NEW_UnitedStates_2045_none_270923&amp;utm_content=saletructiep_tieude1_PTATTTD_LD187&amp;utm_campaign=Hoaky.giaotiep.CDKL_nam.patado_SEA_NamNH_270923")</f>
        <v>https://patadovietnam.edu.vn/tatoandien_namnh/?utm_source=Google&amp;utm_medium=SEA&amp;utm_term=NEW_UnitedStates_2045_none_270923&amp;utm_content=saletructiep_tieude1_PTATTTD_LD187&amp;utm_campaign=Hoaky.giaotiep.CDKL_nam.patado_SEA_NamNH_270923</v>
      </c>
      <c r="U167" s="118"/>
    </row>
    <row r="168">
      <c r="A168" s="72">
        <v>45200.0</v>
      </c>
      <c r="B168" s="75" t="s">
        <v>1229</v>
      </c>
      <c r="C168" s="67" t="str">
        <f>IFERROR(__xludf.DUMMYFUNCTION("""COMPUTED_VALUE"""),"LD164")</f>
        <v>LD164</v>
      </c>
      <c r="D168" s="55" t="s">
        <v>42</v>
      </c>
      <c r="E168" s="55" t="s">
        <v>69</v>
      </c>
      <c r="F168" s="55" t="s">
        <v>133</v>
      </c>
      <c r="G168" s="55">
        <v>1840.0</v>
      </c>
      <c r="H168" s="55" t="s">
        <v>1137</v>
      </c>
      <c r="I168" s="55" t="s">
        <v>2416</v>
      </c>
      <c r="J168" s="55" t="s">
        <v>2417</v>
      </c>
      <c r="K168" s="55" t="s">
        <v>61</v>
      </c>
      <c r="L168" s="55">
        <v>16917.0</v>
      </c>
      <c r="M168" s="55" t="s">
        <v>78</v>
      </c>
      <c r="N168" s="55" t="s">
        <v>69</v>
      </c>
      <c r="O168" s="55" t="s">
        <v>224</v>
      </c>
      <c r="P168" s="55" t="s">
        <v>110</v>
      </c>
      <c r="Q168" s="67" t="str">
        <f>IFERROR(__xludf.DUMMYFUNCTION("""COMPUTED_VALUE"""),"Japan.giaotiep.H_16917_CVS_NamNH_011023")</f>
        <v>Japan.giaotiep.H_16917_CVS_NamNH_011023</v>
      </c>
      <c r="R168" s="67" t="str">
        <f>IFERROR(__xludf.DUMMYFUNCTION("""COMPUTED_VALUE"""),"NEW_Japan_1840_none_011023")</f>
        <v>NEW_Japan_1840_none_011023</v>
      </c>
      <c r="S168" s="67" t="str">
        <f>IFERROR(__xludf.DUMMYFUNCTION("""COMPUTED_VALUE"""),"saletructiep_Japan.H.1840.giaotiep_PTATT_LD164")</f>
        <v>saletructiep_Japan.H.1840.giaotiep_PTATT_LD164</v>
      </c>
      <c r="T168" s="107" t="str">
        <f>IFERROR(__xludf.DUMMYFUNCTION("""COMPUTED_VALUE"""),"https://patadovietnam.edu.vn/gtjapan_nhn3/?utm_source=Facebook&amp;utm_medium=CVS&amp;utm_term=NEW_Japan_1840_none_011023&amp;utm_content=saletructiep_Japan.H.1840.giaotiep_PTATT_LD164&amp;utm_campaign=Japan.giaotiep.H_16917_CVS_NamNH_011023")</f>
        <v>https://patadovietnam.edu.vn/gtjapan_nhn3/?utm_source=Facebook&amp;utm_medium=CVS&amp;utm_term=NEW_Japan_1840_none_011023&amp;utm_content=saletructiep_Japan.H.1840.giaotiep_PTATT_LD164&amp;utm_campaign=Japan.giaotiep.H_16917_CVS_NamNH_011023</v>
      </c>
      <c r="U168" s="110" t="s">
        <v>2421</v>
      </c>
    </row>
    <row r="169">
      <c r="A169" s="72">
        <v>45200.0</v>
      </c>
      <c r="B169" s="75" t="s">
        <v>2371</v>
      </c>
      <c r="C169" s="67" t="str">
        <f>IFERROR(__xludf.DUMMYFUNCTION("""COMPUTED_VALUE"""),"LD187")</f>
        <v>LD187</v>
      </c>
      <c r="D169" s="55" t="s">
        <v>42</v>
      </c>
      <c r="E169" s="55" t="s">
        <v>79</v>
      </c>
      <c r="F169" s="55" t="s">
        <v>164</v>
      </c>
      <c r="G169" s="55">
        <v>1840.0</v>
      </c>
      <c r="H169" s="55" t="s">
        <v>1137</v>
      </c>
      <c r="I169" s="55" t="s">
        <v>2422</v>
      </c>
      <c r="J169" s="55" t="s">
        <v>2423</v>
      </c>
      <c r="K169" s="55" t="s">
        <v>61</v>
      </c>
      <c r="L169" s="55">
        <v>95360.0</v>
      </c>
      <c r="M169" s="55" t="s">
        <v>78</v>
      </c>
      <c r="N169" s="55" t="s">
        <v>79</v>
      </c>
      <c r="O169" s="55" t="s">
        <v>224</v>
      </c>
      <c r="P169" s="55" t="s">
        <v>110</v>
      </c>
      <c r="Q169" s="67" t="str">
        <f>IFERROR(__xludf.DUMMYFUNCTION("""COMPUTED_VALUE"""),"Taiwan.giaotiep.H_95360_MES_NamNH_011023")</f>
        <v>Taiwan.giaotiep.H_95360_MES_NamNH_011023</v>
      </c>
      <c r="R169" s="67" t="str">
        <f>IFERROR(__xludf.DUMMYFUNCTION("""COMPUTED_VALUE"""),"NEW_Taiwan_1840_none_011023")</f>
        <v>NEW_Taiwan_1840_none_011023</v>
      </c>
      <c r="S169" s="67" t="str">
        <f>IFERROR(__xludf.DUMMYFUNCTION("""COMPUTED_VALUE"""),"saletructiep_Taiwan.H.1840.giaotiep_PTATT_LD187")</f>
        <v>saletructiep_Taiwan.H.1840.giaotiep_PTATT_LD187</v>
      </c>
      <c r="T169" s="107" t="str">
        <f>IFERROR(__xludf.DUMMYFUNCTION("""COMPUTED_VALUE"""),"https://patadovietnam.edu.vn/tatoandien_namnh/?utm_source=Facebook&amp;utm_medium=MES&amp;utm_term=NEW_Taiwan_1840_none_011023&amp;utm_content=saletructiep_Taiwan.H.1840.giaotiep_PTATT_LD187&amp;utm_campaign=Taiwan.giaotiep.H_95360_MES_NamNH_011023")</f>
        <v>https://patadovietnam.edu.vn/tatoandien_namnh/?utm_source=Facebook&amp;utm_medium=MES&amp;utm_term=NEW_Taiwan_1840_none_011023&amp;utm_content=saletructiep_Taiwan.H.1840.giaotiep_PTATT_LD187&amp;utm_campaign=Taiwan.giaotiep.H_95360_MES_NamNH_011023</v>
      </c>
      <c r="U169" s="110" t="s">
        <v>2428</v>
      </c>
    </row>
    <row r="170">
      <c r="A170" s="72">
        <v>45200.0</v>
      </c>
      <c r="B170" s="75" t="s">
        <v>1134</v>
      </c>
      <c r="C170" s="67" t="str">
        <f>IFERROR(__xludf.DUMMYFUNCTION("""COMPUTED_VALUE"""),"LD153")</f>
        <v>LD153</v>
      </c>
      <c r="D170" s="55" t="s">
        <v>42</v>
      </c>
      <c r="E170" s="55" t="s">
        <v>79</v>
      </c>
      <c r="F170" s="55" t="s">
        <v>164</v>
      </c>
      <c r="G170" s="55">
        <v>1840.0</v>
      </c>
      <c r="H170" s="55" t="s">
        <v>1137</v>
      </c>
      <c r="I170" s="55" t="s">
        <v>2431</v>
      </c>
      <c r="J170" s="55" t="s">
        <v>2432</v>
      </c>
      <c r="K170" s="55" t="s">
        <v>61</v>
      </c>
      <c r="L170" s="55">
        <v>95360.0</v>
      </c>
      <c r="M170" s="55" t="s">
        <v>78</v>
      </c>
      <c r="N170" s="55" t="s">
        <v>79</v>
      </c>
      <c r="O170" s="55" t="s">
        <v>224</v>
      </c>
      <c r="P170" s="55" t="s">
        <v>110</v>
      </c>
      <c r="Q170" s="67" t="str">
        <f>IFERROR(__xludf.DUMMYFUNCTION("""COMPUTED_VALUE"""),"Taiwan.giaotiep.note3_95360_MES_NamNH_011023")</f>
        <v>Taiwan.giaotiep.note3_95360_MES_NamNH_011023</v>
      </c>
      <c r="R170" s="67" t="str">
        <f>IFERROR(__xludf.DUMMYFUNCTION("""COMPUTED_VALUE"""),"NEW_Taiwan_1840_none_011023")</f>
        <v>NEW_Taiwan_1840_none_011023</v>
      </c>
      <c r="S170" s="67" t="str">
        <f>IFERROR(__xludf.DUMMYFUNCTION("""COMPUTED_VALUE"""),"saletructiep_Taiwan.note3.1840.giaotiep_PTATT_LD153")</f>
        <v>saletructiep_Taiwan.note3.1840.giaotiep_PTATT_LD153</v>
      </c>
      <c r="T170" s="107" t="str">
        <f>IFERROR(__xludf.DUMMYFUNCTION("""COMPUTED_VALUE"""),"https://patadovietnam.edu.vn/tienganhgiaotiep_hn/?utm_source=Facebook&amp;utm_medium=MES&amp;utm_term=NEW_Taiwan_1840_none_011023&amp;utm_content=saletructiep_Taiwan.note3.1840.giaotiep_PTATT_LD153&amp;utm_campaign=Taiwan.giaotiep.note3_95360_MES_NamNH_011023")</f>
        <v>https://patadovietnam.edu.vn/tienganhgiaotiep_hn/?utm_source=Facebook&amp;utm_medium=MES&amp;utm_term=NEW_Taiwan_1840_none_011023&amp;utm_content=saletructiep_Taiwan.note3.1840.giaotiep_PTATT_LD153&amp;utm_campaign=Taiwan.giaotiep.note3_95360_MES_NamNH_011023</v>
      </c>
      <c r="U170" s="110" t="s">
        <v>2439</v>
      </c>
    </row>
    <row r="171">
      <c r="A171" s="72">
        <v>45200.0</v>
      </c>
      <c r="B171" s="75" t="s">
        <v>1229</v>
      </c>
      <c r="C171" s="67" t="str">
        <f>IFERROR(__xludf.DUMMYFUNCTION("""COMPUTED_VALUE"""),"LD164")</f>
        <v>LD164</v>
      </c>
      <c r="D171" s="55" t="s">
        <v>42</v>
      </c>
      <c r="E171" s="55" t="s">
        <v>69</v>
      </c>
      <c r="F171" s="55" t="s">
        <v>133</v>
      </c>
      <c r="G171" s="55">
        <v>1840.0</v>
      </c>
      <c r="H171" s="55" t="s">
        <v>1137</v>
      </c>
      <c r="I171" s="55" t="s">
        <v>2440</v>
      </c>
      <c r="J171" s="55" t="s">
        <v>2441</v>
      </c>
      <c r="K171" s="55" t="s">
        <v>61</v>
      </c>
      <c r="L171" s="55">
        <v>16917.0</v>
      </c>
      <c r="M171" s="55" t="s">
        <v>78</v>
      </c>
      <c r="N171" s="55" t="s">
        <v>69</v>
      </c>
      <c r="O171" s="55" t="s">
        <v>224</v>
      </c>
      <c r="P171" s="55" t="s">
        <v>110</v>
      </c>
      <c r="Q171" s="67" t="str">
        <f>IFERROR(__xludf.DUMMYFUNCTION("""COMPUTED_VALUE"""),"Japan.giaotiep.tb_16917_CVS_NamNH_011023")</f>
        <v>Japan.giaotiep.tb_16917_CVS_NamNH_011023</v>
      </c>
      <c r="R171" s="67" t="str">
        <f>IFERROR(__xludf.DUMMYFUNCTION("""COMPUTED_VALUE"""),"NEW_Japan_1840_none_011023")</f>
        <v>NEW_Japan_1840_none_011023</v>
      </c>
      <c r="S171" s="67" t="str">
        <f>IFERROR(__xludf.DUMMYFUNCTION("""COMPUTED_VALUE"""),"saletructiep_Japan.tb.1840.giaotiep_PTATT_LD164")</f>
        <v>saletructiep_Japan.tb.1840.giaotiep_PTATT_LD164</v>
      </c>
      <c r="T171" s="107" t="str">
        <f>IFERROR(__xludf.DUMMYFUNCTION("""COMPUTED_VALUE"""),"https://patadovietnam.edu.vn/gtjapan_nhn3/?utm_source=Facebook&amp;utm_medium=CVS&amp;utm_term=NEW_Japan_1840_none_011023&amp;utm_content=saletructiep_Japan.tb.1840.giaotiep_PTATT_LD164&amp;utm_campaign=Japan.giaotiep.tb_16917_CVS_NamNH_011023")</f>
        <v>https://patadovietnam.edu.vn/gtjapan_nhn3/?utm_source=Facebook&amp;utm_medium=CVS&amp;utm_term=NEW_Japan_1840_none_011023&amp;utm_content=saletructiep_Japan.tb.1840.giaotiep_PTATT_LD164&amp;utm_campaign=Japan.giaotiep.tb_16917_CVS_NamNH_011023</v>
      </c>
      <c r="U171" s="110" t="s">
        <v>2449</v>
      </c>
    </row>
    <row r="172">
      <c r="A172" s="72">
        <v>45201.0</v>
      </c>
      <c r="B172" s="75" t="s">
        <v>2371</v>
      </c>
      <c r="C172" s="67" t="str">
        <f>IFERROR(__xludf.DUMMYFUNCTION("""COMPUTED_VALUE"""),"LD187")</f>
        <v>LD187</v>
      </c>
      <c r="D172" s="55" t="s">
        <v>42</v>
      </c>
      <c r="E172" s="55" t="s">
        <v>79</v>
      </c>
      <c r="F172" s="55" t="s">
        <v>164</v>
      </c>
      <c r="G172" s="55">
        <v>1840.0</v>
      </c>
      <c r="H172" s="55" t="s">
        <v>1137</v>
      </c>
      <c r="I172" s="55" t="s">
        <v>2453</v>
      </c>
      <c r="J172" s="55" t="s">
        <v>2454</v>
      </c>
      <c r="K172" s="55" t="s">
        <v>61</v>
      </c>
      <c r="L172" s="55">
        <v>95360.0</v>
      </c>
      <c r="M172" s="55" t="s">
        <v>78</v>
      </c>
      <c r="N172" s="55" t="s">
        <v>79</v>
      </c>
      <c r="O172" s="55" t="s">
        <v>224</v>
      </c>
      <c r="P172" s="55" t="s">
        <v>110</v>
      </c>
      <c r="Q172" s="67" t="str">
        <f>IFERROR(__xludf.DUMMYFUNCTION("""COMPUTED_VALUE"""),"Taiwan.giaotiep.chungchihot_95360_MES_NamNH_021023")</f>
        <v>Taiwan.giaotiep.chungchihot_95360_MES_NamNH_021023</v>
      </c>
      <c r="R172" s="67" t="str">
        <f>IFERROR(__xludf.DUMMYFUNCTION("""COMPUTED_VALUE"""),"NEW_Taiwan_1840_none_021023")</f>
        <v>NEW_Taiwan_1840_none_021023</v>
      </c>
      <c r="S172" s="67" t="str">
        <f>IFERROR(__xludf.DUMMYFUNCTION("""COMPUTED_VALUE"""),"saletructiep_Taiwan.chungchihot.1840.giaotiep_PTATT_LD187")</f>
        <v>saletructiep_Taiwan.chungchihot.1840.giaotiep_PTATT_LD187</v>
      </c>
      <c r="T172" s="107" t="str">
        <f>IFERROR(__xludf.DUMMYFUNCTION("""COMPUTED_VALUE"""),"https://patadovietnam.edu.vn/tatoandien_namnh/?utm_source=Facebook&amp;utm_medium=MES&amp;utm_term=NEW_Taiwan_1840_none_021023&amp;utm_content=saletructiep_Taiwan.chungchihot.1840.giaotiep_PTATT_LD187&amp;utm_campaign=Taiwan.giaotiep.chungchihot_95360_MES_NamNH_021023")</f>
        <v>https://patadovietnam.edu.vn/tatoandien_namnh/?utm_source=Facebook&amp;utm_medium=MES&amp;utm_term=NEW_Taiwan_1840_none_021023&amp;utm_content=saletructiep_Taiwan.chungchihot.1840.giaotiep_PTATT_LD187&amp;utm_campaign=Taiwan.giaotiep.chungchihot_95360_MES_NamNH_021023</v>
      </c>
      <c r="U172" s="110" t="s">
        <v>2460</v>
      </c>
    </row>
    <row r="173">
      <c r="A173" s="134">
        <v>45168.0</v>
      </c>
      <c r="B173" s="148" t="s">
        <v>2371</v>
      </c>
      <c r="C173" s="92" t="str">
        <f>IFERROR(__xludf.DUMMYFUNCTION("""COMPUTED_VALUE"""),"LD187")</f>
        <v>LD187</v>
      </c>
      <c r="D173" s="136" t="s">
        <v>42</v>
      </c>
      <c r="E173" s="136" t="s">
        <v>79</v>
      </c>
      <c r="F173" s="136" t="s">
        <v>625</v>
      </c>
      <c r="G173" s="136">
        <v>1838.0</v>
      </c>
      <c r="H173" s="136" t="s">
        <v>1137</v>
      </c>
      <c r="I173" s="136" t="s">
        <v>2465</v>
      </c>
      <c r="J173" s="136" t="s">
        <v>2466</v>
      </c>
      <c r="K173" s="136" t="s">
        <v>61</v>
      </c>
      <c r="L173" s="136">
        <v>95360.0</v>
      </c>
      <c r="M173" s="136" t="s">
        <v>78</v>
      </c>
      <c r="N173" s="136" t="s">
        <v>79</v>
      </c>
      <c r="O173" s="136" t="s">
        <v>224</v>
      </c>
      <c r="P173" s="136" t="s">
        <v>110</v>
      </c>
      <c r="Q173" s="92" t="str">
        <f>IFERROR(__xludf.DUMMYFUNCTION("""COMPUTED_VALUE"""),"KoreaSouth.giaotiep.chungchihot_95360_MES_NamNH_300823")</f>
        <v>KoreaSouth.giaotiep.chungchihot_95360_MES_NamNH_300823</v>
      </c>
      <c r="R173" s="92" t="str">
        <f>IFERROR(__xludf.DUMMYFUNCTION("""COMPUTED_VALUE"""),"NEW_KoreaSouth_1838_none_300823")</f>
        <v>NEW_KoreaSouth_1838_none_300823</v>
      </c>
      <c r="S173" s="92" t="str">
        <f>IFERROR(__xludf.DUMMYFUNCTION("""COMPUTED_VALUE"""),"saletructiep_KoreaSouth.chungchihot.1838.giaotiep_PTATT_LD187")</f>
        <v>saletructiep_KoreaSouth.chungchihot.1838.giaotiep_PTATT_LD187</v>
      </c>
      <c r="T173" s="137" t="str">
        <f>IFERROR(__xludf.DUMMYFUNCTION("""COMPUTED_VALUE"""),"https://patadovietnam.edu.vn/tatoandien_namnh/?utm_source=Facebook&amp;utm_medium=MES&amp;utm_term=NEW_KoreaSouth_1838_none_300823&amp;utm_content=saletructiep_KoreaSouth.chungchihot.1838.giaotiep_PTATT_LD187&amp;utm_campaign=KoreaSouth.giaotiep.chungchihot_95360_MES_Nam"&amp;"NH_300823")</f>
        <v>https://patadovietnam.edu.vn/tatoandien_namnh/?utm_source=Facebook&amp;utm_medium=MES&amp;utm_term=NEW_KoreaSouth_1838_none_300823&amp;utm_content=saletructiep_KoreaSouth.chungchihot.1838.giaotiep_PTATT_LD187&amp;utm_campaign=KoreaSouth.giaotiep.chungchihot_95360_MES_NamNH_300823</v>
      </c>
      <c r="U173" s="138" t="s">
        <v>2472</v>
      </c>
    </row>
    <row r="174">
      <c r="A174" s="72">
        <v>45167.0</v>
      </c>
      <c r="B174" s="75" t="s">
        <v>1134</v>
      </c>
      <c r="C174" s="67" t="str">
        <f>IFERROR(__xludf.DUMMYFUNCTION("""COMPUTED_VALUE"""),"LD153")</f>
        <v>LD153</v>
      </c>
      <c r="D174" s="55" t="s">
        <v>42</v>
      </c>
      <c r="E174" s="55" t="s">
        <v>79</v>
      </c>
      <c r="F174" s="55" t="s">
        <v>625</v>
      </c>
      <c r="G174" s="55">
        <v>1838.0</v>
      </c>
      <c r="H174" s="55" t="s">
        <v>1137</v>
      </c>
      <c r="I174" s="55" t="s">
        <v>2474</v>
      </c>
      <c r="J174" s="55" t="s">
        <v>2475</v>
      </c>
      <c r="K174" s="55" t="s">
        <v>61</v>
      </c>
      <c r="L174" s="55">
        <v>95360.0</v>
      </c>
      <c r="M174" s="55" t="s">
        <v>78</v>
      </c>
      <c r="N174" s="55" t="s">
        <v>79</v>
      </c>
      <c r="O174" s="55" t="s">
        <v>224</v>
      </c>
      <c r="P174" s="55" t="s">
        <v>110</v>
      </c>
      <c r="Q174" s="67" t="str">
        <f>IFERROR(__xludf.DUMMYFUNCTION("""COMPUTED_VALUE"""),"KoreaSouth.giaotiep.tbphoto_95360_MES_NamNH_290823")</f>
        <v>KoreaSouth.giaotiep.tbphoto_95360_MES_NamNH_290823</v>
      </c>
      <c r="R174" s="67" t="str">
        <f>IFERROR(__xludf.DUMMYFUNCTION("""COMPUTED_VALUE"""),"NEW_KoreaSouth_1838_none_290823")</f>
        <v>NEW_KoreaSouth_1838_none_290823</v>
      </c>
      <c r="S174" s="67" t="str">
        <f>IFERROR(__xludf.DUMMYFUNCTION("""COMPUTED_VALUE"""),"saletructiep_KoreaSouth.tbphoto.1838.giaotiep_PTATT_LD153")</f>
        <v>saletructiep_KoreaSouth.tbphoto.1838.giaotiep_PTATT_LD153</v>
      </c>
      <c r="T174" s="107" t="str">
        <f>IFERROR(__xludf.DUMMYFUNCTION("""COMPUTED_VALUE"""),"https://patadovietnam.edu.vn/tienganhgiaotiep_hn/?utm_source=Facebook&amp;utm_medium=MES&amp;utm_term=NEW_KoreaSouth_1838_none_290823&amp;utm_content=saletructiep_KoreaSouth.tbphoto.1838.giaotiep_PTATT_LD153&amp;utm_campaign=KoreaSouth.giaotiep.tbphoto_95360_MES_NamNH_29"&amp;"0823")</f>
        <v>https://patadovietnam.edu.vn/tienganhgiaotiep_hn/?utm_source=Facebook&amp;utm_medium=MES&amp;utm_term=NEW_KoreaSouth_1838_none_290823&amp;utm_content=saletructiep_KoreaSouth.tbphoto.1838.giaotiep_PTATT_LD153&amp;utm_campaign=KoreaSouth.giaotiep.tbphoto_95360_MES_NamNH_290823</v>
      </c>
      <c r="U174" s="110" t="s">
        <v>2483</v>
      </c>
    </row>
    <row r="175">
      <c r="A175" s="72">
        <v>45167.0</v>
      </c>
      <c r="B175" s="60" t="s">
        <v>1134</v>
      </c>
      <c r="C175" s="67" t="str">
        <f>IFERROR(__xludf.DUMMYFUNCTION("""COMPUTED_VALUE"""),"LD153")</f>
        <v>LD153</v>
      </c>
      <c r="D175" s="55" t="s">
        <v>42</v>
      </c>
      <c r="E175" s="55" t="s">
        <v>79</v>
      </c>
      <c r="F175" s="55" t="s">
        <v>164</v>
      </c>
      <c r="G175" s="55">
        <v>1840.0</v>
      </c>
      <c r="H175" s="55" t="s">
        <v>1137</v>
      </c>
      <c r="I175" s="55" t="s">
        <v>2487</v>
      </c>
      <c r="J175" s="55" t="s">
        <v>2488</v>
      </c>
      <c r="K175" s="55" t="s">
        <v>61</v>
      </c>
      <c r="L175" s="55">
        <v>95360.0</v>
      </c>
      <c r="M175" s="55" t="s">
        <v>78</v>
      </c>
      <c r="N175" s="55" t="s">
        <v>79</v>
      </c>
      <c r="O175" s="55" t="s">
        <v>224</v>
      </c>
      <c r="P175" s="55" t="s">
        <v>110</v>
      </c>
      <c r="Q175" s="67" t="str">
        <f>IFERROR(__xludf.DUMMYFUNCTION("""COMPUTED_VALUE"""),"Taiwan.giaotiep.tbphoto_95360_MES_NamNH_290823")</f>
        <v>Taiwan.giaotiep.tbphoto_95360_MES_NamNH_290823</v>
      </c>
      <c r="R175" s="67" t="str">
        <f>IFERROR(__xludf.DUMMYFUNCTION("""COMPUTED_VALUE"""),"NEW_Taiwan_1840_none_290823")</f>
        <v>NEW_Taiwan_1840_none_290823</v>
      </c>
      <c r="S175" s="67" t="str">
        <f>IFERROR(__xludf.DUMMYFUNCTION("""COMPUTED_VALUE"""),"saletructiep_Taiwan.tbphoto.1840.giaotiep_PTATT_LD153")</f>
        <v>saletructiep_Taiwan.tbphoto.1840.giaotiep_PTATT_LD153</v>
      </c>
      <c r="T175" s="107" t="str">
        <f>IFERROR(__xludf.DUMMYFUNCTION("""COMPUTED_VALUE"""),"https://patadovietnam.edu.vn/tienganhgiaotiep_hn/?utm_source=Facebook&amp;utm_medium=MES&amp;utm_term=NEW_Taiwan_1840_none_290823&amp;utm_content=saletructiep_Taiwan.tbphoto.1840.giaotiep_PTATT_LD153&amp;utm_campaign=Taiwan.giaotiep.tbphoto_95360_MES_NamNH_290823")</f>
        <v>https://patadovietnam.edu.vn/tienganhgiaotiep_hn/?utm_source=Facebook&amp;utm_medium=MES&amp;utm_term=NEW_Taiwan_1840_none_290823&amp;utm_content=saletructiep_Taiwan.tbphoto.1840.giaotiep_PTATT_LD153&amp;utm_campaign=Taiwan.giaotiep.tbphoto_95360_MES_NamNH_290823</v>
      </c>
      <c r="U175" s="110" t="s">
        <v>2495</v>
      </c>
    </row>
    <row r="176">
      <c r="A176" s="72">
        <v>45167.0</v>
      </c>
      <c r="B176" s="75" t="s">
        <v>1245</v>
      </c>
      <c r="C176" s="67" t="str">
        <f>IFERROR(__xludf.DUMMYFUNCTION("""COMPUTED_VALUE"""),"LD161")</f>
        <v>LD161</v>
      </c>
      <c r="D176" s="55" t="s">
        <v>42</v>
      </c>
      <c r="E176" s="55" t="s">
        <v>79</v>
      </c>
      <c r="F176" s="55" t="s">
        <v>107</v>
      </c>
      <c r="G176" s="55">
        <v>2045.0</v>
      </c>
      <c r="H176" s="55" t="s">
        <v>1137</v>
      </c>
      <c r="I176" s="55" t="s">
        <v>2498</v>
      </c>
      <c r="J176" s="55" t="s">
        <v>2499</v>
      </c>
      <c r="K176" s="55" t="s">
        <v>61</v>
      </c>
      <c r="L176" s="55">
        <v>16917.0</v>
      </c>
      <c r="M176" s="55" t="s">
        <v>78</v>
      </c>
      <c r="N176" s="55" t="s">
        <v>79</v>
      </c>
      <c r="O176" s="55" t="s">
        <v>224</v>
      </c>
      <c r="P176" s="55" t="s">
        <v>110</v>
      </c>
      <c r="Q176" s="67" t="str">
        <f>IFERROR(__xludf.DUMMYFUNCTION("""COMPUTED_VALUE"""),"UnitedStates.giaotiep.tbphoto_16917_MES_NamNH_290823")</f>
        <v>UnitedStates.giaotiep.tbphoto_16917_MES_NamNH_290823</v>
      </c>
      <c r="R176" s="67" t="str">
        <f>IFERROR(__xludf.DUMMYFUNCTION("""COMPUTED_VALUE"""),"NEW_UnitedStates_2045_none_290823")</f>
        <v>NEW_UnitedStates_2045_none_290823</v>
      </c>
      <c r="S176" s="67" t="str">
        <f>IFERROR(__xludf.DUMMYFUNCTION("""COMPUTED_VALUE"""),"saletructiep_UnitedStates.tbphoto.2045.giaotiep_PTATT_LD161")</f>
        <v>saletructiep_UnitedStates.tbphoto.2045.giaotiep_PTATT_LD161</v>
      </c>
      <c r="T176" s="107" t="str">
        <f>IFERROR(__xludf.DUMMYFUNCTION("""COMPUTED_VALUE"""),"https://patadovietnam.edu.vn/gtusa1_nhn/?utm_source=Facebook&amp;utm_medium=MES&amp;utm_term=NEW_UnitedStates_2045_none_290823&amp;utm_content=saletructiep_UnitedStates.tbphoto.2045.giaotiep_PTATT_LD161&amp;utm_campaign=UnitedStates.giaotiep.tbphoto_16917_MES_NamNH_29082"&amp;"3")</f>
        <v>https://patadovietnam.edu.vn/gtusa1_nhn/?utm_source=Facebook&amp;utm_medium=MES&amp;utm_term=NEW_UnitedStates_2045_none_290823&amp;utm_content=saletructiep_UnitedStates.tbphoto.2045.giaotiep_PTATT_LD161&amp;utm_campaign=UnitedStates.giaotiep.tbphoto_16917_MES_NamNH_290823</v>
      </c>
      <c r="U176" s="110" t="s">
        <v>2504</v>
      </c>
    </row>
    <row r="177">
      <c r="A177" s="72">
        <v>45168.0</v>
      </c>
      <c r="B177" s="75" t="s">
        <v>1229</v>
      </c>
      <c r="C177" s="67" t="str">
        <f>IFERROR(__xludf.DUMMYFUNCTION("""COMPUTED_VALUE"""),"LD164")</f>
        <v>LD164</v>
      </c>
      <c r="D177" s="55" t="s">
        <v>42</v>
      </c>
      <c r="E177" s="55" t="s">
        <v>69</v>
      </c>
      <c r="F177" s="55" t="s">
        <v>133</v>
      </c>
      <c r="G177" s="55">
        <v>1840.0</v>
      </c>
      <c r="H177" s="55" t="s">
        <v>1137</v>
      </c>
      <c r="I177" s="55" t="s">
        <v>2506</v>
      </c>
      <c r="J177" s="55" t="s">
        <v>2507</v>
      </c>
      <c r="K177" s="55" t="s">
        <v>61</v>
      </c>
      <c r="L177" s="55">
        <v>16917.0</v>
      </c>
      <c r="M177" s="55" t="s">
        <v>78</v>
      </c>
      <c r="N177" s="55" t="s">
        <v>69</v>
      </c>
      <c r="O177" s="55" t="s">
        <v>224</v>
      </c>
      <c r="P177" s="55" t="s">
        <v>110</v>
      </c>
      <c r="Q177" s="67" t="str">
        <f>IFERROR(__xludf.DUMMYFUNCTION("""COMPUTED_VALUE"""),"Japan.giaotiep.tbphoto_16917_CVS_NamNH_300823")</f>
        <v>Japan.giaotiep.tbphoto_16917_CVS_NamNH_300823</v>
      </c>
      <c r="R177" s="67" t="str">
        <f>IFERROR(__xludf.DUMMYFUNCTION("""COMPUTED_VALUE"""),"NEW_Japan_1840_none_300823")</f>
        <v>NEW_Japan_1840_none_300823</v>
      </c>
      <c r="S177" s="67" t="str">
        <f>IFERROR(__xludf.DUMMYFUNCTION("""COMPUTED_VALUE"""),"saletructiep_Japan.tbphoto.1840.giaotiep_PTATT_LD164")</f>
        <v>saletructiep_Japan.tbphoto.1840.giaotiep_PTATT_LD164</v>
      </c>
      <c r="T177" s="107" t="str">
        <f>IFERROR(__xludf.DUMMYFUNCTION("""COMPUTED_VALUE"""),"https://patadovietnam.edu.vn/gtjapan_nhn3/?utm_source=Facebook&amp;utm_medium=CVS&amp;utm_term=NEW_Japan_1840_none_300823&amp;utm_content=saletructiep_Japan.tbphoto.1840.giaotiep_PTATT_LD164&amp;utm_campaign=Japan.giaotiep.tbphoto_16917_CVS_NamNH_300823")</f>
        <v>https://patadovietnam.edu.vn/gtjapan_nhn3/?utm_source=Facebook&amp;utm_medium=CVS&amp;utm_term=NEW_Japan_1840_none_300823&amp;utm_content=saletructiep_Japan.tbphoto.1840.giaotiep_PTATT_LD164&amp;utm_campaign=Japan.giaotiep.tbphoto_16917_CVS_NamNH_300823</v>
      </c>
      <c r="U177" s="110" t="s">
        <v>2511</v>
      </c>
    </row>
    <row r="178">
      <c r="A178" s="72">
        <v>45169.0</v>
      </c>
      <c r="B178" s="75" t="s">
        <v>1134</v>
      </c>
      <c r="C178" s="67" t="str">
        <f>IFERROR(__xludf.DUMMYFUNCTION("""COMPUTED_VALUE"""),"LD153")</f>
        <v>LD153</v>
      </c>
      <c r="D178" s="55" t="s">
        <v>42</v>
      </c>
      <c r="E178" s="55" t="s">
        <v>79</v>
      </c>
      <c r="F178" s="55" t="s">
        <v>129</v>
      </c>
      <c r="G178" s="55">
        <v>2045.0</v>
      </c>
      <c r="H178" s="55" t="s">
        <v>1137</v>
      </c>
      <c r="I178" s="55" t="s">
        <v>2512</v>
      </c>
      <c r="J178" s="55" t="s">
        <v>2513</v>
      </c>
      <c r="K178" s="55" t="s">
        <v>61</v>
      </c>
      <c r="L178" s="55">
        <v>95360.0</v>
      </c>
      <c r="M178" s="55" t="s">
        <v>78</v>
      </c>
      <c r="N178" s="55" t="s">
        <v>79</v>
      </c>
      <c r="O178" s="55" t="s">
        <v>224</v>
      </c>
      <c r="P178" s="55" t="s">
        <v>110</v>
      </c>
      <c r="Q178" s="67" t="str">
        <f>IFERROR(__xludf.DUMMYFUNCTION("""COMPUTED_VALUE"""),"Australia.giaotiep.tbphoto_95360_MES_NamNH_310823")</f>
        <v>Australia.giaotiep.tbphoto_95360_MES_NamNH_310823</v>
      </c>
      <c r="R178" s="67" t="str">
        <f>IFERROR(__xludf.DUMMYFUNCTION("""COMPUTED_VALUE"""),"NEW_Australia_2045_none_310823")</f>
        <v>NEW_Australia_2045_none_310823</v>
      </c>
      <c r="S178" s="67" t="str">
        <f>IFERROR(__xludf.DUMMYFUNCTION("""COMPUTED_VALUE"""),"saletructiep_Australia.tbphoto.2045.giaotiep_PTATT_LD153")</f>
        <v>saletructiep_Australia.tbphoto.2045.giaotiep_PTATT_LD153</v>
      </c>
      <c r="T178" s="107" t="str">
        <f>IFERROR(__xludf.DUMMYFUNCTION("""COMPUTED_VALUE"""),"https://patadovietnam.edu.vn/tienganhgiaotiep_hn/?utm_source=Facebook&amp;utm_medium=MES&amp;utm_term=NEW_Australia_2045_none_310823&amp;utm_content=saletructiep_Australia.tbphoto.2045.giaotiep_PTATT_LD153&amp;utm_campaign=Australia.giaotiep.tbphoto_95360_MES_NamNH_31082"&amp;"3")</f>
        <v>https://patadovietnam.edu.vn/tienganhgiaotiep_hn/?utm_source=Facebook&amp;utm_medium=MES&amp;utm_term=NEW_Australia_2045_none_310823&amp;utm_content=saletructiep_Australia.tbphoto.2045.giaotiep_PTATT_LD153&amp;utm_campaign=Australia.giaotiep.tbphoto_95360_MES_NamNH_310823</v>
      </c>
      <c r="U178" s="110" t="s">
        <v>2520</v>
      </c>
    </row>
    <row r="179">
      <c r="A179" s="72">
        <v>45169.0</v>
      </c>
      <c r="B179" s="75" t="s">
        <v>1134</v>
      </c>
      <c r="C179" s="67" t="str">
        <f>IFERROR(__xludf.DUMMYFUNCTION("""COMPUTED_VALUE"""),"LD153")</f>
        <v>LD153</v>
      </c>
      <c r="D179" s="55" t="s">
        <v>42</v>
      </c>
      <c r="E179" s="55" t="s">
        <v>79</v>
      </c>
      <c r="F179" s="55" t="s">
        <v>129</v>
      </c>
      <c r="G179" s="55">
        <v>2045.0</v>
      </c>
      <c r="H179" s="55" t="s">
        <v>1137</v>
      </c>
      <c r="I179" s="55" t="s">
        <v>2521</v>
      </c>
      <c r="J179" s="55" t="s">
        <v>2522</v>
      </c>
      <c r="K179" s="55" t="s">
        <v>61</v>
      </c>
      <c r="L179" s="55">
        <v>16917.0</v>
      </c>
      <c r="M179" s="55" t="s">
        <v>78</v>
      </c>
      <c r="N179" s="55" t="s">
        <v>79</v>
      </c>
      <c r="O179" s="55" t="s">
        <v>224</v>
      </c>
      <c r="P179" s="55" t="s">
        <v>110</v>
      </c>
      <c r="Q179" s="67" t="str">
        <f>IFERROR(__xludf.DUMMYFUNCTION("""COMPUTED_VALUE"""),"Australia.giaotiep.chungchihot_16917_MES_NamNH_310823")</f>
        <v>Australia.giaotiep.chungchihot_16917_MES_NamNH_310823</v>
      </c>
      <c r="R179" s="67" t="str">
        <f>IFERROR(__xludf.DUMMYFUNCTION("""COMPUTED_VALUE"""),"NEW_Australia_2045_none_310823")</f>
        <v>NEW_Australia_2045_none_310823</v>
      </c>
      <c r="S179" s="67" t="str">
        <f>IFERROR(__xludf.DUMMYFUNCTION("""COMPUTED_VALUE"""),"saletructiep_Australia.chungchihot.2045.giaotiep_PTATT_LD153")</f>
        <v>saletructiep_Australia.chungchihot.2045.giaotiep_PTATT_LD153</v>
      </c>
      <c r="T179" s="107" t="str">
        <f>IFERROR(__xludf.DUMMYFUNCTION("""COMPUTED_VALUE"""),"https://patadovietnam.edu.vn/tienganhgiaotiep_hn/?utm_source=Facebook&amp;utm_medium=MES&amp;utm_term=NEW_Australia_2045_none_310823&amp;utm_content=saletructiep_Australia.chungchihot.2045.giaotiep_PTATT_LD153&amp;utm_campaign=Australia.giaotiep.chungchihot_16917_MES_Nam"&amp;"NH_310823")</f>
        <v>https://patadovietnam.edu.vn/tienganhgiaotiep_hn/?utm_source=Facebook&amp;utm_medium=MES&amp;utm_term=NEW_Australia_2045_none_310823&amp;utm_content=saletructiep_Australia.chungchihot.2045.giaotiep_PTATT_LD153&amp;utm_campaign=Australia.giaotiep.chungchihot_16917_MES_NamNH_310823</v>
      </c>
      <c r="U179" s="110" t="s">
        <v>2528</v>
      </c>
    </row>
    <row r="180">
      <c r="A180" s="72">
        <v>45169.0</v>
      </c>
      <c r="B180" s="75" t="s">
        <v>1134</v>
      </c>
      <c r="C180" s="67" t="str">
        <f>IFERROR(__xludf.DUMMYFUNCTION("""COMPUTED_VALUE"""),"LD153")</f>
        <v>LD153</v>
      </c>
      <c r="D180" s="55" t="s">
        <v>42</v>
      </c>
      <c r="E180" s="55" t="s">
        <v>79</v>
      </c>
      <c r="F180" s="55" t="s">
        <v>112</v>
      </c>
      <c r="G180" s="55">
        <v>2045.0</v>
      </c>
      <c r="H180" s="55" t="s">
        <v>1137</v>
      </c>
      <c r="I180" s="55" t="s">
        <v>2534</v>
      </c>
      <c r="J180" s="55" t="s">
        <v>2536</v>
      </c>
      <c r="K180" s="55" t="s">
        <v>61</v>
      </c>
      <c r="L180" s="55">
        <v>16917.0</v>
      </c>
      <c r="M180" s="55" t="s">
        <v>78</v>
      </c>
      <c r="N180" s="55" t="s">
        <v>79</v>
      </c>
      <c r="O180" s="55" t="s">
        <v>224</v>
      </c>
      <c r="P180" s="55" t="s">
        <v>110</v>
      </c>
      <c r="Q180" s="67" t="str">
        <f>IFERROR(__xludf.DUMMYFUNCTION("""COMPUTED_VALUE"""),"Canada.giaotiep.tbphoto_16917_MES_NamNH_310823")</f>
        <v>Canada.giaotiep.tbphoto_16917_MES_NamNH_310823</v>
      </c>
      <c r="R180" s="67" t="str">
        <f>IFERROR(__xludf.DUMMYFUNCTION("""COMPUTED_VALUE"""),"NEW_Canada_2045_none_310823")</f>
        <v>NEW_Canada_2045_none_310823</v>
      </c>
      <c r="S180" s="67" t="str">
        <f>IFERROR(__xludf.DUMMYFUNCTION("""COMPUTED_VALUE"""),"saletructiep_Canada.tbphoto.2045.giaotiep_PTATT_LD153")</f>
        <v>saletructiep_Canada.tbphoto.2045.giaotiep_PTATT_LD153</v>
      </c>
      <c r="T180" s="107" t="str">
        <f>IFERROR(__xludf.DUMMYFUNCTION("""COMPUTED_VALUE"""),"https://patadovietnam.edu.vn/tienganhgiaotiep_hn/?utm_source=Facebook&amp;utm_medium=MES&amp;utm_term=NEW_Canada_2045_none_310823&amp;utm_content=saletructiep_Canada.tbphoto.2045.giaotiep_PTATT_LD153&amp;utm_campaign=Canada.giaotiep.tbphoto_16917_MES_NamNH_310823")</f>
        <v>https://patadovietnam.edu.vn/tienganhgiaotiep_hn/?utm_source=Facebook&amp;utm_medium=MES&amp;utm_term=NEW_Canada_2045_none_310823&amp;utm_content=saletructiep_Canada.tbphoto.2045.giaotiep_PTATT_LD153&amp;utm_campaign=Canada.giaotiep.tbphoto_16917_MES_NamNH_310823</v>
      </c>
      <c r="U180" s="110" t="s">
        <v>2540</v>
      </c>
    </row>
    <row r="181">
      <c r="A181" s="72">
        <v>45202.0</v>
      </c>
      <c r="B181" s="75" t="s">
        <v>2542</v>
      </c>
      <c r="C181" s="67" t="str">
        <f>IFERROR(__xludf.DUMMYFUNCTION("""COMPUTED_VALUE"""),"LD196")</f>
        <v>LD196</v>
      </c>
      <c r="D181" s="55" t="s">
        <v>188</v>
      </c>
      <c r="E181" s="55" t="s">
        <v>193</v>
      </c>
      <c r="F181" s="55" t="s">
        <v>107</v>
      </c>
      <c r="G181" s="55">
        <v>2045.0</v>
      </c>
      <c r="H181" s="55" t="s">
        <v>1137</v>
      </c>
      <c r="I181" s="55" t="s">
        <v>2409</v>
      </c>
      <c r="J181" s="55" t="s">
        <v>2401</v>
      </c>
      <c r="K181" s="55" t="s">
        <v>61</v>
      </c>
      <c r="L181" s="55" t="s">
        <v>2403</v>
      </c>
      <c r="M181" s="55" t="s">
        <v>78</v>
      </c>
      <c r="N181" s="55" t="s">
        <v>193</v>
      </c>
      <c r="O181" s="55" t="s">
        <v>2405</v>
      </c>
      <c r="P181" s="55" t="s">
        <v>110</v>
      </c>
      <c r="Q181" s="67" t="str">
        <f>IFERROR(__xludf.DUMMYFUNCTION("""COMPUTED_VALUE"""),"Hoaky.giaotiep.CDKL_nam.patado_SEA_NamNH_031023")</f>
        <v>Hoaky.giaotiep.CDKL_nam.patado_SEA_NamNH_031023</v>
      </c>
      <c r="R181" s="67" t="str">
        <f>IFERROR(__xludf.DUMMYFUNCTION("""COMPUTED_VALUE"""),"NEW_UnitedStates_2045_none_031023")</f>
        <v>NEW_UnitedStates_2045_none_031023</v>
      </c>
      <c r="S181" s="67" t="str">
        <f>IFERROR(__xludf.DUMMYFUNCTION("""COMPUTED_VALUE"""),"saletructiep_tieude1_PTATTTD_LD196")</f>
        <v>saletructiep_tieude1_PTATTTD_LD196</v>
      </c>
      <c r="T181" s="107" t="str">
        <f>IFERROR(__xludf.DUMMYFUNCTION("""COMPUTED_VALUE"""),"https://www.anhngupatado.edu.vn/seahn/?utm_source=Google&amp;utm_medium=SEA&amp;utm_term=NEW_UnitedStates_2045_none_031023&amp;utm_content=saletructiep_tieude1_PTATTTD_LD196&amp;utm_campaign=Hoaky.giaotiep.CDKL_nam.patado_SEA_NamNH_031023")</f>
        <v>https://www.anhngupatado.edu.vn/seahn/?utm_source=Google&amp;utm_medium=SEA&amp;utm_term=NEW_UnitedStates_2045_none_031023&amp;utm_content=saletructiep_tieude1_PTATTTD_LD196&amp;utm_campaign=Hoaky.giaotiep.CDKL_nam.patado_SEA_NamNH_031023</v>
      </c>
      <c r="U181" s="118"/>
    </row>
    <row r="182">
      <c r="A182" s="72">
        <v>45122.0</v>
      </c>
      <c r="B182" s="75" t="s">
        <v>1134</v>
      </c>
      <c r="C182" s="67" t="str">
        <f>IFERROR(__xludf.DUMMYFUNCTION("""COMPUTED_VALUE"""),"LD153")</f>
        <v>LD153</v>
      </c>
      <c r="D182" s="55" t="s">
        <v>42</v>
      </c>
      <c r="E182" s="55" t="s">
        <v>69</v>
      </c>
      <c r="F182" s="55" t="s">
        <v>625</v>
      </c>
      <c r="G182" s="55">
        <v>1838.0</v>
      </c>
      <c r="H182" s="55" t="s">
        <v>1137</v>
      </c>
      <c r="I182" s="55" t="s">
        <v>2549</v>
      </c>
      <c r="J182" s="55" t="s">
        <v>2551</v>
      </c>
      <c r="K182" s="55" t="s">
        <v>61</v>
      </c>
      <c r="L182" s="55">
        <v>95360.0</v>
      </c>
      <c r="M182" s="55" t="s">
        <v>78</v>
      </c>
      <c r="N182" s="55" t="s">
        <v>69</v>
      </c>
      <c r="O182" s="55" t="s">
        <v>224</v>
      </c>
      <c r="P182" s="55" t="s">
        <v>110</v>
      </c>
      <c r="Q182" s="67" t="str">
        <f>IFERROR(__xludf.DUMMYFUNCTION("""COMPUTED_VALUE"""),"KoreaSouth.giaotiep.kvjh_95360_CVS_NamNH_150723")</f>
        <v>KoreaSouth.giaotiep.kvjh_95360_CVS_NamNH_150723</v>
      </c>
      <c r="R182" s="67" t="str">
        <f>IFERROR(__xludf.DUMMYFUNCTION("""COMPUTED_VALUE"""),"NEW_KoreaSouth_1838_none_150723")</f>
        <v>NEW_KoreaSouth_1838_none_150723</v>
      </c>
      <c r="S182" s="67" t="str">
        <f>IFERROR(__xludf.DUMMYFUNCTION("""COMPUTED_VALUE"""),"saletructiep_KoreaSouth.kvjh.1838.giaotiep_PTATT_LD153")</f>
        <v>saletructiep_KoreaSouth.kvjh.1838.giaotiep_PTATT_LD153</v>
      </c>
      <c r="T182" s="107" t="str">
        <f>IFERROR(__xludf.DUMMYFUNCTION("""COMPUTED_VALUE"""),"https://patadovietnam.edu.vn/tienganhgiaotiep_hn/?utm_source=Facebook&amp;utm_medium=CVS&amp;utm_term=NEW_KoreaSouth_1838_none_150723&amp;utm_content=saletructiep_KoreaSouth.kvjh.1838.giaotiep_PTATT_LD153&amp;utm_campaign=KoreaSouth.giaotiep.kvjh_95360_CVS_NamNH_150723")</f>
        <v>https://patadovietnam.edu.vn/tienganhgiaotiep_hn/?utm_source=Facebook&amp;utm_medium=CVS&amp;utm_term=NEW_KoreaSouth_1838_none_150723&amp;utm_content=saletructiep_KoreaSouth.kvjh.1838.giaotiep_PTATT_LD153&amp;utm_campaign=KoreaSouth.giaotiep.kvjh_95360_CVS_NamNH_150723</v>
      </c>
      <c r="U182" s="110" t="s">
        <v>2554</v>
      </c>
    </row>
    <row r="183">
      <c r="A183" s="72">
        <v>45122.0</v>
      </c>
      <c r="B183" s="75" t="s">
        <v>1134</v>
      </c>
      <c r="C183" s="67" t="str">
        <f>IFERROR(__xludf.DUMMYFUNCTION("""COMPUTED_VALUE"""),"LD153")</f>
        <v>LD153</v>
      </c>
      <c r="D183" s="55" t="s">
        <v>42</v>
      </c>
      <c r="E183" s="55" t="s">
        <v>69</v>
      </c>
      <c r="F183" s="55" t="s">
        <v>164</v>
      </c>
      <c r="G183" s="55">
        <v>1838.0</v>
      </c>
      <c r="H183" s="55" t="s">
        <v>1137</v>
      </c>
      <c r="I183" s="55" t="s">
        <v>2556</v>
      </c>
      <c r="J183" s="55" t="s">
        <v>2557</v>
      </c>
      <c r="K183" s="55" t="s">
        <v>61</v>
      </c>
      <c r="L183" s="55">
        <v>95360.0</v>
      </c>
      <c r="M183" s="55" t="s">
        <v>78</v>
      </c>
      <c r="N183" s="55" t="s">
        <v>69</v>
      </c>
      <c r="O183" s="55" t="s">
        <v>224</v>
      </c>
      <c r="P183" s="55" t="s">
        <v>110</v>
      </c>
      <c r="Q183" s="67" t="str">
        <f>IFERROR(__xludf.DUMMYFUNCTION("""COMPUTED_VALUE"""),"Taiwan.giaotiep.kvjh_95360_CVS_NamNH_150723")</f>
        <v>Taiwan.giaotiep.kvjh_95360_CVS_NamNH_150723</v>
      </c>
      <c r="R183" s="67" t="str">
        <f>IFERROR(__xludf.DUMMYFUNCTION("""COMPUTED_VALUE"""),"NEW_Taiwan_1838_none_150723")</f>
        <v>NEW_Taiwan_1838_none_150723</v>
      </c>
      <c r="S183" s="67" t="str">
        <f>IFERROR(__xludf.DUMMYFUNCTION("""COMPUTED_VALUE"""),"saletructiep_Taiwan.kvjh.1838.giaotiep_PTATT_LD153")</f>
        <v>saletructiep_Taiwan.kvjh.1838.giaotiep_PTATT_LD153</v>
      </c>
      <c r="T183" s="107" t="str">
        <f>IFERROR(__xludf.DUMMYFUNCTION("""COMPUTED_VALUE"""),"https://patadovietnam.edu.vn/tienganhgiaotiep_hn/?utm_source=Facebook&amp;utm_medium=CVS&amp;utm_term=NEW_Taiwan_1838_none_150723&amp;utm_content=saletructiep_Taiwan.kvjh.1838.giaotiep_PTATT_LD153&amp;utm_campaign=Taiwan.giaotiep.kvjh_95360_CVS_NamNH_150723")</f>
        <v>https://patadovietnam.edu.vn/tienganhgiaotiep_hn/?utm_source=Facebook&amp;utm_medium=CVS&amp;utm_term=NEW_Taiwan_1838_none_150723&amp;utm_content=saletructiep_Taiwan.kvjh.1838.giaotiep_PTATT_LD153&amp;utm_campaign=Taiwan.giaotiep.kvjh_95360_CVS_NamNH_150723</v>
      </c>
      <c r="U183" s="110" t="s">
        <v>2561</v>
      </c>
    </row>
    <row r="184">
      <c r="A184" s="72">
        <v>45122.0</v>
      </c>
      <c r="B184" s="75" t="s">
        <v>1134</v>
      </c>
      <c r="C184" s="67" t="str">
        <f>IFERROR(__xludf.DUMMYFUNCTION("""COMPUTED_VALUE"""),"LD153")</f>
        <v>LD153</v>
      </c>
      <c r="D184" s="55" t="s">
        <v>42</v>
      </c>
      <c r="E184" s="55" t="s">
        <v>69</v>
      </c>
      <c r="F184" s="55" t="s">
        <v>539</v>
      </c>
      <c r="G184" s="55">
        <v>1845.0</v>
      </c>
      <c r="H184" s="55" t="s">
        <v>1137</v>
      </c>
      <c r="I184" s="55" t="s">
        <v>2564</v>
      </c>
      <c r="J184" s="55" t="s">
        <v>2565</v>
      </c>
      <c r="K184" s="55" t="s">
        <v>61</v>
      </c>
      <c r="L184" s="55">
        <v>95360.0</v>
      </c>
      <c r="M184" s="55" t="s">
        <v>78</v>
      </c>
      <c r="N184" s="55" t="s">
        <v>69</v>
      </c>
      <c r="O184" s="55" t="s">
        <v>224</v>
      </c>
      <c r="P184" s="55" t="s">
        <v>110</v>
      </c>
      <c r="Q184" s="67" t="str">
        <f>IFERROR(__xludf.DUMMYFUNCTION("""COMPUTED_VALUE"""),"ALL.giaotiep.kvjh_95360_CVS_NamNH_150723")</f>
        <v>ALL.giaotiep.kvjh_95360_CVS_NamNH_150723</v>
      </c>
      <c r="R184" s="67" t="str">
        <f>IFERROR(__xludf.DUMMYFUNCTION("""COMPUTED_VALUE"""),"NEW_ALL_1845_none_150723")</f>
        <v>NEW_ALL_1845_none_150723</v>
      </c>
      <c r="S184" s="67" t="str">
        <f>IFERROR(__xludf.DUMMYFUNCTION("""COMPUTED_VALUE"""),"saletructiep_ALL.kvjh.1838.giaotiep_PTATT_LD153")</f>
        <v>saletructiep_ALL.kvjh.1838.giaotiep_PTATT_LD153</v>
      </c>
      <c r="T184" s="107" t="str">
        <f>IFERROR(__xludf.DUMMYFUNCTION("""COMPUTED_VALUE"""),"https://patadovietnam.edu.vn/tienganhgiaotiep_hn/?utm_source=Facebook&amp;utm_medium=CVS&amp;utm_term=NEW_ALL_1845_none_150723&amp;utm_content=saletructiep_ALL.kvjh.1838.giaotiep_PTATT_LD153&amp;utm_campaign=ALL.giaotiep.kvjh_95360_CVS_NamNH_150723")</f>
        <v>https://patadovietnam.edu.vn/tienganhgiaotiep_hn/?utm_source=Facebook&amp;utm_medium=CVS&amp;utm_term=NEW_ALL_1845_none_150723&amp;utm_content=saletructiep_ALL.kvjh.1838.giaotiep_PTATT_LD153&amp;utm_campaign=ALL.giaotiep.kvjh_95360_CVS_NamNH_150723</v>
      </c>
      <c r="U184" s="110" t="s">
        <v>2568</v>
      </c>
    </row>
    <row r="185">
      <c r="A185" s="72">
        <v>45172.0</v>
      </c>
      <c r="B185" s="75" t="s">
        <v>2542</v>
      </c>
      <c r="C185" s="67" t="str">
        <f>IFERROR(__xludf.DUMMYFUNCTION("""COMPUTED_VALUE"""),"LD196")</f>
        <v>LD196</v>
      </c>
      <c r="D185" s="55" t="s">
        <v>188</v>
      </c>
      <c r="E185" s="55" t="s">
        <v>193</v>
      </c>
      <c r="F185" s="55" t="s">
        <v>539</v>
      </c>
      <c r="G185" s="55">
        <v>2045.0</v>
      </c>
      <c r="H185" s="55" t="s">
        <v>1137</v>
      </c>
      <c r="I185" s="55" t="s">
        <v>2570</v>
      </c>
      <c r="J185" s="55" t="s">
        <v>2571</v>
      </c>
      <c r="K185" s="55" t="s">
        <v>61</v>
      </c>
      <c r="L185" s="55" t="s">
        <v>2403</v>
      </c>
      <c r="M185" s="55" t="s">
        <v>78</v>
      </c>
      <c r="N185" s="55" t="s">
        <v>193</v>
      </c>
      <c r="O185" s="55" t="s">
        <v>2405</v>
      </c>
      <c r="P185" s="55" t="s">
        <v>110</v>
      </c>
      <c r="Q185" s="67" t="str">
        <f>IFERROR(__xludf.DUMMYFUNCTION("""COMPUTED_VALUE"""),"ALL.giaotiep.CDKL_nam.patado_SEA_NamNH_030923")</f>
        <v>ALL.giaotiep.CDKL_nam.patado_SEA_NamNH_030923</v>
      </c>
      <c r="R185" s="67" t="str">
        <f>IFERROR(__xludf.DUMMYFUNCTION("""COMPUTED_VALUE"""),"NEW_ALL_2045_none_030923")</f>
        <v>NEW_ALL_2045_none_030923</v>
      </c>
      <c r="S185" s="67" t="str">
        <f>IFERROR(__xludf.DUMMYFUNCTION("""COMPUTED_VALUE"""),"saletructiep_tieude1ALL_PTATTTD_LD196")</f>
        <v>saletructiep_tieude1ALL_PTATTTD_LD196</v>
      </c>
      <c r="T185" s="107" t="str">
        <f>IFERROR(__xludf.DUMMYFUNCTION("""COMPUTED_VALUE"""),"https://www.anhngupatado.edu.vn/seahn/?utm_source=Google&amp;utm_medium=SEA&amp;utm_term=NEW_ALL_2045_none_030923&amp;utm_content=saletructiep_tieude1ALL_PTATTTD_LD196&amp;utm_campaign=ALL.giaotiep.CDKL_nam.patado_SEA_NamNH_030923")</f>
        <v>https://www.anhngupatado.edu.vn/seahn/?utm_source=Google&amp;utm_medium=SEA&amp;utm_term=NEW_ALL_2045_none_030923&amp;utm_content=saletructiep_tieude1ALL_PTATTTD_LD196&amp;utm_campaign=ALL.giaotiep.CDKL_nam.patado_SEA_NamNH_030923</v>
      </c>
      <c r="U185" s="118"/>
    </row>
    <row r="186">
      <c r="A186" s="72">
        <v>45139.0</v>
      </c>
      <c r="B186" s="75" t="s">
        <v>1134</v>
      </c>
      <c r="C186" s="67" t="str">
        <f>IFERROR(__xludf.DUMMYFUNCTION("""COMPUTED_VALUE"""),"LD153")</f>
        <v>LD153</v>
      </c>
      <c r="D186" s="55" t="s">
        <v>42</v>
      </c>
      <c r="E186" s="55" t="s">
        <v>69</v>
      </c>
      <c r="F186" s="55" t="s">
        <v>625</v>
      </c>
      <c r="G186" s="55">
        <v>1838.0</v>
      </c>
      <c r="H186" s="55" t="s">
        <v>1137</v>
      </c>
      <c r="I186" s="55" t="s">
        <v>2577</v>
      </c>
      <c r="J186" s="55" t="s">
        <v>2578</v>
      </c>
      <c r="K186" s="55" t="s">
        <v>61</v>
      </c>
      <c r="L186" s="55">
        <v>95360.0</v>
      </c>
      <c r="M186" s="55" t="s">
        <v>78</v>
      </c>
      <c r="N186" s="55" t="s">
        <v>69</v>
      </c>
      <c r="O186" s="55" t="s">
        <v>224</v>
      </c>
      <c r="P186" s="55" t="s">
        <v>110</v>
      </c>
      <c r="Q186" s="67" t="str">
        <f>IFERROR(__xludf.DUMMYFUNCTION("""COMPUTED_VALUE"""),"KoreaSouth.giaotiep.JH2_95360_CVS_NamNH_010823")</f>
        <v>KoreaSouth.giaotiep.JH2_95360_CVS_NamNH_010823</v>
      </c>
      <c r="R186" s="67" t="str">
        <f>IFERROR(__xludf.DUMMYFUNCTION("""COMPUTED_VALUE"""),"NEW_KoreaSouth_1838_none_010823")</f>
        <v>NEW_KoreaSouth_1838_none_010823</v>
      </c>
      <c r="S186" s="67" t="str">
        <f>IFERROR(__xludf.DUMMYFUNCTION("""COMPUTED_VALUE"""),"saletructiep_KoreaSouth.JH2.1838.giaotiep_PTATT_LD153")</f>
        <v>saletructiep_KoreaSouth.JH2.1838.giaotiep_PTATT_LD153</v>
      </c>
      <c r="T186" s="107" t="str">
        <f>IFERROR(__xludf.DUMMYFUNCTION("""COMPUTED_VALUE"""),"https://patadovietnam.edu.vn/tienganhgiaotiep_hn/?utm_source=Facebook&amp;utm_medium=CVS&amp;utm_term=NEW_KoreaSouth_1838_none_010823&amp;utm_content=saletructiep_KoreaSouth.JH2.1838.giaotiep_PTATT_LD153&amp;utm_campaign=KoreaSouth.giaotiep.JH2_95360_CVS_NamNH_010823")</f>
        <v>https://patadovietnam.edu.vn/tienganhgiaotiep_hn/?utm_source=Facebook&amp;utm_medium=CVS&amp;utm_term=NEW_KoreaSouth_1838_none_010823&amp;utm_content=saletructiep_KoreaSouth.JH2.1838.giaotiep_PTATT_LD153&amp;utm_campaign=KoreaSouth.giaotiep.JH2_95360_CVS_NamNH_010823</v>
      </c>
      <c r="U186" s="110" t="s">
        <v>2579</v>
      </c>
    </row>
    <row r="187">
      <c r="A187" s="72">
        <v>45139.0</v>
      </c>
      <c r="B187" s="75" t="s">
        <v>1134</v>
      </c>
      <c r="C187" s="67" t="str">
        <f>IFERROR(__xludf.DUMMYFUNCTION("""COMPUTED_VALUE"""),"LD153")</f>
        <v>LD153</v>
      </c>
      <c r="D187" s="55" t="s">
        <v>42</v>
      </c>
      <c r="E187" s="55" t="s">
        <v>69</v>
      </c>
      <c r="F187" s="55" t="s">
        <v>164</v>
      </c>
      <c r="G187" s="55">
        <v>1838.0</v>
      </c>
      <c r="H187" s="55" t="s">
        <v>1137</v>
      </c>
      <c r="I187" s="55" t="s">
        <v>2581</v>
      </c>
      <c r="J187" s="55" t="s">
        <v>2583</v>
      </c>
      <c r="K187" s="55" t="s">
        <v>61</v>
      </c>
      <c r="L187" s="55">
        <v>95360.0</v>
      </c>
      <c r="M187" s="55" t="s">
        <v>78</v>
      </c>
      <c r="N187" s="55" t="s">
        <v>69</v>
      </c>
      <c r="O187" s="55" t="s">
        <v>224</v>
      </c>
      <c r="P187" s="55" t="s">
        <v>110</v>
      </c>
      <c r="Q187" s="67" t="str">
        <f>IFERROR(__xludf.DUMMYFUNCTION("""COMPUTED_VALUE"""),"Taiwan.giaotiep.JH2_95360_CVS_NamNH_010823")</f>
        <v>Taiwan.giaotiep.JH2_95360_CVS_NamNH_010823</v>
      </c>
      <c r="R187" s="67" t="str">
        <f>IFERROR(__xludf.DUMMYFUNCTION("""COMPUTED_VALUE"""),"NEW_Taiwan_1838_none_010823")</f>
        <v>NEW_Taiwan_1838_none_010823</v>
      </c>
      <c r="S187" s="67" t="str">
        <f>IFERROR(__xludf.DUMMYFUNCTION("""COMPUTED_VALUE"""),"saletructiep_Taiwan.JH2.1838.giaotiep_PTATT_LD153")</f>
        <v>saletructiep_Taiwan.JH2.1838.giaotiep_PTATT_LD153</v>
      </c>
      <c r="T187" s="107" t="str">
        <f>IFERROR(__xludf.DUMMYFUNCTION("""COMPUTED_VALUE"""),"https://patadovietnam.edu.vn/tienganhgiaotiep_hn/?utm_source=Facebook&amp;utm_medium=CVS&amp;utm_term=NEW_Taiwan_1838_none_010823&amp;utm_content=saletructiep_Taiwan.JH2.1838.giaotiep_PTATT_LD153&amp;utm_campaign=Taiwan.giaotiep.JH2_95360_CVS_NamNH_010823")</f>
        <v>https://patadovietnam.edu.vn/tienganhgiaotiep_hn/?utm_source=Facebook&amp;utm_medium=CVS&amp;utm_term=NEW_Taiwan_1838_none_010823&amp;utm_content=saletructiep_Taiwan.JH2.1838.giaotiep_PTATT_LD153&amp;utm_campaign=Taiwan.giaotiep.JH2_95360_CVS_NamNH_010823</v>
      </c>
      <c r="U187" s="110" t="s">
        <v>2585</v>
      </c>
    </row>
    <row r="188">
      <c r="A188" s="72">
        <v>45078.0</v>
      </c>
      <c r="B188" s="75" t="s">
        <v>1134</v>
      </c>
      <c r="C188" s="67" t="str">
        <f>IFERROR(__xludf.DUMMYFUNCTION("""COMPUTED_VALUE"""),"LD153")</f>
        <v>LD153</v>
      </c>
      <c r="D188" s="55" t="s">
        <v>42</v>
      </c>
      <c r="E188" s="55" t="s">
        <v>69</v>
      </c>
      <c r="F188" s="55" t="s">
        <v>539</v>
      </c>
      <c r="G188" s="55">
        <v>2045.0</v>
      </c>
      <c r="H188" s="55" t="s">
        <v>1137</v>
      </c>
      <c r="I188" s="55" t="s">
        <v>2589</v>
      </c>
      <c r="J188" s="55" t="s">
        <v>2590</v>
      </c>
      <c r="K188" s="55" t="s">
        <v>61</v>
      </c>
      <c r="L188" s="55">
        <v>95360.0</v>
      </c>
      <c r="M188" s="55" t="s">
        <v>78</v>
      </c>
      <c r="N188" s="55" t="s">
        <v>69</v>
      </c>
      <c r="O188" s="55" t="s">
        <v>224</v>
      </c>
      <c r="P188" s="55" t="s">
        <v>110</v>
      </c>
      <c r="Q188" s="67" t="str">
        <f>IFERROR(__xludf.DUMMYFUNCTION("""COMPUTED_VALUE"""),"ALL.giaotiep.JH2_95360_CVS_NamNH_010623")</f>
        <v>ALL.giaotiep.JH2_95360_CVS_NamNH_010623</v>
      </c>
      <c r="R188" s="67" t="str">
        <f>IFERROR(__xludf.DUMMYFUNCTION("""COMPUTED_VALUE"""),"NEW_ALL_2045_none_010623")</f>
        <v>NEW_ALL_2045_none_010623</v>
      </c>
      <c r="S188" s="67" t="str">
        <f>IFERROR(__xludf.DUMMYFUNCTION("""COMPUTED_VALUE"""),"saletructiep_ALL.JH2.2045.giaotiep_PTATT_LD153")</f>
        <v>saletructiep_ALL.JH2.2045.giaotiep_PTATT_LD153</v>
      </c>
      <c r="T188" s="107" t="str">
        <f>IFERROR(__xludf.DUMMYFUNCTION("""COMPUTED_VALUE"""),"https://patadovietnam.edu.vn/tienganhgiaotiep_hn/?utm_source=Facebook&amp;utm_medium=CVS&amp;utm_term=NEW_ALL_2045_none_010623&amp;utm_content=saletructiep_ALL.JH2.2045.giaotiep_PTATT_LD153&amp;utm_campaign=ALL.giaotiep.JH2_95360_CVS_NamNH_010623")</f>
        <v>https://patadovietnam.edu.vn/tienganhgiaotiep_hn/?utm_source=Facebook&amp;utm_medium=CVS&amp;utm_term=NEW_ALL_2045_none_010623&amp;utm_content=saletructiep_ALL.JH2.2045.giaotiep_PTATT_LD153&amp;utm_campaign=ALL.giaotiep.JH2_95360_CVS_NamNH_010623</v>
      </c>
      <c r="U188" s="110" t="s">
        <v>2592</v>
      </c>
    </row>
    <row r="189">
      <c r="A189" s="72">
        <v>45078.0</v>
      </c>
      <c r="B189" s="75" t="s">
        <v>1245</v>
      </c>
      <c r="C189" s="67" t="str">
        <f>IFERROR(__xludf.DUMMYFUNCTION("""COMPUTED_VALUE"""),"LD161")</f>
        <v>LD161</v>
      </c>
      <c r="D189" s="55" t="s">
        <v>42</v>
      </c>
      <c r="E189" s="55" t="s">
        <v>69</v>
      </c>
      <c r="F189" s="55" t="s">
        <v>107</v>
      </c>
      <c r="G189" s="55">
        <v>2045.0</v>
      </c>
      <c r="H189" s="55" t="s">
        <v>1137</v>
      </c>
      <c r="I189" s="55" t="s">
        <v>2595</v>
      </c>
      <c r="J189" s="55" t="s">
        <v>2596</v>
      </c>
      <c r="K189" s="55" t="s">
        <v>61</v>
      </c>
      <c r="L189" s="55">
        <v>16917.0</v>
      </c>
      <c r="M189" s="55" t="s">
        <v>78</v>
      </c>
      <c r="N189" s="55" t="s">
        <v>69</v>
      </c>
      <c r="O189" s="55" t="s">
        <v>224</v>
      </c>
      <c r="P189" s="55" t="s">
        <v>110</v>
      </c>
      <c r="Q189" s="67" t="str">
        <f>IFERROR(__xludf.DUMMYFUNCTION("""COMPUTED_VALUE"""),"UnitedStates.giaotiep.JH2_16917_CVS_NamNH_010623")</f>
        <v>UnitedStates.giaotiep.JH2_16917_CVS_NamNH_010623</v>
      </c>
      <c r="R189" s="67" t="str">
        <f>IFERROR(__xludf.DUMMYFUNCTION("""COMPUTED_VALUE"""),"NEW_UnitedStates_2045_none_010623")</f>
        <v>NEW_UnitedStates_2045_none_010623</v>
      </c>
      <c r="S189" s="67" t="str">
        <f>IFERROR(__xludf.DUMMYFUNCTION("""COMPUTED_VALUE"""),"saletructiep_UnitedStates.JH2.2045.giaotiep_PTATT_LD161")</f>
        <v>saletructiep_UnitedStates.JH2.2045.giaotiep_PTATT_LD161</v>
      </c>
      <c r="T189" s="107" t="str">
        <f>IFERROR(__xludf.DUMMYFUNCTION("""COMPUTED_VALUE"""),"https://patadovietnam.edu.vn/gtusa1_nhn/?utm_source=Facebook&amp;utm_medium=CVS&amp;utm_term=NEW_UnitedStates_2045_none_010623&amp;utm_content=saletructiep_UnitedStates.JH2.2045.giaotiep_PTATT_LD161&amp;utm_campaign=UnitedStates.giaotiep.JH2_16917_CVS_NamNH_010623")</f>
        <v>https://patadovietnam.edu.vn/gtusa1_nhn/?utm_source=Facebook&amp;utm_medium=CVS&amp;utm_term=NEW_UnitedStates_2045_none_010623&amp;utm_content=saletructiep_UnitedStates.JH2.2045.giaotiep_PTATT_LD161&amp;utm_campaign=UnitedStates.giaotiep.JH2_16917_CVS_NamNH_010623</v>
      </c>
      <c r="U189" s="110" t="s">
        <v>2597</v>
      </c>
    </row>
    <row r="190">
      <c r="A190" s="72">
        <v>45078.0</v>
      </c>
      <c r="B190" s="75" t="s">
        <v>1229</v>
      </c>
      <c r="C190" s="67" t="str">
        <f>IFERROR(__xludf.DUMMYFUNCTION("""COMPUTED_VALUE"""),"LD164")</f>
        <v>LD164</v>
      </c>
      <c r="D190" s="55" t="s">
        <v>42</v>
      </c>
      <c r="E190" s="55" t="s">
        <v>69</v>
      </c>
      <c r="F190" s="55" t="s">
        <v>133</v>
      </c>
      <c r="G190" s="55">
        <v>1840.0</v>
      </c>
      <c r="H190" s="55" t="s">
        <v>1137</v>
      </c>
      <c r="I190" s="55" t="s">
        <v>2601</v>
      </c>
      <c r="J190" s="55" t="s">
        <v>2602</v>
      </c>
      <c r="K190" s="55" t="s">
        <v>61</v>
      </c>
      <c r="L190" s="55">
        <v>16917.0</v>
      </c>
      <c r="M190" s="55" t="s">
        <v>78</v>
      </c>
      <c r="N190" s="55" t="s">
        <v>69</v>
      </c>
      <c r="O190" s="55" t="s">
        <v>224</v>
      </c>
      <c r="P190" s="55" t="s">
        <v>110</v>
      </c>
      <c r="Q190" s="67" t="str">
        <f>IFERROR(__xludf.DUMMYFUNCTION("""COMPUTED_VALUE"""),"Japan.giaotiep.JH2_16917_CVS_NamNH_010623")</f>
        <v>Japan.giaotiep.JH2_16917_CVS_NamNH_010623</v>
      </c>
      <c r="R190" s="67" t="str">
        <f>IFERROR(__xludf.DUMMYFUNCTION("""COMPUTED_VALUE"""),"NEW_Japan_1840_none_010623")</f>
        <v>NEW_Japan_1840_none_010623</v>
      </c>
      <c r="S190" s="67" t="str">
        <f>IFERROR(__xludf.DUMMYFUNCTION("""COMPUTED_VALUE"""),"saletructiep_Japan.JH2.1840.giaotiep_PTATT_LD164")</f>
        <v>saletructiep_Japan.JH2.1840.giaotiep_PTATT_LD164</v>
      </c>
      <c r="T190" s="107" t="str">
        <f>IFERROR(__xludf.DUMMYFUNCTION("""COMPUTED_VALUE"""),"https://patadovietnam.edu.vn/gtjapan_nhn3/?utm_source=Facebook&amp;utm_medium=CVS&amp;utm_term=NEW_Japan_1840_none_010623&amp;utm_content=saletructiep_Japan.JH2.1840.giaotiep_PTATT_LD164&amp;utm_campaign=Japan.giaotiep.JH2_16917_CVS_NamNH_010623")</f>
        <v>https://patadovietnam.edu.vn/gtjapan_nhn3/?utm_source=Facebook&amp;utm_medium=CVS&amp;utm_term=NEW_Japan_1840_none_010623&amp;utm_content=saletructiep_Japan.JH2.1840.giaotiep_PTATT_LD164&amp;utm_campaign=Japan.giaotiep.JH2_16917_CVS_NamNH_010623</v>
      </c>
      <c r="U190" s="110" t="s">
        <v>2603</v>
      </c>
    </row>
    <row r="191">
      <c r="A191" s="72">
        <v>45078.0</v>
      </c>
      <c r="B191" s="75" t="s">
        <v>1245</v>
      </c>
      <c r="C191" s="67" t="str">
        <f>IFERROR(__xludf.DUMMYFUNCTION("""COMPUTED_VALUE"""),"LD161")</f>
        <v>LD161</v>
      </c>
      <c r="D191" s="55" t="s">
        <v>42</v>
      </c>
      <c r="E191" s="55" t="s">
        <v>79</v>
      </c>
      <c r="F191" s="55" t="s">
        <v>107</v>
      </c>
      <c r="G191" s="55">
        <v>2045.0</v>
      </c>
      <c r="H191" s="55" t="s">
        <v>1137</v>
      </c>
      <c r="I191" s="55" t="s">
        <v>2604</v>
      </c>
      <c r="J191" s="55" t="s">
        <v>2605</v>
      </c>
      <c r="K191" s="55" t="s">
        <v>61</v>
      </c>
      <c r="L191" s="55">
        <v>16917.0</v>
      </c>
      <c r="M191" s="55" t="s">
        <v>78</v>
      </c>
      <c r="N191" s="55" t="s">
        <v>79</v>
      </c>
      <c r="O191" s="55" t="s">
        <v>224</v>
      </c>
      <c r="P191" s="55" t="s">
        <v>110</v>
      </c>
      <c r="Q191" s="67" t="str">
        <f>IFERROR(__xludf.DUMMYFUNCTION("""COMPUTED_VALUE"""),"UnitedStates.giaotiep.molopmy_16917_MES_NamNH_010623")</f>
        <v>UnitedStates.giaotiep.molopmy_16917_MES_NamNH_010623</v>
      </c>
      <c r="R191" s="67" t="str">
        <f>IFERROR(__xludf.DUMMYFUNCTION("""COMPUTED_VALUE"""),"NEW_UnitedStates_2045_none_010623")</f>
        <v>NEW_UnitedStates_2045_none_010623</v>
      </c>
      <c r="S191" s="67" t="str">
        <f>IFERROR(__xludf.DUMMYFUNCTION("""COMPUTED_VALUE"""),"saletructiep_UnitedStates.molopmy.2045.giaotiep_PTATT_LD161")</f>
        <v>saletructiep_UnitedStates.molopmy.2045.giaotiep_PTATT_LD161</v>
      </c>
      <c r="T191" s="107" t="str">
        <f>IFERROR(__xludf.DUMMYFUNCTION("""COMPUTED_VALUE"""),"https://patadovietnam.edu.vn/gtusa1_nhn/?utm_source=Facebook&amp;utm_medium=MES&amp;utm_term=NEW_UnitedStates_2045_none_010623&amp;utm_content=saletructiep_UnitedStates.molopmy.2045.giaotiep_PTATT_LD161&amp;utm_campaign=UnitedStates.giaotiep.molopmy_16917_MES_NamNH_01062"&amp;"3")</f>
        <v>https://patadovietnam.edu.vn/gtusa1_nhn/?utm_source=Facebook&amp;utm_medium=MES&amp;utm_term=NEW_UnitedStates_2045_none_010623&amp;utm_content=saletructiep_UnitedStates.molopmy.2045.giaotiep_PTATT_LD161&amp;utm_campaign=UnitedStates.giaotiep.molopmy_16917_MES_NamNH_010623</v>
      </c>
      <c r="U191" s="110" t="s">
        <v>2609</v>
      </c>
    </row>
    <row r="192">
      <c r="A192" s="72">
        <v>45079.0</v>
      </c>
      <c r="B192" s="75" t="s">
        <v>1229</v>
      </c>
      <c r="C192" s="67" t="str">
        <f>IFERROR(__xludf.DUMMYFUNCTION("""COMPUTED_VALUE"""),"LD164")</f>
        <v>LD164</v>
      </c>
      <c r="D192" s="55" t="s">
        <v>42</v>
      </c>
      <c r="E192" s="55" t="s">
        <v>69</v>
      </c>
      <c r="F192" s="55" t="s">
        <v>133</v>
      </c>
      <c r="G192" s="55">
        <v>1840.0</v>
      </c>
      <c r="H192" s="55" t="s">
        <v>1137</v>
      </c>
      <c r="I192" s="55" t="s">
        <v>2610</v>
      </c>
      <c r="J192" s="55" t="s">
        <v>2611</v>
      </c>
      <c r="K192" s="55" t="s">
        <v>61</v>
      </c>
      <c r="L192" s="55">
        <v>16917.0</v>
      </c>
      <c r="M192" s="55" t="s">
        <v>78</v>
      </c>
      <c r="N192" s="55" t="s">
        <v>69</v>
      </c>
      <c r="O192" s="55" t="s">
        <v>224</v>
      </c>
      <c r="P192" s="55" t="s">
        <v>110</v>
      </c>
      <c r="Q192" s="67" t="str">
        <f>IFERROR(__xludf.DUMMYFUNCTION("""COMPUTED_VALUE"""),"Japan.giaotiep.molopnhat_16917_CVS_NamNH_020623")</f>
        <v>Japan.giaotiep.molopnhat_16917_CVS_NamNH_020623</v>
      </c>
      <c r="R192" s="67" t="str">
        <f>IFERROR(__xludf.DUMMYFUNCTION("""COMPUTED_VALUE"""),"NEW_Japan_1840_none_020623")</f>
        <v>NEW_Japan_1840_none_020623</v>
      </c>
      <c r="S192" s="67" t="str">
        <f>IFERROR(__xludf.DUMMYFUNCTION("""COMPUTED_VALUE"""),"saletructiep_Japan.molopnhat.1840.giaotiep_PTATT_LD164")</f>
        <v>saletructiep_Japan.molopnhat.1840.giaotiep_PTATT_LD164</v>
      </c>
      <c r="T192" s="107" t="str">
        <f>IFERROR(__xludf.DUMMYFUNCTION("""COMPUTED_VALUE"""),"https://patadovietnam.edu.vn/gtjapan_nhn3/?utm_source=Facebook&amp;utm_medium=CVS&amp;utm_term=NEW_Japan_1840_none_020623&amp;utm_content=saletructiep_Japan.molopnhat.1840.giaotiep_PTATT_LD164&amp;utm_campaign=Japan.giaotiep.molopnhat_16917_CVS_NamNH_020623")</f>
        <v>https://patadovietnam.edu.vn/gtjapan_nhn3/?utm_source=Facebook&amp;utm_medium=CVS&amp;utm_term=NEW_Japan_1840_none_020623&amp;utm_content=saletructiep_Japan.molopnhat.1840.giaotiep_PTATT_LD164&amp;utm_campaign=Japan.giaotiep.molopnhat_16917_CVS_NamNH_020623</v>
      </c>
      <c r="U192" s="110" t="s">
        <v>2612</v>
      </c>
    </row>
    <row r="193">
      <c r="A193" s="72">
        <v>45079.0</v>
      </c>
      <c r="B193" s="75" t="s">
        <v>1134</v>
      </c>
      <c r="C193" s="67" t="str">
        <f>IFERROR(__xludf.DUMMYFUNCTION("""COMPUTED_VALUE"""),"LD153")</f>
        <v>LD153</v>
      </c>
      <c r="D193" s="55" t="s">
        <v>42</v>
      </c>
      <c r="E193" s="55" t="s">
        <v>79</v>
      </c>
      <c r="F193" s="55" t="s">
        <v>164</v>
      </c>
      <c r="G193" s="55">
        <v>1840.0</v>
      </c>
      <c r="H193" s="55" t="s">
        <v>1137</v>
      </c>
      <c r="I193" s="55" t="s">
        <v>2614</v>
      </c>
      <c r="J193" s="55" t="s">
        <v>2615</v>
      </c>
      <c r="K193" s="55" t="s">
        <v>61</v>
      </c>
      <c r="L193" s="55">
        <v>95360.0</v>
      </c>
      <c r="M193" s="55" t="s">
        <v>78</v>
      </c>
      <c r="N193" s="55" t="s">
        <v>79</v>
      </c>
      <c r="O193" s="55" t="s">
        <v>224</v>
      </c>
      <c r="P193" s="55" t="s">
        <v>110</v>
      </c>
      <c r="Q193" s="67" t="str">
        <f>IFERROR(__xludf.DUMMYFUNCTION("""COMPUTED_VALUE"""),"Taiwan.giaotiep.molopdailoan_95360_MES_NamNH_020623")</f>
        <v>Taiwan.giaotiep.molopdailoan_95360_MES_NamNH_020623</v>
      </c>
      <c r="R193" s="67" t="str">
        <f>IFERROR(__xludf.DUMMYFUNCTION("""COMPUTED_VALUE"""),"NEW_Taiwan_1840_none_020623")</f>
        <v>NEW_Taiwan_1840_none_020623</v>
      </c>
      <c r="S193" s="67" t="str">
        <f>IFERROR(__xludf.DUMMYFUNCTION("""COMPUTED_VALUE"""),"saletructiep_Taiwan.molopdailoan.1840.giaotiep_PTATT_LD153")</f>
        <v>saletructiep_Taiwan.molopdailoan.1840.giaotiep_PTATT_LD153</v>
      </c>
      <c r="T193" s="107" t="str">
        <f>IFERROR(__xludf.DUMMYFUNCTION("""COMPUTED_VALUE"""),"https://patadovietnam.edu.vn/tienganhgiaotiep_hn/?utm_source=Facebook&amp;utm_medium=MES&amp;utm_term=NEW_Taiwan_1840_none_020623&amp;utm_content=saletructiep_Taiwan.molopdailoan.1840.giaotiep_PTATT_LD153&amp;utm_campaign=Taiwan.giaotiep.molopdailoan_95360_MES_NamNH_0206"&amp;"23")</f>
        <v>https://patadovietnam.edu.vn/tienganhgiaotiep_hn/?utm_source=Facebook&amp;utm_medium=MES&amp;utm_term=NEW_Taiwan_1840_none_020623&amp;utm_content=saletructiep_Taiwan.molopdailoan.1840.giaotiep_PTATT_LD153&amp;utm_campaign=Taiwan.giaotiep.molopdailoan_95360_MES_NamNH_020623</v>
      </c>
      <c r="U193" s="110" t="s">
        <v>2616</v>
      </c>
    </row>
    <row r="194">
      <c r="A194" s="72">
        <v>45079.0</v>
      </c>
      <c r="B194" s="75" t="s">
        <v>1134</v>
      </c>
      <c r="C194" s="67" t="str">
        <f>IFERROR(__xludf.DUMMYFUNCTION("""COMPUTED_VALUE"""),"LD153")</f>
        <v>LD153</v>
      </c>
      <c r="D194" s="55" t="s">
        <v>42</v>
      </c>
      <c r="E194" s="55" t="s">
        <v>79</v>
      </c>
      <c r="F194" s="55" t="s">
        <v>625</v>
      </c>
      <c r="G194" s="55">
        <v>1838.0</v>
      </c>
      <c r="H194" s="55" t="s">
        <v>1137</v>
      </c>
      <c r="I194" s="55" t="s">
        <v>2618</v>
      </c>
      <c r="J194" s="55" t="s">
        <v>2619</v>
      </c>
      <c r="K194" s="55" t="s">
        <v>61</v>
      </c>
      <c r="L194" s="55">
        <v>95360.0</v>
      </c>
      <c r="M194" s="55" t="s">
        <v>78</v>
      </c>
      <c r="N194" s="55" t="s">
        <v>79</v>
      </c>
      <c r="O194" s="55" t="s">
        <v>224</v>
      </c>
      <c r="P194" s="55" t="s">
        <v>110</v>
      </c>
      <c r="Q194" s="67" t="str">
        <f>IFERROR(__xludf.DUMMYFUNCTION("""COMPUTED_VALUE"""),"KoreaSouth.giaotiep.molopkorea_95360_MES_NamNH_020623")</f>
        <v>KoreaSouth.giaotiep.molopkorea_95360_MES_NamNH_020623</v>
      </c>
      <c r="R194" s="67" t="str">
        <f>IFERROR(__xludf.DUMMYFUNCTION("""COMPUTED_VALUE"""),"NEW_KoreaSouth_1838_none_020623")</f>
        <v>NEW_KoreaSouth_1838_none_020623</v>
      </c>
      <c r="S194" s="67" t="str">
        <f>IFERROR(__xludf.DUMMYFUNCTION("""COMPUTED_VALUE"""),"saletructiep_KoreaSouth.molopkorea.1840.giaotiep_PTATT_LD153")</f>
        <v>saletructiep_KoreaSouth.molopkorea.1840.giaotiep_PTATT_LD153</v>
      </c>
      <c r="T194" s="107" t="str">
        <f>IFERROR(__xludf.DUMMYFUNCTION("""COMPUTED_VALUE"""),"https://patadovietnam.edu.vn/tienganhgiaotiep_hn/?utm_source=Facebook&amp;utm_medium=MES&amp;utm_term=NEW_KoreaSouth_1838_none_020623&amp;utm_content=saletructiep_KoreaSouth.molopkorea.1840.giaotiep_PTATT_LD153&amp;utm_campaign=KoreaSouth.giaotiep.molopkorea_95360_MES_Na"&amp;"mNH_020623")</f>
        <v>https://patadovietnam.edu.vn/tienganhgiaotiep_hn/?utm_source=Facebook&amp;utm_medium=MES&amp;utm_term=NEW_KoreaSouth_1838_none_020623&amp;utm_content=saletructiep_KoreaSouth.molopkorea.1840.giaotiep_PTATT_LD153&amp;utm_campaign=KoreaSouth.giaotiep.molopkorea_95360_MES_NamNH_020623</v>
      </c>
      <c r="U194" s="110" t="s">
        <v>2620</v>
      </c>
    </row>
    <row r="195">
      <c r="A195" s="134">
        <v>45079.0</v>
      </c>
      <c r="B195" s="148" t="s">
        <v>1134</v>
      </c>
      <c r="C195" s="92" t="str">
        <f>IFERROR(__xludf.DUMMYFUNCTION("""COMPUTED_VALUE"""),"LD153")</f>
        <v>LD153</v>
      </c>
      <c r="D195" s="136" t="s">
        <v>42</v>
      </c>
      <c r="E195" s="136" t="s">
        <v>79</v>
      </c>
      <c r="F195" s="136" t="s">
        <v>174</v>
      </c>
      <c r="G195" s="136">
        <v>1838.0</v>
      </c>
      <c r="H195" s="136" t="s">
        <v>1137</v>
      </c>
      <c r="I195" s="136" t="s">
        <v>2622</v>
      </c>
      <c r="J195" s="136" t="s">
        <v>2623</v>
      </c>
      <c r="K195" s="136" t="s">
        <v>61</v>
      </c>
      <c r="L195" s="136">
        <v>95360.0</v>
      </c>
      <c r="M195" s="136" t="s">
        <v>78</v>
      </c>
      <c r="N195" s="136" t="s">
        <v>79</v>
      </c>
      <c r="O195" s="136" t="s">
        <v>224</v>
      </c>
      <c r="P195" s="136" t="s">
        <v>110</v>
      </c>
      <c r="Q195" s="92" t="str">
        <f>IFERROR(__xludf.DUMMYFUNCTION("""COMPUTED_VALUE"""),"Philippines.giaotiep.molopphilipin_95360_MES_NamNH_020623")</f>
        <v>Philippines.giaotiep.molopphilipin_95360_MES_NamNH_020623</v>
      </c>
      <c r="R195" s="92" t="str">
        <f>IFERROR(__xludf.DUMMYFUNCTION("""COMPUTED_VALUE"""),"NEW_Philippines_1838_none_020623")</f>
        <v>NEW_Philippines_1838_none_020623</v>
      </c>
      <c r="S195" s="92" t="str">
        <f>IFERROR(__xludf.DUMMYFUNCTION("""COMPUTED_VALUE"""),"saletructiep_Philippines.molopphilipin.1838.giaotiep_PTATT_LD153")</f>
        <v>saletructiep_Philippines.molopphilipin.1838.giaotiep_PTATT_LD153</v>
      </c>
      <c r="T195" s="137" t="str">
        <f>IFERROR(__xludf.DUMMYFUNCTION("""COMPUTED_VALUE"""),"https://patadovietnam.edu.vn/tienganhgiaotiep_hn/?utm_source=Facebook&amp;utm_medium=MES&amp;utm_term=NEW_Philippines_1838_none_020623&amp;utm_content=saletructiep_Philippines.molopphilipin.1838.giaotiep_PTATT_LD153&amp;utm_campaign=Philippines.giaotiep.molopphilipin_953"&amp;"60_MES_NamNH_020623")</f>
        <v>https://patadovietnam.edu.vn/tienganhgiaotiep_hn/?utm_source=Facebook&amp;utm_medium=MES&amp;utm_term=NEW_Philippines_1838_none_020623&amp;utm_content=saletructiep_Philippines.molopphilipin.1838.giaotiep_PTATT_LD153&amp;utm_campaign=Philippines.giaotiep.molopphilipin_95360_MES_NamNH_020623</v>
      </c>
      <c r="U195" s="138" t="s">
        <v>2624</v>
      </c>
    </row>
    <row r="196">
      <c r="A196" s="72">
        <v>45079.0</v>
      </c>
      <c r="B196" s="75" t="s">
        <v>1134</v>
      </c>
      <c r="C196" s="67" t="str">
        <f>IFERROR(__xludf.DUMMYFUNCTION("""COMPUTED_VALUE"""),"LD153")</f>
        <v>LD153</v>
      </c>
      <c r="D196" s="55" t="s">
        <v>42</v>
      </c>
      <c r="E196" s="55" t="s">
        <v>79</v>
      </c>
      <c r="F196" s="55" t="s">
        <v>174</v>
      </c>
      <c r="G196" s="55">
        <v>1838.0</v>
      </c>
      <c r="H196" s="55" t="s">
        <v>1137</v>
      </c>
      <c r="I196" s="55" t="s">
        <v>2625</v>
      </c>
      <c r="J196" s="55" t="s">
        <v>2626</v>
      </c>
      <c r="K196" s="55" t="s">
        <v>61</v>
      </c>
      <c r="L196" s="55">
        <v>95360.0</v>
      </c>
      <c r="M196" s="55" t="s">
        <v>78</v>
      </c>
      <c r="N196" s="55" t="s">
        <v>79</v>
      </c>
      <c r="O196" s="55" t="s">
        <v>224</v>
      </c>
      <c r="P196" s="55" t="s">
        <v>110</v>
      </c>
      <c r="Q196" s="67" t="str">
        <f>IFERROR(__xludf.DUMMYFUNCTION("""COMPUTED_VALUE"""),"Philippines.giaotiep.JH2_95360_MES_NamNH_020623")</f>
        <v>Philippines.giaotiep.JH2_95360_MES_NamNH_020623</v>
      </c>
      <c r="R196" s="67" t="str">
        <f>IFERROR(__xludf.DUMMYFUNCTION("""COMPUTED_VALUE"""),"NEW_Philippines_1838_none_020623")</f>
        <v>NEW_Philippines_1838_none_020623</v>
      </c>
      <c r="S196" s="67" t="str">
        <f>IFERROR(__xludf.DUMMYFUNCTION("""COMPUTED_VALUE"""),"saletructiep_Philippines.JH2.1838.giaotiep_PTATT_LD153")</f>
        <v>saletructiep_Philippines.JH2.1838.giaotiep_PTATT_LD153</v>
      </c>
      <c r="T196" s="107" t="str">
        <f>IFERROR(__xludf.DUMMYFUNCTION("""COMPUTED_VALUE"""),"https://patadovietnam.edu.vn/tienganhgiaotiep_hn/?utm_source=Facebook&amp;utm_medium=MES&amp;utm_term=NEW_Philippines_1838_none_020623&amp;utm_content=saletructiep_Philippines.JH2.1838.giaotiep_PTATT_LD153&amp;utm_campaign=Philippines.giaotiep.JH2_95360_MES_NamNH_020623")</f>
        <v>https://patadovietnam.edu.vn/tienganhgiaotiep_hn/?utm_source=Facebook&amp;utm_medium=MES&amp;utm_term=NEW_Philippines_1838_none_020623&amp;utm_content=saletructiep_Philippines.JH2.1838.giaotiep_PTATT_LD153&amp;utm_campaign=Philippines.giaotiep.JH2_95360_MES_NamNH_020623</v>
      </c>
      <c r="U196" s="110" t="s">
        <v>2627</v>
      </c>
    </row>
    <row r="197">
      <c r="A197" s="134">
        <v>45115.0</v>
      </c>
      <c r="B197" s="148" t="s">
        <v>1134</v>
      </c>
      <c r="C197" s="92" t="str">
        <f>IFERROR(__xludf.DUMMYFUNCTION("""COMPUTED_VALUE"""),"LD153")</f>
        <v>LD153</v>
      </c>
      <c r="D197" s="136" t="s">
        <v>42</v>
      </c>
      <c r="E197" s="136" t="s">
        <v>69</v>
      </c>
      <c r="F197" s="136" t="s">
        <v>674</v>
      </c>
      <c r="G197" s="136">
        <v>2045.0</v>
      </c>
      <c r="H197" s="136" t="s">
        <v>1137</v>
      </c>
      <c r="I197" s="136" t="s">
        <v>2628</v>
      </c>
      <c r="J197" s="136" t="s">
        <v>2629</v>
      </c>
      <c r="K197" s="136" t="s">
        <v>61</v>
      </c>
      <c r="L197" s="136">
        <v>95360.0</v>
      </c>
      <c r="M197" s="136" t="s">
        <v>78</v>
      </c>
      <c r="N197" s="136" t="s">
        <v>69</v>
      </c>
      <c r="O197" s="136" t="s">
        <v>224</v>
      </c>
      <c r="P197" s="136" t="s">
        <v>110</v>
      </c>
      <c r="Q197" s="92" t="str">
        <f>IFERROR(__xludf.DUMMYFUNCTION("""COMPUTED_VALUE"""),"Europe.giaotiep.molopchauau_95360_CVS_NamNH_080723")</f>
        <v>Europe.giaotiep.molopchauau_95360_CVS_NamNH_080723</v>
      </c>
      <c r="R197" s="92" t="str">
        <f>IFERROR(__xludf.DUMMYFUNCTION("""COMPUTED_VALUE"""),"NEW_Europe_2045_none_080723")</f>
        <v>NEW_Europe_2045_none_080723</v>
      </c>
      <c r="S197" s="92" t="str">
        <f>IFERROR(__xludf.DUMMYFUNCTION("""COMPUTED_VALUE"""),"saletructiep_Europe.molopchauau.2045.giaotiep_PTATT_LD153")</f>
        <v>saletructiep_Europe.molopchauau.2045.giaotiep_PTATT_LD153</v>
      </c>
      <c r="T197" s="137" t="str">
        <f>IFERROR(__xludf.DUMMYFUNCTION("""COMPUTED_VALUE"""),"https://patadovietnam.edu.vn/tienganhgiaotiep_hn/?utm_source=Facebook&amp;utm_medium=CVS&amp;utm_term=NEW_Europe_2045_none_080723&amp;utm_content=saletructiep_Europe.molopchauau.2045.giaotiep_PTATT_LD153&amp;utm_campaign=Europe.giaotiep.molopchauau_95360_CVS_NamNH_080723")</f>
        <v>https://patadovietnam.edu.vn/tienganhgiaotiep_hn/?utm_source=Facebook&amp;utm_medium=CVS&amp;utm_term=NEW_Europe_2045_none_080723&amp;utm_content=saletructiep_Europe.molopchauau.2045.giaotiep_PTATT_LD153&amp;utm_campaign=Europe.giaotiep.molopchauau_95360_CVS_NamNH_080723</v>
      </c>
      <c r="U197" s="138" t="s">
        <v>2630</v>
      </c>
    </row>
    <row r="198">
      <c r="A198" s="72">
        <v>45207.0</v>
      </c>
      <c r="B198" s="75" t="s">
        <v>1134</v>
      </c>
      <c r="C198" s="67" t="str">
        <f>IFERROR(__xludf.DUMMYFUNCTION("""COMPUTED_VALUE"""),"LD153")</f>
        <v>LD153</v>
      </c>
      <c r="D198" s="55" t="s">
        <v>42</v>
      </c>
      <c r="E198" s="55" t="s">
        <v>79</v>
      </c>
      <c r="F198" s="55" t="s">
        <v>164</v>
      </c>
      <c r="G198" s="55">
        <v>1840.0</v>
      </c>
      <c r="H198" s="55" t="s">
        <v>1137</v>
      </c>
      <c r="I198" s="55" t="s">
        <v>2631</v>
      </c>
      <c r="J198" s="55" t="s">
        <v>2632</v>
      </c>
      <c r="K198" s="55" t="s">
        <v>61</v>
      </c>
      <c r="L198" s="55">
        <v>95360.0</v>
      </c>
      <c r="M198" s="55" t="s">
        <v>78</v>
      </c>
      <c r="N198" s="55" t="s">
        <v>79</v>
      </c>
      <c r="O198" s="55" t="s">
        <v>224</v>
      </c>
      <c r="P198" s="55" t="s">
        <v>110</v>
      </c>
      <c r="Q198" s="67" t="str">
        <f>IFERROR(__xludf.DUMMYFUNCTION("""COMPUTED_VALUE"""),"Taiwan.giaotiep.oanhvtv_95360_MES_NamNH_081023")</f>
        <v>Taiwan.giaotiep.oanhvtv_95360_MES_NamNH_081023</v>
      </c>
      <c r="R198" s="67" t="str">
        <f>IFERROR(__xludf.DUMMYFUNCTION("""COMPUTED_VALUE"""),"NEW_Taiwan_1840_none_081023")</f>
        <v>NEW_Taiwan_1840_none_081023</v>
      </c>
      <c r="S198" s="67" t="str">
        <f>IFERROR(__xludf.DUMMYFUNCTION("""COMPUTED_VALUE"""),"saletructiep_Taiwan.oanhvtv.1840.giaotiep_PTATT_LD153")</f>
        <v>saletructiep_Taiwan.oanhvtv.1840.giaotiep_PTATT_LD153</v>
      </c>
      <c r="T198" s="107" t="str">
        <f>IFERROR(__xludf.DUMMYFUNCTION("""COMPUTED_VALUE"""),"https://patadovietnam.edu.vn/tienganhgiaotiep_hn/?utm_source=Facebook&amp;utm_medium=MES&amp;utm_term=NEW_Taiwan_1840_none_081023&amp;utm_content=saletructiep_Taiwan.oanhvtv.1840.giaotiep_PTATT_LD153&amp;utm_campaign=Taiwan.giaotiep.oanhvtv_95360_MES_NamNH_081023")</f>
        <v>https://patadovietnam.edu.vn/tienganhgiaotiep_hn/?utm_source=Facebook&amp;utm_medium=MES&amp;utm_term=NEW_Taiwan_1840_none_081023&amp;utm_content=saletructiep_Taiwan.oanhvtv.1840.giaotiep_PTATT_LD153&amp;utm_campaign=Taiwan.giaotiep.oanhvtv_95360_MES_NamNH_081023</v>
      </c>
      <c r="U198" s="110" t="s">
        <v>2633</v>
      </c>
    </row>
    <row r="199">
      <c r="A199" s="72">
        <v>45207.0</v>
      </c>
      <c r="B199" s="75" t="s">
        <v>1229</v>
      </c>
      <c r="C199" s="67" t="str">
        <f>IFERROR(__xludf.DUMMYFUNCTION("""COMPUTED_VALUE"""),"LD164")</f>
        <v>LD164</v>
      </c>
      <c r="D199" s="55" t="s">
        <v>42</v>
      </c>
      <c r="E199" s="55" t="s">
        <v>69</v>
      </c>
      <c r="F199" s="55" t="s">
        <v>133</v>
      </c>
      <c r="G199" s="55">
        <v>1843.0</v>
      </c>
      <c r="H199" s="55" t="s">
        <v>1137</v>
      </c>
      <c r="I199" s="55" t="s">
        <v>2634</v>
      </c>
      <c r="J199" s="55" t="s">
        <v>2635</v>
      </c>
      <c r="K199" s="55" t="s">
        <v>61</v>
      </c>
      <c r="L199" s="55">
        <v>16917.0</v>
      </c>
      <c r="M199" s="55" t="s">
        <v>78</v>
      </c>
      <c r="N199" s="55" t="s">
        <v>69</v>
      </c>
      <c r="O199" s="55" t="s">
        <v>224</v>
      </c>
      <c r="P199" s="55" t="s">
        <v>110</v>
      </c>
      <c r="Q199" s="67" t="str">
        <f>IFERROR(__xludf.DUMMYFUNCTION("""COMPUTED_VALUE"""),"Japan.giaotiep.oanhvtv_16917_CVS_NamNH_081023")</f>
        <v>Japan.giaotiep.oanhvtv_16917_CVS_NamNH_081023</v>
      </c>
      <c r="R199" s="67" t="str">
        <f>IFERROR(__xludf.DUMMYFUNCTION("""COMPUTED_VALUE"""),"NEW_Japan_1843_none_081023")</f>
        <v>NEW_Japan_1843_none_081023</v>
      </c>
      <c r="S199" s="67" t="str">
        <f>IFERROR(__xludf.DUMMYFUNCTION("""COMPUTED_VALUE"""),"saletructiep_Japan.oanhvtv.1840.giaotiep_PTATT_LD164")</f>
        <v>saletructiep_Japan.oanhvtv.1840.giaotiep_PTATT_LD164</v>
      </c>
      <c r="T199" s="107" t="str">
        <f>IFERROR(__xludf.DUMMYFUNCTION("""COMPUTED_VALUE"""),"https://patadovietnam.edu.vn/gtjapan_nhn3/?utm_source=Facebook&amp;utm_medium=CVS&amp;utm_term=NEW_Japan_1843_none_081023&amp;utm_content=saletructiep_Japan.oanhvtv.1840.giaotiep_PTATT_LD164&amp;utm_campaign=Japan.giaotiep.oanhvtv_16917_CVS_NamNH_081023")</f>
        <v>https://patadovietnam.edu.vn/gtjapan_nhn3/?utm_source=Facebook&amp;utm_medium=CVS&amp;utm_term=NEW_Japan_1843_none_081023&amp;utm_content=saletructiep_Japan.oanhvtv.1840.giaotiep_PTATT_LD164&amp;utm_campaign=Japan.giaotiep.oanhvtv_16917_CVS_NamNH_081023</v>
      </c>
      <c r="U199" s="110" t="s">
        <v>2636</v>
      </c>
    </row>
    <row r="200">
      <c r="A200" s="72">
        <v>45207.0</v>
      </c>
      <c r="B200" s="75" t="s">
        <v>2371</v>
      </c>
      <c r="C200" s="67" t="str">
        <f>IFERROR(__xludf.DUMMYFUNCTION("""COMPUTED_VALUE"""),"LD187")</f>
        <v>LD187</v>
      </c>
      <c r="D200" s="55" t="s">
        <v>42</v>
      </c>
      <c r="E200" s="55" t="s">
        <v>79</v>
      </c>
      <c r="F200" s="55" t="s">
        <v>625</v>
      </c>
      <c r="G200" s="55">
        <v>1840.0</v>
      </c>
      <c r="H200" s="55" t="s">
        <v>1137</v>
      </c>
      <c r="I200" s="55" t="s">
        <v>2637</v>
      </c>
      <c r="J200" s="55" t="s">
        <v>2638</v>
      </c>
      <c r="K200" s="55" t="s">
        <v>61</v>
      </c>
      <c r="L200" s="55">
        <v>95360.0</v>
      </c>
      <c r="M200" s="55" t="s">
        <v>78</v>
      </c>
      <c r="N200" s="55" t="s">
        <v>79</v>
      </c>
      <c r="O200" s="55" t="s">
        <v>224</v>
      </c>
      <c r="P200" s="55" t="s">
        <v>110</v>
      </c>
      <c r="Q200" s="67" t="str">
        <f>IFERROR(__xludf.DUMMYFUNCTION("""COMPUTED_VALUE"""),"KoreaSouth.giaotiep.oanhvtv_95360_MES_NamNH_081023")</f>
        <v>KoreaSouth.giaotiep.oanhvtv_95360_MES_NamNH_081023</v>
      </c>
      <c r="R200" s="67" t="str">
        <f>IFERROR(__xludf.DUMMYFUNCTION("""COMPUTED_VALUE"""),"NEW_KoreaSouth_1840_none_081023")</f>
        <v>NEW_KoreaSouth_1840_none_081023</v>
      </c>
      <c r="S200" s="67" t="str">
        <f>IFERROR(__xludf.DUMMYFUNCTION("""COMPUTED_VALUE"""),"saletructiep_KoreaSouth.oanhvtv.1840.giaotiep_PTATT_LD187")</f>
        <v>saletructiep_KoreaSouth.oanhvtv.1840.giaotiep_PTATT_LD187</v>
      </c>
      <c r="T200" s="107" t="str">
        <f>IFERROR(__xludf.DUMMYFUNCTION("""COMPUTED_VALUE"""),"https://patadovietnam.edu.vn/tatoandien_namnh/?utm_source=Facebook&amp;utm_medium=MES&amp;utm_term=NEW_KoreaSouth_1840_none_081023&amp;utm_content=saletructiep_KoreaSouth.oanhvtv.1840.giaotiep_PTATT_LD187&amp;utm_campaign=KoreaSouth.giaotiep.oanhvtv_95360_MES_NamNH_08102"&amp;"3")</f>
        <v>https://patadovietnam.edu.vn/tatoandien_namnh/?utm_source=Facebook&amp;utm_medium=MES&amp;utm_term=NEW_KoreaSouth_1840_none_081023&amp;utm_content=saletructiep_KoreaSouth.oanhvtv.1840.giaotiep_PTATT_LD187&amp;utm_campaign=KoreaSouth.giaotiep.oanhvtv_95360_MES_NamNH_081023</v>
      </c>
      <c r="U200" s="110" t="s">
        <v>2639</v>
      </c>
    </row>
    <row r="201">
      <c r="A201" s="72">
        <v>45207.0</v>
      </c>
      <c r="B201" s="75" t="s">
        <v>1134</v>
      </c>
      <c r="C201" s="67" t="str">
        <f>IFERROR(__xludf.DUMMYFUNCTION("""COMPUTED_VALUE"""),"LD153")</f>
        <v>LD153</v>
      </c>
      <c r="D201" s="55" t="s">
        <v>42</v>
      </c>
      <c r="E201" s="55" t="s">
        <v>79</v>
      </c>
      <c r="F201" s="55" t="s">
        <v>129</v>
      </c>
      <c r="G201" s="55">
        <v>1843.0</v>
      </c>
      <c r="H201" s="55" t="s">
        <v>1137</v>
      </c>
      <c r="I201" s="55" t="s">
        <v>2640</v>
      </c>
      <c r="J201" s="55" t="s">
        <v>2641</v>
      </c>
      <c r="K201" s="55" t="s">
        <v>61</v>
      </c>
      <c r="L201" s="55">
        <v>95360.0</v>
      </c>
      <c r="M201" s="55" t="s">
        <v>78</v>
      </c>
      <c r="N201" s="55" t="s">
        <v>79</v>
      </c>
      <c r="O201" s="55" t="s">
        <v>224</v>
      </c>
      <c r="P201" s="55" t="s">
        <v>110</v>
      </c>
      <c r="Q201" s="67" t="str">
        <f>IFERROR(__xludf.DUMMYFUNCTION("""COMPUTED_VALUE"""),"Australia.giaotiep.oanhvtv_95360_MES_NamNH_081023")</f>
        <v>Australia.giaotiep.oanhvtv_95360_MES_NamNH_081023</v>
      </c>
      <c r="R201" s="67" t="str">
        <f>IFERROR(__xludf.DUMMYFUNCTION("""COMPUTED_VALUE"""),"NEW_Australia_1843_none_081023")</f>
        <v>NEW_Australia_1843_none_081023</v>
      </c>
      <c r="S201" s="67" t="str">
        <f>IFERROR(__xludf.DUMMYFUNCTION("""COMPUTED_VALUE"""),"saletructiep_Australia.oanhvtv.1843.giaotiep_PTATT_LD153")</f>
        <v>saletructiep_Australia.oanhvtv.1843.giaotiep_PTATT_LD153</v>
      </c>
      <c r="T201" s="107" t="str">
        <f>IFERROR(__xludf.DUMMYFUNCTION("""COMPUTED_VALUE"""),"https://patadovietnam.edu.vn/tienganhgiaotiep_hn/?utm_source=Facebook&amp;utm_medium=MES&amp;utm_term=NEW_Australia_1843_none_081023&amp;utm_content=saletructiep_Australia.oanhvtv.1843.giaotiep_PTATT_LD153&amp;utm_campaign=Australia.giaotiep.oanhvtv_95360_MES_NamNH_08102"&amp;"3")</f>
        <v>https://patadovietnam.edu.vn/tienganhgiaotiep_hn/?utm_source=Facebook&amp;utm_medium=MES&amp;utm_term=NEW_Australia_1843_none_081023&amp;utm_content=saletructiep_Australia.oanhvtv.1843.giaotiep_PTATT_LD153&amp;utm_campaign=Australia.giaotiep.oanhvtv_95360_MES_NamNH_081023</v>
      </c>
      <c r="U201" s="110" t="s">
        <v>2642</v>
      </c>
    </row>
    <row r="202">
      <c r="A202" s="72">
        <v>45207.0</v>
      </c>
      <c r="B202" s="75" t="s">
        <v>1245</v>
      </c>
      <c r="C202" s="67" t="str">
        <f>IFERROR(__xludf.DUMMYFUNCTION("""COMPUTED_VALUE"""),"LD161")</f>
        <v>LD161</v>
      </c>
      <c r="D202" s="55" t="s">
        <v>42</v>
      </c>
      <c r="E202" s="55" t="s">
        <v>79</v>
      </c>
      <c r="F202" s="55" t="s">
        <v>107</v>
      </c>
      <c r="G202" s="55">
        <v>2045.0</v>
      </c>
      <c r="H202" s="55" t="s">
        <v>1137</v>
      </c>
      <c r="I202" s="55" t="s">
        <v>2644</v>
      </c>
      <c r="J202" s="55" t="s">
        <v>2645</v>
      </c>
      <c r="K202" s="55" t="s">
        <v>61</v>
      </c>
      <c r="L202" s="55">
        <v>16917.0</v>
      </c>
      <c r="M202" s="55" t="s">
        <v>78</v>
      </c>
      <c r="N202" s="55" t="s">
        <v>69</v>
      </c>
      <c r="O202" s="55" t="s">
        <v>224</v>
      </c>
      <c r="P202" s="55" t="s">
        <v>110</v>
      </c>
      <c r="Q202" s="67" t="str">
        <f>IFERROR(__xludf.DUMMYFUNCTION("""COMPUTED_VALUE"""),"UnitedStates.giaotiep.oanhvtv_16917_CVS_NamNH_081023")</f>
        <v>UnitedStates.giaotiep.oanhvtv_16917_CVS_NamNH_081023</v>
      </c>
      <c r="R202" s="67" t="str">
        <f>IFERROR(__xludf.DUMMYFUNCTION("""COMPUTED_VALUE"""),"NEW_UnitedStates_2045_none_081023")</f>
        <v>NEW_UnitedStates_2045_none_081023</v>
      </c>
      <c r="S202" s="67" t="str">
        <f>IFERROR(__xludf.DUMMYFUNCTION("""COMPUTED_VALUE"""),"saletructiep_UnitedStates.oanhvtv.2045.giaotiep_PTATT_LD161")</f>
        <v>saletructiep_UnitedStates.oanhvtv.2045.giaotiep_PTATT_LD161</v>
      </c>
      <c r="T202" s="107" t="str">
        <f>IFERROR(__xludf.DUMMYFUNCTION("""COMPUTED_VALUE"""),"https://patadovietnam.edu.vn/gtusa1_nhn/?utm_source=Facebook&amp;utm_medium=MES&amp;utm_term=NEW_UnitedStates_2045_none_081023&amp;utm_content=saletructiep_UnitedStates.oanhvtv.2045.giaotiep_PTATT_LD161&amp;utm_campaign=UnitedStates.giaotiep.oanhvtv_16917_CVS_NamNH_08102"&amp;"3")</f>
        <v>https://patadovietnam.edu.vn/gtusa1_nhn/?utm_source=Facebook&amp;utm_medium=MES&amp;utm_term=NEW_UnitedStates_2045_none_081023&amp;utm_content=saletructiep_UnitedStates.oanhvtv.2045.giaotiep_PTATT_LD161&amp;utm_campaign=UnitedStates.giaotiep.oanhvtv_16917_CVS_NamNH_081023</v>
      </c>
      <c r="U202" s="110" t="s">
        <v>2646</v>
      </c>
    </row>
    <row r="203">
      <c r="A203" s="72">
        <v>45207.0</v>
      </c>
      <c r="B203" s="75" t="s">
        <v>2371</v>
      </c>
      <c r="C203" s="67" t="str">
        <f>IFERROR(__xludf.DUMMYFUNCTION("""COMPUTED_VALUE"""),"LD187")</f>
        <v>LD187</v>
      </c>
      <c r="D203" s="55" t="s">
        <v>42</v>
      </c>
      <c r="E203" s="55" t="s">
        <v>69</v>
      </c>
      <c r="F203" s="55" t="s">
        <v>674</v>
      </c>
      <c r="G203" s="55">
        <v>1843.0</v>
      </c>
      <c r="H203" s="55" t="s">
        <v>1137</v>
      </c>
      <c r="I203" s="55" t="s">
        <v>2647</v>
      </c>
      <c r="J203" s="55" t="s">
        <v>2648</v>
      </c>
      <c r="K203" s="55" t="s">
        <v>61</v>
      </c>
      <c r="L203" s="55">
        <v>16917.0</v>
      </c>
      <c r="M203" s="55" t="s">
        <v>78</v>
      </c>
      <c r="N203" s="55" t="s">
        <v>69</v>
      </c>
      <c r="O203" s="55" t="s">
        <v>224</v>
      </c>
      <c r="P203" s="55" t="s">
        <v>110</v>
      </c>
      <c r="Q203" s="67" t="str">
        <f>IFERROR(__xludf.DUMMYFUNCTION("""COMPUTED_VALUE"""),"Europe.giaotiep.oanhvtv_16917_CVS_NamNH_081023")</f>
        <v>Europe.giaotiep.oanhvtv_16917_CVS_NamNH_081023</v>
      </c>
      <c r="R203" s="67" t="str">
        <f>IFERROR(__xludf.DUMMYFUNCTION("""COMPUTED_VALUE"""),"NEW_Europe_1843_none_081023")</f>
        <v>NEW_Europe_1843_none_081023</v>
      </c>
      <c r="S203" s="67" t="str">
        <f>IFERROR(__xludf.DUMMYFUNCTION("""COMPUTED_VALUE"""),"saletructiep_Europe.oanhvtv.1843.giaotiep_PTATT_LD187")</f>
        <v>saletructiep_Europe.oanhvtv.1843.giaotiep_PTATT_LD187</v>
      </c>
      <c r="T203" s="107" t="str">
        <f>IFERROR(__xludf.DUMMYFUNCTION("""COMPUTED_VALUE"""),"https://patadovietnam.edu.vn/tatoandien_namnh/?utm_source=Facebook&amp;utm_medium=CVS&amp;utm_term=NEW_Europe_1843_none_081023&amp;utm_content=saletructiep_Europe.oanhvtv.1843.giaotiep_PTATT_LD187&amp;utm_campaign=Europe.giaotiep.oanhvtv_16917_CVS_NamNH_081023")</f>
        <v>https://patadovietnam.edu.vn/tatoandien_namnh/?utm_source=Facebook&amp;utm_medium=CVS&amp;utm_term=NEW_Europe_1843_none_081023&amp;utm_content=saletructiep_Europe.oanhvtv.1843.giaotiep_PTATT_LD187&amp;utm_campaign=Europe.giaotiep.oanhvtv_16917_CVS_NamNH_081023</v>
      </c>
      <c r="U203" s="110" t="s">
        <v>2651</v>
      </c>
    </row>
    <row r="204">
      <c r="A204" s="72">
        <v>45184.0</v>
      </c>
      <c r="B204" s="75" t="s">
        <v>2371</v>
      </c>
      <c r="C204" s="67" t="str">
        <f>IFERROR(__xludf.DUMMYFUNCTION("""COMPUTED_VALUE"""),"LD187")</f>
        <v>LD187</v>
      </c>
      <c r="D204" s="55" t="s">
        <v>42</v>
      </c>
      <c r="E204" s="55" t="s">
        <v>79</v>
      </c>
      <c r="F204" s="55" t="s">
        <v>164</v>
      </c>
      <c r="G204" s="55">
        <v>1840.0</v>
      </c>
      <c r="H204" s="55" t="s">
        <v>1137</v>
      </c>
      <c r="I204" s="55" t="s">
        <v>2652</v>
      </c>
      <c r="J204" s="55" t="s">
        <v>2653</v>
      </c>
      <c r="K204" s="55" t="s">
        <v>61</v>
      </c>
      <c r="L204" s="55">
        <v>95360.0</v>
      </c>
      <c r="M204" s="55" t="s">
        <v>78</v>
      </c>
      <c r="N204" s="55" t="s">
        <v>79</v>
      </c>
      <c r="O204" s="55" t="s">
        <v>224</v>
      </c>
      <c r="P204" s="55" t="s">
        <v>110</v>
      </c>
      <c r="Q204" s="67" t="str">
        <f>IFERROR(__xludf.DUMMYFUNCTION("""COMPUTED_VALUE"""),"Taiwan.giaotiep.bvb_95360_MES_NamNH_150923")</f>
        <v>Taiwan.giaotiep.bvb_95360_MES_NamNH_150923</v>
      </c>
      <c r="R204" s="67" t="str">
        <f>IFERROR(__xludf.DUMMYFUNCTION("""COMPUTED_VALUE"""),"NEW_Taiwan_1840_none_150923")</f>
        <v>NEW_Taiwan_1840_none_150923</v>
      </c>
      <c r="S204" s="67" t="str">
        <f>IFERROR(__xludf.DUMMYFUNCTION("""COMPUTED_VALUE"""),"saletructiep_Taiwan.bvb.1840.giaotiep_PTATT_LD187")</f>
        <v>saletructiep_Taiwan.bvb.1840.giaotiep_PTATT_LD187</v>
      </c>
      <c r="T204" s="107" t="str">
        <f>IFERROR(__xludf.DUMMYFUNCTION("""COMPUTED_VALUE"""),"https://patadovietnam.edu.vn/tatoandien_namnh/?utm_source=Facebook&amp;utm_medium=MES&amp;utm_term=NEW_Taiwan_1840_none_150923&amp;utm_content=saletructiep_Taiwan.bvb.1840.giaotiep_PTATT_LD187&amp;utm_campaign=Taiwan.giaotiep.bvb_95360_MES_NamNH_150923")</f>
        <v>https://patadovietnam.edu.vn/tatoandien_namnh/?utm_source=Facebook&amp;utm_medium=MES&amp;utm_term=NEW_Taiwan_1840_none_150923&amp;utm_content=saletructiep_Taiwan.bvb.1840.giaotiep_PTATT_LD187&amp;utm_campaign=Taiwan.giaotiep.bvb_95360_MES_NamNH_150923</v>
      </c>
      <c r="U204" s="110" t="s">
        <v>2655</v>
      </c>
    </row>
    <row r="205">
      <c r="A205" s="72">
        <v>45184.0</v>
      </c>
      <c r="B205" s="75" t="s">
        <v>2371</v>
      </c>
      <c r="C205" s="67" t="str">
        <f>IFERROR(__xludf.DUMMYFUNCTION("""COMPUTED_VALUE"""),"LD187")</f>
        <v>LD187</v>
      </c>
      <c r="D205" s="55" t="s">
        <v>42</v>
      </c>
      <c r="E205" s="55" t="s">
        <v>69</v>
      </c>
      <c r="F205" s="55" t="s">
        <v>625</v>
      </c>
      <c r="G205" s="55">
        <v>1838.0</v>
      </c>
      <c r="H205" s="55" t="s">
        <v>1137</v>
      </c>
      <c r="I205" s="55" t="s">
        <v>2658</v>
      </c>
      <c r="J205" s="55" t="s">
        <v>2659</v>
      </c>
      <c r="K205" s="55" t="s">
        <v>61</v>
      </c>
      <c r="L205" s="55">
        <v>95360.0</v>
      </c>
      <c r="M205" s="55" t="s">
        <v>78</v>
      </c>
      <c r="N205" s="55" t="s">
        <v>79</v>
      </c>
      <c r="O205" s="55" t="s">
        <v>224</v>
      </c>
      <c r="P205" s="55" t="s">
        <v>110</v>
      </c>
      <c r="Q205" s="67" t="str">
        <f>IFERROR(__xludf.DUMMYFUNCTION("""COMPUTED_VALUE"""),"KoreaSouth.giaotiep.bvb_95360_MES_NamNH_150923")</f>
        <v>KoreaSouth.giaotiep.bvb_95360_MES_NamNH_150923</v>
      </c>
      <c r="R205" s="67" t="str">
        <f>IFERROR(__xludf.DUMMYFUNCTION("""COMPUTED_VALUE"""),"NEW_KoreaSouth_1838_none_150923")</f>
        <v>NEW_KoreaSouth_1838_none_150923</v>
      </c>
      <c r="S205" s="67" t="str">
        <f>IFERROR(__xludf.DUMMYFUNCTION("""COMPUTED_VALUE"""),"saletructiep_KoreaSouth.bvb.1838.giaotiep_PTATT_LD187")</f>
        <v>saletructiep_KoreaSouth.bvb.1838.giaotiep_PTATT_LD187</v>
      </c>
      <c r="T205" s="107" t="str">
        <f>IFERROR(__xludf.DUMMYFUNCTION("""COMPUTED_VALUE"""),"https://patadovietnam.edu.vn/tatoandien_namnh/?utm_source=Facebook&amp;utm_medium=CVS&amp;utm_term=NEW_KoreaSouth_1838_none_150923&amp;utm_content=saletructiep_KoreaSouth.bvb.1838.giaotiep_PTATT_LD187&amp;utm_campaign=KoreaSouth.giaotiep.bvb_95360_MES_NamNH_150923")</f>
        <v>https://patadovietnam.edu.vn/tatoandien_namnh/?utm_source=Facebook&amp;utm_medium=CVS&amp;utm_term=NEW_KoreaSouth_1838_none_150923&amp;utm_content=saletructiep_KoreaSouth.bvb.1838.giaotiep_PTATT_LD187&amp;utm_campaign=KoreaSouth.giaotiep.bvb_95360_MES_NamNH_150923</v>
      </c>
      <c r="U205" s="110" t="s">
        <v>2661</v>
      </c>
    </row>
    <row r="206">
      <c r="A206" s="72">
        <v>45184.0</v>
      </c>
      <c r="B206" s="75" t="s">
        <v>1229</v>
      </c>
      <c r="C206" s="67" t="str">
        <f>IFERROR(__xludf.DUMMYFUNCTION("""COMPUTED_VALUE"""),"LD164")</f>
        <v>LD164</v>
      </c>
      <c r="D206" s="55" t="s">
        <v>42</v>
      </c>
      <c r="E206" s="55" t="s">
        <v>69</v>
      </c>
      <c r="F206" s="55" t="s">
        <v>133</v>
      </c>
      <c r="G206" s="55">
        <v>1840.0</v>
      </c>
      <c r="H206" s="55" t="s">
        <v>1137</v>
      </c>
      <c r="I206" s="55" t="s">
        <v>2662</v>
      </c>
      <c r="J206" s="55" t="s">
        <v>2663</v>
      </c>
      <c r="K206" s="55" t="s">
        <v>61</v>
      </c>
      <c r="L206" s="55">
        <v>16917.0</v>
      </c>
      <c r="M206" s="55" t="s">
        <v>78</v>
      </c>
      <c r="N206" s="55" t="s">
        <v>69</v>
      </c>
      <c r="O206" s="55" t="s">
        <v>224</v>
      </c>
      <c r="P206" s="55" t="s">
        <v>110</v>
      </c>
      <c r="Q206" s="67" t="str">
        <f>IFERROR(__xludf.DUMMYFUNCTION("""COMPUTED_VALUE"""),"Japan.giaotiep.bvb_16917_CVS_NamNH_150923")</f>
        <v>Japan.giaotiep.bvb_16917_CVS_NamNH_150923</v>
      </c>
      <c r="R206" s="67" t="str">
        <f>IFERROR(__xludf.DUMMYFUNCTION("""COMPUTED_VALUE"""),"NEW_Japan_1840_none_150923")</f>
        <v>NEW_Japan_1840_none_150923</v>
      </c>
      <c r="S206" s="67" t="str">
        <f>IFERROR(__xludf.DUMMYFUNCTION("""COMPUTED_VALUE"""),"saletructiep_Japan.bvb.1840.giaotiep_PTATT_LD164")</f>
        <v>saletructiep_Japan.bvb.1840.giaotiep_PTATT_LD164</v>
      </c>
      <c r="T206" s="107" t="str">
        <f>IFERROR(__xludf.DUMMYFUNCTION("""COMPUTED_VALUE"""),"https://patadovietnam.edu.vn/gtjapan_nhn3/?utm_source=Facebook&amp;utm_medium=CVS&amp;utm_term=NEW_Japan_1840_none_150923&amp;utm_content=saletructiep_Japan.bvb.1840.giaotiep_PTATT_LD164&amp;utm_campaign=Japan.giaotiep.bvb_16917_CVS_NamNH_150923")</f>
        <v>https://patadovietnam.edu.vn/gtjapan_nhn3/?utm_source=Facebook&amp;utm_medium=CVS&amp;utm_term=NEW_Japan_1840_none_150923&amp;utm_content=saletructiep_Japan.bvb.1840.giaotiep_PTATT_LD164&amp;utm_campaign=Japan.giaotiep.bvb_16917_CVS_NamNH_150923</v>
      </c>
      <c r="U206" s="110" t="s">
        <v>2665</v>
      </c>
    </row>
    <row r="207">
      <c r="A207" s="72">
        <v>45184.0</v>
      </c>
      <c r="B207" s="75" t="s">
        <v>1245</v>
      </c>
      <c r="C207" s="67" t="str">
        <f>IFERROR(__xludf.DUMMYFUNCTION("""COMPUTED_VALUE"""),"LD161")</f>
        <v>LD161</v>
      </c>
      <c r="D207" s="55" t="s">
        <v>42</v>
      </c>
      <c r="E207" s="55" t="s">
        <v>79</v>
      </c>
      <c r="F207" s="55" t="s">
        <v>107</v>
      </c>
      <c r="G207" s="55">
        <v>2045.0</v>
      </c>
      <c r="H207" s="55" t="s">
        <v>1137</v>
      </c>
      <c r="I207" s="55" t="s">
        <v>2666</v>
      </c>
      <c r="J207" s="55" t="s">
        <v>2667</v>
      </c>
      <c r="K207" s="55" t="s">
        <v>61</v>
      </c>
      <c r="L207" s="55">
        <v>16917.0</v>
      </c>
      <c r="M207" s="55" t="s">
        <v>78</v>
      </c>
      <c r="N207" s="55" t="s">
        <v>79</v>
      </c>
      <c r="O207" s="55" t="s">
        <v>224</v>
      </c>
      <c r="P207" s="55" t="s">
        <v>110</v>
      </c>
      <c r="Q207" s="67" t="str">
        <f>IFERROR(__xludf.DUMMYFUNCTION("""COMPUTED_VALUE"""),"UnitedStates.giaotiep.bvb_16917_MES_NamNH_150923")</f>
        <v>UnitedStates.giaotiep.bvb_16917_MES_NamNH_150923</v>
      </c>
      <c r="R207" s="67" t="str">
        <f>IFERROR(__xludf.DUMMYFUNCTION("""COMPUTED_VALUE"""),"NEW_UnitedStates_2045_none_150923")</f>
        <v>NEW_UnitedStates_2045_none_150923</v>
      </c>
      <c r="S207" s="67" t="str">
        <f>IFERROR(__xludf.DUMMYFUNCTION("""COMPUTED_VALUE"""),"saletructiep_UnitedStates.bvb.2045.giaotiep_PTATT_LD161")</f>
        <v>saletructiep_UnitedStates.bvb.2045.giaotiep_PTATT_LD161</v>
      </c>
      <c r="T207" s="107" t="str">
        <f>IFERROR(__xludf.DUMMYFUNCTION("""COMPUTED_VALUE"""),"https://patadovietnam.edu.vn/gtusa1_nhn/?utm_source=Facebook&amp;utm_medium=MES&amp;utm_term=NEW_UnitedStates_2045_none_150923&amp;utm_content=saletructiep_UnitedStates.bvb.2045.giaotiep_PTATT_LD161&amp;utm_campaign=UnitedStates.giaotiep.bvb_16917_MES_NamNH_150923")</f>
        <v>https://patadovietnam.edu.vn/gtusa1_nhn/?utm_source=Facebook&amp;utm_medium=MES&amp;utm_term=NEW_UnitedStates_2045_none_150923&amp;utm_content=saletructiep_UnitedStates.bvb.2045.giaotiep_PTATT_LD161&amp;utm_campaign=UnitedStates.giaotiep.bvb_16917_MES_NamNH_150923</v>
      </c>
      <c r="U207" s="110" t="s">
        <v>2668</v>
      </c>
    </row>
    <row r="208">
      <c r="A208" s="72">
        <v>45184.0</v>
      </c>
      <c r="B208" s="75" t="s">
        <v>2371</v>
      </c>
      <c r="C208" s="67" t="str">
        <f>IFERROR(__xludf.DUMMYFUNCTION("""COMPUTED_VALUE"""),"LD187")</f>
        <v>LD187</v>
      </c>
      <c r="D208" s="55" t="s">
        <v>42</v>
      </c>
      <c r="E208" s="55" t="s">
        <v>79</v>
      </c>
      <c r="F208" s="55" t="s">
        <v>129</v>
      </c>
      <c r="G208" s="55">
        <v>2045.0</v>
      </c>
      <c r="H208" s="55" t="s">
        <v>1137</v>
      </c>
      <c r="I208" s="55" t="s">
        <v>2671</v>
      </c>
      <c r="J208" s="55" t="s">
        <v>2672</v>
      </c>
      <c r="K208" s="55" t="s">
        <v>61</v>
      </c>
      <c r="L208" s="55">
        <v>95360.0</v>
      </c>
      <c r="M208" s="55" t="s">
        <v>78</v>
      </c>
      <c r="N208" s="55" t="s">
        <v>79</v>
      </c>
      <c r="O208" s="55" t="s">
        <v>224</v>
      </c>
      <c r="P208" s="55" t="s">
        <v>110</v>
      </c>
      <c r="Q208" s="67" t="str">
        <f>IFERROR(__xludf.DUMMYFUNCTION("""COMPUTED_VALUE"""),"Australia.giaotiep.bvb_95360_MES_NamNH_150923")</f>
        <v>Australia.giaotiep.bvb_95360_MES_NamNH_150923</v>
      </c>
      <c r="R208" s="67" t="str">
        <f>IFERROR(__xludf.DUMMYFUNCTION("""COMPUTED_VALUE"""),"NEW_Australia_2045_none_150923")</f>
        <v>NEW_Australia_2045_none_150923</v>
      </c>
      <c r="S208" s="67" t="str">
        <f>IFERROR(__xludf.DUMMYFUNCTION("""COMPUTED_VALUE"""),"saletructiep_Australia.bvb.2045.giaotiep_PTATT_LD187")</f>
        <v>saletructiep_Australia.bvb.2045.giaotiep_PTATT_LD187</v>
      </c>
      <c r="T208" s="107" t="str">
        <f>IFERROR(__xludf.DUMMYFUNCTION("""COMPUTED_VALUE"""),"https://patadovietnam.edu.vn/tatoandien_namnh/?utm_source=Facebook&amp;utm_medium=MES&amp;utm_term=NEW_Australia_2045_none_150923&amp;utm_content=saletructiep_Australia.bvb.2045.giaotiep_PTATT_LD187&amp;utm_campaign=Australia.giaotiep.bvb_95360_MES_NamNH_150923")</f>
        <v>https://patadovietnam.edu.vn/tatoandien_namnh/?utm_source=Facebook&amp;utm_medium=MES&amp;utm_term=NEW_Australia_2045_none_150923&amp;utm_content=saletructiep_Australia.bvb.2045.giaotiep_PTATT_LD187&amp;utm_campaign=Australia.giaotiep.bvb_95360_MES_NamNH_150923</v>
      </c>
      <c r="U208" s="110" t="s">
        <v>2673</v>
      </c>
    </row>
    <row r="209">
      <c r="A209" s="72">
        <v>45185.0</v>
      </c>
      <c r="B209" s="75" t="s">
        <v>2371</v>
      </c>
      <c r="C209" s="67" t="str">
        <f>IFERROR(__xludf.DUMMYFUNCTION("""COMPUTED_VALUE"""),"LD187")</f>
        <v>LD187</v>
      </c>
      <c r="D209" s="55" t="s">
        <v>42</v>
      </c>
      <c r="E209" s="55" t="s">
        <v>79</v>
      </c>
      <c r="F209" s="55" t="s">
        <v>164</v>
      </c>
      <c r="G209" s="55">
        <v>1840.0</v>
      </c>
      <c r="H209" s="55" t="s">
        <v>1137</v>
      </c>
      <c r="I209" s="55" t="s">
        <v>2674</v>
      </c>
      <c r="J209" s="55" t="s">
        <v>2675</v>
      </c>
      <c r="K209" s="55" t="s">
        <v>61</v>
      </c>
      <c r="L209" s="55">
        <v>95360.0</v>
      </c>
      <c r="M209" s="55" t="s">
        <v>78</v>
      </c>
      <c r="N209" s="55" t="s">
        <v>79</v>
      </c>
      <c r="O209" s="55" t="s">
        <v>224</v>
      </c>
      <c r="P209" s="55" t="s">
        <v>110</v>
      </c>
      <c r="Q209" s="67" t="str">
        <f>IFERROR(__xludf.DUMMYFUNCTION("""COMPUTED_VALUE"""),"Taiwan.giaotiep.MGDTD_95360_MES_NamNH_160923")</f>
        <v>Taiwan.giaotiep.MGDTD_95360_MES_NamNH_160923</v>
      </c>
      <c r="R209" s="67" t="str">
        <f>IFERROR(__xludf.DUMMYFUNCTION("""COMPUTED_VALUE"""),"NEW_Taiwan_1840_none_160923")</f>
        <v>NEW_Taiwan_1840_none_160923</v>
      </c>
      <c r="S209" s="67" t="str">
        <f>IFERROR(__xludf.DUMMYFUNCTION("""COMPUTED_VALUE"""),"saletructiep_Taiwan.MGDTD.1840.giaotiep_PTATT_LD187")</f>
        <v>saletructiep_Taiwan.MGDTD.1840.giaotiep_PTATT_LD187</v>
      </c>
      <c r="T209" s="107" t="str">
        <f>IFERROR(__xludf.DUMMYFUNCTION("""COMPUTED_VALUE"""),"https://patadovietnam.edu.vn/tatoandien_namnh/?utm_source=Facebook&amp;utm_medium=MES&amp;utm_term=NEW_Taiwan_1840_none_160923&amp;utm_content=saletructiep_Taiwan.MGDTD.1840.giaotiep_PTATT_LD187&amp;utm_campaign=Taiwan.giaotiep.MGDTD_95360_MES_NamNH_160923")</f>
        <v>https://patadovietnam.edu.vn/tatoandien_namnh/?utm_source=Facebook&amp;utm_medium=MES&amp;utm_term=NEW_Taiwan_1840_none_160923&amp;utm_content=saletructiep_Taiwan.MGDTD.1840.giaotiep_PTATT_LD187&amp;utm_campaign=Taiwan.giaotiep.MGDTD_95360_MES_NamNH_160923</v>
      </c>
      <c r="U209" s="110" t="s">
        <v>2677</v>
      </c>
    </row>
    <row r="210">
      <c r="A210" s="72">
        <v>45185.0</v>
      </c>
      <c r="B210" s="75" t="s">
        <v>1229</v>
      </c>
      <c r="C210" s="67" t="str">
        <f>IFERROR(__xludf.DUMMYFUNCTION("""COMPUTED_VALUE"""),"LD164")</f>
        <v>LD164</v>
      </c>
      <c r="D210" s="55" t="s">
        <v>42</v>
      </c>
      <c r="E210" s="55" t="s">
        <v>69</v>
      </c>
      <c r="F210" s="55" t="s">
        <v>133</v>
      </c>
      <c r="G210" s="55">
        <v>1840.0</v>
      </c>
      <c r="H210" s="55" t="s">
        <v>1137</v>
      </c>
      <c r="I210" s="55" t="s">
        <v>2678</v>
      </c>
      <c r="J210" s="55" t="s">
        <v>2679</v>
      </c>
      <c r="K210" s="55" t="s">
        <v>61</v>
      </c>
      <c r="L210" s="55">
        <v>16917.0</v>
      </c>
      <c r="M210" s="55" t="s">
        <v>78</v>
      </c>
      <c r="N210" s="55" t="s">
        <v>69</v>
      </c>
      <c r="O210" s="55" t="s">
        <v>224</v>
      </c>
      <c r="P210" s="55" t="s">
        <v>110</v>
      </c>
      <c r="Q210" s="67" t="str">
        <f>IFERROR(__xludf.DUMMYFUNCTION("""COMPUTED_VALUE"""),"Japan.giaotiep.MGDTD_16917_CVS_NamNH_160923")</f>
        <v>Japan.giaotiep.MGDTD_16917_CVS_NamNH_160923</v>
      </c>
      <c r="R210" s="67" t="str">
        <f>IFERROR(__xludf.DUMMYFUNCTION("""COMPUTED_VALUE"""),"NEW_Japan_1840_none_160923")</f>
        <v>NEW_Japan_1840_none_160923</v>
      </c>
      <c r="S210" s="67" t="str">
        <f>IFERROR(__xludf.DUMMYFUNCTION("""COMPUTED_VALUE"""),"saletructiep_Japan.MGDTD.1840.giaotiep_PTATT_LD164")</f>
        <v>saletructiep_Japan.MGDTD.1840.giaotiep_PTATT_LD164</v>
      </c>
      <c r="T210" s="107" t="str">
        <f>IFERROR(__xludf.DUMMYFUNCTION("""COMPUTED_VALUE"""),"https://patadovietnam.edu.vn/gtjapan_nhn3/?utm_source=Facebook&amp;utm_medium=CVS&amp;utm_term=NEW_Japan_1840_none_160923&amp;utm_content=saletructiep_Japan.MGDTD.1840.giaotiep_PTATT_LD164&amp;utm_campaign=Japan.giaotiep.MGDTD_16917_CVS_NamNH_160923")</f>
        <v>https://patadovietnam.edu.vn/gtjapan_nhn3/?utm_source=Facebook&amp;utm_medium=CVS&amp;utm_term=NEW_Japan_1840_none_160923&amp;utm_content=saletructiep_Japan.MGDTD.1840.giaotiep_PTATT_LD164&amp;utm_campaign=Japan.giaotiep.MGDTD_16917_CVS_NamNH_160923</v>
      </c>
      <c r="U210" s="110" t="s">
        <v>2680</v>
      </c>
    </row>
    <row r="211">
      <c r="A211" s="72">
        <v>45185.0</v>
      </c>
      <c r="B211" s="75" t="s">
        <v>2371</v>
      </c>
      <c r="C211" s="67" t="str">
        <f>IFERROR(__xludf.DUMMYFUNCTION("""COMPUTED_VALUE"""),"LD187")</f>
        <v>LD187</v>
      </c>
      <c r="D211" s="55" t="s">
        <v>42</v>
      </c>
      <c r="E211" s="55" t="s">
        <v>69</v>
      </c>
      <c r="F211" s="55" t="s">
        <v>625</v>
      </c>
      <c r="G211" s="55">
        <v>1840.0</v>
      </c>
      <c r="H211" s="55" t="s">
        <v>1137</v>
      </c>
      <c r="I211" s="55" t="s">
        <v>2682</v>
      </c>
      <c r="J211" s="55" t="s">
        <v>2683</v>
      </c>
      <c r="K211" s="55" t="s">
        <v>61</v>
      </c>
      <c r="L211" s="55">
        <v>95360.0</v>
      </c>
      <c r="M211" s="55" t="s">
        <v>78</v>
      </c>
      <c r="N211" s="55" t="s">
        <v>69</v>
      </c>
      <c r="O211" s="55" t="s">
        <v>224</v>
      </c>
      <c r="P211" s="55" t="s">
        <v>110</v>
      </c>
      <c r="Q211" s="67" t="str">
        <f>IFERROR(__xludf.DUMMYFUNCTION("""COMPUTED_VALUE"""),"KoreaSouth.giaotiep.MGDTD_95360_CVS_NamNH_160923")</f>
        <v>KoreaSouth.giaotiep.MGDTD_95360_CVS_NamNH_160923</v>
      </c>
      <c r="R211" s="67" t="str">
        <f>IFERROR(__xludf.DUMMYFUNCTION("""COMPUTED_VALUE"""),"NEW_KoreaSouth_1840_none_160923")</f>
        <v>NEW_KoreaSouth_1840_none_160923</v>
      </c>
      <c r="S211" s="67" t="str">
        <f>IFERROR(__xludf.DUMMYFUNCTION("""COMPUTED_VALUE"""),"saletructiep_KoreaSouth.MGDTD.1840.giaotiep_PTATT_LD187")</f>
        <v>saletructiep_KoreaSouth.MGDTD.1840.giaotiep_PTATT_LD187</v>
      </c>
      <c r="T211" s="107" t="str">
        <f>IFERROR(__xludf.DUMMYFUNCTION("""COMPUTED_VALUE"""),"https://patadovietnam.edu.vn/tatoandien_namnh/?utm_source=Facebook&amp;utm_medium=CVS&amp;utm_term=NEW_KoreaSouth_1840_none_160923&amp;utm_content=saletructiep_KoreaSouth.MGDTD.1840.giaotiep_PTATT_LD187&amp;utm_campaign=KoreaSouth.giaotiep.MGDTD_95360_CVS_NamNH_160923")</f>
        <v>https://patadovietnam.edu.vn/tatoandien_namnh/?utm_source=Facebook&amp;utm_medium=CVS&amp;utm_term=NEW_KoreaSouth_1840_none_160923&amp;utm_content=saletructiep_KoreaSouth.MGDTD.1840.giaotiep_PTATT_LD187&amp;utm_campaign=KoreaSouth.giaotiep.MGDTD_95360_CVS_NamNH_160923</v>
      </c>
      <c r="U211" s="110" t="s">
        <v>2684</v>
      </c>
    </row>
    <row r="212">
      <c r="A212" s="72">
        <v>45185.0</v>
      </c>
      <c r="B212" s="75" t="s">
        <v>1245</v>
      </c>
      <c r="C212" s="67" t="str">
        <f>IFERROR(__xludf.DUMMYFUNCTION("""COMPUTED_VALUE"""),"LD161")</f>
        <v>LD161</v>
      </c>
      <c r="D212" s="55" t="s">
        <v>42</v>
      </c>
      <c r="E212" s="55" t="s">
        <v>69</v>
      </c>
      <c r="F212" s="55" t="s">
        <v>107</v>
      </c>
      <c r="G212" s="55">
        <v>2045.0</v>
      </c>
      <c r="H212" s="55" t="s">
        <v>1137</v>
      </c>
      <c r="I212" s="55" t="s">
        <v>2686</v>
      </c>
      <c r="J212" s="55" t="s">
        <v>2687</v>
      </c>
      <c r="K212" s="55" t="s">
        <v>61</v>
      </c>
      <c r="L212" s="55">
        <v>16917.0</v>
      </c>
      <c r="M212" s="55" t="s">
        <v>78</v>
      </c>
      <c r="N212" s="55" t="s">
        <v>69</v>
      </c>
      <c r="O212" s="55" t="s">
        <v>224</v>
      </c>
      <c r="P212" s="55" t="s">
        <v>110</v>
      </c>
      <c r="Q212" s="67" t="str">
        <f>IFERROR(__xludf.DUMMYFUNCTION("""COMPUTED_VALUE"""),"UnitedStates.giaotiep.MGDTD_16917_CVS_NamNH_160923")</f>
        <v>UnitedStates.giaotiep.MGDTD_16917_CVS_NamNH_160923</v>
      </c>
      <c r="R212" s="67" t="str">
        <f>IFERROR(__xludf.DUMMYFUNCTION("""COMPUTED_VALUE"""),"NEW_UnitedStates_2045_none_160923")</f>
        <v>NEW_UnitedStates_2045_none_160923</v>
      </c>
      <c r="S212" s="67" t="str">
        <f>IFERROR(__xludf.DUMMYFUNCTION("""COMPUTED_VALUE"""),"saletructiep_UnitedStates.MGDTD.2045.giaotiep_PTATT_LD161")</f>
        <v>saletructiep_UnitedStates.MGDTD.2045.giaotiep_PTATT_LD161</v>
      </c>
      <c r="T212" s="107" t="str">
        <f>IFERROR(__xludf.DUMMYFUNCTION("""COMPUTED_VALUE"""),"https://patadovietnam.edu.vn/gtusa1_nhn/?utm_source=Facebook&amp;utm_medium=CVS&amp;utm_term=NEW_UnitedStates_2045_none_160923&amp;utm_content=saletructiep_UnitedStates.MGDTD.2045.giaotiep_PTATT_LD161&amp;utm_campaign=UnitedStates.giaotiep.MGDTD_16917_CVS_NamNH_160923")</f>
        <v>https://patadovietnam.edu.vn/gtusa1_nhn/?utm_source=Facebook&amp;utm_medium=CVS&amp;utm_term=NEW_UnitedStates_2045_none_160923&amp;utm_content=saletructiep_UnitedStates.MGDTD.2045.giaotiep_PTATT_LD161&amp;utm_campaign=UnitedStates.giaotiep.MGDTD_16917_CVS_NamNH_160923</v>
      </c>
      <c r="U212" s="110" t="s">
        <v>2689</v>
      </c>
    </row>
    <row r="213">
      <c r="A213" s="72">
        <v>45170.0</v>
      </c>
      <c r="B213" s="75" t="s">
        <v>2371</v>
      </c>
      <c r="C213" s="67" t="str">
        <f>IFERROR(__xludf.DUMMYFUNCTION("""COMPUTED_VALUE"""),"LD187")</f>
        <v>LD187</v>
      </c>
      <c r="D213" s="55" t="s">
        <v>42</v>
      </c>
      <c r="E213" s="55" t="s">
        <v>69</v>
      </c>
      <c r="F213" s="55" t="s">
        <v>625</v>
      </c>
      <c r="G213" s="55">
        <v>1840.0</v>
      </c>
      <c r="H213" s="55" t="s">
        <v>1137</v>
      </c>
      <c r="I213" s="55" t="s">
        <v>2690</v>
      </c>
      <c r="J213" s="55" t="s">
        <v>2692</v>
      </c>
      <c r="K213" s="55" t="s">
        <v>61</v>
      </c>
      <c r="L213" s="55">
        <v>95360.0</v>
      </c>
      <c r="M213" s="55" t="s">
        <v>78</v>
      </c>
      <c r="N213" s="55" t="s">
        <v>69</v>
      </c>
      <c r="O213" s="55" t="s">
        <v>224</v>
      </c>
      <c r="P213" s="55" t="s">
        <v>110</v>
      </c>
      <c r="Q213" s="67" t="str">
        <f>IFERROR(__xludf.DUMMYFUNCTION("""COMPUTED_VALUE"""),"KoreaSouth.giaotiep.TLVGTN_95360_CVS_NamNH_010923")</f>
        <v>KoreaSouth.giaotiep.TLVGTN_95360_CVS_NamNH_010923</v>
      </c>
      <c r="R213" s="67" t="str">
        <f>IFERROR(__xludf.DUMMYFUNCTION("""COMPUTED_VALUE"""),"NEW_KoreaSouth_1840_none_010923")</f>
        <v>NEW_KoreaSouth_1840_none_010923</v>
      </c>
      <c r="S213" s="67" t="str">
        <f>IFERROR(__xludf.DUMMYFUNCTION("""COMPUTED_VALUE"""),"saletructiep_KoreaSouth.TLVGTN.1840.giaotiep_PTATT_LD187")</f>
        <v>saletructiep_KoreaSouth.TLVGTN.1840.giaotiep_PTATT_LD187</v>
      </c>
      <c r="T213" s="107" t="str">
        <f>IFERROR(__xludf.DUMMYFUNCTION("""COMPUTED_VALUE"""),"https://patadovietnam.edu.vn/tatoandien_namnh/?utm_source=Facebook&amp;utm_medium=CVS&amp;utm_term=NEW_KoreaSouth_1840_none_010923&amp;utm_content=saletructiep_KoreaSouth.TLVGTN.1840.giaotiep_PTATT_LD187&amp;utm_campaign=KoreaSouth.giaotiep.TLVGTN_95360_CVS_NamNH_010923")</f>
        <v>https://patadovietnam.edu.vn/tatoandien_namnh/?utm_source=Facebook&amp;utm_medium=CVS&amp;utm_term=NEW_KoreaSouth_1840_none_010923&amp;utm_content=saletructiep_KoreaSouth.TLVGTN.1840.giaotiep_PTATT_LD187&amp;utm_campaign=KoreaSouth.giaotiep.TLVGTN_95360_CVS_NamNH_010923</v>
      </c>
      <c r="U213" s="110" t="s">
        <v>2694</v>
      </c>
    </row>
    <row r="214">
      <c r="A214" s="72">
        <v>45170.0</v>
      </c>
      <c r="B214" s="75" t="s">
        <v>2371</v>
      </c>
      <c r="C214" s="67" t="str">
        <f>IFERROR(__xludf.DUMMYFUNCTION("""COMPUTED_VALUE"""),"LD187")</f>
        <v>LD187</v>
      </c>
      <c r="D214" s="55" t="s">
        <v>42</v>
      </c>
      <c r="E214" s="55" t="s">
        <v>79</v>
      </c>
      <c r="F214" s="55" t="s">
        <v>164</v>
      </c>
      <c r="G214" s="55">
        <v>1840.0</v>
      </c>
      <c r="H214" s="55" t="s">
        <v>1137</v>
      </c>
      <c r="I214" s="55" t="s">
        <v>2695</v>
      </c>
      <c r="J214" s="55" t="s">
        <v>2696</v>
      </c>
      <c r="K214" s="55" t="s">
        <v>61</v>
      </c>
      <c r="L214" s="55">
        <v>95360.0</v>
      </c>
      <c r="M214" s="55" t="s">
        <v>78</v>
      </c>
      <c r="N214" s="55" t="s">
        <v>79</v>
      </c>
      <c r="O214" s="55" t="s">
        <v>224</v>
      </c>
      <c r="P214" s="55" t="s">
        <v>110</v>
      </c>
      <c r="Q214" s="67" t="str">
        <f>IFERROR(__xludf.DUMMYFUNCTION("""COMPUTED_VALUE"""),"Taiwan.giaotiep.TLVGTN_95360_MES_NamNH_010923")</f>
        <v>Taiwan.giaotiep.TLVGTN_95360_MES_NamNH_010923</v>
      </c>
      <c r="R214" s="67" t="str">
        <f>IFERROR(__xludf.DUMMYFUNCTION("""COMPUTED_VALUE"""),"NEW_Taiwan_1840_none_010923")</f>
        <v>NEW_Taiwan_1840_none_010923</v>
      </c>
      <c r="S214" s="67" t="str">
        <f>IFERROR(__xludf.DUMMYFUNCTION("""COMPUTED_VALUE"""),"saletructiep_Taiwan.TLVGTN.1840.giaotiep_PTATT_LD187")</f>
        <v>saletructiep_Taiwan.TLVGTN.1840.giaotiep_PTATT_LD187</v>
      </c>
      <c r="T214" s="107" t="str">
        <f>IFERROR(__xludf.DUMMYFUNCTION("""COMPUTED_VALUE"""),"https://patadovietnam.edu.vn/tatoandien_namnh/?utm_source=Facebook&amp;utm_medium=MES&amp;utm_term=NEW_Taiwan_1840_none_010923&amp;utm_content=saletructiep_Taiwan.TLVGTN.1840.giaotiep_PTATT_LD187&amp;utm_campaign=Taiwan.giaotiep.TLVGTN_95360_MES_NamNH_010923")</f>
        <v>https://patadovietnam.edu.vn/tatoandien_namnh/?utm_source=Facebook&amp;utm_medium=MES&amp;utm_term=NEW_Taiwan_1840_none_010923&amp;utm_content=saletructiep_Taiwan.TLVGTN.1840.giaotiep_PTATT_LD187&amp;utm_campaign=Taiwan.giaotiep.TLVGTN_95360_MES_NamNH_010923</v>
      </c>
      <c r="U214" s="110" t="s">
        <v>2697</v>
      </c>
    </row>
    <row r="215">
      <c r="A215" s="72">
        <v>45170.0</v>
      </c>
      <c r="B215" s="75" t="s">
        <v>1229</v>
      </c>
      <c r="C215" s="67" t="str">
        <f>IFERROR(__xludf.DUMMYFUNCTION("""COMPUTED_VALUE"""),"LD164")</f>
        <v>LD164</v>
      </c>
      <c r="D215" s="55" t="s">
        <v>42</v>
      </c>
      <c r="E215" s="55" t="s">
        <v>69</v>
      </c>
      <c r="F215" s="55" t="s">
        <v>133</v>
      </c>
      <c r="G215" s="55">
        <v>1840.0</v>
      </c>
      <c r="H215" s="55" t="s">
        <v>1137</v>
      </c>
      <c r="I215" s="55" t="s">
        <v>2698</v>
      </c>
      <c r="J215" s="55" t="s">
        <v>2699</v>
      </c>
      <c r="K215" s="55" t="s">
        <v>61</v>
      </c>
      <c r="L215" s="55">
        <v>16917.0</v>
      </c>
      <c r="M215" s="55" t="s">
        <v>78</v>
      </c>
      <c r="N215" s="55" t="s">
        <v>69</v>
      </c>
      <c r="O215" s="55" t="s">
        <v>224</v>
      </c>
      <c r="P215" s="55" t="s">
        <v>110</v>
      </c>
      <c r="Q215" s="67" t="str">
        <f>IFERROR(__xludf.DUMMYFUNCTION("""COMPUTED_VALUE"""),"Japan.giaotiep.TLVGTN_16917_CVS_NamNH_010923")</f>
        <v>Japan.giaotiep.TLVGTN_16917_CVS_NamNH_010923</v>
      </c>
      <c r="R215" s="67" t="str">
        <f>IFERROR(__xludf.DUMMYFUNCTION("""COMPUTED_VALUE"""),"NEW_Japan_1840_none_010923")</f>
        <v>NEW_Japan_1840_none_010923</v>
      </c>
      <c r="S215" s="67" t="str">
        <f>IFERROR(__xludf.DUMMYFUNCTION("""COMPUTED_VALUE"""),"saletructiep_Japan.TLVGTN.1840.giaotiep_PTATT_LD164")</f>
        <v>saletructiep_Japan.TLVGTN.1840.giaotiep_PTATT_LD164</v>
      </c>
      <c r="T215" s="107" t="str">
        <f>IFERROR(__xludf.DUMMYFUNCTION("""COMPUTED_VALUE"""),"https://patadovietnam.edu.vn/gtjapan_nhn3/?utm_source=Facebook&amp;utm_medium=CVS&amp;utm_term=NEW_Japan_1840_none_010923&amp;utm_content=saletructiep_Japan.TLVGTN.1840.giaotiep_PTATT_LD164&amp;utm_campaign=Japan.giaotiep.TLVGTN_16917_CVS_NamNH_010923")</f>
        <v>https://patadovietnam.edu.vn/gtjapan_nhn3/?utm_source=Facebook&amp;utm_medium=CVS&amp;utm_term=NEW_Japan_1840_none_010923&amp;utm_content=saletructiep_Japan.TLVGTN.1840.giaotiep_PTATT_LD164&amp;utm_campaign=Japan.giaotiep.TLVGTN_16917_CVS_NamNH_010923</v>
      </c>
      <c r="U215" s="110" t="s">
        <v>2701</v>
      </c>
    </row>
    <row r="216">
      <c r="A216" s="72">
        <v>45170.0</v>
      </c>
      <c r="B216" s="75" t="s">
        <v>1245</v>
      </c>
      <c r="C216" s="67" t="str">
        <f>IFERROR(__xludf.DUMMYFUNCTION("""COMPUTED_VALUE"""),"LD161")</f>
        <v>LD161</v>
      </c>
      <c r="D216" s="55" t="s">
        <v>42</v>
      </c>
      <c r="E216" s="55" t="s">
        <v>79</v>
      </c>
      <c r="F216" s="55" t="s">
        <v>107</v>
      </c>
      <c r="G216" s="55">
        <v>1840.0</v>
      </c>
      <c r="H216" s="55" t="s">
        <v>1137</v>
      </c>
      <c r="I216" s="55" t="s">
        <v>2702</v>
      </c>
      <c r="J216" s="55" t="s">
        <v>2703</v>
      </c>
      <c r="K216" s="55" t="s">
        <v>61</v>
      </c>
      <c r="L216" s="55">
        <v>16917.0</v>
      </c>
      <c r="M216" s="55" t="s">
        <v>78</v>
      </c>
      <c r="N216" s="55" t="s">
        <v>79</v>
      </c>
      <c r="O216" s="55" t="s">
        <v>224</v>
      </c>
      <c r="P216" s="55" t="s">
        <v>110</v>
      </c>
      <c r="Q216" s="67" t="str">
        <f>IFERROR(__xludf.DUMMYFUNCTION("""COMPUTED_VALUE"""),"UnitedStates.giaotiep.TLVGTN_16917_MES_NamNH_010923")</f>
        <v>UnitedStates.giaotiep.TLVGTN_16917_MES_NamNH_010923</v>
      </c>
      <c r="R216" s="67" t="str">
        <f>IFERROR(__xludf.DUMMYFUNCTION("""COMPUTED_VALUE"""),"NEW_UnitedStates_1840_none_010923")</f>
        <v>NEW_UnitedStates_1840_none_010923</v>
      </c>
      <c r="S216" s="67" t="str">
        <f>IFERROR(__xludf.DUMMYFUNCTION("""COMPUTED_VALUE"""),"saletructiep_UnitedStates.TLVGTN.1840.giaotiep_PTATT_LD161")</f>
        <v>saletructiep_UnitedStates.TLVGTN.1840.giaotiep_PTATT_LD161</v>
      </c>
      <c r="T216" s="107" t="str">
        <f>IFERROR(__xludf.DUMMYFUNCTION("""COMPUTED_VALUE"""),"https://patadovietnam.edu.vn/gtusa1_nhn/?utm_source=Facebook&amp;utm_medium=MES&amp;utm_term=NEW_UnitedStates_1840_none_010923&amp;utm_content=saletructiep_UnitedStates.TLVGTN.1840.giaotiep_PTATT_LD161&amp;utm_campaign=UnitedStates.giaotiep.TLVGTN_16917_MES_NamNH_010923")</f>
        <v>https://patadovietnam.edu.vn/gtusa1_nhn/?utm_source=Facebook&amp;utm_medium=MES&amp;utm_term=NEW_UnitedStates_1840_none_010923&amp;utm_content=saletructiep_UnitedStates.TLVGTN.1840.giaotiep_PTATT_LD161&amp;utm_campaign=UnitedStates.giaotiep.TLVGTN_16917_MES_NamNH_010923</v>
      </c>
      <c r="U216" s="110" t="s">
        <v>2705</v>
      </c>
    </row>
    <row r="217">
      <c r="A217" s="72">
        <v>45171.0</v>
      </c>
      <c r="B217" s="75" t="s">
        <v>2371</v>
      </c>
      <c r="C217" s="67" t="str">
        <f>IFERROR(__xludf.DUMMYFUNCTION("""COMPUTED_VALUE"""),"LD187")</f>
        <v>LD187</v>
      </c>
      <c r="D217" s="55" t="s">
        <v>42</v>
      </c>
      <c r="E217" s="55" t="s">
        <v>69</v>
      </c>
      <c r="F217" s="55" t="s">
        <v>625</v>
      </c>
      <c r="G217" s="55">
        <v>1840.0</v>
      </c>
      <c r="H217" s="55" t="s">
        <v>1137</v>
      </c>
      <c r="I217" s="55" t="s">
        <v>2706</v>
      </c>
      <c r="J217" s="55" t="s">
        <v>2707</v>
      </c>
      <c r="K217" s="55" t="s">
        <v>61</v>
      </c>
      <c r="L217" s="55">
        <v>95360.0</v>
      </c>
      <c r="M217" s="55" t="s">
        <v>78</v>
      </c>
      <c r="N217" s="55" t="s">
        <v>69</v>
      </c>
      <c r="O217" s="55" t="s">
        <v>224</v>
      </c>
      <c r="P217" s="55" t="s">
        <v>110</v>
      </c>
      <c r="Q217" s="67" t="str">
        <f>IFERROR(__xludf.DUMMYFUNCTION("""COMPUTED_VALUE"""),"KoreaSouth.giaotiep.daura_95360_CVS_NamNH_020923")</f>
        <v>KoreaSouth.giaotiep.daura_95360_CVS_NamNH_020923</v>
      </c>
      <c r="R217" s="67" t="str">
        <f>IFERROR(__xludf.DUMMYFUNCTION("""COMPUTED_VALUE"""),"NEW_KoreaSouth_1840_none_020923")</f>
        <v>NEW_KoreaSouth_1840_none_020923</v>
      </c>
      <c r="S217" s="67" t="str">
        <f>IFERROR(__xludf.DUMMYFUNCTION("""COMPUTED_VALUE"""),"saletructiep_KoreaSouth.daura.1840.giaotiep_PTATT_LD187")</f>
        <v>saletructiep_KoreaSouth.daura.1840.giaotiep_PTATT_LD187</v>
      </c>
      <c r="T217" s="107" t="str">
        <f>IFERROR(__xludf.DUMMYFUNCTION("""COMPUTED_VALUE"""),"https://patadovietnam.edu.vn/tatoandien_namnh/?utm_source=Facebook&amp;utm_medium=CVS&amp;utm_term=NEW_KoreaSouth_1840_none_020923&amp;utm_content=saletructiep_KoreaSouth.daura.1840.giaotiep_PTATT_LD187&amp;utm_campaign=KoreaSouth.giaotiep.daura_95360_CVS_NamNH_020923")</f>
        <v>https://patadovietnam.edu.vn/tatoandien_namnh/?utm_source=Facebook&amp;utm_medium=CVS&amp;utm_term=NEW_KoreaSouth_1840_none_020923&amp;utm_content=saletructiep_KoreaSouth.daura.1840.giaotiep_PTATT_LD187&amp;utm_campaign=KoreaSouth.giaotiep.daura_95360_CVS_NamNH_020923</v>
      </c>
      <c r="U217" s="110" t="s">
        <v>2708</v>
      </c>
    </row>
    <row r="218">
      <c r="A218" s="72">
        <v>45171.0</v>
      </c>
      <c r="B218" s="75" t="s">
        <v>2371</v>
      </c>
      <c r="C218" s="67" t="str">
        <f>IFERROR(__xludf.DUMMYFUNCTION("""COMPUTED_VALUE"""),"LD187")</f>
        <v>LD187</v>
      </c>
      <c r="D218" s="55" t="s">
        <v>42</v>
      </c>
      <c r="E218" s="55" t="s">
        <v>79</v>
      </c>
      <c r="F218" s="55" t="s">
        <v>164</v>
      </c>
      <c r="G218" s="55">
        <v>1840.0</v>
      </c>
      <c r="H218" s="55" t="s">
        <v>1137</v>
      </c>
      <c r="I218" s="55" t="s">
        <v>2709</v>
      </c>
      <c r="J218" s="55" t="s">
        <v>2710</v>
      </c>
      <c r="K218" s="55" t="s">
        <v>61</v>
      </c>
      <c r="L218" s="55">
        <v>95360.0</v>
      </c>
      <c r="M218" s="55" t="s">
        <v>78</v>
      </c>
      <c r="N218" s="55" t="s">
        <v>79</v>
      </c>
      <c r="O218" s="55" t="s">
        <v>224</v>
      </c>
      <c r="P218" s="55" t="s">
        <v>110</v>
      </c>
      <c r="Q218" s="67" t="str">
        <f>IFERROR(__xludf.DUMMYFUNCTION("""COMPUTED_VALUE"""),"Taiwan.giaotiep.daura_95360_MES_NamNH_020923")</f>
        <v>Taiwan.giaotiep.daura_95360_MES_NamNH_020923</v>
      </c>
      <c r="R218" s="67" t="str">
        <f>IFERROR(__xludf.DUMMYFUNCTION("""COMPUTED_VALUE"""),"NEW_Taiwan_1840_none_020923")</f>
        <v>NEW_Taiwan_1840_none_020923</v>
      </c>
      <c r="S218" s="67" t="str">
        <f>IFERROR(__xludf.DUMMYFUNCTION("""COMPUTED_VALUE"""),"saletructiep_Taiwan.daura.1840.giaotiep_PTATT_LD187")</f>
        <v>saletructiep_Taiwan.daura.1840.giaotiep_PTATT_LD187</v>
      </c>
      <c r="T218" s="107" t="str">
        <f>IFERROR(__xludf.DUMMYFUNCTION("""COMPUTED_VALUE"""),"https://patadovietnam.edu.vn/tatoandien_namnh/?utm_source=Facebook&amp;utm_medium=MES&amp;utm_term=NEW_Taiwan_1840_none_020923&amp;utm_content=saletructiep_Taiwan.daura.1840.giaotiep_PTATT_LD187&amp;utm_campaign=Taiwan.giaotiep.daura_95360_MES_NamNH_020923")</f>
        <v>https://patadovietnam.edu.vn/tatoandien_namnh/?utm_source=Facebook&amp;utm_medium=MES&amp;utm_term=NEW_Taiwan_1840_none_020923&amp;utm_content=saletructiep_Taiwan.daura.1840.giaotiep_PTATT_LD187&amp;utm_campaign=Taiwan.giaotiep.daura_95360_MES_NamNH_020923</v>
      </c>
      <c r="U218" s="110" t="s">
        <v>2713</v>
      </c>
    </row>
    <row r="219">
      <c r="A219" s="72">
        <v>45171.0</v>
      </c>
      <c r="B219" s="75" t="s">
        <v>1229</v>
      </c>
      <c r="C219" s="67" t="str">
        <f>IFERROR(__xludf.DUMMYFUNCTION("""COMPUTED_VALUE"""),"LD164")</f>
        <v>LD164</v>
      </c>
      <c r="D219" s="55" t="s">
        <v>42</v>
      </c>
      <c r="E219" s="55" t="s">
        <v>69</v>
      </c>
      <c r="F219" s="55" t="s">
        <v>133</v>
      </c>
      <c r="G219" s="55">
        <v>1840.0</v>
      </c>
      <c r="H219" s="55" t="s">
        <v>1137</v>
      </c>
      <c r="I219" s="55" t="s">
        <v>2714</v>
      </c>
      <c r="J219" s="55" t="s">
        <v>2715</v>
      </c>
      <c r="K219" s="55" t="s">
        <v>61</v>
      </c>
      <c r="L219" s="55">
        <v>16917.0</v>
      </c>
      <c r="M219" s="55" t="s">
        <v>78</v>
      </c>
      <c r="N219" s="55" t="s">
        <v>69</v>
      </c>
      <c r="O219" s="55" t="s">
        <v>224</v>
      </c>
      <c r="P219" s="55" t="s">
        <v>110</v>
      </c>
      <c r="Q219" s="67" t="str">
        <f>IFERROR(__xludf.DUMMYFUNCTION("""COMPUTED_VALUE"""),"Japan.giaotiep.daura_16917_CVS_NamNH_020923")</f>
        <v>Japan.giaotiep.daura_16917_CVS_NamNH_020923</v>
      </c>
      <c r="R219" s="67" t="str">
        <f>IFERROR(__xludf.DUMMYFUNCTION("""COMPUTED_VALUE"""),"NEW_Japan_1840_none_020923")</f>
        <v>NEW_Japan_1840_none_020923</v>
      </c>
      <c r="S219" s="67" t="str">
        <f>IFERROR(__xludf.DUMMYFUNCTION("""COMPUTED_VALUE"""),"saletructiep_Japan.daura.1840.giaotiep_PTATT_LD164")</f>
        <v>saletructiep_Japan.daura.1840.giaotiep_PTATT_LD164</v>
      </c>
      <c r="T219" s="107" t="str">
        <f>IFERROR(__xludf.DUMMYFUNCTION("""COMPUTED_VALUE"""),"https://patadovietnam.edu.vn/gtjapan_nhn3/?utm_source=Facebook&amp;utm_medium=CVS&amp;utm_term=NEW_Japan_1840_none_020923&amp;utm_content=saletructiep_Japan.daura.1840.giaotiep_PTATT_LD164&amp;utm_campaign=Japan.giaotiep.daura_16917_CVS_NamNH_020923")</f>
        <v>https://patadovietnam.edu.vn/gtjapan_nhn3/?utm_source=Facebook&amp;utm_medium=CVS&amp;utm_term=NEW_Japan_1840_none_020923&amp;utm_content=saletructiep_Japan.daura.1840.giaotiep_PTATT_LD164&amp;utm_campaign=Japan.giaotiep.daura_16917_CVS_NamNH_020923</v>
      </c>
      <c r="U219" s="110" t="s">
        <v>2719</v>
      </c>
    </row>
    <row r="220">
      <c r="A220" s="72">
        <v>45198.0</v>
      </c>
      <c r="B220" s="75" t="s">
        <v>2721</v>
      </c>
      <c r="C220" s="67" t="str">
        <f>IFERROR(__xludf.DUMMYFUNCTION("""COMPUTED_VALUE"""),"LD202")</f>
        <v>LD202</v>
      </c>
      <c r="D220" s="55" t="s">
        <v>537</v>
      </c>
      <c r="E220" s="55" t="s">
        <v>69</v>
      </c>
      <c r="F220" s="55" t="s">
        <v>539</v>
      </c>
      <c r="G220" s="55">
        <v>1845.0</v>
      </c>
      <c r="H220" s="55" t="s">
        <v>1137</v>
      </c>
      <c r="I220" s="55" t="s">
        <v>2725</v>
      </c>
      <c r="J220" s="55" t="s">
        <v>2725</v>
      </c>
      <c r="K220" s="55" t="s">
        <v>61</v>
      </c>
      <c r="L220" s="55" t="s">
        <v>2726</v>
      </c>
      <c r="M220" s="55" t="s">
        <v>78</v>
      </c>
      <c r="N220" s="55" t="s">
        <v>69</v>
      </c>
      <c r="O220" s="55" t="s">
        <v>224</v>
      </c>
      <c r="P220" s="55" t="s">
        <v>72</v>
      </c>
      <c r="Q220" s="67" t="str">
        <f>IFERROR(__xludf.DUMMYFUNCTION("""COMPUTED_VALUE"""),"Emailnuture29/9_Patadoadmin_CVS_NamNH_290923")</f>
        <v>Emailnuture29/9_Patadoadmin_CVS_NamNH_290923</v>
      </c>
      <c r="R220" s="67" t="str">
        <f>IFERROR(__xludf.DUMMYFUNCTION("""COMPUTED_VALUE"""),"RMK_ALL_1845_none_290923")</f>
        <v>RMK_ALL_1845_none_290923</v>
      </c>
      <c r="S220" s="67" t="str">
        <f>IFERROR(__xludf.DUMMYFUNCTION("""COMPUTED_VALUE"""),"saletructiep_Emailnuture29/9_PTATT_LD202")</f>
        <v>saletructiep_Emailnuture29/9_PTATT_LD202</v>
      </c>
      <c r="T220" s="107" t="str">
        <f>IFERROR(__xludf.DUMMYFUNCTION("""COMPUTED_VALUE"""),"https://www.anhngupatado.edu.vn/patado_nhan_tai_lieu_mien_phi/?utm_source=Email&amp;utm_medium=CVS&amp;utm_term=RMK_ALL_1845_none_290923&amp;utm_content=saletructiep_Emailnuture29/9_PTATT_LD202&amp;utm_campaign=Emailnuture29/9_Patadoadmin_CVS_NamNH_290923")</f>
        <v>https://www.anhngupatado.edu.vn/patado_nhan_tai_lieu_mien_phi/?utm_source=Email&amp;utm_medium=CVS&amp;utm_term=RMK_ALL_1845_none_290923&amp;utm_content=saletructiep_Emailnuture29/9_PTATT_LD202&amp;utm_campaign=Emailnuture29/9_Patadoadmin_CVS_NamNH_290923</v>
      </c>
      <c r="U220" s="118"/>
    </row>
    <row r="221">
      <c r="A221" s="72">
        <v>45200.0</v>
      </c>
      <c r="B221" s="75" t="s">
        <v>1245</v>
      </c>
      <c r="C221" s="67" t="str">
        <f>IFERROR(__xludf.DUMMYFUNCTION("""COMPUTED_VALUE"""),"LD161")</f>
        <v>LD161</v>
      </c>
      <c r="D221" s="55" t="s">
        <v>42</v>
      </c>
      <c r="E221" s="55" t="s">
        <v>79</v>
      </c>
      <c r="F221" s="55" t="s">
        <v>107</v>
      </c>
      <c r="G221" s="55">
        <v>1845.0</v>
      </c>
      <c r="H221" s="55" t="s">
        <v>1137</v>
      </c>
      <c r="I221" s="55" t="s">
        <v>2729</v>
      </c>
      <c r="J221" s="55" t="s">
        <v>2730</v>
      </c>
      <c r="K221" s="55" t="s">
        <v>61</v>
      </c>
      <c r="L221" s="55">
        <v>16917.0</v>
      </c>
      <c r="M221" s="55" t="s">
        <v>78</v>
      </c>
      <c r="N221" s="55" t="s">
        <v>79</v>
      </c>
      <c r="O221" s="55" t="s">
        <v>224</v>
      </c>
      <c r="P221" s="55" t="s">
        <v>110</v>
      </c>
      <c r="Q221" s="67" t="str">
        <f>IFERROR(__xludf.DUMMYFUNCTION("""COMPUTED_VALUE"""),"UnitedStates.giaotiep.TT1_16917_MES_NamNH_011023")</f>
        <v>UnitedStates.giaotiep.TT1_16917_MES_NamNH_011023</v>
      </c>
      <c r="R221" s="67" t="str">
        <f>IFERROR(__xludf.DUMMYFUNCTION("""COMPUTED_VALUE"""),"NEW_UnitedStates_1845_none_011023")</f>
        <v>NEW_UnitedStates_1845_none_011023</v>
      </c>
      <c r="S221" s="67" t="str">
        <f>IFERROR(__xludf.DUMMYFUNCTION("""COMPUTED_VALUE"""),"saletructiep_UnitedStates.TT1.1845.giaotiep_PTATT_LD161")</f>
        <v>saletructiep_UnitedStates.TT1.1845.giaotiep_PTATT_LD161</v>
      </c>
      <c r="T221" s="107" t="str">
        <f>IFERROR(__xludf.DUMMYFUNCTION("""COMPUTED_VALUE"""),"https://patadovietnam.edu.vn/gtusa1_nhn/?utm_source=Facebook&amp;utm_medium=MES&amp;utm_term=NEW_UnitedStates_1845_none_011023&amp;utm_content=saletructiep_UnitedStates.TT1.1845.giaotiep_PTATT_LD161&amp;utm_campaign=UnitedStates.giaotiep.TT1_16917_MES_NamNH_011023")</f>
        <v>https://patadovietnam.edu.vn/gtusa1_nhn/?utm_source=Facebook&amp;utm_medium=MES&amp;utm_term=NEW_UnitedStates_1845_none_011023&amp;utm_content=saletructiep_UnitedStates.TT1.1845.giaotiep_PTATT_LD161&amp;utm_campaign=UnitedStates.giaotiep.TT1_16917_MES_NamNH_011023</v>
      </c>
      <c r="U221" s="110" t="s">
        <v>2732</v>
      </c>
    </row>
    <row r="222">
      <c r="A222" s="72">
        <v>45200.0</v>
      </c>
      <c r="B222" s="75" t="s">
        <v>1134</v>
      </c>
      <c r="C222" s="67" t="str">
        <f>IFERROR(__xludf.DUMMYFUNCTION("""COMPUTED_VALUE"""),"LD153")</f>
        <v>LD153</v>
      </c>
      <c r="D222" s="55" t="s">
        <v>42</v>
      </c>
      <c r="E222" s="55" t="s">
        <v>79</v>
      </c>
      <c r="F222" s="55" t="s">
        <v>164</v>
      </c>
      <c r="G222" s="55">
        <v>1840.0</v>
      </c>
      <c r="H222" s="55" t="s">
        <v>1137</v>
      </c>
      <c r="I222" s="55" t="s">
        <v>2735</v>
      </c>
      <c r="J222" s="55" t="s">
        <v>2736</v>
      </c>
      <c r="K222" s="55" t="s">
        <v>61</v>
      </c>
      <c r="L222" s="55">
        <v>95360.0</v>
      </c>
      <c r="M222" s="55" t="s">
        <v>78</v>
      </c>
      <c r="N222" s="55" t="s">
        <v>79</v>
      </c>
      <c r="O222" s="55" t="s">
        <v>224</v>
      </c>
      <c r="P222" s="55" t="s">
        <v>110</v>
      </c>
      <c r="Q222" s="67" t="str">
        <f>IFERROR(__xludf.DUMMYFUNCTION("""COMPUTED_VALUE"""),"Taiwan.giaotiep.TT1_95360_MES_NamNH_011023")</f>
        <v>Taiwan.giaotiep.TT1_95360_MES_NamNH_011023</v>
      </c>
      <c r="R222" s="67" t="str">
        <f>IFERROR(__xludf.DUMMYFUNCTION("""COMPUTED_VALUE"""),"NEW_Taiwan_1840_none_011023")</f>
        <v>NEW_Taiwan_1840_none_011023</v>
      </c>
      <c r="S222" s="67" t="str">
        <f>IFERROR(__xludf.DUMMYFUNCTION("""COMPUTED_VALUE"""),"saletructiep_Taiwan.TT1.1840.giaotiep_PTATT_LD153")</f>
        <v>saletructiep_Taiwan.TT1.1840.giaotiep_PTATT_LD153</v>
      </c>
      <c r="T222" s="107" t="str">
        <f>IFERROR(__xludf.DUMMYFUNCTION("""COMPUTED_VALUE"""),"https://patadovietnam.edu.vn/tienganhgiaotiep_hn/?utm_source=Facebook&amp;utm_medium=MES&amp;utm_term=NEW_Taiwan_1840_none_011023&amp;utm_content=saletructiep_Taiwan.TT1.1840.giaotiep_PTATT_LD153&amp;utm_campaign=Taiwan.giaotiep.TT1_95360_MES_NamNH_011023")</f>
        <v>https://patadovietnam.edu.vn/tienganhgiaotiep_hn/?utm_source=Facebook&amp;utm_medium=MES&amp;utm_term=NEW_Taiwan_1840_none_011023&amp;utm_content=saletructiep_Taiwan.TT1.1840.giaotiep_PTATT_LD153&amp;utm_campaign=Taiwan.giaotiep.TT1_95360_MES_NamNH_011023</v>
      </c>
      <c r="U222" s="110" t="s">
        <v>2740</v>
      </c>
    </row>
    <row r="223">
      <c r="A223" s="72">
        <v>45200.0</v>
      </c>
      <c r="B223" s="75" t="s">
        <v>2371</v>
      </c>
      <c r="C223" s="67" t="str">
        <f>IFERROR(__xludf.DUMMYFUNCTION("""COMPUTED_VALUE"""),"LD187")</f>
        <v>LD187</v>
      </c>
      <c r="D223" s="55" t="s">
        <v>42</v>
      </c>
      <c r="E223" s="55" t="s">
        <v>79</v>
      </c>
      <c r="F223" s="55" t="s">
        <v>625</v>
      </c>
      <c r="G223" s="55">
        <v>1840.0</v>
      </c>
      <c r="H223" s="55" t="s">
        <v>1137</v>
      </c>
      <c r="I223" s="55" t="s">
        <v>2742</v>
      </c>
      <c r="J223" s="55" t="s">
        <v>2743</v>
      </c>
      <c r="K223" s="55" t="s">
        <v>61</v>
      </c>
      <c r="L223" s="55">
        <v>95360.0</v>
      </c>
      <c r="M223" s="55" t="s">
        <v>78</v>
      </c>
      <c r="N223" s="55" t="s">
        <v>79</v>
      </c>
      <c r="O223" s="55" t="s">
        <v>224</v>
      </c>
      <c r="P223" s="55" t="s">
        <v>110</v>
      </c>
      <c r="Q223" s="67" t="str">
        <f>IFERROR(__xludf.DUMMYFUNCTION("""COMPUTED_VALUE"""),"KoreaSouth.giaotiep.TT1_95360_MES_NamNH_011023")</f>
        <v>KoreaSouth.giaotiep.TT1_95360_MES_NamNH_011023</v>
      </c>
      <c r="R223" s="67" t="str">
        <f>IFERROR(__xludf.DUMMYFUNCTION("""COMPUTED_VALUE"""),"NEW_KoreaSouth_1840_none_011023")</f>
        <v>NEW_KoreaSouth_1840_none_011023</v>
      </c>
      <c r="S223" s="67" t="str">
        <f>IFERROR(__xludf.DUMMYFUNCTION("""COMPUTED_VALUE"""),"saletructiep_KoreaSouth.TT1.1840.giaotiep_PTATT_LD187")</f>
        <v>saletructiep_KoreaSouth.TT1.1840.giaotiep_PTATT_LD187</v>
      </c>
      <c r="T223" s="107" t="str">
        <f>IFERROR(__xludf.DUMMYFUNCTION("""COMPUTED_VALUE"""),"https://patadovietnam.edu.vn/tatoandien_namnh/?utm_source=Facebook&amp;utm_medium=MES&amp;utm_term=NEW_KoreaSouth_1840_none_011023&amp;utm_content=saletructiep_KoreaSouth.TT1.1840.giaotiep_PTATT_LD187&amp;utm_campaign=KoreaSouth.giaotiep.TT1_95360_MES_NamNH_011023")</f>
        <v>https://patadovietnam.edu.vn/tatoandien_namnh/?utm_source=Facebook&amp;utm_medium=MES&amp;utm_term=NEW_KoreaSouth_1840_none_011023&amp;utm_content=saletructiep_KoreaSouth.TT1.1840.giaotiep_PTATT_LD187&amp;utm_campaign=KoreaSouth.giaotiep.TT1_95360_MES_NamNH_011023</v>
      </c>
      <c r="U223" s="110" t="s">
        <v>2746</v>
      </c>
    </row>
    <row r="224">
      <c r="A224" s="72">
        <v>45200.0</v>
      </c>
      <c r="B224" s="75" t="s">
        <v>1229</v>
      </c>
      <c r="C224" s="67" t="str">
        <f>IFERROR(__xludf.DUMMYFUNCTION("""COMPUTED_VALUE"""),"LD164")</f>
        <v>LD164</v>
      </c>
      <c r="D224" s="55" t="s">
        <v>42</v>
      </c>
      <c r="E224" s="55" t="s">
        <v>69</v>
      </c>
      <c r="F224" s="55" t="s">
        <v>133</v>
      </c>
      <c r="G224" s="55">
        <v>1840.0</v>
      </c>
      <c r="H224" s="55" t="s">
        <v>1137</v>
      </c>
      <c r="I224" s="55" t="s">
        <v>2748</v>
      </c>
      <c r="J224" s="55" t="s">
        <v>2749</v>
      </c>
      <c r="K224" s="55" t="s">
        <v>61</v>
      </c>
      <c r="L224" s="55">
        <v>16917.0</v>
      </c>
      <c r="M224" s="55" t="s">
        <v>78</v>
      </c>
      <c r="N224" s="55" t="s">
        <v>69</v>
      </c>
      <c r="O224" s="55" t="s">
        <v>224</v>
      </c>
      <c r="P224" s="55" t="s">
        <v>110</v>
      </c>
      <c r="Q224" s="67" t="str">
        <f>IFERROR(__xludf.DUMMYFUNCTION("""COMPUTED_VALUE"""),"Japan.giaotiep.TT1_16917_CVS_NamNH_011023")</f>
        <v>Japan.giaotiep.TT1_16917_CVS_NamNH_011023</v>
      </c>
      <c r="R224" s="67" t="str">
        <f>IFERROR(__xludf.DUMMYFUNCTION("""COMPUTED_VALUE"""),"NEW_Japan_1840_none_011023")</f>
        <v>NEW_Japan_1840_none_011023</v>
      </c>
      <c r="S224" s="67" t="str">
        <f>IFERROR(__xludf.DUMMYFUNCTION("""COMPUTED_VALUE"""),"saletructiep_Japan.TT1.1840.giaotiep_PTATT_LD164")</f>
        <v>saletructiep_Japan.TT1.1840.giaotiep_PTATT_LD164</v>
      </c>
      <c r="T224" s="107" t="str">
        <f>IFERROR(__xludf.DUMMYFUNCTION("""COMPUTED_VALUE"""),"https://patadovietnam.edu.vn/gtjapan_nhn3/?utm_source=Facebook&amp;utm_medium=CVS&amp;utm_term=NEW_Japan_1840_none_011023&amp;utm_content=saletructiep_Japan.TT1.1840.giaotiep_PTATT_LD164&amp;utm_campaign=Japan.giaotiep.TT1_16917_CVS_NamNH_011023")</f>
        <v>https://patadovietnam.edu.vn/gtjapan_nhn3/?utm_source=Facebook&amp;utm_medium=CVS&amp;utm_term=NEW_Japan_1840_none_011023&amp;utm_content=saletructiep_Japan.TT1.1840.giaotiep_PTATT_LD164&amp;utm_campaign=Japan.giaotiep.TT1_16917_CVS_NamNH_011023</v>
      </c>
      <c r="U224" s="110" t="s">
        <v>2752</v>
      </c>
    </row>
    <row r="225">
      <c r="A225" s="72">
        <v>45232.0</v>
      </c>
      <c r="B225" s="75" t="s">
        <v>1245</v>
      </c>
      <c r="C225" s="67" t="str">
        <f>IFERROR(__xludf.DUMMYFUNCTION("""COMPUTED_VALUE"""),"LD161")</f>
        <v>LD161</v>
      </c>
      <c r="D225" s="55" t="s">
        <v>42</v>
      </c>
      <c r="E225" s="55" t="s">
        <v>79</v>
      </c>
      <c r="F225" s="55" t="s">
        <v>107</v>
      </c>
      <c r="G225" s="55">
        <v>1840.0</v>
      </c>
      <c r="H225" s="55" t="s">
        <v>1137</v>
      </c>
      <c r="I225" s="55" t="s">
        <v>2754</v>
      </c>
      <c r="J225" s="55" t="s">
        <v>2755</v>
      </c>
      <c r="K225" s="55" t="s">
        <v>61</v>
      </c>
      <c r="L225" s="55">
        <v>16917.0</v>
      </c>
      <c r="M225" s="55" t="s">
        <v>78</v>
      </c>
      <c r="N225" s="55" t="s">
        <v>79</v>
      </c>
      <c r="O225" s="55" t="s">
        <v>224</v>
      </c>
      <c r="P225" s="55" t="s">
        <v>110</v>
      </c>
      <c r="Q225" s="67" t="str">
        <f>IFERROR(__xludf.DUMMYFUNCTION("""COMPUTED_VALUE"""),"UnitedStates.giaotiep.nghoa_16917_MES_NamNH_021123")</f>
        <v>UnitedStates.giaotiep.nghoa_16917_MES_NamNH_021123</v>
      </c>
      <c r="R225" s="67" t="str">
        <f>IFERROR(__xludf.DUMMYFUNCTION("""COMPUTED_VALUE"""),"NEW_UnitedStates_1840_none_021123")</f>
        <v>NEW_UnitedStates_1840_none_021123</v>
      </c>
      <c r="S225" s="67" t="str">
        <f>IFERROR(__xludf.DUMMYFUNCTION("""COMPUTED_VALUE"""),"saletructiep_UnitedStates.nghoa.1840.giaotiep_PTATT_LD161")</f>
        <v>saletructiep_UnitedStates.nghoa.1840.giaotiep_PTATT_LD161</v>
      </c>
      <c r="T225" s="107" t="str">
        <f>IFERROR(__xludf.DUMMYFUNCTION("""COMPUTED_VALUE"""),"https://patadovietnam.edu.vn/gtusa1_nhn/?utm_source=Facebook&amp;utm_medium=MES&amp;utm_term=NEW_UnitedStates_1840_none_021123&amp;utm_content=saletructiep_UnitedStates.nghoa.1840.giaotiep_PTATT_LD161&amp;utm_campaign=UnitedStates.giaotiep.nghoa_16917_MES_NamNH_021123")</f>
        <v>https://patadovietnam.edu.vn/gtusa1_nhn/?utm_source=Facebook&amp;utm_medium=MES&amp;utm_term=NEW_UnitedStates_1840_none_021123&amp;utm_content=saletructiep_UnitedStates.nghoa.1840.giaotiep_PTATT_LD161&amp;utm_campaign=UnitedStates.giaotiep.nghoa_16917_MES_NamNH_021123</v>
      </c>
      <c r="U225" s="110" t="s">
        <v>2758</v>
      </c>
    </row>
    <row r="226">
      <c r="A226" s="134">
        <v>45232.0</v>
      </c>
      <c r="B226" s="148" t="s">
        <v>1134</v>
      </c>
      <c r="C226" s="92" t="str">
        <f>IFERROR(__xludf.DUMMYFUNCTION("""COMPUTED_VALUE"""),"LD153")</f>
        <v>LD153</v>
      </c>
      <c r="D226" s="136" t="s">
        <v>42</v>
      </c>
      <c r="E226" s="136" t="s">
        <v>79</v>
      </c>
      <c r="F226" s="136" t="s">
        <v>164</v>
      </c>
      <c r="G226" s="136">
        <v>1840.0</v>
      </c>
      <c r="H226" s="136" t="s">
        <v>1137</v>
      </c>
      <c r="I226" s="136" t="s">
        <v>2761</v>
      </c>
      <c r="J226" s="136" t="s">
        <v>2763</v>
      </c>
      <c r="K226" s="136" t="s">
        <v>61</v>
      </c>
      <c r="L226" s="136">
        <v>95360.0</v>
      </c>
      <c r="M226" s="136" t="s">
        <v>78</v>
      </c>
      <c r="N226" s="136" t="s">
        <v>79</v>
      </c>
      <c r="O226" s="136" t="s">
        <v>224</v>
      </c>
      <c r="P226" s="136" t="s">
        <v>110</v>
      </c>
      <c r="Q226" s="92" t="str">
        <f>IFERROR(__xludf.DUMMYFUNCTION("""COMPUTED_VALUE"""),"Taiwan.giaotiep.nghoa_95360_MES_NamNH_021123")</f>
        <v>Taiwan.giaotiep.nghoa_95360_MES_NamNH_021123</v>
      </c>
      <c r="R226" s="92" t="str">
        <f>IFERROR(__xludf.DUMMYFUNCTION("""COMPUTED_VALUE"""),"NEW_Taiwan_1840_none_021123")</f>
        <v>NEW_Taiwan_1840_none_021123</v>
      </c>
      <c r="S226" s="92" t="str">
        <f>IFERROR(__xludf.DUMMYFUNCTION("""COMPUTED_VALUE"""),"saletructiep_Taiwan.nghoa.1840.giaotiep_PTATT_LD153")</f>
        <v>saletructiep_Taiwan.nghoa.1840.giaotiep_PTATT_LD153</v>
      </c>
      <c r="T226" s="137" t="str">
        <f>IFERROR(__xludf.DUMMYFUNCTION("""COMPUTED_VALUE"""),"https://patadovietnam.edu.vn/tienganhgiaotiep_hn/?utm_source=Facebook&amp;utm_medium=MES&amp;utm_term=NEW_Taiwan_1840_none_021123&amp;utm_content=saletructiep_Taiwan.nghoa.1840.giaotiep_PTATT_LD153&amp;utm_campaign=Taiwan.giaotiep.nghoa_95360_MES_NamNH_021123")</f>
        <v>https://patadovietnam.edu.vn/tienganhgiaotiep_hn/?utm_source=Facebook&amp;utm_medium=MES&amp;utm_term=NEW_Taiwan_1840_none_021123&amp;utm_content=saletructiep_Taiwan.nghoa.1840.giaotiep_PTATT_LD153&amp;utm_campaign=Taiwan.giaotiep.nghoa_95360_MES_NamNH_021123</v>
      </c>
      <c r="U226" s="138" t="s">
        <v>2765</v>
      </c>
    </row>
    <row r="227">
      <c r="A227" s="72">
        <v>45232.0</v>
      </c>
      <c r="B227" s="75" t="s">
        <v>1134</v>
      </c>
      <c r="C227" s="67" t="str">
        <f>IFERROR(__xludf.DUMMYFUNCTION("""COMPUTED_VALUE"""),"LD153")</f>
        <v>LD153</v>
      </c>
      <c r="D227" s="55" t="s">
        <v>42</v>
      </c>
      <c r="E227" s="55" t="s">
        <v>79</v>
      </c>
      <c r="F227" s="55" t="s">
        <v>625</v>
      </c>
      <c r="G227" s="55">
        <v>1840.0</v>
      </c>
      <c r="H227" s="55" t="s">
        <v>1137</v>
      </c>
      <c r="I227" s="55" t="s">
        <v>2767</v>
      </c>
      <c r="J227" s="55" t="s">
        <v>2768</v>
      </c>
      <c r="K227" s="55" t="s">
        <v>61</v>
      </c>
      <c r="L227" s="55">
        <v>95360.0</v>
      </c>
      <c r="M227" s="55" t="s">
        <v>78</v>
      </c>
      <c r="N227" s="55" t="s">
        <v>79</v>
      </c>
      <c r="O227" s="55" t="s">
        <v>224</v>
      </c>
      <c r="P227" s="55" t="s">
        <v>110</v>
      </c>
      <c r="Q227" s="67" t="str">
        <f>IFERROR(__xludf.DUMMYFUNCTION("""COMPUTED_VALUE"""),"KoreaSouth.giaotiep.nghoa_95360_MES_NamNH_021123")</f>
        <v>KoreaSouth.giaotiep.nghoa_95360_MES_NamNH_021123</v>
      </c>
      <c r="R227" s="67" t="str">
        <f>IFERROR(__xludf.DUMMYFUNCTION("""COMPUTED_VALUE"""),"NEW_KoreaSouth_1840_none_021123")</f>
        <v>NEW_KoreaSouth_1840_none_021123</v>
      </c>
      <c r="S227" s="67" t="str">
        <f>IFERROR(__xludf.DUMMYFUNCTION("""COMPUTED_VALUE"""),"saletructiep_KoreaSouth.nghoa.1840.giaotiep_PTATT_LD153")</f>
        <v>saletructiep_KoreaSouth.nghoa.1840.giaotiep_PTATT_LD153</v>
      </c>
      <c r="T227" s="107" t="str">
        <f>IFERROR(__xludf.DUMMYFUNCTION("""COMPUTED_VALUE"""),"https://patadovietnam.edu.vn/tienganhgiaotiep_hn/?utm_source=Facebook&amp;utm_medium=MES&amp;utm_term=NEW_KoreaSouth_1840_none_021123&amp;utm_content=saletructiep_KoreaSouth.nghoa.1840.giaotiep_PTATT_LD153&amp;utm_campaign=KoreaSouth.giaotiep.nghoa_95360_MES_NamNH_021123")</f>
        <v>https://patadovietnam.edu.vn/tienganhgiaotiep_hn/?utm_source=Facebook&amp;utm_medium=MES&amp;utm_term=NEW_KoreaSouth_1840_none_021123&amp;utm_content=saletructiep_KoreaSouth.nghoa.1840.giaotiep_PTATT_LD153&amp;utm_campaign=KoreaSouth.giaotiep.nghoa_95360_MES_NamNH_021123</v>
      </c>
      <c r="U227" s="110" t="s">
        <v>2771</v>
      </c>
    </row>
    <row r="228">
      <c r="A228" s="72">
        <v>45202.0</v>
      </c>
      <c r="B228" s="75" t="s">
        <v>1229</v>
      </c>
      <c r="C228" s="67" t="str">
        <f>IFERROR(__xludf.DUMMYFUNCTION("""COMPUTED_VALUE"""),"LD164")</f>
        <v>LD164</v>
      </c>
      <c r="D228" s="55" t="s">
        <v>42</v>
      </c>
      <c r="E228" s="55" t="s">
        <v>69</v>
      </c>
      <c r="F228" s="55" t="s">
        <v>133</v>
      </c>
      <c r="G228" s="55">
        <v>1840.0</v>
      </c>
      <c r="H228" s="55" t="s">
        <v>1137</v>
      </c>
      <c r="I228" s="55" t="s">
        <v>2775</v>
      </c>
      <c r="J228" s="55" t="s">
        <v>2776</v>
      </c>
      <c r="K228" s="55" t="s">
        <v>61</v>
      </c>
      <c r="L228" s="55">
        <v>16917.0</v>
      </c>
      <c r="M228" s="55" t="s">
        <v>78</v>
      </c>
      <c r="N228" s="55" t="s">
        <v>69</v>
      </c>
      <c r="O228" s="55" t="s">
        <v>224</v>
      </c>
      <c r="P228" s="55" t="s">
        <v>110</v>
      </c>
      <c r="Q228" s="67" t="str">
        <f>IFERROR(__xludf.DUMMYFUNCTION("""COMPUTED_VALUE"""),"Japan.giaotiep.nghoa_16917_CVS_NamNH_031023")</f>
        <v>Japan.giaotiep.nghoa_16917_CVS_NamNH_031023</v>
      </c>
      <c r="R228" s="67" t="str">
        <f>IFERROR(__xludf.DUMMYFUNCTION("""COMPUTED_VALUE"""),"NEW_Japan_1840_none_031023")</f>
        <v>NEW_Japan_1840_none_031023</v>
      </c>
      <c r="S228" s="67" t="str">
        <f>IFERROR(__xludf.DUMMYFUNCTION("""COMPUTED_VALUE"""),"saletructiep_Japan.nghoa.1840.giaotiep_PTATT_LD164")</f>
        <v>saletructiep_Japan.nghoa.1840.giaotiep_PTATT_LD164</v>
      </c>
      <c r="T228" s="107" t="str">
        <f>IFERROR(__xludf.DUMMYFUNCTION("""COMPUTED_VALUE"""),"https://patadovietnam.edu.vn/gtjapan_nhn3/?utm_source=Facebook&amp;utm_medium=CVS&amp;utm_term=NEW_Japan_1840_none_031023&amp;utm_content=saletructiep_Japan.nghoa.1840.giaotiep_PTATT_LD164&amp;utm_campaign=Japan.giaotiep.nghoa_16917_CVS_NamNH_031023")</f>
        <v>https://patadovietnam.edu.vn/gtjapan_nhn3/?utm_source=Facebook&amp;utm_medium=CVS&amp;utm_term=NEW_Japan_1840_none_031023&amp;utm_content=saletructiep_Japan.nghoa.1840.giaotiep_PTATT_LD164&amp;utm_campaign=Japan.giaotiep.nghoa_16917_CVS_NamNH_031023</v>
      </c>
      <c r="U228" s="110" t="s">
        <v>2777</v>
      </c>
    </row>
    <row r="229">
      <c r="A229" s="72">
        <v>45184.0</v>
      </c>
      <c r="B229" s="75" t="s">
        <v>1229</v>
      </c>
      <c r="C229" s="67" t="str">
        <f>IFERROR(__xludf.DUMMYFUNCTION("""COMPUTED_VALUE"""),"LD164")</f>
        <v>LD164</v>
      </c>
      <c r="D229" s="55" t="s">
        <v>42</v>
      </c>
      <c r="E229" s="55" t="s">
        <v>69</v>
      </c>
      <c r="F229" s="55" t="s">
        <v>133</v>
      </c>
      <c r="G229" s="55">
        <v>1840.0</v>
      </c>
      <c r="H229" s="55" t="s">
        <v>1137</v>
      </c>
      <c r="I229" s="55" t="s">
        <v>2779</v>
      </c>
      <c r="J229" s="55" t="s">
        <v>2780</v>
      </c>
      <c r="K229" s="55" t="s">
        <v>61</v>
      </c>
      <c r="L229" s="55">
        <v>16917.0</v>
      </c>
      <c r="M229" s="55" t="s">
        <v>78</v>
      </c>
      <c r="N229" s="55" t="s">
        <v>69</v>
      </c>
      <c r="O229" s="55" t="s">
        <v>224</v>
      </c>
      <c r="P229" s="55" t="s">
        <v>110</v>
      </c>
      <c r="Q229" s="67" t="str">
        <f>IFERROR(__xludf.DUMMYFUNCTION("""COMPUTED_VALUE"""),"Japan.giaotiep.tuhoc_16917_CVS_NamNH_150923")</f>
        <v>Japan.giaotiep.tuhoc_16917_CVS_NamNH_150923</v>
      </c>
      <c r="R229" s="67" t="str">
        <f>IFERROR(__xludf.DUMMYFUNCTION("""COMPUTED_VALUE"""),"NEW_Japan_1840_none_150923")</f>
        <v>NEW_Japan_1840_none_150923</v>
      </c>
      <c r="S229" s="67" t="str">
        <f>IFERROR(__xludf.DUMMYFUNCTION("""COMPUTED_VALUE"""),"saletructiep_Japan.tuhoc.1840.giaotiep_PTATT_LD164")</f>
        <v>saletructiep_Japan.tuhoc.1840.giaotiep_PTATT_LD164</v>
      </c>
      <c r="T229" s="107" t="str">
        <f>IFERROR(__xludf.DUMMYFUNCTION("""COMPUTED_VALUE"""),"https://patadovietnam.edu.vn/gtjapan_nhn3/?utm_source=Facebook&amp;utm_medium=CVS&amp;utm_term=NEW_Japan_1840_none_150923&amp;utm_content=saletructiep_Japan.tuhoc.1840.giaotiep_PTATT_LD164&amp;utm_campaign=Japan.giaotiep.tuhoc_16917_CVS_NamNH_150923")</f>
        <v>https://patadovietnam.edu.vn/gtjapan_nhn3/?utm_source=Facebook&amp;utm_medium=CVS&amp;utm_term=NEW_Japan_1840_none_150923&amp;utm_content=saletructiep_Japan.tuhoc.1840.giaotiep_PTATT_LD164&amp;utm_campaign=Japan.giaotiep.tuhoc_16917_CVS_NamNH_150923</v>
      </c>
      <c r="U229" s="110" t="s">
        <v>2781</v>
      </c>
    </row>
    <row r="230">
      <c r="A230" s="72">
        <v>45184.0</v>
      </c>
      <c r="B230" s="75" t="s">
        <v>1134</v>
      </c>
      <c r="C230" s="67" t="str">
        <f>IFERROR(__xludf.DUMMYFUNCTION("""COMPUTED_VALUE"""),"LD153")</f>
        <v>LD153</v>
      </c>
      <c r="D230" s="55" t="s">
        <v>42</v>
      </c>
      <c r="E230" s="55" t="s">
        <v>79</v>
      </c>
      <c r="F230" s="55" t="s">
        <v>164</v>
      </c>
      <c r="G230" s="55">
        <v>1840.0</v>
      </c>
      <c r="H230" s="55" t="s">
        <v>1137</v>
      </c>
      <c r="I230" s="55" t="s">
        <v>2782</v>
      </c>
      <c r="J230" s="55" t="s">
        <v>2783</v>
      </c>
      <c r="K230" s="55" t="s">
        <v>61</v>
      </c>
      <c r="L230" s="55">
        <v>95360.0</v>
      </c>
      <c r="M230" s="55" t="s">
        <v>78</v>
      </c>
      <c r="N230" s="55" t="s">
        <v>79</v>
      </c>
      <c r="O230" s="55" t="s">
        <v>224</v>
      </c>
      <c r="P230" s="55" t="s">
        <v>110</v>
      </c>
      <c r="Q230" s="67" t="str">
        <f>IFERROR(__xludf.DUMMYFUNCTION("""COMPUTED_VALUE"""),"Taiwan.giaotiep.tuhoc_95360_MES_NamNH_150923")</f>
        <v>Taiwan.giaotiep.tuhoc_95360_MES_NamNH_150923</v>
      </c>
      <c r="R230" s="67" t="str">
        <f>IFERROR(__xludf.DUMMYFUNCTION("""COMPUTED_VALUE"""),"NEW_Taiwan_1840_none_150923")</f>
        <v>NEW_Taiwan_1840_none_150923</v>
      </c>
      <c r="S230" s="67" t="str">
        <f>IFERROR(__xludf.DUMMYFUNCTION("""COMPUTED_VALUE"""),"saletructiep_Taiwan.tuhoc.1840.giaotiep_PTATT_LD153")</f>
        <v>saletructiep_Taiwan.tuhoc.1840.giaotiep_PTATT_LD153</v>
      </c>
      <c r="T230" s="107" t="str">
        <f>IFERROR(__xludf.DUMMYFUNCTION("""COMPUTED_VALUE"""),"https://patadovietnam.edu.vn/tienganhgiaotiep_hn/?utm_source=Facebook&amp;utm_medium=MES&amp;utm_term=NEW_Taiwan_1840_none_150923&amp;utm_content=saletructiep_Taiwan.tuhoc.1840.giaotiep_PTATT_LD153&amp;utm_campaign=Taiwan.giaotiep.tuhoc_95360_MES_NamNH_150923")</f>
        <v>https://patadovietnam.edu.vn/tienganhgiaotiep_hn/?utm_source=Facebook&amp;utm_medium=MES&amp;utm_term=NEW_Taiwan_1840_none_150923&amp;utm_content=saletructiep_Taiwan.tuhoc.1840.giaotiep_PTATT_LD153&amp;utm_campaign=Taiwan.giaotiep.tuhoc_95360_MES_NamNH_150923</v>
      </c>
      <c r="U230" s="110" t="s">
        <v>2784</v>
      </c>
    </row>
    <row r="231">
      <c r="A231" s="72">
        <v>45184.0</v>
      </c>
      <c r="B231" s="75" t="s">
        <v>1134</v>
      </c>
      <c r="C231" s="67" t="str">
        <f>IFERROR(__xludf.DUMMYFUNCTION("""COMPUTED_VALUE"""),"LD153")</f>
        <v>LD153</v>
      </c>
      <c r="D231" s="55" t="s">
        <v>42</v>
      </c>
      <c r="E231" s="55" t="s">
        <v>79</v>
      </c>
      <c r="F231" s="55" t="s">
        <v>625</v>
      </c>
      <c r="G231" s="55">
        <v>1840.0</v>
      </c>
      <c r="H231" s="55" t="s">
        <v>1137</v>
      </c>
      <c r="I231" s="55" t="s">
        <v>2785</v>
      </c>
      <c r="J231" s="55" t="s">
        <v>2786</v>
      </c>
      <c r="K231" s="55" t="s">
        <v>61</v>
      </c>
      <c r="L231" s="55">
        <v>95360.0</v>
      </c>
      <c r="M231" s="55" t="s">
        <v>78</v>
      </c>
      <c r="N231" s="55" t="s">
        <v>79</v>
      </c>
      <c r="O231" s="55" t="s">
        <v>224</v>
      </c>
      <c r="P231" s="55" t="s">
        <v>110</v>
      </c>
      <c r="Q231" s="67" t="str">
        <f>IFERROR(__xludf.DUMMYFUNCTION("""COMPUTED_VALUE"""),"KoreaSouth.giaotiep.tuhoc_95360_MES_NamNH_150923")</f>
        <v>KoreaSouth.giaotiep.tuhoc_95360_MES_NamNH_150923</v>
      </c>
      <c r="R231" s="67" t="str">
        <f>IFERROR(__xludf.DUMMYFUNCTION("""COMPUTED_VALUE"""),"NEW_KoreaSouth_1840_none_150923")</f>
        <v>NEW_KoreaSouth_1840_none_150923</v>
      </c>
      <c r="S231" s="67" t="str">
        <f>IFERROR(__xludf.DUMMYFUNCTION("""COMPUTED_VALUE"""),"saletructiep_KoreaSouth.tuhoc.1840.giaotiep_PTATT_LD153")</f>
        <v>saletructiep_KoreaSouth.tuhoc.1840.giaotiep_PTATT_LD153</v>
      </c>
      <c r="T231" s="107" t="str">
        <f>IFERROR(__xludf.DUMMYFUNCTION("""COMPUTED_VALUE"""),"https://patadovietnam.edu.vn/tienganhgiaotiep_hn/?utm_source=Facebook&amp;utm_medium=MES&amp;utm_term=NEW_KoreaSouth_1840_none_150923&amp;utm_content=saletructiep_KoreaSouth.tuhoc.1840.giaotiep_PTATT_LD153&amp;utm_campaign=KoreaSouth.giaotiep.tuhoc_95360_MES_NamNH_150923")</f>
        <v>https://patadovietnam.edu.vn/tienganhgiaotiep_hn/?utm_source=Facebook&amp;utm_medium=MES&amp;utm_term=NEW_KoreaSouth_1840_none_150923&amp;utm_content=saletructiep_KoreaSouth.tuhoc.1840.giaotiep_PTATT_LD153&amp;utm_campaign=KoreaSouth.giaotiep.tuhoc_95360_MES_NamNH_150923</v>
      </c>
      <c r="U231" s="110" t="s">
        <v>2790</v>
      </c>
    </row>
    <row r="232">
      <c r="A232" s="72">
        <v>45184.0</v>
      </c>
      <c r="B232" s="75" t="s">
        <v>1134</v>
      </c>
      <c r="C232" s="67" t="str">
        <f>IFERROR(__xludf.DUMMYFUNCTION("""COMPUTED_VALUE"""),"LD153")</f>
        <v>LD153</v>
      </c>
      <c r="D232" s="55" t="s">
        <v>42</v>
      </c>
      <c r="E232" s="55" t="s">
        <v>79</v>
      </c>
      <c r="F232" s="55" t="s">
        <v>174</v>
      </c>
      <c r="G232" s="55">
        <v>1840.0</v>
      </c>
      <c r="H232" s="55" t="s">
        <v>1137</v>
      </c>
      <c r="I232" s="55" t="s">
        <v>2791</v>
      </c>
      <c r="J232" s="55" t="s">
        <v>2792</v>
      </c>
      <c r="K232" s="55" t="s">
        <v>61</v>
      </c>
      <c r="L232" s="55">
        <v>95360.0</v>
      </c>
      <c r="M232" s="55" t="s">
        <v>78</v>
      </c>
      <c r="N232" s="55" t="s">
        <v>79</v>
      </c>
      <c r="O232" s="55" t="s">
        <v>224</v>
      </c>
      <c r="P232" s="55" t="s">
        <v>110</v>
      </c>
      <c r="Q232" s="67" t="str">
        <f>IFERROR(__xludf.DUMMYFUNCTION("""COMPUTED_VALUE"""),"Philippines.giaotiep.tuhoc_95360_MES_NamNH_150923")</f>
        <v>Philippines.giaotiep.tuhoc_95360_MES_NamNH_150923</v>
      </c>
      <c r="R232" s="67" t="str">
        <f>IFERROR(__xludf.DUMMYFUNCTION("""COMPUTED_VALUE"""),"NEW_Philippines_1840_none_150923")</f>
        <v>NEW_Philippines_1840_none_150923</v>
      </c>
      <c r="S232" s="67" t="str">
        <f>IFERROR(__xludf.DUMMYFUNCTION("""COMPUTED_VALUE"""),"saletructiep_Philippines.tuhoc.1840.giaotiep_PTATT_LD153")</f>
        <v>saletructiep_Philippines.tuhoc.1840.giaotiep_PTATT_LD153</v>
      </c>
      <c r="T232" s="107" t="str">
        <f>IFERROR(__xludf.DUMMYFUNCTION("""COMPUTED_VALUE"""),"https://patadovietnam.edu.vn/tienganhgiaotiep_hn/?utm_source=Facebook&amp;utm_medium=MES&amp;utm_term=NEW_Philippines_1840_none_150923&amp;utm_content=saletructiep_Philippines.tuhoc.1840.giaotiep_PTATT_LD153&amp;utm_campaign=Philippines.giaotiep.tuhoc_95360_MES_NamNH_150"&amp;"923")</f>
        <v>https://patadovietnam.edu.vn/tienganhgiaotiep_hn/?utm_source=Facebook&amp;utm_medium=MES&amp;utm_term=NEW_Philippines_1840_none_150923&amp;utm_content=saletructiep_Philippines.tuhoc.1840.giaotiep_PTATT_LD153&amp;utm_campaign=Philippines.giaotiep.tuhoc_95360_MES_NamNH_150923</v>
      </c>
      <c r="U232" s="110" t="s">
        <v>2794</v>
      </c>
    </row>
    <row r="233">
      <c r="A233" s="72">
        <v>45185.0</v>
      </c>
      <c r="B233" s="75" t="s">
        <v>1229</v>
      </c>
      <c r="C233" s="67" t="str">
        <f>IFERROR(__xludf.DUMMYFUNCTION("""COMPUTED_VALUE"""),"LD164")</f>
        <v>LD164</v>
      </c>
      <c r="D233" s="55" t="s">
        <v>42</v>
      </c>
      <c r="E233" s="55" t="s">
        <v>69</v>
      </c>
      <c r="F233" s="55" t="s">
        <v>133</v>
      </c>
      <c r="G233" s="55">
        <v>1840.0</v>
      </c>
      <c r="H233" s="55" t="s">
        <v>1137</v>
      </c>
      <c r="I233" s="55" t="s">
        <v>2795</v>
      </c>
      <c r="J233" s="55" t="s">
        <v>2796</v>
      </c>
      <c r="K233" s="55" t="s">
        <v>61</v>
      </c>
      <c r="L233" s="55">
        <v>16917.0</v>
      </c>
      <c r="M233" s="55" t="s">
        <v>78</v>
      </c>
      <c r="N233" s="55" t="s">
        <v>69</v>
      </c>
      <c r="O233" s="55" t="s">
        <v>224</v>
      </c>
      <c r="P233" s="55" t="s">
        <v>110</v>
      </c>
      <c r="Q233" s="67" t="str">
        <f>IFERROR(__xludf.DUMMYFUNCTION("""COMPUTED_VALUE"""),"Japan.giaotiep.ID28_16917_CVS_NamNH_160923")</f>
        <v>Japan.giaotiep.ID28_16917_CVS_NamNH_160923</v>
      </c>
      <c r="R233" s="67" t="str">
        <f>IFERROR(__xludf.DUMMYFUNCTION("""COMPUTED_VALUE"""),"NEW_Japan_1840_none_160923")</f>
        <v>NEW_Japan_1840_none_160923</v>
      </c>
      <c r="S233" s="67" t="str">
        <f>IFERROR(__xludf.DUMMYFUNCTION("""COMPUTED_VALUE"""),"saletructiep_Japan.ID28.1840.giaotiep_PTATT_LD164")</f>
        <v>saletructiep_Japan.ID28.1840.giaotiep_PTATT_LD164</v>
      </c>
      <c r="T233" s="107" t="str">
        <f>IFERROR(__xludf.DUMMYFUNCTION("""COMPUTED_VALUE"""),"https://patadovietnam.edu.vn/gtjapan_nhn3/?utm_source=Facebook&amp;utm_medium=CVS&amp;utm_term=NEW_Japan_1840_none_160923&amp;utm_content=saletructiep_Japan.ID28.1840.giaotiep_PTATT_LD164&amp;utm_campaign=Japan.giaotiep.ID28_16917_CVS_NamNH_160923")</f>
        <v>https://patadovietnam.edu.vn/gtjapan_nhn3/?utm_source=Facebook&amp;utm_medium=CVS&amp;utm_term=NEW_Japan_1840_none_160923&amp;utm_content=saletructiep_Japan.ID28.1840.giaotiep_PTATT_LD164&amp;utm_campaign=Japan.giaotiep.ID28_16917_CVS_NamNH_160923</v>
      </c>
      <c r="U233" s="110" t="s">
        <v>2797</v>
      </c>
    </row>
    <row r="234">
      <c r="A234" s="72">
        <v>45185.0</v>
      </c>
      <c r="B234" s="75" t="s">
        <v>1134</v>
      </c>
      <c r="C234" s="67" t="str">
        <f>IFERROR(__xludf.DUMMYFUNCTION("""COMPUTED_VALUE"""),"LD153")</f>
        <v>LD153</v>
      </c>
      <c r="D234" s="55" t="s">
        <v>42</v>
      </c>
      <c r="E234" s="55" t="s">
        <v>79</v>
      </c>
      <c r="F234" s="55" t="s">
        <v>164</v>
      </c>
      <c r="G234" s="55">
        <v>1840.0</v>
      </c>
      <c r="H234" s="55" t="s">
        <v>1137</v>
      </c>
      <c r="I234" s="55" t="s">
        <v>2798</v>
      </c>
      <c r="J234" s="55" t="s">
        <v>2799</v>
      </c>
      <c r="K234" s="55" t="s">
        <v>61</v>
      </c>
      <c r="L234" s="55">
        <v>95360.0</v>
      </c>
      <c r="M234" s="55" t="s">
        <v>78</v>
      </c>
      <c r="N234" s="55" t="s">
        <v>79</v>
      </c>
      <c r="O234" s="55" t="s">
        <v>224</v>
      </c>
      <c r="P234" s="55" t="s">
        <v>110</v>
      </c>
      <c r="Q234" s="67" t="str">
        <f>IFERROR(__xludf.DUMMYFUNCTION("""COMPUTED_VALUE"""),"Taiwan.giaotiep.ID28_95360_MES_NamNH_160923")</f>
        <v>Taiwan.giaotiep.ID28_95360_MES_NamNH_160923</v>
      </c>
      <c r="R234" s="67" t="str">
        <f>IFERROR(__xludf.DUMMYFUNCTION("""COMPUTED_VALUE"""),"NEW_Taiwan_1840_none_160923")</f>
        <v>NEW_Taiwan_1840_none_160923</v>
      </c>
      <c r="S234" s="67" t="str">
        <f>IFERROR(__xludf.DUMMYFUNCTION("""COMPUTED_VALUE"""),"saletructiep_Taiwan.ID28.1840.giaotiep_PTATT_LD153")</f>
        <v>saletructiep_Taiwan.ID28.1840.giaotiep_PTATT_LD153</v>
      </c>
      <c r="T234" s="107" t="str">
        <f>IFERROR(__xludf.DUMMYFUNCTION("""COMPUTED_VALUE"""),"https://patadovietnam.edu.vn/tienganhgiaotiep_hn/?utm_source=Facebook&amp;utm_medium=MES&amp;utm_term=NEW_Taiwan_1840_none_160923&amp;utm_content=saletructiep_Taiwan.ID28.1840.giaotiep_PTATT_LD153&amp;utm_campaign=Taiwan.giaotiep.ID28_95360_MES_NamNH_160923")</f>
        <v>https://patadovietnam.edu.vn/tienganhgiaotiep_hn/?utm_source=Facebook&amp;utm_medium=MES&amp;utm_term=NEW_Taiwan_1840_none_160923&amp;utm_content=saletructiep_Taiwan.ID28.1840.giaotiep_PTATT_LD153&amp;utm_campaign=Taiwan.giaotiep.ID28_95360_MES_NamNH_160923</v>
      </c>
      <c r="U234" s="110" t="s">
        <v>2800</v>
      </c>
    </row>
    <row r="235">
      <c r="A235" s="72">
        <v>45185.0</v>
      </c>
      <c r="B235" s="75" t="s">
        <v>1134</v>
      </c>
      <c r="C235" s="67" t="str">
        <f>IFERROR(__xludf.DUMMYFUNCTION("""COMPUTED_VALUE"""),"LD153")</f>
        <v>LD153</v>
      </c>
      <c r="D235" s="55" t="s">
        <v>42</v>
      </c>
      <c r="E235" s="55" t="s">
        <v>79</v>
      </c>
      <c r="F235" s="55" t="s">
        <v>625</v>
      </c>
      <c r="G235" s="55">
        <v>1840.0</v>
      </c>
      <c r="H235" s="55" t="s">
        <v>1137</v>
      </c>
      <c r="I235" s="55" t="s">
        <v>2801</v>
      </c>
      <c r="J235" s="55" t="s">
        <v>2802</v>
      </c>
      <c r="K235" s="55" t="s">
        <v>61</v>
      </c>
      <c r="L235" s="55">
        <v>95360.0</v>
      </c>
      <c r="M235" s="55" t="s">
        <v>78</v>
      </c>
      <c r="N235" s="55" t="s">
        <v>79</v>
      </c>
      <c r="O235" s="55" t="s">
        <v>224</v>
      </c>
      <c r="P235" s="55" t="s">
        <v>110</v>
      </c>
      <c r="Q235" s="67" t="str">
        <f>IFERROR(__xludf.DUMMYFUNCTION("""COMPUTED_VALUE"""),"KoreaSouth.giaotiep.ID28_95360_MES_NamNH_160923")</f>
        <v>KoreaSouth.giaotiep.ID28_95360_MES_NamNH_160923</v>
      </c>
      <c r="R235" s="67" t="str">
        <f>IFERROR(__xludf.DUMMYFUNCTION("""COMPUTED_VALUE"""),"NEW_KoreaSouth_1840_none_160923")</f>
        <v>NEW_KoreaSouth_1840_none_160923</v>
      </c>
      <c r="S235" s="67" t="str">
        <f>IFERROR(__xludf.DUMMYFUNCTION("""COMPUTED_VALUE"""),"saletructiep_KoreaSouth.ID28.1840.giaotiep_PTATT_LD153")</f>
        <v>saletructiep_KoreaSouth.ID28.1840.giaotiep_PTATT_LD153</v>
      </c>
      <c r="T235" s="107" t="str">
        <f>IFERROR(__xludf.DUMMYFUNCTION("""COMPUTED_VALUE"""),"https://patadovietnam.edu.vn/tienganhgiaotiep_hn/?utm_source=Facebook&amp;utm_medium=MES&amp;utm_term=NEW_KoreaSouth_1840_none_160923&amp;utm_content=saletructiep_KoreaSouth.ID28.1840.giaotiep_PTATT_LD153&amp;utm_campaign=KoreaSouth.giaotiep.ID28_95360_MES_NamNH_160923")</f>
        <v>https://patadovietnam.edu.vn/tienganhgiaotiep_hn/?utm_source=Facebook&amp;utm_medium=MES&amp;utm_term=NEW_KoreaSouth_1840_none_160923&amp;utm_content=saletructiep_KoreaSouth.ID28.1840.giaotiep_PTATT_LD153&amp;utm_campaign=KoreaSouth.giaotiep.ID28_95360_MES_NamNH_160923</v>
      </c>
      <c r="U235" s="110" t="s">
        <v>2805</v>
      </c>
    </row>
    <row r="236">
      <c r="A236" s="72">
        <v>45185.0</v>
      </c>
      <c r="B236" s="158" t="s">
        <v>1245</v>
      </c>
      <c r="C236" s="67" t="str">
        <f>IFERROR(__xludf.DUMMYFUNCTION("""COMPUTED_VALUE"""),"LD161")</f>
        <v>LD161</v>
      </c>
      <c r="D236" s="55" t="s">
        <v>42</v>
      </c>
      <c r="E236" s="55" t="s">
        <v>79</v>
      </c>
      <c r="F236" s="55" t="s">
        <v>107</v>
      </c>
      <c r="G236" s="55">
        <v>1840.0</v>
      </c>
      <c r="H236" s="55" t="s">
        <v>1137</v>
      </c>
      <c r="I236" s="55" t="s">
        <v>2806</v>
      </c>
      <c r="J236" s="55" t="s">
        <v>2807</v>
      </c>
      <c r="K236" s="55" t="s">
        <v>61</v>
      </c>
      <c r="L236" s="55">
        <v>16917.0</v>
      </c>
      <c r="M236" s="55" t="s">
        <v>78</v>
      </c>
      <c r="N236" s="55" t="s">
        <v>79</v>
      </c>
      <c r="O236" s="55" t="s">
        <v>224</v>
      </c>
      <c r="P236" s="55" t="s">
        <v>110</v>
      </c>
      <c r="Q236" s="67" t="str">
        <f>IFERROR(__xludf.DUMMYFUNCTION("""COMPUTED_VALUE"""),"UnitedStates.giaotiep.ID28_16917_MES_NamNH_160923")</f>
        <v>UnitedStates.giaotiep.ID28_16917_MES_NamNH_160923</v>
      </c>
      <c r="R236" s="67" t="str">
        <f>IFERROR(__xludf.DUMMYFUNCTION("""COMPUTED_VALUE"""),"NEW_UnitedStates_1840_none_160923")</f>
        <v>NEW_UnitedStates_1840_none_160923</v>
      </c>
      <c r="S236" s="67" t="str">
        <f>IFERROR(__xludf.DUMMYFUNCTION("""COMPUTED_VALUE"""),"saletructiep_UnitedStates.ID28.1840.giaotiep_PTATT_LD161")</f>
        <v>saletructiep_UnitedStates.ID28.1840.giaotiep_PTATT_LD161</v>
      </c>
      <c r="T236" s="107" t="str">
        <f>IFERROR(__xludf.DUMMYFUNCTION("""COMPUTED_VALUE"""),"https://patadovietnam.edu.vn/gtusa1_nhn/?utm_source=Facebook&amp;utm_medium=MES&amp;utm_term=NEW_UnitedStates_1840_none_160923&amp;utm_content=saletructiep_UnitedStates.ID28.1840.giaotiep_PTATT_LD161&amp;utm_campaign=UnitedStates.giaotiep.ID28_16917_MES_NamNH_160923")</f>
        <v>https://patadovietnam.edu.vn/gtusa1_nhn/?utm_source=Facebook&amp;utm_medium=MES&amp;utm_term=NEW_UnitedStates_1840_none_160923&amp;utm_content=saletructiep_UnitedStates.ID28.1840.giaotiep_PTATT_LD161&amp;utm_campaign=UnitedStates.giaotiep.ID28_16917_MES_NamNH_160923</v>
      </c>
      <c r="U236" s="110" t="s">
        <v>2808</v>
      </c>
    </row>
    <row r="237">
      <c r="A237" s="72">
        <v>45185.0</v>
      </c>
      <c r="B237" s="75" t="s">
        <v>1134</v>
      </c>
      <c r="C237" s="67" t="str">
        <f>IFERROR(__xludf.DUMMYFUNCTION("""COMPUTED_VALUE"""),"LD153")</f>
        <v>LD153</v>
      </c>
      <c r="D237" s="55" t="s">
        <v>42</v>
      </c>
      <c r="E237" s="55" t="s">
        <v>79</v>
      </c>
      <c r="F237" s="55" t="s">
        <v>129</v>
      </c>
      <c r="G237" s="55">
        <v>1840.0</v>
      </c>
      <c r="H237" s="55" t="s">
        <v>1137</v>
      </c>
      <c r="I237" s="55" t="s">
        <v>2809</v>
      </c>
      <c r="J237" s="55" t="s">
        <v>2810</v>
      </c>
      <c r="K237" s="55" t="s">
        <v>61</v>
      </c>
      <c r="L237" s="55">
        <v>95360.0</v>
      </c>
      <c r="M237" s="55" t="s">
        <v>78</v>
      </c>
      <c r="N237" s="55" t="s">
        <v>79</v>
      </c>
      <c r="O237" s="55" t="s">
        <v>224</v>
      </c>
      <c r="P237" s="55" t="s">
        <v>110</v>
      </c>
      <c r="Q237" s="67" t="str">
        <f>IFERROR(__xludf.DUMMYFUNCTION("""COMPUTED_VALUE"""),"Australia.giaotiep.ID28_95360_MES_NamNH_160923")</f>
        <v>Australia.giaotiep.ID28_95360_MES_NamNH_160923</v>
      </c>
      <c r="R237" s="67" t="str">
        <f>IFERROR(__xludf.DUMMYFUNCTION("""COMPUTED_VALUE"""),"NEW_Australia_1840_none_160923")</f>
        <v>NEW_Australia_1840_none_160923</v>
      </c>
      <c r="S237" s="67" t="str">
        <f>IFERROR(__xludf.DUMMYFUNCTION("""COMPUTED_VALUE"""),"saletructiep_Australia.ID28.1840.giaotiep_PTATT_LD153")</f>
        <v>saletructiep_Australia.ID28.1840.giaotiep_PTATT_LD153</v>
      </c>
      <c r="T237" s="107" t="str">
        <f>IFERROR(__xludf.DUMMYFUNCTION("""COMPUTED_VALUE"""),"https://patadovietnam.edu.vn/tienganhgiaotiep_hn/?utm_source=Facebook&amp;utm_medium=MES&amp;utm_term=NEW_Australia_1840_none_160923&amp;utm_content=saletructiep_Australia.ID28.1840.giaotiep_PTATT_LD153&amp;utm_campaign=Australia.giaotiep.ID28_95360_MES_NamNH_160923")</f>
        <v>https://patadovietnam.edu.vn/tienganhgiaotiep_hn/?utm_source=Facebook&amp;utm_medium=MES&amp;utm_term=NEW_Australia_1840_none_160923&amp;utm_content=saletructiep_Australia.ID28.1840.giaotiep_PTATT_LD153&amp;utm_campaign=Australia.giaotiep.ID28_95360_MES_NamNH_160923</v>
      </c>
      <c r="U237" s="110" t="s">
        <v>2811</v>
      </c>
    </row>
    <row r="238">
      <c r="A238" s="72">
        <v>45185.0</v>
      </c>
      <c r="B238" s="75" t="s">
        <v>1134</v>
      </c>
      <c r="C238" s="67" t="str">
        <f>IFERROR(__xludf.DUMMYFUNCTION("""COMPUTED_VALUE"""),"LD153")</f>
        <v>LD153</v>
      </c>
      <c r="D238" s="55" t="s">
        <v>42</v>
      </c>
      <c r="E238" s="55" t="s">
        <v>79</v>
      </c>
      <c r="F238" s="55" t="s">
        <v>112</v>
      </c>
      <c r="G238" s="55">
        <v>1840.0</v>
      </c>
      <c r="H238" s="55" t="s">
        <v>1137</v>
      </c>
      <c r="I238" s="55" t="s">
        <v>2812</v>
      </c>
      <c r="J238" s="55" t="s">
        <v>2813</v>
      </c>
      <c r="K238" s="55" t="s">
        <v>61</v>
      </c>
      <c r="L238" s="55">
        <v>95360.0</v>
      </c>
      <c r="M238" s="55" t="s">
        <v>78</v>
      </c>
      <c r="N238" s="55" t="s">
        <v>79</v>
      </c>
      <c r="O238" s="55" t="s">
        <v>224</v>
      </c>
      <c r="P238" s="55" t="s">
        <v>110</v>
      </c>
      <c r="Q238" s="67" t="str">
        <f>IFERROR(__xludf.DUMMYFUNCTION("""COMPUTED_VALUE"""),"Canada.giaotiep.ID28_95360_MES_NamNH_160923")</f>
        <v>Canada.giaotiep.ID28_95360_MES_NamNH_160923</v>
      </c>
      <c r="R238" s="67" t="str">
        <f>IFERROR(__xludf.DUMMYFUNCTION("""COMPUTED_VALUE"""),"NEW_Canada_1840_none_160923")</f>
        <v>NEW_Canada_1840_none_160923</v>
      </c>
      <c r="S238" s="67" t="str">
        <f>IFERROR(__xludf.DUMMYFUNCTION("""COMPUTED_VALUE"""),"saletructiep_Canada.ID28.1840.giaotiep_PTATT_LD153")</f>
        <v>saletructiep_Canada.ID28.1840.giaotiep_PTATT_LD153</v>
      </c>
      <c r="T238" s="107" t="str">
        <f>IFERROR(__xludf.DUMMYFUNCTION("""COMPUTED_VALUE"""),"https://patadovietnam.edu.vn/tienganhgiaotiep_hn/?utm_source=Facebook&amp;utm_medium=MES&amp;utm_term=NEW_Canada_1840_none_160923&amp;utm_content=saletructiep_Canada.ID28.1840.giaotiep_PTATT_LD153&amp;utm_campaign=Canada.giaotiep.ID28_95360_MES_NamNH_160923")</f>
        <v>https://patadovietnam.edu.vn/tienganhgiaotiep_hn/?utm_source=Facebook&amp;utm_medium=MES&amp;utm_term=NEW_Canada_1840_none_160923&amp;utm_content=saletructiep_Canada.ID28.1840.giaotiep_PTATT_LD153&amp;utm_campaign=Canada.giaotiep.ID28_95360_MES_NamNH_160923</v>
      </c>
      <c r="U238" s="110" t="s">
        <v>2814</v>
      </c>
    </row>
    <row r="239">
      <c r="A239" s="134">
        <v>45185.0</v>
      </c>
      <c r="B239" s="148" t="s">
        <v>1134</v>
      </c>
      <c r="C239" s="92" t="str">
        <f>IFERROR(__xludf.DUMMYFUNCTION("""COMPUTED_VALUE"""),"LD153")</f>
        <v>LD153</v>
      </c>
      <c r="D239" s="136" t="s">
        <v>42</v>
      </c>
      <c r="E239" s="136" t="s">
        <v>69</v>
      </c>
      <c r="F239" s="136" t="s">
        <v>674</v>
      </c>
      <c r="G239" s="136">
        <v>1840.0</v>
      </c>
      <c r="H239" s="136" t="s">
        <v>1137</v>
      </c>
      <c r="I239" s="136" t="s">
        <v>2815</v>
      </c>
      <c r="J239" s="136" t="s">
        <v>2816</v>
      </c>
      <c r="K239" s="136" t="s">
        <v>61</v>
      </c>
      <c r="L239" s="136">
        <v>16917.0</v>
      </c>
      <c r="M239" s="136" t="s">
        <v>78</v>
      </c>
      <c r="N239" s="136" t="s">
        <v>69</v>
      </c>
      <c r="O239" s="136" t="s">
        <v>224</v>
      </c>
      <c r="P239" s="136" t="s">
        <v>110</v>
      </c>
      <c r="Q239" s="92" t="str">
        <f>IFERROR(__xludf.DUMMYFUNCTION("""COMPUTED_VALUE"""),"Europe.giaotiep.ID28_16917_CVS_NamNH_160923")</f>
        <v>Europe.giaotiep.ID28_16917_CVS_NamNH_160923</v>
      </c>
      <c r="R239" s="92" t="str">
        <f>IFERROR(__xludf.DUMMYFUNCTION("""COMPUTED_VALUE"""),"NEW_Europe_1840_none_160923")</f>
        <v>NEW_Europe_1840_none_160923</v>
      </c>
      <c r="S239" s="92" t="str">
        <f>IFERROR(__xludf.DUMMYFUNCTION("""COMPUTED_VALUE"""),"saletructiep_Europe.ID28.1840.giaotiep_PTATT_LD153")</f>
        <v>saletructiep_Europe.ID28.1840.giaotiep_PTATT_LD153</v>
      </c>
      <c r="T239" s="137" t="str">
        <f>IFERROR(__xludf.DUMMYFUNCTION("""COMPUTED_VALUE"""),"https://patadovietnam.edu.vn/tienganhgiaotiep_hn/?utm_source=Facebook&amp;utm_medium=CVS&amp;utm_term=NEW_Europe_1840_none_160923&amp;utm_content=saletructiep_Europe.ID28.1840.giaotiep_PTATT_LD153&amp;utm_campaign=Europe.giaotiep.ID28_16917_CVS_NamNH_160923")</f>
        <v>https://patadovietnam.edu.vn/tienganhgiaotiep_hn/?utm_source=Facebook&amp;utm_medium=CVS&amp;utm_term=NEW_Europe_1840_none_160923&amp;utm_content=saletructiep_Europe.ID28.1840.giaotiep_PTATT_LD153&amp;utm_campaign=Europe.giaotiep.ID28_16917_CVS_NamNH_160923</v>
      </c>
      <c r="U239" s="138" t="s">
        <v>2818</v>
      </c>
    </row>
    <row r="240">
      <c r="A240" s="72">
        <v>45186.0</v>
      </c>
      <c r="B240" s="75" t="s">
        <v>1134</v>
      </c>
      <c r="C240" s="67" t="str">
        <f>IFERROR(__xludf.DUMMYFUNCTION("""COMPUTED_VALUE"""),"LD153")</f>
        <v>LD153</v>
      </c>
      <c r="D240" s="55" t="s">
        <v>42</v>
      </c>
      <c r="E240" s="55" t="s">
        <v>79</v>
      </c>
      <c r="F240" s="55" t="s">
        <v>164</v>
      </c>
      <c r="G240" s="55">
        <v>1840.0</v>
      </c>
      <c r="H240" s="55" t="s">
        <v>1137</v>
      </c>
      <c r="I240" s="55" t="s">
        <v>2819</v>
      </c>
      <c r="J240" s="55" t="s">
        <v>2820</v>
      </c>
      <c r="K240" s="55" t="s">
        <v>61</v>
      </c>
      <c r="L240" s="55">
        <v>95360.0</v>
      </c>
      <c r="M240" s="55" t="s">
        <v>78</v>
      </c>
      <c r="N240" s="55" t="s">
        <v>79</v>
      </c>
      <c r="O240" s="55" t="s">
        <v>224</v>
      </c>
      <c r="P240" s="55" t="s">
        <v>110</v>
      </c>
      <c r="Q240" s="67" t="str">
        <f>IFERROR(__xludf.DUMMYFUNCTION("""COMPUTED_VALUE"""),"Taiwan.giaotiep.ID29_95360_MES_NamNH_170923")</f>
        <v>Taiwan.giaotiep.ID29_95360_MES_NamNH_170923</v>
      </c>
      <c r="R240" s="67" t="str">
        <f>IFERROR(__xludf.DUMMYFUNCTION("""COMPUTED_VALUE"""),"NEW_Taiwan_1840_none_170923")</f>
        <v>NEW_Taiwan_1840_none_170923</v>
      </c>
      <c r="S240" s="67" t="str">
        <f>IFERROR(__xludf.DUMMYFUNCTION("""COMPUTED_VALUE"""),"saletructiep_Taiwan.ID29.1840.giaotiep_PTATT_LD153")</f>
        <v>saletructiep_Taiwan.ID29.1840.giaotiep_PTATT_LD153</v>
      </c>
      <c r="T240" s="107" t="str">
        <f>IFERROR(__xludf.DUMMYFUNCTION("""COMPUTED_VALUE"""),"https://patadovietnam.edu.vn/tienganhgiaotiep_hn/?utm_source=Facebook&amp;utm_medium=MES&amp;utm_term=NEW_Taiwan_1840_none_170923&amp;utm_content=saletructiep_Taiwan.ID29.1840.giaotiep_PTATT_LD153&amp;utm_campaign=Taiwan.giaotiep.ID29_95360_MES_NamNH_170923")</f>
        <v>https://patadovietnam.edu.vn/tienganhgiaotiep_hn/?utm_source=Facebook&amp;utm_medium=MES&amp;utm_term=NEW_Taiwan_1840_none_170923&amp;utm_content=saletructiep_Taiwan.ID29.1840.giaotiep_PTATT_LD153&amp;utm_campaign=Taiwan.giaotiep.ID29_95360_MES_NamNH_170923</v>
      </c>
      <c r="U240" s="110" t="s">
        <v>2821</v>
      </c>
    </row>
    <row r="241">
      <c r="A241" s="72">
        <v>45186.0</v>
      </c>
      <c r="B241" s="75" t="s">
        <v>1134</v>
      </c>
      <c r="C241" s="67" t="str">
        <f>IFERROR(__xludf.DUMMYFUNCTION("""COMPUTED_VALUE"""),"LD153")</f>
        <v>LD153</v>
      </c>
      <c r="D241" s="55" t="s">
        <v>42</v>
      </c>
      <c r="E241" s="55" t="s">
        <v>79</v>
      </c>
      <c r="F241" s="55" t="s">
        <v>625</v>
      </c>
      <c r="G241" s="55">
        <v>1840.0</v>
      </c>
      <c r="H241" s="55" t="s">
        <v>1137</v>
      </c>
      <c r="I241" s="55" t="s">
        <v>2822</v>
      </c>
      <c r="J241" s="55" t="s">
        <v>2823</v>
      </c>
      <c r="K241" s="55" t="s">
        <v>61</v>
      </c>
      <c r="L241" s="55">
        <v>95360.0</v>
      </c>
      <c r="M241" s="55" t="s">
        <v>78</v>
      </c>
      <c r="N241" s="55" t="s">
        <v>79</v>
      </c>
      <c r="O241" s="55" t="s">
        <v>224</v>
      </c>
      <c r="P241" s="55" t="s">
        <v>110</v>
      </c>
      <c r="Q241" s="67" t="str">
        <f>IFERROR(__xludf.DUMMYFUNCTION("""COMPUTED_VALUE"""),"KoreaSouth.giaotiep.ID29_95360_MES_NamNH_170923")</f>
        <v>KoreaSouth.giaotiep.ID29_95360_MES_NamNH_170923</v>
      </c>
      <c r="R241" s="67" t="str">
        <f>IFERROR(__xludf.DUMMYFUNCTION("""COMPUTED_VALUE"""),"NEW_KoreaSouth_1840_none_170923")</f>
        <v>NEW_KoreaSouth_1840_none_170923</v>
      </c>
      <c r="S241" s="67" t="str">
        <f>IFERROR(__xludf.DUMMYFUNCTION("""COMPUTED_VALUE"""),"saletructiep_KoreaSouth.ID29.1840.giaotiep_PTATT_LD153")</f>
        <v>saletructiep_KoreaSouth.ID29.1840.giaotiep_PTATT_LD153</v>
      </c>
      <c r="T241" s="107" t="str">
        <f>IFERROR(__xludf.DUMMYFUNCTION("""COMPUTED_VALUE"""),"https://patadovietnam.edu.vn/tienganhgiaotiep_hn/?utm_source=Facebook&amp;utm_medium=MES&amp;utm_term=NEW_KoreaSouth_1840_none_170923&amp;utm_content=saletructiep_KoreaSouth.ID29.1840.giaotiep_PTATT_LD153&amp;utm_campaign=KoreaSouth.giaotiep.ID29_95360_MES_NamNH_170923")</f>
        <v>https://patadovietnam.edu.vn/tienganhgiaotiep_hn/?utm_source=Facebook&amp;utm_medium=MES&amp;utm_term=NEW_KoreaSouth_1840_none_170923&amp;utm_content=saletructiep_KoreaSouth.ID29.1840.giaotiep_PTATT_LD153&amp;utm_campaign=KoreaSouth.giaotiep.ID29_95360_MES_NamNH_170923</v>
      </c>
      <c r="U241" s="110" t="s">
        <v>2824</v>
      </c>
    </row>
    <row r="242">
      <c r="A242" s="72">
        <v>45186.0</v>
      </c>
      <c r="B242" s="75" t="s">
        <v>1245</v>
      </c>
      <c r="C242" s="67" t="str">
        <f>IFERROR(__xludf.DUMMYFUNCTION("""COMPUTED_VALUE"""),"LD161")</f>
        <v>LD161</v>
      </c>
      <c r="D242" s="55" t="s">
        <v>42</v>
      </c>
      <c r="E242" s="55" t="s">
        <v>79</v>
      </c>
      <c r="F242" s="55" t="s">
        <v>107</v>
      </c>
      <c r="G242" s="55">
        <v>1840.0</v>
      </c>
      <c r="H242" s="55" t="s">
        <v>1137</v>
      </c>
      <c r="I242" s="55" t="s">
        <v>2825</v>
      </c>
      <c r="J242" s="55" t="s">
        <v>2826</v>
      </c>
      <c r="K242" s="55" t="s">
        <v>61</v>
      </c>
      <c r="L242" s="55">
        <v>16917.0</v>
      </c>
      <c r="M242" s="55" t="s">
        <v>78</v>
      </c>
      <c r="N242" s="55" t="s">
        <v>79</v>
      </c>
      <c r="O242" s="55" t="s">
        <v>224</v>
      </c>
      <c r="P242" s="55" t="s">
        <v>110</v>
      </c>
      <c r="Q242" s="67" t="str">
        <f>IFERROR(__xludf.DUMMYFUNCTION("""COMPUTED_VALUE"""),"UnitedStates.giaotiep.ID29_16917_MES_NamNH_170923")</f>
        <v>UnitedStates.giaotiep.ID29_16917_MES_NamNH_170923</v>
      </c>
      <c r="R242" s="67" t="str">
        <f>IFERROR(__xludf.DUMMYFUNCTION("""COMPUTED_VALUE"""),"NEW_UnitedStates_1840_none_170923")</f>
        <v>NEW_UnitedStates_1840_none_170923</v>
      </c>
      <c r="S242" s="67" t="str">
        <f>IFERROR(__xludf.DUMMYFUNCTION("""COMPUTED_VALUE"""),"saletructiep_UnitedStates.ID29.1840.giaotiep_PTATT_LD161")</f>
        <v>saletructiep_UnitedStates.ID29.1840.giaotiep_PTATT_LD161</v>
      </c>
      <c r="T242" s="107" t="str">
        <f>IFERROR(__xludf.DUMMYFUNCTION("""COMPUTED_VALUE"""),"https://patadovietnam.edu.vn/gtusa1_nhn/?utm_source=Facebook&amp;utm_medium=MES&amp;utm_term=NEW_UnitedStates_1840_none_170923&amp;utm_content=saletructiep_UnitedStates.ID29.1840.giaotiep_PTATT_LD161&amp;utm_campaign=UnitedStates.giaotiep.ID29_16917_MES_NamNH_170923")</f>
        <v>https://patadovietnam.edu.vn/gtusa1_nhn/?utm_source=Facebook&amp;utm_medium=MES&amp;utm_term=NEW_UnitedStates_1840_none_170923&amp;utm_content=saletructiep_UnitedStates.ID29.1840.giaotiep_PTATT_LD161&amp;utm_campaign=UnitedStates.giaotiep.ID29_16917_MES_NamNH_170923</v>
      </c>
      <c r="U242" s="110" t="s">
        <v>2828</v>
      </c>
    </row>
    <row r="243">
      <c r="A243" s="72">
        <v>45186.0</v>
      </c>
      <c r="B243" s="75" t="s">
        <v>1229</v>
      </c>
      <c r="C243" s="67" t="str">
        <f>IFERROR(__xludf.DUMMYFUNCTION("""COMPUTED_VALUE"""),"LD164")</f>
        <v>LD164</v>
      </c>
      <c r="D243" s="55" t="s">
        <v>42</v>
      </c>
      <c r="E243" s="55" t="s">
        <v>69</v>
      </c>
      <c r="F243" s="55" t="s">
        <v>133</v>
      </c>
      <c r="G243" s="55">
        <v>1840.0</v>
      </c>
      <c r="H243" s="55" t="s">
        <v>1137</v>
      </c>
      <c r="I243" s="55" t="s">
        <v>2829</v>
      </c>
      <c r="J243" s="55" t="s">
        <v>2830</v>
      </c>
      <c r="K243" s="55" t="s">
        <v>61</v>
      </c>
      <c r="L243" s="55">
        <v>16917.0</v>
      </c>
      <c r="M243" s="55" t="s">
        <v>78</v>
      </c>
      <c r="N243" s="55" t="s">
        <v>69</v>
      </c>
      <c r="O243" s="55" t="s">
        <v>2405</v>
      </c>
      <c r="P243" s="55" t="s">
        <v>110</v>
      </c>
      <c r="Q243" s="67" t="str">
        <f>IFERROR(__xludf.DUMMYFUNCTION("""COMPUTED_VALUE"""),"Japan.giaotiep.ID29_16917_CVS_NamNH_170923")</f>
        <v>Japan.giaotiep.ID29_16917_CVS_NamNH_170923</v>
      </c>
      <c r="R243" s="67" t="str">
        <f>IFERROR(__xludf.DUMMYFUNCTION("""COMPUTED_VALUE"""),"NEW_Japan_1840_none_170923")</f>
        <v>NEW_Japan_1840_none_170923</v>
      </c>
      <c r="S243" s="67" t="str">
        <f>IFERROR(__xludf.DUMMYFUNCTION("""COMPUTED_VALUE"""),"saletructiep_Japan.ID29.1840.giaotiep_PTATTTD_LD164")</f>
        <v>saletructiep_Japan.ID29.1840.giaotiep_PTATTTD_LD164</v>
      </c>
      <c r="T243" s="107" t="str">
        <f>IFERROR(__xludf.DUMMYFUNCTION("""COMPUTED_VALUE"""),"https://patadovietnam.edu.vn/gtjapan_nhn3/?utm_source=Facebook&amp;utm_medium=CVS&amp;utm_term=NEW_Japan_1840_none_170923&amp;utm_content=saletructiep_Japan.ID29.1840.giaotiep_PTATTTD_LD164&amp;utm_campaign=Japan.giaotiep.ID29_16917_CVS_NamNH_170923")</f>
        <v>https://patadovietnam.edu.vn/gtjapan_nhn3/?utm_source=Facebook&amp;utm_medium=CVS&amp;utm_term=NEW_Japan_1840_none_170923&amp;utm_content=saletructiep_Japan.ID29.1840.giaotiep_PTATTTD_LD164&amp;utm_campaign=Japan.giaotiep.ID29_16917_CVS_NamNH_170923</v>
      </c>
      <c r="U243" s="110" t="s">
        <v>2831</v>
      </c>
    </row>
    <row r="244">
      <c r="A244" s="72">
        <v>45238.0</v>
      </c>
      <c r="B244" s="75" t="s">
        <v>1229</v>
      </c>
      <c r="C244" s="67" t="str">
        <f>IFERROR(__xludf.DUMMYFUNCTION("""COMPUTED_VALUE"""),"LD164")</f>
        <v>LD164</v>
      </c>
      <c r="D244" s="55" t="s">
        <v>42</v>
      </c>
      <c r="E244" s="55" t="s">
        <v>69</v>
      </c>
      <c r="F244" s="55" t="s">
        <v>133</v>
      </c>
      <c r="G244" s="55">
        <v>1840.0</v>
      </c>
      <c r="H244" s="55" t="s">
        <v>1137</v>
      </c>
      <c r="I244" s="55" t="s">
        <v>2833</v>
      </c>
      <c r="J244" s="55" t="s">
        <v>2834</v>
      </c>
      <c r="K244" s="55" t="s">
        <v>61</v>
      </c>
      <c r="L244" s="55">
        <v>16917.0</v>
      </c>
      <c r="M244" s="55" t="s">
        <v>78</v>
      </c>
      <c r="N244" s="55" t="s">
        <v>69</v>
      </c>
      <c r="O244" s="55" t="s">
        <v>224</v>
      </c>
      <c r="P244" s="55" t="s">
        <v>110</v>
      </c>
      <c r="Q244" s="67" t="str">
        <f>IFERROR(__xludf.DUMMYFUNCTION("""COMPUTED_VALUE"""),"Japan.giaotiep.M48C20_16917_CVS_NamNH_081123")</f>
        <v>Japan.giaotiep.M48C20_16917_CVS_NamNH_081123</v>
      </c>
      <c r="R244" s="67" t="str">
        <f>IFERROR(__xludf.DUMMYFUNCTION("""COMPUTED_VALUE"""),"NEW_Japan_1840_none_081123")</f>
        <v>NEW_Japan_1840_none_081123</v>
      </c>
      <c r="S244" s="67" t="str">
        <f>IFERROR(__xludf.DUMMYFUNCTION("""COMPUTED_VALUE"""),"saletructiep_Japan.M48C20.1840.giaotiep_PTATT_LD164")</f>
        <v>saletructiep_Japan.M48C20.1840.giaotiep_PTATT_LD164</v>
      </c>
      <c r="T244" s="107" t="str">
        <f>IFERROR(__xludf.DUMMYFUNCTION("""COMPUTED_VALUE"""),"https://patadovietnam.edu.vn/gtjapan_nhn3/?utm_source=Facebook&amp;utm_medium=CVS&amp;utm_term=NEW_Japan_1840_none_081123&amp;utm_content=saletructiep_Japan.M48C20.1840.giaotiep_PTATT_LD164&amp;utm_campaign=Japan.giaotiep.M48C20_16917_CVS_NamNH_081123")</f>
        <v>https://patadovietnam.edu.vn/gtjapan_nhn3/?utm_source=Facebook&amp;utm_medium=CVS&amp;utm_term=NEW_Japan_1840_none_081123&amp;utm_content=saletructiep_Japan.M48C20.1840.giaotiep_PTATT_LD164&amp;utm_campaign=Japan.giaotiep.M48C20_16917_CVS_NamNH_081123</v>
      </c>
      <c r="U244" s="110" t="s">
        <v>2836</v>
      </c>
    </row>
    <row r="245">
      <c r="A245" s="72">
        <v>45239.0</v>
      </c>
      <c r="B245" s="75" t="s">
        <v>1134</v>
      </c>
      <c r="C245" s="67" t="str">
        <f>IFERROR(__xludf.DUMMYFUNCTION("""COMPUTED_VALUE"""),"LD153")</f>
        <v>LD153</v>
      </c>
      <c r="D245" s="55" t="s">
        <v>42</v>
      </c>
      <c r="E245" s="55" t="s">
        <v>79</v>
      </c>
      <c r="F245" s="55" t="s">
        <v>164</v>
      </c>
      <c r="G245" s="55">
        <v>1840.0</v>
      </c>
      <c r="H245" s="55" t="s">
        <v>1137</v>
      </c>
      <c r="I245" s="55" t="s">
        <v>2837</v>
      </c>
      <c r="J245" s="55" t="s">
        <v>2838</v>
      </c>
      <c r="K245" s="55" t="s">
        <v>61</v>
      </c>
      <c r="L245" s="55">
        <v>95360.0</v>
      </c>
      <c r="M245" s="55" t="s">
        <v>78</v>
      </c>
      <c r="N245" s="55" t="s">
        <v>79</v>
      </c>
      <c r="O245" s="55" t="s">
        <v>224</v>
      </c>
      <c r="P245" s="55" t="s">
        <v>110</v>
      </c>
      <c r="Q245" s="67" t="str">
        <f>IFERROR(__xludf.DUMMYFUNCTION("""COMPUTED_VALUE"""),"Taiwan.giaotiep.M48C20_95360_MES_NamNH_091123")</f>
        <v>Taiwan.giaotiep.M48C20_95360_MES_NamNH_091123</v>
      </c>
      <c r="R245" s="67" t="str">
        <f>IFERROR(__xludf.DUMMYFUNCTION("""COMPUTED_VALUE"""),"NEW_Taiwan_1840_none_091123")</f>
        <v>NEW_Taiwan_1840_none_091123</v>
      </c>
      <c r="S245" s="67" t="str">
        <f>IFERROR(__xludf.DUMMYFUNCTION("""COMPUTED_VALUE"""),"saletructiep_Taiwan.M48C20.1840.giaotiep_PTATT_LD153")</f>
        <v>saletructiep_Taiwan.M48C20.1840.giaotiep_PTATT_LD153</v>
      </c>
      <c r="T245" s="107" t="str">
        <f>IFERROR(__xludf.DUMMYFUNCTION("""COMPUTED_VALUE"""),"https://patadovietnam.edu.vn/tienganhgiaotiep_hn/?utm_source=Facebook&amp;utm_medium=MES&amp;utm_term=NEW_Taiwan_1840_none_091123&amp;utm_content=saletructiep_Taiwan.M48C20.1840.giaotiep_PTATT_LD153&amp;utm_campaign=Taiwan.giaotiep.M48C20_95360_MES_NamNH_091123")</f>
        <v>https://patadovietnam.edu.vn/tienganhgiaotiep_hn/?utm_source=Facebook&amp;utm_medium=MES&amp;utm_term=NEW_Taiwan_1840_none_091123&amp;utm_content=saletructiep_Taiwan.M48C20.1840.giaotiep_PTATT_LD153&amp;utm_campaign=Taiwan.giaotiep.M48C20_95360_MES_NamNH_091123</v>
      </c>
      <c r="U245" s="110" t="s">
        <v>2842</v>
      </c>
    </row>
    <row r="246">
      <c r="A246" s="72">
        <v>45238.0</v>
      </c>
      <c r="B246" s="75" t="s">
        <v>1134</v>
      </c>
      <c r="C246" s="67" t="str">
        <f>IFERROR(__xludf.DUMMYFUNCTION("""COMPUTED_VALUE"""),"LD153")</f>
        <v>LD153</v>
      </c>
      <c r="D246" s="55" t="s">
        <v>42</v>
      </c>
      <c r="E246" s="55" t="s">
        <v>79</v>
      </c>
      <c r="F246" s="55" t="s">
        <v>625</v>
      </c>
      <c r="G246" s="55">
        <v>1840.0</v>
      </c>
      <c r="H246" s="55" t="s">
        <v>1137</v>
      </c>
      <c r="I246" s="55" t="s">
        <v>2843</v>
      </c>
      <c r="J246" s="55" t="s">
        <v>2844</v>
      </c>
      <c r="K246" s="55" t="s">
        <v>61</v>
      </c>
      <c r="L246" s="55">
        <v>95360.0</v>
      </c>
      <c r="M246" s="55" t="s">
        <v>78</v>
      </c>
      <c r="N246" s="55" t="s">
        <v>79</v>
      </c>
      <c r="O246" s="55" t="s">
        <v>224</v>
      </c>
      <c r="P246" s="55" t="s">
        <v>110</v>
      </c>
      <c r="Q246" s="67" t="str">
        <f>IFERROR(__xludf.DUMMYFUNCTION("""COMPUTED_VALUE"""),"KoreaSouth.giaotiep.M48C20_95360_MES_NamNH_081123")</f>
        <v>KoreaSouth.giaotiep.M48C20_95360_MES_NamNH_081123</v>
      </c>
      <c r="R246" s="67" t="str">
        <f>IFERROR(__xludf.DUMMYFUNCTION("""COMPUTED_VALUE"""),"NEW_KoreaSouth_1840_none_081123")</f>
        <v>NEW_KoreaSouth_1840_none_081123</v>
      </c>
      <c r="S246" s="67" t="str">
        <f>IFERROR(__xludf.DUMMYFUNCTION("""COMPUTED_VALUE"""),"saletructiep_KoreaSouth.M48C20.1840.giaotiep_PTATT_LD153")</f>
        <v>saletructiep_KoreaSouth.M48C20.1840.giaotiep_PTATT_LD153</v>
      </c>
      <c r="T246" s="107" t="str">
        <f>IFERROR(__xludf.DUMMYFUNCTION("""COMPUTED_VALUE"""),"https://patadovietnam.edu.vn/tienganhgiaotiep_hn/?utm_source=Facebook&amp;utm_medium=MES&amp;utm_term=NEW_KoreaSouth_1840_none_081123&amp;utm_content=saletructiep_KoreaSouth.M48C20.1840.giaotiep_PTATT_LD153&amp;utm_campaign=KoreaSouth.giaotiep.M48C20_95360_MES_NamNH_0811"&amp;"23")</f>
        <v>https://patadovietnam.edu.vn/tienganhgiaotiep_hn/?utm_source=Facebook&amp;utm_medium=MES&amp;utm_term=NEW_KoreaSouth_1840_none_081123&amp;utm_content=saletructiep_KoreaSouth.M48C20.1840.giaotiep_PTATT_LD153&amp;utm_campaign=KoreaSouth.giaotiep.M48C20_95360_MES_NamNH_081123</v>
      </c>
      <c r="U246" s="110" t="s">
        <v>2847</v>
      </c>
    </row>
    <row r="247">
      <c r="A247" s="72">
        <v>45238.0</v>
      </c>
      <c r="B247" s="75" t="s">
        <v>1134</v>
      </c>
      <c r="C247" s="67" t="str">
        <f>IFERROR(__xludf.DUMMYFUNCTION("""COMPUTED_VALUE"""),"LD153")</f>
        <v>LD153</v>
      </c>
      <c r="D247" s="55" t="s">
        <v>42</v>
      </c>
      <c r="E247" s="55" t="s">
        <v>79</v>
      </c>
      <c r="F247" s="55" t="s">
        <v>174</v>
      </c>
      <c r="G247" s="55">
        <v>1840.0</v>
      </c>
      <c r="H247" s="55" t="s">
        <v>1137</v>
      </c>
      <c r="I247" s="55" t="s">
        <v>2849</v>
      </c>
      <c r="J247" s="55" t="s">
        <v>2850</v>
      </c>
      <c r="K247" s="55" t="s">
        <v>61</v>
      </c>
      <c r="L247" s="55">
        <v>95360.0</v>
      </c>
      <c r="M247" s="55" t="s">
        <v>78</v>
      </c>
      <c r="N247" s="55" t="s">
        <v>79</v>
      </c>
      <c r="O247" s="55" t="s">
        <v>224</v>
      </c>
      <c r="P247" s="55" t="s">
        <v>110</v>
      </c>
      <c r="Q247" s="67" t="str">
        <f>IFERROR(__xludf.DUMMYFUNCTION("""COMPUTED_VALUE"""),"Philippines.giaotiep.M48C20_95360_MES_NamNH_081123")</f>
        <v>Philippines.giaotiep.M48C20_95360_MES_NamNH_081123</v>
      </c>
      <c r="R247" s="67" t="str">
        <f>IFERROR(__xludf.DUMMYFUNCTION("""COMPUTED_VALUE"""),"NEW_Philippines_1840_none_081123")</f>
        <v>NEW_Philippines_1840_none_081123</v>
      </c>
      <c r="S247" s="67" t="str">
        <f>IFERROR(__xludf.DUMMYFUNCTION("""COMPUTED_VALUE"""),"saletructiep_Philippines.M48C20.1840.giaotiep_PTATT_LD153")</f>
        <v>saletructiep_Philippines.M48C20.1840.giaotiep_PTATT_LD153</v>
      </c>
      <c r="T247" s="107" t="str">
        <f>IFERROR(__xludf.DUMMYFUNCTION("""COMPUTED_VALUE"""),"https://patadovietnam.edu.vn/tienganhgiaotiep_hn/?utm_source=Facebook&amp;utm_medium=MES&amp;utm_term=NEW_Philippines_1840_none_081123&amp;utm_content=saletructiep_Philippines.M48C20.1840.giaotiep_PTATT_LD153&amp;utm_campaign=Philippines.giaotiep.M48C20_95360_MES_NamNH_0"&amp;"81123")</f>
        <v>https://patadovietnam.edu.vn/tienganhgiaotiep_hn/?utm_source=Facebook&amp;utm_medium=MES&amp;utm_term=NEW_Philippines_1840_none_081123&amp;utm_content=saletructiep_Philippines.M48C20.1840.giaotiep_PTATT_LD153&amp;utm_campaign=Philippines.giaotiep.M48C20_95360_MES_NamNH_081123</v>
      </c>
      <c r="U247" s="110" t="s">
        <v>2853</v>
      </c>
    </row>
    <row r="248">
      <c r="A248" s="72">
        <v>45238.0</v>
      </c>
      <c r="B248" s="75" t="s">
        <v>1134</v>
      </c>
      <c r="C248" s="67" t="str">
        <f>IFERROR(__xludf.DUMMYFUNCTION("""COMPUTED_VALUE"""),"LD153")</f>
        <v>LD153</v>
      </c>
      <c r="D248" s="55" t="s">
        <v>42</v>
      </c>
      <c r="E248" s="55" t="s">
        <v>79</v>
      </c>
      <c r="F248" s="55" t="s">
        <v>129</v>
      </c>
      <c r="G248" s="55">
        <v>1840.0</v>
      </c>
      <c r="H248" s="55" t="s">
        <v>1137</v>
      </c>
      <c r="I248" s="55" t="s">
        <v>2854</v>
      </c>
      <c r="J248" s="55" t="s">
        <v>2855</v>
      </c>
      <c r="K248" s="55" t="s">
        <v>61</v>
      </c>
      <c r="L248" s="55">
        <v>95360.0</v>
      </c>
      <c r="M248" s="55" t="s">
        <v>78</v>
      </c>
      <c r="N248" s="55" t="s">
        <v>79</v>
      </c>
      <c r="O248" s="55" t="s">
        <v>224</v>
      </c>
      <c r="P248" s="55" t="s">
        <v>110</v>
      </c>
      <c r="Q248" s="67" t="str">
        <f>IFERROR(__xludf.DUMMYFUNCTION("""COMPUTED_VALUE"""),"Australia.giaotiep.M48C20_95360_MES_NamNH_081123")</f>
        <v>Australia.giaotiep.M48C20_95360_MES_NamNH_081123</v>
      </c>
      <c r="R248" s="67" t="str">
        <f>IFERROR(__xludf.DUMMYFUNCTION("""COMPUTED_VALUE"""),"NEW_Australia_1840_none_081123")</f>
        <v>NEW_Australia_1840_none_081123</v>
      </c>
      <c r="S248" s="67" t="str">
        <f>IFERROR(__xludf.DUMMYFUNCTION("""COMPUTED_VALUE"""),"saletructiep_Australia.M48C20.1840.giaotiep_PTATT_LD153")</f>
        <v>saletructiep_Australia.M48C20.1840.giaotiep_PTATT_LD153</v>
      </c>
      <c r="T248" s="107" t="str">
        <f>IFERROR(__xludf.DUMMYFUNCTION("""COMPUTED_VALUE"""),"https://patadovietnam.edu.vn/tienganhgiaotiep_hn/?utm_source=Facebook&amp;utm_medium=MES&amp;utm_term=NEW_Australia_1840_none_081123&amp;utm_content=saletructiep_Australia.M48C20.1840.giaotiep_PTATT_LD153&amp;utm_campaign=Australia.giaotiep.M48C20_95360_MES_NamNH_081123")</f>
        <v>https://patadovietnam.edu.vn/tienganhgiaotiep_hn/?utm_source=Facebook&amp;utm_medium=MES&amp;utm_term=NEW_Australia_1840_none_081123&amp;utm_content=saletructiep_Australia.M48C20.1840.giaotiep_PTATT_LD153&amp;utm_campaign=Australia.giaotiep.M48C20_95360_MES_NamNH_081123</v>
      </c>
      <c r="U248" s="110" t="s">
        <v>2857</v>
      </c>
    </row>
    <row r="249">
      <c r="A249" s="72">
        <v>45238.0</v>
      </c>
      <c r="B249" s="75" t="s">
        <v>1245</v>
      </c>
      <c r="C249" s="67" t="str">
        <f>IFERROR(__xludf.DUMMYFUNCTION("""COMPUTED_VALUE"""),"LD161")</f>
        <v>LD161</v>
      </c>
      <c r="D249" s="55" t="s">
        <v>42</v>
      </c>
      <c r="E249" s="55" t="s">
        <v>79</v>
      </c>
      <c r="F249" s="55" t="s">
        <v>107</v>
      </c>
      <c r="G249" s="55">
        <v>1840.0</v>
      </c>
      <c r="H249" s="55" t="s">
        <v>1137</v>
      </c>
      <c r="I249" s="55" t="s">
        <v>2858</v>
      </c>
      <c r="J249" s="55" t="s">
        <v>2859</v>
      </c>
      <c r="K249" s="55" t="s">
        <v>61</v>
      </c>
      <c r="L249" s="55">
        <v>16917.0</v>
      </c>
      <c r="M249" s="55" t="s">
        <v>78</v>
      </c>
      <c r="N249" s="55" t="s">
        <v>79</v>
      </c>
      <c r="O249" s="55" t="s">
        <v>2405</v>
      </c>
      <c r="P249" s="55" t="s">
        <v>110</v>
      </c>
      <c r="Q249" s="67" t="str">
        <f>IFERROR(__xludf.DUMMYFUNCTION("""COMPUTED_VALUE"""),"UnitedStates.giaotiep.M48C20_16917_MES_NamNH_081123")</f>
        <v>UnitedStates.giaotiep.M48C20_16917_MES_NamNH_081123</v>
      </c>
      <c r="R249" s="67" t="str">
        <f>IFERROR(__xludf.DUMMYFUNCTION("""COMPUTED_VALUE"""),"NEW_UnitedStates_1840_none_081123")</f>
        <v>NEW_UnitedStates_1840_none_081123</v>
      </c>
      <c r="S249" s="67" t="str">
        <f>IFERROR(__xludf.DUMMYFUNCTION("""COMPUTED_VALUE"""),"saletructiep_UnitedStates.M48C20.1840.giaotiep_PTATTTD_LD161")</f>
        <v>saletructiep_UnitedStates.M48C20.1840.giaotiep_PTATTTD_LD161</v>
      </c>
      <c r="T249" s="107" t="str">
        <f>IFERROR(__xludf.DUMMYFUNCTION("""COMPUTED_VALUE"""),"https://patadovietnam.edu.vn/gtusa1_nhn/?utm_source=Facebook&amp;utm_medium=MES&amp;utm_term=NEW_UnitedStates_1840_none_081123&amp;utm_content=saletructiep_UnitedStates.M48C20.1840.giaotiep_PTATTTD_LD161&amp;utm_campaign=UnitedStates.giaotiep.M48C20_16917_MES_NamNH_08112"&amp;"3")</f>
        <v>https://patadovietnam.edu.vn/gtusa1_nhn/?utm_source=Facebook&amp;utm_medium=MES&amp;utm_term=NEW_UnitedStates_1840_none_081123&amp;utm_content=saletructiep_UnitedStates.M48C20.1840.giaotiep_PTATTTD_LD161&amp;utm_campaign=UnitedStates.giaotiep.M48C20_16917_MES_NamNH_081123</v>
      </c>
      <c r="U249" s="110" t="s">
        <v>2863</v>
      </c>
    </row>
    <row r="250">
      <c r="A250" s="72">
        <v>45238.0</v>
      </c>
      <c r="B250" s="75" t="s">
        <v>1229</v>
      </c>
      <c r="C250" s="67" t="str">
        <f>IFERROR(__xludf.DUMMYFUNCTION("""COMPUTED_VALUE"""),"LD164")</f>
        <v>LD164</v>
      </c>
      <c r="D250" s="55" t="s">
        <v>42</v>
      </c>
      <c r="E250" s="55" t="s">
        <v>69</v>
      </c>
      <c r="F250" s="55" t="s">
        <v>133</v>
      </c>
      <c r="G250" s="55">
        <v>1840.0</v>
      </c>
      <c r="H250" s="55" t="s">
        <v>1137</v>
      </c>
      <c r="I250" s="55" t="s">
        <v>2864</v>
      </c>
      <c r="J250" s="55" t="s">
        <v>2865</v>
      </c>
      <c r="K250" s="55" t="s">
        <v>61</v>
      </c>
      <c r="L250" s="55">
        <v>16917.0</v>
      </c>
      <c r="M250" s="55" t="s">
        <v>78</v>
      </c>
      <c r="N250" s="55" t="s">
        <v>69</v>
      </c>
      <c r="O250" s="55" t="s">
        <v>224</v>
      </c>
      <c r="P250" s="55" t="s">
        <v>110</v>
      </c>
      <c r="Q250" s="67" t="str">
        <f>IFERROR(__xludf.DUMMYFUNCTION("""COMPUTED_VALUE"""),"Japan.giaotiep.tnvb_16917_CVS_NamNH_081123")</f>
        <v>Japan.giaotiep.tnvb_16917_CVS_NamNH_081123</v>
      </c>
      <c r="R250" s="67" t="str">
        <f>IFERROR(__xludf.DUMMYFUNCTION("""COMPUTED_VALUE"""),"NEW_Japan_1840_none_081123")</f>
        <v>NEW_Japan_1840_none_081123</v>
      </c>
      <c r="S250" s="67" t="str">
        <f>IFERROR(__xludf.DUMMYFUNCTION("""COMPUTED_VALUE"""),"saletructiep_Japan.tnvb.1840.giaotiep_PTATT_LD164")</f>
        <v>saletructiep_Japan.tnvb.1840.giaotiep_PTATT_LD164</v>
      </c>
      <c r="T250" s="107" t="str">
        <f>IFERROR(__xludf.DUMMYFUNCTION("""COMPUTED_VALUE"""),"https://patadovietnam.edu.vn/gtjapan_nhn3/?utm_source=Facebook&amp;utm_medium=CVS&amp;utm_term=NEW_Japan_1840_none_081123&amp;utm_content=saletructiep_Japan.tnvb.1840.giaotiep_PTATT_LD164&amp;utm_campaign=Japan.giaotiep.tnvb_16917_CVS_NamNH_081123")</f>
        <v>https://patadovietnam.edu.vn/gtjapan_nhn3/?utm_source=Facebook&amp;utm_medium=CVS&amp;utm_term=NEW_Japan_1840_none_081123&amp;utm_content=saletructiep_Japan.tnvb.1840.giaotiep_PTATT_LD164&amp;utm_campaign=Japan.giaotiep.tnvb_16917_CVS_NamNH_081123</v>
      </c>
      <c r="U250" s="110" t="s">
        <v>2868</v>
      </c>
    </row>
    <row r="251">
      <c r="A251" s="72">
        <v>45238.0</v>
      </c>
      <c r="B251" s="75" t="s">
        <v>1134</v>
      </c>
      <c r="C251" s="67" t="str">
        <f>IFERROR(__xludf.DUMMYFUNCTION("""COMPUTED_VALUE"""),"LD153")</f>
        <v>LD153</v>
      </c>
      <c r="D251" s="55" t="s">
        <v>42</v>
      </c>
      <c r="E251" s="55" t="s">
        <v>79</v>
      </c>
      <c r="F251" s="55" t="s">
        <v>164</v>
      </c>
      <c r="G251" s="55">
        <v>1840.0</v>
      </c>
      <c r="H251" s="55" t="s">
        <v>1137</v>
      </c>
      <c r="I251" s="55" t="s">
        <v>2869</v>
      </c>
      <c r="J251" s="55" t="s">
        <v>2870</v>
      </c>
      <c r="K251" s="55" t="s">
        <v>61</v>
      </c>
      <c r="L251" s="55">
        <v>95360.0</v>
      </c>
      <c r="M251" s="55" t="s">
        <v>78</v>
      </c>
      <c r="N251" s="55" t="s">
        <v>79</v>
      </c>
      <c r="O251" s="55" t="s">
        <v>2405</v>
      </c>
      <c r="P251" s="55" t="s">
        <v>110</v>
      </c>
      <c r="Q251" s="67" t="str">
        <f>IFERROR(__xludf.DUMMYFUNCTION("""COMPUTED_VALUE"""),"Taiwan.giaotiep.tnvb_95360_MES_NamNH_081123")</f>
        <v>Taiwan.giaotiep.tnvb_95360_MES_NamNH_081123</v>
      </c>
      <c r="R251" s="67" t="str">
        <f>IFERROR(__xludf.DUMMYFUNCTION("""COMPUTED_VALUE"""),"NEW_Taiwan_1840_none_081123")</f>
        <v>NEW_Taiwan_1840_none_081123</v>
      </c>
      <c r="S251" s="67" t="str">
        <f>IFERROR(__xludf.DUMMYFUNCTION("""COMPUTED_VALUE"""),"saletructiep_Taiwan.tnvb.1840.giaotiep_PTATTTD_LD153")</f>
        <v>saletructiep_Taiwan.tnvb.1840.giaotiep_PTATTTD_LD153</v>
      </c>
      <c r="T251" s="107" t="str">
        <f>IFERROR(__xludf.DUMMYFUNCTION("""COMPUTED_VALUE"""),"https://patadovietnam.edu.vn/tienganhgiaotiep_hn/?utm_source=Facebook&amp;utm_medium=MES&amp;utm_term=NEW_Taiwan_1840_none_081123&amp;utm_content=saletructiep_Taiwan.tnvb.1840.giaotiep_PTATTTD_LD153&amp;utm_campaign=Taiwan.giaotiep.tnvb_95360_MES_NamNH_081123")</f>
        <v>https://patadovietnam.edu.vn/tienganhgiaotiep_hn/?utm_source=Facebook&amp;utm_medium=MES&amp;utm_term=NEW_Taiwan_1840_none_081123&amp;utm_content=saletructiep_Taiwan.tnvb.1840.giaotiep_PTATTTD_LD153&amp;utm_campaign=Taiwan.giaotiep.tnvb_95360_MES_NamNH_081123</v>
      </c>
      <c r="U251" s="110" t="s">
        <v>2872</v>
      </c>
    </row>
    <row r="252">
      <c r="A252" s="72">
        <v>45238.0</v>
      </c>
      <c r="B252" s="75" t="s">
        <v>1134</v>
      </c>
      <c r="C252" s="67" t="str">
        <f>IFERROR(__xludf.DUMMYFUNCTION("""COMPUTED_VALUE"""),"LD153")</f>
        <v>LD153</v>
      </c>
      <c r="D252" s="55" t="s">
        <v>42</v>
      </c>
      <c r="E252" s="55" t="s">
        <v>79</v>
      </c>
      <c r="F252" s="55" t="s">
        <v>625</v>
      </c>
      <c r="G252" s="55">
        <v>1840.0</v>
      </c>
      <c r="H252" s="55" t="s">
        <v>1137</v>
      </c>
      <c r="I252" s="55" t="s">
        <v>2873</v>
      </c>
      <c r="J252" s="55" t="s">
        <v>2874</v>
      </c>
      <c r="K252" s="55" t="s">
        <v>61</v>
      </c>
      <c r="L252" s="55">
        <v>95360.0</v>
      </c>
      <c r="M252" s="55" t="s">
        <v>78</v>
      </c>
      <c r="N252" s="55" t="s">
        <v>69</v>
      </c>
      <c r="O252" s="55" t="s">
        <v>2405</v>
      </c>
      <c r="P252" s="55" t="s">
        <v>110</v>
      </c>
      <c r="Q252" s="67" t="str">
        <f>IFERROR(__xludf.DUMMYFUNCTION("""COMPUTED_VALUE"""),"KoreaSouth.giaotiep.tnvb_95360_CVS_NamNH_081123")</f>
        <v>KoreaSouth.giaotiep.tnvb_95360_CVS_NamNH_081123</v>
      </c>
      <c r="R252" s="67" t="str">
        <f>IFERROR(__xludf.DUMMYFUNCTION("""COMPUTED_VALUE"""),"NEW_KoreaSouth_1840_none_081123")</f>
        <v>NEW_KoreaSouth_1840_none_081123</v>
      </c>
      <c r="S252" s="67" t="str">
        <f>IFERROR(__xludf.DUMMYFUNCTION("""COMPUTED_VALUE"""),"saletructiep_KoreaSouth.tnvb.1840.giaotiep_PTATTTD_LD153")</f>
        <v>saletructiep_KoreaSouth.tnvb.1840.giaotiep_PTATTTD_LD153</v>
      </c>
      <c r="T252" s="107" t="str">
        <f>IFERROR(__xludf.DUMMYFUNCTION("""COMPUTED_VALUE"""),"https://patadovietnam.edu.vn/tienganhgiaotiep_hn/?utm_source=Facebook&amp;utm_medium=MES&amp;utm_term=NEW_KoreaSouth_1840_none_081123&amp;utm_content=saletructiep_KoreaSouth.tnvb.1840.giaotiep_PTATTTD_LD153&amp;utm_campaign=KoreaSouth.giaotiep.tnvb_95360_CVS_NamNH_081123")</f>
        <v>https://patadovietnam.edu.vn/tienganhgiaotiep_hn/?utm_source=Facebook&amp;utm_medium=MES&amp;utm_term=NEW_KoreaSouth_1840_none_081123&amp;utm_content=saletructiep_KoreaSouth.tnvb.1840.giaotiep_PTATTTD_LD153&amp;utm_campaign=KoreaSouth.giaotiep.tnvb_95360_CVS_NamNH_081123</v>
      </c>
      <c r="U252" s="110" t="s">
        <v>2877</v>
      </c>
    </row>
    <row r="253">
      <c r="A253" s="72">
        <v>45238.0</v>
      </c>
      <c r="B253" s="75" t="s">
        <v>1245</v>
      </c>
      <c r="C253" s="67" t="str">
        <f>IFERROR(__xludf.DUMMYFUNCTION("""COMPUTED_VALUE"""),"LD161")</f>
        <v>LD161</v>
      </c>
      <c r="D253" s="55" t="s">
        <v>42</v>
      </c>
      <c r="E253" s="55" t="s">
        <v>79</v>
      </c>
      <c r="F253" s="55" t="s">
        <v>107</v>
      </c>
      <c r="G253" s="55">
        <v>1840.0</v>
      </c>
      <c r="H253" s="55" t="s">
        <v>1137</v>
      </c>
      <c r="I253" s="55" t="s">
        <v>2878</v>
      </c>
      <c r="J253" s="55" t="s">
        <v>2879</v>
      </c>
      <c r="K253" s="55" t="s">
        <v>61</v>
      </c>
      <c r="L253" s="55">
        <v>16917.0</v>
      </c>
      <c r="M253" s="55" t="s">
        <v>78</v>
      </c>
      <c r="N253" s="55" t="s">
        <v>79</v>
      </c>
      <c r="O253" s="55" t="s">
        <v>224</v>
      </c>
      <c r="P253" s="55" t="s">
        <v>110</v>
      </c>
      <c r="Q253" s="67" t="str">
        <f>IFERROR(__xludf.DUMMYFUNCTION("""COMPUTED_VALUE"""),"UnitedStates.giaotiep.tnvb_16917_MES_NamNH_081123")</f>
        <v>UnitedStates.giaotiep.tnvb_16917_MES_NamNH_081123</v>
      </c>
      <c r="R253" s="67" t="str">
        <f>IFERROR(__xludf.DUMMYFUNCTION("""COMPUTED_VALUE"""),"NEW_UnitedStates_1840_none_081123")</f>
        <v>NEW_UnitedStates_1840_none_081123</v>
      </c>
      <c r="S253" s="67" t="str">
        <f>IFERROR(__xludf.DUMMYFUNCTION("""COMPUTED_VALUE"""),"saletructiep_UnitedStates.tnvb.1840.giaotiep_PTATT_LD161")</f>
        <v>saletructiep_UnitedStates.tnvb.1840.giaotiep_PTATT_LD161</v>
      </c>
      <c r="T253" s="107" t="str">
        <f>IFERROR(__xludf.DUMMYFUNCTION("""COMPUTED_VALUE"""),"https://patadovietnam.edu.vn/gtusa1_nhn/?utm_source=Facebook&amp;utm_medium=MES&amp;utm_term=NEW_UnitedStates_1840_none_081123&amp;utm_content=saletructiep_UnitedStates.tnvb.1840.giaotiep_PTATT_LD161&amp;utm_campaign=UnitedStates.giaotiep.tnvb_16917_MES_NamNH_081123")</f>
        <v>https://patadovietnam.edu.vn/gtusa1_nhn/?utm_source=Facebook&amp;utm_medium=MES&amp;utm_term=NEW_UnitedStates_1840_none_081123&amp;utm_content=saletructiep_UnitedStates.tnvb.1840.giaotiep_PTATT_LD161&amp;utm_campaign=UnitedStates.giaotiep.tnvb_16917_MES_NamNH_081123</v>
      </c>
      <c r="U253" s="110" t="s">
        <v>2881</v>
      </c>
    </row>
    <row r="254">
      <c r="A254" s="72">
        <v>45238.0</v>
      </c>
      <c r="B254" s="75" t="s">
        <v>1134</v>
      </c>
      <c r="C254" s="67" t="str">
        <f>IFERROR(__xludf.DUMMYFUNCTION("""COMPUTED_VALUE"""),"LD153")</f>
        <v>LD153</v>
      </c>
      <c r="D254" s="55" t="s">
        <v>42</v>
      </c>
      <c r="E254" s="55" t="s">
        <v>69</v>
      </c>
      <c r="F254" s="55" t="s">
        <v>674</v>
      </c>
      <c r="G254" s="55">
        <v>1840.0</v>
      </c>
      <c r="H254" s="55" t="s">
        <v>1137</v>
      </c>
      <c r="I254" s="55" t="s">
        <v>2882</v>
      </c>
      <c r="J254" s="55" t="s">
        <v>2883</v>
      </c>
      <c r="K254" s="55" t="s">
        <v>61</v>
      </c>
      <c r="L254" s="55">
        <v>16917.0</v>
      </c>
      <c r="M254" s="55" t="s">
        <v>78</v>
      </c>
      <c r="N254" s="55" t="s">
        <v>69</v>
      </c>
      <c r="O254" s="55" t="s">
        <v>2405</v>
      </c>
      <c r="P254" s="55" t="s">
        <v>110</v>
      </c>
      <c r="Q254" s="67" t="str">
        <f>IFERROR(__xludf.DUMMYFUNCTION("""COMPUTED_VALUE"""),"Europe.giaotiep.tnvb_16917_CVS_NamNH_081123")</f>
        <v>Europe.giaotiep.tnvb_16917_CVS_NamNH_081123</v>
      </c>
      <c r="R254" s="67" t="str">
        <f>IFERROR(__xludf.DUMMYFUNCTION("""COMPUTED_VALUE"""),"NEW_Europe_1840_none_081123")</f>
        <v>NEW_Europe_1840_none_081123</v>
      </c>
      <c r="S254" s="67" t="str">
        <f>IFERROR(__xludf.DUMMYFUNCTION("""COMPUTED_VALUE"""),"saletructiep_Europe.tnvb.1840.giaotiep_PTATTTD_LD153")</f>
        <v>saletructiep_Europe.tnvb.1840.giaotiep_PTATTTD_LD153</v>
      </c>
      <c r="T254" s="107" t="str">
        <f>IFERROR(__xludf.DUMMYFUNCTION("""COMPUTED_VALUE"""),"https://patadovietnam.edu.vn/tienganhgiaotiep_hn/?utm_source=Facebook&amp;utm_medium=CVS&amp;utm_term=NEW_Europe_1840_none_081123&amp;utm_content=saletructiep_Europe.tnvb.1840.giaotiep_PTATTTD_LD153&amp;utm_campaign=Europe.giaotiep.tnvb_16917_CVS_NamNH_081123")</f>
        <v>https://patadovietnam.edu.vn/tienganhgiaotiep_hn/?utm_source=Facebook&amp;utm_medium=CVS&amp;utm_term=NEW_Europe_1840_none_081123&amp;utm_content=saletructiep_Europe.tnvb.1840.giaotiep_PTATTTD_LD153&amp;utm_campaign=Europe.giaotiep.tnvb_16917_CVS_NamNH_081123</v>
      </c>
      <c r="U254" s="110" t="s">
        <v>2886</v>
      </c>
    </row>
    <row r="255">
      <c r="A255" s="72">
        <v>45239.0</v>
      </c>
      <c r="B255" s="75" t="s">
        <v>1229</v>
      </c>
      <c r="C255" s="67" t="str">
        <f>IFERROR(__xludf.DUMMYFUNCTION("""COMPUTED_VALUE"""),"LD164")</f>
        <v>LD164</v>
      </c>
      <c r="D255" s="55" t="s">
        <v>42</v>
      </c>
      <c r="E255" s="55" t="s">
        <v>69</v>
      </c>
      <c r="F255" s="55" t="s">
        <v>133</v>
      </c>
      <c r="G255" s="55">
        <v>1840.0</v>
      </c>
      <c r="H255" s="55" t="s">
        <v>1137</v>
      </c>
      <c r="I255" s="55" t="s">
        <v>2887</v>
      </c>
      <c r="J255" s="55" t="s">
        <v>2888</v>
      </c>
      <c r="K255" s="55" t="s">
        <v>61</v>
      </c>
      <c r="L255" s="55">
        <v>16917.0</v>
      </c>
      <c r="M255" s="55" t="s">
        <v>78</v>
      </c>
      <c r="N255" s="55" t="s">
        <v>69</v>
      </c>
      <c r="O255" s="55" t="s">
        <v>224</v>
      </c>
      <c r="P255" s="55" t="s">
        <v>110</v>
      </c>
      <c r="Q255" s="67" t="str">
        <f>IFERROR(__xludf.DUMMYFUNCTION("""COMPUTED_VALUE"""),"Japan.giaotiep.CSBQ_16917_CVS_NamNH_091123")</f>
        <v>Japan.giaotiep.CSBQ_16917_CVS_NamNH_091123</v>
      </c>
      <c r="R255" s="67" t="str">
        <f>IFERROR(__xludf.DUMMYFUNCTION("""COMPUTED_VALUE"""),"NEW_Japan_1840_none_091123")</f>
        <v>NEW_Japan_1840_none_091123</v>
      </c>
      <c r="S255" s="67" t="str">
        <f>IFERROR(__xludf.DUMMYFUNCTION("""COMPUTED_VALUE"""),"saletructiep_Japan.CSBQ.1840.giaotiep_PTATT_LD164")</f>
        <v>saletructiep_Japan.CSBQ.1840.giaotiep_PTATT_LD164</v>
      </c>
      <c r="T255" s="107" t="str">
        <f>IFERROR(__xludf.DUMMYFUNCTION("""COMPUTED_VALUE"""),"https://patadovietnam.edu.vn/gtjapan_nhn3/?utm_source=Facebook&amp;utm_medium=CVS&amp;utm_term=NEW_Japan_1840_none_091123&amp;utm_content=saletructiep_Japan.CSBQ.1840.giaotiep_PTATT_LD164&amp;utm_campaign=Japan.giaotiep.CSBQ_16917_CVS_NamNH_091123")</f>
        <v>https://patadovietnam.edu.vn/gtjapan_nhn3/?utm_source=Facebook&amp;utm_medium=CVS&amp;utm_term=NEW_Japan_1840_none_091123&amp;utm_content=saletructiep_Japan.CSBQ.1840.giaotiep_PTATT_LD164&amp;utm_campaign=Japan.giaotiep.CSBQ_16917_CVS_NamNH_091123</v>
      </c>
      <c r="U255" s="110" t="s">
        <v>2891</v>
      </c>
    </row>
    <row r="256">
      <c r="A256" s="72">
        <v>45239.0</v>
      </c>
      <c r="B256" s="75" t="s">
        <v>1134</v>
      </c>
      <c r="C256" s="67" t="str">
        <f>IFERROR(__xludf.DUMMYFUNCTION("""COMPUTED_VALUE"""),"LD153")</f>
        <v>LD153</v>
      </c>
      <c r="D256" s="55" t="s">
        <v>42</v>
      </c>
      <c r="E256" s="55" t="s">
        <v>79</v>
      </c>
      <c r="F256" s="55" t="s">
        <v>164</v>
      </c>
      <c r="G256" s="55">
        <v>1840.0</v>
      </c>
      <c r="H256" s="55" t="s">
        <v>1137</v>
      </c>
      <c r="I256" s="55" t="s">
        <v>2892</v>
      </c>
      <c r="J256" s="55" t="s">
        <v>2893</v>
      </c>
      <c r="K256" s="55" t="s">
        <v>61</v>
      </c>
      <c r="L256" s="55">
        <v>16917.0</v>
      </c>
      <c r="M256" s="55" t="s">
        <v>78</v>
      </c>
      <c r="N256" s="55" t="s">
        <v>79</v>
      </c>
      <c r="O256" s="55" t="s">
        <v>224</v>
      </c>
      <c r="P256" s="55" t="s">
        <v>110</v>
      </c>
      <c r="Q256" s="67" t="str">
        <f>IFERROR(__xludf.DUMMYFUNCTION("""COMPUTED_VALUE"""),"Taiwan.giaotiep.CSBQ_16917_MES_NamNH_091123")</f>
        <v>Taiwan.giaotiep.CSBQ_16917_MES_NamNH_091123</v>
      </c>
      <c r="R256" s="67" t="str">
        <f>IFERROR(__xludf.DUMMYFUNCTION("""COMPUTED_VALUE"""),"NEW_Taiwan_1840_none_091123")</f>
        <v>NEW_Taiwan_1840_none_091123</v>
      </c>
      <c r="S256" s="67" t="str">
        <f>IFERROR(__xludf.DUMMYFUNCTION("""COMPUTED_VALUE"""),"saletructiep_Taiwan.CSBQ.1840.giaotiep_PTATT_LD153")</f>
        <v>saletructiep_Taiwan.CSBQ.1840.giaotiep_PTATT_LD153</v>
      </c>
      <c r="T256" s="107" t="str">
        <f>IFERROR(__xludf.DUMMYFUNCTION("""COMPUTED_VALUE"""),"https://patadovietnam.edu.vn/tienganhgiaotiep_hn/?utm_source=Facebook&amp;utm_medium=MES&amp;utm_term=NEW_Taiwan_1840_none_091123&amp;utm_content=saletructiep_Taiwan.CSBQ.1840.giaotiep_PTATT_LD153&amp;utm_campaign=Taiwan.giaotiep.CSBQ_16917_MES_NamNH_091123")</f>
        <v>https://patadovietnam.edu.vn/tienganhgiaotiep_hn/?utm_source=Facebook&amp;utm_medium=MES&amp;utm_term=NEW_Taiwan_1840_none_091123&amp;utm_content=saletructiep_Taiwan.CSBQ.1840.giaotiep_PTATT_LD153&amp;utm_campaign=Taiwan.giaotiep.CSBQ_16917_MES_NamNH_091123</v>
      </c>
      <c r="U256" s="110" t="s">
        <v>2896</v>
      </c>
    </row>
    <row r="257">
      <c r="A257" s="72">
        <v>45239.0</v>
      </c>
      <c r="B257" s="75" t="s">
        <v>1134</v>
      </c>
      <c r="C257" s="67" t="str">
        <f>IFERROR(__xludf.DUMMYFUNCTION("""COMPUTED_VALUE"""),"LD153")</f>
        <v>LD153</v>
      </c>
      <c r="D257" s="55" t="s">
        <v>42</v>
      </c>
      <c r="E257" s="55" t="s">
        <v>79</v>
      </c>
      <c r="F257" s="55" t="s">
        <v>625</v>
      </c>
      <c r="G257" s="55">
        <v>1840.0</v>
      </c>
      <c r="H257" s="55" t="s">
        <v>1137</v>
      </c>
      <c r="I257" s="55" t="s">
        <v>2899</v>
      </c>
      <c r="J257" s="55" t="s">
        <v>2900</v>
      </c>
      <c r="K257" s="55" t="s">
        <v>61</v>
      </c>
      <c r="L257" s="55">
        <v>95360.0</v>
      </c>
      <c r="M257" s="55" t="s">
        <v>78</v>
      </c>
      <c r="N257" s="55" t="s">
        <v>79</v>
      </c>
      <c r="O257" s="55" t="s">
        <v>224</v>
      </c>
      <c r="P257" s="55" t="s">
        <v>110</v>
      </c>
      <c r="Q257" s="67" t="str">
        <f>IFERROR(__xludf.DUMMYFUNCTION("""COMPUTED_VALUE"""),"KoreaSouth.giaotiep.CSBQ_95360_MES_NamNH_091123")</f>
        <v>KoreaSouth.giaotiep.CSBQ_95360_MES_NamNH_091123</v>
      </c>
      <c r="R257" s="67" t="str">
        <f>IFERROR(__xludf.DUMMYFUNCTION("""COMPUTED_VALUE"""),"NEW_KoreaSouth_1840_none_091123")</f>
        <v>NEW_KoreaSouth_1840_none_091123</v>
      </c>
      <c r="S257" s="67" t="str">
        <f>IFERROR(__xludf.DUMMYFUNCTION("""COMPUTED_VALUE"""),"saletructiep_KoreaSouth.CSBQ.1840.giaotiep_PTATT_LD153")</f>
        <v>saletructiep_KoreaSouth.CSBQ.1840.giaotiep_PTATT_LD153</v>
      </c>
      <c r="T257" s="107" t="str">
        <f>IFERROR(__xludf.DUMMYFUNCTION("""COMPUTED_VALUE"""),"https://patadovietnam.edu.vn/tienganhgiaotiep_hn/?utm_source=Facebook&amp;utm_medium=MES&amp;utm_term=NEW_KoreaSouth_1840_none_091123&amp;utm_content=saletructiep_KoreaSouth.CSBQ.1840.giaotiep_PTATT_LD153&amp;utm_campaign=KoreaSouth.giaotiep.CSBQ_95360_MES_NamNH_091123")</f>
        <v>https://patadovietnam.edu.vn/tienganhgiaotiep_hn/?utm_source=Facebook&amp;utm_medium=MES&amp;utm_term=NEW_KoreaSouth_1840_none_091123&amp;utm_content=saletructiep_KoreaSouth.CSBQ.1840.giaotiep_PTATT_LD153&amp;utm_campaign=KoreaSouth.giaotiep.CSBQ_95360_MES_NamNH_091123</v>
      </c>
      <c r="U257" s="110" t="s">
        <v>2903</v>
      </c>
    </row>
    <row r="258">
      <c r="A258" s="72">
        <v>45239.0</v>
      </c>
      <c r="B258" s="75" t="s">
        <v>1134</v>
      </c>
      <c r="C258" s="67" t="str">
        <f>IFERROR(__xludf.DUMMYFUNCTION("""COMPUTED_VALUE"""),"LD153")</f>
        <v>LD153</v>
      </c>
      <c r="D258" s="55" t="s">
        <v>42</v>
      </c>
      <c r="E258" s="55" t="s">
        <v>79</v>
      </c>
      <c r="F258" s="55" t="s">
        <v>112</v>
      </c>
      <c r="G258" s="55">
        <v>1840.0</v>
      </c>
      <c r="H258" s="55" t="s">
        <v>1137</v>
      </c>
      <c r="I258" s="55" t="s">
        <v>2904</v>
      </c>
      <c r="J258" s="55" t="s">
        <v>2905</v>
      </c>
      <c r="K258" s="55" t="s">
        <v>61</v>
      </c>
      <c r="L258" s="55">
        <v>95360.0</v>
      </c>
      <c r="M258" s="55" t="s">
        <v>78</v>
      </c>
      <c r="N258" s="55" t="s">
        <v>79</v>
      </c>
      <c r="O258" s="55" t="s">
        <v>224</v>
      </c>
      <c r="P258" s="55" t="s">
        <v>110</v>
      </c>
      <c r="Q258" s="67" t="str">
        <f>IFERROR(__xludf.DUMMYFUNCTION("""COMPUTED_VALUE"""),"Canada.giaotiep.CSBQ_95360_MES_NamNH_091123")</f>
        <v>Canada.giaotiep.CSBQ_95360_MES_NamNH_091123</v>
      </c>
      <c r="R258" s="67" t="str">
        <f>IFERROR(__xludf.DUMMYFUNCTION("""COMPUTED_VALUE"""),"NEW_Canada_1840_none_091123")</f>
        <v>NEW_Canada_1840_none_091123</v>
      </c>
      <c r="S258" s="67" t="str">
        <f>IFERROR(__xludf.DUMMYFUNCTION("""COMPUTED_VALUE"""),"saletructiep_Canada.CSBQ.1840.giaotiep_PTATT_LD153")</f>
        <v>saletructiep_Canada.CSBQ.1840.giaotiep_PTATT_LD153</v>
      </c>
      <c r="T258" s="107" t="str">
        <f>IFERROR(__xludf.DUMMYFUNCTION("""COMPUTED_VALUE"""),"https://patadovietnam.edu.vn/tienganhgiaotiep_hn/?utm_source=Facebook&amp;utm_medium=MES&amp;utm_term=NEW_Canada_1840_none_091123&amp;utm_content=saletructiep_Canada.CSBQ.1840.giaotiep_PTATT_LD153&amp;utm_campaign=Canada.giaotiep.CSBQ_95360_MES_NamNH_091123")</f>
        <v>https://patadovietnam.edu.vn/tienganhgiaotiep_hn/?utm_source=Facebook&amp;utm_medium=MES&amp;utm_term=NEW_Canada_1840_none_091123&amp;utm_content=saletructiep_Canada.CSBQ.1840.giaotiep_PTATT_LD153&amp;utm_campaign=Canada.giaotiep.CSBQ_95360_MES_NamNH_091123</v>
      </c>
      <c r="U258" s="110" t="s">
        <v>2909</v>
      </c>
    </row>
    <row r="259">
      <c r="A259" s="72">
        <v>45239.0</v>
      </c>
      <c r="B259" s="75" t="s">
        <v>1134</v>
      </c>
      <c r="C259" s="67" t="str">
        <f>IFERROR(__xludf.DUMMYFUNCTION("""COMPUTED_VALUE"""),"LD153")</f>
        <v>LD153</v>
      </c>
      <c r="D259" s="55" t="s">
        <v>42</v>
      </c>
      <c r="E259" s="55" t="s">
        <v>79</v>
      </c>
      <c r="F259" s="55" t="s">
        <v>174</v>
      </c>
      <c r="G259" s="55">
        <v>1840.0</v>
      </c>
      <c r="H259" s="55" t="s">
        <v>1137</v>
      </c>
      <c r="I259" s="55" t="s">
        <v>2911</v>
      </c>
      <c r="J259" s="55" t="s">
        <v>2912</v>
      </c>
      <c r="K259" s="55" t="s">
        <v>61</v>
      </c>
      <c r="L259" s="55">
        <v>95360.0</v>
      </c>
      <c r="M259" s="55" t="s">
        <v>78</v>
      </c>
      <c r="N259" s="55" t="s">
        <v>79</v>
      </c>
      <c r="O259" s="55" t="s">
        <v>224</v>
      </c>
      <c r="P259" s="55" t="s">
        <v>110</v>
      </c>
      <c r="Q259" s="67" t="str">
        <f>IFERROR(__xludf.DUMMYFUNCTION("""COMPUTED_VALUE"""),"Philippines.giaotiep.CSBQ_95360_MES_NamNH_091123")</f>
        <v>Philippines.giaotiep.CSBQ_95360_MES_NamNH_091123</v>
      </c>
      <c r="R259" s="67" t="str">
        <f>IFERROR(__xludf.DUMMYFUNCTION("""COMPUTED_VALUE"""),"NEW_Philippines_1840_none_091123")</f>
        <v>NEW_Philippines_1840_none_091123</v>
      </c>
      <c r="S259" s="67" t="str">
        <f>IFERROR(__xludf.DUMMYFUNCTION("""COMPUTED_VALUE"""),"saletructiep_Philippines.CSBQ.1840.giaotiep_PTATT_LD153")</f>
        <v>saletructiep_Philippines.CSBQ.1840.giaotiep_PTATT_LD153</v>
      </c>
      <c r="T259" s="107" t="str">
        <f>IFERROR(__xludf.DUMMYFUNCTION("""COMPUTED_VALUE"""),"https://patadovietnam.edu.vn/tienganhgiaotiep_hn/?utm_source=Facebook&amp;utm_medium=MES&amp;utm_term=NEW_Philippines_1840_none_091123&amp;utm_content=saletructiep_Philippines.CSBQ.1840.giaotiep_PTATT_LD153&amp;utm_campaign=Philippines.giaotiep.CSBQ_95360_MES_NamNH_09112"&amp;"3")</f>
        <v>https://patadovietnam.edu.vn/tienganhgiaotiep_hn/?utm_source=Facebook&amp;utm_medium=MES&amp;utm_term=NEW_Philippines_1840_none_091123&amp;utm_content=saletructiep_Philippines.CSBQ.1840.giaotiep_PTATT_LD153&amp;utm_campaign=Philippines.giaotiep.CSBQ_95360_MES_NamNH_091123</v>
      </c>
      <c r="U259" s="110" t="s">
        <v>2913</v>
      </c>
    </row>
    <row r="260">
      <c r="A260" s="72">
        <v>45244.0</v>
      </c>
      <c r="B260" s="75" t="s">
        <v>1229</v>
      </c>
      <c r="C260" s="67" t="str">
        <f>IFERROR(__xludf.DUMMYFUNCTION("""COMPUTED_VALUE"""),"LD164")</f>
        <v>LD164</v>
      </c>
      <c r="D260" s="55" t="s">
        <v>42</v>
      </c>
      <c r="E260" s="55" t="s">
        <v>69</v>
      </c>
      <c r="F260" s="55" t="s">
        <v>133</v>
      </c>
      <c r="G260" s="55">
        <v>1840.0</v>
      </c>
      <c r="H260" s="55" t="s">
        <v>1137</v>
      </c>
      <c r="I260" s="55" t="s">
        <v>2916</v>
      </c>
      <c r="J260" s="55" t="s">
        <v>2917</v>
      </c>
      <c r="K260" s="55" t="s">
        <v>61</v>
      </c>
      <c r="L260" s="55">
        <v>16917.0</v>
      </c>
      <c r="M260" s="55" t="s">
        <v>78</v>
      </c>
      <c r="N260" s="55" t="s">
        <v>69</v>
      </c>
      <c r="O260" s="55" t="s">
        <v>224</v>
      </c>
      <c r="P260" s="55" t="s">
        <v>110</v>
      </c>
      <c r="Q260" s="67" t="str">
        <f>IFERROR(__xludf.DUMMYFUNCTION("""COMPUTED_VALUE"""),"Japan.giaotiep.anhTK_16917_CVS_NamNH_141123")</f>
        <v>Japan.giaotiep.anhTK_16917_CVS_NamNH_141123</v>
      </c>
      <c r="R260" s="67" t="str">
        <f>IFERROR(__xludf.DUMMYFUNCTION("""COMPUTED_VALUE"""),"NEW_Japan_1840_none_141123")</f>
        <v>NEW_Japan_1840_none_141123</v>
      </c>
      <c r="S260" s="67" t="str">
        <f>IFERROR(__xludf.DUMMYFUNCTION("""COMPUTED_VALUE"""),"saletructiep_Japan.anhTK.1840.giaotiep_PTATT_LD164")</f>
        <v>saletructiep_Japan.anhTK.1840.giaotiep_PTATT_LD164</v>
      </c>
      <c r="T260" s="107" t="str">
        <f>IFERROR(__xludf.DUMMYFUNCTION("""COMPUTED_VALUE"""),"https://patadovietnam.edu.vn/gtjapan_nhn3/?utm_source=Facebook&amp;utm_medium=CVS&amp;utm_term=NEW_Japan_1840_none_141123&amp;utm_content=saletructiep_Japan.anhTK.1840.giaotiep_PTATT_LD164&amp;utm_campaign=Japan.giaotiep.anhTK_16917_CVS_NamNH_141123")</f>
        <v>https://patadovietnam.edu.vn/gtjapan_nhn3/?utm_source=Facebook&amp;utm_medium=CVS&amp;utm_term=NEW_Japan_1840_none_141123&amp;utm_content=saletructiep_Japan.anhTK.1840.giaotiep_PTATT_LD164&amp;utm_campaign=Japan.giaotiep.anhTK_16917_CVS_NamNH_141123</v>
      </c>
      <c r="U260" s="110" t="s">
        <v>2918</v>
      </c>
    </row>
    <row r="261">
      <c r="A261" s="72">
        <v>45244.0</v>
      </c>
      <c r="B261" s="75" t="s">
        <v>1134</v>
      </c>
      <c r="C261" s="67" t="str">
        <f>IFERROR(__xludf.DUMMYFUNCTION("""COMPUTED_VALUE"""),"LD153")</f>
        <v>LD153</v>
      </c>
      <c r="D261" s="55" t="s">
        <v>42</v>
      </c>
      <c r="E261" s="55" t="s">
        <v>79</v>
      </c>
      <c r="F261" s="55" t="s">
        <v>164</v>
      </c>
      <c r="G261" s="55">
        <v>1840.0</v>
      </c>
      <c r="H261" s="55" t="s">
        <v>1137</v>
      </c>
      <c r="I261" s="55" t="s">
        <v>2921</v>
      </c>
      <c r="J261" s="55" t="s">
        <v>2922</v>
      </c>
      <c r="K261" s="55" t="s">
        <v>61</v>
      </c>
      <c r="L261" s="55">
        <v>95360.0</v>
      </c>
      <c r="M261" s="55" t="s">
        <v>78</v>
      </c>
      <c r="N261" s="55" t="s">
        <v>79</v>
      </c>
      <c r="O261" s="55" t="s">
        <v>224</v>
      </c>
      <c r="P261" s="55" t="s">
        <v>110</v>
      </c>
      <c r="Q261" s="67" t="str">
        <f>IFERROR(__xludf.DUMMYFUNCTION("""COMPUTED_VALUE"""),"Taiwan.giaotiep.anhTK1_95360_MES_NamNH_141123")</f>
        <v>Taiwan.giaotiep.anhTK1_95360_MES_NamNH_141123</v>
      </c>
      <c r="R261" s="67" t="str">
        <f>IFERROR(__xludf.DUMMYFUNCTION("""COMPUTED_VALUE"""),"NEW_Taiwan_1840_none_141123")</f>
        <v>NEW_Taiwan_1840_none_141123</v>
      </c>
      <c r="S261" s="67" t="str">
        <f>IFERROR(__xludf.DUMMYFUNCTION("""COMPUTED_VALUE"""),"saletructiep_Taiwan.anhTK1.1840.giaotiep_PTATT_LD153")</f>
        <v>saletructiep_Taiwan.anhTK1.1840.giaotiep_PTATT_LD153</v>
      </c>
      <c r="T261" s="107" t="str">
        <f>IFERROR(__xludf.DUMMYFUNCTION("""COMPUTED_VALUE"""),"https://patadovietnam.edu.vn/tienganhgiaotiep_hn/?utm_source=Facebook&amp;utm_medium=MES&amp;utm_term=NEW_Taiwan_1840_none_141123&amp;utm_content=saletructiep_Taiwan.anhTK1.1840.giaotiep_PTATT_LD153&amp;utm_campaign=Taiwan.giaotiep.anhTK1_95360_MES_NamNH_141123")</f>
        <v>https://patadovietnam.edu.vn/tienganhgiaotiep_hn/?utm_source=Facebook&amp;utm_medium=MES&amp;utm_term=NEW_Taiwan_1840_none_141123&amp;utm_content=saletructiep_Taiwan.anhTK1.1840.giaotiep_PTATT_LD153&amp;utm_campaign=Taiwan.giaotiep.anhTK1_95360_MES_NamNH_141123</v>
      </c>
      <c r="U261" s="110" t="s">
        <v>2923</v>
      </c>
    </row>
    <row r="262">
      <c r="A262" s="72">
        <v>45245.0</v>
      </c>
      <c r="B262" s="75" t="s">
        <v>1245</v>
      </c>
      <c r="C262" s="67" t="str">
        <f>IFERROR(__xludf.DUMMYFUNCTION("""COMPUTED_VALUE"""),"LD161")</f>
        <v>LD161</v>
      </c>
      <c r="D262" s="55" t="s">
        <v>42</v>
      </c>
      <c r="E262" s="55" t="s">
        <v>79</v>
      </c>
      <c r="F262" s="55" t="s">
        <v>107</v>
      </c>
      <c r="G262" s="55">
        <v>1840.0</v>
      </c>
      <c r="H262" s="55" t="s">
        <v>1137</v>
      </c>
      <c r="I262" s="55" t="s">
        <v>2924</v>
      </c>
      <c r="J262" s="55" t="s">
        <v>2925</v>
      </c>
      <c r="K262" s="55" t="s">
        <v>61</v>
      </c>
      <c r="L262" s="55">
        <v>16917.0</v>
      </c>
      <c r="M262" s="55" t="s">
        <v>78</v>
      </c>
      <c r="N262" s="55" t="s">
        <v>79</v>
      </c>
      <c r="O262" s="55" t="s">
        <v>224</v>
      </c>
      <c r="P262" s="55" t="s">
        <v>110</v>
      </c>
      <c r="Q262" s="67" t="str">
        <f>IFERROR(__xludf.DUMMYFUNCTION("""COMPUTED_VALUE"""),"UnitedStates.giaotiep.anhTK1_16917_MES_NamNH_151123")</f>
        <v>UnitedStates.giaotiep.anhTK1_16917_MES_NamNH_151123</v>
      </c>
      <c r="R262" s="67" t="str">
        <f>IFERROR(__xludf.DUMMYFUNCTION("""COMPUTED_VALUE"""),"NEW_UnitedStates_1840_none_151123")</f>
        <v>NEW_UnitedStates_1840_none_151123</v>
      </c>
      <c r="S262" s="67" t="str">
        <f>IFERROR(__xludf.DUMMYFUNCTION("""COMPUTED_VALUE"""),"saletructiep_UnitedStates.anhTK1.1840.giaotiep_PTATT_LD161")</f>
        <v>saletructiep_UnitedStates.anhTK1.1840.giaotiep_PTATT_LD161</v>
      </c>
      <c r="T262" s="107" t="str">
        <f>IFERROR(__xludf.DUMMYFUNCTION("""COMPUTED_VALUE"""),"https://patadovietnam.edu.vn/gtusa1_nhn/?utm_source=Facebook&amp;utm_medium=MES&amp;utm_term=NEW_UnitedStates_1840_none_151123&amp;utm_content=saletructiep_UnitedStates.anhTK1.1840.giaotiep_PTATT_LD161&amp;utm_campaign=UnitedStates.giaotiep.anhTK1_16917_MES_NamNH_151123")</f>
        <v>https://patadovietnam.edu.vn/gtusa1_nhn/?utm_source=Facebook&amp;utm_medium=MES&amp;utm_term=NEW_UnitedStates_1840_none_151123&amp;utm_content=saletructiep_UnitedStates.anhTK1.1840.giaotiep_PTATT_LD161&amp;utm_campaign=UnitedStates.giaotiep.anhTK1_16917_MES_NamNH_151123</v>
      </c>
      <c r="U262" s="110" t="s">
        <v>2926</v>
      </c>
    </row>
    <row r="263">
      <c r="A263" s="72">
        <v>45245.0</v>
      </c>
      <c r="B263" s="75" t="s">
        <v>1134</v>
      </c>
      <c r="C263" s="67" t="str">
        <f>IFERROR(__xludf.DUMMYFUNCTION("""COMPUTED_VALUE"""),"LD153")</f>
        <v>LD153</v>
      </c>
      <c r="D263" s="55" t="s">
        <v>42</v>
      </c>
      <c r="E263" s="55" t="s">
        <v>79</v>
      </c>
      <c r="F263" s="55" t="s">
        <v>625</v>
      </c>
      <c r="G263" s="55">
        <v>1840.0</v>
      </c>
      <c r="H263" s="55" t="s">
        <v>1137</v>
      </c>
      <c r="I263" s="55" t="s">
        <v>2927</v>
      </c>
      <c r="J263" s="55" t="s">
        <v>2928</v>
      </c>
      <c r="K263" s="55" t="s">
        <v>61</v>
      </c>
      <c r="L263" s="55">
        <v>95360.0</v>
      </c>
      <c r="M263" s="55" t="s">
        <v>78</v>
      </c>
      <c r="N263" s="55" t="s">
        <v>79</v>
      </c>
      <c r="O263" s="55" t="s">
        <v>224</v>
      </c>
      <c r="P263" s="55" t="s">
        <v>110</v>
      </c>
      <c r="Q263" s="67" t="str">
        <f>IFERROR(__xludf.DUMMYFUNCTION("""COMPUTED_VALUE"""),"KoreaSouth.giaotiep.anhTK1_95360_MES_NamNH_151123")</f>
        <v>KoreaSouth.giaotiep.anhTK1_95360_MES_NamNH_151123</v>
      </c>
      <c r="R263" s="67" t="str">
        <f>IFERROR(__xludf.DUMMYFUNCTION("""COMPUTED_VALUE"""),"NEW_KoreaSouth_1840_none_151123")</f>
        <v>NEW_KoreaSouth_1840_none_151123</v>
      </c>
      <c r="S263" s="67" t="str">
        <f>IFERROR(__xludf.DUMMYFUNCTION("""COMPUTED_VALUE"""),"saletructiep_KoreaSouth.anhTK1.1840.giaotiep_PTATT_LD153")</f>
        <v>saletructiep_KoreaSouth.anhTK1.1840.giaotiep_PTATT_LD153</v>
      </c>
      <c r="T263" s="107" t="str">
        <f>IFERROR(__xludf.DUMMYFUNCTION("""COMPUTED_VALUE"""),"https://patadovietnam.edu.vn/tienganhgiaotiep_hn/?utm_source=Facebook&amp;utm_medium=MES&amp;utm_term=NEW_KoreaSouth_1840_none_151123&amp;utm_content=saletructiep_KoreaSouth.anhTK1.1840.giaotiep_PTATT_LD153&amp;utm_campaign=KoreaSouth.giaotiep.anhTK1_95360_MES_NamNH_1511"&amp;"23")</f>
        <v>https://patadovietnam.edu.vn/tienganhgiaotiep_hn/?utm_source=Facebook&amp;utm_medium=MES&amp;utm_term=NEW_KoreaSouth_1840_none_151123&amp;utm_content=saletructiep_KoreaSouth.anhTK1.1840.giaotiep_PTATT_LD153&amp;utm_campaign=KoreaSouth.giaotiep.anhTK1_95360_MES_NamNH_151123</v>
      </c>
      <c r="U263" s="110" t="s">
        <v>2931</v>
      </c>
    </row>
    <row r="264">
      <c r="A264" s="72">
        <v>45245.0</v>
      </c>
      <c r="B264" s="75" t="s">
        <v>1134</v>
      </c>
      <c r="C264" s="67" t="str">
        <f>IFERROR(__xludf.DUMMYFUNCTION("""COMPUTED_VALUE"""),"LD153")</f>
        <v>LD153</v>
      </c>
      <c r="D264" s="55" t="s">
        <v>42</v>
      </c>
      <c r="E264" s="55" t="s">
        <v>79</v>
      </c>
      <c r="F264" s="55" t="s">
        <v>174</v>
      </c>
      <c r="G264" s="55">
        <v>1840.0</v>
      </c>
      <c r="H264" s="55" t="s">
        <v>1137</v>
      </c>
      <c r="I264" s="55" t="s">
        <v>2932</v>
      </c>
      <c r="J264" s="55" t="s">
        <v>2933</v>
      </c>
      <c r="K264" s="55" t="s">
        <v>61</v>
      </c>
      <c r="L264" s="55">
        <v>95360.0</v>
      </c>
      <c r="M264" s="55" t="s">
        <v>78</v>
      </c>
      <c r="N264" s="55" t="s">
        <v>79</v>
      </c>
      <c r="O264" s="55" t="s">
        <v>224</v>
      </c>
      <c r="P264" s="55" t="s">
        <v>110</v>
      </c>
      <c r="Q264" s="67" t="str">
        <f>IFERROR(__xludf.DUMMYFUNCTION("""COMPUTED_VALUE"""),"Philippines.giaotiep.anhTK1_95360_MES_NamNH_151123")</f>
        <v>Philippines.giaotiep.anhTK1_95360_MES_NamNH_151123</v>
      </c>
      <c r="R264" s="67" t="str">
        <f>IFERROR(__xludf.DUMMYFUNCTION("""COMPUTED_VALUE"""),"NEW_Philippines_1840_none_151123")</f>
        <v>NEW_Philippines_1840_none_151123</v>
      </c>
      <c r="S264" s="67" t="str">
        <f>IFERROR(__xludf.DUMMYFUNCTION("""COMPUTED_VALUE"""),"saletructiep_Philippines.anhTK1.1840.giaotiep_PTATT_LD153")</f>
        <v>saletructiep_Philippines.anhTK1.1840.giaotiep_PTATT_LD153</v>
      </c>
      <c r="T264" s="107" t="str">
        <f>IFERROR(__xludf.DUMMYFUNCTION("""COMPUTED_VALUE"""),"https://patadovietnam.edu.vn/tienganhgiaotiep_hn/?utm_source=Facebook&amp;utm_medium=MES&amp;utm_term=NEW_Philippines_1840_none_151123&amp;utm_content=saletructiep_Philippines.anhTK1.1840.giaotiep_PTATT_LD153&amp;utm_campaign=Philippines.giaotiep.anhTK1_95360_MES_NamNH_1"&amp;"51123")</f>
        <v>https://patadovietnam.edu.vn/tienganhgiaotiep_hn/?utm_source=Facebook&amp;utm_medium=MES&amp;utm_term=NEW_Philippines_1840_none_151123&amp;utm_content=saletructiep_Philippines.anhTK1.1840.giaotiep_PTATT_LD153&amp;utm_campaign=Philippines.giaotiep.anhTK1_95360_MES_NamNH_151123</v>
      </c>
      <c r="U264" s="110" t="s">
        <v>2934</v>
      </c>
    </row>
    <row r="265">
      <c r="A265" s="72">
        <v>45245.0</v>
      </c>
      <c r="B265" s="75" t="s">
        <v>1134</v>
      </c>
      <c r="C265" s="67" t="str">
        <f>IFERROR(__xludf.DUMMYFUNCTION("""COMPUTED_VALUE"""),"LD153")</f>
        <v>LD153</v>
      </c>
      <c r="D265" s="55" t="s">
        <v>42</v>
      </c>
      <c r="E265" s="55" t="s">
        <v>69</v>
      </c>
      <c r="F265" s="55" t="s">
        <v>674</v>
      </c>
      <c r="G265" s="55">
        <v>1840.0</v>
      </c>
      <c r="H265" s="55" t="s">
        <v>1137</v>
      </c>
      <c r="I265" s="55" t="s">
        <v>2935</v>
      </c>
      <c r="J265" s="55" t="s">
        <v>2936</v>
      </c>
      <c r="K265" s="55" t="s">
        <v>61</v>
      </c>
      <c r="L265" s="55">
        <v>16917.0</v>
      </c>
      <c r="M265" s="55" t="s">
        <v>78</v>
      </c>
      <c r="N265" s="55" t="s">
        <v>69</v>
      </c>
      <c r="O265" s="55" t="s">
        <v>224</v>
      </c>
      <c r="P265" s="55" t="s">
        <v>110</v>
      </c>
      <c r="Q265" s="67" t="str">
        <f>IFERROR(__xludf.DUMMYFUNCTION("""COMPUTED_VALUE"""),"Europe.giaotiep.anhTK_16917_CVS_NamNH_151123")</f>
        <v>Europe.giaotiep.anhTK_16917_CVS_NamNH_151123</v>
      </c>
      <c r="R265" s="67" t="str">
        <f>IFERROR(__xludf.DUMMYFUNCTION("""COMPUTED_VALUE"""),"NEW_Europe_1840_none_151123")</f>
        <v>NEW_Europe_1840_none_151123</v>
      </c>
      <c r="S265" s="67" t="str">
        <f>IFERROR(__xludf.DUMMYFUNCTION("""COMPUTED_VALUE"""),"saletructiep_Europe.anhTK.1840.giaotiep_PTATT_LD153")</f>
        <v>saletructiep_Europe.anhTK.1840.giaotiep_PTATT_LD153</v>
      </c>
      <c r="T265" s="107" t="str">
        <f>IFERROR(__xludf.DUMMYFUNCTION("""COMPUTED_VALUE"""),"https://patadovietnam.edu.vn/tienganhgiaotiep_hn/?utm_source=Facebook&amp;utm_medium=CVS&amp;utm_term=NEW_Europe_1840_none_151123&amp;utm_content=saletructiep_Europe.anhTK.1840.giaotiep_PTATT_LD153&amp;utm_campaign=Europe.giaotiep.anhTK_16917_CVS_NamNH_151123")</f>
        <v>https://patadovietnam.edu.vn/tienganhgiaotiep_hn/?utm_source=Facebook&amp;utm_medium=CVS&amp;utm_term=NEW_Europe_1840_none_151123&amp;utm_content=saletructiep_Europe.anhTK.1840.giaotiep_PTATT_LD153&amp;utm_campaign=Europe.giaotiep.anhTK_16917_CVS_NamNH_151123</v>
      </c>
      <c r="U265" s="110" t="s">
        <v>2939</v>
      </c>
    </row>
    <row r="266">
      <c r="A266" s="72">
        <v>45245.0</v>
      </c>
      <c r="B266" s="75" t="s">
        <v>1134</v>
      </c>
      <c r="C266" s="67" t="str">
        <f>IFERROR(__xludf.DUMMYFUNCTION("""COMPUTED_VALUE"""),"LD153")</f>
        <v>LD153</v>
      </c>
      <c r="D266" s="55" t="s">
        <v>42</v>
      </c>
      <c r="E266" s="55" t="s">
        <v>79</v>
      </c>
      <c r="F266" s="55" t="s">
        <v>112</v>
      </c>
      <c r="G266" s="55">
        <v>1840.0</v>
      </c>
      <c r="H266" s="55" t="s">
        <v>1137</v>
      </c>
      <c r="I266" s="55" t="s">
        <v>2942</v>
      </c>
      <c r="J266" s="55" t="s">
        <v>2943</v>
      </c>
      <c r="K266" s="55" t="s">
        <v>61</v>
      </c>
      <c r="L266" s="55">
        <v>95360.0</v>
      </c>
      <c r="M266" s="55" t="s">
        <v>78</v>
      </c>
      <c r="N266" s="55" t="s">
        <v>79</v>
      </c>
      <c r="O266" s="55" t="s">
        <v>224</v>
      </c>
      <c r="P266" s="55" t="s">
        <v>110</v>
      </c>
      <c r="Q266" s="67" t="str">
        <f>IFERROR(__xludf.DUMMYFUNCTION("""COMPUTED_VALUE"""),"Canada.giaotiep.anhTK_95360_MES_NamNH_151123")</f>
        <v>Canada.giaotiep.anhTK_95360_MES_NamNH_151123</v>
      </c>
      <c r="R266" s="67" t="str">
        <f>IFERROR(__xludf.DUMMYFUNCTION("""COMPUTED_VALUE"""),"NEW_Canada_1840_none_151123")</f>
        <v>NEW_Canada_1840_none_151123</v>
      </c>
      <c r="S266" s="67" t="str">
        <f>IFERROR(__xludf.DUMMYFUNCTION("""COMPUTED_VALUE"""),"saletructiep_Canada.anhTK.1840.giaotiep_PTATT_LD153")</f>
        <v>saletructiep_Canada.anhTK.1840.giaotiep_PTATT_LD153</v>
      </c>
      <c r="T266" s="107" t="str">
        <f>IFERROR(__xludf.DUMMYFUNCTION("""COMPUTED_VALUE"""),"https://patadovietnam.edu.vn/tienganhgiaotiep_hn/?utm_source=Facebook&amp;utm_medium=MES&amp;utm_term=NEW_Canada_1840_none_151123&amp;utm_content=saletructiep_Canada.anhTK.1840.giaotiep_PTATT_LD153&amp;utm_campaign=Canada.giaotiep.anhTK_95360_MES_NamNH_151123")</f>
        <v>https://patadovietnam.edu.vn/tienganhgiaotiep_hn/?utm_source=Facebook&amp;utm_medium=MES&amp;utm_term=NEW_Canada_1840_none_151123&amp;utm_content=saletructiep_Canada.anhTK.1840.giaotiep_PTATT_LD153&amp;utm_campaign=Canada.giaotiep.anhTK_95360_MES_NamNH_151123</v>
      </c>
      <c r="U266" s="110" t="s">
        <v>2946</v>
      </c>
    </row>
    <row r="267">
      <c r="A267" s="72">
        <v>45245.0</v>
      </c>
      <c r="B267" s="75" t="s">
        <v>1134</v>
      </c>
      <c r="C267" s="67" t="str">
        <f>IFERROR(__xludf.DUMMYFUNCTION("""COMPUTED_VALUE"""),"LD153")</f>
        <v>LD153</v>
      </c>
      <c r="D267" s="55" t="s">
        <v>42</v>
      </c>
      <c r="E267" s="55" t="s">
        <v>69</v>
      </c>
      <c r="F267" s="55" t="s">
        <v>674</v>
      </c>
      <c r="G267" s="55">
        <v>1840.0</v>
      </c>
      <c r="H267" s="55" t="s">
        <v>1137</v>
      </c>
      <c r="I267" s="55" t="s">
        <v>2947</v>
      </c>
      <c r="J267" s="55" t="s">
        <v>2948</v>
      </c>
      <c r="K267" s="55" t="s">
        <v>61</v>
      </c>
      <c r="L267" s="55">
        <v>16917.0</v>
      </c>
      <c r="M267" s="55" t="s">
        <v>78</v>
      </c>
      <c r="N267" s="55" t="s">
        <v>69</v>
      </c>
      <c r="O267" s="55" t="s">
        <v>224</v>
      </c>
      <c r="P267" s="55" t="s">
        <v>110</v>
      </c>
      <c r="Q267" s="67" t="str">
        <f>IFERROR(__xludf.DUMMYFUNCTION("""COMPUTED_VALUE"""),"Europe.giaotiep.anhnote3_16917_CVS_NamNH_151123")</f>
        <v>Europe.giaotiep.anhnote3_16917_CVS_NamNH_151123</v>
      </c>
      <c r="R267" s="67" t="str">
        <f>IFERROR(__xludf.DUMMYFUNCTION("""COMPUTED_VALUE"""),"NEW_Europe_1840_none_151123")</f>
        <v>NEW_Europe_1840_none_151123</v>
      </c>
      <c r="S267" s="67" t="str">
        <f>IFERROR(__xludf.DUMMYFUNCTION("""COMPUTED_VALUE"""),"saletructiep_Europe.anhnote3.1840.giaotiep_PTATT_LD153")</f>
        <v>saletructiep_Europe.anhnote3.1840.giaotiep_PTATT_LD153</v>
      </c>
      <c r="T267" s="107" t="str">
        <f>IFERROR(__xludf.DUMMYFUNCTION("""COMPUTED_VALUE"""),"https://patadovietnam.edu.vn/tienganhgiaotiep_hn/?utm_source=Facebook&amp;utm_medium=CVS&amp;utm_term=NEW_Europe_1840_none_151123&amp;utm_content=saletructiep_Europe.anhnote3.1840.giaotiep_PTATT_LD153&amp;utm_campaign=Europe.giaotiep.anhnote3_16917_CVS_NamNH_151123")</f>
        <v>https://patadovietnam.edu.vn/tienganhgiaotiep_hn/?utm_source=Facebook&amp;utm_medium=CVS&amp;utm_term=NEW_Europe_1840_none_151123&amp;utm_content=saletructiep_Europe.anhnote3.1840.giaotiep_PTATT_LD153&amp;utm_campaign=Europe.giaotiep.anhnote3_16917_CVS_NamNH_151123</v>
      </c>
      <c r="U267" s="110" t="s">
        <v>2949</v>
      </c>
    </row>
    <row r="268">
      <c r="A268" s="134">
        <v>45247.0</v>
      </c>
      <c r="B268" s="148" t="s">
        <v>1134</v>
      </c>
      <c r="C268" s="92" t="str">
        <f>IFERROR(__xludf.DUMMYFUNCTION("""COMPUTED_VALUE"""),"LD153")</f>
        <v>LD153</v>
      </c>
      <c r="D268" s="136" t="s">
        <v>42</v>
      </c>
      <c r="E268" s="136" t="s">
        <v>79</v>
      </c>
      <c r="F268" s="136" t="s">
        <v>164</v>
      </c>
      <c r="G268" s="136">
        <v>1840.0</v>
      </c>
      <c r="H268" s="136" t="s">
        <v>1137</v>
      </c>
      <c r="I268" s="136" t="s">
        <v>2950</v>
      </c>
      <c r="J268" s="136" t="s">
        <v>2951</v>
      </c>
      <c r="K268" s="136" t="s">
        <v>61</v>
      </c>
      <c r="L268" s="136">
        <v>95360.0</v>
      </c>
      <c r="M268" s="136" t="s">
        <v>78</v>
      </c>
      <c r="N268" s="136" t="s">
        <v>79</v>
      </c>
      <c r="O268" s="136" t="s">
        <v>224</v>
      </c>
      <c r="P268" s="136" t="s">
        <v>110</v>
      </c>
      <c r="Q268" s="92" t="str">
        <f>IFERROR(__xludf.DUMMYFUNCTION("""COMPUTED_VALUE"""),"Taiwan.giaotiep.anhLKG_95360_MES_NamNH_171123")</f>
        <v>Taiwan.giaotiep.anhLKG_95360_MES_NamNH_171123</v>
      </c>
      <c r="R268" s="92" t="str">
        <f>IFERROR(__xludf.DUMMYFUNCTION("""COMPUTED_VALUE"""),"NEW_Taiwan_1840_none_171123")</f>
        <v>NEW_Taiwan_1840_none_171123</v>
      </c>
      <c r="S268" s="92" t="str">
        <f>IFERROR(__xludf.DUMMYFUNCTION("""COMPUTED_VALUE"""),"saletructiep_Taiwan.anhLKG.1840.giaotiep_PTATT_LD153")</f>
        <v>saletructiep_Taiwan.anhLKG.1840.giaotiep_PTATT_LD153</v>
      </c>
      <c r="T268" s="137" t="str">
        <f>IFERROR(__xludf.DUMMYFUNCTION("""COMPUTED_VALUE"""),"https://patadovietnam.edu.vn/tienganhgiaotiep_hn/?utm_source=Facebook&amp;utm_medium=MES&amp;utm_term=NEW_Taiwan_1840_none_171123&amp;utm_content=saletructiep_Taiwan.anhLKG.1840.giaotiep_PTATT_LD153&amp;utm_campaign=Taiwan.giaotiep.anhLKG_95360_MES_NamNH_171123")</f>
        <v>https://patadovietnam.edu.vn/tienganhgiaotiep_hn/?utm_source=Facebook&amp;utm_medium=MES&amp;utm_term=NEW_Taiwan_1840_none_171123&amp;utm_content=saletructiep_Taiwan.anhLKG.1840.giaotiep_PTATT_LD153&amp;utm_campaign=Taiwan.giaotiep.anhLKG_95360_MES_NamNH_171123</v>
      </c>
      <c r="U268" s="138" t="s">
        <v>2952</v>
      </c>
    </row>
    <row r="269">
      <c r="A269" s="72">
        <v>45247.0</v>
      </c>
      <c r="B269" s="75" t="s">
        <v>1134</v>
      </c>
      <c r="C269" s="67" t="str">
        <f>IFERROR(__xludf.DUMMYFUNCTION("""COMPUTED_VALUE"""),"LD153")</f>
        <v>LD153</v>
      </c>
      <c r="D269" s="55" t="s">
        <v>42</v>
      </c>
      <c r="E269" s="55" t="s">
        <v>79</v>
      </c>
      <c r="F269" s="55" t="s">
        <v>625</v>
      </c>
      <c r="G269" s="55">
        <v>1840.0</v>
      </c>
      <c r="H269" s="55" t="s">
        <v>1137</v>
      </c>
      <c r="I269" s="55" t="s">
        <v>2955</v>
      </c>
      <c r="J269" s="55" t="s">
        <v>2956</v>
      </c>
      <c r="K269" s="55" t="s">
        <v>61</v>
      </c>
      <c r="L269" s="55">
        <v>95360.0</v>
      </c>
      <c r="M269" s="55" t="s">
        <v>78</v>
      </c>
      <c r="N269" s="55" t="s">
        <v>79</v>
      </c>
      <c r="O269" s="55" t="s">
        <v>224</v>
      </c>
      <c r="P269" s="55" t="s">
        <v>110</v>
      </c>
      <c r="Q269" s="67" t="str">
        <f>IFERROR(__xludf.DUMMYFUNCTION("""COMPUTED_VALUE"""),"KoreaSouth.giaotiep.anhLKG_95360_MES_NamNH_171123")</f>
        <v>KoreaSouth.giaotiep.anhLKG_95360_MES_NamNH_171123</v>
      </c>
      <c r="R269" s="67" t="str">
        <f>IFERROR(__xludf.DUMMYFUNCTION("""COMPUTED_VALUE"""),"NEW_KoreaSouth_1840_none_171123")</f>
        <v>NEW_KoreaSouth_1840_none_171123</v>
      </c>
      <c r="S269" s="67" t="str">
        <f>IFERROR(__xludf.DUMMYFUNCTION("""COMPUTED_VALUE"""),"saletructiep_KoreaSouth.anhLKG.1840.giaotiep_PTATT_LD153")</f>
        <v>saletructiep_KoreaSouth.anhLKG.1840.giaotiep_PTATT_LD153</v>
      </c>
      <c r="T269" s="107" t="str">
        <f>IFERROR(__xludf.DUMMYFUNCTION("""COMPUTED_VALUE"""),"https://patadovietnam.edu.vn/tienganhgiaotiep_hn/?utm_source=Facebook&amp;utm_medium=MES&amp;utm_term=NEW_KoreaSouth_1840_none_171123&amp;utm_content=saletructiep_KoreaSouth.anhLKG.1840.giaotiep_PTATT_LD153&amp;utm_campaign=KoreaSouth.giaotiep.anhLKG_95360_MES_NamNH_1711"&amp;"23")</f>
        <v>https://patadovietnam.edu.vn/tienganhgiaotiep_hn/?utm_source=Facebook&amp;utm_medium=MES&amp;utm_term=NEW_KoreaSouth_1840_none_171123&amp;utm_content=saletructiep_KoreaSouth.anhLKG.1840.giaotiep_PTATT_LD153&amp;utm_campaign=KoreaSouth.giaotiep.anhLKG_95360_MES_NamNH_171123</v>
      </c>
      <c r="U269" s="110" t="s">
        <v>2957</v>
      </c>
    </row>
    <row r="270">
      <c r="A270" s="72">
        <v>45247.0</v>
      </c>
      <c r="B270" s="75" t="s">
        <v>1134</v>
      </c>
      <c r="C270" s="67" t="str">
        <f>IFERROR(__xludf.DUMMYFUNCTION("""COMPUTED_VALUE"""),"LD153")</f>
        <v>LD153</v>
      </c>
      <c r="D270" s="55" t="s">
        <v>42</v>
      </c>
      <c r="E270" s="55" t="s">
        <v>79</v>
      </c>
      <c r="F270" s="55" t="s">
        <v>182</v>
      </c>
      <c r="G270" s="55">
        <v>1840.0</v>
      </c>
      <c r="H270" s="55" t="s">
        <v>1137</v>
      </c>
      <c r="I270" s="55" t="s">
        <v>2958</v>
      </c>
      <c r="J270" s="55" t="s">
        <v>2959</v>
      </c>
      <c r="K270" s="55" t="s">
        <v>61</v>
      </c>
      <c r="L270" s="55">
        <v>95360.0</v>
      </c>
      <c r="M270" s="55" t="s">
        <v>78</v>
      </c>
      <c r="N270" s="55" t="s">
        <v>79</v>
      </c>
      <c r="O270" s="55" t="s">
        <v>224</v>
      </c>
      <c r="P270" s="55" t="s">
        <v>110</v>
      </c>
      <c r="Q270" s="67" t="str">
        <f>IFERROR(__xludf.DUMMYFUNCTION("""COMPUTED_VALUE"""),"Malaysia.giaotiep.anhLKG_95360_MES_NamNH_171123")</f>
        <v>Malaysia.giaotiep.anhLKG_95360_MES_NamNH_171123</v>
      </c>
      <c r="R270" s="67" t="str">
        <f>IFERROR(__xludf.DUMMYFUNCTION("""COMPUTED_VALUE"""),"NEW_Malaysia_1840_none_171123")</f>
        <v>NEW_Malaysia_1840_none_171123</v>
      </c>
      <c r="S270" s="67" t="str">
        <f>IFERROR(__xludf.DUMMYFUNCTION("""COMPUTED_VALUE"""),"saletructiep_Malaysia.anhLKG.1840.giaotiep_PTATT_LD153")</f>
        <v>saletructiep_Malaysia.anhLKG.1840.giaotiep_PTATT_LD153</v>
      </c>
      <c r="T270" s="107" t="str">
        <f>IFERROR(__xludf.DUMMYFUNCTION("""COMPUTED_VALUE"""),"https://patadovietnam.edu.vn/tienganhgiaotiep_hn/?utm_source=Facebook&amp;utm_medium=MES&amp;utm_term=NEW_Malaysia_1840_none_171123&amp;utm_content=saletructiep_Malaysia.anhLKG.1840.giaotiep_PTATT_LD153&amp;utm_campaign=Malaysia.giaotiep.anhLKG_95360_MES_NamNH_171123")</f>
        <v>https://patadovietnam.edu.vn/tienganhgiaotiep_hn/?utm_source=Facebook&amp;utm_medium=MES&amp;utm_term=NEW_Malaysia_1840_none_171123&amp;utm_content=saletructiep_Malaysia.anhLKG.1840.giaotiep_PTATT_LD153&amp;utm_campaign=Malaysia.giaotiep.anhLKG_95360_MES_NamNH_171123</v>
      </c>
      <c r="U270" s="110" t="s">
        <v>2960</v>
      </c>
    </row>
    <row r="271">
      <c r="A271" s="72">
        <v>45248.0</v>
      </c>
      <c r="B271" s="75" t="s">
        <v>1134</v>
      </c>
      <c r="C271" s="67" t="str">
        <f>IFERROR(__xludf.DUMMYFUNCTION("""COMPUTED_VALUE"""),"LD153")</f>
        <v>LD153</v>
      </c>
      <c r="D271" s="55" t="s">
        <v>42</v>
      </c>
      <c r="E271" s="55" t="s">
        <v>79</v>
      </c>
      <c r="F271" s="55" t="s">
        <v>174</v>
      </c>
      <c r="G271" s="55">
        <v>1840.0</v>
      </c>
      <c r="H271" s="55" t="s">
        <v>1137</v>
      </c>
      <c r="I271" s="55" t="s">
        <v>2961</v>
      </c>
      <c r="J271" s="55" t="s">
        <v>2962</v>
      </c>
      <c r="K271" s="55" t="s">
        <v>61</v>
      </c>
      <c r="L271" s="55">
        <v>95360.0</v>
      </c>
      <c r="M271" s="55" t="s">
        <v>78</v>
      </c>
      <c r="N271" s="55" t="s">
        <v>79</v>
      </c>
      <c r="O271" s="55" t="s">
        <v>224</v>
      </c>
      <c r="P271" s="55" t="s">
        <v>110</v>
      </c>
      <c r="Q271" s="67" t="str">
        <f>IFERROR(__xludf.DUMMYFUNCTION("""COMPUTED_VALUE"""),"Philippines.giaotiep.anhLKG_95360_MES_NamNH_181123")</f>
        <v>Philippines.giaotiep.anhLKG_95360_MES_NamNH_181123</v>
      </c>
      <c r="R271" s="67" t="str">
        <f>IFERROR(__xludf.DUMMYFUNCTION("""COMPUTED_VALUE"""),"NEW_Philippines_1840_none_181123")</f>
        <v>NEW_Philippines_1840_none_181123</v>
      </c>
      <c r="S271" s="67" t="str">
        <f>IFERROR(__xludf.DUMMYFUNCTION("""COMPUTED_VALUE"""),"saletructiep_Philippines.anhLKG.1840.giaotiep_PTATT_LD153")</f>
        <v>saletructiep_Philippines.anhLKG.1840.giaotiep_PTATT_LD153</v>
      </c>
      <c r="T271" s="107" t="str">
        <f>IFERROR(__xludf.DUMMYFUNCTION("""COMPUTED_VALUE"""),"https://patadovietnam.edu.vn/tienganhgiaotiep_hn/?utm_source=Facebook&amp;utm_medium=MES&amp;utm_term=NEW_Philippines_1840_none_181123&amp;utm_content=saletructiep_Philippines.anhLKG.1840.giaotiep_PTATT_LD153&amp;utm_campaign=Philippines.giaotiep.anhLKG_95360_MES_NamNH_1"&amp;"81123")</f>
        <v>https://patadovietnam.edu.vn/tienganhgiaotiep_hn/?utm_source=Facebook&amp;utm_medium=MES&amp;utm_term=NEW_Philippines_1840_none_181123&amp;utm_content=saletructiep_Philippines.anhLKG.1840.giaotiep_PTATT_LD153&amp;utm_campaign=Philippines.giaotiep.anhLKG_95360_MES_NamNH_181123</v>
      </c>
      <c r="U271" s="110" t="s">
        <v>2965</v>
      </c>
    </row>
    <row r="272">
      <c r="A272" s="72">
        <v>45247.0</v>
      </c>
      <c r="B272" s="75" t="s">
        <v>1245</v>
      </c>
      <c r="C272" s="67" t="str">
        <f>IFERROR(__xludf.DUMMYFUNCTION("""COMPUTED_VALUE"""),"LD161")</f>
        <v>LD161</v>
      </c>
      <c r="D272" s="55" t="s">
        <v>42</v>
      </c>
      <c r="E272" s="55" t="s">
        <v>79</v>
      </c>
      <c r="F272" s="55" t="s">
        <v>107</v>
      </c>
      <c r="G272" s="55">
        <v>1840.0</v>
      </c>
      <c r="H272" s="55" t="s">
        <v>1137</v>
      </c>
      <c r="I272" s="55" t="s">
        <v>2966</v>
      </c>
      <c r="J272" s="55" t="s">
        <v>2967</v>
      </c>
      <c r="K272" s="55" t="s">
        <v>61</v>
      </c>
      <c r="L272" s="55">
        <v>16917.0</v>
      </c>
      <c r="M272" s="55" t="s">
        <v>78</v>
      </c>
      <c r="N272" s="55" t="s">
        <v>79</v>
      </c>
      <c r="O272" s="55" t="s">
        <v>224</v>
      </c>
      <c r="P272" s="55" t="s">
        <v>110</v>
      </c>
      <c r="Q272" s="67" t="str">
        <f>IFERROR(__xludf.DUMMYFUNCTION("""COMPUTED_VALUE"""),"UnitedStates.giaotiep.anhLKG_16917_MES_NamNH_171123")</f>
        <v>UnitedStates.giaotiep.anhLKG_16917_MES_NamNH_171123</v>
      </c>
      <c r="R272" s="67" t="str">
        <f>IFERROR(__xludf.DUMMYFUNCTION("""COMPUTED_VALUE"""),"NEW_UnitedStates_1840_none_171123")</f>
        <v>NEW_UnitedStates_1840_none_171123</v>
      </c>
      <c r="S272" s="67" t="str">
        <f>IFERROR(__xludf.DUMMYFUNCTION("""COMPUTED_VALUE"""),"saletructiep_UnitedStates.anhLKG.1840.giaotiep_PTATT_LD161")</f>
        <v>saletructiep_UnitedStates.anhLKG.1840.giaotiep_PTATT_LD161</v>
      </c>
      <c r="T272" s="107" t="str">
        <f>IFERROR(__xludf.DUMMYFUNCTION("""COMPUTED_VALUE"""),"https://patadovietnam.edu.vn/gtusa1_nhn/?utm_source=Facebook&amp;utm_medium=MES&amp;utm_term=NEW_UnitedStates_1840_none_171123&amp;utm_content=saletructiep_UnitedStates.anhLKG.1840.giaotiep_PTATT_LD161&amp;utm_campaign=UnitedStates.giaotiep.anhLKG_16917_MES_NamNH_171123")</f>
        <v>https://patadovietnam.edu.vn/gtusa1_nhn/?utm_source=Facebook&amp;utm_medium=MES&amp;utm_term=NEW_UnitedStates_1840_none_171123&amp;utm_content=saletructiep_UnitedStates.anhLKG.1840.giaotiep_PTATT_LD161&amp;utm_campaign=UnitedStates.giaotiep.anhLKG_16917_MES_NamNH_171123</v>
      </c>
      <c r="U272" s="110" t="s">
        <v>2970</v>
      </c>
    </row>
    <row r="273">
      <c r="A273" s="72">
        <v>45250.0</v>
      </c>
      <c r="B273" s="75" t="s">
        <v>1134</v>
      </c>
      <c r="C273" s="67" t="str">
        <f>IFERROR(__xludf.DUMMYFUNCTION("""COMPUTED_VALUE"""),"LD153")</f>
        <v>LD153</v>
      </c>
      <c r="D273" s="55" t="s">
        <v>42</v>
      </c>
      <c r="E273" s="55" t="s">
        <v>79</v>
      </c>
      <c r="F273" s="55" t="s">
        <v>164</v>
      </c>
      <c r="G273" s="55">
        <v>1840.0</v>
      </c>
      <c r="H273" s="55" t="s">
        <v>1137</v>
      </c>
      <c r="I273" s="55" t="s">
        <v>2973</v>
      </c>
      <c r="J273" s="55" t="s">
        <v>2974</v>
      </c>
      <c r="K273" s="55" t="s">
        <v>61</v>
      </c>
      <c r="L273" s="55">
        <v>95360.0</v>
      </c>
      <c r="M273" s="55" t="s">
        <v>78</v>
      </c>
      <c r="N273" s="55" t="s">
        <v>79</v>
      </c>
      <c r="O273" s="55" t="s">
        <v>224</v>
      </c>
      <c r="P273" s="55" t="s">
        <v>110</v>
      </c>
      <c r="Q273" s="67" t="str">
        <f>IFERROR(__xludf.DUMMYFUNCTION("""COMPUTED_VALUE"""),"Taiwan.giaotiep.LTKT_95360_MES_NamNH_201123")</f>
        <v>Taiwan.giaotiep.LTKT_95360_MES_NamNH_201123</v>
      </c>
      <c r="R273" s="67" t="str">
        <f>IFERROR(__xludf.DUMMYFUNCTION("""COMPUTED_VALUE"""),"NEW_Taiwan_1840_none_201123")</f>
        <v>NEW_Taiwan_1840_none_201123</v>
      </c>
      <c r="S273" s="67" t="str">
        <f>IFERROR(__xludf.DUMMYFUNCTION("""COMPUTED_VALUE"""),"saletructiep_Taiwan.LTKT.1840.giaotiep_PTATT_LD153")</f>
        <v>saletructiep_Taiwan.LTKT.1840.giaotiep_PTATT_LD153</v>
      </c>
      <c r="T273" s="107" t="str">
        <f>IFERROR(__xludf.DUMMYFUNCTION("""COMPUTED_VALUE"""),"https://patadovietnam.edu.vn/tienganhgiaotiep_hn/?utm_source=Facebook&amp;utm_medium=MES&amp;utm_term=NEW_Taiwan_1840_none_201123&amp;utm_content=saletructiep_Taiwan.LTKT.1840.giaotiep_PTATT_LD153&amp;utm_campaign=Taiwan.giaotiep.LTKT_95360_MES_NamNH_201123")</f>
        <v>https://patadovietnam.edu.vn/tienganhgiaotiep_hn/?utm_source=Facebook&amp;utm_medium=MES&amp;utm_term=NEW_Taiwan_1840_none_201123&amp;utm_content=saletructiep_Taiwan.LTKT.1840.giaotiep_PTATT_LD153&amp;utm_campaign=Taiwan.giaotiep.LTKT_95360_MES_NamNH_201123</v>
      </c>
      <c r="U273" s="110" t="s">
        <v>2975</v>
      </c>
    </row>
    <row r="274">
      <c r="A274" s="72">
        <v>45250.0</v>
      </c>
      <c r="B274" s="60" t="s">
        <v>1134</v>
      </c>
      <c r="C274" s="67" t="str">
        <f>IFERROR(__xludf.DUMMYFUNCTION("""COMPUTED_VALUE"""),"LD153")</f>
        <v>LD153</v>
      </c>
      <c r="D274" s="55" t="s">
        <v>42</v>
      </c>
      <c r="E274" s="55" t="s">
        <v>79</v>
      </c>
      <c r="F274" s="55" t="s">
        <v>174</v>
      </c>
      <c r="G274" s="55">
        <v>1840.0</v>
      </c>
      <c r="H274" s="55" t="s">
        <v>1137</v>
      </c>
      <c r="I274" s="55" t="s">
        <v>2978</v>
      </c>
      <c r="J274" s="55" t="s">
        <v>2979</v>
      </c>
      <c r="K274" s="55" t="s">
        <v>61</v>
      </c>
      <c r="L274" s="55">
        <v>95360.0</v>
      </c>
      <c r="M274" s="55" t="s">
        <v>78</v>
      </c>
      <c r="N274" s="55" t="s">
        <v>79</v>
      </c>
      <c r="O274" s="55" t="s">
        <v>224</v>
      </c>
      <c r="P274" s="55" t="s">
        <v>110</v>
      </c>
      <c r="Q274" s="67" t="str">
        <f>IFERROR(__xludf.DUMMYFUNCTION("""COMPUTED_VALUE"""),"Philippines.giaotiep.LTKT_95360_MES_NamNH_201123")</f>
        <v>Philippines.giaotiep.LTKT_95360_MES_NamNH_201123</v>
      </c>
      <c r="R274" s="67" t="str">
        <f>IFERROR(__xludf.DUMMYFUNCTION("""COMPUTED_VALUE"""),"NEW_Philippines_1840_none_201123")</f>
        <v>NEW_Philippines_1840_none_201123</v>
      </c>
      <c r="S274" s="67" t="str">
        <f>IFERROR(__xludf.DUMMYFUNCTION("""COMPUTED_VALUE"""),"saletructiep_Philippines.LTKT.1840.giaotiep_PTATT_LD153")</f>
        <v>saletructiep_Philippines.LTKT.1840.giaotiep_PTATT_LD153</v>
      </c>
      <c r="T274" s="107" t="str">
        <f>IFERROR(__xludf.DUMMYFUNCTION("""COMPUTED_VALUE"""),"https://patadovietnam.edu.vn/tienganhgiaotiep_hn/?utm_source=Facebook&amp;utm_medium=MES&amp;utm_term=NEW_Philippines_1840_none_201123&amp;utm_content=saletructiep_Philippines.LTKT.1840.giaotiep_PTATT_LD153&amp;utm_campaign=Philippines.giaotiep.LTKT_95360_MES_NamNH_20112"&amp;"3")</f>
        <v>https://patadovietnam.edu.vn/tienganhgiaotiep_hn/?utm_source=Facebook&amp;utm_medium=MES&amp;utm_term=NEW_Philippines_1840_none_201123&amp;utm_content=saletructiep_Philippines.LTKT.1840.giaotiep_PTATT_LD153&amp;utm_campaign=Philippines.giaotiep.LTKT_95360_MES_NamNH_201123</v>
      </c>
      <c r="U274" s="110" t="s">
        <v>2982</v>
      </c>
    </row>
    <row r="275">
      <c r="A275" s="72">
        <v>45250.0</v>
      </c>
      <c r="B275" s="75" t="s">
        <v>1245</v>
      </c>
      <c r="C275" s="67" t="str">
        <f>IFERROR(__xludf.DUMMYFUNCTION("""COMPUTED_VALUE"""),"LD161")</f>
        <v>LD161</v>
      </c>
      <c r="D275" s="55" t="s">
        <v>42</v>
      </c>
      <c r="E275" s="55" t="s">
        <v>79</v>
      </c>
      <c r="F275" s="55" t="s">
        <v>107</v>
      </c>
      <c r="G275" s="55">
        <v>1840.0</v>
      </c>
      <c r="H275" s="55" t="s">
        <v>1137</v>
      </c>
      <c r="I275" s="55" t="s">
        <v>2983</v>
      </c>
      <c r="J275" s="55" t="s">
        <v>2984</v>
      </c>
      <c r="K275" s="55" t="s">
        <v>61</v>
      </c>
      <c r="L275" s="55">
        <v>16917.0</v>
      </c>
      <c r="M275" s="55" t="s">
        <v>78</v>
      </c>
      <c r="N275" s="55" t="s">
        <v>79</v>
      </c>
      <c r="O275" s="55" t="s">
        <v>224</v>
      </c>
      <c r="P275" s="55" t="s">
        <v>110</v>
      </c>
      <c r="Q275" s="67" t="str">
        <f>IFERROR(__xludf.DUMMYFUNCTION("""COMPUTED_VALUE"""),"UnitedStates.giaotiep.LTKT_16917_MES_NamNH_201123")</f>
        <v>UnitedStates.giaotiep.LTKT_16917_MES_NamNH_201123</v>
      </c>
      <c r="R275" s="67" t="str">
        <f>IFERROR(__xludf.DUMMYFUNCTION("""COMPUTED_VALUE"""),"NEW_UnitedStates_1840_none_201123")</f>
        <v>NEW_UnitedStates_1840_none_201123</v>
      </c>
      <c r="S275" s="67" t="str">
        <f>IFERROR(__xludf.DUMMYFUNCTION("""COMPUTED_VALUE"""),"saletructiep_UnitedStates.LTKT.1840.giaotiep_PTATT_LD161")</f>
        <v>saletructiep_UnitedStates.LTKT.1840.giaotiep_PTATT_LD161</v>
      </c>
      <c r="T275" s="107" t="str">
        <f>IFERROR(__xludf.DUMMYFUNCTION("""COMPUTED_VALUE"""),"https://patadovietnam.edu.vn/gtusa1_nhn/?utm_source=Facebook&amp;utm_medium=MES&amp;utm_term=NEW_UnitedStates_1840_none_201123&amp;utm_content=saletructiep_UnitedStates.LTKT.1840.giaotiep_PTATT_LD161&amp;utm_campaign=UnitedStates.giaotiep.LTKT_16917_MES_NamNH_201123")</f>
        <v>https://patadovietnam.edu.vn/gtusa1_nhn/?utm_source=Facebook&amp;utm_medium=MES&amp;utm_term=NEW_UnitedStates_1840_none_201123&amp;utm_content=saletructiep_UnitedStates.LTKT.1840.giaotiep_PTATT_LD161&amp;utm_campaign=UnitedStates.giaotiep.LTKT_16917_MES_NamNH_201123</v>
      </c>
      <c r="U275" s="110" t="s">
        <v>2985</v>
      </c>
    </row>
    <row r="276">
      <c r="A276" s="72">
        <v>45251.0</v>
      </c>
      <c r="B276" s="75" t="s">
        <v>1229</v>
      </c>
      <c r="C276" s="67" t="str">
        <f>IFERROR(__xludf.DUMMYFUNCTION("""COMPUTED_VALUE"""),"LD164")</f>
        <v>LD164</v>
      </c>
      <c r="D276" s="55" t="s">
        <v>42</v>
      </c>
      <c r="E276" s="55" t="s">
        <v>69</v>
      </c>
      <c r="F276" s="55" t="s">
        <v>133</v>
      </c>
      <c r="G276" s="55">
        <v>1840.0</v>
      </c>
      <c r="H276" s="55" t="s">
        <v>1137</v>
      </c>
      <c r="I276" s="55" t="s">
        <v>2988</v>
      </c>
      <c r="J276" s="55" t="s">
        <v>2989</v>
      </c>
      <c r="K276" s="55" t="s">
        <v>61</v>
      </c>
      <c r="L276" s="55">
        <v>16917.0</v>
      </c>
      <c r="M276" s="55" t="s">
        <v>78</v>
      </c>
      <c r="N276" s="55" t="s">
        <v>69</v>
      </c>
      <c r="O276" s="55" t="s">
        <v>224</v>
      </c>
      <c r="P276" s="55" t="s">
        <v>110</v>
      </c>
      <c r="Q276" s="67" t="str">
        <f>IFERROR(__xludf.DUMMYFUNCTION("""COMPUTED_VALUE"""),"Japan.giaotiep.M53C40_16917_CVS_NamNH_211123")</f>
        <v>Japan.giaotiep.M53C40_16917_CVS_NamNH_211123</v>
      </c>
      <c r="R276" s="67" t="str">
        <f>IFERROR(__xludf.DUMMYFUNCTION("""COMPUTED_VALUE"""),"NEW_Japan_1840_none_211123")</f>
        <v>NEW_Japan_1840_none_211123</v>
      </c>
      <c r="S276" s="67" t="str">
        <f>IFERROR(__xludf.DUMMYFUNCTION("""COMPUTED_VALUE"""),"saletructiep_Japan.M53C40.1840.giaotiep_PTATT_LD164")</f>
        <v>saletructiep_Japan.M53C40.1840.giaotiep_PTATT_LD164</v>
      </c>
      <c r="T276" s="107" t="str">
        <f>IFERROR(__xludf.DUMMYFUNCTION("""COMPUTED_VALUE"""),"https://patadovietnam.edu.vn/gtjapan_nhn3/?utm_source=Facebook&amp;utm_medium=CVS&amp;utm_term=NEW_Japan_1840_none_211123&amp;utm_content=saletructiep_Japan.M53C40.1840.giaotiep_PTATT_LD164&amp;utm_campaign=Japan.giaotiep.M53C40_16917_CVS_NamNH_211123")</f>
        <v>https://patadovietnam.edu.vn/gtjapan_nhn3/?utm_source=Facebook&amp;utm_medium=CVS&amp;utm_term=NEW_Japan_1840_none_211123&amp;utm_content=saletructiep_Japan.M53C40.1840.giaotiep_PTATT_LD164&amp;utm_campaign=Japan.giaotiep.M53C40_16917_CVS_NamNH_211123</v>
      </c>
      <c r="U276" s="110" t="s">
        <v>2991</v>
      </c>
    </row>
    <row r="277">
      <c r="A277" s="134">
        <v>45251.0</v>
      </c>
      <c r="B277" s="148" t="s">
        <v>1245</v>
      </c>
      <c r="C277" s="92" t="str">
        <f>IFERROR(__xludf.DUMMYFUNCTION("""COMPUTED_VALUE"""),"LD161")</f>
        <v>LD161</v>
      </c>
      <c r="D277" s="136" t="s">
        <v>42</v>
      </c>
      <c r="E277" s="136" t="s">
        <v>79</v>
      </c>
      <c r="F277" s="136" t="s">
        <v>107</v>
      </c>
      <c r="G277" s="136">
        <v>1840.0</v>
      </c>
      <c r="H277" s="136" t="s">
        <v>1137</v>
      </c>
      <c r="I277" s="136" t="s">
        <v>2992</v>
      </c>
      <c r="J277" s="136" t="s">
        <v>2993</v>
      </c>
      <c r="K277" s="136" t="s">
        <v>61</v>
      </c>
      <c r="L277" s="136">
        <v>16917.0</v>
      </c>
      <c r="M277" s="136" t="s">
        <v>78</v>
      </c>
      <c r="N277" s="136" t="s">
        <v>79</v>
      </c>
      <c r="O277" s="136" t="s">
        <v>224</v>
      </c>
      <c r="P277" s="136" t="s">
        <v>110</v>
      </c>
      <c r="Q277" s="92" t="str">
        <f>IFERROR(__xludf.DUMMYFUNCTION("""COMPUTED_VALUE"""),"UnitedStates.giaotiep.VTS_16917_MES_NamNH_211123")</f>
        <v>UnitedStates.giaotiep.VTS_16917_MES_NamNH_211123</v>
      </c>
      <c r="R277" s="92" t="str">
        <f>IFERROR(__xludf.DUMMYFUNCTION("""COMPUTED_VALUE"""),"NEW_UnitedStates_1840_none_211123")</f>
        <v>NEW_UnitedStates_1840_none_211123</v>
      </c>
      <c r="S277" s="92" t="str">
        <f>IFERROR(__xludf.DUMMYFUNCTION("""COMPUTED_VALUE"""),"saletructiep_UnitedStates.VTS.1840.giaotiep_PTATT_LD161")</f>
        <v>saletructiep_UnitedStates.VTS.1840.giaotiep_PTATT_LD161</v>
      </c>
      <c r="T277" s="137" t="str">
        <f>IFERROR(__xludf.DUMMYFUNCTION("""COMPUTED_VALUE"""),"https://patadovietnam.edu.vn/gtusa1_nhn/?utm_source=Facebook&amp;utm_medium=MES&amp;utm_term=NEW_UnitedStates_1840_none_211123&amp;utm_content=saletructiep_UnitedStates.VTS.1840.giaotiep_PTATT_LD161&amp;utm_campaign=UnitedStates.giaotiep.VTS_16917_MES_NamNH_211123")</f>
        <v>https://patadovietnam.edu.vn/gtusa1_nhn/?utm_source=Facebook&amp;utm_medium=MES&amp;utm_term=NEW_UnitedStates_1840_none_211123&amp;utm_content=saletructiep_UnitedStates.VTS.1840.giaotiep_PTATT_LD161&amp;utm_campaign=UnitedStates.giaotiep.VTS_16917_MES_NamNH_211123</v>
      </c>
      <c r="U277" s="138" t="s">
        <v>2994</v>
      </c>
    </row>
    <row r="278">
      <c r="A278" s="72">
        <v>45251.0</v>
      </c>
      <c r="B278" s="75" t="s">
        <v>1229</v>
      </c>
      <c r="C278" s="67" t="str">
        <f>IFERROR(__xludf.DUMMYFUNCTION("""COMPUTED_VALUE"""),"LD164")</f>
        <v>LD164</v>
      </c>
      <c r="D278" s="55" t="s">
        <v>42</v>
      </c>
      <c r="E278" s="55" t="s">
        <v>69</v>
      </c>
      <c r="F278" s="55" t="s">
        <v>133</v>
      </c>
      <c r="G278" s="55">
        <v>1840.0</v>
      </c>
      <c r="H278" s="55" t="s">
        <v>1137</v>
      </c>
      <c r="I278" s="55" t="s">
        <v>2995</v>
      </c>
      <c r="J278" s="55" t="s">
        <v>2996</v>
      </c>
      <c r="K278" s="55" t="s">
        <v>61</v>
      </c>
      <c r="L278" s="55">
        <v>16917.0</v>
      </c>
      <c r="M278" s="55" t="s">
        <v>78</v>
      </c>
      <c r="N278" s="55" t="s">
        <v>69</v>
      </c>
      <c r="O278" s="55" t="s">
        <v>224</v>
      </c>
      <c r="P278" s="55" t="s">
        <v>110</v>
      </c>
      <c r="Q278" s="67" t="str">
        <f>IFERROR(__xludf.DUMMYFUNCTION("""COMPUTED_VALUE"""),"Japan.giaotiep.LTKT_16917_CVS_NamNH_211123")</f>
        <v>Japan.giaotiep.LTKT_16917_CVS_NamNH_211123</v>
      </c>
      <c r="R278" s="67" t="str">
        <f>IFERROR(__xludf.DUMMYFUNCTION("""COMPUTED_VALUE"""),"NEW_Japan_1840_none_211123")</f>
        <v>NEW_Japan_1840_none_211123</v>
      </c>
      <c r="S278" s="67" t="str">
        <f>IFERROR(__xludf.DUMMYFUNCTION("""COMPUTED_VALUE"""),"saletructiep_Japan.LTKT.1840.giaotiep_PTATT_LD164")</f>
        <v>saletructiep_Japan.LTKT.1840.giaotiep_PTATT_LD164</v>
      </c>
      <c r="T278" s="107" t="str">
        <f>IFERROR(__xludf.DUMMYFUNCTION("""COMPUTED_VALUE"""),"https://patadovietnam.edu.vn/gtjapan_nhn3/?utm_source=Facebook&amp;utm_medium=CVS&amp;utm_term=NEW_Japan_1840_none_211123&amp;utm_content=saletructiep_Japan.LTKT.1840.giaotiep_PTATT_LD164&amp;utm_campaign=Japan.giaotiep.LTKT_16917_CVS_NamNH_211123")</f>
        <v>https://patadovietnam.edu.vn/gtjapan_nhn3/?utm_source=Facebook&amp;utm_medium=CVS&amp;utm_term=NEW_Japan_1840_none_211123&amp;utm_content=saletructiep_Japan.LTKT.1840.giaotiep_PTATT_LD164&amp;utm_campaign=Japan.giaotiep.LTKT_16917_CVS_NamNH_211123</v>
      </c>
      <c r="U278" s="110" t="s">
        <v>2997</v>
      </c>
    </row>
    <row r="279">
      <c r="A279" s="72">
        <v>45251.0</v>
      </c>
      <c r="B279" s="75" t="s">
        <v>1134</v>
      </c>
      <c r="C279" s="67" t="str">
        <f>IFERROR(__xludf.DUMMYFUNCTION("""COMPUTED_VALUE"""),"LD153")</f>
        <v>LD153</v>
      </c>
      <c r="D279" s="55" t="s">
        <v>42</v>
      </c>
      <c r="E279" s="55" t="s">
        <v>69</v>
      </c>
      <c r="F279" s="55" t="s">
        <v>674</v>
      </c>
      <c r="G279" s="55">
        <v>1840.0</v>
      </c>
      <c r="H279" s="55" t="s">
        <v>1137</v>
      </c>
      <c r="I279" s="55" t="s">
        <v>2998</v>
      </c>
      <c r="J279" s="55" t="s">
        <v>2999</v>
      </c>
      <c r="K279" s="55" t="s">
        <v>61</v>
      </c>
      <c r="L279" s="55">
        <v>16917.0</v>
      </c>
      <c r="M279" s="55" t="s">
        <v>78</v>
      </c>
      <c r="N279" s="55" t="s">
        <v>69</v>
      </c>
      <c r="O279" s="55" t="s">
        <v>224</v>
      </c>
      <c r="P279" s="55" t="s">
        <v>110</v>
      </c>
      <c r="Q279" s="67" t="str">
        <f>IFERROR(__xludf.DUMMYFUNCTION("""COMPUTED_VALUE"""),"Europe.giaotiep.LTKT_16917_CVS_NamNH_211123")</f>
        <v>Europe.giaotiep.LTKT_16917_CVS_NamNH_211123</v>
      </c>
      <c r="R279" s="67" t="str">
        <f>IFERROR(__xludf.DUMMYFUNCTION("""COMPUTED_VALUE"""),"NEW_Europe_1840_none_211123")</f>
        <v>NEW_Europe_1840_none_211123</v>
      </c>
      <c r="S279" s="67" t="str">
        <f>IFERROR(__xludf.DUMMYFUNCTION("""COMPUTED_VALUE"""),"saletructiep_Europe.LTKT.1840.giaotiep_PTATT_LD153")</f>
        <v>saletructiep_Europe.LTKT.1840.giaotiep_PTATT_LD153</v>
      </c>
      <c r="T279" s="107" t="str">
        <f>IFERROR(__xludf.DUMMYFUNCTION("""COMPUTED_VALUE"""),"https://patadovietnam.edu.vn/tienganhgiaotiep_hn/?utm_source=Facebook&amp;utm_medium=CVS&amp;utm_term=NEW_Europe_1840_none_211123&amp;utm_content=saletructiep_Europe.LTKT.1840.giaotiep_PTATT_LD153&amp;utm_campaign=Europe.giaotiep.LTKT_16917_CVS_NamNH_211123")</f>
        <v>https://patadovietnam.edu.vn/tienganhgiaotiep_hn/?utm_source=Facebook&amp;utm_medium=CVS&amp;utm_term=NEW_Europe_1840_none_211123&amp;utm_content=saletructiep_Europe.LTKT.1840.giaotiep_PTATT_LD153&amp;utm_campaign=Europe.giaotiep.LTKT_16917_CVS_NamNH_211123</v>
      </c>
      <c r="U279" s="110" t="s">
        <v>3000</v>
      </c>
    </row>
    <row r="280">
      <c r="A280" s="134">
        <v>45261.0</v>
      </c>
      <c r="B280" s="148" t="s">
        <v>1134</v>
      </c>
      <c r="C280" s="92" t="str">
        <f>IFERROR(__xludf.DUMMYFUNCTION("""COMPUTED_VALUE"""),"LD153")</f>
        <v>LD153</v>
      </c>
      <c r="D280" s="136" t="s">
        <v>42</v>
      </c>
      <c r="E280" s="136" t="s">
        <v>69</v>
      </c>
      <c r="F280" s="136" t="s">
        <v>674</v>
      </c>
      <c r="G280" s="136">
        <v>1840.0</v>
      </c>
      <c r="H280" s="136" t="s">
        <v>1137</v>
      </c>
      <c r="I280" s="136" t="s">
        <v>3001</v>
      </c>
      <c r="J280" s="136" t="s">
        <v>3002</v>
      </c>
      <c r="K280" s="136" t="s">
        <v>61</v>
      </c>
      <c r="L280" s="136">
        <v>16917.0</v>
      </c>
      <c r="M280" s="136" t="s">
        <v>78</v>
      </c>
      <c r="N280" s="136" t="s">
        <v>69</v>
      </c>
      <c r="O280" s="136" t="s">
        <v>224</v>
      </c>
      <c r="P280" s="136" t="s">
        <v>110</v>
      </c>
      <c r="Q280" s="92" t="str">
        <f>IFERROR(__xludf.DUMMYFUNCTION("""COMPUTED_VALUE"""),"Europe.giaotiep.M79C51_16917_CVS_NamNH_011223")</f>
        <v>Europe.giaotiep.M79C51_16917_CVS_NamNH_011223</v>
      </c>
      <c r="R280" s="92" t="str">
        <f>IFERROR(__xludf.DUMMYFUNCTION("""COMPUTED_VALUE"""),"NEW_Europe_1840_none_011223")</f>
        <v>NEW_Europe_1840_none_011223</v>
      </c>
      <c r="S280" s="92" t="str">
        <f>IFERROR(__xludf.DUMMYFUNCTION("""COMPUTED_VALUE"""),"saletructiep_Europe.M79C51.1840.giaotiep_PTATT_LD153")</f>
        <v>saletructiep_Europe.M79C51.1840.giaotiep_PTATT_LD153</v>
      </c>
      <c r="T280" s="137" t="str">
        <f>IFERROR(__xludf.DUMMYFUNCTION("""COMPUTED_VALUE"""),"https://patadovietnam.edu.vn/tienganhgiaotiep_hn/?utm_source=Facebook&amp;utm_medium=CVS&amp;utm_term=NEW_Europe_1840_none_011223&amp;utm_content=saletructiep_Europe.M79C51.1840.giaotiep_PTATT_LD153&amp;utm_campaign=Europe.giaotiep.M79C51_16917_CVS_NamNH_011223")</f>
        <v>https://patadovietnam.edu.vn/tienganhgiaotiep_hn/?utm_source=Facebook&amp;utm_medium=CVS&amp;utm_term=NEW_Europe_1840_none_011223&amp;utm_content=saletructiep_Europe.M79C51.1840.giaotiep_PTATT_LD153&amp;utm_campaign=Europe.giaotiep.M79C51_16917_CVS_NamNH_011223</v>
      </c>
      <c r="U280" s="138" t="s">
        <v>3003</v>
      </c>
    </row>
    <row r="281">
      <c r="A281" s="72">
        <v>45261.0</v>
      </c>
      <c r="B281" s="75" t="s">
        <v>1229</v>
      </c>
      <c r="C281" s="67" t="str">
        <f>IFERROR(__xludf.DUMMYFUNCTION("""COMPUTED_VALUE"""),"LD164")</f>
        <v>LD164</v>
      </c>
      <c r="D281" s="55" t="s">
        <v>42</v>
      </c>
      <c r="E281" s="55" t="s">
        <v>69</v>
      </c>
      <c r="F281" s="55" t="s">
        <v>133</v>
      </c>
      <c r="G281" s="55">
        <v>1840.0</v>
      </c>
      <c r="H281" s="55" t="s">
        <v>1137</v>
      </c>
      <c r="I281" s="55" t="s">
        <v>3004</v>
      </c>
      <c r="J281" s="55" t="s">
        <v>3005</v>
      </c>
      <c r="K281" s="55" t="s">
        <v>61</v>
      </c>
      <c r="L281" s="55">
        <v>16917.0</v>
      </c>
      <c r="M281" s="55" t="s">
        <v>78</v>
      </c>
      <c r="N281" s="55" t="s">
        <v>69</v>
      </c>
      <c r="O281" s="55" t="s">
        <v>224</v>
      </c>
      <c r="P281" s="55" t="s">
        <v>110</v>
      </c>
      <c r="Q281" s="67" t="str">
        <f>IFERROR(__xludf.DUMMYFUNCTION("""COMPUTED_VALUE"""),"Japan.giaotiep.M73C51_16917_CVS_NamNH_011223")</f>
        <v>Japan.giaotiep.M73C51_16917_CVS_NamNH_011223</v>
      </c>
      <c r="R281" s="67" t="str">
        <f>IFERROR(__xludf.DUMMYFUNCTION("""COMPUTED_VALUE"""),"NEW_Japan_1840_none_011223")</f>
        <v>NEW_Japan_1840_none_011223</v>
      </c>
      <c r="S281" s="67" t="str">
        <f>IFERROR(__xludf.DUMMYFUNCTION("""COMPUTED_VALUE"""),"saletructiep_Japan.M73C51.1840.giaotiep_PTATT_LD164")</f>
        <v>saletructiep_Japan.M73C51.1840.giaotiep_PTATT_LD164</v>
      </c>
      <c r="T281" s="107" t="str">
        <f>IFERROR(__xludf.DUMMYFUNCTION("""COMPUTED_VALUE"""),"https://patadovietnam.edu.vn/gtjapan_nhn3/?utm_source=Facebook&amp;utm_medium=CVS&amp;utm_term=NEW_Japan_1840_none_011223&amp;utm_content=saletructiep_Japan.M73C51.1840.giaotiep_PTATT_LD164&amp;utm_campaign=Japan.giaotiep.M73C51_16917_CVS_NamNH_011223")</f>
        <v>https://patadovietnam.edu.vn/gtjapan_nhn3/?utm_source=Facebook&amp;utm_medium=CVS&amp;utm_term=NEW_Japan_1840_none_011223&amp;utm_content=saletructiep_Japan.M73C51.1840.giaotiep_PTATT_LD164&amp;utm_campaign=Japan.giaotiep.M73C51_16917_CVS_NamNH_011223</v>
      </c>
      <c r="U281" s="110" t="s">
        <v>3006</v>
      </c>
    </row>
    <row r="282">
      <c r="A282" s="72">
        <v>45261.0</v>
      </c>
      <c r="B282" s="75" t="s">
        <v>1245</v>
      </c>
      <c r="C282" s="67" t="str">
        <f>IFERROR(__xludf.DUMMYFUNCTION("""COMPUTED_VALUE"""),"LD161")</f>
        <v>LD161</v>
      </c>
      <c r="D282" s="55" t="s">
        <v>42</v>
      </c>
      <c r="E282" s="55" t="s">
        <v>79</v>
      </c>
      <c r="F282" s="55" t="s">
        <v>107</v>
      </c>
      <c r="G282" s="55">
        <v>1840.0</v>
      </c>
      <c r="H282" s="55" t="s">
        <v>1137</v>
      </c>
      <c r="I282" s="55" t="s">
        <v>3007</v>
      </c>
      <c r="J282" s="55" t="s">
        <v>3008</v>
      </c>
      <c r="K282" s="55" t="s">
        <v>61</v>
      </c>
      <c r="L282" s="55">
        <v>16917.0</v>
      </c>
      <c r="M282" s="55" t="s">
        <v>78</v>
      </c>
      <c r="N282" s="55" t="s">
        <v>79</v>
      </c>
      <c r="O282" s="55" t="s">
        <v>224</v>
      </c>
      <c r="P282" s="55" t="s">
        <v>110</v>
      </c>
      <c r="Q282" s="67" t="str">
        <f>IFERROR(__xludf.DUMMYFUNCTION("""COMPUTED_VALUE"""),"UnitedStates.giaotiep.M73C51_16917_MES_NamNH_011223")</f>
        <v>UnitedStates.giaotiep.M73C51_16917_MES_NamNH_011223</v>
      </c>
      <c r="R282" s="67" t="str">
        <f>IFERROR(__xludf.DUMMYFUNCTION("""COMPUTED_VALUE"""),"NEW_UnitedStates_1840_none_011223")</f>
        <v>NEW_UnitedStates_1840_none_011223</v>
      </c>
      <c r="S282" s="67" t="str">
        <f>IFERROR(__xludf.DUMMYFUNCTION("""COMPUTED_VALUE"""),"saletructiep_UnitedStates.M73C51.1840.giaotiep_PTATT_LD161")</f>
        <v>saletructiep_UnitedStates.M73C51.1840.giaotiep_PTATT_LD161</v>
      </c>
      <c r="T282" s="107" t="str">
        <f>IFERROR(__xludf.DUMMYFUNCTION("""COMPUTED_VALUE"""),"https://patadovietnam.edu.vn/gtusa1_nhn/?utm_source=Facebook&amp;utm_medium=MES&amp;utm_term=NEW_UnitedStates_1840_none_011223&amp;utm_content=saletructiep_UnitedStates.M73C51.1840.giaotiep_PTATT_LD161&amp;utm_campaign=UnitedStates.giaotiep.M73C51_16917_MES_NamNH_011223")</f>
        <v>https://patadovietnam.edu.vn/gtusa1_nhn/?utm_source=Facebook&amp;utm_medium=MES&amp;utm_term=NEW_UnitedStates_1840_none_011223&amp;utm_content=saletructiep_UnitedStates.M73C51.1840.giaotiep_PTATT_LD161&amp;utm_campaign=UnitedStates.giaotiep.M73C51_16917_MES_NamNH_011223</v>
      </c>
      <c r="U282" s="110" t="s">
        <v>3010</v>
      </c>
    </row>
    <row r="283">
      <c r="A283" s="72">
        <v>45266.0</v>
      </c>
      <c r="B283" s="75" t="s">
        <v>1134</v>
      </c>
      <c r="C283" s="67" t="str">
        <f>IFERROR(__xludf.DUMMYFUNCTION("""COMPUTED_VALUE"""),"LD153")</f>
        <v>LD153</v>
      </c>
      <c r="D283" s="55" t="s">
        <v>42</v>
      </c>
      <c r="E283" s="55" t="s">
        <v>79</v>
      </c>
      <c r="F283" s="55" t="s">
        <v>164</v>
      </c>
      <c r="G283" s="55">
        <v>1840.0</v>
      </c>
      <c r="H283" s="55" t="s">
        <v>1137</v>
      </c>
      <c r="I283" s="55" t="s">
        <v>3011</v>
      </c>
      <c r="J283" s="55" t="s">
        <v>3012</v>
      </c>
      <c r="K283" s="55" t="s">
        <v>61</v>
      </c>
      <c r="L283" s="55">
        <v>95360.0</v>
      </c>
      <c r="M283" s="55" t="s">
        <v>78</v>
      </c>
      <c r="N283" s="55" t="s">
        <v>79</v>
      </c>
      <c r="O283" s="55" t="s">
        <v>224</v>
      </c>
      <c r="P283" s="55" t="s">
        <v>110</v>
      </c>
      <c r="Q283" s="67" t="str">
        <f>IFERROR(__xludf.DUMMYFUNCTION("""COMPUTED_VALUE"""),"Taiwan.giaotiep.M85C57_95360_MES_NamNH_061223")</f>
        <v>Taiwan.giaotiep.M85C57_95360_MES_NamNH_061223</v>
      </c>
      <c r="R283" s="67" t="str">
        <f>IFERROR(__xludf.DUMMYFUNCTION("""COMPUTED_VALUE"""),"NEW_Taiwan_1840_none_061223")</f>
        <v>NEW_Taiwan_1840_none_061223</v>
      </c>
      <c r="S283" s="67" t="str">
        <f>IFERROR(__xludf.DUMMYFUNCTION("""COMPUTED_VALUE"""),"saletructiep_Taiwan.M85C57.1840.giaotiep_PTATT_LD153")</f>
        <v>saletructiep_Taiwan.M85C57.1840.giaotiep_PTATT_LD153</v>
      </c>
      <c r="T283" s="107" t="str">
        <f>IFERROR(__xludf.DUMMYFUNCTION("""COMPUTED_VALUE"""),"https://patadovietnam.edu.vn/tienganhgiaotiep_hn/?utm_source=Facebook&amp;utm_medium=MES&amp;utm_term=NEW_Taiwan_1840_none_061223&amp;utm_content=saletructiep_Taiwan.M85C57.1840.giaotiep_PTATT_LD153&amp;utm_campaign=Taiwan.giaotiep.M85C57_95360_MES_NamNH_061223")</f>
        <v>https://patadovietnam.edu.vn/tienganhgiaotiep_hn/?utm_source=Facebook&amp;utm_medium=MES&amp;utm_term=NEW_Taiwan_1840_none_061223&amp;utm_content=saletructiep_Taiwan.M85C57.1840.giaotiep_PTATT_LD153&amp;utm_campaign=Taiwan.giaotiep.M85C57_95360_MES_NamNH_061223</v>
      </c>
      <c r="U283" s="110" t="s">
        <v>3013</v>
      </c>
    </row>
    <row r="284">
      <c r="A284" s="72">
        <v>45266.0</v>
      </c>
      <c r="B284" s="75" t="s">
        <v>1134</v>
      </c>
      <c r="C284" s="67" t="str">
        <f>IFERROR(__xludf.DUMMYFUNCTION("""COMPUTED_VALUE"""),"LD153")</f>
        <v>LD153</v>
      </c>
      <c r="D284" s="55" t="s">
        <v>42</v>
      </c>
      <c r="E284" s="55" t="s">
        <v>79</v>
      </c>
      <c r="F284" s="55" t="s">
        <v>174</v>
      </c>
      <c r="G284" s="55">
        <v>1840.0</v>
      </c>
      <c r="H284" s="55" t="s">
        <v>1137</v>
      </c>
      <c r="I284" s="55" t="s">
        <v>3014</v>
      </c>
      <c r="J284" s="55" t="s">
        <v>3015</v>
      </c>
      <c r="K284" s="55" t="s">
        <v>61</v>
      </c>
      <c r="L284" s="55">
        <v>95360.0</v>
      </c>
      <c r="M284" s="55" t="s">
        <v>78</v>
      </c>
      <c r="N284" s="55" t="s">
        <v>79</v>
      </c>
      <c r="O284" s="55" t="s">
        <v>224</v>
      </c>
      <c r="P284" s="55" t="s">
        <v>110</v>
      </c>
      <c r="Q284" s="67" t="str">
        <f>IFERROR(__xludf.DUMMYFUNCTION("""COMPUTED_VALUE"""),"Philippines.giaotiep.M85C57_95360_MES_NamNH_061223")</f>
        <v>Philippines.giaotiep.M85C57_95360_MES_NamNH_061223</v>
      </c>
      <c r="R284" s="67" t="str">
        <f>IFERROR(__xludf.DUMMYFUNCTION("""COMPUTED_VALUE"""),"NEW_Philippines_1840_none_061223")</f>
        <v>NEW_Philippines_1840_none_061223</v>
      </c>
      <c r="S284" s="67" t="str">
        <f>IFERROR(__xludf.DUMMYFUNCTION("""COMPUTED_VALUE"""),"saletructiep_Philippines.M85C57.1840.giaotiep_PTATT_LD153")</f>
        <v>saletructiep_Philippines.M85C57.1840.giaotiep_PTATT_LD153</v>
      </c>
      <c r="T284" s="107" t="str">
        <f>IFERROR(__xludf.DUMMYFUNCTION("""COMPUTED_VALUE"""),"https://patadovietnam.edu.vn/tienganhgiaotiep_hn/?utm_source=Facebook&amp;utm_medium=MES&amp;utm_term=NEW_Philippines_1840_none_061223&amp;utm_content=saletructiep_Philippines.M85C57.1840.giaotiep_PTATT_LD153&amp;utm_campaign=Philippines.giaotiep.M85C57_95360_MES_NamNH_0"&amp;"61223")</f>
        <v>https://patadovietnam.edu.vn/tienganhgiaotiep_hn/?utm_source=Facebook&amp;utm_medium=MES&amp;utm_term=NEW_Philippines_1840_none_061223&amp;utm_content=saletructiep_Philippines.M85C57.1840.giaotiep_PTATT_LD153&amp;utm_campaign=Philippines.giaotiep.M85C57_95360_MES_NamNH_061223</v>
      </c>
      <c r="U284" s="110" t="s">
        <v>3016</v>
      </c>
    </row>
    <row r="285">
      <c r="A285" s="72">
        <v>45266.0</v>
      </c>
      <c r="B285" s="75" t="s">
        <v>1134</v>
      </c>
      <c r="C285" s="67" t="str">
        <f>IFERROR(__xludf.DUMMYFUNCTION("""COMPUTED_VALUE"""),"LD153")</f>
        <v>LD153</v>
      </c>
      <c r="D285" s="55" t="s">
        <v>42</v>
      </c>
      <c r="E285" s="55" t="s">
        <v>69</v>
      </c>
      <c r="F285" s="55" t="s">
        <v>674</v>
      </c>
      <c r="G285" s="55">
        <v>1840.0</v>
      </c>
      <c r="H285" s="55" t="s">
        <v>1137</v>
      </c>
      <c r="I285" s="55" t="s">
        <v>3017</v>
      </c>
      <c r="J285" s="55" t="s">
        <v>3018</v>
      </c>
      <c r="K285" s="55" t="s">
        <v>61</v>
      </c>
      <c r="L285" s="55">
        <v>16917.0</v>
      </c>
      <c r="M285" s="55" t="s">
        <v>78</v>
      </c>
      <c r="N285" s="55" t="s">
        <v>69</v>
      </c>
      <c r="O285" s="55" t="s">
        <v>224</v>
      </c>
      <c r="P285" s="55" t="s">
        <v>110</v>
      </c>
      <c r="Q285" s="67" t="str">
        <f>IFERROR(__xludf.DUMMYFUNCTION("""COMPUTED_VALUE"""),"Europe.giaotiep.M85C57_16917_CVS_NamNH_061223")</f>
        <v>Europe.giaotiep.M85C57_16917_CVS_NamNH_061223</v>
      </c>
      <c r="R285" s="67" t="str">
        <f>IFERROR(__xludf.DUMMYFUNCTION("""COMPUTED_VALUE"""),"NEW_Europe_1840_none_061223")</f>
        <v>NEW_Europe_1840_none_061223</v>
      </c>
      <c r="S285" s="67" t="str">
        <f>IFERROR(__xludf.DUMMYFUNCTION("""COMPUTED_VALUE"""),"saletructiep_Europe.M85C57.1840.giaotiep_PTATT_LD153")</f>
        <v>saletructiep_Europe.M85C57.1840.giaotiep_PTATT_LD153</v>
      </c>
      <c r="T285" s="107" t="str">
        <f>IFERROR(__xludf.DUMMYFUNCTION("""COMPUTED_VALUE"""),"https://patadovietnam.edu.vn/tienganhgiaotiep_hn/?utm_source=Facebook&amp;utm_medium=CVS&amp;utm_term=NEW_Europe_1840_none_061223&amp;utm_content=saletructiep_Europe.M85C57.1840.giaotiep_PTATT_LD153&amp;utm_campaign=Europe.giaotiep.M85C57_16917_CVS_NamNH_061223")</f>
        <v>https://patadovietnam.edu.vn/tienganhgiaotiep_hn/?utm_source=Facebook&amp;utm_medium=CVS&amp;utm_term=NEW_Europe_1840_none_061223&amp;utm_content=saletructiep_Europe.M85C57.1840.giaotiep_PTATT_LD153&amp;utm_campaign=Europe.giaotiep.M85C57_16917_CVS_NamNH_061223</v>
      </c>
      <c r="U285" s="110" t="s">
        <v>3019</v>
      </c>
    </row>
    <row r="286">
      <c r="A286" s="72">
        <v>45267.0</v>
      </c>
      <c r="B286" s="75" t="s">
        <v>1134</v>
      </c>
      <c r="C286" s="67" t="str">
        <f>IFERROR(__xludf.DUMMYFUNCTION("""COMPUTED_VALUE"""),"LD153")</f>
        <v>LD153</v>
      </c>
      <c r="D286" s="55" t="s">
        <v>42</v>
      </c>
      <c r="E286" s="55" t="s">
        <v>79</v>
      </c>
      <c r="F286" s="55" t="s">
        <v>539</v>
      </c>
      <c r="G286" s="55">
        <v>1840.0</v>
      </c>
      <c r="H286" s="55" t="s">
        <v>1137</v>
      </c>
      <c r="I286" s="55" t="s">
        <v>3020</v>
      </c>
      <c r="J286" s="55" t="s">
        <v>3021</v>
      </c>
      <c r="K286" s="55" t="s">
        <v>61</v>
      </c>
      <c r="L286" s="55">
        <v>16917.0</v>
      </c>
      <c r="M286" s="55" t="s">
        <v>78</v>
      </c>
      <c r="N286" s="55" t="s">
        <v>79</v>
      </c>
      <c r="O286" s="55" t="s">
        <v>224</v>
      </c>
      <c r="P286" s="55" t="s">
        <v>110</v>
      </c>
      <c r="Q286" s="67" t="str">
        <f>IFERROR(__xludf.DUMMYFUNCTION("""COMPUTED_VALUE"""),"ALL.giaotiep.M85C57_16917_MES_NamNH_071223")</f>
        <v>ALL.giaotiep.M85C57_16917_MES_NamNH_071223</v>
      </c>
      <c r="R286" s="67" t="str">
        <f>IFERROR(__xludf.DUMMYFUNCTION("""COMPUTED_VALUE"""),"NEW_ALL_1840_none_071223")</f>
        <v>NEW_ALL_1840_none_071223</v>
      </c>
      <c r="S286" s="67" t="str">
        <f>IFERROR(__xludf.DUMMYFUNCTION("""COMPUTED_VALUE"""),"saletructiep_ALL.M85C57.1840.giaotiep_PTATT_LD153")</f>
        <v>saletructiep_ALL.M85C57.1840.giaotiep_PTATT_LD153</v>
      </c>
      <c r="T286" s="107" t="str">
        <f>IFERROR(__xludf.DUMMYFUNCTION("""COMPUTED_VALUE"""),"https://patadovietnam.edu.vn/tienganhgiaotiep_hn/?utm_source=Facebook&amp;utm_medium=MES&amp;utm_term=NEW_ALL_1840_none_071223&amp;utm_content=saletructiep_ALL.M85C57.1840.giaotiep_PTATT_LD153&amp;utm_campaign=ALL.giaotiep.M85C57_16917_MES_NamNH_071223")</f>
        <v>https://patadovietnam.edu.vn/tienganhgiaotiep_hn/?utm_source=Facebook&amp;utm_medium=MES&amp;utm_term=NEW_ALL_1840_none_071223&amp;utm_content=saletructiep_ALL.M85C57.1840.giaotiep_PTATT_LD153&amp;utm_campaign=ALL.giaotiep.M85C57_16917_MES_NamNH_071223</v>
      </c>
      <c r="U286" s="110" t="s">
        <v>3022</v>
      </c>
    </row>
    <row r="287">
      <c r="A287" s="72">
        <v>45269.0</v>
      </c>
      <c r="B287" s="75" t="s">
        <v>3023</v>
      </c>
      <c r="C287" s="67" t="str">
        <f>IFERROR(__xludf.DUMMYFUNCTION("""COMPUTED_VALUE"""),"LD212")</f>
        <v>LD212</v>
      </c>
      <c r="D287" s="55" t="s">
        <v>42</v>
      </c>
      <c r="E287" s="55" t="s">
        <v>79</v>
      </c>
      <c r="F287" s="55" t="s">
        <v>133</v>
      </c>
      <c r="G287" s="55">
        <v>1840.0</v>
      </c>
      <c r="H287" s="55" t="s">
        <v>1137</v>
      </c>
      <c r="I287" s="115" t="s">
        <v>3024</v>
      </c>
      <c r="J287" s="55" t="s">
        <v>3025</v>
      </c>
      <c r="K287" s="55" t="s">
        <v>61</v>
      </c>
      <c r="L287" s="55">
        <v>16917.0</v>
      </c>
      <c r="M287" s="55" t="s">
        <v>78</v>
      </c>
      <c r="N287" s="55" t="s">
        <v>79</v>
      </c>
      <c r="O287" s="55" t="s">
        <v>224</v>
      </c>
      <c r="P287" s="55" t="s">
        <v>110</v>
      </c>
      <c r="Q287" s="67" t="str">
        <f>IFERROR(__xludf.DUMMYFUNCTION("""COMPUTED_VALUE"""),"Japan.giaotiep.M82C54_16917_MES_NamNH_091223")</f>
        <v>Japan.giaotiep.M82C54_16917_MES_NamNH_091223</v>
      </c>
      <c r="R287" s="67" t="str">
        <f>IFERROR(__xludf.DUMMYFUNCTION("""COMPUTED_VALUE"""),"NEW_Japan_1840_none_091223")</f>
        <v>NEW_Japan_1840_none_091223</v>
      </c>
      <c r="S287" s="67" t="str">
        <f>IFERROR(__xludf.DUMMYFUNCTION("""COMPUTED_VALUE"""),"saletructiep_Japan.M82C54.1840.giaotiep_PTATT_LD212")</f>
        <v>saletructiep_Japan.M82C54.1840.giaotiep_PTATT_LD212</v>
      </c>
      <c r="T287" s="107" t="str">
        <f>IFERROR(__xludf.DUMMYFUNCTION("""COMPUTED_VALUE"""),"https://patadovietnam.edu.vn/khoagiaotiep_all/?utm_source=Facebook&amp;utm_medium=MES&amp;utm_term=NEW_Japan_1840_none_091223&amp;utm_content=saletructiep_Japan.M82C54.1840.giaotiep_PTATT_LD212&amp;utm_campaign=Japan.giaotiep.M82C54_16917_MES_NamNH_091223")</f>
        <v>https://patadovietnam.edu.vn/khoagiaotiep_all/?utm_source=Facebook&amp;utm_medium=MES&amp;utm_term=NEW_Japan_1840_none_091223&amp;utm_content=saletructiep_Japan.M82C54.1840.giaotiep_PTATT_LD212&amp;utm_campaign=Japan.giaotiep.M82C54_16917_MES_NamNH_091223</v>
      </c>
      <c r="U287" s="110" t="s">
        <v>3028</v>
      </c>
    </row>
    <row r="288">
      <c r="A288" s="72">
        <v>45269.0</v>
      </c>
      <c r="B288" s="75" t="s">
        <v>3023</v>
      </c>
      <c r="C288" s="67" t="str">
        <f>IFERROR(__xludf.DUMMYFUNCTION("""COMPUTED_VALUE"""),"LD212")</f>
        <v>LD212</v>
      </c>
      <c r="D288" s="55" t="s">
        <v>42</v>
      </c>
      <c r="E288" s="55" t="s">
        <v>69</v>
      </c>
      <c r="F288" s="55" t="s">
        <v>133</v>
      </c>
      <c r="G288" s="55">
        <v>1840.0</v>
      </c>
      <c r="H288" s="55" t="s">
        <v>1137</v>
      </c>
      <c r="I288" s="115" t="s">
        <v>3029</v>
      </c>
      <c r="J288" s="55" t="s">
        <v>3030</v>
      </c>
      <c r="K288" s="55" t="s">
        <v>61</v>
      </c>
      <c r="L288" s="55">
        <v>16917.0</v>
      </c>
      <c r="M288" s="55" t="s">
        <v>78</v>
      </c>
      <c r="N288" s="55" t="s">
        <v>69</v>
      </c>
      <c r="O288" s="55" t="s">
        <v>224</v>
      </c>
      <c r="P288" s="55" t="s">
        <v>110</v>
      </c>
      <c r="Q288" s="67" t="str">
        <f>IFERROR(__xludf.DUMMYFUNCTION("""COMPUTED_VALUE"""),"Japan.giaotiep.M89C52_16917_CVS_NamNH_091223")</f>
        <v>Japan.giaotiep.M89C52_16917_CVS_NamNH_091223</v>
      </c>
      <c r="R288" s="67" t="str">
        <f>IFERROR(__xludf.DUMMYFUNCTION("""COMPUTED_VALUE"""),"NEW_Japan_1840_none_091223")</f>
        <v>NEW_Japan_1840_none_091223</v>
      </c>
      <c r="S288" s="67" t="str">
        <f>IFERROR(__xludf.DUMMYFUNCTION("""COMPUTED_VALUE"""),"saletructiep_Japan.M89C52.1840.giaotiep_PTATT_LD212")</f>
        <v>saletructiep_Japan.M89C52.1840.giaotiep_PTATT_LD212</v>
      </c>
      <c r="T288" s="107" t="str">
        <f>IFERROR(__xludf.DUMMYFUNCTION("""COMPUTED_VALUE"""),"https://patadovietnam.edu.vn/khoagiaotiep_all/?utm_source=Facebook&amp;utm_medium=CVS&amp;utm_term=NEW_Japan_1840_none_091223&amp;utm_content=saletructiep_Japan.M89C52.1840.giaotiep_PTATT_LD212&amp;utm_campaign=Japan.giaotiep.M89C52_16917_CVS_NamNH_091223")</f>
        <v>https://patadovietnam.edu.vn/khoagiaotiep_all/?utm_source=Facebook&amp;utm_medium=CVS&amp;utm_term=NEW_Japan_1840_none_091223&amp;utm_content=saletructiep_Japan.M89C52.1840.giaotiep_PTATT_LD212&amp;utm_campaign=Japan.giaotiep.M89C52_16917_CVS_NamNH_091223</v>
      </c>
      <c r="U288" s="110" t="s">
        <v>3031</v>
      </c>
    </row>
    <row r="289">
      <c r="A289" s="72">
        <v>45269.0</v>
      </c>
      <c r="B289" s="75" t="s">
        <v>3023</v>
      </c>
      <c r="C289" s="67" t="str">
        <f>IFERROR(__xludf.DUMMYFUNCTION("""COMPUTED_VALUE"""),"LD212")</f>
        <v>LD212</v>
      </c>
      <c r="D289" s="55" t="s">
        <v>42</v>
      </c>
      <c r="E289" s="55" t="s">
        <v>79</v>
      </c>
      <c r="F289" s="55" t="s">
        <v>164</v>
      </c>
      <c r="G289" s="55">
        <v>1840.0</v>
      </c>
      <c r="H289" s="55" t="s">
        <v>1137</v>
      </c>
      <c r="I289" s="115" t="s">
        <v>3034</v>
      </c>
      <c r="J289" s="55" t="s">
        <v>3036</v>
      </c>
      <c r="K289" s="55" t="s">
        <v>61</v>
      </c>
      <c r="L289" s="55">
        <v>95360.0</v>
      </c>
      <c r="M289" s="55" t="s">
        <v>78</v>
      </c>
      <c r="N289" s="55" t="s">
        <v>79</v>
      </c>
      <c r="O289" s="55" t="s">
        <v>224</v>
      </c>
      <c r="P289" s="55" t="s">
        <v>110</v>
      </c>
      <c r="Q289" s="67" t="str">
        <f>IFERROR(__xludf.DUMMYFUNCTION("""COMPUTED_VALUE"""),"Taiwan.giaotiep.M82C54_95360_MES_NamNH_091223")</f>
        <v>Taiwan.giaotiep.M82C54_95360_MES_NamNH_091223</v>
      </c>
      <c r="R289" s="67" t="str">
        <f>IFERROR(__xludf.DUMMYFUNCTION("""COMPUTED_VALUE"""),"NEW_Taiwan_1840_none_091223")</f>
        <v>NEW_Taiwan_1840_none_091223</v>
      </c>
      <c r="S289" s="67" t="str">
        <f>IFERROR(__xludf.DUMMYFUNCTION("""COMPUTED_VALUE"""),"saletructiep_Taiwan.M82C54.1840.giaotiep_PTATT_LD212")</f>
        <v>saletructiep_Taiwan.M82C54.1840.giaotiep_PTATT_LD212</v>
      </c>
      <c r="T289" s="107" t="str">
        <f>IFERROR(__xludf.DUMMYFUNCTION("""COMPUTED_VALUE"""),"https://patadovietnam.edu.vn/khoagiaotiep_all/?utm_source=Facebook&amp;utm_medium=MES&amp;utm_term=NEW_Taiwan_1840_none_091223&amp;utm_content=saletructiep_Taiwan.M82C54.1840.giaotiep_PTATT_LD212&amp;utm_campaign=Taiwan.giaotiep.M82C54_95360_MES_NamNH_091223")</f>
        <v>https://patadovietnam.edu.vn/khoagiaotiep_all/?utm_source=Facebook&amp;utm_medium=MES&amp;utm_term=NEW_Taiwan_1840_none_091223&amp;utm_content=saletructiep_Taiwan.M82C54.1840.giaotiep_PTATT_LD212&amp;utm_campaign=Taiwan.giaotiep.M82C54_95360_MES_NamNH_091223</v>
      </c>
      <c r="U289" s="110" t="s">
        <v>3037</v>
      </c>
    </row>
    <row r="290">
      <c r="A290" s="72">
        <v>45271.0</v>
      </c>
      <c r="B290" s="75" t="s">
        <v>3023</v>
      </c>
      <c r="C290" s="67" t="str">
        <f>IFERROR(__xludf.DUMMYFUNCTION("""COMPUTED_VALUE"""),"LD212")</f>
        <v>LD212</v>
      </c>
      <c r="D290" s="55" t="s">
        <v>42</v>
      </c>
      <c r="E290" s="55" t="s">
        <v>69</v>
      </c>
      <c r="F290" s="55" t="s">
        <v>674</v>
      </c>
      <c r="G290" s="55">
        <v>1840.0</v>
      </c>
      <c r="H290" s="55" t="s">
        <v>1137</v>
      </c>
      <c r="I290" s="115" t="s">
        <v>3038</v>
      </c>
      <c r="J290" s="55" t="s">
        <v>3039</v>
      </c>
      <c r="K290" s="55" t="s">
        <v>61</v>
      </c>
      <c r="L290" s="55">
        <v>16917.0</v>
      </c>
      <c r="M290" s="55" t="s">
        <v>78</v>
      </c>
      <c r="N290" s="55" t="s">
        <v>69</v>
      </c>
      <c r="O290" s="55" t="s">
        <v>224</v>
      </c>
      <c r="P290" s="55" t="s">
        <v>110</v>
      </c>
      <c r="Q290" s="67" t="str">
        <f>IFERROR(__xludf.DUMMYFUNCTION("""COMPUTED_VALUE"""),"Europe.giaotiep.M35_16917_CVS_NamNH_111223")</f>
        <v>Europe.giaotiep.M35_16917_CVS_NamNH_111223</v>
      </c>
      <c r="R290" s="67" t="str">
        <f>IFERROR(__xludf.DUMMYFUNCTION("""COMPUTED_VALUE"""),"NEW_Europe_1840_none_111223")</f>
        <v>NEW_Europe_1840_none_111223</v>
      </c>
      <c r="S290" s="67" t="str">
        <f>IFERROR(__xludf.DUMMYFUNCTION("""COMPUTED_VALUE"""),"saletructiep_Europe.M35.1840.giaotiep_PTATT_LD212")</f>
        <v>saletructiep_Europe.M35.1840.giaotiep_PTATT_LD212</v>
      </c>
      <c r="T290" s="107" t="str">
        <f>IFERROR(__xludf.DUMMYFUNCTION("""COMPUTED_VALUE"""),"https://patadovietnam.edu.vn/khoagiaotiep_all/?utm_source=Facebook&amp;utm_medium=CVS&amp;utm_term=NEW_Europe_1840_none_111223&amp;utm_content=saletructiep_Europe.M35.1840.giaotiep_PTATT_LD212&amp;utm_campaign=Europe.giaotiep.M35_16917_CVS_NamNH_111223")</f>
        <v>https://patadovietnam.edu.vn/khoagiaotiep_all/?utm_source=Facebook&amp;utm_medium=CVS&amp;utm_term=NEW_Europe_1840_none_111223&amp;utm_content=saletructiep_Europe.M35.1840.giaotiep_PTATT_LD212&amp;utm_campaign=Europe.giaotiep.M35_16917_CVS_NamNH_111223</v>
      </c>
      <c r="U290" s="110" t="s">
        <v>3040</v>
      </c>
    </row>
    <row r="291">
      <c r="A291" s="72">
        <v>45271.0</v>
      </c>
      <c r="B291" s="75" t="s">
        <v>3023</v>
      </c>
      <c r="C291" s="67" t="str">
        <f>IFERROR(__xludf.DUMMYFUNCTION("""COMPUTED_VALUE"""),"LD212")</f>
        <v>LD212</v>
      </c>
      <c r="D291" s="55" t="s">
        <v>42</v>
      </c>
      <c r="E291" s="55" t="s">
        <v>79</v>
      </c>
      <c r="F291" s="55" t="s">
        <v>164</v>
      </c>
      <c r="G291" s="55">
        <v>1840.0</v>
      </c>
      <c r="H291" s="55" t="s">
        <v>1137</v>
      </c>
      <c r="I291" s="115" t="s">
        <v>3041</v>
      </c>
      <c r="J291" s="55" t="s">
        <v>3042</v>
      </c>
      <c r="K291" s="55" t="s">
        <v>61</v>
      </c>
      <c r="L291" s="55">
        <v>95360.0</v>
      </c>
      <c r="M291" s="55" t="s">
        <v>78</v>
      </c>
      <c r="N291" s="55" t="s">
        <v>79</v>
      </c>
      <c r="O291" s="55" t="s">
        <v>224</v>
      </c>
      <c r="P291" s="55" t="s">
        <v>110</v>
      </c>
      <c r="Q291" s="67" t="str">
        <f>IFERROR(__xludf.DUMMYFUNCTION("""COMPUTED_VALUE"""),"Taiwan.giaotiep.M35_95360_MES_NamNH_111223")</f>
        <v>Taiwan.giaotiep.M35_95360_MES_NamNH_111223</v>
      </c>
      <c r="R291" s="67" t="str">
        <f>IFERROR(__xludf.DUMMYFUNCTION("""COMPUTED_VALUE"""),"NEW_Taiwan_1840_none_111223")</f>
        <v>NEW_Taiwan_1840_none_111223</v>
      </c>
      <c r="S291" s="67" t="str">
        <f>IFERROR(__xludf.DUMMYFUNCTION("""COMPUTED_VALUE"""),"saletructiep_Taiwan.M35.1840.giaotiep_PTATT_LD212")</f>
        <v>saletructiep_Taiwan.M35.1840.giaotiep_PTATT_LD212</v>
      </c>
      <c r="T291" s="107" t="str">
        <f>IFERROR(__xludf.DUMMYFUNCTION("""COMPUTED_VALUE"""),"https://patadovietnam.edu.vn/khoagiaotiep_all/?utm_source=Facebook&amp;utm_medium=MES&amp;utm_term=NEW_Taiwan_1840_none_111223&amp;utm_content=saletructiep_Taiwan.M35.1840.giaotiep_PTATT_LD212&amp;utm_campaign=Taiwan.giaotiep.M35_95360_MES_NamNH_111223")</f>
        <v>https://patadovietnam.edu.vn/khoagiaotiep_all/?utm_source=Facebook&amp;utm_medium=MES&amp;utm_term=NEW_Taiwan_1840_none_111223&amp;utm_content=saletructiep_Taiwan.M35.1840.giaotiep_PTATT_LD212&amp;utm_campaign=Taiwan.giaotiep.M35_95360_MES_NamNH_111223</v>
      </c>
      <c r="U291" s="110" t="s">
        <v>3043</v>
      </c>
    </row>
    <row r="292">
      <c r="A292" s="72">
        <v>45271.0</v>
      </c>
      <c r="B292" s="75" t="s">
        <v>3023</v>
      </c>
      <c r="C292" s="67" t="str">
        <f>IFERROR(__xludf.DUMMYFUNCTION("""COMPUTED_VALUE"""),"LD212")</f>
        <v>LD212</v>
      </c>
      <c r="D292" s="55" t="s">
        <v>42</v>
      </c>
      <c r="E292" s="55" t="s">
        <v>79</v>
      </c>
      <c r="F292" s="55" t="s">
        <v>133</v>
      </c>
      <c r="G292" s="55">
        <v>1840.0</v>
      </c>
      <c r="H292" s="55" t="s">
        <v>1137</v>
      </c>
      <c r="I292" s="115" t="s">
        <v>3044</v>
      </c>
      <c r="J292" s="55" t="s">
        <v>3045</v>
      </c>
      <c r="K292" s="55" t="s">
        <v>61</v>
      </c>
      <c r="L292" s="55">
        <v>16917.0</v>
      </c>
      <c r="M292" s="55" t="s">
        <v>78</v>
      </c>
      <c r="N292" s="55" t="s">
        <v>69</v>
      </c>
      <c r="O292" s="55" t="s">
        <v>224</v>
      </c>
      <c r="P292" s="55" t="s">
        <v>110</v>
      </c>
      <c r="Q292" s="67" t="str">
        <f>IFERROR(__xludf.DUMMYFUNCTION("""COMPUTED_VALUE"""),"Japan.giaotiep.M35_16917_CVS_NamNH_111223")</f>
        <v>Japan.giaotiep.M35_16917_CVS_NamNH_111223</v>
      </c>
      <c r="R292" s="67" t="str">
        <f>IFERROR(__xludf.DUMMYFUNCTION("""COMPUTED_VALUE"""),"NEW_Japan_1840_none_111223")</f>
        <v>NEW_Japan_1840_none_111223</v>
      </c>
      <c r="S292" s="67" t="str">
        <f>IFERROR(__xludf.DUMMYFUNCTION("""COMPUTED_VALUE"""),"saletructiep_Japan.M35.1840.giaotiep_PTATT_LD212")</f>
        <v>saletructiep_Japan.M35.1840.giaotiep_PTATT_LD212</v>
      </c>
      <c r="T292" s="107" t="str">
        <f>IFERROR(__xludf.DUMMYFUNCTION("""COMPUTED_VALUE"""),"https://patadovietnam.edu.vn/khoagiaotiep_all/?utm_source=Facebook&amp;utm_medium=MES&amp;utm_term=NEW_Japan_1840_none_111223&amp;utm_content=saletructiep_Japan.M35.1840.giaotiep_PTATT_LD212&amp;utm_campaign=Japan.giaotiep.M35_16917_CVS_NamNH_111223")</f>
        <v>https://patadovietnam.edu.vn/khoagiaotiep_all/?utm_source=Facebook&amp;utm_medium=MES&amp;utm_term=NEW_Japan_1840_none_111223&amp;utm_content=saletructiep_Japan.M35.1840.giaotiep_PTATT_LD212&amp;utm_campaign=Japan.giaotiep.M35_16917_CVS_NamNH_111223</v>
      </c>
      <c r="U292" s="110" t="s">
        <v>3046</v>
      </c>
    </row>
    <row r="293">
      <c r="A293" s="72">
        <v>45271.0</v>
      </c>
      <c r="B293" s="75" t="s">
        <v>3023</v>
      </c>
      <c r="C293" s="67" t="str">
        <f>IFERROR(__xludf.DUMMYFUNCTION("""COMPUTED_VALUE"""),"LD212")</f>
        <v>LD212</v>
      </c>
      <c r="D293" s="55" t="s">
        <v>42</v>
      </c>
      <c r="E293" s="55" t="s">
        <v>79</v>
      </c>
      <c r="F293" s="55" t="s">
        <v>129</v>
      </c>
      <c r="G293" s="55">
        <v>1840.0</v>
      </c>
      <c r="H293" s="55" t="s">
        <v>1137</v>
      </c>
      <c r="I293" s="115" t="s">
        <v>3047</v>
      </c>
      <c r="J293" s="55" t="s">
        <v>3048</v>
      </c>
      <c r="K293" s="55" t="s">
        <v>61</v>
      </c>
      <c r="L293" s="55">
        <v>95360.0</v>
      </c>
      <c r="M293" s="55" t="s">
        <v>78</v>
      </c>
      <c r="N293" s="55" t="s">
        <v>79</v>
      </c>
      <c r="O293" s="55" t="s">
        <v>224</v>
      </c>
      <c r="P293" s="55" t="s">
        <v>110</v>
      </c>
      <c r="Q293" s="67" t="str">
        <f>IFERROR(__xludf.DUMMYFUNCTION("""COMPUTED_VALUE"""),"Australia.giaotiep.M35_95360_MES_NamNH_111223")</f>
        <v>Australia.giaotiep.M35_95360_MES_NamNH_111223</v>
      </c>
      <c r="R293" s="67" t="str">
        <f>IFERROR(__xludf.DUMMYFUNCTION("""COMPUTED_VALUE"""),"NEW_Australia_1840_none_111223")</f>
        <v>NEW_Australia_1840_none_111223</v>
      </c>
      <c r="S293" s="67" t="str">
        <f>IFERROR(__xludf.DUMMYFUNCTION("""COMPUTED_VALUE"""),"saletructiep_Australia.M35.1840.giaotiep_PTATT_LD212")</f>
        <v>saletructiep_Australia.M35.1840.giaotiep_PTATT_LD212</v>
      </c>
      <c r="T293" s="107" t="str">
        <f>IFERROR(__xludf.DUMMYFUNCTION("""COMPUTED_VALUE"""),"https://patadovietnam.edu.vn/khoagiaotiep_all/?utm_source=Facebook&amp;utm_medium=MES&amp;utm_term=NEW_Australia_1840_none_111223&amp;utm_content=saletructiep_Australia.M35.1840.giaotiep_PTATT_LD212&amp;utm_campaign=Australia.giaotiep.M35_95360_MES_NamNH_111223")</f>
        <v>https://patadovietnam.edu.vn/khoagiaotiep_all/?utm_source=Facebook&amp;utm_medium=MES&amp;utm_term=NEW_Australia_1840_none_111223&amp;utm_content=saletructiep_Australia.M35.1840.giaotiep_PTATT_LD212&amp;utm_campaign=Australia.giaotiep.M35_95360_MES_NamNH_111223</v>
      </c>
      <c r="U293" s="110" t="s">
        <v>3049</v>
      </c>
    </row>
    <row r="294">
      <c r="A294" s="72">
        <v>45275.0</v>
      </c>
      <c r="B294" s="75" t="s">
        <v>3023</v>
      </c>
      <c r="C294" s="67" t="str">
        <f>IFERROR(__xludf.DUMMYFUNCTION("""COMPUTED_VALUE"""),"LD212")</f>
        <v>LD212</v>
      </c>
      <c r="D294" s="55" t="s">
        <v>42</v>
      </c>
      <c r="E294" s="55" t="s">
        <v>79</v>
      </c>
      <c r="F294" s="55" t="s">
        <v>164</v>
      </c>
      <c r="G294" s="55">
        <v>1840.0</v>
      </c>
      <c r="H294" s="55" t="s">
        <v>1137</v>
      </c>
      <c r="I294" s="115" t="s">
        <v>3050</v>
      </c>
      <c r="J294" s="55" t="s">
        <v>3051</v>
      </c>
      <c r="K294" s="55" t="s">
        <v>61</v>
      </c>
      <c r="L294" s="55">
        <v>95360.0</v>
      </c>
      <c r="M294" s="55" t="s">
        <v>78</v>
      </c>
      <c r="N294" s="55" t="s">
        <v>79</v>
      </c>
      <c r="O294" s="55" t="s">
        <v>224</v>
      </c>
      <c r="P294" s="55" t="s">
        <v>110</v>
      </c>
      <c r="Q294" s="67" t="str">
        <f>IFERROR(__xludf.DUMMYFUNCTION("""COMPUTED_VALUE"""),"Taiwan.giaotiep.M36anhnote_95360_MES_NamNH_151223")</f>
        <v>Taiwan.giaotiep.M36anhnote_95360_MES_NamNH_151223</v>
      </c>
      <c r="R294" s="67" t="str">
        <f>IFERROR(__xludf.DUMMYFUNCTION("""COMPUTED_VALUE"""),"NEW_Taiwan_1840_none_151223")</f>
        <v>NEW_Taiwan_1840_none_151223</v>
      </c>
      <c r="S294" s="67" t="str">
        <f>IFERROR(__xludf.DUMMYFUNCTION("""COMPUTED_VALUE"""),"saletructiep_Taiwan.M36anhnote.1840.giaotiep_PTATT_LD212")</f>
        <v>saletructiep_Taiwan.M36anhnote.1840.giaotiep_PTATT_LD212</v>
      </c>
      <c r="T294" s="107" t="str">
        <f>IFERROR(__xludf.DUMMYFUNCTION("""COMPUTED_VALUE"""),"https://patadovietnam.edu.vn/khoagiaotiep_all/?utm_source=Facebook&amp;utm_medium=MES&amp;utm_term=NEW_Taiwan_1840_none_151223&amp;utm_content=saletructiep_Taiwan.M36anhnote.1840.giaotiep_PTATT_LD212&amp;utm_campaign=Taiwan.giaotiep.M36anhnote_95360_MES_NamNH_151223")</f>
        <v>https://patadovietnam.edu.vn/khoagiaotiep_all/?utm_source=Facebook&amp;utm_medium=MES&amp;utm_term=NEW_Taiwan_1840_none_151223&amp;utm_content=saletructiep_Taiwan.M36anhnote.1840.giaotiep_PTATT_LD212&amp;utm_campaign=Taiwan.giaotiep.M36anhnote_95360_MES_NamNH_151223</v>
      </c>
      <c r="U294" s="110" t="s">
        <v>3053</v>
      </c>
    </row>
    <row r="295">
      <c r="A295" s="72">
        <v>45275.0</v>
      </c>
      <c r="B295" s="75" t="s">
        <v>3023</v>
      </c>
      <c r="C295" s="67" t="str">
        <f>IFERROR(__xludf.DUMMYFUNCTION("""COMPUTED_VALUE"""),"LD212")</f>
        <v>LD212</v>
      </c>
      <c r="D295" s="55" t="s">
        <v>42</v>
      </c>
      <c r="E295" s="55" t="s">
        <v>69</v>
      </c>
      <c r="F295" s="55" t="s">
        <v>133</v>
      </c>
      <c r="G295" s="55">
        <v>1840.0</v>
      </c>
      <c r="H295" s="55" t="s">
        <v>1137</v>
      </c>
      <c r="I295" s="115" t="s">
        <v>3055</v>
      </c>
      <c r="J295" s="55" t="s">
        <v>3056</v>
      </c>
      <c r="K295" s="55" t="s">
        <v>61</v>
      </c>
      <c r="L295" s="55">
        <v>16917.0</v>
      </c>
      <c r="M295" s="55" t="s">
        <v>78</v>
      </c>
      <c r="N295" s="55" t="s">
        <v>69</v>
      </c>
      <c r="O295" s="55" t="s">
        <v>224</v>
      </c>
      <c r="P295" s="55" t="s">
        <v>110</v>
      </c>
      <c r="Q295" s="67" t="str">
        <f>IFERROR(__xludf.DUMMYFUNCTION("""COMPUTED_VALUE"""),"Japan.giaotiep.M98C77_16917_CVS_NamNH_151223")</f>
        <v>Japan.giaotiep.M98C77_16917_CVS_NamNH_151223</v>
      </c>
      <c r="R295" s="67" t="str">
        <f>IFERROR(__xludf.DUMMYFUNCTION("""COMPUTED_VALUE"""),"NEW_Japan_1840_none_151223")</f>
        <v>NEW_Japan_1840_none_151223</v>
      </c>
      <c r="S295" s="67" t="str">
        <f>IFERROR(__xludf.DUMMYFUNCTION("""COMPUTED_VALUE"""),"saletructiep_Japan.M98C77.1840.giaotiep_PTATT_LD212")</f>
        <v>saletructiep_Japan.M98C77.1840.giaotiep_PTATT_LD212</v>
      </c>
      <c r="T295" s="107" t="str">
        <f>IFERROR(__xludf.DUMMYFUNCTION("""COMPUTED_VALUE"""),"https://patadovietnam.edu.vn/khoagiaotiep_all/?utm_source=Facebook&amp;utm_medium=CVS&amp;utm_term=NEW_Japan_1840_none_151223&amp;utm_content=saletructiep_Japan.M98C77.1840.giaotiep_PTATT_LD212&amp;utm_campaign=Japan.giaotiep.M98C77_16917_CVS_NamNH_151223")</f>
        <v>https://patadovietnam.edu.vn/khoagiaotiep_all/?utm_source=Facebook&amp;utm_medium=CVS&amp;utm_term=NEW_Japan_1840_none_151223&amp;utm_content=saletructiep_Japan.M98C77.1840.giaotiep_PTATT_LD212&amp;utm_campaign=Japan.giaotiep.M98C77_16917_CVS_NamNH_151223</v>
      </c>
      <c r="U295" s="110" t="s">
        <v>3060</v>
      </c>
    </row>
    <row r="296">
      <c r="A296" s="72">
        <v>45275.0</v>
      </c>
      <c r="B296" s="75" t="s">
        <v>1245</v>
      </c>
      <c r="C296" s="67" t="str">
        <f>IFERROR(__xludf.DUMMYFUNCTION("""COMPUTED_VALUE"""),"LD161")</f>
        <v>LD161</v>
      </c>
      <c r="D296" s="55" t="s">
        <v>42</v>
      </c>
      <c r="E296" s="55" t="s">
        <v>79</v>
      </c>
      <c r="F296" s="55" t="s">
        <v>107</v>
      </c>
      <c r="G296" s="55">
        <v>1840.0</v>
      </c>
      <c r="H296" s="55" t="s">
        <v>1137</v>
      </c>
      <c r="I296" s="115" t="s">
        <v>3063</v>
      </c>
      <c r="J296" s="55" t="s">
        <v>3064</v>
      </c>
      <c r="K296" s="55" t="s">
        <v>61</v>
      </c>
      <c r="L296" s="55">
        <v>16917.0</v>
      </c>
      <c r="M296" s="55" t="s">
        <v>78</v>
      </c>
      <c r="N296" s="55" t="s">
        <v>79</v>
      </c>
      <c r="O296" s="55" t="s">
        <v>224</v>
      </c>
      <c r="P296" s="55" t="s">
        <v>110</v>
      </c>
      <c r="Q296" s="67" t="str">
        <f>IFERROR(__xludf.DUMMYFUNCTION("""COMPUTED_VALUE"""),"UnitedStates.giaotiep.M98C77_16917_MES_NamNH_151223")</f>
        <v>UnitedStates.giaotiep.M98C77_16917_MES_NamNH_151223</v>
      </c>
      <c r="R296" s="67" t="str">
        <f>IFERROR(__xludf.DUMMYFUNCTION("""COMPUTED_VALUE"""),"NEW_UnitedStates_1840_none_151223")</f>
        <v>NEW_UnitedStates_1840_none_151223</v>
      </c>
      <c r="S296" s="67" t="str">
        <f>IFERROR(__xludf.DUMMYFUNCTION("""COMPUTED_VALUE"""),"saletructiep_UnitedStates.M98C77.1840.giaotiep_PTATT_LD161")</f>
        <v>saletructiep_UnitedStates.M98C77.1840.giaotiep_PTATT_LD161</v>
      </c>
      <c r="T296" s="107" t="str">
        <f>IFERROR(__xludf.DUMMYFUNCTION("""COMPUTED_VALUE"""),"https://patadovietnam.edu.vn/gtusa1_nhn/?utm_source=Facebook&amp;utm_medium=MES&amp;utm_term=NEW_UnitedStates_1840_none_151223&amp;utm_content=saletructiep_UnitedStates.M98C77.1840.giaotiep_PTATT_LD161&amp;utm_campaign=UnitedStates.giaotiep.M98C77_16917_MES_NamNH_151223")</f>
        <v>https://patadovietnam.edu.vn/gtusa1_nhn/?utm_source=Facebook&amp;utm_medium=MES&amp;utm_term=NEW_UnitedStates_1840_none_151223&amp;utm_content=saletructiep_UnitedStates.M98C77.1840.giaotiep_PTATT_LD161&amp;utm_campaign=UnitedStates.giaotiep.M98C77_16917_MES_NamNH_151223</v>
      </c>
      <c r="U296" s="110" t="s">
        <v>3067</v>
      </c>
    </row>
    <row r="297">
      <c r="A297" s="72">
        <v>45275.0</v>
      </c>
      <c r="B297" s="75" t="s">
        <v>3023</v>
      </c>
      <c r="C297" s="67" t="str">
        <f>IFERROR(__xludf.DUMMYFUNCTION("""COMPUTED_VALUE"""),"LD212")</f>
        <v>LD212</v>
      </c>
      <c r="D297" s="55" t="s">
        <v>42</v>
      </c>
      <c r="E297" s="55" t="s">
        <v>79</v>
      </c>
      <c r="F297" s="55" t="s">
        <v>164</v>
      </c>
      <c r="G297" s="55">
        <v>1840.0</v>
      </c>
      <c r="H297" s="55" t="s">
        <v>1137</v>
      </c>
      <c r="I297" s="115" t="s">
        <v>3068</v>
      </c>
      <c r="J297" s="55" t="s">
        <v>3069</v>
      </c>
      <c r="K297" s="55" t="s">
        <v>61</v>
      </c>
      <c r="L297" s="55">
        <v>95360.0</v>
      </c>
      <c r="M297" s="55" t="s">
        <v>78</v>
      </c>
      <c r="N297" s="55" t="s">
        <v>79</v>
      </c>
      <c r="O297" s="55" t="s">
        <v>224</v>
      </c>
      <c r="P297" s="55" t="s">
        <v>110</v>
      </c>
      <c r="Q297" s="67" t="str">
        <f>IFERROR(__xludf.DUMMYFUNCTION("""COMPUTED_VALUE"""),"Taiwan.giaotiep.M98C78_95360_MES_NamNH_151223")</f>
        <v>Taiwan.giaotiep.M98C78_95360_MES_NamNH_151223</v>
      </c>
      <c r="R297" s="67" t="str">
        <f>IFERROR(__xludf.DUMMYFUNCTION("""COMPUTED_VALUE"""),"NEW_Taiwan_1840_none_151223")</f>
        <v>NEW_Taiwan_1840_none_151223</v>
      </c>
      <c r="S297" s="67" t="str">
        <f>IFERROR(__xludf.DUMMYFUNCTION("""COMPUTED_VALUE"""),"saletructiep_Taiwan.M98C77.1840.giaotiep_PTATT_LD212")</f>
        <v>saletructiep_Taiwan.M98C77.1840.giaotiep_PTATT_LD212</v>
      </c>
      <c r="T297" s="107" t="str">
        <f>IFERROR(__xludf.DUMMYFUNCTION("""COMPUTED_VALUE"""),"https://patadovietnam.edu.vn/khoagiaotiep_all/?utm_source=Facebook&amp;utm_medium=MES&amp;utm_term=NEW_Taiwan_1840_none_151223&amp;utm_content=saletructiep_Taiwan.M98C77.1840.giaotiep_PTATT_LD212&amp;utm_campaign=Taiwan.giaotiep.M98C78_95360_MES_NamNH_151223")</f>
        <v>https://patadovietnam.edu.vn/khoagiaotiep_all/?utm_source=Facebook&amp;utm_medium=MES&amp;utm_term=NEW_Taiwan_1840_none_151223&amp;utm_content=saletructiep_Taiwan.M98C77.1840.giaotiep_PTATT_LD212&amp;utm_campaign=Taiwan.giaotiep.M98C78_95360_MES_NamNH_151223</v>
      </c>
      <c r="U297" s="110" t="s">
        <v>3070</v>
      </c>
    </row>
    <row r="298">
      <c r="A298" s="72">
        <v>45275.0</v>
      </c>
      <c r="B298" s="75" t="s">
        <v>3023</v>
      </c>
      <c r="C298" s="67" t="str">
        <f>IFERROR(__xludf.DUMMYFUNCTION("""COMPUTED_VALUE"""),"LD212")</f>
        <v>LD212</v>
      </c>
      <c r="D298" s="55" t="s">
        <v>42</v>
      </c>
      <c r="E298" s="55" t="s">
        <v>79</v>
      </c>
      <c r="F298" s="55" t="s">
        <v>174</v>
      </c>
      <c r="G298" s="55">
        <v>1840.0</v>
      </c>
      <c r="H298" s="55" t="s">
        <v>1137</v>
      </c>
      <c r="I298" s="115" t="s">
        <v>3073</v>
      </c>
      <c r="J298" s="55" t="s">
        <v>3074</v>
      </c>
      <c r="K298" s="55" t="s">
        <v>61</v>
      </c>
      <c r="L298" s="55">
        <v>95360.0</v>
      </c>
      <c r="M298" s="55" t="s">
        <v>78</v>
      </c>
      <c r="N298" s="55" t="s">
        <v>79</v>
      </c>
      <c r="O298" s="55" t="s">
        <v>224</v>
      </c>
      <c r="P298" s="55" t="s">
        <v>110</v>
      </c>
      <c r="Q298" s="67" t="str">
        <f>IFERROR(__xludf.DUMMYFUNCTION("""COMPUTED_VALUE"""),"Philippines.giaotiep.M98C78_95360_MES_NamNH_151223")</f>
        <v>Philippines.giaotiep.M98C78_95360_MES_NamNH_151223</v>
      </c>
      <c r="R298" s="67" t="str">
        <f>IFERROR(__xludf.DUMMYFUNCTION("""COMPUTED_VALUE"""),"NEW_Philippines_1840_none_151223")</f>
        <v>NEW_Philippines_1840_none_151223</v>
      </c>
      <c r="S298" s="67" t="str">
        <f>IFERROR(__xludf.DUMMYFUNCTION("""COMPUTED_VALUE"""),"saletructiep_Philippines.M98C77.1840.giaotiep_PTATT_LD212")</f>
        <v>saletructiep_Philippines.M98C77.1840.giaotiep_PTATT_LD212</v>
      </c>
      <c r="T298" s="107" t="str">
        <f>IFERROR(__xludf.DUMMYFUNCTION("""COMPUTED_VALUE"""),"https://patadovietnam.edu.vn/khoagiaotiep_all/?utm_source=Facebook&amp;utm_medium=MES&amp;utm_term=NEW_Philippines_1840_none_151223&amp;utm_content=saletructiep_Philippines.M98C77.1840.giaotiep_PTATT_LD212&amp;utm_campaign=Philippines.giaotiep.M98C78_95360_MES_NamNH_1512"&amp;"23")</f>
        <v>https://patadovietnam.edu.vn/khoagiaotiep_all/?utm_source=Facebook&amp;utm_medium=MES&amp;utm_term=NEW_Philippines_1840_none_151223&amp;utm_content=saletructiep_Philippines.M98C77.1840.giaotiep_PTATT_LD212&amp;utm_campaign=Philippines.giaotiep.M98C78_95360_MES_NamNH_151223</v>
      </c>
      <c r="U298" s="110" t="s">
        <v>3075</v>
      </c>
    </row>
    <row r="299">
      <c r="A299" s="72">
        <v>45278.0</v>
      </c>
      <c r="B299" s="75" t="s">
        <v>1134</v>
      </c>
      <c r="C299" s="67" t="str">
        <f>IFERROR(__xludf.DUMMYFUNCTION("""COMPUTED_VALUE"""),"LD153")</f>
        <v>LD153</v>
      </c>
      <c r="D299" s="55" t="s">
        <v>42</v>
      </c>
      <c r="E299" s="55" t="s">
        <v>79</v>
      </c>
      <c r="F299" s="55" t="s">
        <v>164</v>
      </c>
      <c r="G299" s="55">
        <v>1840.0</v>
      </c>
      <c r="H299" s="55" t="s">
        <v>1137</v>
      </c>
      <c r="I299" s="115" t="s">
        <v>3076</v>
      </c>
      <c r="J299" s="55" t="s">
        <v>3077</v>
      </c>
      <c r="K299" s="55" t="s">
        <v>61</v>
      </c>
      <c r="L299" s="55">
        <v>95360.0</v>
      </c>
      <c r="M299" s="55" t="s">
        <v>78</v>
      </c>
      <c r="N299" s="55" t="s">
        <v>79</v>
      </c>
      <c r="O299" s="55" t="s">
        <v>224</v>
      </c>
      <c r="P299" s="55" t="s">
        <v>110</v>
      </c>
      <c r="Q299" s="67" t="str">
        <f>IFERROR(__xludf.DUMMYFUNCTION("""COMPUTED_VALUE"""),"Taiwan.giaotiep.M96C56_95360_MES_NamNH_181223")</f>
        <v>Taiwan.giaotiep.M96C56_95360_MES_NamNH_181223</v>
      </c>
      <c r="R299" s="67" t="str">
        <f>IFERROR(__xludf.DUMMYFUNCTION("""COMPUTED_VALUE"""),"NEW_Taiwan_1840_none_181223")</f>
        <v>NEW_Taiwan_1840_none_181223</v>
      </c>
      <c r="S299" s="67" t="str">
        <f>IFERROR(__xludf.DUMMYFUNCTION("""COMPUTED_VALUE"""),"saletructiep_Taiwan.M96C56.1840.giaotiep_PTATT_LD153")</f>
        <v>saletructiep_Taiwan.M96C56.1840.giaotiep_PTATT_LD153</v>
      </c>
      <c r="T299" s="107" t="str">
        <f>IFERROR(__xludf.DUMMYFUNCTION("""COMPUTED_VALUE"""),"https://patadovietnam.edu.vn/tienganhgiaotiep_hn/?utm_source=Facebook&amp;utm_medium=MES&amp;utm_term=NEW_Taiwan_1840_none_181223&amp;utm_content=saletructiep_Taiwan.M96C56.1840.giaotiep_PTATT_LD153&amp;utm_campaign=Taiwan.giaotiep.M96C56_95360_MES_NamNH_181223")</f>
        <v>https://patadovietnam.edu.vn/tienganhgiaotiep_hn/?utm_source=Facebook&amp;utm_medium=MES&amp;utm_term=NEW_Taiwan_1840_none_181223&amp;utm_content=saletructiep_Taiwan.M96C56.1840.giaotiep_PTATT_LD153&amp;utm_campaign=Taiwan.giaotiep.M96C56_95360_MES_NamNH_181223</v>
      </c>
      <c r="U299" s="110" t="s">
        <v>3080</v>
      </c>
    </row>
    <row r="300">
      <c r="A300" s="72">
        <v>45278.0</v>
      </c>
      <c r="B300" s="75" t="s">
        <v>1229</v>
      </c>
      <c r="C300" s="67" t="str">
        <f>IFERROR(__xludf.DUMMYFUNCTION("""COMPUTED_VALUE"""),"LD164")</f>
        <v>LD164</v>
      </c>
      <c r="D300" s="55" t="s">
        <v>42</v>
      </c>
      <c r="E300" s="55" t="s">
        <v>69</v>
      </c>
      <c r="F300" s="55" t="s">
        <v>133</v>
      </c>
      <c r="G300" s="55">
        <v>1840.0</v>
      </c>
      <c r="H300" s="55" t="s">
        <v>1137</v>
      </c>
      <c r="I300" s="115" t="s">
        <v>3083</v>
      </c>
      <c r="J300" s="55" t="s">
        <v>3084</v>
      </c>
      <c r="K300" s="55" t="s">
        <v>61</v>
      </c>
      <c r="L300" s="55">
        <v>16917.0</v>
      </c>
      <c r="M300" s="55" t="s">
        <v>78</v>
      </c>
      <c r="N300" s="55" t="s">
        <v>69</v>
      </c>
      <c r="O300" s="55" t="s">
        <v>224</v>
      </c>
      <c r="P300" s="55" t="s">
        <v>110</v>
      </c>
      <c r="Q300" s="67" t="str">
        <f>IFERROR(__xludf.DUMMYFUNCTION("""COMPUTED_VALUE"""),"Japan.giaotiep.M94C77_16917_CVS_NamNH_181223")</f>
        <v>Japan.giaotiep.M94C77_16917_CVS_NamNH_181223</v>
      </c>
      <c r="R300" s="67" t="str">
        <f>IFERROR(__xludf.DUMMYFUNCTION("""COMPUTED_VALUE"""),"NEW_Japan_1840_none_181223")</f>
        <v>NEW_Japan_1840_none_181223</v>
      </c>
      <c r="S300" s="67" t="str">
        <f>IFERROR(__xludf.DUMMYFUNCTION("""COMPUTED_VALUE"""),"saletructiep_Japan.M94C77.1840.giaotiep_PTATT_LD164")</f>
        <v>saletructiep_Japan.M94C77.1840.giaotiep_PTATT_LD164</v>
      </c>
      <c r="T300" s="107" t="str">
        <f>IFERROR(__xludf.DUMMYFUNCTION("""COMPUTED_VALUE"""),"https://patadovietnam.edu.vn/gtjapan_nhn3/?utm_source=Facebook&amp;utm_medium=CVS&amp;utm_term=NEW_Japan_1840_none_181223&amp;utm_content=saletructiep_Japan.M94C77.1840.giaotiep_PTATT_LD164&amp;utm_campaign=Japan.giaotiep.M94C77_16917_CVS_NamNH_181223")</f>
        <v>https://patadovietnam.edu.vn/gtjapan_nhn3/?utm_source=Facebook&amp;utm_medium=CVS&amp;utm_term=NEW_Japan_1840_none_181223&amp;utm_content=saletructiep_Japan.M94C77.1840.giaotiep_PTATT_LD164&amp;utm_campaign=Japan.giaotiep.M94C77_16917_CVS_NamNH_181223</v>
      </c>
      <c r="U300" s="110" t="s">
        <v>3086</v>
      </c>
    </row>
    <row r="301">
      <c r="A301" s="72">
        <v>45278.0</v>
      </c>
      <c r="B301" s="75" t="s">
        <v>1134</v>
      </c>
      <c r="C301" s="67" t="str">
        <f>IFERROR(__xludf.DUMMYFUNCTION("""COMPUTED_VALUE"""),"LD153")</f>
        <v>LD153</v>
      </c>
      <c r="D301" s="55" t="s">
        <v>42</v>
      </c>
      <c r="E301" s="55" t="s">
        <v>79</v>
      </c>
      <c r="F301" s="55" t="s">
        <v>174</v>
      </c>
      <c r="G301" s="55">
        <v>1840.0</v>
      </c>
      <c r="H301" s="55" t="s">
        <v>1137</v>
      </c>
      <c r="I301" s="115" t="s">
        <v>3087</v>
      </c>
      <c r="J301" s="55" t="s">
        <v>3088</v>
      </c>
      <c r="K301" s="55" t="s">
        <v>61</v>
      </c>
      <c r="L301" s="55">
        <v>95360.0</v>
      </c>
      <c r="M301" s="55" t="s">
        <v>78</v>
      </c>
      <c r="N301" s="55" t="s">
        <v>79</v>
      </c>
      <c r="O301" s="55" t="s">
        <v>224</v>
      </c>
      <c r="P301" s="55" t="s">
        <v>110</v>
      </c>
      <c r="Q301" s="67" t="str">
        <f>IFERROR(__xludf.DUMMYFUNCTION("""COMPUTED_VALUE"""),"Philippines.giaotiep.M94C77_95360_MES_NamNH_181223")</f>
        <v>Philippines.giaotiep.M94C77_95360_MES_NamNH_181223</v>
      </c>
      <c r="R301" s="67" t="str">
        <f>IFERROR(__xludf.DUMMYFUNCTION("""COMPUTED_VALUE"""),"NEW_Philippines_1840_none_181223")</f>
        <v>NEW_Philippines_1840_none_181223</v>
      </c>
      <c r="S301" s="67" t="str">
        <f>IFERROR(__xludf.DUMMYFUNCTION("""COMPUTED_VALUE"""),"saletructiep_Philippines.M94C77.1840.giaotiep_PTATT_LD153")</f>
        <v>saletructiep_Philippines.M94C77.1840.giaotiep_PTATT_LD153</v>
      </c>
      <c r="T301" s="107" t="str">
        <f>IFERROR(__xludf.DUMMYFUNCTION("""COMPUTED_VALUE"""),"https://patadovietnam.edu.vn/tienganhgiaotiep_hn/?utm_source=Facebook&amp;utm_medium=MES&amp;utm_term=NEW_Philippines_1840_none_181223&amp;utm_content=saletructiep_Philippines.M94C77.1840.giaotiep_PTATT_LD153&amp;utm_campaign=Philippines.giaotiep.M94C77_95360_MES_NamNH_1"&amp;"81223")</f>
        <v>https://patadovietnam.edu.vn/tienganhgiaotiep_hn/?utm_source=Facebook&amp;utm_medium=MES&amp;utm_term=NEW_Philippines_1840_none_181223&amp;utm_content=saletructiep_Philippines.M94C77.1840.giaotiep_PTATT_LD153&amp;utm_campaign=Philippines.giaotiep.M94C77_95360_MES_NamNH_181223</v>
      </c>
      <c r="U301" s="110" t="s">
        <v>3091</v>
      </c>
    </row>
    <row r="302">
      <c r="A302" s="72">
        <v>45278.0</v>
      </c>
      <c r="B302" s="75" t="s">
        <v>1229</v>
      </c>
      <c r="C302" s="67" t="str">
        <f>IFERROR(__xludf.DUMMYFUNCTION("""COMPUTED_VALUE"""),"LD164")</f>
        <v>LD164</v>
      </c>
      <c r="D302" s="55" t="s">
        <v>42</v>
      </c>
      <c r="E302" s="55" t="s">
        <v>69</v>
      </c>
      <c r="F302" s="55" t="s">
        <v>133</v>
      </c>
      <c r="G302" s="55">
        <v>1840.0</v>
      </c>
      <c r="H302" s="55" t="s">
        <v>1137</v>
      </c>
      <c r="I302" s="115" t="s">
        <v>3095</v>
      </c>
      <c r="J302" s="55" t="s">
        <v>3096</v>
      </c>
      <c r="K302" s="55" t="s">
        <v>61</v>
      </c>
      <c r="L302" s="55">
        <v>16917.0</v>
      </c>
      <c r="M302" s="55" t="s">
        <v>78</v>
      </c>
      <c r="N302" s="55" t="s">
        <v>69</v>
      </c>
      <c r="O302" s="55" t="s">
        <v>224</v>
      </c>
      <c r="P302" s="55" t="s">
        <v>110</v>
      </c>
      <c r="Q302" s="67" t="str">
        <f>IFERROR(__xludf.DUMMYFUNCTION("""COMPUTED_VALUE"""),"Japan.giaotiep.M94C78_16917_CVS_NamNH_181223")</f>
        <v>Japan.giaotiep.M94C78_16917_CVS_NamNH_181223</v>
      </c>
      <c r="R302" s="67" t="str">
        <f>IFERROR(__xludf.DUMMYFUNCTION("""COMPUTED_VALUE"""),"NEW_Japan_1840_none_181223")</f>
        <v>NEW_Japan_1840_none_181223</v>
      </c>
      <c r="S302" s="67" t="str">
        <f>IFERROR(__xludf.DUMMYFUNCTION("""COMPUTED_VALUE"""),"saletructiep_Japan.M94C78.1840.giaotiep_PTATT_LD164")</f>
        <v>saletructiep_Japan.M94C78.1840.giaotiep_PTATT_LD164</v>
      </c>
      <c r="T302" s="107" t="str">
        <f>IFERROR(__xludf.DUMMYFUNCTION("""COMPUTED_VALUE"""),"https://patadovietnam.edu.vn/gtjapan_nhn3/?utm_source=Facebook&amp;utm_medium=CVS&amp;utm_term=NEW_Japan_1840_none_181223&amp;utm_content=saletructiep_Japan.M94C78.1840.giaotiep_PTATT_LD164&amp;utm_campaign=Japan.giaotiep.M94C78_16917_CVS_NamNH_181223")</f>
        <v>https://patadovietnam.edu.vn/gtjapan_nhn3/?utm_source=Facebook&amp;utm_medium=CVS&amp;utm_term=NEW_Japan_1840_none_181223&amp;utm_content=saletructiep_Japan.M94C78.1840.giaotiep_PTATT_LD164&amp;utm_campaign=Japan.giaotiep.M94C78_16917_CVS_NamNH_181223</v>
      </c>
      <c r="U302" s="110" t="s">
        <v>3099</v>
      </c>
    </row>
    <row r="303">
      <c r="A303" s="72">
        <v>45279.0</v>
      </c>
      <c r="B303" s="75" t="s">
        <v>3023</v>
      </c>
      <c r="C303" s="67" t="str">
        <f>IFERROR(__xludf.DUMMYFUNCTION("""COMPUTED_VALUE"""),"LD212")</f>
        <v>LD212</v>
      </c>
      <c r="D303" s="55" t="s">
        <v>42</v>
      </c>
      <c r="E303" s="55" t="s">
        <v>79</v>
      </c>
      <c r="F303" s="55" t="s">
        <v>625</v>
      </c>
      <c r="G303" s="55">
        <v>1840.0</v>
      </c>
      <c r="H303" s="55" t="s">
        <v>1137</v>
      </c>
      <c r="I303" s="115" t="s">
        <v>3100</v>
      </c>
      <c r="J303" s="55" t="s">
        <v>3101</v>
      </c>
      <c r="K303" s="55" t="s">
        <v>61</v>
      </c>
      <c r="L303" s="55">
        <v>95360.0</v>
      </c>
      <c r="M303" s="55" t="s">
        <v>78</v>
      </c>
      <c r="N303" s="55" t="s">
        <v>79</v>
      </c>
      <c r="O303" s="55" t="s">
        <v>224</v>
      </c>
      <c r="P303" s="55" t="s">
        <v>110</v>
      </c>
      <c r="Q303" s="67" t="str">
        <f>IFERROR(__xludf.DUMMYFUNCTION("""COMPUTED_VALUE"""),"KoreaSouth.giaotiep.M97C65_95360_MES_NamNH_191223")</f>
        <v>KoreaSouth.giaotiep.M97C65_95360_MES_NamNH_191223</v>
      </c>
      <c r="R303" s="67" t="str">
        <f>IFERROR(__xludf.DUMMYFUNCTION("""COMPUTED_VALUE"""),"NEW_KoreaSouth_1840_none_191223")</f>
        <v>NEW_KoreaSouth_1840_none_191223</v>
      </c>
      <c r="S303" s="67" t="str">
        <f>IFERROR(__xludf.DUMMYFUNCTION("""COMPUTED_VALUE"""),"saletructiep_KoreaSouth.M97C65.1840.giaotiep_PTATT_LD212")</f>
        <v>saletructiep_KoreaSouth.M97C65.1840.giaotiep_PTATT_LD212</v>
      </c>
      <c r="T303" s="107" t="str">
        <f>IFERROR(__xludf.DUMMYFUNCTION("""COMPUTED_VALUE"""),"https://patadovietnam.edu.vn/khoagiaotiep_all/?utm_source=Facebook&amp;utm_medium=MES&amp;utm_term=NEW_KoreaSouth_1840_none_191223&amp;utm_content=saletructiep_KoreaSouth.M97C65.1840.giaotiep_PTATT_LD212&amp;utm_campaign=KoreaSouth.giaotiep.M97C65_95360_MES_NamNH_191223")</f>
        <v>https://patadovietnam.edu.vn/khoagiaotiep_all/?utm_source=Facebook&amp;utm_medium=MES&amp;utm_term=NEW_KoreaSouth_1840_none_191223&amp;utm_content=saletructiep_KoreaSouth.M97C65.1840.giaotiep_PTATT_LD212&amp;utm_campaign=KoreaSouth.giaotiep.M97C65_95360_MES_NamNH_191223</v>
      </c>
      <c r="U303" s="110" t="s">
        <v>3102</v>
      </c>
    </row>
    <row r="304">
      <c r="A304" s="72">
        <v>45279.0</v>
      </c>
      <c r="B304" s="75" t="s">
        <v>3023</v>
      </c>
      <c r="C304" s="67" t="str">
        <f>IFERROR(__xludf.DUMMYFUNCTION("""COMPUTED_VALUE"""),"LD212")</f>
        <v>LD212</v>
      </c>
      <c r="D304" s="55" t="s">
        <v>42</v>
      </c>
      <c r="E304" s="55" t="s">
        <v>69</v>
      </c>
      <c r="F304" s="55" t="s">
        <v>674</v>
      </c>
      <c r="G304" s="55">
        <v>1840.0</v>
      </c>
      <c r="H304" s="55" t="s">
        <v>1137</v>
      </c>
      <c r="I304" s="115" t="s">
        <v>3103</v>
      </c>
      <c r="J304" s="55" t="s">
        <v>3104</v>
      </c>
      <c r="K304" s="55" t="s">
        <v>61</v>
      </c>
      <c r="L304" s="55">
        <v>16917.0</v>
      </c>
      <c r="M304" s="55" t="s">
        <v>78</v>
      </c>
      <c r="N304" s="55" t="s">
        <v>69</v>
      </c>
      <c r="O304" s="55" t="s">
        <v>224</v>
      </c>
      <c r="P304" s="55" t="s">
        <v>110</v>
      </c>
      <c r="Q304" s="67" t="str">
        <f>IFERROR(__xludf.DUMMYFUNCTION("""COMPUTED_VALUE"""),"Europe.giaotiep.M94C76_16917_CVS_NamNH_191223")</f>
        <v>Europe.giaotiep.M94C76_16917_CVS_NamNH_191223</v>
      </c>
      <c r="R304" s="67" t="str">
        <f>IFERROR(__xludf.DUMMYFUNCTION("""COMPUTED_VALUE"""),"NEW_Europe_1840_none_191223")</f>
        <v>NEW_Europe_1840_none_191223</v>
      </c>
      <c r="S304" s="67" t="str">
        <f>IFERROR(__xludf.DUMMYFUNCTION("""COMPUTED_VALUE"""),"saletructiep_Europe.M94C76.1840.giaotiep_PTATT_LD212")</f>
        <v>saletructiep_Europe.M94C76.1840.giaotiep_PTATT_LD212</v>
      </c>
      <c r="T304" s="107" t="str">
        <f>IFERROR(__xludf.DUMMYFUNCTION("""COMPUTED_VALUE"""),"https://patadovietnam.edu.vn/khoagiaotiep_all/?utm_source=Facebook&amp;utm_medium=CVS&amp;utm_term=NEW_Europe_1840_none_191223&amp;utm_content=saletructiep_Europe.M94C76.1840.giaotiep_PTATT_LD212&amp;utm_campaign=Europe.giaotiep.M94C76_16917_CVS_NamNH_191223")</f>
        <v>https://patadovietnam.edu.vn/khoagiaotiep_all/?utm_source=Facebook&amp;utm_medium=CVS&amp;utm_term=NEW_Europe_1840_none_191223&amp;utm_content=saletructiep_Europe.M94C76.1840.giaotiep_PTATT_LD212&amp;utm_campaign=Europe.giaotiep.M94C76_16917_CVS_NamNH_191223</v>
      </c>
      <c r="U304" s="110" t="s">
        <v>3109</v>
      </c>
    </row>
    <row r="305">
      <c r="A305" s="72">
        <v>45280.0</v>
      </c>
      <c r="B305" s="75" t="s">
        <v>1245</v>
      </c>
      <c r="C305" s="67" t="str">
        <f>IFERROR(__xludf.DUMMYFUNCTION("""COMPUTED_VALUE"""),"LD161")</f>
        <v>LD161</v>
      </c>
      <c r="D305" s="55" t="s">
        <v>42</v>
      </c>
      <c r="E305" s="55" t="s">
        <v>79</v>
      </c>
      <c r="F305" s="55" t="s">
        <v>107</v>
      </c>
      <c r="G305" s="55">
        <v>1840.0</v>
      </c>
      <c r="H305" s="55" t="s">
        <v>1137</v>
      </c>
      <c r="I305" s="115" t="s">
        <v>3110</v>
      </c>
      <c r="J305" s="55" t="s">
        <v>3111</v>
      </c>
      <c r="K305" s="55" t="s">
        <v>61</v>
      </c>
      <c r="L305" s="55">
        <v>16917.0</v>
      </c>
      <c r="M305" s="55" t="s">
        <v>78</v>
      </c>
      <c r="N305" s="55" t="s">
        <v>79</v>
      </c>
      <c r="O305" s="55" t="s">
        <v>224</v>
      </c>
      <c r="P305" s="55" t="s">
        <v>110</v>
      </c>
      <c r="Q305" s="67" t="str">
        <f>IFERROR(__xludf.DUMMYFUNCTION("""COMPUTED_VALUE"""),"UnitedStates.giaotiep.M94C76_16917_MES_NamNH_201223")</f>
        <v>UnitedStates.giaotiep.M94C76_16917_MES_NamNH_201223</v>
      </c>
      <c r="R305" s="67" t="str">
        <f>IFERROR(__xludf.DUMMYFUNCTION("""COMPUTED_VALUE"""),"NEW_UnitedStates_1840_none_201223")</f>
        <v>NEW_UnitedStates_1840_none_201223</v>
      </c>
      <c r="S305" s="67" t="str">
        <f>IFERROR(__xludf.DUMMYFUNCTION("""COMPUTED_VALUE"""),"saletructiep_UnitedStates.M94C76.1840.giaotiep_PTATT_LD161")</f>
        <v>saletructiep_UnitedStates.M94C76.1840.giaotiep_PTATT_LD161</v>
      </c>
      <c r="T305" s="107" t="str">
        <f>IFERROR(__xludf.DUMMYFUNCTION("""COMPUTED_VALUE"""),"https://patadovietnam.edu.vn/gtusa1_nhn/?utm_source=Facebook&amp;utm_medium=MES&amp;utm_term=NEW_UnitedStates_1840_none_201223&amp;utm_content=saletructiep_UnitedStates.M94C76.1840.giaotiep_PTATT_LD161&amp;utm_campaign=UnitedStates.giaotiep.M94C76_16917_MES_NamNH_201223")</f>
        <v>https://patadovietnam.edu.vn/gtusa1_nhn/?utm_source=Facebook&amp;utm_medium=MES&amp;utm_term=NEW_UnitedStates_1840_none_201223&amp;utm_content=saletructiep_UnitedStates.M94C76.1840.giaotiep_PTATT_LD161&amp;utm_campaign=UnitedStates.giaotiep.M94C76_16917_MES_NamNH_201223</v>
      </c>
      <c r="U305" s="110" t="s">
        <v>3114</v>
      </c>
    </row>
    <row r="306">
      <c r="A306" s="72">
        <v>45280.0</v>
      </c>
      <c r="B306" s="75" t="s">
        <v>1229</v>
      </c>
      <c r="C306" s="67" t="str">
        <f>IFERROR(__xludf.DUMMYFUNCTION("""COMPUTED_VALUE"""),"LD164")</f>
        <v>LD164</v>
      </c>
      <c r="D306" s="55" t="s">
        <v>42</v>
      </c>
      <c r="E306" s="55" t="s">
        <v>69</v>
      </c>
      <c r="F306" s="55" t="s">
        <v>133</v>
      </c>
      <c r="G306" s="55">
        <v>1840.0</v>
      </c>
      <c r="H306" s="55" t="s">
        <v>1137</v>
      </c>
      <c r="I306" s="115" t="s">
        <v>3115</v>
      </c>
      <c r="J306" s="55" t="s">
        <v>3116</v>
      </c>
      <c r="K306" s="55" t="s">
        <v>61</v>
      </c>
      <c r="L306" s="55">
        <v>16917.0</v>
      </c>
      <c r="M306" s="55" t="s">
        <v>78</v>
      </c>
      <c r="N306" s="55" t="s">
        <v>69</v>
      </c>
      <c r="O306" s="55" t="s">
        <v>224</v>
      </c>
      <c r="P306" s="55" t="s">
        <v>110</v>
      </c>
      <c r="Q306" s="67" t="str">
        <f>IFERROR(__xludf.DUMMYFUNCTION("""COMPUTED_VALUE"""),"Japan.giaotiep.M102C82_16917_CVS_NamNH_201223")</f>
        <v>Japan.giaotiep.M102C82_16917_CVS_NamNH_201223</v>
      </c>
      <c r="R306" s="67" t="str">
        <f>IFERROR(__xludf.DUMMYFUNCTION("""COMPUTED_VALUE"""),"NEW_Japan_1840_none_201223")</f>
        <v>NEW_Japan_1840_none_201223</v>
      </c>
      <c r="S306" s="67" t="str">
        <f>IFERROR(__xludf.DUMMYFUNCTION("""COMPUTED_VALUE"""),"saletructiep_Japan.M102C82.1840.giaotiep_PTATT_LD164")</f>
        <v>saletructiep_Japan.M102C82.1840.giaotiep_PTATT_LD164</v>
      </c>
      <c r="T306" s="107" t="str">
        <f>IFERROR(__xludf.DUMMYFUNCTION("""COMPUTED_VALUE"""),"https://patadovietnam.edu.vn/gtjapan_nhn3/?utm_source=Facebook&amp;utm_medium=CVS&amp;utm_term=NEW_Japan_1840_none_201223&amp;utm_content=saletructiep_Japan.M102C82.1840.giaotiep_PTATT_LD164&amp;utm_campaign=Japan.giaotiep.M102C82_16917_CVS_NamNH_201223")</f>
        <v>https://patadovietnam.edu.vn/gtjapan_nhn3/?utm_source=Facebook&amp;utm_medium=CVS&amp;utm_term=NEW_Japan_1840_none_201223&amp;utm_content=saletructiep_Japan.M102C82.1840.giaotiep_PTATT_LD164&amp;utm_campaign=Japan.giaotiep.M102C82_16917_CVS_NamNH_201223</v>
      </c>
      <c r="U306" s="110" t="s">
        <v>3117</v>
      </c>
    </row>
    <row r="307">
      <c r="A307" s="72">
        <v>45281.0</v>
      </c>
      <c r="B307" s="75" t="s">
        <v>1134</v>
      </c>
      <c r="C307" s="67" t="str">
        <f>IFERROR(__xludf.DUMMYFUNCTION("""COMPUTED_VALUE"""),"LD153")</f>
        <v>LD153</v>
      </c>
      <c r="D307" s="55" t="s">
        <v>42</v>
      </c>
      <c r="E307" s="55" t="s">
        <v>79</v>
      </c>
      <c r="F307" s="55" t="s">
        <v>174</v>
      </c>
      <c r="G307" s="55">
        <v>1840.0</v>
      </c>
      <c r="H307" s="55" t="s">
        <v>1137</v>
      </c>
      <c r="I307" s="115" t="s">
        <v>3120</v>
      </c>
      <c r="J307" s="55" t="s">
        <v>3121</v>
      </c>
      <c r="K307" s="55" t="s">
        <v>61</v>
      </c>
      <c r="L307" s="55">
        <v>95360.0</v>
      </c>
      <c r="M307" s="55" t="s">
        <v>78</v>
      </c>
      <c r="N307" s="55" t="s">
        <v>79</v>
      </c>
      <c r="O307" s="55" t="s">
        <v>224</v>
      </c>
      <c r="P307" s="55" t="s">
        <v>110</v>
      </c>
      <c r="Q307" s="67" t="str">
        <f>IFERROR(__xludf.DUMMYFUNCTION("""COMPUTED_VALUE"""),"Philippines.giaotiep.5KK_95360_MES_NamNH_211223")</f>
        <v>Philippines.giaotiep.5KK_95360_MES_NamNH_211223</v>
      </c>
      <c r="R307" s="67" t="str">
        <f>IFERROR(__xludf.DUMMYFUNCTION("""COMPUTED_VALUE"""),"NEW_Philippines_1840_none_211223")</f>
        <v>NEW_Philippines_1840_none_211223</v>
      </c>
      <c r="S307" s="67" t="str">
        <f>IFERROR(__xludf.DUMMYFUNCTION("""COMPUTED_VALUE"""),"saletructiep_Philippines.5KK.1840.giaotiep_PTATT_LD153")</f>
        <v>saletructiep_Philippines.5KK.1840.giaotiep_PTATT_LD153</v>
      </c>
      <c r="T307" s="107" t="str">
        <f>IFERROR(__xludf.DUMMYFUNCTION("""COMPUTED_VALUE"""),"https://patadovietnam.edu.vn/tienganhgiaotiep_hn/?utm_source=Facebook&amp;utm_medium=MES&amp;utm_term=NEW_Philippines_1840_none_211223&amp;utm_content=saletructiep_Philippines.5KK.1840.giaotiep_PTATT_LD153&amp;utm_campaign=Philippines.giaotiep.5KK_95360_MES_NamNH_211223")</f>
        <v>https://patadovietnam.edu.vn/tienganhgiaotiep_hn/?utm_source=Facebook&amp;utm_medium=MES&amp;utm_term=NEW_Philippines_1840_none_211223&amp;utm_content=saletructiep_Philippines.5KK.1840.giaotiep_PTATT_LD153&amp;utm_campaign=Philippines.giaotiep.5KK_95360_MES_NamNH_211223</v>
      </c>
      <c r="U307" s="110" t="s">
        <v>3124</v>
      </c>
    </row>
    <row r="308">
      <c r="A308" s="134">
        <v>45282.0</v>
      </c>
      <c r="B308" s="148" t="s">
        <v>3023</v>
      </c>
      <c r="C308" s="92" t="str">
        <f>IFERROR(__xludf.DUMMYFUNCTION("""COMPUTED_VALUE"""),"LD212")</f>
        <v>LD212</v>
      </c>
      <c r="D308" s="136" t="s">
        <v>42</v>
      </c>
      <c r="E308" s="136" t="s">
        <v>69</v>
      </c>
      <c r="F308" s="136" t="s">
        <v>674</v>
      </c>
      <c r="G308" s="136">
        <v>1840.0</v>
      </c>
      <c r="H308" s="136" t="s">
        <v>1137</v>
      </c>
      <c r="I308" s="162" t="s">
        <v>3125</v>
      </c>
      <c r="J308" s="136" t="s">
        <v>3126</v>
      </c>
      <c r="K308" s="136" t="s">
        <v>61</v>
      </c>
      <c r="L308" s="136">
        <v>16917.0</v>
      </c>
      <c r="M308" s="136" t="s">
        <v>78</v>
      </c>
      <c r="N308" s="136" t="s">
        <v>69</v>
      </c>
      <c r="O308" s="136" t="s">
        <v>224</v>
      </c>
      <c r="P308" s="136" t="s">
        <v>110</v>
      </c>
      <c r="Q308" s="92" t="str">
        <f>IFERROR(__xludf.DUMMYFUNCTION("""COMPUTED_VALUE"""),"Europe.giaotiep.M105C84_16917_CVS_NamNH_221223")</f>
        <v>Europe.giaotiep.M105C84_16917_CVS_NamNH_221223</v>
      </c>
      <c r="R308" s="92" t="str">
        <f>IFERROR(__xludf.DUMMYFUNCTION("""COMPUTED_VALUE"""),"NEW_Europe_1840_none_221223")</f>
        <v>NEW_Europe_1840_none_221223</v>
      </c>
      <c r="S308" s="92" t="str">
        <f>IFERROR(__xludf.DUMMYFUNCTION("""COMPUTED_VALUE"""),"saletructiep_Europe.M105C84.1840.giaotiep_PTATT_LD212")</f>
        <v>saletructiep_Europe.M105C84.1840.giaotiep_PTATT_LD212</v>
      </c>
      <c r="T308" s="137" t="str">
        <f>IFERROR(__xludf.DUMMYFUNCTION("""COMPUTED_VALUE"""),"https://patadovietnam.edu.vn/khoagiaotiep_all/?utm_source=Facebook&amp;utm_medium=CVS&amp;utm_term=NEW_Europe_1840_none_221223&amp;utm_content=saletructiep_Europe.M105C84.1840.giaotiep_PTATT_LD212&amp;utm_campaign=Europe.giaotiep.M105C84_16917_CVS_NamNH_221223")</f>
        <v>https://patadovietnam.edu.vn/khoagiaotiep_all/?utm_source=Facebook&amp;utm_medium=CVS&amp;utm_term=NEW_Europe_1840_none_221223&amp;utm_content=saletructiep_Europe.M105C84.1840.giaotiep_PTATT_LD212&amp;utm_campaign=Europe.giaotiep.M105C84_16917_CVS_NamNH_221223</v>
      </c>
      <c r="U308" s="138" t="s">
        <v>3129</v>
      </c>
    </row>
    <row r="309">
      <c r="A309" s="72">
        <v>45283.0</v>
      </c>
      <c r="B309" s="75" t="s">
        <v>1229</v>
      </c>
      <c r="C309" s="67" t="str">
        <f>IFERROR(__xludf.DUMMYFUNCTION("""COMPUTED_VALUE"""),"LD164")</f>
        <v>LD164</v>
      </c>
      <c r="D309" s="55" t="s">
        <v>42</v>
      </c>
      <c r="E309" s="55" t="s">
        <v>69</v>
      </c>
      <c r="F309" s="55" t="s">
        <v>133</v>
      </c>
      <c r="G309" s="55">
        <v>1840.0</v>
      </c>
      <c r="H309" s="55" t="s">
        <v>1137</v>
      </c>
      <c r="I309" s="115" t="s">
        <v>3130</v>
      </c>
      <c r="J309" s="55" t="s">
        <v>3131</v>
      </c>
      <c r="K309" s="55" t="s">
        <v>61</v>
      </c>
      <c r="L309" s="55">
        <v>16917.0</v>
      </c>
      <c r="M309" s="55" t="s">
        <v>78</v>
      </c>
      <c r="N309" s="55" t="s">
        <v>69</v>
      </c>
      <c r="O309" s="55" t="s">
        <v>224</v>
      </c>
      <c r="P309" s="55" t="s">
        <v>110</v>
      </c>
      <c r="Q309" s="67" t="str">
        <f>IFERROR(__xludf.DUMMYFUNCTION("""COMPUTED_VALUE"""),"Japan.giaotiep.M103C84_16917_CVS_NamNH_231223")</f>
        <v>Japan.giaotiep.M103C84_16917_CVS_NamNH_231223</v>
      </c>
      <c r="R309" s="67" t="str">
        <f>IFERROR(__xludf.DUMMYFUNCTION("""COMPUTED_VALUE"""),"NEW_Japan_1840_none_231223")</f>
        <v>NEW_Japan_1840_none_231223</v>
      </c>
      <c r="S309" s="67" t="str">
        <f>IFERROR(__xludf.DUMMYFUNCTION("""COMPUTED_VALUE"""),"saletructiep_Japan.M103C84.1840.giaotiep_PTATT_LD164")</f>
        <v>saletructiep_Japan.M103C84.1840.giaotiep_PTATT_LD164</v>
      </c>
      <c r="T309" s="107" t="str">
        <f>IFERROR(__xludf.DUMMYFUNCTION("""COMPUTED_VALUE"""),"https://patadovietnam.edu.vn/gtjapan_nhn3/?utm_source=Facebook&amp;utm_medium=CVS&amp;utm_term=NEW_Japan_1840_none_231223&amp;utm_content=saletructiep_Japan.M103C84.1840.giaotiep_PTATT_LD164&amp;utm_campaign=Japan.giaotiep.M103C84_16917_CVS_NamNH_231223")</f>
        <v>https://patadovietnam.edu.vn/gtjapan_nhn3/?utm_source=Facebook&amp;utm_medium=CVS&amp;utm_term=NEW_Japan_1840_none_231223&amp;utm_content=saletructiep_Japan.M103C84.1840.giaotiep_PTATT_LD164&amp;utm_campaign=Japan.giaotiep.M103C84_16917_CVS_NamNH_231223</v>
      </c>
      <c r="U309" s="110" t="s">
        <v>3132</v>
      </c>
    </row>
    <row r="310">
      <c r="A310" s="72">
        <v>45283.0</v>
      </c>
      <c r="B310" s="75" t="s">
        <v>3023</v>
      </c>
      <c r="C310" s="67" t="str">
        <f>IFERROR(__xludf.DUMMYFUNCTION("""COMPUTED_VALUE"""),"LD212")</f>
        <v>LD212</v>
      </c>
      <c r="D310" s="55" t="s">
        <v>42</v>
      </c>
      <c r="E310" s="55" t="s">
        <v>79</v>
      </c>
      <c r="F310" s="55" t="s">
        <v>164</v>
      </c>
      <c r="G310" s="55">
        <v>1840.0</v>
      </c>
      <c r="H310" s="55" t="s">
        <v>1137</v>
      </c>
      <c r="I310" s="115" t="s">
        <v>3135</v>
      </c>
      <c r="J310" s="55" t="s">
        <v>3136</v>
      </c>
      <c r="K310" s="55" t="s">
        <v>61</v>
      </c>
      <c r="L310" s="55">
        <v>95360.0</v>
      </c>
      <c r="M310" s="55" t="s">
        <v>78</v>
      </c>
      <c r="N310" s="55" t="s">
        <v>79</v>
      </c>
      <c r="O310" s="55" t="s">
        <v>224</v>
      </c>
      <c r="P310" s="55" t="s">
        <v>110</v>
      </c>
      <c r="Q310" s="67" t="str">
        <f>IFERROR(__xludf.DUMMYFUNCTION("""COMPUTED_VALUE"""),"Taiwan.giaotiep.M103C85_95360_MES_NamNH_231223")</f>
        <v>Taiwan.giaotiep.M103C85_95360_MES_NamNH_231223</v>
      </c>
      <c r="R310" s="67" t="str">
        <f>IFERROR(__xludf.DUMMYFUNCTION("""COMPUTED_VALUE"""),"NEW_Taiwan_1840_none_231223")</f>
        <v>NEW_Taiwan_1840_none_231223</v>
      </c>
      <c r="S310" s="67" t="str">
        <f>IFERROR(__xludf.DUMMYFUNCTION("""COMPUTED_VALUE"""),"saletructiep_Taiwan.M103C84.1840.giaotiep_PTATT_LD212")</f>
        <v>saletructiep_Taiwan.M103C84.1840.giaotiep_PTATT_LD212</v>
      </c>
      <c r="T310" s="107" t="str">
        <f>IFERROR(__xludf.DUMMYFUNCTION("""COMPUTED_VALUE"""),"https://patadovietnam.edu.vn/khoagiaotiep_all/?utm_source=Facebook&amp;utm_medium=MES&amp;utm_term=NEW_Taiwan_1840_none_231223&amp;utm_content=saletructiep_Taiwan.M103C84.1840.giaotiep_PTATT_LD212&amp;utm_campaign=Taiwan.giaotiep.M103C85_95360_MES_NamNH_231223")</f>
        <v>https://patadovietnam.edu.vn/khoagiaotiep_all/?utm_source=Facebook&amp;utm_medium=MES&amp;utm_term=NEW_Taiwan_1840_none_231223&amp;utm_content=saletructiep_Taiwan.M103C84.1840.giaotiep_PTATT_LD212&amp;utm_campaign=Taiwan.giaotiep.M103C85_95360_MES_NamNH_231223</v>
      </c>
      <c r="U310" s="110" t="s">
        <v>3137</v>
      </c>
    </row>
    <row r="311">
      <c r="A311" s="72">
        <v>45283.0</v>
      </c>
      <c r="B311" s="75" t="s">
        <v>3023</v>
      </c>
      <c r="C311" s="67" t="str">
        <f>IFERROR(__xludf.DUMMYFUNCTION("""COMPUTED_VALUE"""),"LD212")</f>
        <v>LD212</v>
      </c>
      <c r="D311" s="55" t="s">
        <v>42</v>
      </c>
      <c r="E311" s="55" t="s">
        <v>79</v>
      </c>
      <c r="F311" s="55" t="s">
        <v>625</v>
      </c>
      <c r="G311" s="55">
        <v>1840.0</v>
      </c>
      <c r="H311" s="55" t="s">
        <v>1137</v>
      </c>
      <c r="I311" s="115" t="s">
        <v>3140</v>
      </c>
      <c r="J311" s="55" t="s">
        <v>3141</v>
      </c>
      <c r="K311" s="55" t="s">
        <v>61</v>
      </c>
      <c r="L311" s="55">
        <v>95360.0</v>
      </c>
      <c r="M311" s="55" t="s">
        <v>78</v>
      </c>
      <c r="N311" s="55" t="s">
        <v>79</v>
      </c>
      <c r="O311" s="55" t="s">
        <v>224</v>
      </c>
      <c r="P311" s="55" t="s">
        <v>110</v>
      </c>
      <c r="Q311" s="67" t="str">
        <f>IFERROR(__xludf.DUMMYFUNCTION("""COMPUTED_VALUE"""),"KoreaSouth.giaotiep.M103C86_95360_MES_NamNH_231223")</f>
        <v>KoreaSouth.giaotiep.M103C86_95360_MES_NamNH_231223</v>
      </c>
      <c r="R311" s="67" t="str">
        <f>IFERROR(__xludf.DUMMYFUNCTION("""COMPUTED_VALUE"""),"NEW_KoreaSouth_1840_none_231223")</f>
        <v>NEW_KoreaSouth_1840_none_231223</v>
      </c>
      <c r="S311" s="67" t="str">
        <f>IFERROR(__xludf.DUMMYFUNCTION("""COMPUTED_VALUE"""),"saletructiep_KoreaSouth.M103C84.1840.giaotiep_PTATT_LD212")</f>
        <v>saletructiep_KoreaSouth.M103C84.1840.giaotiep_PTATT_LD212</v>
      </c>
      <c r="T311" s="107" t="str">
        <f>IFERROR(__xludf.DUMMYFUNCTION("""COMPUTED_VALUE"""),"https://patadovietnam.edu.vn/khoagiaotiep_all/?utm_source=Facebook&amp;utm_medium=MES&amp;utm_term=NEW_KoreaSouth_1840_none_231223&amp;utm_content=saletructiep_KoreaSouth.M103C84.1840.giaotiep_PTATT_LD212&amp;utm_campaign=KoreaSouth.giaotiep.M103C86_95360_MES_NamNH_23122"&amp;"3")</f>
        <v>https://patadovietnam.edu.vn/khoagiaotiep_all/?utm_source=Facebook&amp;utm_medium=MES&amp;utm_term=NEW_KoreaSouth_1840_none_231223&amp;utm_content=saletructiep_KoreaSouth.M103C84.1840.giaotiep_PTATT_LD212&amp;utm_campaign=KoreaSouth.giaotiep.M103C86_95360_MES_NamNH_231223</v>
      </c>
      <c r="U311" s="110" t="s">
        <v>3142</v>
      </c>
    </row>
    <row r="312">
      <c r="A312" s="72">
        <v>45283.0</v>
      </c>
      <c r="B312" s="75" t="s">
        <v>3023</v>
      </c>
      <c r="C312" s="67" t="str">
        <f>IFERROR(__xludf.DUMMYFUNCTION("""COMPUTED_VALUE"""),"LD212")</f>
        <v>LD212</v>
      </c>
      <c r="D312" s="55" t="s">
        <v>42</v>
      </c>
      <c r="E312" s="55" t="s">
        <v>79</v>
      </c>
      <c r="F312" s="55" t="s">
        <v>174</v>
      </c>
      <c r="G312" s="55">
        <v>1840.0</v>
      </c>
      <c r="H312" s="55" t="s">
        <v>1137</v>
      </c>
      <c r="I312" s="115" t="s">
        <v>3143</v>
      </c>
      <c r="J312" s="55" t="s">
        <v>3144</v>
      </c>
      <c r="K312" s="55" t="s">
        <v>61</v>
      </c>
      <c r="L312" s="55">
        <v>95360.0</v>
      </c>
      <c r="M312" s="55" t="s">
        <v>78</v>
      </c>
      <c r="N312" s="55" t="s">
        <v>79</v>
      </c>
      <c r="O312" s="55" t="s">
        <v>224</v>
      </c>
      <c r="P312" s="55" t="s">
        <v>110</v>
      </c>
      <c r="Q312" s="67" t="str">
        <f>IFERROR(__xludf.DUMMYFUNCTION("""COMPUTED_VALUE"""),"Philippines.giaotiep.M103C87_95360_MES_NamNH_231223")</f>
        <v>Philippines.giaotiep.M103C87_95360_MES_NamNH_231223</v>
      </c>
      <c r="R312" s="67" t="str">
        <f>IFERROR(__xludf.DUMMYFUNCTION("""COMPUTED_VALUE"""),"NEW_Philippines_1840_none_231223")</f>
        <v>NEW_Philippines_1840_none_231223</v>
      </c>
      <c r="S312" s="67" t="str">
        <f>IFERROR(__xludf.DUMMYFUNCTION("""COMPUTED_VALUE"""),"saletructiep_Philippines.M103C84.1840.giaotiep_PTATT_LD212")</f>
        <v>saletructiep_Philippines.M103C84.1840.giaotiep_PTATT_LD212</v>
      </c>
      <c r="T312" s="107" t="str">
        <f>IFERROR(__xludf.DUMMYFUNCTION("""COMPUTED_VALUE"""),"https://patadovietnam.edu.vn/khoagiaotiep_all/?utm_source=Facebook&amp;utm_medium=MES&amp;utm_term=NEW_Philippines_1840_none_231223&amp;utm_content=saletructiep_Philippines.M103C84.1840.giaotiep_PTATT_LD212&amp;utm_campaign=Philippines.giaotiep.M103C87_95360_MES_NamNH_23"&amp;"1223")</f>
        <v>https://patadovietnam.edu.vn/khoagiaotiep_all/?utm_source=Facebook&amp;utm_medium=MES&amp;utm_term=NEW_Philippines_1840_none_231223&amp;utm_content=saletructiep_Philippines.M103C84.1840.giaotiep_PTATT_LD212&amp;utm_campaign=Philippines.giaotiep.M103C87_95360_MES_NamNH_231223</v>
      </c>
      <c r="U312" s="110" t="s">
        <v>3147</v>
      </c>
    </row>
    <row r="313">
      <c r="A313" s="72">
        <v>45283.0</v>
      </c>
      <c r="B313" s="75" t="s">
        <v>3023</v>
      </c>
      <c r="C313" s="67" t="str">
        <f>IFERROR(__xludf.DUMMYFUNCTION("""COMPUTED_VALUE"""),"LD212")</f>
        <v>LD212</v>
      </c>
      <c r="D313" s="55" t="s">
        <v>42</v>
      </c>
      <c r="E313" s="55" t="s">
        <v>69</v>
      </c>
      <c r="F313" s="55" t="s">
        <v>674</v>
      </c>
      <c r="G313" s="55">
        <v>1840.0</v>
      </c>
      <c r="H313" s="55" t="s">
        <v>1137</v>
      </c>
      <c r="I313" s="115" t="s">
        <v>3148</v>
      </c>
      <c r="J313" s="55" t="s">
        <v>3149</v>
      </c>
      <c r="K313" s="55" t="s">
        <v>61</v>
      </c>
      <c r="L313" s="55">
        <v>16917.0</v>
      </c>
      <c r="M313" s="55" t="s">
        <v>78</v>
      </c>
      <c r="N313" s="55" t="s">
        <v>69</v>
      </c>
      <c r="O313" s="55" t="s">
        <v>2405</v>
      </c>
      <c r="P313" s="55" t="s">
        <v>110</v>
      </c>
      <c r="Q313" s="67" t="str">
        <f>IFERROR(__xludf.DUMMYFUNCTION("""COMPUTED_VALUE"""),"Europe.giaotiep.M103C88_16917_CVS_NamNH_231223")</f>
        <v>Europe.giaotiep.M103C88_16917_CVS_NamNH_231223</v>
      </c>
      <c r="R313" s="67" t="str">
        <f>IFERROR(__xludf.DUMMYFUNCTION("""COMPUTED_VALUE"""),"NEW_Europe_1840_none_231223")</f>
        <v>NEW_Europe_1840_none_231223</v>
      </c>
      <c r="S313" s="67" t="str">
        <f>IFERROR(__xludf.DUMMYFUNCTION("""COMPUTED_VALUE"""),"saletructiep_Europe.M103C84.1840.giaotiep_PTATTTD_LD212")</f>
        <v>saletructiep_Europe.M103C84.1840.giaotiep_PTATTTD_LD212</v>
      </c>
      <c r="T313" s="107" t="str">
        <f>IFERROR(__xludf.DUMMYFUNCTION("""COMPUTED_VALUE"""),"https://patadovietnam.edu.vn/khoagiaotiep_all/?utm_source=Facebook&amp;utm_medium=CVS&amp;utm_term=NEW_Europe_1840_none_231223&amp;utm_content=saletructiep_Europe.M103C84.1840.giaotiep_PTATTTD_LD212&amp;utm_campaign=Europe.giaotiep.M103C88_16917_CVS_NamNH_231223")</f>
        <v>https://patadovietnam.edu.vn/khoagiaotiep_all/?utm_source=Facebook&amp;utm_medium=CVS&amp;utm_term=NEW_Europe_1840_none_231223&amp;utm_content=saletructiep_Europe.M103C84.1840.giaotiep_PTATTTD_LD212&amp;utm_campaign=Europe.giaotiep.M103C88_16917_CVS_NamNH_231223</v>
      </c>
      <c r="U313" s="110" t="s">
        <v>3152</v>
      </c>
    </row>
    <row r="314">
      <c r="A314" s="72">
        <v>45292.0</v>
      </c>
      <c r="B314" s="75" t="s">
        <v>1245</v>
      </c>
      <c r="C314" s="67" t="str">
        <f>IFERROR(__xludf.DUMMYFUNCTION("""COMPUTED_VALUE"""),"LD161")</f>
        <v>LD161</v>
      </c>
      <c r="D314" s="55" t="s">
        <v>42</v>
      </c>
      <c r="E314" s="55" t="s">
        <v>79</v>
      </c>
      <c r="F314" s="55" t="s">
        <v>107</v>
      </c>
      <c r="G314" s="55">
        <v>1840.0</v>
      </c>
      <c r="H314" s="55" t="s">
        <v>1137</v>
      </c>
      <c r="I314" s="115" t="s">
        <v>3153</v>
      </c>
      <c r="J314" s="55" t="s">
        <v>3154</v>
      </c>
      <c r="K314" s="55" t="s">
        <v>61</v>
      </c>
      <c r="L314" s="55">
        <v>16917.0</v>
      </c>
      <c r="M314" s="55" t="s">
        <v>78</v>
      </c>
      <c r="N314" s="55" t="s">
        <v>79</v>
      </c>
      <c r="O314" s="55" t="s">
        <v>224</v>
      </c>
      <c r="P314" s="55" t="s">
        <v>110</v>
      </c>
      <c r="Q314" s="67" t="str">
        <f>IFERROR(__xludf.DUMMYFUNCTION("""COMPUTED_VALUE"""),"UnitedStates.giaotiep.HT80H_16917_MES_NamNH_010124")</f>
        <v>UnitedStates.giaotiep.HT80H_16917_MES_NamNH_010124</v>
      </c>
      <c r="R314" s="67" t="str">
        <f>IFERROR(__xludf.DUMMYFUNCTION("""COMPUTED_VALUE"""),"NEW_UnitedStates_1840_none_010124")</f>
        <v>NEW_UnitedStates_1840_none_010124</v>
      </c>
      <c r="S314" s="67" t="str">
        <f>IFERROR(__xludf.DUMMYFUNCTION("""COMPUTED_VALUE"""),"saletructiep_UnitedStates.HT80H.1840.giaotiep_PTATT_LD161")</f>
        <v>saletructiep_UnitedStates.HT80H.1840.giaotiep_PTATT_LD161</v>
      </c>
      <c r="T314" s="107" t="str">
        <f>IFERROR(__xludf.DUMMYFUNCTION("""COMPUTED_VALUE"""),"https://patadovietnam.edu.vn/gtusa1_nhn/?utm_source=Facebook&amp;utm_medium=MES&amp;utm_term=NEW_UnitedStates_1840_none_010124&amp;utm_content=saletructiep_UnitedStates.HT80H.1840.giaotiep_PTATT_LD161&amp;utm_campaign=UnitedStates.giaotiep.HT80H_16917_MES_NamNH_010124")</f>
        <v>https://patadovietnam.edu.vn/gtusa1_nhn/?utm_source=Facebook&amp;utm_medium=MES&amp;utm_term=NEW_UnitedStates_1840_none_010124&amp;utm_content=saletructiep_UnitedStates.HT80H.1840.giaotiep_PTATT_LD161&amp;utm_campaign=UnitedStates.giaotiep.HT80H_16917_MES_NamNH_010124</v>
      </c>
      <c r="U314" s="110" t="s">
        <v>3155</v>
      </c>
    </row>
    <row r="315">
      <c r="A315" s="72">
        <v>45292.0</v>
      </c>
      <c r="B315" s="75" t="s">
        <v>1134</v>
      </c>
      <c r="C315" s="67" t="str">
        <f>IFERROR(__xludf.DUMMYFUNCTION("""COMPUTED_VALUE"""),"LD153")</f>
        <v>LD153</v>
      </c>
      <c r="D315" s="55" t="s">
        <v>42</v>
      </c>
      <c r="E315" s="55" t="s">
        <v>79</v>
      </c>
      <c r="F315" s="55" t="s">
        <v>164</v>
      </c>
      <c r="G315" s="55">
        <v>1840.0</v>
      </c>
      <c r="H315" s="55" t="s">
        <v>1137</v>
      </c>
      <c r="I315" s="115" t="s">
        <v>3156</v>
      </c>
      <c r="J315" s="55" t="s">
        <v>3157</v>
      </c>
      <c r="K315" s="55" t="s">
        <v>61</v>
      </c>
      <c r="L315" s="55">
        <v>95360.0</v>
      </c>
      <c r="M315" s="55" t="s">
        <v>78</v>
      </c>
      <c r="N315" s="55" t="s">
        <v>79</v>
      </c>
      <c r="O315" s="55" t="s">
        <v>224</v>
      </c>
      <c r="P315" s="55" t="s">
        <v>110</v>
      </c>
      <c r="Q315" s="67" t="str">
        <f>IFERROR(__xludf.DUMMYFUNCTION("""COMPUTED_VALUE"""),"Taiwan.giaotiep.HT80H_95360_MES_NamNH_010124")</f>
        <v>Taiwan.giaotiep.HT80H_95360_MES_NamNH_010124</v>
      </c>
      <c r="R315" s="67" t="str">
        <f>IFERROR(__xludf.DUMMYFUNCTION("""COMPUTED_VALUE"""),"NEW_Taiwan_1840_none_010124")</f>
        <v>NEW_Taiwan_1840_none_010124</v>
      </c>
      <c r="S315" s="67" t="str">
        <f>IFERROR(__xludf.DUMMYFUNCTION("""COMPUTED_VALUE"""),"saletructiep_Taiwan.HT80H.1840.giaotiep_PTATT_LD153")</f>
        <v>saletructiep_Taiwan.HT80H.1840.giaotiep_PTATT_LD153</v>
      </c>
      <c r="T315" s="107" t="str">
        <f>IFERROR(__xludf.DUMMYFUNCTION("""COMPUTED_VALUE"""),"https://patadovietnam.edu.vn/tienganhgiaotiep_hn/?utm_source=Facebook&amp;utm_medium=MES&amp;utm_term=NEW_Taiwan_1840_none_010124&amp;utm_content=saletructiep_Taiwan.HT80H.1840.giaotiep_PTATT_LD153&amp;utm_campaign=Taiwan.giaotiep.HT80H_95360_MES_NamNH_010124")</f>
        <v>https://patadovietnam.edu.vn/tienganhgiaotiep_hn/?utm_source=Facebook&amp;utm_medium=MES&amp;utm_term=NEW_Taiwan_1840_none_010124&amp;utm_content=saletructiep_Taiwan.HT80H.1840.giaotiep_PTATT_LD153&amp;utm_campaign=Taiwan.giaotiep.HT80H_95360_MES_NamNH_010124</v>
      </c>
      <c r="U315" s="110" t="s">
        <v>3158</v>
      </c>
    </row>
    <row r="316">
      <c r="A316" s="72">
        <v>45292.0</v>
      </c>
      <c r="B316" s="75" t="s">
        <v>1134</v>
      </c>
      <c r="C316" s="67" t="str">
        <f>IFERROR(__xludf.DUMMYFUNCTION("""COMPUTED_VALUE"""),"LD153")</f>
        <v>LD153</v>
      </c>
      <c r="D316" s="55" t="s">
        <v>42</v>
      </c>
      <c r="E316" s="55" t="s">
        <v>79</v>
      </c>
      <c r="F316" s="55" t="s">
        <v>174</v>
      </c>
      <c r="G316" s="55">
        <v>1840.0</v>
      </c>
      <c r="H316" s="55" t="s">
        <v>1137</v>
      </c>
      <c r="I316" s="115" t="s">
        <v>3159</v>
      </c>
      <c r="J316" s="55" t="s">
        <v>3160</v>
      </c>
      <c r="K316" s="55" t="s">
        <v>61</v>
      </c>
      <c r="L316" s="55">
        <v>16917.0</v>
      </c>
      <c r="M316" s="55" t="s">
        <v>78</v>
      </c>
      <c r="N316" s="55" t="s">
        <v>79</v>
      </c>
      <c r="O316" s="55" t="s">
        <v>224</v>
      </c>
      <c r="P316" s="55" t="s">
        <v>110</v>
      </c>
      <c r="Q316" s="67" t="str">
        <f>IFERROR(__xludf.DUMMYFUNCTION("""COMPUTED_VALUE"""),"Philippines.giaotiep.HT80H_16917_MES_NamNH_010124")</f>
        <v>Philippines.giaotiep.HT80H_16917_MES_NamNH_010124</v>
      </c>
      <c r="R316" s="67" t="str">
        <f>IFERROR(__xludf.DUMMYFUNCTION("""COMPUTED_VALUE"""),"NEW_Philippines_1840_none_010124")</f>
        <v>NEW_Philippines_1840_none_010124</v>
      </c>
      <c r="S316" s="67" t="str">
        <f>IFERROR(__xludf.DUMMYFUNCTION("""COMPUTED_VALUE"""),"saletructiep_Philippines.HT80H.1840.giaotiep_PTATT_LD153")</f>
        <v>saletructiep_Philippines.HT80H.1840.giaotiep_PTATT_LD153</v>
      </c>
      <c r="T316" s="107" t="str">
        <f>IFERROR(__xludf.DUMMYFUNCTION("""COMPUTED_VALUE"""),"https://patadovietnam.edu.vn/tienganhgiaotiep_hn/?utm_source=Facebook&amp;utm_medium=MES&amp;utm_term=NEW_Philippines_1840_none_010124&amp;utm_content=saletructiep_Philippines.HT80H.1840.giaotiep_PTATT_LD153&amp;utm_campaign=Philippines.giaotiep.HT80H_16917_MES_NamNH_010"&amp;"124")</f>
        <v>https://patadovietnam.edu.vn/tienganhgiaotiep_hn/?utm_source=Facebook&amp;utm_medium=MES&amp;utm_term=NEW_Philippines_1840_none_010124&amp;utm_content=saletructiep_Philippines.HT80H.1840.giaotiep_PTATT_LD153&amp;utm_campaign=Philippines.giaotiep.HT80H_16917_MES_NamNH_010124</v>
      </c>
      <c r="U316" s="110" t="s">
        <v>3163</v>
      </c>
    </row>
    <row r="317">
      <c r="A317" s="72">
        <v>45292.0</v>
      </c>
      <c r="B317" s="75" t="s">
        <v>1134</v>
      </c>
      <c r="C317" s="67" t="str">
        <f>IFERROR(__xludf.DUMMYFUNCTION("""COMPUTED_VALUE"""),"LD153")</f>
        <v>LD153</v>
      </c>
      <c r="D317" s="55" t="s">
        <v>42</v>
      </c>
      <c r="E317" s="55" t="s">
        <v>79</v>
      </c>
      <c r="F317" s="55" t="s">
        <v>625</v>
      </c>
      <c r="G317" s="55">
        <v>1840.0</v>
      </c>
      <c r="H317" s="55" t="s">
        <v>1137</v>
      </c>
      <c r="I317" s="115" t="s">
        <v>3164</v>
      </c>
      <c r="J317" s="55" t="s">
        <v>3165</v>
      </c>
      <c r="K317" s="55" t="s">
        <v>61</v>
      </c>
      <c r="L317" s="55">
        <v>16917.0</v>
      </c>
      <c r="M317" s="55" t="s">
        <v>78</v>
      </c>
      <c r="N317" s="55" t="s">
        <v>79</v>
      </c>
      <c r="O317" s="55" t="s">
        <v>224</v>
      </c>
      <c r="P317" s="55" t="s">
        <v>110</v>
      </c>
      <c r="Q317" s="67" t="str">
        <f>IFERROR(__xludf.DUMMYFUNCTION("""COMPUTED_VALUE"""),"KoreaSouth.giaotiep.HT80H_16917_MES_NamNH_010124")</f>
        <v>KoreaSouth.giaotiep.HT80H_16917_MES_NamNH_010124</v>
      </c>
      <c r="R317" s="67" t="str">
        <f>IFERROR(__xludf.DUMMYFUNCTION("""COMPUTED_VALUE"""),"NEW_KoreaSouth_1840_none_010124")</f>
        <v>NEW_KoreaSouth_1840_none_010124</v>
      </c>
      <c r="S317" s="67" t="str">
        <f>IFERROR(__xludf.DUMMYFUNCTION("""COMPUTED_VALUE"""),"saletructiep_KoreaSouth.HT80H.1840.giaotiep_PTATT_LD153")</f>
        <v>saletructiep_KoreaSouth.HT80H.1840.giaotiep_PTATT_LD153</v>
      </c>
      <c r="T317" s="107" t="str">
        <f>IFERROR(__xludf.DUMMYFUNCTION("""COMPUTED_VALUE"""),"https://patadovietnam.edu.vn/tienganhgiaotiep_hn/?utm_source=Facebook&amp;utm_medium=MES&amp;utm_term=NEW_KoreaSouth_1840_none_010124&amp;utm_content=saletructiep_KoreaSouth.HT80H.1840.giaotiep_PTATT_LD153&amp;utm_campaign=KoreaSouth.giaotiep.HT80H_16917_MES_NamNH_010124")</f>
        <v>https://patadovietnam.edu.vn/tienganhgiaotiep_hn/?utm_source=Facebook&amp;utm_medium=MES&amp;utm_term=NEW_KoreaSouth_1840_none_010124&amp;utm_content=saletructiep_KoreaSouth.HT80H.1840.giaotiep_PTATT_LD153&amp;utm_campaign=KoreaSouth.giaotiep.HT80H_16917_MES_NamNH_010124</v>
      </c>
      <c r="U317" s="110" t="s">
        <v>3168</v>
      </c>
    </row>
    <row r="318">
      <c r="A318" s="72">
        <v>45292.0</v>
      </c>
      <c r="B318" s="75" t="s">
        <v>1229</v>
      </c>
      <c r="C318" s="67" t="str">
        <f>IFERROR(__xludf.DUMMYFUNCTION("""COMPUTED_VALUE"""),"LD164")</f>
        <v>LD164</v>
      </c>
      <c r="D318" s="55" t="s">
        <v>42</v>
      </c>
      <c r="E318" s="55" t="s">
        <v>69</v>
      </c>
      <c r="F318" s="55" t="s">
        <v>133</v>
      </c>
      <c r="G318" s="55">
        <v>1840.0</v>
      </c>
      <c r="H318" s="55" t="s">
        <v>1137</v>
      </c>
      <c r="I318" s="115" t="s">
        <v>3169</v>
      </c>
      <c r="J318" s="55" t="s">
        <v>3170</v>
      </c>
      <c r="K318" s="55" t="s">
        <v>61</v>
      </c>
      <c r="L318" s="55">
        <v>16917.0</v>
      </c>
      <c r="M318" s="55" t="s">
        <v>78</v>
      </c>
      <c r="N318" s="55" t="s">
        <v>69</v>
      </c>
      <c r="O318" s="55" t="s">
        <v>224</v>
      </c>
      <c r="P318" s="55" t="s">
        <v>110</v>
      </c>
      <c r="Q318" s="67" t="str">
        <f>IFERROR(__xludf.DUMMYFUNCTION("""COMPUTED_VALUE"""),"Japan.giaotiep.HT80H_16917_CVS_NamNH_010124")</f>
        <v>Japan.giaotiep.HT80H_16917_CVS_NamNH_010124</v>
      </c>
      <c r="R318" s="67" t="str">
        <f>IFERROR(__xludf.DUMMYFUNCTION("""COMPUTED_VALUE"""),"NEW_Japan_1840_none_010124")</f>
        <v>NEW_Japan_1840_none_010124</v>
      </c>
      <c r="S318" s="67" t="str">
        <f>IFERROR(__xludf.DUMMYFUNCTION("""COMPUTED_VALUE"""),"saletructiep_Japan.HT80H.1840.giaotiep_PTATT_LD164")</f>
        <v>saletructiep_Japan.HT80H.1840.giaotiep_PTATT_LD164</v>
      </c>
      <c r="T318" s="107" t="str">
        <f>IFERROR(__xludf.DUMMYFUNCTION("""COMPUTED_VALUE"""),"https://patadovietnam.edu.vn/gtjapan_nhn3/?utm_source=Facebook&amp;utm_medium=CVS&amp;utm_term=NEW_Japan_1840_none_010124&amp;utm_content=saletructiep_Japan.HT80H.1840.giaotiep_PTATT_LD164&amp;utm_campaign=Japan.giaotiep.HT80H_16917_CVS_NamNH_010124")</f>
        <v>https://patadovietnam.edu.vn/gtjapan_nhn3/?utm_source=Facebook&amp;utm_medium=CVS&amp;utm_term=NEW_Japan_1840_none_010124&amp;utm_content=saletructiep_Japan.HT80H.1840.giaotiep_PTATT_LD164&amp;utm_campaign=Japan.giaotiep.HT80H_16917_CVS_NamNH_010124</v>
      </c>
      <c r="U318" s="110" t="s">
        <v>3172</v>
      </c>
    </row>
    <row r="319">
      <c r="A319" s="134">
        <v>45293.0</v>
      </c>
      <c r="B319" s="148" t="s">
        <v>1245</v>
      </c>
      <c r="C319" s="92" t="str">
        <f>IFERROR(__xludf.DUMMYFUNCTION("""COMPUTED_VALUE"""),"LD161")</f>
        <v>LD161</v>
      </c>
      <c r="D319" s="136" t="s">
        <v>42</v>
      </c>
      <c r="E319" s="136" t="s">
        <v>79</v>
      </c>
      <c r="F319" s="136" t="s">
        <v>107</v>
      </c>
      <c r="G319" s="136">
        <v>1840.0</v>
      </c>
      <c r="H319" s="136" t="s">
        <v>1137</v>
      </c>
      <c r="I319" s="162" t="s">
        <v>3173</v>
      </c>
      <c r="J319" s="136" t="s">
        <v>3174</v>
      </c>
      <c r="K319" s="136" t="s">
        <v>61</v>
      </c>
      <c r="L319" s="136">
        <v>16917.0</v>
      </c>
      <c r="M319" s="136" t="s">
        <v>78</v>
      </c>
      <c r="N319" s="136" t="s">
        <v>79</v>
      </c>
      <c r="O319" s="136" t="s">
        <v>224</v>
      </c>
      <c r="P319" s="136" t="s">
        <v>110</v>
      </c>
      <c r="Q319" s="92" t="str">
        <f>IFERROR(__xludf.DUMMYFUNCTION("""COMPUTED_VALUE"""),"UnitedStates.giaotiep.ndlchn_16917_MES_NamNH_020124")</f>
        <v>UnitedStates.giaotiep.ndlchn_16917_MES_NamNH_020124</v>
      </c>
      <c r="R319" s="92" t="str">
        <f>IFERROR(__xludf.DUMMYFUNCTION("""COMPUTED_VALUE"""),"NEW_UnitedStates_1840_none_020124")</f>
        <v>NEW_UnitedStates_1840_none_020124</v>
      </c>
      <c r="S319" s="92" t="str">
        <f>IFERROR(__xludf.DUMMYFUNCTION("""COMPUTED_VALUE"""),"saletructiep_UnitedStates.ndlchn.1840.giaotiep_PTATT_LD161")</f>
        <v>saletructiep_UnitedStates.ndlchn.1840.giaotiep_PTATT_LD161</v>
      </c>
      <c r="T319" s="137" t="str">
        <f>IFERROR(__xludf.DUMMYFUNCTION("""COMPUTED_VALUE"""),"https://patadovietnam.edu.vn/gtusa1_nhn/?utm_source=Facebook&amp;utm_medium=MES&amp;utm_term=NEW_UnitedStates_1840_none_020124&amp;utm_content=saletructiep_UnitedStates.ndlchn.1840.giaotiep_PTATT_LD161&amp;utm_campaign=UnitedStates.giaotiep.ndlchn_16917_MES_NamNH_020124")</f>
        <v>https://patadovietnam.edu.vn/gtusa1_nhn/?utm_source=Facebook&amp;utm_medium=MES&amp;utm_term=NEW_UnitedStates_1840_none_020124&amp;utm_content=saletructiep_UnitedStates.ndlchn.1840.giaotiep_PTATT_LD161&amp;utm_campaign=UnitedStates.giaotiep.ndlchn_16917_MES_NamNH_020124</v>
      </c>
      <c r="U319" s="138" t="s">
        <v>3175</v>
      </c>
    </row>
    <row r="320">
      <c r="A320" s="72">
        <v>45293.0</v>
      </c>
      <c r="B320" s="75" t="s">
        <v>1134</v>
      </c>
      <c r="C320" s="67" t="str">
        <f>IFERROR(__xludf.DUMMYFUNCTION("""COMPUTED_VALUE"""),"LD153")</f>
        <v>LD153</v>
      </c>
      <c r="D320" s="55" t="s">
        <v>42</v>
      </c>
      <c r="E320" s="55" t="s">
        <v>79</v>
      </c>
      <c r="F320" s="55" t="s">
        <v>164</v>
      </c>
      <c r="G320" s="55">
        <v>1840.0</v>
      </c>
      <c r="H320" s="55" t="s">
        <v>1137</v>
      </c>
      <c r="I320" s="115" t="s">
        <v>3178</v>
      </c>
      <c r="J320" s="55" t="s">
        <v>3179</v>
      </c>
      <c r="K320" s="55" t="s">
        <v>61</v>
      </c>
      <c r="L320" s="55">
        <v>95360.0</v>
      </c>
      <c r="M320" s="55" t="s">
        <v>78</v>
      </c>
      <c r="N320" s="55" t="s">
        <v>79</v>
      </c>
      <c r="O320" s="55" t="s">
        <v>224</v>
      </c>
      <c r="P320" s="55" t="s">
        <v>110</v>
      </c>
      <c r="Q320" s="67" t="str">
        <f>IFERROR(__xludf.DUMMYFUNCTION("""COMPUTED_VALUE"""),"Taiwan.giaotiep.ndlchn_95360_MES_NamNH_020124")</f>
        <v>Taiwan.giaotiep.ndlchn_95360_MES_NamNH_020124</v>
      </c>
      <c r="R320" s="67" t="str">
        <f>IFERROR(__xludf.DUMMYFUNCTION("""COMPUTED_VALUE"""),"NEW_Taiwan_1840_none_020124")</f>
        <v>NEW_Taiwan_1840_none_020124</v>
      </c>
      <c r="S320" s="67" t="str">
        <f>IFERROR(__xludf.DUMMYFUNCTION("""COMPUTED_VALUE"""),"saletructiep_Taiwan.ndlchn.1840.giaotiep_PTATT_LD153")</f>
        <v>saletructiep_Taiwan.ndlchn.1840.giaotiep_PTATT_LD153</v>
      </c>
      <c r="T320" s="107" t="str">
        <f>IFERROR(__xludf.DUMMYFUNCTION("""COMPUTED_VALUE"""),"https://patadovietnam.edu.vn/tienganhgiaotiep_hn/?utm_source=Facebook&amp;utm_medium=MES&amp;utm_term=NEW_Taiwan_1840_none_020124&amp;utm_content=saletructiep_Taiwan.ndlchn.1840.giaotiep_PTATT_LD153&amp;utm_campaign=Taiwan.giaotiep.ndlchn_95360_MES_NamNH_020124")</f>
        <v>https://patadovietnam.edu.vn/tienganhgiaotiep_hn/?utm_source=Facebook&amp;utm_medium=MES&amp;utm_term=NEW_Taiwan_1840_none_020124&amp;utm_content=saletructiep_Taiwan.ndlchn.1840.giaotiep_PTATT_LD153&amp;utm_campaign=Taiwan.giaotiep.ndlchn_95360_MES_NamNH_020124</v>
      </c>
      <c r="U320" s="110" t="s">
        <v>3181</v>
      </c>
    </row>
    <row r="321">
      <c r="A321" s="72">
        <v>45293.0</v>
      </c>
      <c r="B321" s="75" t="s">
        <v>1134</v>
      </c>
      <c r="C321" s="67" t="str">
        <f>IFERROR(__xludf.DUMMYFUNCTION("""COMPUTED_VALUE"""),"LD153")</f>
        <v>LD153</v>
      </c>
      <c r="D321" s="55" t="s">
        <v>42</v>
      </c>
      <c r="E321" s="55" t="s">
        <v>79</v>
      </c>
      <c r="F321" s="55" t="s">
        <v>174</v>
      </c>
      <c r="G321" s="55">
        <v>1840.0</v>
      </c>
      <c r="H321" s="55" t="s">
        <v>1137</v>
      </c>
      <c r="I321" s="115" t="s">
        <v>3182</v>
      </c>
      <c r="J321" s="55" t="s">
        <v>3183</v>
      </c>
      <c r="K321" s="55" t="s">
        <v>61</v>
      </c>
      <c r="L321" s="55">
        <v>95360.0</v>
      </c>
      <c r="M321" s="55" t="s">
        <v>78</v>
      </c>
      <c r="N321" s="55" t="s">
        <v>79</v>
      </c>
      <c r="O321" s="55" t="s">
        <v>224</v>
      </c>
      <c r="P321" s="55" t="s">
        <v>110</v>
      </c>
      <c r="Q321" s="67" t="str">
        <f>IFERROR(__xludf.DUMMYFUNCTION("""COMPUTED_VALUE"""),"Philippines.giaotiep.ndlchn_95360_MES_NamNH_020124")</f>
        <v>Philippines.giaotiep.ndlchn_95360_MES_NamNH_020124</v>
      </c>
      <c r="R321" s="67" t="str">
        <f>IFERROR(__xludf.DUMMYFUNCTION("""COMPUTED_VALUE"""),"NEW_Philippines_1840_none_020124")</f>
        <v>NEW_Philippines_1840_none_020124</v>
      </c>
      <c r="S321" s="67" t="str">
        <f>IFERROR(__xludf.DUMMYFUNCTION("""COMPUTED_VALUE"""),"saletructiep_Philippines.ndlchn.1840.giaotiep_PTATT_LD153")</f>
        <v>saletructiep_Philippines.ndlchn.1840.giaotiep_PTATT_LD153</v>
      </c>
      <c r="T321" s="107" t="str">
        <f>IFERROR(__xludf.DUMMYFUNCTION("""COMPUTED_VALUE"""),"https://patadovietnam.edu.vn/tienganhgiaotiep_hn/?utm_source=Facebook&amp;utm_medium=MES&amp;utm_term=NEW_Philippines_1840_none_020124&amp;utm_content=saletructiep_Philippines.ndlchn.1840.giaotiep_PTATT_LD153&amp;utm_campaign=Philippines.giaotiep.ndlchn_95360_MES_NamNH_0"&amp;"20124")</f>
        <v>https://patadovietnam.edu.vn/tienganhgiaotiep_hn/?utm_source=Facebook&amp;utm_medium=MES&amp;utm_term=NEW_Philippines_1840_none_020124&amp;utm_content=saletructiep_Philippines.ndlchn.1840.giaotiep_PTATT_LD153&amp;utm_campaign=Philippines.giaotiep.ndlchn_95360_MES_NamNH_020124</v>
      </c>
      <c r="U321" s="110" t="s">
        <v>3186</v>
      </c>
    </row>
    <row r="322">
      <c r="A322" s="72">
        <v>45293.0</v>
      </c>
      <c r="B322" s="75" t="s">
        <v>1134</v>
      </c>
      <c r="C322" s="67" t="str">
        <f>IFERROR(__xludf.DUMMYFUNCTION("""COMPUTED_VALUE"""),"LD153")</f>
        <v>LD153</v>
      </c>
      <c r="D322" s="55" t="s">
        <v>42</v>
      </c>
      <c r="E322" s="55" t="s">
        <v>79</v>
      </c>
      <c r="F322" s="55" t="s">
        <v>625</v>
      </c>
      <c r="G322" s="55">
        <v>1840.0</v>
      </c>
      <c r="H322" s="55" t="s">
        <v>1137</v>
      </c>
      <c r="I322" s="115" t="s">
        <v>3187</v>
      </c>
      <c r="J322" s="55" t="s">
        <v>3188</v>
      </c>
      <c r="K322" s="55" t="s">
        <v>61</v>
      </c>
      <c r="L322" s="55">
        <v>95360.0</v>
      </c>
      <c r="M322" s="55" t="s">
        <v>78</v>
      </c>
      <c r="N322" s="55" t="s">
        <v>79</v>
      </c>
      <c r="O322" s="55" t="s">
        <v>224</v>
      </c>
      <c r="P322" s="55" t="s">
        <v>110</v>
      </c>
      <c r="Q322" s="67" t="str">
        <f>IFERROR(__xludf.DUMMYFUNCTION("""COMPUTED_VALUE"""),"KoreaSouth.giaotiep.ndlchn_95360_MES_NamNH_020124")</f>
        <v>KoreaSouth.giaotiep.ndlchn_95360_MES_NamNH_020124</v>
      </c>
      <c r="R322" s="67" t="str">
        <f>IFERROR(__xludf.DUMMYFUNCTION("""COMPUTED_VALUE"""),"NEW_KoreaSouth_1840_none_020124")</f>
        <v>NEW_KoreaSouth_1840_none_020124</v>
      </c>
      <c r="S322" s="67" t="str">
        <f>IFERROR(__xludf.DUMMYFUNCTION("""COMPUTED_VALUE"""),"saletructiep_KoreaSouth.ndlchn.1840.giaotiep_PTATT_LD153")</f>
        <v>saletructiep_KoreaSouth.ndlchn.1840.giaotiep_PTATT_LD153</v>
      </c>
      <c r="T322" s="107" t="str">
        <f>IFERROR(__xludf.DUMMYFUNCTION("""COMPUTED_VALUE"""),"https://patadovietnam.edu.vn/tienganhgiaotiep_hn/?utm_source=Facebook&amp;utm_medium=MES&amp;utm_term=NEW_KoreaSouth_1840_none_020124&amp;utm_content=saletructiep_KoreaSouth.ndlchn.1840.giaotiep_PTATT_LD153&amp;utm_campaign=KoreaSouth.giaotiep.ndlchn_95360_MES_NamNH_0201"&amp;"24")</f>
        <v>https://patadovietnam.edu.vn/tienganhgiaotiep_hn/?utm_source=Facebook&amp;utm_medium=MES&amp;utm_term=NEW_KoreaSouth_1840_none_020124&amp;utm_content=saletructiep_KoreaSouth.ndlchn.1840.giaotiep_PTATT_LD153&amp;utm_campaign=KoreaSouth.giaotiep.ndlchn_95360_MES_NamNH_020124</v>
      </c>
      <c r="U322" s="110" t="s">
        <v>3191</v>
      </c>
    </row>
    <row r="323">
      <c r="A323" s="134">
        <v>45293.0</v>
      </c>
      <c r="B323" s="148" t="s">
        <v>1229</v>
      </c>
      <c r="C323" s="92" t="str">
        <f>IFERROR(__xludf.DUMMYFUNCTION("""COMPUTED_VALUE"""),"LD164")</f>
        <v>LD164</v>
      </c>
      <c r="D323" s="136" t="s">
        <v>42</v>
      </c>
      <c r="E323" s="136" t="s">
        <v>69</v>
      </c>
      <c r="F323" s="136" t="s">
        <v>133</v>
      </c>
      <c r="G323" s="136">
        <v>1840.0</v>
      </c>
      <c r="H323" s="136" t="s">
        <v>1137</v>
      </c>
      <c r="I323" s="162" t="s">
        <v>3192</v>
      </c>
      <c r="J323" s="136" t="s">
        <v>3193</v>
      </c>
      <c r="K323" s="136" t="s">
        <v>61</v>
      </c>
      <c r="L323" s="136">
        <v>16917.0</v>
      </c>
      <c r="M323" s="136" t="s">
        <v>78</v>
      </c>
      <c r="N323" s="136" t="s">
        <v>69</v>
      </c>
      <c r="O323" s="136" t="s">
        <v>224</v>
      </c>
      <c r="P323" s="136" t="s">
        <v>110</v>
      </c>
      <c r="Q323" s="92" t="str">
        <f>IFERROR(__xludf.DUMMYFUNCTION("""COMPUTED_VALUE"""),"Japan.giaotiep.ndlchn_16917_CVS_NamNH_020124")</f>
        <v>Japan.giaotiep.ndlchn_16917_CVS_NamNH_020124</v>
      </c>
      <c r="R323" s="92" t="str">
        <f>IFERROR(__xludf.DUMMYFUNCTION("""COMPUTED_VALUE"""),"NEW_Japan_1840_none_020124")</f>
        <v>NEW_Japan_1840_none_020124</v>
      </c>
      <c r="S323" s="92" t="str">
        <f>IFERROR(__xludf.DUMMYFUNCTION("""COMPUTED_VALUE"""),"saletructiep_Japan.ndlchn.1840.giaotiep_PTATT_LD164")</f>
        <v>saletructiep_Japan.ndlchn.1840.giaotiep_PTATT_LD164</v>
      </c>
      <c r="T323" s="137" t="str">
        <f>IFERROR(__xludf.DUMMYFUNCTION("""COMPUTED_VALUE"""),"https://patadovietnam.edu.vn/gtjapan_nhn3/?utm_source=Facebook&amp;utm_medium=CVS&amp;utm_term=NEW_Japan_1840_none_020124&amp;utm_content=saletructiep_Japan.ndlchn.1840.giaotiep_PTATT_LD164&amp;utm_campaign=Japan.giaotiep.ndlchn_16917_CVS_NamNH_020124")</f>
        <v>https://patadovietnam.edu.vn/gtjapan_nhn3/?utm_source=Facebook&amp;utm_medium=CVS&amp;utm_term=NEW_Japan_1840_none_020124&amp;utm_content=saletructiep_Japan.ndlchn.1840.giaotiep_PTATT_LD164&amp;utm_campaign=Japan.giaotiep.ndlchn_16917_CVS_NamNH_020124</v>
      </c>
      <c r="U323" s="138" t="s">
        <v>3194</v>
      </c>
    </row>
    <row r="324">
      <c r="A324" s="134">
        <v>45293.0</v>
      </c>
      <c r="B324" s="148" t="s">
        <v>1134</v>
      </c>
      <c r="C324" s="92" t="str">
        <f>IFERROR(__xludf.DUMMYFUNCTION("""COMPUTED_VALUE"""),"LD153")</f>
        <v>LD153</v>
      </c>
      <c r="D324" s="136" t="s">
        <v>42</v>
      </c>
      <c r="E324" s="136" t="s">
        <v>69</v>
      </c>
      <c r="F324" s="136" t="s">
        <v>674</v>
      </c>
      <c r="G324" s="136">
        <v>1840.0</v>
      </c>
      <c r="H324" s="136" t="s">
        <v>1137</v>
      </c>
      <c r="I324" s="162" t="s">
        <v>3196</v>
      </c>
      <c r="J324" s="136" t="s">
        <v>3197</v>
      </c>
      <c r="K324" s="136" t="s">
        <v>61</v>
      </c>
      <c r="L324" s="136">
        <v>16917.0</v>
      </c>
      <c r="M324" s="136" t="s">
        <v>78</v>
      </c>
      <c r="N324" s="136" t="s">
        <v>69</v>
      </c>
      <c r="O324" s="136" t="s">
        <v>224</v>
      </c>
      <c r="P324" s="136" t="s">
        <v>110</v>
      </c>
      <c r="Q324" s="92" t="str">
        <f>IFERROR(__xludf.DUMMYFUNCTION("""COMPUTED_VALUE"""),"Europe.giaotiep.ndlchn_16917_CVS_NamNH_020124")</f>
        <v>Europe.giaotiep.ndlchn_16917_CVS_NamNH_020124</v>
      </c>
      <c r="R324" s="92" t="str">
        <f>IFERROR(__xludf.DUMMYFUNCTION("""COMPUTED_VALUE"""),"NEW_Europe_1840_none_020124")</f>
        <v>NEW_Europe_1840_none_020124</v>
      </c>
      <c r="S324" s="92" t="str">
        <f>IFERROR(__xludf.DUMMYFUNCTION("""COMPUTED_VALUE"""),"saletructiep_Europe.ndlchn.1840.giaotiep_PTATT_LD153")</f>
        <v>saletructiep_Europe.ndlchn.1840.giaotiep_PTATT_LD153</v>
      </c>
      <c r="T324" s="137" t="str">
        <f>IFERROR(__xludf.DUMMYFUNCTION("""COMPUTED_VALUE"""),"https://patadovietnam.edu.vn/tienganhgiaotiep_hn/?utm_source=Facebook&amp;utm_medium=CVS&amp;utm_term=NEW_Europe_1840_none_020124&amp;utm_content=saletructiep_Europe.ndlchn.1840.giaotiep_PTATT_LD153&amp;utm_campaign=Europe.giaotiep.ndlchn_16917_CVS_NamNH_020124")</f>
        <v>https://patadovietnam.edu.vn/tienganhgiaotiep_hn/?utm_source=Facebook&amp;utm_medium=CVS&amp;utm_term=NEW_Europe_1840_none_020124&amp;utm_content=saletructiep_Europe.ndlchn.1840.giaotiep_PTATT_LD153&amp;utm_campaign=Europe.giaotiep.ndlchn_16917_CVS_NamNH_020124</v>
      </c>
      <c r="U324" s="138" t="s">
        <v>3199</v>
      </c>
    </row>
    <row r="325">
      <c r="A325" s="72">
        <v>45293.0</v>
      </c>
      <c r="B325" s="75" t="s">
        <v>1229</v>
      </c>
      <c r="C325" s="67" t="str">
        <f>IFERROR(__xludf.DUMMYFUNCTION("""COMPUTED_VALUE"""),"LD164")</f>
        <v>LD164</v>
      </c>
      <c r="D325" s="55" t="s">
        <v>42</v>
      </c>
      <c r="E325" s="55" t="s">
        <v>69</v>
      </c>
      <c r="F325" s="55" t="s">
        <v>133</v>
      </c>
      <c r="G325" s="55">
        <v>1840.0</v>
      </c>
      <c r="H325" s="55" t="s">
        <v>1137</v>
      </c>
      <c r="I325" s="115" t="s">
        <v>3201</v>
      </c>
      <c r="J325" s="55" t="s">
        <v>3202</v>
      </c>
      <c r="K325" s="55" t="s">
        <v>61</v>
      </c>
      <c r="L325" s="55">
        <v>16917.0</v>
      </c>
      <c r="M325" s="55" t="s">
        <v>78</v>
      </c>
      <c r="N325" s="55" t="s">
        <v>69</v>
      </c>
      <c r="O325" s="55" t="s">
        <v>224</v>
      </c>
      <c r="P325" s="55" t="s">
        <v>110</v>
      </c>
      <c r="Q325" s="67" t="str">
        <f>IFERROR(__xludf.DUMMYFUNCTION("""COMPUTED_VALUE"""),"Japan.giaotiep.videoBA_16917_CVS_NamNH_020124")</f>
        <v>Japan.giaotiep.videoBA_16917_CVS_NamNH_020124</v>
      </c>
      <c r="R325" s="67" t="str">
        <f>IFERROR(__xludf.DUMMYFUNCTION("""COMPUTED_VALUE"""),"NEW_Japan_1840_none_020124")</f>
        <v>NEW_Japan_1840_none_020124</v>
      </c>
      <c r="S325" s="67" t="str">
        <f>IFERROR(__xludf.DUMMYFUNCTION("""COMPUTED_VALUE"""),"saletructiep_Japan.videoBA.1840.giaotiep_PTATT_LD164")</f>
        <v>saletructiep_Japan.videoBA.1840.giaotiep_PTATT_LD164</v>
      </c>
      <c r="T325" s="107" t="str">
        <f>IFERROR(__xludf.DUMMYFUNCTION("""COMPUTED_VALUE"""),"https://patadovietnam.edu.vn/gtjapan_nhn3/?utm_source=Facebook&amp;utm_medium=CVS&amp;utm_term=NEW_Japan_1840_none_020124&amp;utm_content=saletructiep_Japan.videoBA.1840.giaotiep_PTATT_LD164&amp;utm_campaign=Japan.giaotiep.videoBA_16917_CVS_NamNH_020124")</f>
        <v>https://patadovietnam.edu.vn/gtjapan_nhn3/?utm_source=Facebook&amp;utm_medium=CVS&amp;utm_term=NEW_Japan_1840_none_020124&amp;utm_content=saletructiep_Japan.videoBA.1840.giaotiep_PTATT_LD164&amp;utm_campaign=Japan.giaotiep.videoBA_16917_CVS_NamNH_020124</v>
      </c>
      <c r="U325" s="110" t="s">
        <v>3203</v>
      </c>
    </row>
    <row r="326">
      <c r="A326" s="72">
        <v>45293.0</v>
      </c>
      <c r="B326" s="75" t="s">
        <v>1245</v>
      </c>
      <c r="C326" s="67" t="str">
        <f>IFERROR(__xludf.DUMMYFUNCTION("""COMPUTED_VALUE"""),"LD161")</f>
        <v>LD161</v>
      </c>
      <c r="D326" s="55" t="s">
        <v>42</v>
      </c>
      <c r="E326" s="55" t="s">
        <v>79</v>
      </c>
      <c r="F326" s="55" t="s">
        <v>107</v>
      </c>
      <c r="G326" s="55">
        <v>1840.0</v>
      </c>
      <c r="H326" s="55" t="s">
        <v>1137</v>
      </c>
      <c r="I326" s="115" t="s">
        <v>3204</v>
      </c>
      <c r="J326" s="55" t="s">
        <v>3205</v>
      </c>
      <c r="K326" s="55" t="s">
        <v>61</v>
      </c>
      <c r="L326" s="55">
        <v>16917.0</v>
      </c>
      <c r="M326" s="55" t="s">
        <v>78</v>
      </c>
      <c r="N326" s="55" t="s">
        <v>79</v>
      </c>
      <c r="O326" s="55" t="s">
        <v>224</v>
      </c>
      <c r="P326" s="55" t="s">
        <v>110</v>
      </c>
      <c r="Q326" s="67" t="str">
        <f>IFERROR(__xludf.DUMMYFUNCTION("""COMPUTED_VALUE"""),"UnitedStates.giaotiep.videoBA_16917_MES_NamNH_020124")</f>
        <v>UnitedStates.giaotiep.videoBA_16917_MES_NamNH_020124</v>
      </c>
      <c r="R326" s="67" t="str">
        <f>IFERROR(__xludf.DUMMYFUNCTION("""COMPUTED_VALUE"""),"NEW_UnitedStates_1840_none_020124")</f>
        <v>NEW_UnitedStates_1840_none_020124</v>
      </c>
      <c r="S326" s="67" t="str">
        <f>IFERROR(__xludf.DUMMYFUNCTION("""COMPUTED_VALUE"""),"saletructiep_UnitedStates.videoBA.1840.giaotiep_PTATT_LD161")</f>
        <v>saletructiep_UnitedStates.videoBA.1840.giaotiep_PTATT_LD161</v>
      </c>
      <c r="T326" s="107" t="str">
        <f>IFERROR(__xludf.DUMMYFUNCTION("""COMPUTED_VALUE"""),"https://patadovietnam.edu.vn/gtusa1_nhn/?utm_source=Facebook&amp;utm_medium=MES&amp;utm_term=NEW_UnitedStates_1840_none_020124&amp;utm_content=saletructiep_UnitedStates.videoBA.1840.giaotiep_PTATT_LD161&amp;utm_campaign=UnitedStates.giaotiep.videoBA_16917_MES_NamNH_02012"&amp;"4")</f>
        <v>https://patadovietnam.edu.vn/gtusa1_nhn/?utm_source=Facebook&amp;utm_medium=MES&amp;utm_term=NEW_UnitedStates_1840_none_020124&amp;utm_content=saletructiep_UnitedStates.videoBA.1840.giaotiep_PTATT_LD161&amp;utm_campaign=UnitedStates.giaotiep.videoBA_16917_MES_NamNH_020124</v>
      </c>
      <c r="U326" s="110" t="s">
        <v>3206</v>
      </c>
    </row>
    <row r="327">
      <c r="A327" s="72">
        <v>45296.0</v>
      </c>
      <c r="B327" s="75" t="s">
        <v>1229</v>
      </c>
      <c r="C327" s="67" t="str">
        <f>IFERROR(__xludf.DUMMYFUNCTION("""COMPUTED_VALUE"""),"LD164")</f>
        <v>LD164</v>
      </c>
      <c r="D327" s="55" t="s">
        <v>42</v>
      </c>
      <c r="E327" s="55" t="s">
        <v>69</v>
      </c>
      <c r="F327" s="55" t="s">
        <v>133</v>
      </c>
      <c r="G327" s="55">
        <v>1840.0</v>
      </c>
      <c r="H327" s="55" t="s">
        <v>1137</v>
      </c>
      <c r="I327" s="115" t="s">
        <v>3209</v>
      </c>
      <c r="J327" s="55" t="s">
        <v>3210</v>
      </c>
      <c r="K327" s="55" t="s">
        <v>61</v>
      </c>
      <c r="L327" s="55">
        <v>16917.0</v>
      </c>
      <c r="M327" s="55" t="s">
        <v>78</v>
      </c>
      <c r="N327" s="55" t="s">
        <v>69</v>
      </c>
      <c r="O327" s="55" t="s">
        <v>224</v>
      </c>
      <c r="P327" s="55" t="s">
        <v>110</v>
      </c>
      <c r="Q327" s="67" t="str">
        <f>IFERROR(__xludf.DUMMYFUNCTION("""COMPUTED_VALUE"""),"Japan.giaotiep.lotrinh_16917_CVS_NamNH_050124")</f>
        <v>Japan.giaotiep.lotrinh_16917_CVS_NamNH_050124</v>
      </c>
      <c r="R327" s="67" t="str">
        <f>IFERROR(__xludf.DUMMYFUNCTION("""COMPUTED_VALUE"""),"NEW_Japan_1840_none_050124")</f>
        <v>NEW_Japan_1840_none_050124</v>
      </c>
      <c r="S327" s="67" t="str">
        <f>IFERROR(__xludf.DUMMYFUNCTION("""COMPUTED_VALUE"""),"saletructiep_Japan.lotrinh.1840.giaotiep_PTATT_LD164")</f>
        <v>saletructiep_Japan.lotrinh.1840.giaotiep_PTATT_LD164</v>
      </c>
      <c r="T327" s="107" t="str">
        <f>IFERROR(__xludf.DUMMYFUNCTION("""COMPUTED_VALUE"""),"https://patadovietnam.edu.vn/gtjapan_nhn3/?utm_source=Facebook&amp;utm_medium=CVS&amp;utm_term=NEW_Japan_1840_none_050124&amp;utm_content=saletructiep_Japan.lotrinh.1840.giaotiep_PTATT_LD164&amp;utm_campaign=Japan.giaotiep.lotrinh_16917_CVS_NamNH_050124")</f>
        <v>https://patadovietnam.edu.vn/gtjapan_nhn3/?utm_source=Facebook&amp;utm_medium=CVS&amp;utm_term=NEW_Japan_1840_none_050124&amp;utm_content=saletructiep_Japan.lotrinh.1840.giaotiep_PTATT_LD164&amp;utm_campaign=Japan.giaotiep.lotrinh_16917_CVS_NamNH_050124</v>
      </c>
      <c r="U327" s="110" t="s">
        <v>3211</v>
      </c>
    </row>
    <row r="328">
      <c r="A328" s="72">
        <v>45296.0</v>
      </c>
      <c r="B328" s="75" t="s">
        <v>1134</v>
      </c>
      <c r="C328" s="67" t="str">
        <f>IFERROR(__xludf.DUMMYFUNCTION("""COMPUTED_VALUE"""),"LD153")</f>
        <v>LD153</v>
      </c>
      <c r="D328" s="55" t="s">
        <v>42</v>
      </c>
      <c r="E328" s="55" t="s">
        <v>79</v>
      </c>
      <c r="F328" s="55" t="s">
        <v>164</v>
      </c>
      <c r="G328" s="55">
        <v>1840.0</v>
      </c>
      <c r="H328" s="55" t="s">
        <v>1137</v>
      </c>
      <c r="I328" s="115" t="s">
        <v>3214</v>
      </c>
      <c r="J328" s="55" t="s">
        <v>3215</v>
      </c>
      <c r="K328" s="55" t="s">
        <v>61</v>
      </c>
      <c r="L328" s="55">
        <v>95360.0</v>
      </c>
      <c r="M328" s="55" t="s">
        <v>78</v>
      </c>
      <c r="N328" s="55" t="s">
        <v>79</v>
      </c>
      <c r="O328" s="55" t="s">
        <v>224</v>
      </c>
      <c r="P328" s="55" t="s">
        <v>110</v>
      </c>
      <c r="Q328" s="67" t="str">
        <f>IFERROR(__xludf.DUMMYFUNCTION("""COMPUTED_VALUE"""),"Taiwan.giaotiep.lotrinh_95360_MES_NamNH_050124")</f>
        <v>Taiwan.giaotiep.lotrinh_95360_MES_NamNH_050124</v>
      </c>
      <c r="R328" s="67" t="str">
        <f>IFERROR(__xludf.DUMMYFUNCTION("""COMPUTED_VALUE"""),"NEW_Taiwan_1840_none_050124")</f>
        <v>NEW_Taiwan_1840_none_050124</v>
      </c>
      <c r="S328" s="67" t="str">
        <f>IFERROR(__xludf.DUMMYFUNCTION("""COMPUTED_VALUE"""),"saletructiep_Taiwan.lotrinh.1840.giaotiep_PTATT_LD153")</f>
        <v>saletructiep_Taiwan.lotrinh.1840.giaotiep_PTATT_LD153</v>
      </c>
      <c r="T328" s="107" t="str">
        <f>IFERROR(__xludf.DUMMYFUNCTION("""COMPUTED_VALUE"""),"https://patadovietnam.edu.vn/tienganhgiaotiep_hn/?utm_source=Facebook&amp;utm_medium=MES&amp;utm_term=NEW_Taiwan_1840_none_050124&amp;utm_content=saletructiep_Taiwan.lotrinh.1840.giaotiep_PTATT_LD153&amp;utm_campaign=Taiwan.giaotiep.lotrinh_95360_MES_NamNH_050124")</f>
        <v>https://patadovietnam.edu.vn/tienganhgiaotiep_hn/?utm_source=Facebook&amp;utm_medium=MES&amp;utm_term=NEW_Taiwan_1840_none_050124&amp;utm_content=saletructiep_Taiwan.lotrinh.1840.giaotiep_PTATT_LD153&amp;utm_campaign=Taiwan.giaotiep.lotrinh_95360_MES_NamNH_050124</v>
      </c>
      <c r="U328" s="110" t="s">
        <v>3218</v>
      </c>
    </row>
    <row r="329">
      <c r="A329" s="72">
        <v>45296.0</v>
      </c>
      <c r="B329" s="75" t="s">
        <v>1134</v>
      </c>
      <c r="C329" s="67" t="str">
        <f>IFERROR(__xludf.DUMMYFUNCTION("""COMPUTED_VALUE"""),"LD153")</f>
        <v>LD153</v>
      </c>
      <c r="D329" s="55" t="s">
        <v>42</v>
      </c>
      <c r="E329" s="55" t="s">
        <v>79</v>
      </c>
      <c r="F329" s="55" t="s">
        <v>174</v>
      </c>
      <c r="G329" s="55">
        <v>1840.0</v>
      </c>
      <c r="H329" s="55" t="s">
        <v>1137</v>
      </c>
      <c r="I329" s="115" t="s">
        <v>3219</v>
      </c>
      <c r="J329" s="55" t="s">
        <v>3220</v>
      </c>
      <c r="K329" s="55" t="s">
        <v>61</v>
      </c>
      <c r="L329" s="55">
        <v>95360.0</v>
      </c>
      <c r="M329" s="55" t="s">
        <v>78</v>
      </c>
      <c r="N329" s="55" t="s">
        <v>79</v>
      </c>
      <c r="O329" s="55" t="s">
        <v>224</v>
      </c>
      <c r="P329" s="55" t="s">
        <v>110</v>
      </c>
      <c r="Q329" s="67" t="str">
        <f>IFERROR(__xludf.DUMMYFUNCTION("""COMPUTED_VALUE"""),"Philippines.giaotiep.lotrinh_95360_MES_NamNH_050124")</f>
        <v>Philippines.giaotiep.lotrinh_95360_MES_NamNH_050124</v>
      </c>
      <c r="R329" s="67" t="str">
        <f>IFERROR(__xludf.DUMMYFUNCTION("""COMPUTED_VALUE"""),"NEW_Philippines_1840_none_050124")</f>
        <v>NEW_Philippines_1840_none_050124</v>
      </c>
      <c r="S329" s="67" t="str">
        <f>IFERROR(__xludf.DUMMYFUNCTION("""COMPUTED_VALUE"""),"saletructiep_Philippines.lotrinh.1840.giaotiep_PTATT_LD153")</f>
        <v>saletructiep_Philippines.lotrinh.1840.giaotiep_PTATT_LD153</v>
      </c>
      <c r="T329" s="107" t="str">
        <f>IFERROR(__xludf.DUMMYFUNCTION("""COMPUTED_VALUE"""),"https://patadovietnam.edu.vn/tienganhgiaotiep_hn/?utm_source=Facebook&amp;utm_medium=MES&amp;utm_term=NEW_Philippines_1840_none_050124&amp;utm_content=saletructiep_Philippines.lotrinh.1840.giaotiep_PTATT_LD153&amp;utm_campaign=Philippines.giaotiep.lotrinh_95360_MES_NamNH"&amp;"_050124")</f>
        <v>https://patadovietnam.edu.vn/tienganhgiaotiep_hn/?utm_source=Facebook&amp;utm_medium=MES&amp;utm_term=NEW_Philippines_1840_none_050124&amp;utm_content=saletructiep_Philippines.lotrinh.1840.giaotiep_PTATT_LD153&amp;utm_campaign=Philippines.giaotiep.lotrinh_95360_MES_NamNH_050124</v>
      </c>
      <c r="U329" s="110" t="s">
        <v>3223</v>
      </c>
    </row>
    <row r="330">
      <c r="A330" s="72">
        <v>45296.0</v>
      </c>
      <c r="B330" s="75" t="s">
        <v>1134</v>
      </c>
      <c r="C330" s="67" t="str">
        <f>IFERROR(__xludf.DUMMYFUNCTION("""COMPUTED_VALUE"""),"LD153")</f>
        <v>LD153</v>
      </c>
      <c r="D330" s="55" t="s">
        <v>42</v>
      </c>
      <c r="E330" s="55" t="s">
        <v>69</v>
      </c>
      <c r="F330" s="55" t="s">
        <v>133</v>
      </c>
      <c r="G330" s="55">
        <v>1840.0</v>
      </c>
      <c r="H330" s="55" t="s">
        <v>1137</v>
      </c>
      <c r="I330" s="115" t="s">
        <v>3224</v>
      </c>
      <c r="J330" s="55" t="s">
        <v>3225</v>
      </c>
      <c r="K330" s="55" t="s">
        <v>61</v>
      </c>
      <c r="L330" s="55">
        <v>16917.0</v>
      </c>
      <c r="M330" s="55" t="s">
        <v>78</v>
      </c>
      <c r="N330" s="55" t="s">
        <v>69</v>
      </c>
      <c r="O330" s="55" t="s">
        <v>224</v>
      </c>
      <c r="P330" s="55" t="s">
        <v>110</v>
      </c>
      <c r="Q330" s="67" t="str">
        <f>IFERROR(__xludf.DUMMYFUNCTION("""COMPUTED_VALUE"""),"Japan.giaotiep.giaiphap_16917_CVS_NamNH_050124")</f>
        <v>Japan.giaotiep.giaiphap_16917_CVS_NamNH_050124</v>
      </c>
      <c r="R330" s="67" t="str">
        <f>IFERROR(__xludf.DUMMYFUNCTION("""COMPUTED_VALUE"""),"NEW_Japan_1840_none_050124")</f>
        <v>NEW_Japan_1840_none_050124</v>
      </c>
      <c r="S330" s="67" t="str">
        <f>IFERROR(__xludf.DUMMYFUNCTION("""COMPUTED_VALUE"""),"saletructiep_Japan.giaiphap.1840.giaotiep_PTATT_LD153")</f>
        <v>saletructiep_Japan.giaiphap.1840.giaotiep_PTATT_LD153</v>
      </c>
      <c r="T330" s="107" t="str">
        <f>IFERROR(__xludf.DUMMYFUNCTION("""COMPUTED_VALUE"""),"https://patadovietnam.edu.vn/tienganhgiaotiep_hn/?utm_source=Facebook&amp;utm_medium=CVS&amp;utm_term=NEW_Japan_1840_none_050124&amp;utm_content=saletructiep_Japan.giaiphap.1840.giaotiep_PTATT_LD153&amp;utm_campaign=Japan.giaotiep.giaiphap_16917_CVS_NamNH_050124")</f>
        <v>https://patadovietnam.edu.vn/tienganhgiaotiep_hn/?utm_source=Facebook&amp;utm_medium=CVS&amp;utm_term=NEW_Japan_1840_none_050124&amp;utm_content=saletructiep_Japan.giaiphap.1840.giaotiep_PTATT_LD153&amp;utm_campaign=Japan.giaotiep.giaiphap_16917_CVS_NamNH_050124</v>
      </c>
      <c r="U330" s="110" t="s">
        <v>3226</v>
      </c>
    </row>
    <row r="331">
      <c r="A331" s="72">
        <v>45296.0</v>
      </c>
      <c r="B331" s="75" t="s">
        <v>1134</v>
      </c>
      <c r="C331" s="67" t="str">
        <f>IFERROR(__xludf.DUMMYFUNCTION("""COMPUTED_VALUE"""),"LD153")</f>
        <v>LD153</v>
      </c>
      <c r="D331" s="55" t="s">
        <v>42</v>
      </c>
      <c r="E331" s="55" t="s">
        <v>79</v>
      </c>
      <c r="F331" s="55" t="s">
        <v>164</v>
      </c>
      <c r="G331" s="55">
        <v>1840.0</v>
      </c>
      <c r="H331" s="55" t="s">
        <v>1137</v>
      </c>
      <c r="I331" s="115" t="s">
        <v>3229</v>
      </c>
      <c r="J331" s="55" t="s">
        <v>3230</v>
      </c>
      <c r="K331" s="55" t="s">
        <v>61</v>
      </c>
      <c r="L331" s="55">
        <v>95360.0</v>
      </c>
      <c r="M331" s="55" t="s">
        <v>78</v>
      </c>
      <c r="N331" s="55" t="s">
        <v>79</v>
      </c>
      <c r="O331" s="55" t="s">
        <v>224</v>
      </c>
      <c r="P331" s="55" t="s">
        <v>110</v>
      </c>
      <c r="Q331" s="67" t="str">
        <f>IFERROR(__xludf.DUMMYFUNCTION("""COMPUTED_VALUE"""),"Taiwan.giaotiep.giaiphap_95360_MES_NamNH_050124")</f>
        <v>Taiwan.giaotiep.giaiphap_95360_MES_NamNH_050124</v>
      </c>
      <c r="R331" s="67" t="str">
        <f>IFERROR(__xludf.DUMMYFUNCTION("""COMPUTED_VALUE"""),"NEW_Taiwan_1840_none_050124")</f>
        <v>NEW_Taiwan_1840_none_050124</v>
      </c>
      <c r="S331" s="67" t="str">
        <f>IFERROR(__xludf.DUMMYFUNCTION("""COMPUTED_VALUE"""),"saletructiep_Taiwan.giaiphap.1840.giaotiep_PTATT_LD153")</f>
        <v>saletructiep_Taiwan.giaiphap.1840.giaotiep_PTATT_LD153</v>
      </c>
      <c r="T331" s="107" t="str">
        <f>IFERROR(__xludf.DUMMYFUNCTION("""COMPUTED_VALUE"""),"https://patadovietnam.edu.vn/tienganhgiaotiep_hn/?utm_source=Facebook&amp;utm_medium=MES&amp;utm_term=NEW_Taiwan_1840_none_050124&amp;utm_content=saletructiep_Taiwan.giaiphap.1840.giaotiep_PTATT_LD153&amp;utm_campaign=Taiwan.giaotiep.giaiphap_95360_MES_NamNH_050124")</f>
        <v>https://patadovietnam.edu.vn/tienganhgiaotiep_hn/?utm_source=Facebook&amp;utm_medium=MES&amp;utm_term=NEW_Taiwan_1840_none_050124&amp;utm_content=saletructiep_Taiwan.giaiphap.1840.giaotiep_PTATT_LD153&amp;utm_campaign=Taiwan.giaotiep.giaiphap_95360_MES_NamNH_050124</v>
      </c>
      <c r="U331" s="110" t="s">
        <v>3233</v>
      </c>
    </row>
    <row r="332">
      <c r="A332" s="72">
        <v>45296.0</v>
      </c>
      <c r="B332" s="75" t="s">
        <v>1134</v>
      </c>
      <c r="C332" s="67" t="str">
        <f>IFERROR(__xludf.DUMMYFUNCTION("""COMPUTED_VALUE"""),"LD153")</f>
        <v>LD153</v>
      </c>
      <c r="D332" s="55" t="s">
        <v>42</v>
      </c>
      <c r="E332" s="55" t="s">
        <v>79</v>
      </c>
      <c r="F332" s="55" t="s">
        <v>129</v>
      </c>
      <c r="G332" s="55">
        <v>1840.0</v>
      </c>
      <c r="H332" s="55" t="s">
        <v>1137</v>
      </c>
      <c r="I332" s="115" t="s">
        <v>3234</v>
      </c>
      <c r="J332" s="55" t="s">
        <v>3235</v>
      </c>
      <c r="K332" s="55" t="s">
        <v>61</v>
      </c>
      <c r="L332" s="55">
        <v>16917.0</v>
      </c>
      <c r="M332" s="55" t="s">
        <v>78</v>
      </c>
      <c r="N332" s="55" t="s">
        <v>79</v>
      </c>
      <c r="O332" s="55" t="s">
        <v>224</v>
      </c>
      <c r="P332" s="55" t="s">
        <v>110</v>
      </c>
      <c r="Q332" s="67" t="str">
        <f>IFERROR(__xludf.DUMMYFUNCTION("""COMPUTED_VALUE"""),"Australia.giaotiep.giaiphap_16917_MES_NamNH_050124")</f>
        <v>Australia.giaotiep.giaiphap_16917_MES_NamNH_050124</v>
      </c>
      <c r="R332" s="67" t="str">
        <f>IFERROR(__xludf.DUMMYFUNCTION("""COMPUTED_VALUE"""),"NEW_Australia_1840_none_050124")</f>
        <v>NEW_Australia_1840_none_050124</v>
      </c>
      <c r="S332" s="67" t="str">
        <f>IFERROR(__xludf.DUMMYFUNCTION("""COMPUTED_VALUE"""),"saletructiep_Australia.giaiphap.1840.giaotiep_PTATT_LD153")</f>
        <v>saletructiep_Australia.giaiphap.1840.giaotiep_PTATT_LD153</v>
      </c>
      <c r="T332" s="107" t="str">
        <f>IFERROR(__xludf.DUMMYFUNCTION("""COMPUTED_VALUE"""),"https://patadovietnam.edu.vn/tienganhgiaotiep_hn/?utm_source=Facebook&amp;utm_medium=MES&amp;utm_term=NEW_Australia_1840_none_050124&amp;utm_content=saletructiep_Australia.giaiphap.1840.giaotiep_PTATT_LD153&amp;utm_campaign=Australia.giaotiep.giaiphap_16917_MES_NamNH_050"&amp;"124")</f>
        <v>https://patadovietnam.edu.vn/tienganhgiaotiep_hn/?utm_source=Facebook&amp;utm_medium=MES&amp;utm_term=NEW_Australia_1840_none_050124&amp;utm_content=saletructiep_Australia.giaiphap.1840.giaotiep_PTATT_LD153&amp;utm_campaign=Australia.giaotiep.giaiphap_16917_MES_NamNH_050124</v>
      </c>
      <c r="U332" s="110" t="s">
        <v>3236</v>
      </c>
    </row>
    <row r="333">
      <c r="A333" s="72">
        <v>45299.0</v>
      </c>
      <c r="B333" s="75" t="s">
        <v>1229</v>
      </c>
      <c r="C333" s="67" t="str">
        <f>IFERROR(__xludf.DUMMYFUNCTION("""COMPUTED_VALUE"""),"LD164")</f>
        <v>LD164</v>
      </c>
      <c r="D333" s="55" t="s">
        <v>42</v>
      </c>
      <c r="E333" s="55" t="s">
        <v>69</v>
      </c>
      <c r="F333" s="55" t="s">
        <v>133</v>
      </c>
      <c r="G333" s="55">
        <v>1840.0</v>
      </c>
      <c r="H333" s="55" t="s">
        <v>1137</v>
      </c>
      <c r="I333" s="115" t="s">
        <v>3239</v>
      </c>
      <c r="J333" s="55" t="s">
        <v>3240</v>
      </c>
      <c r="K333" s="55" t="s">
        <v>61</v>
      </c>
      <c r="L333" s="55">
        <v>16917.0</v>
      </c>
      <c r="M333" s="55" t="s">
        <v>78</v>
      </c>
      <c r="N333" s="55" t="s">
        <v>69</v>
      </c>
      <c r="O333" s="55" t="s">
        <v>224</v>
      </c>
      <c r="P333" s="55" t="s">
        <v>110</v>
      </c>
      <c r="Q333" s="67" t="str">
        <f>IFERROR(__xludf.DUMMYFUNCTION("""COMPUTED_VALUE"""),"Japan.giaotiep.anhltcopy_16917_CVS_NamNH_080124")</f>
        <v>Japan.giaotiep.anhltcopy_16917_CVS_NamNH_080124</v>
      </c>
      <c r="R333" s="67" t="str">
        <f>IFERROR(__xludf.DUMMYFUNCTION("""COMPUTED_VALUE"""),"NEW_Japan_1840_none_080124")</f>
        <v>NEW_Japan_1840_none_080124</v>
      </c>
      <c r="S333" s="67" t="str">
        <f>IFERROR(__xludf.DUMMYFUNCTION("""COMPUTED_VALUE"""),"saletructiep_Japan.anhltcopy.1840.giaotiep_PTATT_LD164")</f>
        <v>saletructiep_Japan.anhltcopy.1840.giaotiep_PTATT_LD164</v>
      </c>
      <c r="T333" s="107" t="str">
        <f>IFERROR(__xludf.DUMMYFUNCTION("""COMPUTED_VALUE"""),"https://patadovietnam.edu.vn/gtjapan_nhn3/?utm_source=Facebook&amp;utm_medium=CVS&amp;utm_term=NEW_Japan_1840_none_080124&amp;utm_content=saletructiep_Japan.anhltcopy.1840.giaotiep_PTATT_LD164&amp;utm_campaign=Japan.giaotiep.anhltcopy_16917_CVS_NamNH_080124")</f>
        <v>https://patadovietnam.edu.vn/gtjapan_nhn3/?utm_source=Facebook&amp;utm_medium=CVS&amp;utm_term=NEW_Japan_1840_none_080124&amp;utm_content=saletructiep_Japan.anhltcopy.1840.giaotiep_PTATT_LD164&amp;utm_campaign=Japan.giaotiep.anhltcopy_16917_CVS_NamNH_080124</v>
      </c>
      <c r="U333" s="110" t="s">
        <v>3242</v>
      </c>
    </row>
    <row r="334">
      <c r="A334" s="72">
        <v>45299.0</v>
      </c>
      <c r="B334" s="75" t="s">
        <v>1134</v>
      </c>
      <c r="C334" s="67" t="str">
        <f>IFERROR(__xludf.DUMMYFUNCTION("""COMPUTED_VALUE"""),"LD153")</f>
        <v>LD153</v>
      </c>
      <c r="D334" s="55" t="s">
        <v>42</v>
      </c>
      <c r="E334" s="55" t="s">
        <v>79</v>
      </c>
      <c r="F334" s="55" t="s">
        <v>129</v>
      </c>
      <c r="G334" s="55">
        <v>1840.0</v>
      </c>
      <c r="H334" s="55" t="s">
        <v>1137</v>
      </c>
      <c r="I334" s="115" t="s">
        <v>3246</v>
      </c>
      <c r="J334" s="55" t="s">
        <v>3247</v>
      </c>
      <c r="K334" s="55" t="s">
        <v>61</v>
      </c>
      <c r="L334" s="55">
        <v>95360.0</v>
      </c>
      <c r="M334" s="55" t="s">
        <v>78</v>
      </c>
      <c r="N334" s="55" t="s">
        <v>79</v>
      </c>
      <c r="O334" s="55" t="s">
        <v>224</v>
      </c>
      <c r="P334" s="55" t="s">
        <v>110</v>
      </c>
      <c r="Q334" s="67" t="str">
        <f>IFERROR(__xludf.DUMMYFUNCTION("""COMPUTED_VALUE"""),"Australia.giaotiep.ndlchn_95360_MES_NamNH_080124")</f>
        <v>Australia.giaotiep.ndlchn_95360_MES_NamNH_080124</v>
      </c>
      <c r="R334" s="67" t="str">
        <f>IFERROR(__xludf.DUMMYFUNCTION("""COMPUTED_VALUE"""),"NEW_Australia_1840_none_080124")</f>
        <v>NEW_Australia_1840_none_080124</v>
      </c>
      <c r="S334" s="67" t="str">
        <f>IFERROR(__xludf.DUMMYFUNCTION("""COMPUTED_VALUE"""),"saletructiep_Australia.ndlchn.1840.giaotiep_PTATT_LD153")</f>
        <v>saletructiep_Australia.ndlchn.1840.giaotiep_PTATT_LD153</v>
      </c>
      <c r="T334" s="107" t="str">
        <f>IFERROR(__xludf.DUMMYFUNCTION("""COMPUTED_VALUE"""),"https://patadovietnam.edu.vn/tienganhgiaotiep_hn/?utm_source=Facebook&amp;utm_medium=MES&amp;utm_term=NEW_Australia_1840_none_080124&amp;utm_content=saletructiep_Australia.ndlchn.1840.giaotiep_PTATT_LD153&amp;utm_campaign=Australia.giaotiep.ndlchn_95360_MES_NamNH_080124")</f>
        <v>https://patadovietnam.edu.vn/tienganhgiaotiep_hn/?utm_source=Facebook&amp;utm_medium=MES&amp;utm_term=NEW_Australia_1840_none_080124&amp;utm_content=saletructiep_Australia.ndlchn.1840.giaotiep_PTATT_LD153&amp;utm_campaign=Australia.giaotiep.ndlchn_95360_MES_NamNH_080124</v>
      </c>
      <c r="U334" s="110" t="s">
        <v>3248</v>
      </c>
    </row>
    <row r="335">
      <c r="A335" s="72">
        <v>45299.0</v>
      </c>
      <c r="B335" s="75" t="s">
        <v>1229</v>
      </c>
      <c r="C335" s="67" t="str">
        <f>IFERROR(__xludf.DUMMYFUNCTION("""COMPUTED_VALUE"""),"LD164")</f>
        <v>LD164</v>
      </c>
      <c r="D335" s="55" t="s">
        <v>42</v>
      </c>
      <c r="E335" s="55" t="s">
        <v>69</v>
      </c>
      <c r="F335" s="55" t="s">
        <v>133</v>
      </c>
      <c r="G335" s="55">
        <v>1840.0</v>
      </c>
      <c r="H335" s="55" t="s">
        <v>1137</v>
      </c>
      <c r="I335" s="115" t="s">
        <v>3251</v>
      </c>
      <c r="J335" s="55" t="s">
        <v>3252</v>
      </c>
      <c r="K335" s="55" t="s">
        <v>61</v>
      </c>
      <c r="L335" s="55">
        <v>16917.0</v>
      </c>
      <c r="M335" s="55" t="s">
        <v>78</v>
      </c>
      <c r="N335" s="55" t="s">
        <v>69</v>
      </c>
      <c r="O335" s="55" t="s">
        <v>224</v>
      </c>
      <c r="P335" s="55" t="s">
        <v>110</v>
      </c>
      <c r="Q335" s="67" t="str">
        <f>IFERROR(__xludf.DUMMYFUNCTION("""COMPUTED_VALUE"""),"Japan.giaotiep.nghoacopy_16917_CVS_NamNH_080124")</f>
        <v>Japan.giaotiep.nghoacopy_16917_CVS_NamNH_080124</v>
      </c>
      <c r="R335" s="67" t="str">
        <f>IFERROR(__xludf.DUMMYFUNCTION("""COMPUTED_VALUE"""),"NEW_Japan_1840_none_080124")</f>
        <v>NEW_Japan_1840_none_080124</v>
      </c>
      <c r="S335" s="67" t="str">
        <f>IFERROR(__xludf.DUMMYFUNCTION("""COMPUTED_VALUE"""),"saletructiep_Japan.nghoacopy.1840.giaotiep_PTATT_LD164")</f>
        <v>saletructiep_Japan.nghoacopy.1840.giaotiep_PTATT_LD164</v>
      </c>
      <c r="T335" s="107" t="str">
        <f>IFERROR(__xludf.DUMMYFUNCTION("""COMPUTED_VALUE"""),"https://patadovietnam.edu.vn/gtjapan_nhn3/?utm_source=Facebook&amp;utm_medium=CVS&amp;utm_term=NEW_Japan_1840_none_080124&amp;utm_content=saletructiep_Japan.nghoacopy.1840.giaotiep_PTATT_LD164&amp;utm_campaign=Japan.giaotiep.nghoacopy_16917_CVS_NamNH_080124")</f>
        <v>https://patadovietnam.edu.vn/gtjapan_nhn3/?utm_source=Facebook&amp;utm_medium=CVS&amp;utm_term=NEW_Japan_1840_none_080124&amp;utm_content=saletructiep_Japan.nghoacopy.1840.giaotiep_PTATT_LD164&amp;utm_campaign=Japan.giaotiep.nghoacopy_16917_CVS_NamNH_080124</v>
      </c>
      <c r="U335" s="110" t="s">
        <v>3254</v>
      </c>
    </row>
    <row r="336">
      <c r="A336" s="72">
        <v>45299.0</v>
      </c>
      <c r="B336" s="75" t="s">
        <v>1134</v>
      </c>
      <c r="C336" s="67" t="str">
        <f>IFERROR(__xludf.DUMMYFUNCTION("""COMPUTED_VALUE"""),"LD153")</f>
        <v>LD153</v>
      </c>
      <c r="D336" s="55" t="s">
        <v>42</v>
      </c>
      <c r="E336" s="55" t="s">
        <v>79</v>
      </c>
      <c r="F336" s="55" t="s">
        <v>674</v>
      </c>
      <c r="G336" s="55">
        <v>1840.0</v>
      </c>
      <c r="H336" s="55" t="s">
        <v>1137</v>
      </c>
      <c r="I336" s="115" t="s">
        <v>3256</v>
      </c>
      <c r="J336" s="55" t="s">
        <v>3257</v>
      </c>
      <c r="K336" s="55" t="s">
        <v>61</v>
      </c>
      <c r="L336" s="55">
        <v>95360.0</v>
      </c>
      <c r="M336" s="55" t="s">
        <v>78</v>
      </c>
      <c r="N336" s="55" t="s">
        <v>79</v>
      </c>
      <c r="O336" s="55" t="s">
        <v>224</v>
      </c>
      <c r="P336" s="55" t="s">
        <v>110</v>
      </c>
      <c r="Q336" s="67" t="str">
        <f>IFERROR(__xludf.DUMMYFUNCTION("""COMPUTED_VALUE"""),"Europe.giaotiep.nghoacopy_95360_MES_NamNH_080124")</f>
        <v>Europe.giaotiep.nghoacopy_95360_MES_NamNH_080124</v>
      </c>
      <c r="R336" s="67" t="str">
        <f>IFERROR(__xludf.DUMMYFUNCTION("""COMPUTED_VALUE"""),"NEW_Europe_1840_none_080124")</f>
        <v>NEW_Europe_1840_none_080124</v>
      </c>
      <c r="S336" s="67" t="str">
        <f>IFERROR(__xludf.DUMMYFUNCTION("""COMPUTED_VALUE"""),"saletructiep_Europe.nghoacopy.1840.giaotiep_PTATT_LD153")</f>
        <v>saletructiep_Europe.nghoacopy.1840.giaotiep_PTATT_LD153</v>
      </c>
      <c r="T336" s="107" t="str">
        <f>IFERROR(__xludf.DUMMYFUNCTION("""COMPUTED_VALUE"""),"https://patadovietnam.edu.vn/tienganhgiaotiep_hn/?utm_source=Facebook&amp;utm_medium=MES&amp;utm_term=NEW_Europe_1840_none_080124&amp;utm_content=saletructiep_Europe.nghoacopy.1840.giaotiep_PTATT_LD153&amp;utm_campaign=Europe.giaotiep.nghoacopy_95360_MES_NamNH_080124")</f>
        <v>https://patadovietnam.edu.vn/tienganhgiaotiep_hn/?utm_source=Facebook&amp;utm_medium=MES&amp;utm_term=NEW_Europe_1840_none_080124&amp;utm_content=saletructiep_Europe.nghoacopy.1840.giaotiep_PTATT_LD153&amp;utm_campaign=Europe.giaotiep.nghoacopy_95360_MES_NamNH_080124</v>
      </c>
      <c r="U336" s="110" t="s">
        <v>3260</v>
      </c>
    </row>
    <row r="337">
      <c r="A337" s="72">
        <v>45299.0</v>
      </c>
      <c r="B337" s="60" t="s">
        <v>1229</v>
      </c>
      <c r="C337" s="67" t="str">
        <f>IFERROR(__xludf.DUMMYFUNCTION("""COMPUTED_VALUE"""),"LD164")</f>
        <v>LD164</v>
      </c>
      <c r="D337" s="55" t="s">
        <v>42</v>
      </c>
      <c r="E337" s="55" t="s">
        <v>69</v>
      </c>
      <c r="F337" s="55" t="s">
        <v>133</v>
      </c>
      <c r="G337" s="55">
        <v>1840.0</v>
      </c>
      <c r="H337" s="55" t="s">
        <v>1137</v>
      </c>
      <c r="I337" s="115" t="s">
        <v>3262</v>
      </c>
      <c r="J337" s="55" t="s">
        <v>3263</v>
      </c>
      <c r="K337" s="55" t="s">
        <v>61</v>
      </c>
      <c r="L337" s="55">
        <v>16917.0</v>
      </c>
      <c r="M337" s="55" t="s">
        <v>78</v>
      </c>
      <c r="N337" s="55" t="s">
        <v>69</v>
      </c>
      <c r="O337" s="55" t="s">
        <v>224</v>
      </c>
      <c r="P337" s="55" t="s">
        <v>110</v>
      </c>
      <c r="Q337" s="67" t="str">
        <f>IFERROR(__xludf.DUMMYFUNCTION("""COMPUTED_VALUE"""),"Japan.giaotiep.UDQG_16917_CVS_NamNH_080124")</f>
        <v>Japan.giaotiep.UDQG_16917_CVS_NamNH_080124</v>
      </c>
      <c r="R337" s="67" t="str">
        <f>IFERROR(__xludf.DUMMYFUNCTION("""COMPUTED_VALUE"""),"NEW_Japan_1840_none_080124")</f>
        <v>NEW_Japan_1840_none_080124</v>
      </c>
      <c r="S337" s="67" t="str">
        <f>IFERROR(__xludf.DUMMYFUNCTION("""COMPUTED_VALUE"""),"saletructiep_Japan.UDQG.1840.giaotiep_PTATT_LD164")</f>
        <v>saletructiep_Japan.UDQG.1840.giaotiep_PTATT_LD164</v>
      </c>
      <c r="T337" s="107" t="str">
        <f>IFERROR(__xludf.DUMMYFUNCTION("""COMPUTED_VALUE"""),"https://patadovietnam.edu.vn/gtjapan_nhn3/?utm_source=Facebook&amp;utm_medium=CVS&amp;utm_term=NEW_Japan_1840_none_080124&amp;utm_content=saletructiep_Japan.UDQG.1840.giaotiep_PTATT_LD164&amp;utm_campaign=Japan.giaotiep.UDQG_16917_CVS_NamNH_080124")</f>
        <v>https://patadovietnam.edu.vn/gtjapan_nhn3/?utm_source=Facebook&amp;utm_medium=CVS&amp;utm_term=NEW_Japan_1840_none_080124&amp;utm_content=saletructiep_Japan.UDQG.1840.giaotiep_PTATT_LD164&amp;utm_campaign=Japan.giaotiep.UDQG_16917_CVS_NamNH_080124</v>
      </c>
      <c r="U337" s="110" t="s">
        <v>3267</v>
      </c>
    </row>
    <row r="338">
      <c r="A338" s="72">
        <v>45299.0</v>
      </c>
      <c r="B338" s="60" t="s">
        <v>1229</v>
      </c>
      <c r="C338" s="67" t="str">
        <f>IFERROR(__xludf.DUMMYFUNCTION("""COMPUTED_VALUE"""),"LD164")</f>
        <v>LD164</v>
      </c>
      <c r="D338" s="55" t="s">
        <v>42</v>
      </c>
      <c r="E338" s="55" t="s">
        <v>69</v>
      </c>
      <c r="F338" s="55" t="s">
        <v>133</v>
      </c>
      <c r="G338" s="55">
        <v>1840.0</v>
      </c>
      <c r="H338" s="55" t="s">
        <v>1137</v>
      </c>
      <c r="I338" s="115" t="s">
        <v>3268</v>
      </c>
      <c r="J338" s="55" t="s">
        <v>3269</v>
      </c>
      <c r="K338" s="55" t="s">
        <v>61</v>
      </c>
      <c r="L338" s="55">
        <v>16917.0</v>
      </c>
      <c r="M338" s="55" t="s">
        <v>78</v>
      </c>
      <c r="N338" s="55" t="s">
        <v>69</v>
      </c>
      <c r="O338" s="55" t="s">
        <v>224</v>
      </c>
      <c r="P338" s="55" t="s">
        <v>110</v>
      </c>
      <c r="Q338" s="67" t="str">
        <f>IFERROR(__xludf.DUMMYFUNCTION("""COMPUTED_VALUE"""),"Japan.giaotiep.UDDN_16917_CVS_NamNH_080124")</f>
        <v>Japan.giaotiep.UDDN_16917_CVS_NamNH_080124</v>
      </c>
      <c r="R338" s="67" t="str">
        <f>IFERROR(__xludf.DUMMYFUNCTION("""COMPUTED_VALUE"""),"NEW_Japan_1840_none_080124")</f>
        <v>NEW_Japan_1840_none_080124</v>
      </c>
      <c r="S338" s="67" t="str">
        <f>IFERROR(__xludf.DUMMYFUNCTION("""COMPUTED_VALUE"""),"saletructiep_Japan.UDDN.1840.giaotiep_PTATT_LD164")</f>
        <v>saletructiep_Japan.UDDN.1840.giaotiep_PTATT_LD164</v>
      </c>
      <c r="T338" s="107" t="str">
        <f>IFERROR(__xludf.DUMMYFUNCTION("""COMPUTED_VALUE"""),"https://patadovietnam.edu.vn/gtjapan_nhn3/?utm_source=Facebook&amp;utm_medium=CVS&amp;utm_term=NEW_Japan_1840_none_080124&amp;utm_content=saletructiep_Japan.UDDN.1840.giaotiep_PTATT_LD164&amp;utm_campaign=Japan.giaotiep.UDDN_16917_CVS_NamNH_080124")</f>
        <v>https://patadovietnam.edu.vn/gtjapan_nhn3/?utm_source=Facebook&amp;utm_medium=CVS&amp;utm_term=NEW_Japan_1840_none_080124&amp;utm_content=saletructiep_Japan.UDDN.1840.giaotiep_PTATT_LD164&amp;utm_campaign=Japan.giaotiep.UDDN_16917_CVS_NamNH_080124</v>
      </c>
      <c r="U338" s="110" t="s">
        <v>3274</v>
      </c>
    </row>
    <row r="339">
      <c r="A339" s="72">
        <v>45299.0</v>
      </c>
      <c r="B339" s="75" t="s">
        <v>1134</v>
      </c>
      <c r="C339" s="67" t="str">
        <f>IFERROR(__xludf.DUMMYFUNCTION("""COMPUTED_VALUE"""),"LD153")</f>
        <v>LD153</v>
      </c>
      <c r="D339" s="55" t="s">
        <v>42</v>
      </c>
      <c r="E339" s="55" t="s">
        <v>79</v>
      </c>
      <c r="F339" s="55" t="s">
        <v>164</v>
      </c>
      <c r="G339" s="55">
        <v>1840.0</v>
      </c>
      <c r="H339" s="55" t="s">
        <v>1137</v>
      </c>
      <c r="I339" s="115" t="s">
        <v>3275</v>
      </c>
      <c r="J339" s="55" t="s">
        <v>3276</v>
      </c>
      <c r="K339" s="55" t="s">
        <v>61</v>
      </c>
      <c r="L339" s="55">
        <v>95360.0</v>
      </c>
      <c r="M339" s="55" t="s">
        <v>78</v>
      </c>
      <c r="N339" s="55" t="s">
        <v>79</v>
      </c>
      <c r="O339" s="55" t="s">
        <v>224</v>
      </c>
      <c r="P339" s="55" t="s">
        <v>110</v>
      </c>
      <c r="Q339" s="67" t="str">
        <f>IFERROR(__xludf.DUMMYFUNCTION("""COMPUTED_VALUE"""),"Taiwan.giaotiep.UDDN_95360_MES_NamNH_080124")</f>
        <v>Taiwan.giaotiep.UDDN_95360_MES_NamNH_080124</v>
      </c>
      <c r="R339" s="67" t="str">
        <f>IFERROR(__xludf.DUMMYFUNCTION("""COMPUTED_VALUE"""),"NEW_Taiwan_1840_none_080124")</f>
        <v>NEW_Taiwan_1840_none_080124</v>
      </c>
      <c r="S339" s="67" t="str">
        <f>IFERROR(__xludf.DUMMYFUNCTION("""COMPUTED_VALUE"""),"saletructiep_Taiwan.UDDN.1840.giaotiep_PTATT_LD153")</f>
        <v>saletructiep_Taiwan.UDDN.1840.giaotiep_PTATT_LD153</v>
      </c>
      <c r="T339" s="107" t="str">
        <f>IFERROR(__xludf.DUMMYFUNCTION("""COMPUTED_VALUE"""),"https://patadovietnam.edu.vn/tienganhgiaotiep_hn/?utm_source=Facebook&amp;utm_medium=MES&amp;utm_term=NEW_Taiwan_1840_none_080124&amp;utm_content=saletructiep_Taiwan.UDDN.1840.giaotiep_PTATT_LD153&amp;utm_campaign=Taiwan.giaotiep.UDDN_95360_MES_NamNH_080124")</f>
        <v>https://patadovietnam.edu.vn/tienganhgiaotiep_hn/?utm_source=Facebook&amp;utm_medium=MES&amp;utm_term=NEW_Taiwan_1840_none_080124&amp;utm_content=saletructiep_Taiwan.UDDN.1840.giaotiep_PTATT_LD153&amp;utm_campaign=Taiwan.giaotiep.UDDN_95360_MES_NamNH_080124</v>
      </c>
      <c r="U339" s="110" t="s">
        <v>3277</v>
      </c>
    </row>
    <row r="340">
      <c r="A340" s="72">
        <v>45299.0</v>
      </c>
      <c r="B340" s="75" t="s">
        <v>1134</v>
      </c>
      <c r="C340" s="67" t="str">
        <f>IFERROR(__xludf.DUMMYFUNCTION("""COMPUTED_VALUE"""),"LD153")</f>
        <v>LD153</v>
      </c>
      <c r="D340" s="55" t="s">
        <v>42</v>
      </c>
      <c r="E340" s="55" t="s">
        <v>79</v>
      </c>
      <c r="F340" s="55" t="s">
        <v>828</v>
      </c>
      <c r="G340" s="55">
        <v>1840.0</v>
      </c>
      <c r="H340" s="55" t="s">
        <v>1137</v>
      </c>
      <c r="I340" s="115" t="s">
        <v>3279</v>
      </c>
      <c r="J340" s="55" t="s">
        <v>3280</v>
      </c>
      <c r="K340" s="55" t="s">
        <v>61</v>
      </c>
      <c r="L340" s="55">
        <v>95360.0</v>
      </c>
      <c r="M340" s="55" t="s">
        <v>78</v>
      </c>
      <c r="N340" s="55" t="s">
        <v>79</v>
      </c>
      <c r="O340" s="55" t="s">
        <v>224</v>
      </c>
      <c r="P340" s="55" t="s">
        <v>110</v>
      </c>
      <c r="Q340" s="67" t="str">
        <f>IFERROR(__xludf.DUMMYFUNCTION("""COMPUTED_VALUE"""),"Asia.giaotiep.UDQG_95360_MES_NamNH_080124")</f>
        <v>Asia.giaotiep.UDQG_95360_MES_NamNH_080124</v>
      </c>
      <c r="R340" s="67" t="str">
        <f>IFERROR(__xludf.DUMMYFUNCTION("""COMPUTED_VALUE"""),"NEW_Asia_1840_none_080124")</f>
        <v>NEW_Asia_1840_none_080124</v>
      </c>
      <c r="S340" s="67" t="str">
        <f>IFERROR(__xludf.DUMMYFUNCTION("""COMPUTED_VALUE"""),"saletructiep_Asia.UDQG.1840.giaotiep_PTATT_LD153")</f>
        <v>saletructiep_Asia.UDQG.1840.giaotiep_PTATT_LD153</v>
      </c>
      <c r="T340" s="107" t="str">
        <f>IFERROR(__xludf.DUMMYFUNCTION("""COMPUTED_VALUE"""),"https://patadovietnam.edu.vn/tienganhgiaotiep_hn/?utm_source=Facebook&amp;utm_medium=MES&amp;utm_term=NEW_Asia_1840_none_080124&amp;utm_content=saletructiep_Asia.UDQG.1840.giaotiep_PTATT_LD153&amp;utm_campaign=Asia.giaotiep.UDQG_95360_MES_NamNH_080124")</f>
        <v>https://patadovietnam.edu.vn/tienganhgiaotiep_hn/?utm_source=Facebook&amp;utm_medium=MES&amp;utm_term=NEW_Asia_1840_none_080124&amp;utm_content=saletructiep_Asia.UDQG.1840.giaotiep_PTATT_LD153&amp;utm_campaign=Asia.giaotiep.UDQG_95360_MES_NamNH_080124</v>
      </c>
      <c r="U340" s="110" t="s">
        <v>3283</v>
      </c>
    </row>
    <row r="341">
      <c r="A341" s="72">
        <v>45299.0</v>
      </c>
      <c r="B341" s="75" t="s">
        <v>1134</v>
      </c>
      <c r="C341" s="67" t="str">
        <f>IFERROR(__xludf.DUMMYFUNCTION("""COMPUTED_VALUE"""),"LD153")</f>
        <v>LD153</v>
      </c>
      <c r="D341" s="55" t="s">
        <v>42</v>
      </c>
      <c r="E341" s="55" t="s">
        <v>69</v>
      </c>
      <c r="F341" s="55" t="s">
        <v>674</v>
      </c>
      <c r="G341" s="55">
        <v>1840.0</v>
      </c>
      <c r="H341" s="55" t="s">
        <v>1137</v>
      </c>
      <c r="I341" s="115" t="s">
        <v>3285</v>
      </c>
      <c r="J341" s="55" t="s">
        <v>3286</v>
      </c>
      <c r="K341" s="55" t="s">
        <v>61</v>
      </c>
      <c r="L341" s="55">
        <v>16917.0</v>
      </c>
      <c r="M341" s="55" t="s">
        <v>78</v>
      </c>
      <c r="N341" s="55" t="s">
        <v>69</v>
      </c>
      <c r="O341" s="55" t="s">
        <v>224</v>
      </c>
      <c r="P341" s="55" t="s">
        <v>110</v>
      </c>
      <c r="Q341" s="67" t="str">
        <f>IFERROR(__xludf.DUMMYFUNCTION("""COMPUTED_VALUE"""),"Europe.giaotiep.UDDN_16917_CVS_NamNH_080124")</f>
        <v>Europe.giaotiep.UDDN_16917_CVS_NamNH_080124</v>
      </c>
      <c r="R341" s="67" t="str">
        <f>IFERROR(__xludf.DUMMYFUNCTION("""COMPUTED_VALUE"""),"NEW_Europe_1840_none_080124")</f>
        <v>NEW_Europe_1840_none_080124</v>
      </c>
      <c r="S341" s="67" t="str">
        <f>IFERROR(__xludf.DUMMYFUNCTION("""COMPUTED_VALUE"""),"saletructiep_Europe.UDDN.1840.giaotiep_PTATT_LD153")</f>
        <v>saletructiep_Europe.UDDN.1840.giaotiep_PTATT_LD153</v>
      </c>
      <c r="T341" s="107" t="str">
        <f>IFERROR(__xludf.DUMMYFUNCTION("""COMPUTED_VALUE"""),"https://patadovietnam.edu.vn/tienganhgiaotiep_hn/?utm_source=Facebook&amp;utm_medium=CVS&amp;utm_term=NEW_Europe_1840_none_080124&amp;utm_content=saletructiep_Europe.UDDN.1840.giaotiep_PTATT_LD153&amp;utm_campaign=Europe.giaotiep.UDDN_16917_CVS_NamNH_080124")</f>
        <v>https://patadovietnam.edu.vn/tienganhgiaotiep_hn/?utm_source=Facebook&amp;utm_medium=CVS&amp;utm_term=NEW_Europe_1840_none_080124&amp;utm_content=saletructiep_Europe.UDDN.1840.giaotiep_PTATT_LD153&amp;utm_campaign=Europe.giaotiep.UDDN_16917_CVS_NamNH_080124</v>
      </c>
      <c r="U341" s="110" t="s">
        <v>3288</v>
      </c>
    </row>
    <row r="342">
      <c r="A342" s="72">
        <v>45300.0</v>
      </c>
      <c r="B342" s="75" t="s">
        <v>1245</v>
      </c>
      <c r="C342" s="67" t="str">
        <f>IFERROR(__xludf.DUMMYFUNCTION("""COMPUTED_VALUE"""),"LD161")</f>
        <v>LD161</v>
      </c>
      <c r="D342" s="55" t="s">
        <v>42</v>
      </c>
      <c r="E342" s="55" t="s">
        <v>79</v>
      </c>
      <c r="F342" s="55" t="s">
        <v>107</v>
      </c>
      <c r="G342" s="55">
        <v>1840.0</v>
      </c>
      <c r="H342" s="55" t="s">
        <v>1137</v>
      </c>
      <c r="I342" s="115" t="s">
        <v>3289</v>
      </c>
      <c r="J342" s="55" t="s">
        <v>3290</v>
      </c>
      <c r="K342" s="55" t="s">
        <v>61</v>
      </c>
      <c r="L342" s="55">
        <v>16917.0</v>
      </c>
      <c r="M342" s="55" t="s">
        <v>78</v>
      </c>
      <c r="N342" s="55" t="s">
        <v>79</v>
      </c>
      <c r="O342" s="55" t="s">
        <v>224</v>
      </c>
      <c r="P342" s="55" t="s">
        <v>110</v>
      </c>
      <c r="Q342" s="67" t="str">
        <f>IFERROR(__xludf.DUMMYFUNCTION("""COMPUTED_VALUE"""),"UnitedStates.giaotiep.UDDN_16917_MES_NamNH_090124")</f>
        <v>UnitedStates.giaotiep.UDDN_16917_MES_NamNH_090124</v>
      </c>
      <c r="R342" s="67" t="str">
        <f>IFERROR(__xludf.DUMMYFUNCTION("""COMPUTED_VALUE"""),"NEW_UnitedStates_1840_none_090124")</f>
        <v>NEW_UnitedStates_1840_none_090124</v>
      </c>
      <c r="S342" s="67" t="str">
        <f>IFERROR(__xludf.DUMMYFUNCTION("""COMPUTED_VALUE"""),"saletructiep_UnitedStates.UDDN.1840.giaotiep_PTATT_LD161")</f>
        <v>saletructiep_UnitedStates.UDDN.1840.giaotiep_PTATT_LD161</v>
      </c>
      <c r="T342" s="107" t="str">
        <f>IFERROR(__xludf.DUMMYFUNCTION("""COMPUTED_VALUE"""),"https://patadovietnam.edu.vn/gtusa1_nhn/?utm_source=Facebook&amp;utm_medium=MES&amp;utm_term=NEW_UnitedStates_1840_none_090124&amp;utm_content=saletructiep_UnitedStates.UDDN.1840.giaotiep_PTATT_LD161&amp;utm_campaign=UnitedStates.giaotiep.UDDN_16917_MES_NamNH_090124")</f>
        <v>https://patadovietnam.edu.vn/gtusa1_nhn/?utm_source=Facebook&amp;utm_medium=MES&amp;utm_term=NEW_UnitedStates_1840_none_090124&amp;utm_content=saletructiep_UnitedStates.UDDN.1840.giaotiep_PTATT_LD161&amp;utm_campaign=UnitedStates.giaotiep.UDDN_16917_MES_NamNH_090124</v>
      </c>
      <c r="U342" s="110" t="s">
        <v>3293</v>
      </c>
    </row>
    <row r="343">
      <c r="A343" s="72">
        <v>45302.0</v>
      </c>
      <c r="B343" s="75" t="s">
        <v>1134</v>
      </c>
      <c r="C343" s="67" t="str">
        <f>IFERROR(__xludf.DUMMYFUNCTION("""COMPUTED_VALUE"""),"LD153")</f>
        <v>LD153</v>
      </c>
      <c r="D343" s="55" t="s">
        <v>42</v>
      </c>
      <c r="E343" s="55" t="s">
        <v>79</v>
      </c>
      <c r="F343" s="55" t="s">
        <v>164</v>
      </c>
      <c r="G343" s="55">
        <v>1840.0</v>
      </c>
      <c r="H343" s="55" t="s">
        <v>1137</v>
      </c>
      <c r="I343" s="115" t="s">
        <v>3294</v>
      </c>
      <c r="J343" s="55" t="s">
        <v>3295</v>
      </c>
      <c r="K343" s="55" t="s">
        <v>61</v>
      </c>
      <c r="L343" s="55">
        <v>95360.0</v>
      </c>
      <c r="M343" s="55" t="s">
        <v>78</v>
      </c>
      <c r="N343" s="55" t="s">
        <v>79</v>
      </c>
      <c r="O343" s="55" t="s">
        <v>224</v>
      </c>
      <c r="P343" s="55" t="s">
        <v>110</v>
      </c>
      <c r="Q343" s="67" t="str">
        <f>IFERROR(__xludf.DUMMYFUNCTION("""COMPUTED_VALUE"""),"Taiwan.giaotiep.hoinhap_95360_MES_NamNH_110124")</f>
        <v>Taiwan.giaotiep.hoinhap_95360_MES_NamNH_110124</v>
      </c>
      <c r="R343" s="67" t="str">
        <f>IFERROR(__xludf.DUMMYFUNCTION("""COMPUTED_VALUE"""),"NEW_Taiwan_1840_none_110124")</f>
        <v>NEW_Taiwan_1840_none_110124</v>
      </c>
      <c r="S343" s="67" t="str">
        <f>IFERROR(__xludf.DUMMYFUNCTION("""COMPUTED_VALUE"""),"saletructiep_Taiwan.hoinhap.1840.giaotiep_PTATT_LD153")</f>
        <v>saletructiep_Taiwan.hoinhap.1840.giaotiep_PTATT_LD153</v>
      </c>
      <c r="T343" s="107" t="str">
        <f>IFERROR(__xludf.DUMMYFUNCTION("""COMPUTED_VALUE"""),"https://patadovietnam.edu.vn/tienganhgiaotiep_hn/?utm_source=Facebook&amp;utm_medium=MES&amp;utm_term=NEW_Taiwan_1840_none_110124&amp;utm_content=saletructiep_Taiwan.hoinhap.1840.giaotiep_PTATT_LD153&amp;utm_campaign=Taiwan.giaotiep.hoinhap_95360_MES_NamNH_110124")</f>
        <v>https://patadovietnam.edu.vn/tienganhgiaotiep_hn/?utm_source=Facebook&amp;utm_medium=MES&amp;utm_term=NEW_Taiwan_1840_none_110124&amp;utm_content=saletructiep_Taiwan.hoinhap.1840.giaotiep_PTATT_LD153&amp;utm_campaign=Taiwan.giaotiep.hoinhap_95360_MES_NamNH_110124</v>
      </c>
      <c r="U343" s="110" t="s">
        <v>3296</v>
      </c>
    </row>
    <row r="344">
      <c r="A344" s="72">
        <v>45302.0</v>
      </c>
      <c r="B344" s="75" t="s">
        <v>1245</v>
      </c>
      <c r="C344" s="67" t="str">
        <f>IFERROR(__xludf.DUMMYFUNCTION("""COMPUTED_VALUE"""),"LD161")</f>
        <v>LD161</v>
      </c>
      <c r="D344" s="55" t="s">
        <v>42</v>
      </c>
      <c r="E344" s="55" t="s">
        <v>79</v>
      </c>
      <c r="F344" s="55" t="s">
        <v>107</v>
      </c>
      <c r="G344" s="55">
        <v>1840.0</v>
      </c>
      <c r="H344" s="55" t="s">
        <v>1137</v>
      </c>
      <c r="I344" s="115" t="s">
        <v>3297</v>
      </c>
      <c r="J344" s="55" t="s">
        <v>3298</v>
      </c>
      <c r="K344" s="55" t="s">
        <v>61</v>
      </c>
      <c r="L344" s="55">
        <v>16917.0</v>
      </c>
      <c r="M344" s="55" t="s">
        <v>78</v>
      </c>
      <c r="N344" s="55" t="s">
        <v>79</v>
      </c>
      <c r="O344" s="55" t="s">
        <v>224</v>
      </c>
      <c r="P344" s="55" t="s">
        <v>110</v>
      </c>
      <c r="Q344" s="67" t="str">
        <f>IFERROR(__xludf.DUMMYFUNCTION("""COMPUTED_VALUE"""),"UnitedStates.giaotiep.hoinhap_16917_MES_NamNH_110124")</f>
        <v>UnitedStates.giaotiep.hoinhap_16917_MES_NamNH_110124</v>
      </c>
      <c r="R344" s="67" t="str">
        <f>IFERROR(__xludf.DUMMYFUNCTION("""COMPUTED_VALUE"""),"NEW_UnitedStates_1840_none_110124")</f>
        <v>NEW_UnitedStates_1840_none_110124</v>
      </c>
      <c r="S344" s="67" t="str">
        <f>IFERROR(__xludf.DUMMYFUNCTION("""COMPUTED_VALUE"""),"saletructiep_UnitedStates.hoinhap.1840.giaotiep_PTATT_LD161")</f>
        <v>saletructiep_UnitedStates.hoinhap.1840.giaotiep_PTATT_LD161</v>
      </c>
      <c r="T344" s="107" t="str">
        <f>IFERROR(__xludf.DUMMYFUNCTION("""COMPUTED_VALUE"""),"https://patadovietnam.edu.vn/gtusa1_nhn/?utm_source=Facebook&amp;utm_medium=MES&amp;utm_term=NEW_UnitedStates_1840_none_110124&amp;utm_content=saletructiep_UnitedStates.hoinhap.1840.giaotiep_PTATT_LD161&amp;utm_campaign=UnitedStates.giaotiep.hoinhap_16917_MES_NamNH_11012"&amp;"4")</f>
        <v>https://patadovietnam.edu.vn/gtusa1_nhn/?utm_source=Facebook&amp;utm_medium=MES&amp;utm_term=NEW_UnitedStates_1840_none_110124&amp;utm_content=saletructiep_UnitedStates.hoinhap.1840.giaotiep_PTATT_LD161&amp;utm_campaign=UnitedStates.giaotiep.hoinhap_16917_MES_NamNH_110124</v>
      </c>
      <c r="U344" s="110" t="s">
        <v>3299</v>
      </c>
    </row>
    <row r="345">
      <c r="A345" s="72">
        <v>45302.0</v>
      </c>
      <c r="B345" s="60" t="s">
        <v>1229</v>
      </c>
      <c r="C345" s="67" t="str">
        <f>IFERROR(__xludf.DUMMYFUNCTION("""COMPUTED_VALUE"""),"LD164")</f>
        <v>LD164</v>
      </c>
      <c r="D345" s="55" t="s">
        <v>42</v>
      </c>
      <c r="E345" s="55" t="s">
        <v>69</v>
      </c>
      <c r="F345" s="55" t="s">
        <v>133</v>
      </c>
      <c r="G345" s="55">
        <v>1840.0</v>
      </c>
      <c r="H345" s="55" t="s">
        <v>1137</v>
      </c>
      <c r="I345" s="115" t="s">
        <v>3300</v>
      </c>
      <c r="J345" s="55" t="s">
        <v>3301</v>
      </c>
      <c r="K345" s="55" t="s">
        <v>61</v>
      </c>
      <c r="L345" s="55">
        <v>16917.0</v>
      </c>
      <c r="M345" s="55" t="s">
        <v>78</v>
      </c>
      <c r="N345" s="55" t="s">
        <v>69</v>
      </c>
      <c r="O345" s="55" t="s">
        <v>224</v>
      </c>
      <c r="P345" s="55" t="s">
        <v>110</v>
      </c>
      <c r="Q345" s="67" t="str">
        <f>IFERROR(__xludf.DUMMYFUNCTION("""COMPUTED_VALUE"""),"Japan.giaotiep.hoinhap_16917_CVS_NamNH_110124")</f>
        <v>Japan.giaotiep.hoinhap_16917_CVS_NamNH_110124</v>
      </c>
      <c r="R345" s="67" t="str">
        <f>IFERROR(__xludf.DUMMYFUNCTION("""COMPUTED_VALUE"""),"NEW_Japan_1840_none_110124")</f>
        <v>NEW_Japan_1840_none_110124</v>
      </c>
      <c r="S345" s="67" t="str">
        <f>IFERROR(__xludf.DUMMYFUNCTION("""COMPUTED_VALUE"""),"saletructiep_Japan.hoinhap.1840.giaotiep_PTATT_LD164")</f>
        <v>saletructiep_Japan.hoinhap.1840.giaotiep_PTATT_LD164</v>
      </c>
      <c r="T345" s="107" t="str">
        <f>IFERROR(__xludf.DUMMYFUNCTION("""COMPUTED_VALUE"""),"https://patadovietnam.edu.vn/gtjapan_nhn3/?utm_source=Facebook&amp;utm_medium=CVS&amp;utm_term=NEW_Japan_1840_none_110124&amp;utm_content=saletructiep_Japan.hoinhap.1840.giaotiep_PTATT_LD164&amp;utm_campaign=Japan.giaotiep.hoinhap_16917_CVS_NamNH_110124")</f>
        <v>https://patadovietnam.edu.vn/gtjapan_nhn3/?utm_source=Facebook&amp;utm_medium=CVS&amp;utm_term=NEW_Japan_1840_none_110124&amp;utm_content=saletructiep_Japan.hoinhap.1840.giaotiep_PTATT_LD164&amp;utm_campaign=Japan.giaotiep.hoinhap_16917_CVS_NamNH_110124</v>
      </c>
      <c r="U345" s="110" t="s">
        <v>3302</v>
      </c>
    </row>
    <row r="346">
      <c r="A346" s="72">
        <v>45302.0</v>
      </c>
      <c r="B346" s="75" t="s">
        <v>3023</v>
      </c>
      <c r="C346" s="67" t="str">
        <f>IFERROR(__xludf.DUMMYFUNCTION("""COMPUTED_VALUE"""),"LD212")</f>
        <v>LD212</v>
      </c>
      <c r="D346" s="55" t="s">
        <v>42</v>
      </c>
      <c r="E346" s="55" t="s">
        <v>69</v>
      </c>
      <c r="F346" s="55" t="s">
        <v>674</v>
      </c>
      <c r="G346" s="55">
        <v>1840.0</v>
      </c>
      <c r="H346" s="55" t="s">
        <v>1137</v>
      </c>
      <c r="I346" s="115" t="s">
        <v>3304</v>
      </c>
      <c r="J346" s="55" t="s">
        <v>3305</v>
      </c>
      <c r="K346" s="55" t="s">
        <v>61</v>
      </c>
      <c r="L346" s="55">
        <v>16917.0</v>
      </c>
      <c r="M346" s="55" t="s">
        <v>78</v>
      </c>
      <c r="N346" s="55" t="s">
        <v>69</v>
      </c>
      <c r="O346" s="55" t="s">
        <v>224</v>
      </c>
      <c r="P346" s="55" t="s">
        <v>110</v>
      </c>
      <c r="Q346" s="67" t="str">
        <f>IFERROR(__xludf.DUMMYFUNCTION("""COMPUTED_VALUE"""),"Europe.giaotiep.hoinhap_16917_CVS_NamNH_110124")</f>
        <v>Europe.giaotiep.hoinhap_16917_CVS_NamNH_110124</v>
      </c>
      <c r="R346" s="67" t="str">
        <f>IFERROR(__xludf.DUMMYFUNCTION("""COMPUTED_VALUE"""),"NEW_Europe_1840_none_110124")</f>
        <v>NEW_Europe_1840_none_110124</v>
      </c>
      <c r="S346" s="67" t="str">
        <f>IFERROR(__xludf.DUMMYFUNCTION("""COMPUTED_VALUE"""),"saletructiep_Europe.hoinhap.1840.giaotiep_PTATT_LD212")</f>
        <v>saletructiep_Europe.hoinhap.1840.giaotiep_PTATT_LD212</v>
      </c>
      <c r="T346" s="107" t="str">
        <f>IFERROR(__xludf.DUMMYFUNCTION("""COMPUTED_VALUE"""),"https://patadovietnam.edu.vn/khoagiaotiep_all/?utm_source=Facebook&amp;utm_medium=CVS&amp;utm_term=NEW_Europe_1840_none_110124&amp;utm_content=saletructiep_Europe.hoinhap.1840.giaotiep_PTATT_LD212&amp;utm_campaign=Europe.giaotiep.hoinhap_16917_CVS_NamNH_110124")</f>
        <v>https://patadovietnam.edu.vn/khoagiaotiep_all/?utm_source=Facebook&amp;utm_medium=CVS&amp;utm_term=NEW_Europe_1840_none_110124&amp;utm_content=saletructiep_Europe.hoinhap.1840.giaotiep_PTATT_LD212&amp;utm_campaign=Europe.giaotiep.hoinhap_16917_CVS_NamNH_110124</v>
      </c>
      <c r="U346" s="110" t="s">
        <v>3309</v>
      </c>
    </row>
    <row r="347">
      <c r="A347" s="72">
        <v>45302.0</v>
      </c>
      <c r="B347" s="75" t="s">
        <v>3023</v>
      </c>
      <c r="C347" s="67" t="str">
        <f>IFERROR(__xludf.DUMMYFUNCTION("""COMPUTED_VALUE"""),"LD212")</f>
        <v>LD212</v>
      </c>
      <c r="D347" s="55" t="s">
        <v>42</v>
      </c>
      <c r="E347" s="55" t="s">
        <v>79</v>
      </c>
      <c r="F347" s="55" t="s">
        <v>129</v>
      </c>
      <c r="G347" s="55">
        <v>1840.0</v>
      </c>
      <c r="H347" s="55" t="s">
        <v>1137</v>
      </c>
      <c r="I347" s="115" t="s">
        <v>3310</v>
      </c>
      <c r="J347" s="55" t="s">
        <v>3311</v>
      </c>
      <c r="K347" s="55" t="s">
        <v>61</v>
      </c>
      <c r="L347" s="55">
        <v>95360.0</v>
      </c>
      <c r="M347" s="55" t="s">
        <v>78</v>
      </c>
      <c r="N347" s="55" t="s">
        <v>79</v>
      </c>
      <c r="O347" s="55" t="s">
        <v>224</v>
      </c>
      <c r="P347" s="55" t="s">
        <v>110</v>
      </c>
      <c r="Q347" s="67" t="str">
        <f>IFERROR(__xludf.DUMMYFUNCTION("""COMPUTED_VALUE"""),"Australia.giaotiep.hoinhap_95360_MES_NamNH_110124")</f>
        <v>Australia.giaotiep.hoinhap_95360_MES_NamNH_110124</v>
      </c>
      <c r="R347" s="67" t="str">
        <f>IFERROR(__xludf.DUMMYFUNCTION("""COMPUTED_VALUE"""),"NEW_Australia_1840_none_110124")</f>
        <v>NEW_Australia_1840_none_110124</v>
      </c>
      <c r="S347" s="67" t="str">
        <f>IFERROR(__xludf.DUMMYFUNCTION("""COMPUTED_VALUE"""),"saletructiep_Australia.hoinhap.1840.giaotiep_PTATT_LD212")</f>
        <v>saletructiep_Australia.hoinhap.1840.giaotiep_PTATT_LD212</v>
      </c>
      <c r="T347" s="107" t="str">
        <f>IFERROR(__xludf.DUMMYFUNCTION("""COMPUTED_VALUE"""),"https://patadovietnam.edu.vn/khoagiaotiep_all/?utm_source=Facebook&amp;utm_medium=MES&amp;utm_term=NEW_Australia_1840_none_110124&amp;utm_content=saletructiep_Australia.hoinhap.1840.giaotiep_PTATT_LD212&amp;utm_campaign=Australia.giaotiep.hoinhap_95360_MES_NamNH_110124")</f>
        <v>https://patadovietnam.edu.vn/khoagiaotiep_all/?utm_source=Facebook&amp;utm_medium=MES&amp;utm_term=NEW_Australia_1840_none_110124&amp;utm_content=saletructiep_Australia.hoinhap.1840.giaotiep_PTATT_LD212&amp;utm_campaign=Australia.giaotiep.hoinhap_95360_MES_NamNH_110124</v>
      </c>
      <c r="U347" s="110" t="s">
        <v>3316</v>
      </c>
    </row>
    <row r="348">
      <c r="A348" s="72">
        <v>45302.0</v>
      </c>
      <c r="B348" s="75" t="s">
        <v>3023</v>
      </c>
      <c r="C348" s="67" t="str">
        <f>IFERROR(__xludf.DUMMYFUNCTION("""COMPUTED_VALUE"""),"LD212")</f>
        <v>LD212</v>
      </c>
      <c r="D348" s="55" t="s">
        <v>42</v>
      </c>
      <c r="E348" s="55" t="s">
        <v>79</v>
      </c>
      <c r="F348" s="55" t="s">
        <v>174</v>
      </c>
      <c r="G348" s="55">
        <v>1840.0</v>
      </c>
      <c r="H348" s="55" t="s">
        <v>1137</v>
      </c>
      <c r="I348" s="115" t="s">
        <v>3317</v>
      </c>
      <c r="J348" s="55" t="s">
        <v>3318</v>
      </c>
      <c r="K348" s="55" t="s">
        <v>61</v>
      </c>
      <c r="L348" s="55">
        <v>95360.0</v>
      </c>
      <c r="M348" s="55" t="s">
        <v>78</v>
      </c>
      <c r="N348" s="55" t="s">
        <v>79</v>
      </c>
      <c r="O348" s="55" t="s">
        <v>224</v>
      </c>
      <c r="P348" s="55" t="s">
        <v>110</v>
      </c>
      <c r="Q348" s="67" t="str">
        <f>IFERROR(__xludf.DUMMYFUNCTION("""COMPUTED_VALUE"""),"Philippines.giaotiep.hoinhap_95360_MES_NamNH_110124")</f>
        <v>Philippines.giaotiep.hoinhap_95360_MES_NamNH_110124</v>
      </c>
      <c r="R348" s="67" t="str">
        <f>IFERROR(__xludf.DUMMYFUNCTION("""COMPUTED_VALUE"""),"NEW_Philippines_1840_none_110124")</f>
        <v>NEW_Philippines_1840_none_110124</v>
      </c>
      <c r="S348" s="67" t="str">
        <f>IFERROR(__xludf.DUMMYFUNCTION("""COMPUTED_VALUE"""),"saletructiep_Philippines.hoinhap.1840.giaotiep_PTATT_LD212")</f>
        <v>saletructiep_Philippines.hoinhap.1840.giaotiep_PTATT_LD212</v>
      </c>
      <c r="T348" s="107" t="str">
        <f>IFERROR(__xludf.DUMMYFUNCTION("""COMPUTED_VALUE"""),"https://patadovietnam.edu.vn/khoagiaotiep_all/?utm_source=Facebook&amp;utm_medium=MES&amp;utm_term=NEW_Philippines_1840_none_110124&amp;utm_content=saletructiep_Philippines.hoinhap.1840.giaotiep_PTATT_LD212&amp;utm_campaign=Philippines.giaotiep.hoinhap_95360_MES_NamNH_11"&amp;"0124")</f>
        <v>https://patadovietnam.edu.vn/khoagiaotiep_all/?utm_source=Facebook&amp;utm_medium=MES&amp;utm_term=NEW_Philippines_1840_none_110124&amp;utm_content=saletructiep_Philippines.hoinhap.1840.giaotiep_PTATT_LD212&amp;utm_campaign=Philippines.giaotiep.hoinhap_95360_MES_NamNH_110124</v>
      </c>
      <c r="U348" s="110" t="s">
        <v>3320</v>
      </c>
    </row>
    <row r="349">
      <c r="A349" s="72">
        <v>45304.0</v>
      </c>
      <c r="B349" s="75" t="s">
        <v>3322</v>
      </c>
      <c r="C349" s="67" t="str">
        <f>IFERROR(__xludf.DUMMYFUNCTION("""COMPUTED_VALUE"""),"LD215")</f>
        <v>LD215</v>
      </c>
      <c r="D349" s="55" t="s">
        <v>42</v>
      </c>
      <c r="E349" s="55" t="s">
        <v>69</v>
      </c>
      <c r="F349" s="55" t="s">
        <v>539</v>
      </c>
      <c r="G349" s="55">
        <v>1840.0</v>
      </c>
      <c r="H349" s="55" t="s">
        <v>1137</v>
      </c>
      <c r="I349" s="115" t="s">
        <v>3325</v>
      </c>
      <c r="J349" s="55" t="s">
        <v>3326</v>
      </c>
      <c r="K349" s="55" t="s">
        <v>61</v>
      </c>
      <c r="L349" s="55">
        <v>95360.0</v>
      </c>
      <c r="M349" s="55" t="s">
        <v>78</v>
      </c>
      <c r="N349" s="55" t="s">
        <v>69</v>
      </c>
      <c r="O349" s="55" t="s">
        <v>224</v>
      </c>
      <c r="P349" s="55" t="s">
        <v>110</v>
      </c>
      <c r="Q349" s="67" t="str">
        <f>IFERROR(__xludf.DUMMYFUNCTION("""COMPUTED_VALUE"""),"ALL.giaotiep.VQMM_95360_CVS_NamNH_130124")</f>
        <v>ALL.giaotiep.VQMM_95360_CVS_NamNH_130124</v>
      </c>
      <c r="R349" s="67" t="str">
        <f>IFERROR(__xludf.DUMMYFUNCTION("""COMPUTED_VALUE"""),"NEW_ALL_1840_none_130124")</f>
        <v>NEW_ALL_1840_none_130124</v>
      </c>
      <c r="S349" s="67" t="str">
        <f>IFERROR(__xludf.DUMMYFUNCTION("""COMPUTED_VALUE"""),"saletructiep_ALL.VQMM.1840.giaotiep_PTATT_LD215")</f>
        <v>saletructiep_ALL.VQMM.1840.giaotiep_PTATT_LD215</v>
      </c>
      <c r="T349" s="107" t="str">
        <f>IFERROR(__xludf.DUMMYFUNCTION("""COMPUTED_VALUE"""),"https://patadovietnam.edu.vn/vongquay_namnh/?utm_source=Facebook&amp;utm_medium=CVS&amp;utm_term=NEW_ALL_1840_none_130124&amp;utm_content=saletructiep_ALL.VQMM.1840.giaotiep_PTATT_LD215&amp;utm_campaign=ALL.giaotiep.VQMM_95360_CVS_NamNH_130124")</f>
        <v>https://patadovietnam.edu.vn/vongquay_namnh/?utm_source=Facebook&amp;utm_medium=CVS&amp;utm_term=NEW_ALL_1840_none_130124&amp;utm_content=saletructiep_ALL.VQMM.1840.giaotiep_PTATT_LD215&amp;utm_campaign=ALL.giaotiep.VQMM_95360_CVS_NamNH_130124</v>
      </c>
      <c r="U349" s="110" t="s">
        <v>3329</v>
      </c>
    </row>
    <row r="350">
      <c r="A350" s="72">
        <v>45304.0</v>
      </c>
      <c r="B350" s="75" t="s">
        <v>3322</v>
      </c>
      <c r="C350" s="67" t="str">
        <f>IFERROR(__xludf.DUMMYFUNCTION("""COMPUTED_VALUE"""),"LD215")</f>
        <v>LD215</v>
      </c>
      <c r="D350" s="55" t="s">
        <v>42</v>
      </c>
      <c r="E350" s="55" t="s">
        <v>69</v>
      </c>
      <c r="F350" s="55" t="s">
        <v>133</v>
      </c>
      <c r="G350" s="55">
        <v>1840.0</v>
      </c>
      <c r="H350" s="55" t="s">
        <v>1137</v>
      </c>
      <c r="I350" s="115" t="s">
        <v>3330</v>
      </c>
      <c r="J350" s="55" t="s">
        <v>3331</v>
      </c>
      <c r="K350" s="55" t="s">
        <v>61</v>
      </c>
      <c r="L350" s="55">
        <v>16917.0</v>
      </c>
      <c r="M350" s="55" t="s">
        <v>78</v>
      </c>
      <c r="N350" s="55" t="s">
        <v>69</v>
      </c>
      <c r="O350" s="55" t="s">
        <v>224</v>
      </c>
      <c r="P350" s="55" t="s">
        <v>110</v>
      </c>
      <c r="Q350" s="67" t="str">
        <f>IFERROR(__xludf.DUMMYFUNCTION("""COMPUTED_VALUE"""),"Japan.giaotiep.VQMM_16917_CVS_NamNH_130124")</f>
        <v>Japan.giaotiep.VQMM_16917_CVS_NamNH_130124</v>
      </c>
      <c r="R350" s="67" t="str">
        <f>IFERROR(__xludf.DUMMYFUNCTION("""COMPUTED_VALUE"""),"NEW_Japan_1840_none_130124")</f>
        <v>NEW_Japan_1840_none_130124</v>
      </c>
      <c r="S350" s="67" t="str">
        <f>IFERROR(__xludf.DUMMYFUNCTION("""COMPUTED_VALUE"""),"saletructiep_Japan.VQMM.1840.giaotiep_PTATT_LD215")</f>
        <v>saletructiep_Japan.VQMM.1840.giaotiep_PTATT_LD215</v>
      </c>
      <c r="T350" s="107" t="str">
        <f>IFERROR(__xludf.DUMMYFUNCTION("""COMPUTED_VALUE"""),"https://patadovietnam.edu.vn/vongquay_namnh/?utm_source=Facebook&amp;utm_medium=CVS&amp;utm_term=NEW_Japan_1840_none_130124&amp;utm_content=saletructiep_Japan.VQMM.1840.giaotiep_PTATT_LD215&amp;utm_campaign=Japan.giaotiep.VQMM_16917_CVS_NamNH_130124")</f>
        <v>https://patadovietnam.edu.vn/vongquay_namnh/?utm_source=Facebook&amp;utm_medium=CVS&amp;utm_term=NEW_Japan_1840_none_130124&amp;utm_content=saletructiep_Japan.VQMM.1840.giaotiep_PTATT_LD215&amp;utm_campaign=Japan.giaotiep.VQMM_16917_CVS_NamNH_130124</v>
      </c>
      <c r="U350" s="110" t="s">
        <v>3332</v>
      </c>
    </row>
    <row r="351">
      <c r="A351" s="72">
        <v>45304.0</v>
      </c>
      <c r="B351" s="75" t="s">
        <v>3322</v>
      </c>
      <c r="C351" s="67" t="str">
        <f>IFERROR(__xludf.DUMMYFUNCTION("""COMPUTED_VALUE"""),"LD215")</f>
        <v>LD215</v>
      </c>
      <c r="D351" s="55" t="s">
        <v>42</v>
      </c>
      <c r="E351" s="55" t="s">
        <v>69</v>
      </c>
      <c r="F351" s="55" t="s">
        <v>674</v>
      </c>
      <c r="G351" s="55">
        <v>1840.0</v>
      </c>
      <c r="H351" s="55" t="s">
        <v>1137</v>
      </c>
      <c r="I351" s="115" t="s">
        <v>3333</v>
      </c>
      <c r="J351" s="55" t="s">
        <v>3334</v>
      </c>
      <c r="K351" s="55" t="s">
        <v>61</v>
      </c>
      <c r="L351" s="55">
        <v>16917.0</v>
      </c>
      <c r="M351" s="55" t="s">
        <v>78</v>
      </c>
      <c r="N351" s="55" t="s">
        <v>69</v>
      </c>
      <c r="O351" s="55" t="s">
        <v>224</v>
      </c>
      <c r="P351" s="55" t="s">
        <v>110</v>
      </c>
      <c r="Q351" s="67" t="str">
        <f>IFERROR(__xludf.DUMMYFUNCTION("""COMPUTED_VALUE"""),"Europe.giaotiep.VQMM_16917_CVS_NamNH_130124")</f>
        <v>Europe.giaotiep.VQMM_16917_CVS_NamNH_130124</v>
      </c>
      <c r="R351" s="67" t="str">
        <f>IFERROR(__xludf.DUMMYFUNCTION("""COMPUTED_VALUE"""),"NEW_Europe_1840_none_130124")</f>
        <v>NEW_Europe_1840_none_130124</v>
      </c>
      <c r="S351" s="67" t="str">
        <f>IFERROR(__xludf.DUMMYFUNCTION("""COMPUTED_VALUE"""),"saletructiep_Europe.VQMM.1840.giaotiep_PTATT_LD215")</f>
        <v>saletructiep_Europe.VQMM.1840.giaotiep_PTATT_LD215</v>
      </c>
      <c r="T351" s="107" t="str">
        <f>IFERROR(__xludf.DUMMYFUNCTION("""COMPUTED_VALUE"""),"https://patadovietnam.edu.vn/vongquay_namnh/?utm_source=Facebook&amp;utm_medium=CVS&amp;utm_term=NEW_Europe_1840_none_130124&amp;utm_content=saletructiep_Europe.VQMM.1840.giaotiep_PTATT_LD215&amp;utm_campaign=Europe.giaotiep.VQMM_16917_CVS_NamNH_130124")</f>
        <v>https://patadovietnam.edu.vn/vongquay_namnh/?utm_source=Facebook&amp;utm_medium=CVS&amp;utm_term=NEW_Europe_1840_none_130124&amp;utm_content=saletructiep_Europe.VQMM.1840.giaotiep_PTATT_LD215&amp;utm_campaign=Europe.giaotiep.VQMM_16917_CVS_NamNH_130124</v>
      </c>
      <c r="U351" s="110" t="s">
        <v>3337</v>
      </c>
    </row>
    <row r="352">
      <c r="A352" s="72">
        <v>45306.0</v>
      </c>
      <c r="B352" s="75" t="s">
        <v>1229</v>
      </c>
      <c r="C352" s="67" t="str">
        <f>IFERROR(__xludf.DUMMYFUNCTION("""COMPUTED_VALUE"""),"LD164")</f>
        <v>LD164</v>
      </c>
      <c r="D352" s="55" t="s">
        <v>42</v>
      </c>
      <c r="E352" s="55" t="s">
        <v>69</v>
      </c>
      <c r="F352" s="55" t="s">
        <v>133</v>
      </c>
      <c r="G352" s="55">
        <v>1840.0</v>
      </c>
      <c r="H352" s="55" t="s">
        <v>1137</v>
      </c>
      <c r="I352" s="115" t="s">
        <v>3338</v>
      </c>
      <c r="J352" s="55" t="s">
        <v>3339</v>
      </c>
      <c r="K352" s="55" t="s">
        <v>61</v>
      </c>
      <c r="L352" s="55">
        <v>16917.0</v>
      </c>
      <c r="M352" s="55" t="s">
        <v>78</v>
      </c>
      <c r="N352" s="55" t="s">
        <v>69</v>
      </c>
      <c r="O352" s="55" t="s">
        <v>224</v>
      </c>
      <c r="P352" s="55" t="s">
        <v>110</v>
      </c>
      <c r="Q352" s="67" t="str">
        <f>IFERROR(__xludf.DUMMYFUNCTION("""COMPUTED_VALUE"""),"Japan.giaotiep.videoNTT_16917_CVS_NamNH_150124")</f>
        <v>Japan.giaotiep.videoNTT_16917_CVS_NamNH_150124</v>
      </c>
      <c r="R352" s="67" t="str">
        <f>IFERROR(__xludf.DUMMYFUNCTION("""COMPUTED_VALUE"""),"NEW_Japan_1840_none_150124")</f>
        <v>NEW_Japan_1840_none_150124</v>
      </c>
      <c r="S352" s="67" t="str">
        <f>IFERROR(__xludf.DUMMYFUNCTION("""COMPUTED_VALUE"""),"saletructiep_Japan.videoNTT.1840.giaotiep_PTATT_LD164")</f>
        <v>saletructiep_Japan.videoNTT.1840.giaotiep_PTATT_LD164</v>
      </c>
      <c r="T352" s="107" t="str">
        <f>IFERROR(__xludf.DUMMYFUNCTION("""COMPUTED_VALUE"""),"https://patadovietnam.edu.vn/gtjapan_nhn3/?utm_source=Facebook&amp;utm_medium=CVS&amp;utm_term=NEW_Japan_1840_none_150124&amp;utm_content=saletructiep_Japan.videoNTT.1840.giaotiep_PTATT_LD164&amp;utm_campaign=Japan.giaotiep.videoNTT_16917_CVS_NamNH_150124")</f>
        <v>https://patadovietnam.edu.vn/gtjapan_nhn3/?utm_source=Facebook&amp;utm_medium=CVS&amp;utm_term=NEW_Japan_1840_none_150124&amp;utm_content=saletructiep_Japan.videoNTT.1840.giaotiep_PTATT_LD164&amp;utm_campaign=Japan.giaotiep.videoNTT_16917_CVS_NamNH_150124</v>
      </c>
      <c r="U352" s="110" t="s">
        <v>3341</v>
      </c>
    </row>
    <row r="353">
      <c r="A353" s="72">
        <v>45306.0</v>
      </c>
      <c r="B353" s="75" t="s">
        <v>1134</v>
      </c>
      <c r="C353" s="67" t="str">
        <f>IFERROR(__xludf.DUMMYFUNCTION("""COMPUTED_VALUE"""),"LD153")</f>
        <v>LD153</v>
      </c>
      <c r="D353" s="55" t="s">
        <v>42</v>
      </c>
      <c r="E353" s="55" t="s">
        <v>79</v>
      </c>
      <c r="F353" s="55" t="s">
        <v>164</v>
      </c>
      <c r="G353" s="55">
        <v>1840.0</v>
      </c>
      <c r="H353" s="55" t="s">
        <v>1137</v>
      </c>
      <c r="I353" s="115" t="s">
        <v>3344</v>
      </c>
      <c r="J353" s="55" t="s">
        <v>3345</v>
      </c>
      <c r="K353" s="55" t="s">
        <v>61</v>
      </c>
      <c r="L353" s="55">
        <v>16917.0</v>
      </c>
      <c r="M353" s="55" t="s">
        <v>78</v>
      </c>
      <c r="N353" s="55" t="s">
        <v>79</v>
      </c>
      <c r="O353" s="55" t="s">
        <v>224</v>
      </c>
      <c r="P353" s="55" t="s">
        <v>110</v>
      </c>
      <c r="Q353" s="67" t="str">
        <f>IFERROR(__xludf.DUMMYFUNCTION("""COMPUTED_VALUE"""),"Taiwan.giaotiep.videoNTT_16917_MES_NamNH_150124")</f>
        <v>Taiwan.giaotiep.videoNTT_16917_MES_NamNH_150124</v>
      </c>
      <c r="R353" s="67" t="str">
        <f>IFERROR(__xludf.DUMMYFUNCTION("""COMPUTED_VALUE"""),"NEW_Taiwan_1840_none_150124")</f>
        <v>NEW_Taiwan_1840_none_150124</v>
      </c>
      <c r="S353" s="67" t="str">
        <f>IFERROR(__xludf.DUMMYFUNCTION("""COMPUTED_VALUE"""),"saletructiep_Taiwan.videoNTT.1840.giaotiep_PTATT_LD153")</f>
        <v>saletructiep_Taiwan.videoNTT.1840.giaotiep_PTATT_LD153</v>
      </c>
      <c r="T353" s="107" t="str">
        <f>IFERROR(__xludf.DUMMYFUNCTION("""COMPUTED_VALUE"""),"https://patadovietnam.edu.vn/tienganhgiaotiep_hn/?utm_source=Facebook&amp;utm_medium=MES&amp;utm_term=NEW_Taiwan_1840_none_150124&amp;utm_content=saletructiep_Taiwan.videoNTT.1840.giaotiep_PTATT_LD153&amp;utm_campaign=Taiwan.giaotiep.videoNTT_16917_MES_NamNH_150124")</f>
        <v>https://patadovietnam.edu.vn/tienganhgiaotiep_hn/?utm_source=Facebook&amp;utm_medium=MES&amp;utm_term=NEW_Taiwan_1840_none_150124&amp;utm_content=saletructiep_Taiwan.videoNTT.1840.giaotiep_PTATT_LD153&amp;utm_campaign=Taiwan.giaotiep.videoNTT_16917_MES_NamNH_150124</v>
      </c>
      <c r="U353" s="110" t="s">
        <v>3349</v>
      </c>
    </row>
    <row r="354">
      <c r="A354" s="72">
        <v>45306.0</v>
      </c>
      <c r="B354" s="75" t="s">
        <v>1245</v>
      </c>
      <c r="C354" s="67" t="str">
        <f>IFERROR(__xludf.DUMMYFUNCTION("""COMPUTED_VALUE"""),"LD161")</f>
        <v>LD161</v>
      </c>
      <c r="D354" s="55" t="s">
        <v>42</v>
      </c>
      <c r="E354" s="55" t="s">
        <v>79</v>
      </c>
      <c r="F354" s="55" t="s">
        <v>107</v>
      </c>
      <c r="G354" s="55">
        <v>1840.0</v>
      </c>
      <c r="H354" s="55" t="s">
        <v>1137</v>
      </c>
      <c r="I354" s="115" t="s">
        <v>3350</v>
      </c>
      <c r="J354" s="55" t="s">
        <v>3351</v>
      </c>
      <c r="K354" s="55" t="s">
        <v>61</v>
      </c>
      <c r="L354" s="55">
        <v>16917.0</v>
      </c>
      <c r="M354" s="55" t="s">
        <v>78</v>
      </c>
      <c r="N354" s="55" t="s">
        <v>79</v>
      </c>
      <c r="O354" s="55" t="s">
        <v>224</v>
      </c>
      <c r="P354" s="55" t="s">
        <v>110</v>
      </c>
      <c r="Q354" s="67" t="str">
        <f>IFERROR(__xludf.DUMMYFUNCTION("""COMPUTED_VALUE"""),"UnitedStates.giaotiep.videoNTT_16917_MES_NamNH_150124")</f>
        <v>UnitedStates.giaotiep.videoNTT_16917_MES_NamNH_150124</v>
      </c>
      <c r="R354" s="67" t="str">
        <f>IFERROR(__xludf.DUMMYFUNCTION("""COMPUTED_VALUE"""),"NEW_UnitedStates_1840_none_150124")</f>
        <v>NEW_UnitedStates_1840_none_150124</v>
      </c>
      <c r="S354" s="67" t="str">
        <f>IFERROR(__xludf.DUMMYFUNCTION("""COMPUTED_VALUE"""),"saletructiep_UnitedStates.videoNTT.1840.giaotiep_PTATT_LD161")</f>
        <v>saletructiep_UnitedStates.videoNTT.1840.giaotiep_PTATT_LD161</v>
      </c>
      <c r="T354" s="107" t="str">
        <f>IFERROR(__xludf.DUMMYFUNCTION("""COMPUTED_VALUE"""),"https://patadovietnam.edu.vn/gtusa1_nhn/?utm_source=Facebook&amp;utm_medium=MES&amp;utm_term=NEW_UnitedStates_1840_none_150124&amp;utm_content=saletructiep_UnitedStates.videoNTT.1840.giaotiep_PTATT_LD161&amp;utm_campaign=UnitedStates.giaotiep.videoNTT_16917_MES_NamNH_150"&amp;"124")</f>
        <v>https://patadovietnam.edu.vn/gtusa1_nhn/?utm_source=Facebook&amp;utm_medium=MES&amp;utm_term=NEW_UnitedStates_1840_none_150124&amp;utm_content=saletructiep_UnitedStates.videoNTT.1840.giaotiep_PTATT_LD161&amp;utm_campaign=UnitedStates.giaotiep.videoNTT_16917_MES_NamNH_150124</v>
      </c>
      <c r="U354" s="110" t="s">
        <v>3352</v>
      </c>
    </row>
    <row r="355">
      <c r="A355" s="72">
        <v>45306.0</v>
      </c>
      <c r="B355" s="75" t="s">
        <v>1134</v>
      </c>
      <c r="C355" s="67" t="str">
        <f>IFERROR(__xludf.DUMMYFUNCTION("""COMPUTED_VALUE"""),"LD153")</f>
        <v>LD153</v>
      </c>
      <c r="D355" s="55" t="s">
        <v>42</v>
      </c>
      <c r="E355" s="55" t="s">
        <v>69</v>
      </c>
      <c r="F355" s="55" t="s">
        <v>674</v>
      </c>
      <c r="G355" s="55">
        <v>1840.0</v>
      </c>
      <c r="H355" s="55" t="s">
        <v>1137</v>
      </c>
      <c r="I355" s="115" t="s">
        <v>3353</v>
      </c>
      <c r="J355" s="55" t="s">
        <v>3354</v>
      </c>
      <c r="K355" s="55" t="s">
        <v>61</v>
      </c>
      <c r="L355" s="55">
        <v>16917.0</v>
      </c>
      <c r="M355" s="55" t="s">
        <v>78</v>
      </c>
      <c r="N355" s="55" t="s">
        <v>69</v>
      </c>
      <c r="O355" s="55" t="s">
        <v>224</v>
      </c>
      <c r="P355" s="55" t="s">
        <v>110</v>
      </c>
      <c r="Q355" s="67" t="str">
        <f>IFERROR(__xludf.DUMMYFUNCTION("""COMPUTED_VALUE"""),"Europe.giaotiep.videoNTT_16917_CVS_NamNH_150124")</f>
        <v>Europe.giaotiep.videoNTT_16917_CVS_NamNH_150124</v>
      </c>
      <c r="R355" s="67" t="str">
        <f>IFERROR(__xludf.DUMMYFUNCTION("""COMPUTED_VALUE"""),"NEW_Europe_1840_none_150124")</f>
        <v>NEW_Europe_1840_none_150124</v>
      </c>
      <c r="S355" s="67" t="str">
        <f>IFERROR(__xludf.DUMMYFUNCTION("""COMPUTED_VALUE"""),"saletructiep_Europe.videoNTT.1840.giaotiep_PTATT_LD153")</f>
        <v>saletructiep_Europe.videoNTT.1840.giaotiep_PTATT_LD153</v>
      </c>
      <c r="T355" s="107" t="str">
        <f>IFERROR(__xludf.DUMMYFUNCTION("""COMPUTED_VALUE"""),"https://patadovietnam.edu.vn/tienganhgiaotiep_hn/?utm_source=Facebook&amp;utm_medium=CVS&amp;utm_term=NEW_Europe_1840_none_150124&amp;utm_content=saletructiep_Europe.videoNTT.1840.giaotiep_PTATT_LD153&amp;utm_campaign=Europe.giaotiep.videoNTT_16917_CVS_NamNH_150124")</f>
        <v>https://patadovietnam.edu.vn/tienganhgiaotiep_hn/?utm_source=Facebook&amp;utm_medium=CVS&amp;utm_term=NEW_Europe_1840_none_150124&amp;utm_content=saletructiep_Europe.videoNTT.1840.giaotiep_PTATT_LD153&amp;utm_campaign=Europe.giaotiep.videoNTT_16917_CVS_NamNH_150124</v>
      </c>
      <c r="U355" s="110" t="s">
        <v>3355</v>
      </c>
    </row>
    <row r="356">
      <c r="A356" s="72">
        <v>45306.0</v>
      </c>
      <c r="B356" s="75" t="s">
        <v>1134</v>
      </c>
      <c r="C356" s="67" t="str">
        <f>IFERROR(__xludf.DUMMYFUNCTION("""COMPUTED_VALUE"""),"LD153")</f>
        <v>LD153</v>
      </c>
      <c r="D356" s="55" t="s">
        <v>42</v>
      </c>
      <c r="E356" s="55" t="s">
        <v>79</v>
      </c>
      <c r="F356" s="55" t="s">
        <v>174</v>
      </c>
      <c r="G356" s="55">
        <v>1840.0</v>
      </c>
      <c r="H356" s="55" t="s">
        <v>1137</v>
      </c>
      <c r="I356" s="115" t="s">
        <v>3359</v>
      </c>
      <c r="J356" s="55" t="s">
        <v>3360</v>
      </c>
      <c r="K356" s="55" t="s">
        <v>61</v>
      </c>
      <c r="L356" s="55">
        <v>95360.0</v>
      </c>
      <c r="M356" s="55" t="s">
        <v>78</v>
      </c>
      <c r="N356" s="55" t="s">
        <v>79</v>
      </c>
      <c r="O356" s="55" t="s">
        <v>224</v>
      </c>
      <c r="P356" s="55" t="s">
        <v>110</v>
      </c>
      <c r="Q356" s="67" t="str">
        <f>IFERROR(__xludf.DUMMYFUNCTION("""COMPUTED_VALUE"""),"Philippines.giaotiep.videoNTT_95360_MES_NamNH_150124")</f>
        <v>Philippines.giaotiep.videoNTT_95360_MES_NamNH_150124</v>
      </c>
      <c r="R356" s="67" t="str">
        <f>IFERROR(__xludf.DUMMYFUNCTION("""COMPUTED_VALUE"""),"NEW_Philippines_1840_none_150124")</f>
        <v>NEW_Philippines_1840_none_150124</v>
      </c>
      <c r="S356" s="67" t="str">
        <f>IFERROR(__xludf.DUMMYFUNCTION("""COMPUTED_VALUE"""),"saletructiep_Philippines.videoNTT.1840.giaotiep_PTATT_LD153")</f>
        <v>saletructiep_Philippines.videoNTT.1840.giaotiep_PTATT_LD153</v>
      </c>
      <c r="T356" s="107" t="str">
        <f>IFERROR(__xludf.DUMMYFUNCTION("""COMPUTED_VALUE"""),"https://patadovietnam.edu.vn/tienganhgiaotiep_hn/?utm_source=Facebook&amp;utm_medium=MES&amp;utm_term=NEW_Philippines_1840_none_150124&amp;utm_content=saletructiep_Philippines.videoNTT.1840.giaotiep_PTATT_LD153&amp;utm_campaign=Philippines.giaotiep.videoNTT_95360_MES_Nam"&amp;"NH_150124")</f>
        <v>https://patadovietnam.edu.vn/tienganhgiaotiep_hn/?utm_source=Facebook&amp;utm_medium=MES&amp;utm_term=NEW_Philippines_1840_none_150124&amp;utm_content=saletructiep_Philippines.videoNTT.1840.giaotiep_PTATT_LD153&amp;utm_campaign=Philippines.giaotiep.videoNTT_95360_MES_NamNH_150124</v>
      </c>
      <c r="U356" s="110" t="s">
        <v>3363</v>
      </c>
    </row>
    <row r="357">
      <c r="A357" s="72">
        <v>45308.0</v>
      </c>
      <c r="B357" s="60" t="s">
        <v>1245</v>
      </c>
      <c r="C357" s="67" t="str">
        <f>IFERROR(__xludf.DUMMYFUNCTION("""COMPUTED_VALUE"""),"LD161")</f>
        <v>LD161</v>
      </c>
      <c r="D357" s="55" t="s">
        <v>42</v>
      </c>
      <c r="E357" s="55" t="s">
        <v>79</v>
      </c>
      <c r="F357" s="55" t="s">
        <v>107</v>
      </c>
      <c r="G357" s="55">
        <v>1840.0</v>
      </c>
      <c r="H357" s="55" t="s">
        <v>1137</v>
      </c>
      <c r="I357" s="115" t="s">
        <v>3366</v>
      </c>
      <c r="J357" s="55" t="s">
        <v>3367</v>
      </c>
      <c r="K357" s="55" t="s">
        <v>61</v>
      </c>
      <c r="L357" s="55">
        <v>16917.0</v>
      </c>
      <c r="M357" s="55" t="s">
        <v>78</v>
      </c>
      <c r="N357" s="55" t="s">
        <v>79</v>
      </c>
      <c r="O357" s="55" t="s">
        <v>224</v>
      </c>
      <c r="P357" s="55" t="s">
        <v>110</v>
      </c>
      <c r="Q357" s="67" t="str">
        <f>IFERROR(__xludf.DUMMYFUNCTION("""COMPUTED_VALUE"""),"UnitedStates.giaotiep.UDBH_16917_MES_NamNH_170124")</f>
        <v>UnitedStates.giaotiep.UDBH_16917_MES_NamNH_170124</v>
      </c>
      <c r="R357" s="67" t="str">
        <f>IFERROR(__xludf.DUMMYFUNCTION("""COMPUTED_VALUE"""),"NEW_UnitedStates_1840_none_170124")</f>
        <v>NEW_UnitedStates_1840_none_170124</v>
      </c>
      <c r="S357" s="67" t="str">
        <f>IFERROR(__xludf.DUMMYFUNCTION("""COMPUTED_VALUE"""),"saletructiep_UnitedStates.UDBH.1840.giaotiep_PTATT_LD161")</f>
        <v>saletructiep_UnitedStates.UDBH.1840.giaotiep_PTATT_LD161</v>
      </c>
      <c r="T357" s="107" t="str">
        <f>IFERROR(__xludf.DUMMYFUNCTION("""COMPUTED_VALUE"""),"https://patadovietnam.edu.vn/gtusa1_nhn/?utm_source=Facebook&amp;utm_medium=MES&amp;utm_term=NEW_UnitedStates_1840_none_170124&amp;utm_content=saletructiep_UnitedStates.UDBH.1840.giaotiep_PTATT_LD161&amp;utm_campaign=UnitedStates.giaotiep.UDBH_16917_MES_NamNH_170124")</f>
        <v>https://patadovietnam.edu.vn/gtusa1_nhn/?utm_source=Facebook&amp;utm_medium=MES&amp;utm_term=NEW_UnitedStates_1840_none_170124&amp;utm_content=saletructiep_UnitedStates.UDBH.1840.giaotiep_PTATT_LD161&amp;utm_campaign=UnitedStates.giaotiep.UDBH_16917_MES_NamNH_170124</v>
      </c>
      <c r="U357" s="111" t="s">
        <v>3370</v>
      </c>
    </row>
    <row r="358">
      <c r="A358" s="72">
        <v>45308.0</v>
      </c>
      <c r="B358" s="75" t="s">
        <v>1134</v>
      </c>
      <c r="C358" s="67" t="str">
        <f>IFERROR(__xludf.DUMMYFUNCTION("""COMPUTED_VALUE"""),"LD153")</f>
        <v>LD153</v>
      </c>
      <c r="D358" s="55" t="s">
        <v>42</v>
      </c>
      <c r="E358" s="55" t="s">
        <v>79</v>
      </c>
      <c r="F358" s="55" t="s">
        <v>164</v>
      </c>
      <c r="G358" s="55">
        <v>1840.0</v>
      </c>
      <c r="H358" s="55" t="s">
        <v>1137</v>
      </c>
      <c r="I358" s="115" t="s">
        <v>3373</v>
      </c>
      <c r="J358" s="55" t="s">
        <v>3374</v>
      </c>
      <c r="K358" s="55" t="s">
        <v>61</v>
      </c>
      <c r="L358" s="55">
        <v>95360.0</v>
      </c>
      <c r="M358" s="55" t="s">
        <v>78</v>
      </c>
      <c r="N358" s="55" t="s">
        <v>79</v>
      </c>
      <c r="O358" s="55" t="s">
        <v>224</v>
      </c>
      <c r="P358" s="55" t="s">
        <v>110</v>
      </c>
      <c r="Q358" s="67" t="str">
        <f>IFERROR(__xludf.DUMMYFUNCTION("""COMPUTED_VALUE"""),"Taiwan.giaotiep.UDBH_95360_MES_NamNH_170124")</f>
        <v>Taiwan.giaotiep.UDBH_95360_MES_NamNH_170124</v>
      </c>
      <c r="R358" s="67" t="str">
        <f>IFERROR(__xludf.DUMMYFUNCTION("""COMPUTED_VALUE"""),"NEW_Taiwan_1840_none_170124")</f>
        <v>NEW_Taiwan_1840_none_170124</v>
      </c>
      <c r="S358" s="67" t="str">
        <f>IFERROR(__xludf.DUMMYFUNCTION("""COMPUTED_VALUE"""),"saletructiep_Taiwan.UDBH.1840.giaotiep_PTATT_LD153")</f>
        <v>saletructiep_Taiwan.UDBH.1840.giaotiep_PTATT_LD153</v>
      </c>
      <c r="T358" s="107" t="str">
        <f>IFERROR(__xludf.DUMMYFUNCTION("""COMPUTED_VALUE"""),"https://patadovietnam.edu.vn/tienganhgiaotiep_hn/?utm_source=Facebook&amp;utm_medium=MES&amp;utm_term=NEW_Taiwan_1840_none_170124&amp;utm_content=saletructiep_Taiwan.UDBH.1840.giaotiep_PTATT_LD153&amp;utm_campaign=Taiwan.giaotiep.UDBH_95360_MES_NamNH_170124")</f>
        <v>https://patadovietnam.edu.vn/tienganhgiaotiep_hn/?utm_source=Facebook&amp;utm_medium=MES&amp;utm_term=NEW_Taiwan_1840_none_170124&amp;utm_content=saletructiep_Taiwan.UDBH.1840.giaotiep_PTATT_LD153&amp;utm_campaign=Taiwan.giaotiep.UDBH_95360_MES_NamNH_170124</v>
      </c>
      <c r="U358" s="110" t="s">
        <v>3377</v>
      </c>
    </row>
    <row r="359">
      <c r="A359" s="72">
        <v>45308.0</v>
      </c>
      <c r="B359" s="75" t="s">
        <v>1229</v>
      </c>
      <c r="C359" s="67" t="str">
        <f>IFERROR(__xludf.DUMMYFUNCTION("""COMPUTED_VALUE"""),"LD164")</f>
        <v>LD164</v>
      </c>
      <c r="D359" s="55" t="s">
        <v>42</v>
      </c>
      <c r="E359" s="55" t="s">
        <v>69</v>
      </c>
      <c r="F359" s="55" t="s">
        <v>133</v>
      </c>
      <c r="G359" s="55">
        <v>1840.0</v>
      </c>
      <c r="H359" s="55" t="s">
        <v>1137</v>
      </c>
      <c r="I359" s="115" t="s">
        <v>3380</v>
      </c>
      <c r="J359" s="55" t="s">
        <v>3381</v>
      </c>
      <c r="K359" s="55" t="s">
        <v>61</v>
      </c>
      <c r="L359" s="55">
        <v>16917.0</v>
      </c>
      <c r="M359" s="55" t="s">
        <v>78</v>
      </c>
      <c r="N359" s="55" t="s">
        <v>69</v>
      </c>
      <c r="O359" s="55" t="s">
        <v>224</v>
      </c>
      <c r="P359" s="55" t="s">
        <v>110</v>
      </c>
      <c r="Q359" s="67" t="str">
        <f>IFERROR(__xludf.DUMMYFUNCTION("""COMPUTED_VALUE"""),"Japan.giaotiep.UDBH_16917_CVS_NamNH_170124")</f>
        <v>Japan.giaotiep.UDBH_16917_CVS_NamNH_170124</v>
      </c>
      <c r="R359" s="67" t="str">
        <f>IFERROR(__xludf.DUMMYFUNCTION("""COMPUTED_VALUE"""),"NEW_Japan_1840_none_170124")</f>
        <v>NEW_Japan_1840_none_170124</v>
      </c>
      <c r="S359" s="67" t="str">
        <f>IFERROR(__xludf.DUMMYFUNCTION("""COMPUTED_VALUE"""),"saletructiep_Japan.UDBH.1840.giaotiep_PTATT_LD164")</f>
        <v>saletructiep_Japan.UDBH.1840.giaotiep_PTATT_LD164</v>
      </c>
      <c r="T359" s="107" t="str">
        <f>IFERROR(__xludf.DUMMYFUNCTION("""COMPUTED_VALUE"""),"https://patadovietnam.edu.vn/gtjapan_nhn3/?utm_source=Facebook&amp;utm_medium=CVS&amp;utm_term=NEW_Japan_1840_none_170124&amp;utm_content=saletructiep_Japan.UDBH.1840.giaotiep_PTATT_LD164&amp;utm_campaign=Japan.giaotiep.UDBH_16917_CVS_NamNH_170124")</f>
        <v>https://patadovietnam.edu.vn/gtjapan_nhn3/?utm_source=Facebook&amp;utm_medium=CVS&amp;utm_term=NEW_Japan_1840_none_170124&amp;utm_content=saletructiep_Japan.UDBH.1840.giaotiep_PTATT_LD164&amp;utm_campaign=Japan.giaotiep.UDBH_16917_CVS_NamNH_170124</v>
      </c>
      <c r="U359" s="110" t="s">
        <v>3384</v>
      </c>
    </row>
    <row r="360">
      <c r="A360" s="72">
        <v>45308.0</v>
      </c>
      <c r="B360" s="75" t="s">
        <v>3023</v>
      </c>
      <c r="C360" s="67" t="str">
        <f>IFERROR(__xludf.DUMMYFUNCTION("""COMPUTED_VALUE"""),"LD212")</f>
        <v>LD212</v>
      </c>
      <c r="D360" s="55" t="s">
        <v>42</v>
      </c>
      <c r="E360" s="55" t="s">
        <v>69</v>
      </c>
      <c r="F360" s="55" t="s">
        <v>674</v>
      </c>
      <c r="G360" s="55">
        <v>1840.0</v>
      </c>
      <c r="H360" s="55" t="s">
        <v>1137</v>
      </c>
      <c r="I360" s="115" t="s">
        <v>3387</v>
      </c>
      <c r="J360" s="55" t="s">
        <v>3388</v>
      </c>
      <c r="K360" s="55" t="s">
        <v>61</v>
      </c>
      <c r="L360" s="55">
        <v>16917.0</v>
      </c>
      <c r="M360" s="55" t="s">
        <v>78</v>
      </c>
      <c r="N360" s="55" t="s">
        <v>69</v>
      </c>
      <c r="O360" s="55" t="s">
        <v>224</v>
      </c>
      <c r="P360" s="55" t="s">
        <v>110</v>
      </c>
      <c r="Q360" s="67" t="str">
        <f>IFERROR(__xludf.DUMMYFUNCTION("""COMPUTED_VALUE"""),"Europe.giaotiep.UDBH_16917_CVS_NamNH_170124")</f>
        <v>Europe.giaotiep.UDBH_16917_CVS_NamNH_170124</v>
      </c>
      <c r="R360" s="67" t="str">
        <f>IFERROR(__xludf.DUMMYFUNCTION("""COMPUTED_VALUE"""),"NEW_Europe_1840_none_170124")</f>
        <v>NEW_Europe_1840_none_170124</v>
      </c>
      <c r="S360" s="67" t="str">
        <f>IFERROR(__xludf.DUMMYFUNCTION("""COMPUTED_VALUE"""),"saletructiep_Europe.UDBH.1840.giaotiep_PTATT_LD212")</f>
        <v>saletructiep_Europe.UDBH.1840.giaotiep_PTATT_LD212</v>
      </c>
      <c r="T360" s="107" t="str">
        <f>IFERROR(__xludf.DUMMYFUNCTION("""COMPUTED_VALUE"""),"https://patadovietnam.edu.vn/khoagiaotiep_all/?utm_source=Facebook&amp;utm_medium=CVS&amp;utm_term=NEW_Europe_1840_none_170124&amp;utm_content=saletructiep_Europe.UDBH.1840.giaotiep_PTATT_LD212&amp;utm_campaign=Europe.giaotiep.UDBH_16917_CVS_NamNH_170124")</f>
        <v>https://patadovietnam.edu.vn/khoagiaotiep_all/?utm_source=Facebook&amp;utm_medium=CVS&amp;utm_term=NEW_Europe_1840_none_170124&amp;utm_content=saletructiep_Europe.UDBH.1840.giaotiep_PTATT_LD212&amp;utm_campaign=Europe.giaotiep.UDBH_16917_CVS_NamNH_170124</v>
      </c>
      <c r="U360" s="110" t="s">
        <v>3389</v>
      </c>
    </row>
    <row r="361">
      <c r="A361" s="72">
        <v>45308.0</v>
      </c>
      <c r="B361" s="75" t="s">
        <v>1134</v>
      </c>
      <c r="C361" s="67" t="str">
        <f>IFERROR(__xludf.DUMMYFUNCTION("""COMPUTED_VALUE"""),"LD153")</f>
        <v>LD153</v>
      </c>
      <c r="D361" s="55" t="s">
        <v>42</v>
      </c>
      <c r="E361" s="55" t="s">
        <v>79</v>
      </c>
      <c r="F361" s="55" t="s">
        <v>174</v>
      </c>
      <c r="G361" s="55">
        <v>1840.0</v>
      </c>
      <c r="H361" s="55" t="s">
        <v>1137</v>
      </c>
      <c r="I361" s="115" t="s">
        <v>3392</v>
      </c>
      <c r="J361" s="55" t="s">
        <v>3393</v>
      </c>
      <c r="K361" s="55" t="s">
        <v>61</v>
      </c>
      <c r="L361" s="55">
        <v>95360.0</v>
      </c>
      <c r="M361" s="55" t="s">
        <v>78</v>
      </c>
      <c r="N361" s="55" t="s">
        <v>79</v>
      </c>
      <c r="O361" s="55" t="s">
        <v>224</v>
      </c>
      <c r="P361" s="55" t="s">
        <v>110</v>
      </c>
      <c r="Q361" s="67" t="str">
        <f>IFERROR(__xludf.DUMMYFUNCTION("""COMPUTED_VALUE"""),"Philippines.giaotiep.UDBH_95360_MES_NamNH_170124")</f>
        <v>Philippines.giaotiep.UDBH_95360_MES_NamNH_170124</v>
      </c>
      <c r="R361" s="67" t="str">
        <f>IFERROR(__xludf.DUMMYFUNCTION("""COMPUTED_VALUE"""),"NEW_Philippines_1840_none_170124")</f>
        <v>NEW_Philippines_1840_none_170124</v>
      </c>
      <c r="S361" s="67" t="str">
        <f>IFERROR(__xludf.DUMMYFUNCTION("""COMPUTED_VALUE"""),"saletructiep_Philippines.UDBH.1840.giaotiep_PTATT_LD153")</f>
        <v>saletructiep_Philippines.UDBH.1840.giaotiep_PTATT_LD153</v>
      </c>
      <c r="T361" s="107" t="str">
        <f>IFERROR(__xludf.DUMMYFUNCTION("""COMPUTED_VALUE"""),"https://patadovietnam.edu.vn/tienganhgiaotiep_hn/?utm_source=Facebook&amp;utm_medium=MES&amp;utm_term=NEW_Philippines_1840_none_170124&amp;utm_content=saletructiep_Philippines.UDBH.1840.giaotiep_PTATT_LD153&amp;utm_campaign=Philippines.giaotiep.UDBH_95360_MES_NamNH_17012"&amp;"4")</f>
        <v>https://patadovietnam.edu.vn/tienganhgiaotiep_hn/?utm_source=Facebook&amp;utm_medium=MES&amp;utm_term=NEW_Philippines_1840_none_170124&amp;utm_content=saletructiep_Philippines.UDBH.1840.giaotiep_PTATT_LD153&amp;utm_campaign=Philippines.giaotiep.UDBH_95360_MES_NamNH_170124</v>
      </c>
      <c r="U361" s="110" t="s">
        <v>3396</v>
      </c>
    </row>
    <row r="362">
      <c r="A362" s="50">
        <v>45315.0</v>
      </c>
      <c r="B362" s="173" t="s">
        <v>1245</v>
      </c>
      <c r="C362" s="129" t="str">
        <f>IFERROR(__xludf.DUMMYFUNCTION("""COMPUTED_VALUE"""),"LD161")</f>
        <v>LD161</v>
      </c>
      <c r="D362" s="114" t="s">
        <v>42</v>
      </c>
      <c r="E362" s="114" t="s">
        <v>79</v>
      </c>
      <c r="F362" s="114" t="s">
        <v>107</v>
      </c>
      <c r="G362" s="114">
        <v>1840.0</v>
      </c>
      <c r="H362" s="114" t="s">
        <v>1137</v>
      </c>
      <c r="I362" s="115" t="s">
        <v>3397</v>
      </c>
      <c r="J362" s="114" t="s">
        <v>3398</v>
      </c>
      <c r="K362" s="114" t="s">
        <v>61</v>
      </c>
      <c r="L362" s="114">
        <v>16917.0</v>
      </c>
      <c r="M362" s="114" t="s">
        <v>78</v>
      </c>
      <c r="N362" s="114" t="s">
        <v>79</v>
      </c>
      <c r="O362" s="114" t="s">
        <v>224</v>
      </c>
      <c r="P362" s="114" t="s">
        <v>110</v>
      </c>
      <c r="Q362" s="129" t="str">
        <f>IFERROR(__xludf.DUMMYFUNCTION("""COMPUTED_VALUE"""),"UnitedStates.giaotiep.TATT_16917_MES_NamNH_240124")</f>
        <v>UnitedStates.giaotiep.TATT_16917_MES_NamNH_240124</v>
      </c>
      <c r="R362" s="129" t="str">
        <f>IFERROR(__xludf.DUMMYFUNCTION("""COMPUTED_VALUE"""),"NEW_UnitedStates_1840_none_240124")</f>
        <v>NEW_UnitedStates_1840_none_240124</v>
      </c>
      <c r="S362" s="129" t="str">
        <f>IFERROR(__xludf.DUMMYFUNCTION("""COMPUTED_VALUE"""),"saletructiep_UnitedStates.TATT.1840.giaotiep_PTATT_LD161")</f>
        <v>saletructiep_UnitedStates.TATT.1840.giaotiep_PTATT_LD161</v>
      </c>
      <c r="T362" s="130" t="str">
        <f>IFERROR(__xludf.DUMMYFUNCTION("""COMPUTED_VALUE"""),"https://patadovietnam.edu.vn/gtusa1_nhn/?utm_source=Facebook&amp;utm_medium=MES&amp;utm_term=NEW_UnitedStates_1840_none_240124&amp;utm_content=saletructiep_UnitedStates.TATT.1840.giaotiep_PTATT_LD161&amp;utm_campaign=UnitedStates.giaotiep.TATT_16917_MES_NamNH_240124")</f>
        <v>https://patadovietnam.edu.vn/gtusa1_nhn/?utm_source=Facebook&amp;utm_medium=MES&amp;utm_term=NEW_UnitedStates_1840_none_240124&amp;utm_content=saletructiep_UnitedStates.TATT.1840.giaotiep_PTATT_LD161&amp;utm_campaign=UnitedStates.giaotiep.TATT_16917_MES_NamNH_240124</v>
      </c>
      <c r="U362" s="133" t="s">
        <v>3401</v>
      </c>
    </row>
    <row r="363">
      <c r="A363" s="72">
        <v>45315.0</v>
      </c>
      <c r="B363" s="75" t="s">
        <v>1134</v>
      </c>
      <c r="C363" s="67" t="str">
        <f>IFERROR(__xludf.DUMMYFUNCTION("""COMPUTED_VALUE"""),"LD153")</f>
        <v>LD153</v>
      </c>
      <c r="D363" s="55" t="s">
        <v>42</v>
      </c>
      <c r="E363" s="55" t="s">
        <v>69</v>
      </c>
      <c r="F363" s="55" t="s">
        <v>674</v>
      </c>
      <c r="G363" s="55">
        <v>1840.0</v>
      </c>
      <c r="H363" s="55" t="s">
        <v>1137</v>
      </c>
      <c r="I363" s="115" t="s">
        <v>3403</v>
      </c>
      <c r="J363" s="55" t="s">
        <v>3404</v>
      </c>
      <c r="K363" s="55" t="s">
        <v>61</v>
      </c>
      <c r="L363" s="55">
        <v>16917.0</v>
      </c>
      <c r="M363" s="55" t="s">
        <v>78</v>
      </c>
      <c r="N363" s="55" t="s">
        <v>69</v>
      </c>
      <c r="O363" s="55" t="s">
        <v>224</v>
      </c>
      <c r="P363" s="55" t="s">
        <v>110</v>
      </c>
      <c r="Q363" s="67" t="str">
        <f>IFERROR(__xludf.DUMMYFUNCTION("""COMPUTED_VALUE"""),"Europe.giaotiep.TATT_16917_CVS_NamNH_240124")</f>
        <v>Europe.giaotiep.TATT_16917_CVS_NamNH_240124</v>
      </c>
      <c r="R363" s="67" t="str">
        <f>IFERROR(__xludf.DUMMYFUNCTION("""COMPUTED_VALUE"""),"NEW_Europe_1840_none_240124")</f>
        <v>NEW_Europe_1840_none_240124</v>
      </c>
      <c r="S363" s="67" t="str">
        <f>IFERROR(__xludf.DUMMYFUNCTION("""COMPUTED_VALUE"""),"saletructiep_Europe.TATT.1840.giaotiep_PTATT_LD153")</f>
        <v>saletructiep_Europe.TATT.1840.giaotiep_PTATT_LD153</v>
      </c>
      <c r="T363" s="107" t="str">
        <f>IFERROR(__xludf.DUMMYFUNCTION("""COMPUTED_VALUE"""),"https://patadovietnam.edu.vn/tienganhgiaotiep_hn/?utm_source=Facebook&amp;utm_medium=CVS&amp;utm_term=NEW_Europe_1840_none_240124&amp;utm_content=saletructiep_Europe.TATT.1840.giaotiep_PTATT_LD153&amp;utm_campaign=Europe.giaotiep.TATT_16917_CVS_NamNH_240124")</f>
        <v>https://patadovietnam.edu.vn/tienganhgiaotiep_hn/?utm_source=Facebook&amp;utm_medium=CVS&amp;utm_term=NEW_Europe_1840_none_240124&amp;utm_content=saletructiep_Europe.TATT.1840.giaotiep_PTATT_LD153&amp;utm_campaign=Europe.giaotiep.TATT_16917_CVS_NamNH_240124</v>
      </c>
      <c r="U363" s="110" t="s">
        <v>3407</v>
      </c>
    </row>
    <row r="364">
      <c r="A364" s="72">
        <v>45315.0</v>
      </c>
      <c r="B364" s="75" t="s">
        <v>1134</v>
      </c>
      <c r="C364" s="67" t="str">
        <f>IFERROR(__xludf.DUMMYFUNCTION("""COMPUTED_VALUE"""),"LD153")</f>
        <v>LD153</v>
      </c>
      <c r="D364" s="55" t="s">
        <v>42</v>
      </c>
      <c r="E364" s="55" t="s">
        <v>79</v>
      </c>
      <c r="F364" s="55" t="s">
        <v>164</v>
      </c>
      <c r="G364" s="55">
        <v>1840.0</v>
      </c>
      <c r="H364" s="55" t="s">
        <v>1137</v>
      </c>
      <c r="I364" s="115" t="s">
        <v>3408</v>
      </c>
      <c r="J364" s="55" t="s">
        <v>3409</v>
      </c>
      <c r="K364" s="55" t="s">
        <v>61</v>
      </c>
      <c r="L364" s="55">
        <v>95360.0</v>
      </c>
      <c r="M364" s="55" t="s">
        <v>78</v>
      </c>
      <c r="N364" s="55" t="s">
        <v>79</v>
      </c>
      <c r="O364" s="55" t="s">
        <v>224</v>
      </c>
      <c r="P364" s="55" t="s">
        <v>110</v>
      </c>
      <c r="Q364" s="67" t="str">
        <f>IFERROR(__xludf.DUMMYFUNCTION("""COMPUTED_VALUE"""),"Taiwan.giaotiep.TATT_95360_MES_NamNH_240124")</f>
        <v>Taiwan.giaotiep.TATT_95360_MES_NamNH_240124</v>
      </c>
      <c r="R364" s="67" t="str">
        <f>IFERROR(__xludf.DUMMYFUNCTION("""COMPUTED_VALUE"""),"NEW_Taiwan_1840_none_240124")</f>
        <v>NEW_Taiwan_1840_none_240124</v>
      </c>
      <c r="S364" s="67" t="str">
        <f>IFERROR(__xludf.DUMMYFUNCTION("""COMPUTED_VALUE"""),"saletructiep_Taiwan.TATT.1840.giaotiep_PTATT_LD153")</f>
        <v>saletructiep_Taiwan.TATT.1840.giaotiep_PTATT_LD153</v>
      </c>
      <c r="T364" s="107" t="str">
        <f>IFERROR(__xludf.DUMMYFUNCTION("""COMPUTED_VALUE"""),"https://patadovietnam.edu.vn/tienganhgiaotiep_hn/?utm_source=Facebook&amp;utm_medium=MES&amp;utm_term=NEW_Taiwan_1840_none_240124&amp;utm_content=saletructiep_Taiwan.TATT.1840.giaotiep_PTATT_LD153&amp;utm_campaign=Taiwan.giaotiep.TATT_95360_MES_NamNH_240124")</f>
        <v>https://patadovietnam.edu.vn/tienganhgiaotiep_hn/?utm_source=Facebook&amp;utm_medium=MES&amp;utm_term=NEW_Taiwan_1840_none_240124&amp;utm_content=saletructiep_Taiwan.TATT.1840.giaotiep_PTATT_LD153&amp;utm_campaign=Taiwan.giaotiep.TATT_95360_MES_NamNH_240124</v>
      </c>
      <c r="U364" s="110" t="s">
        <v>3411</v>
      </c>
    </row>
    <row r="365">
      <c r="A365" s="72">
        <v>45315.0</v>
      </c>
      <c r="B365" s="75" t="s">
        <v>1229</v>
      </c>
      <c r="C365" s="67" t="str">
        <f>IFERROR(__xludf.DUMMYFUNCTION("""COMPUTED_VALUE"""),"LD164")</f>
        <v>LD164</v>
      </c>
      <c r="D365" s="55" t="s">
        <v>42</v>
      </c>
      <c r="E365" s="55" t="s">
        <v>69</v>
      </c>
      <c r="F365" s="55" t="s">
        <v>133</v>
      </c>
      <c r="G365" s="55">
        <v>1840.0</v>
      </c>
      <c r="H365" s="55" t="s">
        <v>1137</v>
      </c>
      <c r="I365" s="115" t="s">
        <v>3414</v>
      </c>
      <c r="J365" s="55" t="s">
        <v>3415</v>
      </c>
      <c r="K365" s="55" t="s">
        <v>61</v>
      </c>
      <c r="L365" s="55">
        <v>16917.0</v>
      </c>
      <c r="M365" s="55" t="s">
        <v>78</v>
      </c>
      <c r="N365" s="55" t="s">
        <v>69</v>
      </c>
      <c r="O365" s="55" t="s">
        <v>224</v>
      </c>
      <c r="P365" s="55" t="s">
        <v>110</v>
      </c>
      <c r="Q365" s="67" t="str">
        <f>IFERROR(__xludf.DUMMYFUNCTION("""COMPUTED_VALUE"""),"Japan.giaotiep.TATT_16917_CVS_NamNH_240124")</f>
        <v>Japan.giaotiep.TATT_16917_CVS_NamNH_240124</v>
      </c>
      <c r="R365" s="67" t="str">
        <f>IFERROR(__xludf.DUMMYFUNCTION("""COMPUTED_VALUE"""),"NEW_Japan_1840_none_240124")</f>
        <v>NEW_Japan_1840_none_240124</v>
      </c>
      <c r="S365" s="67" t="str">
        <f>IFERROR(__xludf.DUMMYFUNCTION("""COMPUTED_VALUE"""),"saletructiep_Japan.TATT.1840.giaotiep_PTATT_LD164")</f>
        <v>saletructiep_Japan.TATT.1840.giaotiep_PTATT_LD164</v>
      </c>
      <c r="T365" s="107" t="str">
        <f>IFERROR(__xludf.DUMMYFUNCTION("""COMPUTED_VALUE"""),"https://patadovietnam.edu.vn/gtjapan_nhn3/?utm_source=Facebook&amp;utm_medium=CVS&amp;utm_term=NEW_Japan_1840_none_240124&amp;utm_content=saletructiep_Japan.TATT.1840.giaotiep_PTATT_LD164&amp;utm_campaign=Japan.giaotiep.TATT_16917_CVS_NamNH_240124")</f>
        <v>https://patadovietnam.edu.vn/gtjapan_nhn3/?utm_source=Facebook&amp;utm_medium=CVS&amp;utm_term=NEW_Japan_1840_none_240124&amp;utm_content=saletructiep_Japan.TATT.1840.giaotiep_PTATT_LD164&amp;utm_campaign=Japan.giaotiep.TATT_16917_CVS_NamNH_240124</v>
      </c>
      <c r="U365" s="110" t="s">
        <v>3419</v>
      </c>
    </row>
    <row r="366">
      <c r="A366" s="72">
        <v>45315.0</v>
      </c>
      <c r="B366" s="75" t="s">
        <v>1134</v>
      </c>
      <c r="C366" s="67" t="str">
        <f>IFERROR(__xludf.DUMMYFUNCTION("""COMPUTED_VALUE"""),"LD153")</f>
        <v>LD153</v>
      </c>
      <c r="D366" s="55" t="s">
        <v>42</v>
      </c>
      <c r="E366" s="55" t="s">
        <v>79</v>
      </c>
      <c r="F366" s="55" t="s">
        <v>174</v>
      </c>
      <c r="G366" s="55">
        <v>1840.0</v>
      </c>
      <c r="H366" s="55" t="s">
        <v>1137</v>
      </c>
      <c r="I366" s="115" t="s">
        <v>3422</v>
      </c>
      <c r="J366" s="55" t="s">
        <v>3423</v>
      </c>
      <c r="K366" s="55" t="s">
        <v>61</v>
      </c>
      <c r="L366" s="55">
        <v>95360.0</v>
      </c>
      <c r="M366" s="55" t="s">
        <v>78</v>
      </c>
      <c r="N366" s="55" t="s">
        <v>79</v>
      </c>
      <c r="O366" s="55" t="s">
        <v>224</v>
      </c>
      <c r="P366" s="55" t="s">
        <v>110</v>
      </c>
      <c r="Q366" s="67" t="str">
        <f>IFERROR(__xludf.DUMMYFUNCTION("""COMPUTED_VALUE"""),"Philippines.giaotiep.TATT_95360_MES_NamNH_240124")</f>
        <v>Philippines.giaotiep.TATT_95360_MES_NamNH_240124</v>
      </c>
      <c r="R366" s="67" t="str">
        <f>IFERROR(__xludf.DUMMYFUNCTION("""COMPUTED_VALUE"""),"NEW_Philippines_1840_none_240124")</f>
        <v>NEW_Philippines_1840_none_240124</v>
      </c>
      <c r="S366" s="67" t="str">
        <f>IFERROR(__xludf.DUMMYFUNCTION("""COMPUTED_VALUE"""),"saletructiep_Philippines.TATT.1840.giaotiep_PTATT_LD153")</f>
        <v>saletructiep_Philippines.TATT.1840.giaotiep_PTATT_LD153</v>
      </c>
      <c r="T366" s="107" t="str">
        <f>IFERROR(__xludf.DUMMYFUNCTION("""COMPUTED_VALUE"""),"https://patadovietnam.edu.vn/tienganhgiaotiep_hn/?utm_source=Facebook&amp;utm_medium=MES&amp;utm_term=NEW_Philippines_1840_none_240124&amp;utm_content=saletructiep_Philippines.TATT.1840.giaotiep_PTATT_LD153&amp;utm_campaign=Philippines.giaotiep.TATT_95360_MES_NamNH_24012"&amp;"4")</f>
        <v>https://patadovietnam.edu.vn/tienganhgiaotiep_hn/?utm_source=Facebook&amp;utm_medium=MES&amp;utm_term=NEW_Philippines_1840_none_240124&amp;utm_content=saletructiep_Philippines.TATT.1840.giaotiep_PTATT_LD153&amp;utm_campaign=Philippines.giaotiep.TATT_95360_MES_NamNH_240124</v>
      </c>
      <c r="U366" s="110" t="s">
        <v>3427</v>
      </c>
    </row>
    <row r="367">
      <c r="A367" s="134">
        <v>45315.0</v>
      </c>
      <c r="B367" s="148" t="s">
        <v>1229</v>
      </c>
      <c r="C367" s="92" t="str">
        <f>IFERROR(__xludf.DUMMYFUNCTION("""COMPUTED_VALUE"""),"LD164")</f>
        <v>LD164</v>
      </c>
      <c r="D367" s="136" t="s">
        <v>42</v>
      </c>
      <c r="E367" s="136" t="s">
        <v>69</v>
      </c>
      <c r="F367" s="136" t="s">
        <v>133</v>
      </c>
      <c r="G367" s="136">
        <v>1840.0</v>
      </c>
      <c r="H367" s="136" t="s">
        <v>1137</v>
      </c>
      <c r="I367" s="162" t="s">
        <v>3428</v>
      </c>
      <c r="J367" s="136" t="s">
        <v>3429</v>
      </c>
      <c r="K367" s="136" t="s">
        <v>61</v>
      </c>
      <c r="L367" s="136">
        <v>16917.0</v>
      </c>
      <c r="M367" s="136" t="s">
        <v>78</v>
      </c>
      <c r="N367" s="136" t="s">
        <v>69</v>
      </c>
      <c r="O367" s="136" t="s">
        <v>224</v>
      </c>
      <c r="P367" s="136" t="s">
        <v>110</v>
      </c>
      <c r="Q367" s="92" t="str">
        <f>IFERROR(__xludf.DUMMYFUNCTION("""COMPUTED_VALUE"""),"Japan.giaotiep.4KN_16917_CVS_NamNH_240124")</f>
        <v>Japan.giaotiep.4KN_16917_CVS_NamNH_240124</v>
      </c>
      <c r="R367" s="92" t="str">
        <f>IFERROR(__xludf.DUMMYFUNCTION("""COMPUTED_VALUE"""),"NEW_Japan_1840_none_240124")</f>
        <v>NEW_Japan_1840_none_240124</v>
      </c>
      <c r="S367" s="92" t="str">
        <f>IFERROR(__xludf.DUMMYFUNCTION("""COMPUTED_VALUE"""),"saletructiep_Japan.4KN.1840.giaotiep_PTATT_LD164")</f>
        <v>saletructiep_Japan.4KN.1840.giaotiep_PTATT_LD164</v>
      </c>
      <c r="T367" s="137" t="str">
        <f>IFERROR(__xludf.DUMMYFUNCTION("""COMPUTED_VALUE"""),"https://patadovietnam.edu.vn/gtjapan_nhn3/?utm_source=Facebook&amp;utm_medium=CVS&amp;utm_term=NEW_Japan_1840_none_240124&amp;utm_content=saletructiep_Japan.4KN.1840.giaotiep_PTATT_LD164&amp;utm_campaign=Japan.giaotiep.4KN_16917_CVS_NamNH_240124")</f>
        <v>https://patadovietnam.edu.vn/gtjapan_nhn3/?utm_source=Facebook&amp;utm_medium=CVS&amp;utm_term=NEW_Japan_1840_none_240124&amp;utm_content=saletructiep_Japan.4KN.1840.giaotiep_PTATT_LD164&amp;utm_campaign=Japan.giaotiep.4KN_16917_CVS_NamNH_240124</v>
      </c>
      <c r="U367" s="138" t="s">
        <v>3434</v>
      </c>
    </row>
    <row r="368">
      <c r="A368" s="72">
        <v>45315.0</v>
      </c>
      <c r="B368" s="75" t="s">
        <v>1134</v>
      </c>
      <c r="C368" s="67" t="str">
        <f>IFERROR(__xludf.DUMMYFUNCTION("""COMPUTED_VALUE"""),"LD153")</f>
        <v>LD153</v>
      </c>
      <c r="D368" s="55" t="s">
        <v>42</v>
      </c>
      <c r="E368" s="55" t="s">
        <v>69</v>
      </c>
      <c r="F368" s="55" t="s">
        <v>674</v>
      </c>
      <c r="G368" s="55">
        <v>1840.0</v>
      </c>
      <c r="H368" s="55" t="s">
        <v>1137</v>
      </c>
      <c r="I368" s="115" t="s">
        <v>3438</v>
      </c>
      <c r="J368" s="55" t="s">
        <v>3439</v>
      </c>
      <c r="K368" s="55" t="s">
        <v>61</v>
      </c>
      <c r="L368" s="55">
        <v>16917.0</v>
      </c>
      <c r="M368" s="55" t="s">
        <v>78</v>
      </c>
      <c r="N368" s="55" t="s">
        <v>69</v>
      </c>
      <c r="O368" s="55" t="s">
        <v>224</v>
      </c>
      <c r="P368" s="55" t="s">
        <v>110</v>
      </c>
      <c r="Q368" s="67" t="str">
        <f>IFERROR(__xludf.DUMMYFUNCTION("""COMPUTED_VALUE"""),"Europe.giaotiep.4KN_16917_CVS_NamNH_240124")</f>
        <v>Europe.giaotiep.4KN_16917_CVS_NamNH_240124</v>
      </c>
      <c r="R368" s="67" t="str">
        <f>IFERROR(__xludf.DUMMYFUNCTION("""COMPUTED_VALUE"""),"NEW_Europe_1840_none_240124")</f>
        <v>NEW_Europe_1840_none_240124</v>
      </c>
      <c r="S368" s="67" t="str">
        <f>IFERROR(__xludf.DUMMYFUNCTION("""COMPUTED_VALUE"""),"saletructiep_Europe.4KN.1840.giaotiep_PTATT_LD153")</f>
        <v>saletructiep_Europe.4KN.1840.giaotiep_PTATT_LD153</v>
      </c>
      <c r="T368" s="107" t="str">
        <f>IFERROR(__xludf.DUMMYFUNCTION("""COMPUTED_VALUE"""),"https://patadovietnam.edu.vn/tienganhgiaotiep_hn/?utm_source=Facebook&amp;utm_medium=CVS&amp;utm_term=NEW_Europe_1840_none_240124&amp;utm_content=saletructiep_Europe.4KN.1840.giaotiep_PTATT_LD153&amp;utm_campaign=Europe.giaotiep.4KN_16917_CVS_NamNH_240124")</f>
        <v>https://patadovietnam.edu.vn/tienganhgiaotiep_hn/?utm_source=Facebook&amp;utm_medium=CVS&amp;utm_term=NEW_Europe_1840_none_240124&amp;utm_content=saletructiep_Europe.4KN.1840.giaotiep_PTATT_LD153&amp;utm_campaign=Europe.giaotiep.4KN_16917_CVS_NamNH_240124</v>
      </c>
      <c r="U368" s="110" t="s">
        <v>3442</v>
      </c>
    </row>
    <row r="369">
      <c r="A369" s="72">
        <v>45315.0</v>
      </c>
      <c r="B369" s="75" t="s">
        <v>1134</v>
      </c>
      <c r="C369" s="67" t="str">
        <f>IFERROR(__xludf.DUMMYFUNCTION("""COMPUTED_VALUE"""),"LD153")</f>
        <v>LD153</v>
      </c>
      <c r="D369" s="55" t="s">
        <v>42</v>
      </c>
      <c r="E369" s="55" t="s">
        <v>79</v>
      </c>
      <c r="F369" s="55" t="s">
        <v>174</v>
      </c>
      <c r="G369" s="55">
        <v>1840.0</v>
      </c>
      <c r="H369" s="55" t="s">
        <v>1137</v>
      </c>
      <c r="I369" s="115" t="s">
        <v>3444</v>
      </c>
      <c r="J369" s="55" t="s">
        <v>3445</v>
      </c>
      <c r="K369" s="55" t="s">
        <v>61</v>
      </c>
      <c r="L369" s="55">
        <v>95360.0</v>
      </c>
      <c r="M369" s="55" t="s">
        <v>78</v>
      </c>
      <c r="N369" s="55" t="s">
        <v>79</v>
      </c>
      <c r="O369" s="55" t="s">
        <v>224</v>
      </c>
      <c r="P369" s="55" t="s">
        <v>110</v>
      </c>
      <c r="Q369" s="67" t="str">
        <f>IFERROR(__xludf.DUMMYFUNCTION("""COMPUTED_VALUE"""),"Philippines.giaotiep.4KN_95360_MES_NamNH_240124")</f>
        <v>Philippines.giaotiep.4KN_95360_MES_NamNH_240124</v>
      </c>
      <c r="R369" s="67" t="str">
        <f>IFERROR(__xludf.DUMMYFUNCTION("""COMPUTED_VALUE"""),"NEW_Philippines_1840_none_240124")</f>
        <v>NEW_Philippines_1840_none_240124</v>
      </c>
      <c r="S369" s="67" t="str">
        <f>IFERROR(__xludf.DUMMYFUNCTION("""COMPUTED_VALUE"""),"saletructiep_Philippines.4KN.1840.giaotiep_PTATT_LD153")</f>
        <v>saletructiep_Philippines.4KN.1840.giaotiep_PTATT_LD153</v>
      </c>
      <c r="T369" s="107" t="str">
        <f>IFERROR(__xludf.DUMMYFUNCTION("""COMPUTED_VALUE"""),"https://patadovietnam.edu.vn/tienganhgiaotiep_hn/?utm_source=Facebook&amp;utm_medium=MES&amp;utm_term=NEW_Philippines_1840_none_240124&amp;utm_content=saletructiep_Philippines.4KN.1840.giaotiep_PTATT_LD153&amp;utm_campaign=Philippines.giaotiep.4KN_95360_MES_NamNH_240124")</f>
        <v>https://patadovietnam.edu.vn/tienganhgiaotiep_hn/?utm_source=Facebook&amp;utm_medium=MES&amp;utm_term=NEW_Philippines_1840_none_240124&amp;utm_content=saletructiep_Philippines.4KN.1840.giaotiep_PTATT_LD153&amp;utm_campaign=Philippines.giaotiep.4KN_95360_MES_NamNH_240124</v>
      </c>
      <c r="U369" s="110" t="s">
        <v>3450</v>
      </c>
    </row>
    <row r="370">
      <c r="A370" s="72">
        <v>45315.0</v>
      </c>
      <c r="B370" s="75" t="s">
        <v>1134</v>
      </c>
      <c r="C370" s="67" t="str">
        <f>IFERROR(__xludf.DUMMYFUNCTION("""COMPUTED_VALUE"""),"LD153")</f>
        <v>LD153</v>
      </c>
      <c r="D370" s="55" t="s">
        <v>42</v>
      </c>
      <c r="E370" s="55" t="s">
        <v>79</v>
      </c>
      <c r="F370" s="55" t="s">
        <v>625</v>
      </c>
      <c r="G370" s="55">
        <v>1840.0</v>
      </c>
      <c r="H370" s="55" t="s">
        <v>1137</v>
      </c>
      <c r="I370" s="115" t="s">
        <v>3455</v>
      </c>
      <c r="J370" s="55" t="s">
        <v>3456</v>
      </c>
      <c r="K370" s="55" t="s">
        <v>61</v>
      </c>
      <c r="L370" s="55">
        <v>95360.0</v>
      </c>
      <c r="M370" s="55" t="s">
        <v>78</v>
      </c>
      <c r="N370" s="55" t="s">
        <v>79</v>
      </c>
      <c r="O370" s="55" t="s">
        <v>224</v>
      </c>
      <c r="P370" s="55" t="s">
        <v>110</v>
      </c>
      <c r="Q370" s="67" t="str">
        <f>IFERROR(__xludf.DUMMYFUNCTION("""COMPUTED_VALUE"""),"KoreaSouth.giaotiep.4KN_95360_MES_NamNH_240124")</f>
        <v>KoreaSouth.giaotiep.4KN_95360_MES_NamNH_240124</v>
      </c>
      <c r="R370" s="67" t="str">
        <f>IFERROR(__xludf.DUMMYFUNCTION("""COMPUTED_VALUE"""),"NEW_KoreaSouth_1840_none_240124")</f>
        <v>NEW_KoreaSouth_1840_none_240124</v>
      </c>
      <c r="S370" s="67" t="str">
        <f>IFERROR(__xludf.DUMMYFUNCTION("""COMPUTED_VALUE"""),"saletructiep_KoreaSouth.4KN.1840.giaotiep_PTATT_LD153")</f>
        <v>saletructiep_KoreaSouth.4KN.1840.giaotiep_PTATT_LD153</v>
      </c>
      <c r="T370" s="107" t="str">
        <f>IFERROR(__xludf.DUMMYFUNCTION("""COMPUTED_VALUE"""),"https://patadovietnam.edu.vn/tienganhgiaotiep_hn/?utm_source=Facebook&amp;utm_medium=MES&amp;utm_term=NEW_KoreaSouth_1840_none_240124&amp;utm_content=saletructiep_KoreaSouth.4KN.1840.giaotiep_PTATT_LD153&amp;utm_campaign=KoreaSouth.giaotiep.4KN_95360_MES_NamNH_240124")</f>
        <v>https://patadovietnam.edu.vn/tienganhgiaotiep_hn/?utm_source=Facebook&amp;utm_medium=MES&amp;utm_term=NEW_KoreaSouth_1840_none_240124&amp;utm_content=saletructiep_KoreaSouth.4KN.1840.giaotiep_PTATT_LD153&amp;utm_campaign=KoreaSouth.giaotiep.4KN_95360_MES_NamNH_240124</v>
      </c>
      <c r="U370" s="110" t="s">
        <v>3460</v>
      </c>
    </row>
    <row r="371">
      <c r="A371" s="72">
        <v>45315.0</v>
      </c>
      <c r="B371" s="75" t="s">
        <v>1134</v>
      </c>
      <c r="C371" s="67" t="str">
        <f>IFERROR(__xludf.DUMMYFUNCTION("""COMPUTED_VALUE"""),"LD153")</f>
        <v>LD153</v>
      </c>
      <c r="D371" s="55" t="s">
        <v>42</v>
      </c>
      <c r="E371" s="55" t="s">
        <v>79</v>
      </c>
      <c r="F371" s="55" t="s">
        <v>164</v>
      </c>
      <c r="G371" s="55">
        <v>1840.0</v>
      </c>
      <c r="H371" s="55" t="s">
        <v>1137</v>
      </c>
      <c r="I371" s="115" t="s">
        <v>3462</v>
      </c>
      <c r="J371" s="55" t="s">
        <v>3463</v>
      </c>
      <c r="K371" s="55" t="s">
        <v>61</v>
      </c>
      <c r="L371" s="55">
        <v>95360.0</v>
      </c>
      <c r="M371" s="55" t="s">
        <v>78</v>
      </c>
      <c r="N371" s="55" t="s">
        <v>79</v>
      </c>
      <c r="O371" s="55" t="s">
        <v>224</v>
      </c>
      <c r="P371" s="55" t="s">
        <v>110</v>
      </c>
      <c r="Q371" s="67" t="str">
        <f>IFERROR(__xludf.DUMMYFUNCTION("""COMPUTED_VALUE"""),"Taiwan.giaotiep.4KN_95360_MES_NamNH_240124")</f>
        <v>Taiwan.giaotiep.4KN_95360_MES_NamNH_240124</v>
      </c>
      <c r="R371" s="67" t="str">
        <f>IFERROR(__xludf.DUMMYFUNCTION("""COMPUTED_VALUE"""),"NEW_Taiwan_1840_none_240124")</f>
        <v>NEW_Taiwan_1840_none_240124</v>
      </c>
      <c r="S371" s="67" t="str">
        <f>IFERROR(__xludf.DUMMYFUNCTION("""COMPUTED_VALUE"""),"saletructiep_Taiwan.4KN.1840.giaotiep_PTATT_LD153")</f>
        <v>saletructiep_Taiwan.4KN.1840.giaotiep_PTATT_LD153</v>
      </c>
      <c r="T371" s="107" t="str">
        <f>IFERROR(__xludf.DUMMYFUNCTION("""COMPUTED_VALUE"""),"https://patadovietnam.edu.vn/tienganhgiaotiep_hn/?utm_source=Facebook&amp;utm_medium=MES&amp;utm_term=NEW_Taiwan_1840_none_240124&amp;utm_content=saletructiep_Taiwan.4KN.1840.giaotiep_PTATT_LD153&amp;utm_campaign=Taiwan.giaotiep.4KN_95360_MES_NamNH_240124")</f>
        <v>https://patadovietnam.edu.vn/tienganhgiaotiep_hn/?utm_source=Facebook&amp;utm_medium=MES&amp;utm_term=NEW_Taiwan_1840_none_240124&amp;utm_content=saletructiep_Taiwan.4KN.1840.giaotiep_PTATT_LD153&amp;utm_campaign=Taiwan.giaotiep.4KN_95360_MES_NamNH_240124</v>
      </c>
      <c r="U371" s="110" t="s">
        <v>3468</v>
      </c>
    </row>
    <row r="372">
      <c r="A372" s="72">
        <v>45316.0</v>
      </c>
      <c r="B372" s="75" t="s">
        <v>1134</v>
      </c>
      <c r="C372" s="67" t="str">
        <f>IFERROR(__xludf.DUMMYFUNCTION("""COMPUTED_VALUE"""),"LD153")</f>
        <v>LD153</v>
      </c>
      <c r="D372" s="55" t="s">
        <v>42</v>
      </c>
      <c r="E372" s="55" t="s">
        <v>69</v>
      </c>
      <c r="F372" s="55" t="s">
        <v>674</v>
      </c>
      <c r="G372" s="55">
        <v>1840.0</v>
      </c>
      <c r="H372" s="55" t="s">
        <v>1137</v>
      </c>
      <c r="I372" s="115" t="s">
        <v>3470</v>
      </c>
      <c r="J372" s="55" t="s">
        <v>3471</v>
      </c>
      <c r="K372" s="55" t="s">
        <v>61</v>
      </c>
      <c r="L372" s="55">
        <v>16917.0</v>
      </c>
      <c r="M372" s="55" t="s">
        <v>78</v>
      </c>
      <c r="N372" s="55" t="s">
        <v>69</v>
      </c>
      <c r="O372" s="55" t="s">
        <v>224</v>
      </c>
      <c r="P372" s="55" t="s">
        <v>110</v>
      </c>
      <c r="Q372" s="67" t="str">
        <f>IFERROR(__xludf.DUMMYFUNCTION("""COMPUTED_VALUE"""),"Europe.giaotiep.videoTTTH_16917_CVS_NamNH_250124")</f>
        <v>Europe.giaotiep.videoTTTH_16917_CVS_NamNH_250124</v>
      </c>
      <c r="R372" s="67" t="str">
        <f>IFERROR(__xludf.DUMMYFUNCTION("""COMPUTED_VALUE"""),"NEW_Europe_1840_none_250124")</f>
        <v>NEW_Europe_1840_none_250124</v>
      </c>
      <c r="S372" s="67" t="str">
        <f>IFERROR(__xludf.DUMMYFUNCTION("""COMPUTED_VALUE"""),"saletructiep_Europe.videoTTTH.1840.giaotiep_PTATT_LD153")</f>
        <v>saletructiep_Europe.videoTTTH.1840.giaotiep_PTATT_LD153</v>
      </c>
      <c r="T372" s="107" t="str">
        <f>IFERROR(__xludf.DUMMYFUNCTION("""COMPUTED_VALUE"""),"https://patadovietnam.edu.vn/tienganhgiaotiep_hn/?utm_source=Facebook&amp;utm_medium=CVS&amp;utm_term=NEW_Europe_1840_none_250124&amp;utm_content=saletructiep_Europe.videoTTTH.1840.giaotiep_PTATT_LD153&amp;utm_campaign=Europe.giaotiep.videoTTTH_16917_CVS_NamNH_250124")</f>
        <v>https://patadovietnam.edu.vn/tienganhgiaotiep_hn/?utm_source=Facebook&amp;utm_medium=CVS&amp;utm_term=NEW_Europe_1840_none_250124&amp;utm_content=saletructiep_Europe.videoTTTH.1840.giaotiep_PTATT_LD153&amp;utm_campaign=Europe.giaotiep.videoTTTH_16917_CVS_NamNH_250124</v>
      </c>
      <c r="U372" s="110" t="s">
        <v>3475</v>
      </c>
    </row>
    <row r="373">
      <c r="A373" s="134">
        <v>45316.0</v>
      </c>
      <c r="B373" s="148" t="s">
        <v>1229</v>
      </c>
      <c r="C373" s="92" t="str">
        <f>IFERROR(__xludf.DUMMYFUNCTION("""COMPUTED_VALUE"""),"LD164")</f>
        <v>LD164</v>
      </c>
      <c r="D373" s="136" t="s">
        <v>42</v>
      </c>
      <c r="E373" s="136" t="s">
        <v>69</v>
      </c>
      <c r="F373" s="136" t="s">
        <v>133</v>
      </c>
      <c r="G373" s="136">
        <v>1840.0</v>
      </c>
      <c r="H373" s="136" t="s">
        <v>1137</v>
      </c>
      <c r="I373" s="162" t="s">
        <v>3479</v>
      </c>
      <c r="J373" s="136" t="s">
        <v>3480</v>
      </c>
      <c r="K373" s="136" t="s">
        <v>61</v>
      </c>
      <c r="L373" s="136">
        <v>16917.0</v>
      </c>
      <c r="M373" s="136" t="s">
        <v>78</v>
      </c>
      <c r="N373" s="136" t="s">
        <v>69</v>
      </c>
      <c r="O373" s="136" t="s">
        <v>224</v>
      </c>
      <c r="P373" s="136" t="s">
        <v>110</v>
      </c>
      <c r="Q373" s="92" t="str">
        <f>IFERROR(__xludf.DUMMYFUNCTION("""COMPUTED_VALUE"""),"Japan.giaotiep.qcpatado1_16917_CVS_NamNH_250124")</f>
        <v>Japan.giaotiep.qcpatado1_16917_CVS_NamNH_250124</v>
      </c>
      <c r="R373" s="92" t="str">
        <f>IFERROR(__xludf.DUMMYFUNCTION("""COMPUTED_VALUE"""),"NEW_Japan_1840_none_250124")</f>
        <v>NEW_Japan_1840_none_250124</v>
      </c>
      <c r="S373" s="92" t="str">
        <f>IFERROR(__xludf.DUMMYFUNCTION("""COMPUTED_VALUE"""),"saletructiep_Japan.qcpatado1.1840.giaotiep_PTATT_LD164")</f>
        <v>saletructiep_Japan.qcpatado1.1840.giaotiep_PTATT_LD164</v>
      </c>
      <c r="T373" s="137" t="str">
        <f>IFERROR(__xludf.DUMMYFUNCTION("""COMPUTED_VALUE"""),"https://patadovietnam.edu.vn/gtjapan_nhn3/?utm_source=Facebook&amp;utm_medium=CVS&amp;utm_term=NEW_Japan_1840_none_250124&amp;utm_content=saletructiep_Japan.qcpatado1.1840.giaotiep_PTATT_LD164&amp;utm_campaign=Japan.giaotiep.qcpatado1_16917_CVS_NamNH_250124")</f>
        <v>https://patadovietnam.edu.vn/gtjapan_nhn3/?utm_source=Facebook&amp;utm_medium=CVS&amp;utm_term=NEW_Japan_1840_none_250124&amp;utm_content=saletructiep_Japan.qcpatado1.1840.giaotiep_PTATT_LD164&amp;utm_campaign=Japan.giaotiep.qcpatado1_16917_CVS_NamNH_250124</v>
      </c>
      <c r="U373" s="138" t="s">
        <v>3481</v>
      </c>
    </row>
    <row r="374">
      <c r="A374" s="72">
        <v>45316.0</v>
      </c>
      <c r="B374" s="75" t="s">
        <v>1245</v>
      </c>
      <c r="C374" s="67" t="str">
        <f>IFERROR(__xludf.DUMMYFUNCTION("""COMPUTED_VALUE"""),"LD161")</f>
        <v>LD161</v>
      </c>
      <c r="D374" s="55" t="s">
        <v>42</v>
      </c>
      <c r="E374" s="55" t="s">
        <v>79</v>
      </c>
      <c r="F374" s="55" t="s">
        <v>107</v>
      </c>
      <c r="G374" s="55">
        <v>1840.0</v>
      </c>
      <c r="H374" s="55" t="s">
        <v>1137</v>
      </c>
      <c r="I374" s="115" t="s">
        <v>3486</v>
      </c>
      <c r="J374" s="55" t="s">
        <v>3487</v>
      </c>
      <c r="K374" s="55" t="s">
        <v>61</v>
      </c>
      <c r="L374" s="55">
        <v>16917.0</v>
      </c>
      <c r="M374" s="55" t="s">
        <v>78</v>
      </c>
      <c r="N374" s="55" t="s">
        <v>79</v>
      </c>
      <c r="O374" s="55" t="s">
        <v>224</v>
      </c>
      <c r="P374" s="55" t="s">
        <v>110</v>
      </c>
      <c r="Q374" s="67" t="str">
        <f>IFERROR(__xludf.DUMMYFUNCTION("""COMPUTED_VALUE"""),"UnitedStates.giaotiep.qcpatado1_16917_MES_NamNH_250124")</f>
        <v>UnitedStates.giaotiep.qcpatado1_16917_MES_NamNH_250124</v>
      </c>
      <c r="R374" s="67" t="str">
        <f>IFERROR(__xludf.DUMMYFUNCTION("""COMPUTED_VALUE"""),"NEW_UnitedStates_1840_none_250124")</f>
        <v>NEW_UnitedStates_1840_none_250124</v>
      </c>
      <c r="S374" s="67" t="str">
        <f>IFERROR(__xludf.DUMMYFUNCTION("""COMPUTED_VALUE"""),"saletructiep_UnitedStates.qcpatado1.1840.giaotiep_PTATT_LD161")</f>
        <v>saletructiep_UnitedStates.qcpatado1.1840.giaotiep_PTATT_LD161</v>
      </c>
      <c r="T374" s="107" t="str">
        <f>IFERROR(__xludf.DUMMYFUNCTION("""COMPUTED_VALUE"""),"https://patadovietnam.edu.vn/gtusa1_nhn/?utm_source=Facebook&amp;utm_medium=MES&amp;utm_term=NEW_UnitedStates_1840_none_250124&amp;utm_content=saletructiep_UnitedStates.qcpatado1.1840.giaotiep_PTATT_LD161&amp;utm_campaign=UnitedStates.giaotiep.qcpatado1_16917_MES_NamNH_2"&amp;"50124")</f>
        <v>https://patadovietnam.edu.vn/gtusa1_nhn/?utm_source=Facebook&amp;utm_medium=MES&amp;utm_term=NEW_UnitedStates_1840_none_250124&amp;utm_content=saletructiep_UnitedStates.qcpatado1.1840.giaotiep_PTATT_LD161&amp;utm_campaign=UnitedStates.giaotiep.qcpatado1_16917_MES_NamNH_250124</v>
      </c>
      <c r="U374" s="110" t="s">
        <v>3489</v>
      </c>
    </row>
    <row r="375">
      <c r="A375" s="72">
        <v>45316.0</v>
      </c>
      <c r="B375" s="75" t="s">
        <v>1134</v>
      </c>
      <c r="C375" s="67" t="str">
        <f>IFERROR(__xludf.DUMMYFUNCTION("""COMPUTED_VALUE"""),"LD153")</f>
        <v>LD153</v>
      </c>
      <c r="D375" s="55" t="s">
        <v>42</v>
      </c>
      <c r="E375" s="55" t="s">
        <v>69</v>
      </c>
      <c r="F375" s="55" t="s">
        <v>674</v>
      </c>
      <c r="G375" s="55">
        <v>1840.0</v>
      </c>
      <c r="H375" s="55" t="s">
        <v>1137</v>
      </c>
      <c r="I375" s="115" t="s">
        <v>3491</v>
      </c>
      <c r="J375" s="55" t="s">
        <v>3492</v>
      </c>
      <c r="K375" s="55" t="s">
        <v>61</v>
      </c>
      <c r="L375" s="55">
        <v>16917.0</v>
      </c>
      <c r="M375" s="55" t="s">
        <v>78</v>
      </c>
      <c r="N375" s="55" t="s">
        <v>69</v>
      </c>
      <c r="O375" s="55" t="s">
        <v>224</v>
      </c>
      <c r="P375" s="55" t="s">
        <v>110</v>
      </c>
      <c r="Q375" s="67" t="str">
        <f>IFERROR(__xludf.DUMMYFUNCTION("""COMPUTED_VALUE"""),"Europe.giaotiep.qcpatado1_16917_CVS_NamNH_250124")</f>
        <v>Europe.giaotiep.qcpatado1_16917_CVS_NamNH_250124</v>
      </c>
      <c r="R375" s="67" t="str">
        <f>IFERROR(__xludf.DUMMYFUNCTION("""COMPUTED_VALUE"""),"NEW_Europe_1840_none_250124")</f>
        <v>NEW_Europe_1840_none_250124</v>
      </c>
      <c r="S375" s="67" t="str">
        <f>IFERROR(__xludf.DUMMYFUNCTION("""COMPUTED_VALUE"""),"saletructiep_Europe.qcpatado1.1840.giaotiep_PTATT_LD153")</f>
        <v>saletructiep_Europe.qcpatado1.1840.giaotiep_PTATT_LD153</v>
      </c>
      <c r="T375" s="107" t="str">
        <f>IFERROR(__xludf.DUMMYFUNCTION("""COMPUTED_VALUE"""),"https://patadovietnam.edu.vn/tienganhgiaotiep_hn/?utm_source=Facebook&amp;utm_medium=CVS&amp;utm_term=NEW_Europe_1840_none_250124&amp;utm_content=saletructiep_Europe.qcpatado1.1840.giaotiep_PTATT_LD153&amp;utm_campaign=Europe.giaotiep.qcpatado1_16917_CVS_NamNH_250124")</f>
        <v>https://patadovietnam.edu.vn/tienganhgiaotiep_hn/?utm_source=Facebook&amp;utm_medium=CVS&amp;utm_term=NEW_Europe_1840_none_250124&amp;utm_content=saletructiep_Europe.qcpatado1.1840.giaotiep_PTATT_LD153&amp;utm_campaign=Europe.giaotiep.qcpatado1_16917_CVS_NamNH_250124</v>
      </c>
      <c r="U375" s="110" t="s">
        <v>3493</v>
      </c>
    </row>
    <row r="376">
      <c r="A376" s="72">
        <v>45316.0</v>
      </c>
      <c r="B376" s="75" t="s">
        <v>1245</v>
      </c>
      <c r="C376" s="67" t="str">
        <f>IFERROR(__xludf.DUMMYFUNCTION("""COMPUTED_VALUE"""),"LD161")</f>
        <v>LD161</v>
      </c>
      <c r="D376" s="55" t="s">
        <v>42</v>
      </c>
      <c r="E376" s="55" t="s">
        <v>79</v>
      </c>
      <c r="F376" s="55" t="s">
        <v>107</v>
      </c>
      <c r="G376" s="55">
        <v>1840.0</v>
      </c>
      <c r="H376" s="55" t="s">
        <v>1137</v>
      </c>
      <c r="I376" s="115" t="s">
        <v>3494</v>
      </c>
      <c r="J376" s="55" t="s">
        <v>3495</v>
      </c>
      <c r="K376" s="55" t="s">
        <v>61</v>
      </c>
      <c r="L376" s="55">
        <v>16917.0</v>
      </c>
      <c r="M376" s="55" t="s">
        <v>78</v>
      </c>
      <c r="N376" s="55" t="s">
        <v>79</v>
      </c>
      <c r="O376" s="55" t="s">
        <v>224</v>
      </c>
      <c r="P376" s="55" t="s">
        <v>110</v>
      </c>
      <c r="Q376" s="67" t="str">
        <f>IFERROR(__xludf.DUMMYFUNCTION("""COMPUTED_VALUE"""),"UnitedStates.giaotiep.JulieCarter_16917_MES_NamNH_250124")</f>
        <v>UnitedStates.giaotiep.JulieCarter_16917_MES_NamNH_250124</v>
      </c>
      <c r="R376" s="67" t="str">
        <f>IFERROR(__xludf.DUMMYFUNCTION("""COMPUTED_VALUE"""),"NEW_UnitedStates_1840_none_250124")</f>
        <v>NEW_UnitedStates_1840_none_250124</v>
      </c>
      <c r="S376" s="67" t="str">
        <f>IFERROR(__xludf.DUMMYFUNCTION("""COMPUTED_VALUE"""),"saletructiep_UnitedStates.JulieCarter.1840.giaotiep_PTATT_LD161")</f>
        <v>saletructiep_UnitedStates.JulieCarter.1840.giaotiep_PTATT_LD161</v>
      </c>
      <c r="T376" s="107" t="str">
        <f>IFERROR(__xludf.DUMMYFUNCTION("""COMPUTED_VALUE"""),"https://patadovietnam.edu.vn/gtusa1_nhn/?utm_source=Facebook&amp;utm_medium=MES&amp;utm_term=NEW_UnitedStates_1840_none_250124&amp;utm_content=saletructiep_UnitedStates.JulieCarter.1840.giaotiep_PTATT_LD161&amp;utm_campaign=UnitedStates.giaotiep.JulieCarter_16917_MES_Nam"&amp;"NH_250124")</f>
        <v>https://patadovietnam.edu.vn/gtusa1_nhn/?utm_source=Facebook&amp;utm_medium=MES&amp;utm_term=NEW_UnitedStates_1840_none_250124&amp;utm_content=saletructiep_UnitedStates.JulieCarter.1840.giaotiep_PTATT_LD161&amp;utm_campaign=UnitedStates.giaotiep.JulieCarter_16917_MES_NamNH_250124</v>
      </c>
      <c r="U376" s="110" t="s">
        <v>3497</v>
      </c>
    </row>
    <row r="377">
      <c r="A377" s="72">
        <v>45316.0</v>
      </c>
      <c r="B377" s="75" t="s">
        <v>1229</v>
      </c>
      <c r="C377" s="67" t="str">
        <f>IFERROR(__xludf.DUMMYFUNCTION("""COMPUTED_VALUE"""),"LD164")</f>
        <v>LD164</v>
      </c>
      <c r="D377" s="55" t="s">
        <v>42</v>
      </c>
      <c r="E377" s="55" t="s">
        <v>69</v>
      </c>
      <c r="F377" s="55" t="s">
        <v>133</v>
      </c>
      <c r="G377" s="55">
        <v>1840.0</v>
      </c>
      <c r="H377" s="55" t="s">
        <v>1137</v>
      </c>
      <c r="I377" s="115" t="s">
        <v>3499</v>
      </c>
      <c r="J377" s="55" t="s">
        <v>3500</v>
      </c>
      <c r="K377" s="55" t="s">
        <v>61</v>
      </c>
      <c r="L377" s="55">
        <v>16917.0</v>
      </c>
      <c r="M377" s="55" t="s">
        <v>78</v>
      </c>
      <c r="N377" s="55" t="s">
        <v>69</v>
      </c>
      <c r="O377" s="55" t="s">
        <v>224</v>
      </c>
      <c r="P377" s="55" t="s">
        <v>110</v>
      </c>
      <c r="Q377" s="67" t="str">
        <f>IFERROR(__xludf.DUMMYFUNCTION("""COMPUTED_VALUE"""),"Japan.giaotiep.JulieCarter_16917_CVS_NamNH_250124")</f>
        <v>Japan.giaotiep.JulieCarter_16917_CVS_NamNH_250124</v>
      </c>
      <c r="R377" s="67" t="str">
        <f>IFERROR(__xludf.DUMMYFUNCTION("""COMPUTED_VALUE"""),"NEW_Japan_1840_none_250124")</f>
        <v>NEW_Japan_1840_none_250124</v>
      </c>
      <c r="S377" s="67" t="str">
        <f>IFERROR(__xludf.DUMMYFUNCTION("""COMPUTED_VALUE"""),"saletructiep_Japan.JulieCarter.1840.giaotiep_PTATT_LD164")</f>
        <v>saletructiep_Japan.JulieCarter.1840.giaotiep_PTATT_LD164</v>
      </c>
      <c r="T377" s="107" t="str">
        <f>IFERROR(__xludf.DUMMYFUNCTION("""COMPUTED_VALUE"""),"https://patadovietnam.edu.vn/gtjapan_nhn3/?utm_source=Facebook&amp;utm_medium=CVS&amp;utm_term=NEW_Japan_1840_none_250124&amp;utm_content=saletructiep_Japan.JulieCarter.1840.giaotiep_PTATT_LD164&amp;utm_campaign=Japan.giaotiep.JulieCarter_16917_CVS_NamNH_250124")</f>
        <v>https://patadovietnam.edu.vn/gtjapan_nhn3/?utm_source=Facebook&amp;utm_medium=CVS&amp;utm_term=NEW_Japan_1840_none_250124&amp;utm_content=saletructiep_Japan.JulieCarter.1840.giaotiep_PTATT_LD164&amp;utm_campaign=Japan.giaotiep.JulieCarter_16917_CVS_NamNH_250124</v>
      </c>
      <c r="U377" s="110" t="s">
        <v>3506</v>
      </c>
    </row>
    <row r="378">
      <c r="A378" s="72">
        <v>45316.0</v>
      </c>
      <c r="B378" s="75" t="s">
        <v>1134</v>
      </c>
      <c r="C378" s="67" t="str">
        <f>IFERROR(__xludf.DUMMYFUNCTION("""COMPUTED_VALUE"""),"LD153")</f>
        <v>LD153</v>
      </c>
      <c r="D378" s="55" t="s">
        <v>42</v>
      </c>
      <c r="E378" s="55" t="s">
        <v>69</v>
      </c>
      <c r="F378" s="55" t="s">
        <v>674</v>
      </c>
      <c r="G378" s="55">
        <v>1840.0</v>
      </c>
      <c r="H378" s="55" t="s">
        <v>1137</v>
      </c>
      <c r="I378" s="115" t="s">
        <v>3507</v>
      </c>
      <c r="J378" s="55" t="s">
        <v>3508</v>
      </c>
      <c r="K378" s="55" t="s">
        <v>61</v>
      </c>
      <c r="L378" s="55">
        <v>16917.0</v>
      </c>
      <c r="M378" s="55" t="s">
        <v>78</v>
      </c>
      <c r="N378" s="55" t="s">
        <v>69</v>
      </c>
      <c r="O378" s="55" t="s">
        <v>224</v>
      </c>
      <c r="P378" s="55" t="s">
        <v>110</v>
      </c>
      <c r="Q378" s="67" t="str">
        <f>IFERROR(__xludf.DUMMYFUNCTION("""COMPUTED_VALUE"""),"Europe.giaotiep.JulieCarter_16917_CVS_NamNH_250124")</f>
        <v>Europe.giaotiep.JulieCarter_16917_CVS_NamNH_250124</v>
      </c>
      <c r="R378" s="67" t="str">
        <f>IFERROR(__xludf.DUMMYFUNCTION("""COMPUTED_VALUE"""),"NEW_Europe_1840_none_250124")</f>
        <v>NEW_Europe_1840_none_250124</v>
      </c>
      <c r="S378" s="67" t="str">
        <f>IFERROR(__xludf.DUMMYFUNCTION("""COMPUTED_VALUE"""),"saletructiep_Europe.JulieCarter.1840.giaotiep_PTATT_LD153")</f>
        <v>saletructiep_Europe.JulieCarter.1840.giaotiep_PTATT_LD153</v>
      </c>
      <c r="T378" s="107" t="str">
        <f>IFERROR(__xludf.DUMMYFUNCTION("""COMPUTED_VALUE"""),"https://patadovietnam.edu.vn/tienganhgiaotiep_hn/?utm_source=Facebook&amp;utm_medium=CVS&amp;utm_term=NEW_Europe_1840_none_250124&amp;utm_content=saletructiep_Europe.JulieCarter.1840.giaotiep_PTATT_LD153&amp;utm_campaign=Europe.giaotiep.JulieCarter_16917_CVS_NamNH_250124")</f>
        <v>https://patadovietnam.edu.vn/tienganhgiaotiep_hn/?utm_source=Facebook&amp;utm_medium=CVS&amp;utm_term=NEW_Europe_1840_none_250124&amp;utm_content=saletructiep_Europe.JulieCarter.1840.giaotiep_PTATT_LD153&amp;utm_campaign=Europe.giaotiep.JulieCarter_16917_CVS_NamNH_250124</v>
      </c>
      <c r="U378" s="110" t="s">
        <v>3513</v>
      </c>
    </row>
    <row r="379">
      <c r="A379" s="72">
        <v>45324.0</v>
      </c>
      <c r="B379" s="75" t="s">
        <v>3516</v>
      </c>
      <c r="C379" s="67" t="str">
        <f>IFERROR(__xludf.DUMMYFUNCTION("""COMPUTED_VALUE"""),"LD216")</f>
        <v>LD216</v>
      </c>
      <c r="D379" s="55" t="s">
        <v>42</v>
      </c>
      <c r="E379" s="55" t="s">
        <v>69</v>
      </c>
      <c r="F379" s="55" t="s">
        <v>133</v>
      </c>
      <c r="G379" s="55">
        <v>1840.0</v>
      </c>
      <c r="H379" s="55" t="s">
        <v>1137</v>
      </c>
      <c r="I379" s="115" t="s">
        <v>3517</v>
      </c>
      <c r="J379" s="55" t="s">
        <v>3518</v>
      </c>
      <c r="K379" s="55" t="s">
        <v>61</v>
      </c>
      <c r="L379" s="55">
        <v>16917.0</v>
      </c>
      <c r="M379" s="55" t="s">
        <v>78</v>
      </c>
      <c r="N379" s="55" t="s">
        <v>69</v>
      </c>
      <c r="O379" s="55" t="s">
        <v>224</v>
      </c>
      <c r="P379" s="55" t="s">
        <v>110</v>
      </c>
      <c r="Q379" s="67" t="str">
        <f>IFERROR(__xludf.DUMMYFUNCTION("""COMPUTED_VALUE"""),"Japan.giaotiep.TNMjapan_16917_CVS_NamNH_020224")</f>
        <v>Japan.giaotiep.TNMjapan_16917_CVS_NamNH_020224</v>
      </c>
      <c r="R379" s="67" t="str">
        <f>IFERROR(__xludf.DUMMYFUNCTION("""COMPUTED_VALUE"""),"NEW_Japan_1840_none_020224")</f>
        <v>NEW_Japan_1840_none_020224</v>
      </c>
      <c r="S379" s="67" t="str">
        <f>IFERROR(__xludf.DUMMYFUNCTION("""COMPUTED_VALUE"""),"saletructiep_Japan.TNMjapan.1840.giaotiep_PTATT_LD216")</f>
        <v>saletructiep_Japan.TNMjapan.1840.giaotiep_PTATT_LD216</v>
      </c>
      <c r="T379" s="107" t="str">
        <f>IFERROR(__xludf.DUMMYFUNCTION("""COMPUTED_VALUE"""),"https://www.anhngupatado.edu.vn/giaotiepall_hn/?utm_source=Facebook&amp;utm_medium=CVS&amp;utm_term=NEW_Japan_1840_none_020224&amp;utm_content=saletructiep_Japan.TNMjapan.1840.giaotiep_PTATT_LD216&amp;utm_campaign=Japan.giaotiep.TNMjapan_16917_CVS_NamNH_020224")</f>
        <v>https://www.anhngupatado.edu.vn/giaotiepall_hn/?utm_source=Facebook&amp;utm_medium=CVS&amp;utm_term=NEW_Japan_1840_none_020224&amp;utm_content=saletructiep_Japan.TNMjapan.1840.giaotiep_PTATT_LD216&amp;utm_campaign=Japan.giaotiep.TNMjapan_16917_CVS_NamNH_020224</v>
      </c>
      <c r="U379" s="110" t="s">
        <v>3522</v>
      </c>
    </row>
    <row r="380">
      <c r="A380" s="72">
        <v>45324.0</v>
      </c>
      <c r="B380" s="75" t="s">
        <v>3523</v>
      </c>
      <c r="C380" s="67" t="str">
        <f>IFERROR(__xludf.DUMMYFUNCTION("""COMPUTED_VALUE"""),"LD217")</f>
        <v>LD217</v>
      </c>
      <c r="D380" s="55" t="s">
        <v>42</v>
      </c>
      <c r="E380" s="55" t="s">
        <v>69</v>
      </c>
      <c r="F380" s="55" t="s">
        <v>133</v>
      </c>
      <c r="G380" s="55">
        <v>1840.0</v>
      </c>
      <c r="H380" s="55" t="s">
        <v>1137</v>
      </c>
      <c r="I380" s="115" t="s">
        <v>3524</v>
      </c>
      <c r="J380" s="55" t="s">
        <v>3526</v>
      </c>
      <c r="K380" s="55" t="s">
        <v>61</v>
      </c>
      <c r="L380" s="55">
        <v>16917.0</v>
      </c>
      <c r="M380" s="55" t="s">
        <v>78</v>
      </c>
      <c r="N380" s="55" t="s">
        <v>69</v>
      </c>
      <c r="O380" s="55" t="s">
        <v>224</v>
      </c>
      <c r="P380" s="55" t="s">
        <v>110</v>
      </c>
      <c r="Q380" s="67" t="str">
        <f>IFERROR(__xludf.DUMMYFUNCTION("""COMPUTED_VALUE"""),"Japan.giaotiep.VQMM1_16917_CVS_NamNH_020224")</f>
        <v>Japan.giaotiep.VQMM1_16917_CVS_NamNH_020224</v>
      </c>
      <c r="R380" s="67" t="str">
        <f>IFERROR(__xludf.DUMMYFUNCTION("""COMPUTED_VALUE"""),"NEW_Japan_1840_none_020224")</f>
        <v>NEW_Japan_1840_none_020224</v>
      </c>
      <c r="S380" s="67" t="str">
        <f>IFERROR(__xludf.DUMMYFUNCTION("""COMPUTED_VALUE"""),"saletructiep_Japan.VQMM1.1840.giaotiep_PTATT_LD217")</f>
        <v>saletructiep_Japan.VQMM1.1840.giaotiep_PTATT_LD217</v>
      </c>
      <c r="T380" s="107" t="str">
        <f>IFERROR(__xludf.DUMMYFUNCTION("""COMPUTED_VALUE"""),"https://www.anhngupatado.edu.vn/vqmm/?utm_source=Facebook&amp;utm_medium=CVS&amp;utm_term=NEW_Japan_1840_none_020224&amp;utm_content=saletructiep_Japan.VQMM1.1840.giaotiep_PTATT_LD217&amp;utm_campaign=Japan.giaotiep.VQMM1_16917_CVS_NamNH_020224")</f>
        <v>https://www.anhngupatado.edu.vn/vqmm/?utm_source=Facebook&amp;utm_medium=CVS&amp;utm_term=NEW_Japan_1840_none_020224&amp;utm_content=saletructiep_Japan.VQMM1.1840.giaotiep_PTATT_LD217&amp;utm_campaign=Japan.giaotiep.VQMM1_16917_CVS_NamNH_020224</v>
      </c>
      <c r="U380" s="110" t="s">
        <v>3528</v>
      </c>
    </row>
    <row r="381">
      <c r="A381" s="72">
        <v>45324.0</v>
      </c>
      <c r="B381" s="75" t="s">
        <v>3523</v>
      </c>
      <c r="C381" s="67" t="str">
        <f>IFERROR(__xludf.DUMMYFUNCTION("""COMPUTED_VALUE"""),"LD217")</f>
        <v>LD217</v>
      </c>
      <c r="D381" s="55" t="s">
        <v>42</v>
      </c>
      <c r="E381" s="55" t="s">
        <v>69</v>
      </c>
      <c r="F381" s="55" t="s">
        <v>539</v>
      </c>
      <c r="G381" s="55">
        <v>1840.0</v>
      </c>
      <c r="H381" s="55" t="s">
        <v>1137</v>
      </c>
      <c r="I381" s="115" t="s">
        <v>3530</v>
      </c>
      <c r="J381" s="55" t="s">
        <v>3531</v>
      </c>
      <c r="K381" s="55" t="s">
        <v>61</v>
      </c>
      <c r="L381" s="55">
        <v>16917.0</v>
      </c>
      <c r="M381" s="55" t="s">
        <v>78</v>
      </c>
      <c r="N381" s="55" t="s">
        <v>69</v>
      </c>
      <c r="O381" s="55" t="s">
        <v>224</v>
      </c>
      <c r="P381" s="55" t="s">
        <v>110</v>
      </c>
      <c r="Q381" s="67" t="str">
        <f>IFERROR(__xludf.DUMMYFUNCTION("""COMPUTED_VALUE"""),"ALL.giaotiep.VQMM1_16917_CVS_NamNH_020224")</f>
        <v>ALL.giaotiep.VQMM1_16917_CVS_NamNH_020224</v>
      </c>
      <c r="R381" s="67" t="str">
        <f>IFERROR(__xludf.DUMMYFUNCTION("""COMPUTED_VALUE"""),"NEW_ALL_1840_none_020224")</f>
        <v>NEW_ALL_1840_none_020224</v>
      </c>
      <c r="S381" s="67" t="str">
        <f>IFERROR(__xludf.DUMMYFUNCTION("""COMPUTED_VALUE"""),"saletructiep_ALL.VQMM1.1840.giaotiep_PTATT_LD217")</f>
        <v>saletructiep_ALL.VQMM1.1840.giaotiep_PTATT_LD217</v>
      </c>
      <c r="T381" s="107" t="str">
        <f>IFERROR(__xludf.DUMMYFUNCTION("""COMPUTED_VALUE"""),"https://www.anhngupatado.edu.vn/vqmm/?utm_source=Facebook&amp;utm_medium=CVS&amp;utm_term=NEW_ALL_1840_none_020224&amp;utm_content=saletructiep_ALL.VQMM1.1840.giaotiep_PTATT_LD217&amp;utm_campaign=ALL.giaotiep.VQMM1_16917_CVS_NamNH_020224")</f>
        <v>https://www.anhngupatado.edu.vn/vqmm/?utm_source=Facebook&amp;utm_medium=CVS&amp;utm_term=NEW_ALL_1840_none_020224&amp;utm_content=saletructiep_ALL.VQMM1.1840.giaotiep_PTATT_LD217&amp;utm_campaign=ALL.giaotiep.VQMM1_16917_CVS_NamNH_020224</v>
      </c>
      <c r="U381" s="110" t="s">
        <v>3535</v>
      </c>
    </row>
    <row r="382">
      <c r="A382" s="72">
        <v>45324.0</v>
      </c>
      <c r="B382" s="75" t="s">
        <v>3523</v>
      </c>
      <c r="C382" s="67" t="str">
        <f>IFERROR(__xludf.DUMMYFUNCTION("""COMPUTED_VALUE"""),"LD217")</f>
        <v>LD217</v>
      </c>
      <c r="D382" s="55" t="s">
        <v>42</v>
      </c>
      <c r="E382" s="55" t="s">
        <v>69</v>
      </c>
      <c r="F382" s="55" t="s">
        <v>674</v>
      </c>
      <c r="G382" s="55">
        <v>1840.0</v>
      </c>
      <c r="H382" s="55" t="s">
        <v>1137</v>
      </c>
      <c r="I382" s="115" t="s">
        <v>3537</v>
      </c>
      <c r="J382" s="55" t="s">
        <v>3538</v>
      </c>
      <c r="K382" s="55" t="s">
        <v>61</v>
      </c>
      <c r="L382" s="55">
        <v>16917.0</v>
      </c>
      <c r="M382" s="55" t="s">
        <v>78</v>
      </c>
      <c r="N382" s="55" t="s">
        <v>69</v>
      </c>
      <c r="O382" s="55" t="s">
        <v>224</v>
      </c>
      <c r="P382" s="55" t="s">
        <v>110</v>
      </c>
      <c r="Q382" s="67" t="str">
        <f>IFERROR(__xludf.DUMMYFUNCTION("""COMPUTED_VALUE"""),"Europe.giaotiep.VQMM1_16917_CVS_NamNH_020224")</f>
        <v>Europe.giaotiep.VQMM1_16917_CVS_NamNH_020224</v>
      </c>
      <c r="R382" s="67" t="str">
        <f>IFERROR(__xludf.DUMMYFUNCTION("""COMPUTED_VALUE"""),"NEW_Europe_1840_none_020224")</f>
        <v>NEW_Europe_1840_none_020224</v>
      </c>
      <c r="S382" s="67" t="str">
        <f>IFERROR(__xludf.DUMMYFUNCTION("""COMPUTED_VALUE"""),"saletructiep_Europe.VQMM1.1840.giaotiep_PTATT_LD217")</f>
        <v>saletructiep_Europe.VQMM1.1840.giaotiep_PTATT_LD217</v>
      </c>
      <c r="T382" s="107" t="str">
        <f>IFERROR(__xludf.DUMMYFUNCTION("""COMPUTED_VALUE"""),"https://www.anhngupatado.edu.vn/vqmm/?utm_source=Facebook&amp;utm_medium=CVS&amp;utm_term=NEW_Europe_1840_none_020224&amp;utm_content=saletructiep_Europe.VQMM1.1840.giaotiep_PTATT_LD217&amp;utm_campaign=Europe.giaotiep.VQMM1_16917_CVS_NamNH_020224")</f>
        <v>https://www.anhngupatado.edu.vn/vqmm/?utm_source=Facebook&amp;utm_medium=CVS&amp;utm_term=NEW_Europe_1840_none_020224&amp;utm_content=saletructiep_Europe.VQMM1.1840.giaotiep_PTATT_LD217&amp;utm_campaign=Europe.giaotiep.VQMM1_16917_CVS_NamNH_020224</v>
      </c>
      <c r="U382" s="110" t="s">
        <v>3540</v>
      </c>
    </row>
    <row r="383">
      <c r="A383" s="72">
        <v>45324.0</v>
      </c>
      <c r="B383" s="75" t="s">
        <v>3516</v>
      </c>
      <c r="C383" s="67" t="str">
        <f>IFERROR(__xludf.DUMMYFUNCTION("""COMPUTED_VALUE"""),"LD216")</f>
        <v>LD216</v>
      </c>
      <c r="D383" s="55" t="s">
        <v>42</v>
      </c>
      <c r="E383" s="55" t="s">
        <v>69</v>
      </c>
      <c r="F383" s="55" t="s">
        <v>133</v>
      </c>
      <c r="G383" s="55">
        <v>1840.0</v>
      </c>
      <c r="H383" s="55" t="s">
        <v>1137</v>
      </c>
      <c r="I383" s="115" t="s">
        <v>3541</v>
      </c>
      <c r="J383" s="55" t="s">
        <v>3542</v>
      </c>
      <c r="K383" s="55" t="s">
        <v>61</v>
      </c>
      <c r="L383" s="55">
        <v>16917.0</v>
      </c>
      <c r="M383" s="55" t="s">
        <v>78</v>
      </c>
      <c r="N383" s="55" t="s">
        <v>69</v>
      </c>
      <c r="O383" s="55" t="s">
        <v>224</v>
      </c>
      <c r="P383" s="55" t="s">
        <v>110</v>
      </c>
      <c r="Q383" s="67" t="str">
        <f>IFERROR(__xludf.DUMMYFUNCTION("""COMPUTED_VALUE"""),"Japan.giaotiep.videoTTTH_16917_CVS_NamNH_020224")</f>
        <v>Japan.giaotiep.videoTTTH_16917_CVS_NamNH_020224</v>
      </c>
      <c r="R383" s="67" t="str">
        <f>IFERROR(__xludf.DUMMYFUNCTION("""COMPUTED_VALUE"""),"NEW_Japan_1840_none_020224")</f>
        <v>NEW_Japan_1840_none_020224</v>
      </c>
      <c r="S383" s="67" t="str">
        <f>IFERROR(__xludf.DUMMYFUNCTION("""COMPUTED_VALUE"""),"saletructiep_Japan.videoTTTH.1840.giaotiep_PTATT_LD216")</f>
        <v>saletructiep_Japan.videoTTTH.1840.giaotiep_PTATT_LD216</v>
      </c>
      <c r="T383" s="107" t="str">
        <f>IFERROR(__xludf.DUMMYFUNCTION("""COMPUTED_VALUE"""),"https://www.anhngupatado.edu.vn/giaotiepall_hn/?utm_source=Facebook&amp;utm_medium=CVS&amp;utm_term=NEW_Japan_1840_none_020224&amp;utm_content=saletructiep_Japan.videoTTTH.1840.giaotiep_PTATT_LD216&amp;utm_campaign=Japan.giaotiep.videoTTTH_16917_CVS_NamNH_020224")</f>
        <v>https://www.anhngupatado.edu.vn/giaotiepall_hn/?utm_source=Facebook&amp;utm_medium=CVS&amp;utm_term=NEW_Japan_1840_none_020224&amp;utm_content=saletructiep_Japan.videoTTTH.1840.giaotiep_PTATT_LD216&amp;utm_campaign=Japan.giaotiep.videoTTTH_16917_CVS_NamNH_020224</v>
      </c>
      <c r="U383" s="110" t="s">
        <v>3545</v>
      </c>
    </row>
    <row r="384">
      <c r="A384" s="72">
        <v>45324.0</v>
      </c>
      <c r="B384" s="75" t="s">
        <v>3516</v>
      </c>
      <c r="C384" s="67" t="str">
        <f>IFERROR(__xludf.DUMMYFUNCTION("""COMPUTED_VALUE"""),"LD216")</f>
        <v>LD216</v>
      </c>
      <c r="D384" s="55" t="s">
        <v>42</v>
      </c>
      <c r="E384" s="55" t="s">
        <v>79</v>
      </c>
      <c r="F384" s="55" t="s">
        <v>164</v>
      </c>
      <c r="G384" s="55">
        <v>1840.0</v>
      </c>
      <c r="H384" s="55" t="s">
        <v>1137</v>
      </c>
      <c r="I384" s="115" t="s">
        <v>3549</v>
      </c>
      <c r="J384" s="55" t="s">
        <v>3550</v>
      </c>
      <c r="K384" s="55" t="s">
        <v>61</v>
      </c>
      <c r="L384" s="55">
        <v>95360.0</v>
      </c>
      <c r="M384" s="55" t="s">
        <v>78</v>
      </c>
      <c r="N384" s="55" t="s">
        <v>79</v>
      </c>
      <c r="O384" s="55" t="s">
        <v>224</v>
      </c>
      <c r="P384" s="55" t="s">
        <v>110</v>
      </c>
      <c r="Q384" s="67" t="str">
        <f>IFERROR(__xludf.DUMMYFUNCTION("""COMPUTED_VALUE"""),"Taiwan.giaotiep.TNMall_95360_MES_NamNH_020224")</f>
        <v>Taiwan.giaotiep.TNMall_95360_MES_NamNH_020224</v>
      </c>
      <c r="R384" s="67" t="str">
        <f>IFERROR(__xludf.DUMMYFUNCTION("""COMPUTED_VALUE"""),"NEW_Taiwan_1840_none_020224")</f>
        <v>NEW_Taiwan_1840_none_020224</v>
      </c>
      <c r="S384" s="67" t="str">
        <f>IFERROR(__xludf.DUMMYFUNCTION("""COMPUTED_VALUE"""),"saletructiep_Taiwan.TNMall.1840.giaotiep_PTATT_LD216")</f>
        <v>saletructiep_Taiwan.TNMall.1840.giaotiep_PTATT_LD216</v>
      </c>
      <c r="T384" s="107" t="str">
        <f>IFERROR(__xludf.DUMMYFUNCTION("""COMPUTED_VALUE"""),"https://www.anhngupatado.edu.vn/giaotiepall_hn/?utm_source=Facebook&amp;utm_medium=MES&amp;utm_term=NEW_Taiwan_1840_none_020224&amp;utm_content=saletructiep_Taiwan.TNMall.1840.giaotiep_PTATT_LD216&amp;utm_campaign=Taiwan.giaotiep.TNMall_95360_MES_NamNH_020224")</f>
        <v>https://www.anhngupatado.edu.vn/giaotiepall_hn/?utm_source=Facebook&amp;utm_medium=MES&amp;utm_term=NEW_Taiwan_1840_none_020224&amp;utm_content=saletructiep_Taiwan.TNMall.1840.giaotiep_PTATT_LD216&amp;utm_campaign=Taiwan.giaotiep.TNMall_95360_MES_NamNH_020224</v>
      </c>
      <c r="U384" s="110" t="s">
        <v>3552</v>
      </c>
    </row>
    <row r="385">
      <c r="A385" s="72">
        <v>45324.0</v>
      </c>
      <c r="B385" s="75" t="s">
        <v>3516</v>
      </c>
      <c r="C385" s="67" t="str">
        <f>IFERROR(__xludf.DUMMYFUNCTION("""COMPUTED_VALUE"""),"LD216")</f>
        <v>LD216</v>
      </c>
      <c r="D385" s="55" t="s">
        <v>42</v>
      </c>
      <c r="E385" s="55" t="s">
        <v>79</v>
      </c>
      <c r="F385" s="55" t="s">
        <v>174</v>
      </c>
      <c r="G385" s="55">
        <v>1840.0</v>
      </c>
      <c r="H385" s="55" t="s">
        <v>1137</v>
      </c>
      <c r="I385" s="115" t="s">
        <v>3554</v>
      </c>
      <c r="J385" s="55" t="s">
        <v>3555</v>
      </c>
      <c r="K385" s="55" t="s">
        <v>61</v>
      </c>
      <c r="L385" s="55">
        <v>95360.0</v>
      </c>
      <c r="M385" s="55" t="s">
        <v>78</v>
      </c>
      <c r="N385" s="55" t="s">
        <v>79</v>
      </c>
      <c r="O385" s="55" t="s">
        <v>224</v>
      </c>
      <c r="P385" s="55" t="s">
        <v>110</v>
      </c>
      <c r="Q385" s="67" t="str">
        <f>IFERROR(__xludf.DUMMYFUNCTION("""COMPUTED_VALUE"""),"Philippines.giaotiep.TNMall_95360_MES_NamNH_020224")</f>
        <v>Philippines.giaotiep.TNMall_95360_MES_NamNH_020224</v>
      </c>
      <c r="R385" s="67" t="str">
        <f>IFERROR(__xludf.DUMMYFUNCTION("""COMPUTED_VALUE"""),"NEW_Philippines_1840_none_020224")</f>
        <v>NEW_Philippines_1840_none_020224</v>
      </c>
      <c r="S385" s="67" t="str">
        <f>IFERROR(__xludf.DUMMYFUNCTION("""COMPUTED_VALUE"""),"saletructiep_Philippines.TNMall.1840.giaotiep_PTATT_LD216")</f>
        <v>saletructiep_Philippines.TNMall.1840.giaotiep_PTATT_LD216</v>
      </c>
      <c r="T385" s="107" t="str">
        <f>IFERROR(__xludf.DUMMYFUNCTION("""COMPUTED_VALUE"""),"https://www.anhngupatado.edu.vn/giaotiepall_hn/?utm_source=Facebook&amp;utm_medium=MES&amp;utm_term=NEW_Philippines_1840_none_020224&amp;utm_content=saletructiep_Philippines.TNMall.1840.giaotiep_PTATT_LD216&amp;utm_campaign=Philippines.giaotiep.TNMall_95360_MES_NamNH_020"&amp;"224")</f>
        <v>https://www.anhngupatado.edu.vn/giaotiepall_hn/?utm_source=Facebook&amp;utm_medium=MES&amp;utm_term=NEW_Philippines_1840_none_020224&amp;utm_content=saletructiep_Philippines.TNMall.1840.giaotiep_PTATT_LD216&amp;utm_campaign=Philippines.giaotiep.TNMall_95360_MES_NamNH_020224</v>
      </c>
      <c r="U385" s="110" t="s">
        <v>3558</v>
      </c>
    </row>
    <row r="386">
      <c r="A386" s="72">
        <v>45324.0</v>
      </c>
      <c r="B386" s="75" t="s">
        <v>3516</v>
      </c>
      <c r="C386" s="67" t="str">
        <f>IFERROR(__xludf.DUMMYFUNCTION("""COMPUTED_VALUE"""),"LD216")</f>
        <v>LD216</v>
      </c>
      <c r="D386" s="55" t="s">
        <v>42</v>
      </c>
      <c r="E386" s="55" t="s">
        <v>79</v>
      </c>
      <c r="F386" s="55" t="s">
        <v>625</v>
      </c>
      <c r="G386" s="55">
        <v>1840.0</v>
      </c>
      <c r="H386" s="55" t="s">
        <v>1137</v>
      </c>
      <c r="I386" s="115" t="s">
        <v>3562</v>
      </c>
      <c r="J386" s="55" t="s">
        <v>3563</v>
      </c>
      <c r="K386" s="55" t="s">
        <v>61</v>
      </c>
      <c r="L386" s="55">
        <v>95360.0</v>
      </c>
      <c r="M386" s="55" t="s">
        <v>78</v>
      </c>
      <c r="N386" s="55" t="s">
        <v>79</v>
      </c>
      <c r="O386" s="55" t="s">
        <v>224</v>
      </c>
      <c r="P386" s="55" t="s">
        <v>110</v>
      </c>
      <c r="Q386" s="67" t="str">
        <f>IFERROR(__xludf.DUMMYFUNCTION("""COMPUTED_VALUE"""),"KoreaSouth.giaotiep.TNMall_95360_MES_NamNH_020224")</f>
        <v>KoreaSouth.giaotiep.TNMall_95360_MES_NamNH_020224</v>
      </c>
      <c r="R386" s="67" t="str">
        <f>IFERROR(__xludf.DUMMYFUNCTION("""COMPUTED_VALUE"""),"NEW_KoreaSouth_1840_none_020224")</f>
        <v>NEW_KoreaSouth_1840_none_020224</v>
      </c>
      <c r="S386" s="67" t="str">
        <f>IFERROR(__xludf.DUMMYFUNCTION("""COMPUTED_VALUE"""),"saletructiep_KoreaSouth.TNMall.1840.giaotiep_PTATT_LD216")</f>
        <v>saletructiep_KoreaSouth.TNMall.1840.giaotiep_PTATT_LD216</v>
      </c>
      <c r="T386" s="107" t="str">
        <f>IFERROR(__xludf.DUMMYFUNCTION("""COMPUTED_VALUE"""),"https://www.anhngupatado.edu.vn/giaotiepall_hn/?utm_source=Facebook&amp;utm_medium=MES&amp;utm_term=NEW_KoreaSouth_1840_none_020224&amp;utm_content=saletructiep_KoreaSouth.TNMall.1840.giaotiep_PTATT_LD216&amp;utm_campaign=KoreaSouth.giaotiep.TNMall_95360_MES_NamNH_020224")</f>
        <v>https://www.anhngupatado.edu.vn/giaotiepall_hn/?utm_source=Facebook&amp;utm_medium=MES&amp;utm_term=NEW_KoreaSouth_1840_none_020224&amp;utm_content=saletructiep_KoreaSouth.TNMall.1840.giaotiep_PTATT_LD216&amp;utm_campaign=KoreaSouth.giaotiep.TNMall_95360_MES_NamNH_020224</v>
      </c>
      <c r="U386" s="110" t="s">
        <v>3564</v>
      </c>
    </row>
    <row r="387">
      <c r="A387" s="72">
        <v>45324.0</v>
      </c>
      <c r="B387" s="75" t="s">
        <v>3516</v>
      </c>
      <c r="C387" s="67" t="str">
        <f>IFERROR(__xludf.DUMMYFUNCTION("""COMPUTED_VALUE"""),"LD216")</f>
        <v>LD216</v>
      </c>
      <c r="D387" s="55" t="s">
        <v>42</v>
      </c>
      <c r="E387" s="55" t="s">
        <v>79</v>
      </c>
      <c r="F387" s="55" t="s">
        <v>107</v>
      </c>
      <c r="G387" s="55">
        <v>1840.0</v>
      </c>
      <c r="H387" s="55" t="s">
        <v>1137</v>
      </c>
      <c r="I387" s="115" t="s">
        <v>3565</v>
      </c>
      <c r="J387" s="55" t="s">
        <v>3566</v>
      </c>
      <c r="K387" s="55" t="s">
        <v>61</v>
      </c>
      <c r="L387" s="55">
        <v>16917.0</v>
      </c>
      <c r="M387" s="55" t="s">
        <v>78</v>
      </c>
      <c r="N387" s="55" t="s">
        <v>79</v>
      </c>
      <c r="O387" s="55" t="s">
        <v>224</v>
      </c>
      <c r="P387" s="55" t="s">
        <v>110</v>
      </c>
      <c r="Q387" s="67" t="str">
        <f>IFERROR(__xludf.DUMMYFUNCTION("""COMPUTED_VALUE"""),"UnitedStates.giaotiep.TNMmy_16917_MES_NamNH_020224")</f>
        <v>UnitedStates.giaotiep.TNMmy_16917_MES_NamNH_020224</v>
      </c>
      <c r="R387" s="67" t="str">
        <f>IFERROR(__xludf.DUMMYFUNCTION("""COMPUTED_VALUE"""),"NEW_UnitedStates_1840_none_020224")</f>
        <v>NEW_UnitedStates_1840_none_020224</v>
      </c>
      <c r="S387" s="67" t="str">
        <f>IFERROR(__xludf.DUMMYFUNCTION("""COMPUTED_VALUE"""),"saletructiep_UnitedStates.TNMmy.1840.giaotiep_PTATT_LD216")</f>
        <v>saletructiep_UnitedStates.TNMmy.1840.giaotiep_PTATT_LD216</v>
      </c>
      <c r="T387" s="107" t="str">
        <f>IFERROR(__xludf.DUMMYFUNCTION("""COMPUTED_VALUE"""),"https://www.anhngupatado.edu.vn/giaotiepall_hn/?utm_source=Facebook&amp;utm_medium=MES&amp;utm_term=NEW_UnitedStates_1840_none_020224&amp;utm_content=saletructiep_UnitedStates.TNMmy.1840.giaotiep_PTATT_LD216&amp;utm_campaign=UnitedStates.giaotiep.TNMmy_16917_MES_NamNH_02"&amp;"0224")</f>
        <v>https://www.anhngupatado.edu.vn/giaotiepall_hn/?utm_source=Facebook&amp;utm_medium=MES&amp;utm_term=NEW_UnitedStates_1840_none_020224&amp;utm_content=saletructiep_UnitedStates.TNMmy.1840.giaotiep_PTATT_LD216&amp;utm_campaign=UnitedStates.giaotiep.TNMmy_16917_MES_NamNH_020224</v>
      </c>
      <c r="U387" s="110" t="s">
        <v>3569</v>
      </c>
    </row>
    <row r="388">
      <c r="A388" s="72">
        <v>45352.0</v>
      </c>
      <c r="B388" s="75" t="s">
        <v>1134</v>
      </c>
      <c r="C388" s="67" t="str">
        <f>IFERROR(__xludf.DUMMYFUNCTION("""COMPUTED_VALUE"""),"LD153")</f>
        <v>LD153</v>
      </c>
      <c r="D388" s="55" t="s">
        <v>42</v>
      </c>
      <c r="E388" s="55" t="s">
        <v>79</v>
      </c>
      <c r="F388" s="55" t="s">
        <v>129</v>
      </c>
      <c r="G388" s="55">
        <v>1840.0</v>
      </c>
      <c r="H388" s="55" t="s">
        <v>1137</v>
      </c>
      <c r="I388" s="115" t="s">
        <v>3570</v>
      </c>
      <c r="J388" s="55" t="s">
        <v>3571</v>
      </c>
      <c r="K388" s="55" t="s">
        <v>61</v>
      </c>
      <c r="L388" s="55">
        <v>16917.0</v>
      </c>
      <c r="M388" s="55" t="s">
        <v>78</v>
      </c>
      <c r="N388" s="55" t="s">
        <v>79</v>
      </c>
      <c r="O388" s="55" t="s">
        <v>224</v>
      </c>
      <c r="P388" s="55" t="s">
        <v>110</v>
      </c>
      <c r="Q388" s="67" t="str">
        <f>IFERROR(__xludf.DUMMYFUNCTION("""COMPUTED_VALUE"""),"Australia.giaotiep.anhaz_16917_MES_NamNH_010324")</f>
        <v>Australia.giaotiep.anhaz_16917_MES_NamNH_010324</v>
      </c>
      <c r="R388" s="67" t="str">
        <f>IFERROR(__xludf.DUMMYFUNCTION("""COMPUTED_VALUE"""),"NEW_Australia_1840_none_010324")</f>
        <v>NEW_Australia_1840_none_010324</v>
      </c>
      <c r="S388" s="67" t="str">
        <f>IFERROR(__xludf.DUMMYFUNCTION("""COMPUTED_VALUE"""),"saletructiep_Australia.anhaz.1840.giaotiep_PTATT_LD153")</f>
        <v>saletructiep_Australia.anhaz.1840.giaotiep_PTATT_LD153</v>
      </c>
      <c r="T388" s="107" t="str">
        <f>IFERROR(__xludf.DUMMYFUNCTION("""COMPUTED_VALUE"""),"https://patadovietnam.edu.vn/tienganhgiaotiep_hn/?utm_source=Facebook&amp;utm_medium=MES&amp;utm_term=NEW_Australia_1840_none_010324&amp;utm_content=saletructiep_Australia.anhaz.1840.giaotiep_PTATT_LD153&amp;utm_campaign=Australia.giaotiep.anhaz_16917_MES_NamNH_010324")</f>
        <v>https://patadovietnam.edu.vn/tienganhgiaotiep_hn/?utm_source=Facebook&amp;utm_medium=MES&amp;utm_term=NEW_Australia_1840_none_010324&amp;utm_content=saletructiep_Australia.anhaz.1840.giaotiep_PTATT_LD153&amp;utm_campaign=Australia.giaotiep.anhaz_16917_MES_NamNH_010324</v>
      </c>
      <c r="U388" s="110" t="s">
        <v>3574</v>
      </c>
    </row>
    <row r="389">
      <c r="A389" s="72">
        <v>45352.0</v>
      </c>
      <c r="B389" s="75" t="s">
        <v>1134</v>
      </c>
      <c r="C389" s="67" t="str">
        <f>IFERROR(__xludf.DUMMYFUNCTION("""COMPUTED_VALUE"""),"LD153")</f>
        <v>LD153</v>
      </c>
      <c r="D389" s="55" t="s">
        <v>42</v>
      </c>
      <c r="E389" s="55" t="s">
        <v>79</v>
      </c>
      <c r="F389" s="55" t="s">
        <v>174</v>
      </c>
      <c r="G389" s="55">
        <v>1840.0</v>
      </c>
      <c r="H389" s="55" t="s">
        <v>1137</v>
      </c>
      <c r="I389" s="115" t="s">
        <v>3575</v>
      </c>
      <c r="J389" s="55" t="s">
        <v>3576</v>
      </c>
      <c r="K389" s="55" t="s">
        <v>61</v>
      </c>
      <c r="L389" s="55">
        <v>95360.0</v>
      </c>
      <c r="M389" s="55" t="s">
        <v>78</v>
      </c>
      <c r="N389" s="55" t="s">
        <v>79</v>
      </c>
      <c r="O389" s="55" t="s">
        <v>224</v>
      </c>
      <c r="P389" s="55" t="s">
        <v>110</v>
      </c>
      <c r="Q389" s="67" t="str">
        <f>IFERROR(__xludf.DUMMYFUNCTION("""COMPUTED_VALUE"""),"Philippines.giaotiep.anhkg_95360_MES_NamNH_010324")</f>
        <v>Philippines.giaotiep.anhkg_95360_MES_NamNH_010324</v>
      </c>
      <c r="R389" s="67" t="str">
        <f>IFERROR(__xludf.DUMMYFUNCTION("""COMPUTED_VALUE"""),"NEW_Philippines_1840_none_010324")</f>
        <v>NEW_Philippines_1840_none_010324</v>
      </c>
      <c r="S389" s="67" t="str">
        <f>IFERROR(__xludf.DUMMYFUNCTION("""COMPUTED_VALUE"""),"saletructiep_Philippines.anhkg.1840.giaotiep_PTATT_LD153")</f>
        <v>saletructiep_Philippines.anhkg.1840.giaotiep_PTATT_LD153</v>
      </c>
      <c r="T389" s="107" t="str">
        <f>IFERROR(__xludf.DUMMYFUNCTION("""COMPUTED_VALUE"""),"https://patadovietnam.edu.vn/tienganhgiaotiep_hn/?utm_source=Facebook&amp;utm_medium=MES&amp;utm_term=NEW_Philippines_1840_none_010324&amp;utm_content=saletructiep_Philippines.anhkg.1840.giaotiep_PTATT_LD153&amp;utm_campaign=Philippines.giaotiep.anhkg_95360_MES_NamNH_010"&amp;"324")</f>
        <v>https://patadovietnam.edu.vn/tienganhgiaotiep_hn/?utm_source=Facebook&amp;utm_medium=MES&amp;utm_term=NEW_Philippines_1840_none_010324&amp;utm_content=saletructiep_Philippines.anhkg.1840.giaotiep_PTATT_LD153&amp;utm_campaign=Philippines.giaotiep.anhkg_95360_MES_NamNH_010324</v>
      </c>
      <c r="U389" s="110" t="s">
        <v>3578</v>
      </c>
    </row>
    <row r="390">
      <c r="A390" s="72">
        <v>45352.0</v>
      </c>
      <c r="B390" s="75" t="s">
        <v>1134</v>
      </c>
      <c r="C390" s="67" t="str">
        <f>IFERROR(__xludf.DUMMYFUNCTION("""COMPUTED_VALUE"""),"LD153")</f>
        <v>LD153</v>
      </c>
      <c r="D390" s="55" t="s">
        <v>42</v>
      </c>
      <c r="E390" s="55" t="s">
        <v>79</v>
      </c>
      <c r="F390" s="55" t="s">
        <v>112</v>
      </c>
      <c r="G390" s="55">
        <v>1840.0</v>
      </c>
      <c r="H390" s="55" t="s">
        <v>1137</v>
      </c>
      <c r="I390" s="115" t="s">
        <v>3580</v>
      </c>
      <c r="J390" s="55" t="s">
        <v>3581</v>
      </c>
      <c r="K390" s="55" t="s">
        <v>61</v>
      </c>
      <c r="L390" s="55">
        <v>95360.0</v>
      </c>
      <c r="M390" s="55" t="s">
        <v>78</v>
      </c>
      <c r="N390" s="55" t="s">
        <v>79</v>
      </c>
      <c r="O390" s="55" t="s">
        <v>224</v>
      </c>
      <c r="P390" s="55" t="s">
        <v>110</v>
      </c>
      <c r="Q390" s="67" t="str">
        <f>IFERROR(__xludf.DUMMYFUNCTION("""COMPUTED_VALUE"""),"Canada.giaotiep.3bpatado_95360_MES_NamNH_010324")</f>
        <v>Canada.giaotiep.3bpatado_95360_MES_NamNH_010324</v>
      </c>
      <c r="R390" s="67" t="str">
        <f>IFERROR(__xludf.DUMMYFUNCTION("""COMPUTED_VALUE"""),"NEW_Canada_1840_none_010324")</f>
        <v>NEW_Canada_1840_none_010324</v>
      </c>
      <c r="S390" s="67" t="str">
        <f>IFERROR(__xludf.DUMMYFUNCTION("""COMPUTED_VALUE"""),"saletructiep_Canada.3bpatado.1840.giaotiep_PTATT_LD153")</f>
        <v>saletructiep_Canada.3bpatado.1840.giaotiep_PTATT_LD153</v>
      </c>
      <c r="T390" s="107" t="str">
        <f>IFERROR(__xludf.DUMMYFUNCTION("""COMPUTED_VALUE"""),"https://patadovietnam.edu.vn/tienganhgiaotiep_hn/?utm_source=Facebook&amp;utm_medium=MES&amp;utm_term=NEW_Canada_1840_none_010324&amp;utm_content=saletructiep_Canada.3bpatado.1840.giaotiep_PTATT_LD153&amp;utm_campaign=Canada.giaotiep.3bpatado_95360_MES_NamNH_010324")</f>
        <v>https://patadovietnam.edu.vn/tienganhgiaotiep_hn/?utm_source=Facebook&amp;utm_medium=MES&amp;utm_term=NEW_Canada_1840_none_010324&amp;utm_content=saletructiep_Canada.3bpatado.1840.giaotiep_PTATT_LD153&amp;utm_campaign=Canada.giaotiep.3bpatado_95360_MES_NamNH_010324</v>
      </c>
      <c r="U390" s="110" t="s">
        <v>3583</v>
      </c>
    </row>
    <row r="391">
      <c r="A391" s="72">
        <v>45352.0</v>
      </c>
      <c r="B391" s="75" t="s">
        <v>1229</v>
      </c>
      <c r="C391" s="67" t="str">
        <f>IFERROR(__xludf.DUMMYFUNCTION("""COMPUTED_VALUE"""),"LD164")</f>
        <v>LD164</v>
      </c>
      <c r="D391" s="114" t="s">
        <v>42</v>
      </c>
      <c r="E391" s="114" t="s">
        <v>69</v>
      </c>
      <c r="F391" s="114" t="s">
        <v>133</v>
      </c>
      <c r="G391" s="114">
        <v>1840.0</v>
      </c>
      <c r="H391" s="114" t="s">
        <v>1137</v>
      </c>
      <c r="I391" s="115" t="s">
        <v>3585</v>
      </c>
      <c r="J391" s="55" t="s">
        <v>3586</v>
      </c>
      <c r="K391" s="55" t="s">
        <v>61</v>
      </c>
      <c r="L391" s="55">
        <v>95360.0</v>
      </c>
      <c r="M391" s="55" t="s">
        <v>78</v>
      </c>
      <c r="N391" s="55" t="s">
        <v>69</v>
      </c>
      <c r="O391" s="55" t="s">
        <v>224</v>
      </c>
      <c r="P391" s="55" t="s">
        <v>110</v>
      </c>
      <c r="Q391" s="67" t="str">
        <f>IFERROR(__xludf.DUMMYFUNCTION("""COMPUTED_VALUE"""),"Japan.giaotiep.Anhtblh_95360_CVS_NamNH_010324")</f>
        <v>Japan.giaotiep.Anhtblh_95360_CVS_NamNH_010324</v>
      </c>
      <c r="R391" s="67" t="str">
        <f>IFERROR(__xludf.DUMMYFUNCTION("""COMPUTED_VALUE"""),"NEW_Japan_1840_none_010324")</f>
        <v>NEW_Japan_1840_none_010324</v>
      </c>
      <c r="S391" s="67" t="str">
        <f>IFERROR(__xludf.DUMMYFUNCTION("""COMPUTED_VALUE"""),"saletructiep_Japan.Anhtblh.1840.giaotiep_PTATT_LD164")</f>
        <v>saletructiep_Japan.Anhtblh.1840.giaotiep_PTATT_LD164</v>
      </c>
      <c r="T391" s="107" t="str">
        <f>IFERROR(__xludf.DUMMYFUNCTION("""COMPUTED_VALUE"""),"https://patadovietnam.edu.vn/gtjapan_nhn3/?utm_source=Facebook&amp;utm_medium=CVS&amp;utm_term=NEW_Japan_1840_none_010324&amp;utm_content=saletructiep_Japan.Anhtblh.1840.giaotiep_PTATT_LD164&amp;utm_campaign=Japan.giaotiep.Anhtblh_95360_CVS_NamNH_010324")</f>
        <v>https://patadovietnam.edu.vn/gtjapan_nhn3/?utm_source=Facebook&amp;utm_medium=CVS&amp;utm_term=NEW_Japan_1840_none_010324&amp;utm_content=saletructiep_Japan.Anhtblh.1840.giaotiep_PTATT_LD164&amp;utm_campaign=Japan.giaotiep.Anhtblh_95360_CVS_NamNH_010324</v>
      </c>
      <c r="U391" s="110" t="s">
        <v>3588</v>
      </c>
    </row>
    <row r="392">
      <c r="A392" s="72">
        <v>45353.0</v>
      </c>
      <c r="B392" s="75" t="s">
        <v>1245</v>
      </c>
      <c r="C392" s="67" t="str">
        <f>IFERROR(__xludf.DUMMYFUNCTION("""COMPUTED_VALUE"""),"LD161")</f>
        <v>LD161</v>
      </c>
      <c r="D392" s="55" t="s">
        <v>42</v>
      </c>
      <c r="E392" s="55" t="s">
        <v>79</v>
      </c>
      <c r="F392" s="55" t="s">
        <v>107</v>
      </c>
      <c r="G392" s="55">
        <v>1840.0</v>
      </c>
      <c r="H392" s="55" t="s">
        <v>1137</v>
      </c>
      <c r="I392" s="115" t="s">
        <v>3590</v>
      </c>
      <c r="J392" s="55" t="s">
        <v>3591</v>
      </c>
      <c r="K392" s="55" t="s">
        <v>61</v>
      </c>
      <c r="L392" s="55">
        <v>16917.0</v>
      </c>
      <c r="M392" s="55" t="s">
        <v>78</v>
      </c>
      <c r="N392" s="55" t="s">
        <v>79</v>
      </c>
      <c r="O392" s="55" t="s">
        <v>224</v>
      </c>
      <c r="P392" s="55" t="s">
        <v>110</v>
      </c>
      <c r="Q392" s="67" t="str">
        <f>IFERROR(__xludf.DUMMYFUNCTION("""COMPUTED_VALUE"""),"UnitedStates.giaotiep.anhkg_16917_MES_NamNH_020324")</f>
        <v>UnitedStates.giaotiep.anhkg_16917_MES_NamNH_020324</v>
      </c>
      <c r="R392" s="67" t="str">
        <f>IFERROR(__xludf.DUMMYFUNCTION("""COMPUTED_VALUE"""),"NEW_UnitedStates_1840_none_020324")</f>
        <v>NEW_UnitedStates_1840_none_020324</v>
      </c>
      <c r="S392" s="67" t="str">
        <f>IFERROR(__xludf.DUMMYFUNCTION("""COMPUTED_VALUE"""),"saletructiep_UnitedStates.anhkg.1840.giaotiep_PTATT_LD161")</f>
        <v>saletructiep_UnitedStates.anhkg.1840.giaotiep_PTATT_LD161</v>
      </c>
      <c r="T392" s="107" t="str">
        <f>IFERROR(__xludf.DUMMYFUNCTION("""COMPUTED_VALUE"""),"https://patadovietnam.edu.vn/gtusa1_nhn/?utm_source=Facebook&amp;utm_medium=MES&amp;utm_term=NEW_UnitedStates_1840_none_020324&amp;utm_content=saletructiep_UnitedStates.anhkg.1840.giaotiep_PTATT_LD161&amp;utm_campaign=UnitedStates.giaotiep.anhkg_16917_MES_NamNH_020324")</f>
        <v>https://patadovietnam.edu.vn/gtusa1_nhn/?utm_source=Facebook&amp;utm_medium=MES&amp;utm_term=NEW_UnitedStates_1840_none_020324&amp;utm_content=saletructiep_UnitedStates.anhkg.1840.giaotiep_PTATT_LD161&amp;utm_campaign=UnitedStates.giaotiep.anhkg_16917_MES_NamNH_020324</v>
      </c>
      <c r="U392" s="110" t="s">
        <v>3597</v>
      </c>
    </row>
    <row r="393">
      <c r="A393" s="72">
        <v>45354.0</v>
      </c>
      <c r="B393" s="75" t="s">
        <v>1134</v>
      </c>
      <c r="C393" s="67" t="str">
        <f>IFERROR(__xludf.DUMMYFUNCTION("""COMPUTED_VALUE"""),"LD153")</f>
        <v>LD153</v>
      </c>
      <c r="D393" s="55" t="s">
        <v>42</v>
      </c>
      <c r="E393" s="55" t="s">
        <v>79</v>
      </c>
      <c r="F393" s="55" t="s">
        <v>164</v>
      </c>
      <c r="G393" s="55">
        <v>1840.0</v>
      </c>
      <c r="H393" s="55" t="s">
        <v>1137</v>
      </c>
      <c r="I393" s="115" t="s">
        <v>3598</v>
      </c>
      <c r="J393" s="55" t="s">
        <v>3599</v>
      </c>
      <c r="K393" s="55" t="s">
        <v>61</v>
      </c>
      <c r="L393" s="55">
        <v>95360.0</v>
      </c>
      <c r="M393" s="55" t="s">
        <v>78</v>
      </c>
      <c r="N393" s="55" t="s">
        <v>79</v>
      </c>
      <c r="O393" s="55" t="s">
        <v>224</v>
      </c>
      <c r="P393" s="55" t="s">
        <v>110</v>
      </c>
      <c r="Q393" s="67" t="str">
        <f>IFERROR(__xludf.DUMMYFUNCTION("""COMPUTED_VALUE"""),"Taiwan.giaotiep.anhbeaf_95360_MES_NamNH_030324")</f>
        <v>Taiwan.giaotiep.anhbeaf_95360_MES_NamNH_030324</v>
      </c>
      <c r="R393" s="67" t="str">
        <f>IFERROR(__xludf.DUMMYFUNCTION("""COMPUTED_VALUE"""),"NEW_Taiwan_1840_none_030324")</f>
        <v>NEW_Taiwan_1840_none_030324</v>
      </c>
      <c r="S393" s="67" t="str">
        <f>IFERROR(__xludf.DUMMYFUNCTION("""COMPUTED_VALUE"""),"saletructiep_Taiwan.anhbeaf.1840.giaotiep_PTATT_LD153")</f>
        <v>saletructiep_Taiwan.anhbeaf.1840.giaotiep_PTATT_LD153</v>
      </c>
      <c r="T393" s="107" t="str">
        <f>IFERROR(__xludf.DUMMYFUNCTION("""COMPUTED_VALUE"""),"https://patadovietnam.edu.vn/tienganhgiaotiep_hn/?utm_source=Facebook&amp;utm_medium=MES&amp;utm_term=NEW_Taiwan_1840_none_030324&amp;utm_content=saletructiep_Taiwan.anhbeaf.1840.giaotiep_PTATT_LD153&amp;utm_campaign=Taiwan.giaotiep.anhbeaf_95360_MES_NamNH_030324")</f>
        <v>https://patadovietnam.edu.vn/tienganhgiaotiep_hn/?utm_source=Facebook&amp;utm_medium=MES&amp;utm_term=NEW_Taiwan_1840_none_030324&amp;utm_content=saletructiep_Taiwan.anhbeaf.1840.giaotiep_PTATT_LD153&amp;utm_campaign=Taiwan.giaotiep.anhbeaf_95360_MES_NamNH_030324</v>
      </c>
      <c r="U393" s="110" t="s">
        <v>3602</v>
      </c>
    </row>
    <row r="394">
      <c r="A394" s="72">
        <v>45354.0</v>
      </c>
      <c r="B394" s="75" t="s">
        <v>1134</v>
      </c>
      <c r="C394" s="67" t="str">
        <f>IFERROR(__xludf.DUMMYFUNCTION("""COMPUTED_VALUE"""),"LD153")</f>
        <v>LD153</v>
      </c>
      <c r="D394" s="55" t="s">
        <v>42</v>
      </c>
      <c r="E394" s="55" t="s">
        <v>79</v>
      </c>
      <c r="F394" s="55" t="s">
        <v>174</v>
      </c>
      <c r="G394" s="55">
        <v>1840.0</v>
      </c>
      <c r="H394" s="55" t="s">
        <v>1137</v>
      </c>
      <c r="I394" s="115" t="s">
        <v>3603</v>
      </c>
      <c r="J394" s="55" t="s">
        <v>3604</v>
      </c>
      <c r="K394" s="55" t="s">
        <v>61</v>
      </c>
      <c r="L394" s="55">
        <v>95360.0</v>
      </c>
      <c r="M394" s="55" t="s">
        <v>78</v>
      </c>
      <c r="N394" s="55" t="s">
        <v>79</v>
      </c>
      <c r="O394" s="55" t="s">
        <v>224</v>
      </c>
      <c r="P394" s="55" t="s">
        <v>110</v>
      </c>
      <c r="Q394" s="67" t="str">
        <f>IFERROR(__xludf.DUMMYFUNCTION("""COMPUTED_VALUE"""),"Philippines.giaotiep.anhtblh_95360_MES_NamNH_030324")</f>
        <v>Philippines.giaotiep.anhtblh_95360_MES_NamNH_030324</v>
      </c>
      <c r="R394" s="67" t="str">
        <f>IFERROR(__xludf.DUMMYFUNCTION("""COMPUTED_VALUE"""),"NEW_Philippines_1840_none_030324")</f>
        <v>NEW_Philippines_1840_none_030324</v>
      </c>
      <c r="S394" s="67" t="str">
        <f>IFERROR(__xludf.DUMMYFUNCTION("""COMPUTED_VALUE"""),"saletructiep_Philippines.anhtblh.1840.giaotiep_PTATT_LD153")</f>
        <v>saletructiep_Philippines.anhtblh.1840.giaotiep_PTATT_LD153</v>
      </c>
      <c r="T394" s="107" t="str">
        <f>IFERROR(__xludf.DUMMYFUNCTION("""COMPUTED_VALUE"""),"https://patadovietnam.edu.vn/tienganhgiaotiep_hn/?utm_source=Facebook&amp;utm_medium=MES&amp;utm_term=NEW_Philippines_1840_none_030324&amp;utm_content=saletructiep_Philippines.anhtblh.1840.giaotiep_PTATT_LD153&amp;utm_campaign=Philippines.giaotiep.anhtblh_95360_MES_NamNH"&amp;"_030324")</f>
        <v>https://patadovietnam.edu.vn/tienganhgiaotiep_hn/?utm_source=Facebook&amp;utm_medium=MES&amp;utm_term=NEW_Philippines_1840_none_030324&amp;utm_content=saletructiep_Philippines.anhtblh.1840.giaotiep_PTATT_LD153&amp;utm_campaign=Philippines.giaotiep.anhtblh_95360_MES_NamNH_030324</v>
      </c>
      <c r="U394" s="110" t="s">
        <v>3608</v>
      </c>
    </row>
    <row r="395">
      <c r="A395" s="72">
        <v>45354.0</v>
      </c>
      <c r="B395" s="75" t="s">
        <v>1134</v>
      </c>
      <c r="C395" s="67" t="str">
        <f>IFERROR(__xludf.DUMMYFUNCTION("""COMPUTED_VALUE"""),"LD153")</f>
        <v>LD153</v>
      </c>
      <c r="D395" s="55" t="s">
        <v>42</v>
      </c>
      <c r="E395" s="55" t="s">
        <v>79</v>
      </c>
      <c r="F395" s="55" t="s">
        <v>112</v>
      </c>
      <c r="G395" s="55">
        <v>1840.0</v>
      </c>
      <c r="H395" s="55" t="s">
        <v>1137</v>
      </c>
      <c r="I395" s="115" t="s">
        <v>3612</v>
      </c>
      <c r="J395" s="55" t="s">
        <v>3613</v>
      </c>
      <c r="K395" s="55" t="s">
        <v>61</v>
      </c>
      <c r="L395" s="55">
        <v>95360.0</v>
      </c>
      <c r="M395" s="55" t="s">
        <v>78</v>
      </c>
      <c r="N395" s="55" t="s">
        <v>79</v>
      </c>
      <c r="O395" s="55" t="s">
        <v>224</v>
      </c>
      <c r="P395" s="55" t="s">
        <v>110</v>
      </c>
      <c r="Q395" s="67" t="str">
        <f>IFERROR(__xludf.DUMMYFUNCTION("""COMPUTED_VALUE"""),"Canada.giaotiep.anhkg_95360_MES_NamNH_030324")</f>
        <v>Canada.giaotiep.anhkg_95360_MES_NamNH_030324</v>
      </c>
      <c r="R395" s="67" t="str">
        <f>IFERROR(__xludf.DUMMYFUNCTION("""COMPUTED_VALUE"""),"NEW_Canada_1840_none_030324")</f>
        <v>NEW_Canada_1840_none_030324</v>
      </c>
      <c r="S395" s="67" t="str">
        <f>IFERROR(__xludf.DUMMYFUNCTION("""COMPUTED_VALUE"""),"saletructiep_Canada.anhkg.1840.giaotiep_PTATT_LD153")</f>
        <v>saletructiep_Canada.anhkg.1840.giaotiep_PTATT_LD153</v>
      </c>
      <c r="T395" s="107" t="str">
        <f>IFERROR(__xludf.DUMMYFUNCTION("""COMPUTED_VALUE"""),"https://patadovietnam.edu.vn/tienganhgiaotiep_hn/?utm_source=Facebook&amp;utm_medium=MES&amp;utm_term=NEW_Canada_1840_none_030324&amp;utm_content=saletructiep_Canada.anhkg.1840.giaotiep_PTATT_LD153&amp;utm_campaign=Canada.giaotiep.anhkg_95360_MES_NamNH_030324")</f>
        <v>https://patadovietnam.edu.vn/tienganhgiaotiep_hn/?utm_source=Facebook&amp;utm_medium=MES&amp;utm_term=NEW_Canada_1840_none_030324&amp;utm_content=saletructiep_Canada.anhkg.1840.giaotiep_PTATT_LD153&amp;utm_campaign=Canada.giaotiep.anhkg_95360_MES_NamNH_030324</v>
      </c>
      <c r="U395" s="110" t="s">
        <v>3619</v>
      </c>
    </row>
    <row r="396">
      <c r="A396" s="72">
        <v>45355.0</v>
      </c>
      <c r="B396" s="75" t="s">
        <v>1229</v>
      </c>
      <c r="C396" s="67" t="str">
        <f>IFERROR(__xludf.DUMMYFUNCTION("""COMPUTED_VALUE"""),"LD164")</f>
        <v>LD164</v>
      </c>
      <c r="D396" s="114" t="s">
        <v>42</v>
      </c>
      <c r="E396" s="114" t="s">
        <v>69</v>
      </c>
      <c r="F396" s="114" t="s">
        <v>133</v>
      </c>
      <c r="G396" s="114">
        <v>1840.0</v>
      </c>
      <c r="H396" s="114" t="s">
        <v>1137</v>
      </c>
      <c r="I396" s="115" t="s">
        <v>3621</v>
      </c>
      <c r="J396" s="55" t="s">
        <v>3622</v>
      </c>
      <c r="K396" s="55" t="s">
        <v>61</v>
      </c>
      <c r="L396" s="55">
        <v>16917.0</v>
      </c>
      <c r="M396" s="55" t="s">
        <v>78</v>
      </c>
      <c r="N396" s="55" t="s">
        <v>69</v>
      </c>
      <c r="O396" s="55" t="s">
        <v>224</v>
      </c>
      <c r="P396" s="55" t="s">
        <v>110</v>
      </c>
      <c r="Q396" s="67" t="str">
        <f>IFERROR(__xludf.DUMMYFUNCTION("""COMPUTED_VALUE"""),"Japan.giaotiep.PTDVNJP_16917_CVS_NamNH_040324")</f>
        <v>Japan.giaotiep.PTDVNJP_16917_CVS_NamNH_040324</v>
      </c>
      <c r="R396" s="67" t="str">
        <f>IFERROR(__xludf.DUMMYFUNCTION("""COMPUTED_VALUE"""),"NEW_Japan_1840_none_040324")</f>
        <v>NEW_Japan_1840_none_040324</v>
      </c>
      <c r="S396" s="67" t="str">
        <f>IFERROR(__xludf.DUMMYFUNCTION("""COMPUTED_VALUE"""),"saletructiep_Japan.PTDVNJP.1840.giaotiep_PTATT_LD164")</f>
        <v>saletructiep_Japan.PTDVNJP.1840.giaotiep_PTATT_LD164</v>
      </c>
      <c r="T396" s="107" t="str">
        <f>IFERROR(__xludf.DUMMYFUNCTION("""COMPUTED_VALUE"""),"https://patadovietnam.edu.vn/gtjapan_nhn3/?utm_source=Facebook&amp;utm_medium=CVS&amp;utm_term=NEW_Japan_1840_none_040324&amp;utm_content=saletructiep_Japan.PTDVNJP.1840.giaotiep_PTATT_LD164&amp;utm_campaign=Japan.giaotiep.PTDVNJP_16917_CVS_NamNH_040324")</f>
        <v>https://patadovietnam.edu.vn/gtjapan_nhn3/?utm_source=Facebook&amp;utm_medium=CVS&amp;utm_term=NEW_Japan_1840_none_040324&amp;utm_content=saletructiep_Japan.PTDVNJP.1840.giaotiep_PTATT_LD164&amp;utm_campaign=Japan.giaotiep.PTDVNJP_16917_CVS_NamNH_040324</v>
      </c>
      <c r="U396" s="110" t="s">
        <v>3626</v>
      </c>
    </row>
    <row r="397">
      <c r="A397" s="72">
        <v>45355.0</v>
      </c>
      <c r="B397" s="75" t="s">
        <v>1134</v>
      </c>
      <c r="C397" s="67" t="str">
        <f>IFERROR(__xludf.DUMMYFUNCTION("""COMPUTED_VALUE"""),"LD153")</f>
        <v>LD153</v>
      </c>
      <c r="D397" s="114" t="s">
        <v>42</v>
      </c>
      <c r="E397" s="114" t="s">
        <v>69</v>
      </c>
      <c r="F397" s="114" t="s">
        <v>674</v>
      </c>
      <c r="G397" s="114">
        <v>1840.0</v>
      </c>
      <c r="H397" s="114" t="s">
        <v>1137</v>
      </c>
      <c r="I397" s="115" t="s">
        <v>3627</v>
      </c>
      <c r="J397" s="55" t="s">
        <v>3628</v>
      </c>
      <c r="K397" s="55" t="s">
        <v>61</v>
      </c>
      <c r="L397" s="55">
        <v>16917.0</v>
      </c>
      <c r="M397" s="55" t="s">
        <v>78</v>
      </c>
      <c r="N397" s="55" t="s">
        <v>69</v>
      </c>
      <c r="O397" s="55" t="s">
        <v>224</v>
      </c>
      <c r="P397" s="55" t="s">
        <v>110</v>
      </c>
      <c r="Q397" s="67" t="str">
        <f>IFERROR(__xludf.DUMMYFUNCTION("""COMPUTED_VALUE"""),"Europe.giaotiep.PTDVN_16917_CVS_NamNH_040324")</f>
        <v>Europe.giaotiep.PTDVN_16917_CVS_NamNH_040324</v>
      </c>
      <c r="R397" s="67" t="str">
        <f>IFERROR(__xludf.DUMMYFUNCTION("""COMPUTED_VALUE"""),"NEW_Europe_1840_none_040324")</f>
        <v>NEW_Europe_1840_none_040324</v>
      </c>
      <c r="S397" s="67" t="str">
        <f>IFERROR(__xludf.DUMMYFUNCTION("""COMPUTED_VALUE"""),"saletructiep_Europe.PTDVN.1840.giaotiep_PTATT_LD153")</f>
        <v>saletructiep_Europe.PTDVN.1840.giaotiep_PTATT_LD153</v>
      </c>
      <c r="T397" s="107" t="str">
        <f>IFERROR(__xludf.DUMMYFUNCTION("""COMPUTED_VALUE"""),"https://patadovietnam.edu.vn/tienganhgiaotiep_hn/?utm_source=Facebook&amp;utm_medium=CVS&amp;utm_term=NEW_Europe_1840_none_040324&amp;utm_content=saletructiep_Europe.PTDVN.1840.giaotiep_PTATT_LD153&amp;utm_campaign=Europe.giaotiep.PTDVN_16917_CVS_NamNH_040324")</f>
        <v>https://patadovietnam.edu.vn/tienganhgiaotiep_hn/?utm_source=Facebook&amp;utm_medium=CVS&amp;utm_term=NEW_Europe_1840_none_040324&amp;utm_content=saletructiep_Europe.PTDVN.1840.giaotiep_PTATT_LD153&amp;utm_campaign=Europe.giaotiep.PTDVN_16917_CVS_NamNH_040324</v>
      </c>
      <c r="U397" s="110" t="s">
        <v>3636</v>
      </c>
    </row>
    <row r="398">
      <c r="A398" s="72">
        <v>45355.0</v>
      </c>
      <c r="B398" s="75" t="s">
        <v>1229</v>
      </c>
      <c r="C398" s="67" t="str">
        <f>IFERROR(__xludf.DUMMYFUNCTION("""COMPUTED_VALUE"""),"LD164")</f>
        <v>LD164</v>
      </c>
      <c r="D398" s="114" t="s">
        <v>42</v>
      </c>
      <c r="E398" s="114" t="s">
        <v>69</v>
      </c>
      <c r="F398" s="114" t="s">
        <v>133</v>
      </c>
      <c r="G398" s="114">
        <v>1840.0</v>
      </c>
      <c r="H398" s="114" t="s">
        <v>1137</v>
      </c>
      <c r="I398" s="115" t="s">
        <v>3637</v>
      </c>
      <c r="J398" s="55" t="s">
        <v>3638</v>
      </c>
      <c r="K398" s="55" t="s">
        <v>61</v>
      </c>
      <c r="L398" s="55">
        <v>16917.0</v>
      </c>
      <c r="M398" s="55" t="s">
        <v>78</v>
      </c>
      <c r="N398" s="55" t="s">
        <v>69</v>
      </c>
      <c r="O398" s="55" t="s">
        <v>224</v>
      </c>
      <c r="P398" s="55" t="s">
        <v>110</v>
      </c>
      <c r="Q398" s="67" t="str">
        <f>IFERROR(__xludf.DUMMYFUNCTION("""COMPUTED_VALUE"""),"Japan.giaotiep.DCLT_16917_CVS_NamNH_040324")</f>
        <v>Japan.giaotiep.DCLT_16917_CVS_NamNH_040324</v>
      </c>
      <c r="R398" s="67" t="str">
        <f>IFERROR(__xludf.DUMMYFUNCTION("""COMPUTED_VALUE"""),"NEW_Japan_1840_none_040324")</f>
        <v>NEW_Japan_1840_none_040324</v>
      </c>
      <c r="S398" s="67" t="str">
        <f>IFERROR(__xludf.DUMMYFUNCTION("""COMPUTED_VALUE"""),"saletructiep_Japan.DCLT.1840.giaotiep_PTATT_LD164")</f>
        <v>saletructiep_Japan.DCLT.1840.giaotiep_PTATT_LD164</v>
      </c>
      <c r="T398" s="107" t="str">
        <f>IFERROR(__xludf.DUMMYFUNCTION("""COMPUTED_VALUE"""),"https://patadovietnam.edu.vn/gtjapan_nhn3/?utm_source=Facebook&amp;utm_medium=CVS&amp;utm_term=NEW_Japan_1840_none_040324&amp;utm_content=saletructiep_Japan.DCLT.1840.giaotiep_PTATT_LD164&amp;utm_campaign=Japan.giaotiep.DCLT_16917_CVS_NamNH_040324")</f>
        <v>https://patadovietnam.edu.vn/gtjapan_nhn3/?utm_source=Facebook&amp;utm_medium=CVS&amp;utm_term=NEW_Japan_1840_none_040324&amp;utm_content=saletructiep_Japan.DCLT.1840.giaotiep_PTATT_LD164&amp;utm_campaign=Japan.giaotiep.DCLT_16917_CVS_NamNH_040324</v>
      </c>
      <c r="U398" s="110" t="s">
        <v>3644</v>
      </c>
    </row>
    <row r="399">
      <c r="A399" s="72">
        <v>45355.0</v>
      </c>
      <c r="B399" s="75" t="s">
        <v>1134</v>
      </c>
      <c r="C399" s="67" t="str">
        <f>IFERROR(__xludf.DUMMYFUNCTION("""COMPUTED_VALUE"""),"LD153")</f>
        <v>LD153</v>
      </c>
      <c r="D399" s="114" t="s">
        <v>42</v>
      </c>
      <c r="E399" s="114" t="s">
        <v>69</v>
      </c>
      <c r="F399" s="114" t="s">
        <v>674</v>
      </c>
      <c r="G399" s="114">
        <v>1840.0</v>
      </c>
      <c r="H399" s="114" t="s">
        <v>1137</v>
      </c>
      <c r="I399" s="115" t="s">
        <v>3650</v>
      </c>
      <c r="J399" s="55" t="s">
        <v>3651</v>
      </c>
      <c r="K399" s="55" t="s">
        <v>61</v>
      </c>
      <c r="L399" s="55">
        <v>16917.0</v>
      </c>
      <c r="M399" s="55" t="s">
        <v>78</v>
      </c>
      <c r="N399" s="55" t="s">
        <v>69</v>
      </c>
      <c r="O399" s="55" t="s">
        <v>224</v>
      </c>
      <c r="P399" s="55" t="s">
        <v>110</v>
      </c>
      <c r="Q399" s="67" t="str">
        <f>IFERROR(__xludf.DUMMYFUNCTION("""COMPUTED_VALUE"""),"Europe.giaotiep.DCLT_16917_CVS_NamNH_040324")</f>
        <v>Europe.giaotiep.DCLT_16917_CVS_NamNH_040324</v>
      </c>
      <c r="R399" s="67" t="str">
        <f>IFERROR(__xludf.DUMMYFUNCTION("""COMPUTED_VALUE"""),"NEW_Europe_1840_none_040324")</f>
        <v>NEW_Europe_1840_none_040324</v>
      </c>
      <c r="S399" s="67" t="str">
        <f>IFERROR(__xludf.DUMMYFUNCTION("""COMPUTED_VALUE"""),"saletructiep_Europe.DCLT.1840.giaotiep_PTATT_LD153")</f>
        <v>saletructiep_Europe.DCLT.1840.giaotiep_PTATT_LD153</v>
      </c>
      <c r="T399" s="107" t="str">
        <f>IFERROR(__xludf.DUMMYFUNCTION("""COMPUTED_VALUE"""),"https://patadovietnam.edu.vn/tienganhgiaotiep_hn/?utm_source=Facebook&amp;utm_medium=CVS&amp;utm_term=NEW_Europe_1840_none_040324&amp;utm_content=saletructiep_Europe.DCLT.1840.giaotiep_PTATT_LD153&amp;utm_campaign=Europe.giaotiep.DCLT_16917_CVS_NamNH_040324")</f>
        <v>https://patadovietnam.edu.vn/tienganhgiaotiep_hn/?utm_source=Facebook&amp;utm_medium=CVS&amp;utm_term=NEW_Europe_1840_none_040324&amp;utm_content=saletructiep_Europe.DCLT.1840.giaotiep_PTATT_LD153&amp;utm_campaign=Europe.giaotiep.DCLT_16917_CVS_NamNH_040324</v>
      </c>
      <c r="U399" s="110" t="s">
        <v>3655</v>
      </c>
    </row>
    <row r="400">
      <c r="A400" s="72">
        <v>45355.0</v>
      </c>
      <c r="B400" s="75" t="s">
        <v>1229</v>
      </c>
      <c r="C400" s="67" t="str">
        <f>IFERROR(__xludf.DUMMYFUNCTION("""COMPUTED_VALUE"""),"LD164")</f>
        <v>LD164</v>
      </c>
      <c r="D400" s="114" t="s">
        <v>42</v>
      </c>
      <c r="E400" s="114" t="s">
        <v>69</v>
      </c>
      <c r="F400" s="114" t="s">
        <v>133</v>
      </c>
      <c r="G400" s="114">
        <v>1840.0</v>
      </c>
      <c r="H400" s="114" t="s">
        <v>1137</v>
      </c>
      <c r="I400" s="115" t="s">
        <v>3656</v>
      </c>
      <c r="J400" s="55" t="s">
        <v>3657</v>
      </c>
      <c r="K400" s="55" t="s">
        <v>61</v>
      </c>
      <c r="L400" s="55">
        <v>16917.0</v>
      </c>
      <c r="M400" s="55" t="s">
        <v>78</v>
      </c>
      <c r="N400" s="55" t="s">
        <v>69</v>
      </c>
      <c r="O400" s="55" t="s">
        <v>224</v>
      </c>
      <c r="P400" s="55" t="s">
        <v>110</v>
      </c>
      <c r="Q400" s="67" t="str">
        <f>IFERROR(__xludf.DUMMYFUNCTION("""COMPUTED_VALUE"""),"Japan.giaotiep.TBMLJP_16917_CVS_NamNH_040324")</f>
        <v>Japan.giaotiep.TBMLJP_16917_CVS_NamNH_040324</v>
      </c>
      <c r="R400" s="67" t="str">
        <f>IFERROR(__xludf.DUMMYFUNCTION("""COMPUTED_VALUE"""),"NEW_Japan_1840_none_040324")</f>
        <v>NEW_Japan_1840_none_040324</v>
      </c>
      <c r="S400" s="67" t="str">
        <f>IFERROR(__xludf.DUMMYFUNCTION("""COMPUTED_VALUE"""),"saletructiep_Japan.TBMLJP.1840.giaotiep_PTATT_LD164")</f>
        <v>saletructiep_Japan.TBMLJP.1840.giaotiep_PTATT_LD164</v>
      </c>
      <c r="T400" s="107" t="str">
        <f>IFERROR(__xludf.DUMMYFUNCTION("""COMPUTED_VALUE"""),"https://patadovietnam.edu.vn/gtjapan_nhn3/?utm_source=Facebook&amp;utm_medium=CVS&amp;utm_term=NEW_Japan_1840_none_040324&amp;utm_content=saletructiep_Japan.TBMLJP.1840.giaotiep_PTATT_LD164&amp;utm_campaign=Japan.giaotiep.TBMLJP_16917_CVS_NamNH_040324")</f>
        <v>https://patadovietnam.edu.vn/gtjapan_nhn3/?utm_source=Facebook&amp;utm_medium=CVS&amp;utm_term=NEW_Japan_1840_none_040324&amp;utm_content=saletructiep_Japan.TBMLJP.1840.giaotiep_PTATT_LD164&amp;utm_campaign=Japan.giaotiep.TBMLJP_16917_CVS_NamNH_040324</v>
      </c>
      <c r="U400" s="110" t="s">
        <v>2836</v>
      </c>
    </row>
    <row r="401">
      <c r="A401" s="72">
        <v>45355.0</v>
      </c>
      <c r="B401" s="75" t="s">
        <v>1134</v>
      </c>
      <c r="C401" s="67" t="str">
        <f>IFERROR(__xludf.DUMMYFUNCTION("""COMPUTED_VALUE"""),"LD153")</f>
        <v>LD153</v>
      </c>
      <c r="D401" s="114" t="s">
        <v>42</v>
      </c>
      <c r="E401" s="114" t="s">
        <v>69</v>
      </c>
      <c r="F401" s="114" t="s">
        <v>539</v>
      </c>
      <c r="G401" s="114">
        <v>1840.0</v>
      </c>
      <c r="H401" s="114" t="s">
        <v>1137</v>
      </c>
      <c r="I401" s="115" t="s">
        <v>3663</v>
      </c>
      <c r="J401" s="55" t="s">
        <v>3664</v>
      </c>
      <c r="K401" s="55" t="s">
        <v>61</v>
      </c>
      <c r="L401" s="55">
        <v>16917.0</v>
      </c>
      <c r="M401" s="55" t="s">
        <v>78</v>
      </c>
      <c r="N401" s="55" t="s">
        <v>69</v>
      </c>
      <c r="O401" s="55" t="s">
        <v>224</v>
      </c>
      <c r="P401" s="55" t="s">
        <v>110</v>
      </c>
      <c r="Q401" s="67" t="str">
        <f>IFERROR(__xludf.DUMMYFUNCTION("""COMPUTED_VALUE"""),"ALL.giaotiep.DCLT_16917_CVS_NamNH_040324")</f>
        <v>ALL.giaotiep.DCLT_16917_CVS_NamNH_040324</v>
      </c>
      <c r="R401" s="67" t="str">
        <f>IFERROR(__xludf.DUMMYFUNCTION("""COMPUTED_VALUE"""),"NEW_ALL_1840_none_040324")</f>
        <v>NEW_ALL_1840_none_040324</v>
      </c>
      <c r="S401" s="67" t="str">
        <f>IFERROR(__xludf.DUMMYFUNCTION("""COMPUTED_VALUE"""),"saletructiep_ALL.DCLT.1840.giaotiep_PTATT_LD153")</f>
        <v>saletructiep_ALL.DCLT.1840.giaotiep_PTATT_LD153</v>
      </c>
      <c r="T401" s="107" t="str">
        <f>IFERROR(__xludf.DUMMYFUNCTION("""COMPUTED_VALUE"""),"https://patadovietnam.edu.vn/tienganhgiaotiep_hn/?utm_source=Facebook&amp;utm_medium=CVS&amp;utm_term=NEW_ALL_1840_none_040324&amp;utm_content=saletructiep_ALL.DCLT.1840.giaotiep_PTATT_LD153&amp;utm_campaign=ALL.giaotiep.DCLT_16917_CVS_NamNH_040324")</f>
        <v>https://patadovietnam.edu.vn/tienganhgiaotiep_hn/?utm_source=Facebook&amp;utm_medium=CVS&amp;utm_term=NEW_ALL_1840_none_040324&amp;utm_content=saletructiep_ALL.DCLT.1840.giaotiep_PTATT_LD153&amp;utm_campaign=ALL.giaotiep.DCLT_16917_CVS_NamNH_040324</v>
      </c>
      <c r="U401" s="110" t="s">
        <v>3668</v>
      </c>
    </row>
    <row r="402">
      <c r="A402" s="72">
        <v>45355.0</v>
      </c>
      <c r="B402" s="75" t="s">
        <v>1134</v>
      </c>
      <c r="C402" s="67" t="str">
        <f>IFERROR(__xludf.DUMMYFUNCTION("""COMPUTED_VALUE"""),"LD153")</f>
        <v>LD153</v>
      </c>
      <c r="D402" s="114" t="s">
        <v>42</v>
      </c>
      <c r="E402" s="114" t="s">
        <v>69</v>
      </c>
      <c r="F402" s="114" t="s">
        <v>133</v>
      </c>
      <c r="G402" s="114">
        <v>1840.0</v>
      </c>
      <c r="H402" s="114" t="s">
        <v>1137</v>
      </c>
      <c r="I402" s="115" t="s">
        <v>3672</v>
      </c>
      <c r="J402" s="55" t="s">
        <v>3673</v>
      </c>
      <c r="K402" s="55" t="s">
        <v>61</v>
      </c>
      <c r="L402" s="55">
        <v>16917.0</v>
      </c>
      <c r="M402" s="55" t="s">
        <v>78</v>
      </c>
      <c r="N402" s="55" t="s">
        <v>69</v>
      </c>
      <c r="O402" s="55" t="s">
        <v>224</v>
      </c>
      <c r="P402" s="55" t="s">
        <v>110</v>
      </c>
      <c r="Q402" s="67" t="str">
        <f>IFERROR(__xludf.DUMMYFUNCTION("""COMPUTED_VALUE"""),"Japan.giaotiep.TANDL_16917_CVS_NamNH_040324")</f>
        <v>Japan.giaotiep.TANDL_16917_CVS_NamNH_040324</v>
      </c>
      <c r="R402" s="67" t="str">
        <f>IFERROR(__xludf.DUMMYFUNCTION("""COMPUTED_VALUE"""),"NEW_Japan_1840_none_040324")</f>
        <v>NEW_Japan_1840_none_040324</v>
      </c>
      <c r="S402" s="67" t="str">
        <f>IFERROR(__xludf.DUMMYFUNCTION("""COMPUTED_VALUE"""),"saletructiep_Japan.TANDL.1840.giaotiep_PTATT_LD153")</f>
        <v>saletructiep_Japan.TANDL.1840.giaotiep_PTATT_LD153</v>
      </c>
      <c r="T402" s="107" t="str">
        <f>IFERROR(__xludf.DUMMYFUNCTION("""COMPUTED_VALUE"""),"https://patadovietnam.edu.vn/tienganhgiaotiep_hn/?utm_source=Facebook&amp;utm_medium=CVS&amp;utm_term=NEW_Japan_1840_none_040324&amp;utm_content=saletructiep_Japan.TANDL.1840.giaotiep_PTATT_LD153&amp;utm_campaign=Japan.giaotiep.TANDL_16917_CVS_NamNH_040324")</f>
        <v>https://patadovietnam.edu.vn/tienganhgiaotiep_hn/?utm_source=Facebook&amp;utm_medium=CVS&amp;utm_term=NEW_Japan_1840_none_040324&amp;utm_content=saletructiep_Japan.TANDL.1840.giaotiep_PTATT_LD153&amp;utm_campaign=Japan.giaotiep.TANDL_16917_CVS_NamNH_040324</v>
      </c>
      <c r="U402" s="110" t="s">
        <v>3675</v>
      </c>
    </row>
    <row r="403">
      <c r="A403" s="72">
        <v>45357.0</v>
      </c>
      <c r="B403" s="75" t="s">
        <v>1245</v>
      </c>
      <c r="C403" s="67" t="str">
        <f>IFERROR(__xludf.DUMMYFUNCTION("""COMPUTED_VALUE"""),"LD161")</f>
        <v>LD161</v>
      </c>
      <c r="D403" s="55" t="s">
        <v>42</v>
      </c>
      <c r="E403" s="55" t="s">
        <v>79</v>
      </c>
      <c r="F403" s="55" t="s">
        <v>107</v>
      </c>
      <c r="G403" s="55">
        <v>1840.0</v>
      </c>
      <c r="H403" s="55" t="s">
        <v>1137</v>
      </c>
      <c r="I403" s="115" t="s">
        <v>3677</v>
      </c>
      <c r="J403" s="55" t="s">
        <v>3678</v>
      </c>
      <c r="K403" s="55" t="s">
        <v>61</v>
      </c>
      <c r="L403" s="55">
        <v>16917.0</v>
      </c>
      <c r="M403" s="55" t="s">
        <v>78</v>
      </c>
      <c r="N403" s="55" t="s">
        <v>79</v>
      </c>
      <c r="O403" s="55" t="s">
        <v>224</v>
      </c>
      <c r="P403" s="55" t="s">
        <v>110</v>
      </c>
      <c r="Q403" s="67" t="str">
        <f>IFERROR(__xludf.DUMMYFUNCTION("""COMPUTED_VALUE"""),"UnitedStates.giaotiep.DCLT_16917_MES_NamNH_060324")</f>
        <v>UnitedStates.giaotiep.DCLT_16917_MES_NamNH_060324</v>
      </c>
      <c r="R403" s="67" t="str">
        <f>IFERROR(__xludf.DUMMYFUNCTION("""COMPUTED_VALUE"""),"NEW_UnitedStates_1840_none_060324")</f>
        <v>NEW_UnitedStates_1840_none_060324</v>
      </c>
      <c r="S403" s="67" t="str">
        <f>IFERROR(__xludf.DUMMYFUNCTION("""COMPUTED_VALUE"""),"saletructiep_UnitedStates.DCLT.1840.giaotiep_PTATT_LD161")</f>
        <v>saletructiep_UnitedStates.DCLT.1840.giaotiep_PTATT_LD161</v>
      </c>
      <c r="T403" s="107" t="str">
        <f>IFERROR(__xludf.DUMMYFUNCTION("""COMPUTED_VALUE"""),"https://patadovietnam.edu.vn/gtusa1_nhn/?utm_source=Facebook&amp;utm_medium=MES&amp;utm_term=NEW_UnitedStates_1840_none_060324&amp;utm_content=saletructiep_UnitedStates.DCLT.1840.giaotiep_PTATT_LD161&amp;utm_campaign=UnitedStates.giaotiep.DCLT_16917_MES_NamNH_060324")</f>
        <v>https://patadovietnam.edu.vn/gtusa1_nhn/?utm_source=Facebook&amp;utm_medium=MES&amp;utm_term=NEW_UnitedStates_1840_none_060324&amp;utm_content=saletructiep_UnitedStates.DCLT.1840.giaotiep_PTATT_LD161&amp;utm_campaign=UnitedStates.giaotiep.DCLT_16917_MES_NamNH_060324</v>
      </c>
      <c r="U403" s="110" t="s">
        <v>3681</v>
      </c>
    </row>
    <row r="404">
      <c r="A404" s="72">
        <v>45357.0</v>
      </c>
      <c r="B404" s="75" t="s">
        <v>1245</v>
      </c>
      <c r="C404" s="67" t="str">
        <f>IFERROR(__xludf.DUMMYFUNCTION("""COMPUTED_VALUE"""),"LD161")</f>
        <v>LD161</v>
      </c>
      <c r="D404" s="55" t="s">
        <v>42</v>
      </c>
      <c r="E404" s="55" t="s">
        <v>79</v>
      </c>
      <c r="F404" s="55" t="s">
        <v>107</v>
      </c>
      <c r="G404" s="55">
        <v>1840.0</v>
      </c>
      <c r="H404" s="55" t="s">
        <v>1137</v>
      </c>
      <c r="I404" s="115" t="s">
        <v>3685</v>
      </c>
      <c r="J404" s="55" t="s">
        <v>3686</v>
      </c>
      <c r="K404" s="55" t="s">
        <v>61</v>
      </c>
      <c r="L404" s="55">
        <v>16917.0</v>
      </c>
      <c r="M404" s="55" t="s">
        <v>78</v>
      </c>
      <c r="N404" s="55" t="s">
        <v>79</v>
      </c>
      <c r="O404" s="55" t="s">
        <v>224</v>
      </c>
      <c r="P404" s="55" t="s">
        <v>110</v>
      </c>
      <c r="Q404" s="67" t="str">
        <f>IFERROR(__xludf.DUMMYFUNCTION("""COMPUTED_VALUE"""),"UnitedStates.giaotiep.TANDL_16917_MES_NamNH_060324")</f>
        <v>UnitedStates.giaotiep.TANDL_16917_MES_NamNH_060324</v>
      </c>
      <c r="R404" s="67" t="str">
        <f>IFERROR(__xludf.DUMMYFUNCTION("""COMPUTED_VALUE"""),"NEW_UnitedStates_1840_none_060324")</f>
        <v>NEW_UnitedStates_1840_none_060324</v>
      </c>
      <c r="S404" s="67" t="str">
        <f>IFERROR(__xludf.DUMMYFUNCTION("""COMPUTED_VALUE"""),"saletructiep_UnitedStates.TANDL.1840.giaotiep_PTATT_LD161")</f>
        <v>saletructiep_UnitedStates.TANDL.1840.giaotiep_PTATT_LD161</v>
      </c>
      <c r="T404" s="107" t="str">
        <f>IFERROR(__xludf.DUMMYFUNCTION("""COMPUTED_VALUE"""),"https://patadovietnam.edu.vn/gtusa1_nhn/?utm_source=Facebook&amp;utm_medium=MES&amp;utm_term=NEW_UnitedStates_1840_none_060324&amp;utm_content=saletructiep_UnitedStates.TANDL.1840.giaotiep_PTATT_LD161&amp;utm_campaign=UnitedStates.giaotiep.TANDL_16917_MES_NamNH_060324")</f>
        <v>https://patadovietnam.edu.vn/gtusa1_nhn/?utm_source=Facebook&amp;utm_medium=MES&amp;utm_term=NEW_UnitedStates_1840_none_060324&amp;utm_content=saletructiep_UnitedStates.TANDL.1840.giaotiep_PTATT_LD161&amp;utm_campaign=UnitedStates.giaotiep.TANDL_16917_MES_NamNH_060324</v>
      </c>
      <c r="U404" s="110" t="s">
        <v>3690</v>
      </c>
    </row>
    <row r="405">
      <c r="A405" s="72">
        <v>45357.0</v>
      </c>
      <c r="B405" s="75" t="s">
        <v>1134</v>
      </c>
      <c r="C405" s="67" t="str">
        <f>IFERROR(__xludf.DUMMYFUNCTION("""COMPUTED_VALUE"""),"LD153")</f>
        <v>LD153</v>
      </c>
      <c r="D405" s="55" t="s">
        <v>42</v>
      </c>
      <c r="E405" s="55" t="s">
        <v>69</v>
      </c>
      <c r="F405" s="55" t="s">
        <v>674</v>
      </c>
      <c r="G405" s="55">
        <v>1840.0</v>
      </c>
      <c r="H405" s="55" t="s">
        <v>1137</v>
      </c>
      <c r="I405" s="115" t="s">
        <v>3693</v>
      </c>
      <c r="J405" s="55" t="s">
        <v>3694</v>
      </c>
      <c r="K405" s="55" t="s">
        <v>61</v>
      </c>
      <c r="L405" s="55">
        <v>16917.0</v>
      </c>
      <c r="M405" s="55" t="s">
        <v>78</v>
      </c>
      <c r="N405" s="55" t="s">
        <v>69</v>
      </c>
      <c r="O405" s="55" t="s">
        <v>224</v>
      </c>
      <c r="P405" s="55" t="s">
        <v>110</v>
      </c>
      <c r="Q405" s="67" t="str">
        <f>IFERROR(__xludf.DUMMYFUNCTION("""COMPUTED_VALUE"""),"Europe.giaotiep.HSNL_16917_CVS_NamNH_060324")</f>
        <v>Europe.giaotiep.HSNL_16917_CVS_NamNH_060324</v>
      </c>
      <c r="R405" s="67" t="str">
        <f>IFERROR(__xludf.DUMMYFUNCTION("""COMPUTED_VALUE"""),"NEW_Europe_1840_none_060324")</f>
        <v>NEW_Europe_1840_none_060324</v>
      </c>
      <c r="S405" s="67" t="str">
        <f>IFERROR(__xludf.DUMMYFUNCTION("""COMPUTED_VALUE"""),"saletructiep_Europe.HSNL.1840.giaotiep_PTATT_LD153")</f>
        <v>saletructiep_Europe.HSNL.1840.giaotiep_PTATT_LD153</v>
      </c>
      <c r="T405" s="107" t="str">
        <f>IFERROR(__xludf.DUMMYFUNCTION("""COMPUTED_VALUE"""),"https://patadovietnam.edu.vn/tienganhgiaotiep_hn/?utm_source=Facebook&amp;utm_medium=CVS&amp;utm_term=NEW_Europe_1840_none_060324&amp;utm_content=saletructiep_Europe.HSNL.1840.giaotiep_PTATT_LD153&amp;utm_campaign=Europe.giaotiep.HSNL_16917_CVS_NamNH_060324")</f>
        <v>https://patadovietnam.edu.vn/tienganhgiaotiep_hn/?utm_source=Facebook&amp;utm_medium=CVS&amp;utm_term=NEW_Europe_1840_none_060324&amp;utm_content=saletructiep_Europe.HSNL.1840.giaotiep_PTATT_LD153&amp;utm_campaign=Europe.giaotiep.HSNL_16917_CVS_NamNH_060324</v>
      </c>
      <c r="U405" s="110" t="s">
        <v>3698</v>
      </c>
    </row>
    <row r="406">
      <c r="A406" s="72">
        <v>45357.0</v>
      </c>
      <c r="B406" s="75" t="s">
        <v>1134</v>
      </c>
      <c r="C406" s="67" t="str">
        <f>IFERROR(__xludf.DUMMYFUNCTION("""COMPUTED_VALUE"""),"LD153")</f>
        <v>LD153</v>
      </c>
      <c r="D406" s="55" t="s">
        <v>42</v>
      </c>
      <c r="E406" s="55" t="s">
        <v>69</v>
      </c>
      <c r="F406" s="55" t="s">
        <v>674</v>
      </c>
      <c r="G406" s="55">
        <v>1840.0</v>
      </c>
      <c r="H406" s="55" t="s">
        <v>1137</v>
      </c>
      <c r="I406" s="115" t="s">
        <v>3700</v>
      </c>
      <c r="J406" s="55" t="s">
        <v>3701</v>
      </c>
      <c r="K406" s="55" t="s">
        <v>61</v>
      </c>
      <c r="L406" s="55">
        <v>16917.0</v>
      </c>
      <c r="M406" s="55" t="s">
        <v>78</v>
      </c>
      <c r="N406" s="55" t="s">
        <v>69</v>
      </c>
      <c r="O406" s="55" t="s">
        <v>224</v>
      </c>
      <c r="P406" s="55" t="s">
        <v>110</v>
      </c>
      <c r="Q406" s="67" t="str">
        <f>IFERROR(__xludf.DUMMYFUNCTION("""COMPUTED_VALUE"""),"Europe.giaotiep.TANDL_16917_CVS_NamNH_060324")</f>
        <v>Europe.giaotiep.TANDL_16917_CVS_NamNH_060324</v>
      </c>
      <c r="R406" s="67" t="str">
        <f>IFERROR(__xludf.DUMMYFUNCTION("""COMPUTED_VALUE"""),"NEW_Europe_1840_none_060324")</f>
        <v>NEW_Europe_1840_none_060324</v>
      </c>
      <c r="S406" s="67" t="str">
        <f>IFERROR(__xludf.DUMMYFUNCTION("""COMPUTED_VALUE"""),"saletructiep_Europe.TANDL.1840.giaotiep_PTATT_LD153")</f>
        <v>saletructiep_Europe.TANDL.1840.giaotiep_PTATT_LD153</v>
      </c>
      <c r="T406" s="107" t="str">
        <f>IFERROR(__xludf.DUMMYFUNCTION("""COMPUTED_VALUE"""),"https://patadovietnam.edu.vn/tienganhgiaotiep_hn/?utm_source=Facebook&amp;utm_medium=CVS&amp;utm_term=NEW_Europe_1840_none_060324&amp;utm_content=saletructiep_Europe.TANDL.1840.giaotiep_PTATT_LD153&amp;utm_campaign=Europe.giaotiep.TANDL_16917_CVS_NamNH_060324")</f>
        <v>https://patadovietnam.edu.vn/tienganhgiaotiep_hn/?utm_source=Facebook&amp;utm_medium=CVS&amp;utm_term=NEW_Europe_1840_none_060324&amp;utm_content=saletructiep_Europe.TANDL.1840.giaotiep_PTATT_LD153&amp;utm_campaign=Europe.giaotiep.TANDL_16917_CVS_NamNH_060324</v>
      </c>
      <c r="U406" s="110" t="s">
        <v>3704</v>
      </c>
    </row>
    <row r="407">
      <c r="A407" s="72">
        <v>45357.0</v>
      </c>
      <c r="B407" s="75" t="s">
        <v>1134</v>
      </c>
      <c r="C407" s="67" t="str">
        <f>IFERROR(__xludf.DUMMYFUNCTION("""COMPUTED_VALUE"""),"LD153")</f>
        <v>LD153</v>
      </c>
      <c r="D407" s="55" t="s">
        <v>42</v>
      </c>
      <c r="E407" s="55" t="s">
        <v>69</v>
      </c>
      <c r="F407" s="55" t="s">
        <v>674</v>
      </c>
      <c r="G407" s="55">
        <v>1840.0</v>
      </c>
      <c r="H407" s="55" t="s">
        <v>1137</v>
      </c>
      <c r="I407" s="115" t="s">
        <v>3709</v>
      </c>
      <c r="J407" s="55" t="s">
        <v>3710</v>
      </c>
      <c r="K407" s="55" t="s">
        <v>61</v>
      </c>
      <c r="L407" s="55">
        <v>16917.0</v>
      </c>
      <c r="M407" s="55" t="s">
        <v>78</v>
      </c>
      <c r="N407" s="55" t="s">
        <v>69</v>
      </c>
      <c r="O407" s="55" t="s">
        <v>224</v>
      </c>
      <c r="P407" s="55" t="s">
        <v>110</v>
      </c>
      <c r="Q407" s="67" t="str">
        <f>IFERROR(__xludf.DUMMYFUNCTION("""COMPUTED_VALUE"""),"Europe.giaotiep.LKG2_16917_CVS_NamNH_060324")</f>
        <v>Europe.giaotiep.LKG2_16917_CVS_NamNH_060324</v>
      </c>
      <c r="R407" s="67" t="str">
        <f>IFERROR(__xludf.DUMMYFUNCTION("""COMPUTED_VALUE"""),"NEW_Europe_1840_none_060324")</f>
        <v>NEW_Europe_1840_none_060324</v>
      </c>
      <c r="S407" s="67" t="str">
        <f>IFERROR(__xludf.DUMMYFUNCTION("""COMPUTED_VALUE"""),"saletructiep_Europe.LKG2.1840.giaotiep_PTATT_LD153")</f>
        <v>saletructiep_Europe.LKG2.1840.giaotiep_PTATT_LD153</v>
      </c>
      <c r="T407" s="107" t="str">
        <f>IFERROR(__xludf.DUMMYFUNCTION("""COMPUTED_VALUE"""),"https://patadovietnam.edu.vn/tienganhgiaotiep_hn/?utm_source=Facebook&amp;utm_medium=CVS&amp;utm_term=NEW_Europe_1840_none_060324&amp;utm_content=saletructiep_Europe.LKG2.1840.giaotiep_PTATT_LD153&amp;utm_campaign=Europe.giaotiep.LKG2_16917_CVS_NamNH_060324")</f>
        <v>https://patadovietnam.edu.vn/tienganhgiaotiep_hn/?utm_source=Facebook&amp;utm_medium=CVS&amp;utm_term=NEW_Europe_1840_none_060324&amp;utm_content=saletructiep_Europe.LKG2.1840.giaotiep_PTATT_LD153&amp;utm_campaign=Europe.giaotiep.LKG2_16917_CVS_NamNH_060324</v>
      </c>
      <c r="U407" s="110" t="s">
        <v>3720</v>
      </c>
    </row>
    <row r="408">
      <c r="A408" s="72">
        <v>45359.0</v>
      </c>
      <c r="B408" s="75" t="s">
        <v>1245</v>
      </c>
      <c r="C408" s="67" t="str">
        <f>IFERROR(__xludf.DUMMYFUNCTION("""COMPUTED_VALUE"""),"LD161")</f>
        <v>LD161</v>
      </c>
      <c r="D408" s="55" t="s">
        <v>42</v>
      </c>
      <c r="E408" s="55" t="s">
        <v>79</v>
      </c>
      <c r="F408" s="55" t="s">
        <v>107</v>
      </c>
      <c r="G408" s="55">
        <v>1840.0</v>
      </c>
      <c r="H408" s="55" t="s">
        <v>1137</v>
      </c>
      <c r="I408" s="115" t="s">
        <v>3723</v>
      </c>
      <c r="J408" s="55" t="s">
        <v>3724</v>
      </c>
      <c r="K408" s="55" t="s">
        <v>61</v>
      </c>
      <c r="L408" s="55">
        <v>16917.0</v>
      </c>
      <c r="M408" s="55" t="s">
        <v>78</v>
      </c>
      <c r="N408" s="55" t="s">
        <v>79</v>
      </c>
      <c r="O408" s="55" t="s">
        <v>224</v>
      </c>
      <c r="P408" s="55" t="s">
        <v>110</v>
      </c>
      <c r="Q408" s="67" t="str">
        <f>IFERROR(__xludf.DUMMYFUNCTION("""COMPUTED_VALUE"""),"UnitedStates.giaotiep.DCLT1_16917_MES_NamNH_080324")</f>
        <v>UnitedStates.giaotiep.DCLT1_16917_MES_NamNH_080324</v>
      </c>
      <c r="R408" s="67" t="str">
        <f>IFERROR(__xludf.DUMMYFUNCTION("""COMPUTED_VALUE"""),"NEW_UnitedStates_1840_none_080324")</f>
        <v>NEW_UnitedStates_1840_none_080324</v>
      </c>
      <c r="S408" s="67" t="str">
        <f>IFERROR(__xludf.DUMMYFUNCTION("""COMPUTED_VALUE"""),"saletructiep_UnitedStates.DCLT1.1840.giaotiep_PTATT_LD161")</f>
        <v>saletructiep_UnitedStates.DCLT1.1840.giaotiep_PTATT_LD161</v>
      </c>
      <c r="T408" s="107" t="str">
        <f>IFERROR(__xludf.DUMMYFUNCTION("""COMPUTED_VALUE"""),"https://patadovietnam.edu.vn/gtusa1_nhn/?utm_source=Facebook&amp;utm_medium=MES&amp;utm_term=NEW_UnitedStates_1840_none_080324&amp;utm_content=saletructiep_UnitedStates.DCLT1.1840.giaotiep_PTATT_LD161&amp;utm_campaign=UnitedStates.giaotiep.DCLT1_16917_MES_NamNH_080324")</f>
        <v>https://patadovietnam.edu.vn/gtusa1_nhn/?utm_source=Facebook&amp;utm_medium=MES&amp;utm_term=NEW_UnitedStates_1840_none_080324&amp;utm_content=saletructiep_UnitedStates.DCLT1.1840.giaotiep_PTATT_LD161&amp;utm_campaign=UnitedStates.giaotiep.DCLT1_16917_MES_NamNH_080324</v>
      </c>
      <c r="U408" s="110" t="s">
        <v>3730</v>
      </c>
    </row>
    <row r="409">
      <c r="A409" s="72">
        <v>45359.0</v>
      </c>
      <c r="B409" s="75" t="s">
        <v>1245</v>
      </c>
      <c r="C409" s="67" t="str">
        <f>IFERROR(__xludf.DUMMYFUNCTION("""COMPUTED_VALUE"""),"LD161")</f>
        <v>LD161</v>
      </c>
      <c r="D409" s="55" t="s">
        <v>42</v>
      </c>
      <c r="E409" s="55" t="s">
        <v>79</v>
      </c>
      <c r="F409" s="55" t="s">
        <v>107</v>
      </c>
      <c r="G409" s="55">
        <v>1840.0</v>
      </c>
      <c r="H409" s="55" t="s">
        <v>1137</v>
      </c>
      <c r="I409" s="115" t="s">
        <v>3685</v>
      </c>
      <c r="J409" s="55" t="s">
        <v>3686</v>
      </c>
      <c r="K409" s="55" t="s">
        <v>61</v>
      </c>
      <c r="L409" s="55">
        <v>16917.0</v>
      </c>
      <c r="M409" s="55" t="s">
        <v>78</v>
      </c>
      <c r="N409" s="55" t="s">
        <v>79</v>
      </c>
      <c r="O409" s="55" t="s">
        <v>224</v>
      </c>
      <c r="P409" s="55" t="s">
        <v>110</v>
      </c>
      <c r="Q409" s="67" t="str">
        <f>IFERROR(__xludf.DUMMYFUNCTION("""COMPUTED_VALUE"""),"UnitedStates.giaotiep.TANDL_16917_MES_NamNH_080324")</f>
        <v>UnitedStates.giaotiep.TANDL_16917_MES_NamNH_080324</v>
      </c>
      <c r="R409" s="67" t="str">
        <f>IFERROR(__xludf.DUMMYFUNCTION("""COMPUTED_VALUE"""),"NEW_UnitedStates_1840_none_080324")</f>
        <v>NEW_UnitedStates_1840_none_080324</v>
      </c>
      <c r="S409" s="67" t="str">
        <f>IFERROR(__xludf.DUMMYFUNCTION("""COMPUTED_VALUE"""),"saletructiep_UnitedStates.TANDL.1840.giaotiep_PTATT_LD161")</f>
        <v>saletructiep_UnitedStates.TANDL.1840.giaotiep_PTATT_LD161</v>
      </c>
      <c r="T409" s="107" t="str">
        <f>IFERROR(__xludf.DUMMYFUNCTION("""COMPUTED_VALUE"""),"https://patadovietnam.edu.vn/gtusa1_nhn/?utm_source=Facebook&amp;utm_medium=MES&amp;utm_term=NEW_UnitedStates_1840_none_080324&amp;utm_content=saletructiep_UnitedStates.TANDL.1840.giaotiep_PTATT_LD161&amp;utm_campaign=UnitedStates.giaotiep.TANDL_16917_MES_NamNH_080324")</f>
        <v>https://patadovietnam.edu.vn/gtusa1_nhn/?utm_source=Facebook&amp;utm_medium=MES&amp;utm_term=NEW_UnitedStates_1840_none_080324&amp;utm_content=saletructiep_UnitedStates.TANDL.1840.giaotiep_PTATT_LD161&amp;utm_campaign=UnitedStates.giaotiep.TANDL_16917_MES_NamNH_080324</v>
      </c>
      <c r="U409" s="110" t="s">
        <v>3740</v>
      </c>
    </row>
    <row r="410">
      <c r="A410" s="72">
        <v>45359.0</v>
      </c>
      <c r="B410" s="75" t="s">
        <v>1134</v>
      </c>
      <c r="C410" s="67" t="str">
        <f>IFERROR(__xludf.DUMMYFUNCTION("""COMPUTED_VALUE"""),"LD153")</f>
        <v>LD153</v>
      </c>
      <c r="D410" s="55" t="s">
        <v>42</v>
      </c>
      <c r="E410" s="55" t="s">
        <v>79</v>
      </c>
      <c r="F410" s="55" t="s">
        <v>625</v>
      </c>
      <c r="G410" s="55">
        <v>1840.0</v>
      </c>
      <c r="H410" s="55" t="s">
        <v>1137</v>
      </c>
      <c r="I410" s="115" t="s">
        <v>3743</v>
      </c>
      <c r="J410" s="55" t="s">
        <v>3744</v>
      </c>
      <c r="K410" s="55" t="s">
        <v>61</v>
      </c>
      <c r="L410" s="55">
        <v>16917.0</v>
      </c>
      <c r="M410" s="55" t="s">
        <v>78</v>
      </c>
      <c r="N410" s="55" t="s">
        <v>79</v>
      </c>
      <c r="O410" s="55" t="s">
        <v>224</v>
      </c>
      <c r="P410" s="55" t="s">
        <v>110</v>
      </c>
      <c r="Q410" s="67" t="str">
        <f>IFERROR(__xludf.DUMMYFUNCTION("""COMPUTED_VALUE"""),"KoreaSouth.giaotiep.metatt_16917_MES_NamNH_080324")</f>
        <v>KoreaSouth.giaotiep.metatt_16917_MES_NamNH_080324</v>
      </c>
      <c r="R410" s="67" t="str">
        <f>IFERROR(__xludf.DUMMYFUNCTION("""COMPUTED_VALUE"""),"NEW_KoreaSouth_1840_none_080324")</f>
        <v>NEW_KoreaSouth_1840_none_080324</v>
      </c>
      <c r="S410" s="67" t="str">
        <f>IFERROR(__xludf.DUMMYFUNCTION("""COMPUTED_VALUE"""),"saletructiep_KoreaSouth.metatt.1840.giaotiep_PTATT_LD153")</f>
        <v>saletructiep_KoreaSouth.metatt.1840.giaotiep_PTATT_LD153</v>
      </c>
      <c r="T410" s="107" t="str">
        <f>IFERROR(__xludf.DUMMYFUNCTION("""COMPUTED_VALUE"""),"https://patadovietnam.edu.vn/tienganhgiaotiep_hn/?utm_source=Facebook&amp;utm_medium=MES&amp;utm_term=NEW_KoreaSouth_1840_none_080324&amp;utm_content=saletructiep_KoreaSouth.metatt.1840.giaotiep_PTATT_LD153&amp;utm_campaign=KoreaSouth.giaotiep.metatt_16917_MES_NamNH_0803"&amp;"24")</f>
        <v>https://patadovietnam.edu.vn/tienganhgiaotiep_hn/?utm_source=Facebook&amp;utm_medium=MES&amp;utm_term=NEW_KoreaSouth_1840_none_080324&amp;utm_content=saletructiep_KoreaSouth.metatt.1840.giaotiep_PTATT_LD153&amp;utm_campaign=KoreaSouth.giaotiep.metatt_16917_MES_NamNH_080324</v>
      </c>
      <c r="U410" s="110" t="s">
        <v>3749</v>
      </c>
    </row>
    <row r="411">
      <c r="A411" s="72">
        <v>45368.0</v>
      </c>
      <c r="B411" s="75" t="s">
        <v>1229</v>
      </c>
      <c r="C411" s="67" t="str">
        <f>IFERROR(__xludf.DUMMYFUNCTION("""COMPUTED_VALUE"""),"LD164")</f>
        <v>LD164</v>
      </c>
      <c r="D411" s="114" t="s">
        <v>42</v>
      </c>
      <c r="E411" s="114" t="s">
        <v>69</v>
      </c>
      <c r="F411" s="114" t="s">
        <v>133</v>
      </c>
      <c r="G411" s="114">
        <v>1840.0</v>
      </c>
      <c r="H411" s="114" t="s">
        <v>1137</v>
      </c>
      <c r="I411" s="115" t="s">
        <v>3752</v>
      </c>
      <c r="J411" s="55" t="s">
        <v>3753</v>
      </c>
      <c r="K411" s="55" t="s">
        <v>61</v>
      </c>
      <c r="L411" s="55">
        <v>16917.0</v>
      </c>
      <c r="M411" s="55" t="s">
        <v>78</v>
      </c>
      <c r="N411" s="55" t="s">
        <v>69</v>
      </c>
      <c r="O411" s="55" t="s">
        <v>224</v>
      </c>
      <c r="P411" s="55" t="s">
        <v>110</v>
      </c>
      <c r="Q411" s="67" t="str">
        <f>IFERROR(__xludf.DUMMYFUNCTION("""COMPUTED_VALUE"""),"Japan.giaotiep.HTKOC_16917_CVS_NamNH_170324")</f>
        <v>Japan.giaotiep.HTKOC_16917_CVS_NamNH_170324</v>
      </c>
      <c r="R411" s="67" t="str">
        <f>IFERROR(__xludf.DUMMYFUNCTION("""COMPUTED_VALUE"""),"NEW_Japan_1840_none_170324")</f>
        <v>NEW_Japan_1840_none_170324</v>
      </c>
      <c r="S411" s="67" t="str">
        <f>IFERROR(__xludf.DUMMYFUNCTION("""COMPUTED_VALUE"""),"saletructiep_Japan.HTKOC.1840.giaotiep_PTATT_LD164")</f>
        <v>saletructiep_Japan.HTKOC.1840.giaotiep_PTATT_LD164</v>
      </c>
      <c r="T411" s="107" t="str">
        <f>IFERROR(__xludf.DUMMYFUNCTION("""COMPUTED_VALUE"""),"https://patadovietnam.edu.vn/gtjapan_nhn3/?utm_source=Facebook&amp;utm_medium=CVS&amp;utm_term=NEW_Japan_1840_none_170324&amp;utm_content=saletructiep_Japan.HTKOC.1840.giaotiep_PTATT_LD164&amp;utm_campaign=Japan.giaotiep.HTKOC_16917_CVS_NamNH_170324")</f>
        <v>https://patadovietnam.edu.vn/gtjapan_nhn3/?utm_source=Facebook&amp;utm_medium=CVS&amp;utm_term=NEW_Japan_1840_none_170324&amp;utm_content=saletructiep_Japan.HTKOC.1840.giaotiep_PTATT_LD164&amp;utm_campaign=Japan.giaotiep.HTKOC_16917_CVS_NamNH_170324</v>
      </c>
      <c r="U411" s="110" t="s">
        <v>3756</v>
      </c>
    </row>
    <row r="412">
      <c r="A412" s="72">
        <v>45368.0</v>
      </c>
      <c r="B412" s="75" t="s">
        <v>1134</v>
      </c>
      <c r="C412" s="67" t="str">
        <f>IFERROR(__xludf.DUMMYFUNCTION("""COMPUTED_VALUE"""),"LD153")</f>
        <v>LD153</v>
      </c>
      <c r="D412" s="55" t="s">
        <v>42</v>
      </c>
      <c r="E412" s="55" t="s">
        <v>79</v>
      </c>
      <c r="F412" s="55" t="s">
        <v>174</v>
      </c>
      <c r="G412" s="55">
        <v>1840.0</v>
      </c>
      <c r="H412" s="55" t="s">
        <v>1137</v>
      </c>
      <c r="I412" s="115" t="s">
        <v>3757</v>
      </c>
      <c r="J412" s="55" t="s">
        <v>3758</v>
      </c>
      <c r="K412" s="55" t="s">
        <v>61</v>
      </c>
      <c r="L412" s="55">
        <v>95360.0</v>
      </c>
      <c r="M412" s="55" t="s">
        <v>78</v>
      </c>
      <c r="N412" s="55" t="s">
        <v>79</v>
      </c>
      <c r="O412" s="55" t="s">
        <v>224</v>
      </c>
      <c r="P412" s="55" t="s">
        <v>110</v>
      </c>
      <c r="Q412" s="67" t="str">
        <f>IFERROR(__xludf.DUMMYFUNCTION("""COMPUTED_VALUE"""),"Philippines.giaotiep.HTKOC_95360_MES_NamNH_170324")</f>
        <v>Philippines.giaotiep.HTKOC_95360_MES_NamNH_170324</v>
      </c>
      <c r="R412" s="67" t="str">
        <f>IFERROR(__xludf.DUMMYFUNCTION("""COMPUTED_VALUE"""),"NEW_Philippines_1840_none_170324")</f>
        <v>NEW_Philippines_1840_none_170324</v>
      </c>
      <c r="S412" s="67" t="str">
        <f>IFERROR(__xludf.DUMMYFUNCTION("""COMPUTED_VALUE"""),"saletructiep_Philippines.HTKOC.1840.giaotiep_PTATT_LD153")</f>
        <v>saletructiep_Philippines.HTKOC.1840.giaotiep_PTATT_LD153</v>
      </c>
      <c r="T412" s="107" t="str">
        <f>IFERROR(__xludf.DUMMYFUNCTION("""COMPUTED_VALUE"""),"https://patadovietnam.edu.vn/tienganhgiaotiep_hn/?utm_source=Facebook&amp;utm_medium=MES&amp;utm_term=NEW_Philippines_1840_none_170324&amp;utm_content=saletructiep_Philippines.HTKOC.1840.giaotiep_PTATT_LD153&amp;utm_campaign=Philippines.giaotiep.HTKOC_95360_MES_NamNH_170"&amp;"324")</f>
        <v>https://patadovietnam.edu.vn/tienganhgiaotiep_hn/?utm_source=Facebook&amp;utm_medium=MES&amp;utm_term=NEW_Philippines_1840_none_170324&amp;utm_content=saletructiep_Philippines.HTKOC.1840.giaotiep_PTATT_LD153&amp;utm_campaign=Philippines.giaotiep.HTKOC_95360_MES_NamNH_170324</v>
      </c>
      <c r="U412" s="110" t="s">
        <v>3762</v>
      </c>
    </row>
    <row r="413">
      <c r="A413" s="72">
        <v>45368.0</v>
      </c>
      <c r="B413" s="75" t="s">
        <v>1134</v>
      </c>
      <c r="C413" s="67" t="str">
        <f>IFERROR(__xludf.DUMMYFUNCTION("""COMPUTED_VALUE"""),"LD153")</f>
        <v>LD153</v>
      </c>
      <c r="D413" s="55" t="s">
        <v>42</v>
      </c>
      <c r="E413" s="55" t="s">
        <v>79</v>
      </c>
      <c r="F413" s="55" t="s">
        <v>625</v>
      </c>
      <c r="G413" s="55">
        <v>1840.0</v>
      </c>
      <c r="H413" s="55" t="s">
        <v>1137</v>
      </c>
      <c r="I413" s="115" t="s">
        <v>3763</v>
      </c>
      <c r="J413" s="55" t="s">
        <v>3764</v>
      </c>
      <c r="K413" s="55" t="s">
        <v>61</v>
      </c>
      <c r="L413" s="55">
        <v>95360.0</v>
      </c>
      <c r="M413" s="55" t="s">
        <v>78</v>
      </c>
      <c r="N413" s="55" t="s">
        <v>79</v>
      </c>
      <c r="O413" s="55" t="s">
        <v>224</v>
      </c>
      <c r="P413" s="55" t="s">
        <v>110</v>
      </c>
      <c r="Q413" s="67" t="str">
        <f>IFERROR(__xludf.DUMMYFUNCTION("""COMPUTED_VALUE"""),"KoreaSouth.giaotiep.HTKOC_95360_MES_NamNH_170324")</f>
        <v>KoreaSouth.giaotiep.HTKOC_95360_MES_NamNH_170324</v>
      </c>
      <c r="R413" s="67" t="str">
        <f>IFERROR(__xludf.DUMMYFUNCTION("""COMPUTED_VALUE"""),"NEW_KoreaSouth_1840_none_170324")</f>
        <v>NEW_KoreaSouth_1840_none_170324</v>
      </c>
      <c r="S413" s="67" t="str">
        <f>IFERROR(__xludf.DUMMYFUNCTION("""COMPUTED_VALUE"""),"saletructiep_KoreaSouth.HTKOC.1840.giaotiep_PTATT_LD153")</f>
        <v>saletructiep_KoreaSouth.HTKOC.1840.giaotiep_PTATT_LD153</v>
      </c>
      <c r="T413" s="107" t="str">
        <f>IFERROR(__xludf.DUMMYFUNCTION("""COMPUTED_VALUE"""),"https://patadovietnam.edu.vn/tienganhgiaotiep_hn/?utm_source=Facebook&amp;utm_medium=MES&amp;utm_term=NEW_KoreaSouth_1840_none_170324&amp;utm_content=saletructiep_KoreaSouth.HTKOC.1840.giaotiep_PTATT_LD153&amp;utm_campaign=KoreaSouth.giaotiep.HTKOC_95360_MES_NamNH_170324")</f>
        <v>https://patadovietnam.edu.vn/tienganhgiaotiep_hn/?utm_source=Facebook&amp;utm_medium=MES&amp;utm_term=NEW_KoreaSouth_1840_none_170324&amp;utm_content=saletructiep_KoreaSouth.HTKOC.1840.giaotiep_PTATT_LD153&amp;utm_campaign=KoreaSouth.giaotiep.HTKOC_95360_MES_NamNH_170324</v>
      </c>
      <c r="U413" s="110" t="s">
        <v>3769</v>
      </c>
    </row>
    <row r="414">
      <c r="A414" s="72">
        <v>45368.0</v>
      </c>
      <c r="B414" s="75" t="s">
        <v>1134</v>
      </c>
      <c r="C414" s="67" t="str">
        <f>IFERROR(__xludf.DUMMYFUNCTION("""COMPUTED_VALUE"""),"LD153")</f>
        <v>LD153</v>
      </c>
      <c r="D414" s="55" t="s">
        <v>42</v>
      </c>
      <c r="E414" s="55" t="s">
        <v>79</v>
      </c>
      <c r="F414" s="55" t="s">
        <v>129</v>
      </c>
      <c r="G414" s="55">
        <v>1840.0</v>
      </c>
      <c r="H414" s="55" t="s">
        <v>1137</v>
      </c>
      <c r="I414" s="115" t="s">
        <v>3770</v>
      </c>
      <c r="J414" s="55" t="s">
        <v>3771</v>
      </c>
      <c r="K414" s="55" t="s">
        <v>61</v>
      </c>
      <c r="L414" s="55">
        <v>95360.0</v>
      </c>
      <c r="M414" s="55" t="s">
        <v>78</v>
      </c>
      <c r="N414" s="55" t="s">
        <v>79</v>
      </c>
      <c r="O414" s="55" t="s">
        <v>224</v>
      </c>
      <c r="P414" s="55" t="s">
        <v>110</v>
      </c>
      <c r="Q414" s="67" t="str">
        <f>IFERROR(__xludf.DUMMYFUNCTION("""COMPUTED_VALUE"""),"Australia.giaotiep.HTKOC_95360_MES_NamNH_170324")</f>
        <v>Australia.giaotiep.HTKOC_95360_MES_NamNH_170324</v>
      </c>
      <c r="R414" s="67" t="str">
        <f>IFERROR(__xludf.DUMMYFUNCTION("""COMPUTED_VALUE"""),"NEW_Australia_1840_none_170324")</f>
        <v>NEW_Australia_1840_none_170324</v>
      </c>
      <c r="S414" s="67" t="str">
        <f>IFERROR(__xludf.DUMMYFUNCTION("""COMPUTED_VALUE"""),"saletructiep_Australia.HTKOC.1840.giaotiep_PTATT_LD153")</f>
        <v>saletructiep_Australia.HTKOC.1840.giaotiep_PTATT_LD153</v>
      </c>
      <c r="T414" s="107" t="str">
        <f>IFERROR(__xludf.DUMMYFUNCTION("""COMPUTED_VALUE"""),"https://patadovietnam.edu.vn/tienganhgiaotiep_hn/?utm_source=Facebook&amp;utm_medium=MES&amp;utm_term=NEW_Australia_1840_none_170324&amp;utm_content=saletructiep_Australia.HTKOC.1840.giaotiep_PTATT_LD153&amp;utm_campaign=Australia.giaotiep.HTKOC_95360_MES_NamNH_170324")</f>
        <v>https://patadovietnam.edu.vn/tienganhgiaotiep_hn/?utm_source=Facebook&amp;utm_medium=MES&amp;utm_term=NEW_Australia_1840_none_170324&amp;utm_content=saletructiep_Australia.HTKOC.1840.giaotiep_PTATT_LD153&amp;utm_campaign=Australia.giaotiep.HTKOC_95360_MES_NamNH_170324</v>
      </c>
      <c r="U414" s="110" t="s">
        <v>3777</v>
      </c>
    </row>
    <row r="415">
      <c r="A415" s="72">
        <v>45368.0</v>
      </c>
      <c r="B415" s="75" t="s">
        <v>1134</v>
      </c>
      <c r="C415" s="67" t="str">
        <f>IFERROR(__xludf.DUMMYFUNCTION("""COMPUTED_VALUE"""),"LD153")</f>
        <v>LD153</v>
      </c>
      <c r="D415" s="55" t="s">
        <v>42</v>
      </c>
      <c r="E415" s="55" t="s">
        <v>79</v>
      </c>
      <c r="F415" s="55" t="s">
        <v>164</v>
      </c>
      <c r="G415" s="55">
        <v>1840.0</v>
      </c>
      <c r="H415" s="55" t="s">
        <v>1137</v>
      </c>
      <c r="I415" s="115" t="s">
        <v>3778</v>
      </c>
      <c r="J415" s="55" t="s">
        <v>3779</v>
      </c>
      <c r="K415" s="55" t="s">
        <v>61</v>
      </c>
      <c r="L415" s="55">
        <v>95360.0</v>
      </c>
      <c r="M415" s="55" t="s">
        <v>78</v>
      </c>
      <c r="N415" s="55" t="s">
        <v>79</v>
      </c>
      <c r="O415" s="55" t="s">
        <v>224</v>
      </c>
      <c r="P415" s="55" t="s">
        <v>110</v>
      </c>
      <c r="Q415" s="67" t="str">
        <f>IFERROR(__xludf.DUMMYFUNCTION("""COMPUTED_VALUE"""),"Taiwan.giaotiep.HTKOC_95360_MES_NamNH_170324")</f>
        <v>Taiwan.giaotiep.HTKOC_95360_MES_NamNH_170324</v>
      </c>
      <c r="R415" s="67" t="str">
        <f>IFERROR(__xludf.DUMMYFUNCTION("""COMPUTED_VALUE"""),"NEW_Taiwan_1840_none_170324")</f>
        <v>NEW_Taiwan_1840_none_170324</v>
      </c>
      <c r="S415" s="67" t="str">
        <f>IFERROR(__xludf.DUMMYFUNCTION("""COMPUTED_VALUE"""),"saletructiep_Taiwan.HTKOC.1840.giaotiep_PTATT_LD153")</f>
        <v>saletructiep_Taiwan.HTKOC.1840.giaotiep_PTATT_LD153</v>
      </c>
      <c r="T415" s="107" t="str">
        <f>IFERROR(__xludf.DUMMYFUNCTION("""COMPUTED_VALUE"""),"https://patadovietnam.edu.vn/tienganhgiaotiep_hn/?utm_source=Facebook&amp;utm_medium=MES&amp;utm_term=NEW_Taiwan_1840_none_170324&amp;utm_content=saletructiep_Taiwan.HTKOC.1840.giaotiep_PTATT_LD153&amp;utm_campaign=Taiwan.giaotiep.HTKOC_95360_MES_NamNH_170324")</f>
        <v>https://patadovietnam.edu.vn/tienganhgiaotiep_hn/?utm_source=Facebook&amp;utm_medium=MES&amp;utm_term=NEW_Taiwan_1840_none_170324&amp;utm_content=saletructiep_Taiwan.HTKOC.1840.giaotiep_PTATT_LD153&amp;utm_campaign=Taiwan.giaotiep.HTKOC_95360_MES_NamNH_170324</v>
      </c>
      <c r="U415" s="110" t="s">
        <v>3783</v>
      </c>
    </row>
    <row r="416">
      <c r="A416" s="72">
        <v>45368.0</v>
      </c>
      <c r="B416" s="75" t="s">
        <v>1134</v>
      </c>
      <c r="C416" s="67" t="str">
        <f>IFERROR(__xludf.DUMMYFUNCTION("""COMPUTED_VALUE"""),"LD153")</f>
        <v>LD153</v>
      </c>
      <c r="D416" s="55" t="s">
        <v>42</v>
      </c>
      <c r="E416" s="55" t="s">
        <v>79</v>
      </c>
      <c r="F416" s="55" t="s">
        <v>539</v>
      </c>
      <c r="G416" s="55">
        <v>1840.0</v>
      </c>
      <c r="H416" s="55" t="s">
        <v>1137</v>
      </c>
      <c r="I416" s="115" t="s">
        <v>3784</v>
      </c>
      <c r="J416" s="55" t="s">
        <v>3785</v>
      </c>
      <c r="K416" s="55" t="s">
        <v>61</v>
      </c>
      <c r="L416" s="55">
        <v>95360.0</v>
      </c>
      <c r="M416" s="55" t="s">
        <v>78</v>
      </c>
      <c r="N416" s="55" t="s">
        <v>79</v>
      </c>
      <c r="O416" s="55" t="s">
        <v>224</v>
      </c>
      <c r="P416" s="55" t="s">
        <v>110</v>
      </c>
      <c r="Q416" s="67" t="str">
        <f>IFERROR(__xludf.DUMMYFUNCTION("""COMPUTED_VALUE"""),"ALL.giaotiep.HTKOC_95360_MES_NamNH_170324")</f>
        <v>ALL.giaotiep.HTKOC_95360_MES_NamNH_170324</v>
      </c>
      <c r="R416" s="67" t="str">
        <f>IFERROR(__xludf.DUMMYFUNCTION("""COMPUTED_VALUE"""),"NEW_ALL_1840_none_170324")</f>
        <v>NEW_ALL_1840_none_170324</v>
      </c>
      <c r="S416" s="67" t="str">
        <f>IFERROR(__xludf.DUMMYFUNCTION("""COMPUTED_VALUE"""),"saletructiep_ALL.HTKOC.1840.giaotiep_PTATT_LD153")</f>
        <v>saletructiep_ALL.HTKOC.1840.giaotiep_PTATT_LD153</v>
      </c>
      <c r="T416" s="107" t="str">
        <f>IFERROR(__xludf.DUMMYFUNCTION("""COMPUTED_VALUE"""),"https://patadovietnam.edu.vn/tienganhgiaotiep_hn/?utm_source=Facebook&amp;utm_medium=MES&amp;utm_term=NEW_ALL_1840_none_170324&amp;utm_content=saletructiep_ALL.HTKOC.1840.giaotiep_PTATT_LD153&amp;utm_campaign=ALL.giaotiep.HTKOC_95360_MES_NamNH_170324")</f>
        <v>https://patadovietnam.edu.vn/tienganhgiaotiep_hn/?utm_source=Facebook&amp;utm_medium=MES&amp;utm_term=NEW_ALL_1840_none_170324&amp;utm_content=saletructiep_ALL.HTKOC.1840.giaotiep_PTATT_LD153&amp;utm_campaign=ALL.giaotiep.HTKOC_95360_MES_NamNH_170324</v>
      </c>
      <c r="U416" s="110" t="s">
        <v>3787</v>
      </c>
    </row>
    <row r="417">
      <c r="A417" s="72">
        <v>45374.0</v>
      </c>
      <c r="B417" s="75" t="s">
        <v>1134</v>
      </c>
      <c r="C417" s="67" t="str">
        <f>IFERROR(__xludf.DUMMYFUNCTION("""COMPUTED_VALUE"""),"LD153")</f>
        <v>LD153</v>
      </c>
      <c r="D417" s="114" t="s">
        <v>42</v>
      </c>
      <c r="E417" s="114" t="s">
        <v>69</v>
      </c>
      <c r="F417" s="114" t="s">
        <v>674</v>
      </c>
      <c r="G417" s="114">
        <v>1840.0</v>
      </c>
      <c r="H417" s="114" t="s">
        <v>1137</v>
      </c>
      <c r="I417" s="115" t="s">
        <v>1679</v>
      </c>
      <c r="J417" s="55" t="s">
        <v>3790</v>
      </c>
      <c r="K417" s="55" t="s">
        <v>61</v>
      </c>
      <c r="L417" s="55">
        <v>16917.0</v>
      </c>
      <c r="M417" s="55" t="s">
        <v>78</v>
      </c>
      <c r="N417" s="55" t="s">
        <v>69</v>
      </c>
      <c r="O417" s="55" t="s">
        <v>224</v>
      </c>
      <c r="P417" s="55" t="s">
        <v>110</v>
      </c>
      <c r="Q417" s="67" t="str">
        <f>IFERROR(__xludf.DUMMYFUNCTION("""COMPUTED_VALUE"""),"Europe.giaotiep.HTKOC2_16917_CVS_NamNH_230324")</f>
        <v>Europe.giaotiep.HTKOC2_16917_CVS_NamNH_230324</v>
      </c>
      <c r="R417" s="67" t="str">
        <f>IFERROR(__xludf.DUMMYFUNCTION("""COMPUTED_VALUE"""),"NEW_Europe_1840_none_230324")</f>
        <v>NEW_Europe_1840_none_230324</v>
      </c>
      <c r="S417" s="67" t="str">
        <f>IFERROR(__xludf.DUMMYFUNCTION("""COMPUTED_VALUE"""),"saletructiep_Europe.HTKOC2.1840.giaotiep_PTATT_LD153")</f>
        <v>saletructiep_Europe.HTKOC2.1840.giaotiep_PTATT_LD153</v>
      </c>
      <c r="T417" s="107" t="str">
        <f>IFERROR(__xludf.DUMMYFUNCTION("""COMPUTED_VALUE"""),"https://patadovietnam.edu.vn/tienganhgiaotiep_hn/?utm_source=Facebook&amp;utm_medium=CVS&amp;utm_term=NEW_Europe_1840_none_230324&amp;utm_content=saletructiep_Europe.HTKOC2.1840.giaotiep_PTATT_LD153&amp;utm_campaign=Europe.giaotiep.HTKOC2_16917_CVS_NamNH_230324")</f>
        <v>https://patadovietnam.edu.vn/tienganhgiaotiep_hn/?utm_source=Facebook&amp;utm_medium=CVS&amp;utm_term=NEW_Europe_1840_none_230324&amp;utm_content=saletructiep_Europe.HTKOC2.1840.giaotiep_PTATT_LD153&amp;utm_campaign=Europe.giaotiep.HTKOC2_16917_CVS_NamNH_230324</v>
      </c>
      <c r="U417" s="110" t="s">
        <v>3795</v>
      </c>
    </row>
    <row r="418">
      <c r="A418" s="72">
        <v>45374.0</v>
      </c>
      <c r="B418" s="75" t="s">
        <v>1134</v>
      </c>
      <c r="C418" s="67" t="str">
        <f>IFERROR(__xludf.DUMMYFUNCTION("""COMPUTED_VALUE"""),"LD153")</f>
        <v>LD153</v>
      </c>
      <c r="D418" s="114" t="s">
        <v>42</v>
      </c>
      <c r="E418" s="114" t="s">
        <v>69</v>
      </c>
      <c r="F418" s="114" t="s">
        <v>539</v>
      </c>
      <c r="G418" s="114">
        <v>1840.0</v>
      </c>
      <c r="H418" s="114" t="s">
        <v>1137</v>
      </c>
      <c r="I418" s="115" t="s">
        <v>3798</v>
      </c>
      <c r="J418" s="55" t="s">
        <v>3799</v>
      </c>
      <c r="K418" s="55" t="s">
        <v>61</v>
      </c>
      <c r="L418" s="55">
        <v>16917.0</v>
      </c>
      <c r="M418" s="55" t="s">
        <v>78</v>
      </c>
      <c r="N418" s="55" t="s">
        <v>69</v>
      </c>
      <c r="O418" s="55" t="s">
        <v>224</v>
      </c>
      <c r="P418" s="55" t="s">
        <v>110</v>
      </c>
      <c r="Q418" s="67" t="str">
        <f>IFERROR(__xludf.DUMMYFUNCTION("""COMPUTED_VALUE"""),"ALL.giaotiep.HTKOC2_16917_CVS_NamNH_230324")</f>
        <v>ALL.giaotiep.HTKOC2_16917_CVS_NamNH_230324</v>
      </c>
      <c r="R418" s="67" t="str">
        <f>IFERROR(__xludf.DUMMYFUNCTION("""COMPUTED_VALUE"""),"NEW_ALL_1840_none_230324")</f>
        <v>NEW_ALL_1840_none_230324</v>
      </c>
      <c r="S418" s="67" t="str">
        <f>IFERROR(__xludf.DUMMYFUNCTION("""COMPUTED_VALUE"""),"saletructiep_ALL.HTKOC2.1840.giaotiep_PTATT_LD153")</f>
        <v>saletructiep_ALL.HTKOC2.1840.giaotiep_PTATT_LD153</v>
      </c>
      <c r="T418" s="107" t="str">
        <f>IFERROR(__xludf.DUMMYFUNCTION("""COMPUTED_VALUE"""),"https://patadovietnam.edu.vn/tienganhgiaotiep_hn/?utm_source=Facebook&amp;utm_medium=CVS&amp;utm_term=NEW_ALL_1840_none_230324&amp;utm_content=saletructiep_ALL.HTKOC2.1840.giaotiep_PTATT_LD153&amp;utm_campaign=ALL.giaotiep.HTKOC2_16917_CVS_NamNH_230324")</f>
        <v>https://patadovietnam.edu.vn/tienganhgiaotiep_hn/?utm_source=Facebook&amp;utm_medium=CVS&amp;utm_term=NEW_ALL_1840_none_230324&amp;utm_content=saletructiep_ALL.HTKOC2.1840.giaotiep_PTATT_LD153&amp;utm_campaign=ALL.giaotiep.HTKOC2_16917_CVS_NamNH_230324</v>
      </c>
      <c r="U418" s="110" t="s">
        <v>3801</v>
      </c>
    </row>
    <row r="419">
      <c r="A419" s="72">
        <v>45374.0</v>
      </c>
      <c r="B419" s="75" t="s">
        <v>1229</v>
      </c>
      <c r="C419" s="67" t="str">
        <f>IFERROR(__xludf.DUMMYFUNCTION("""COMPUTED_VALUE"""),"LD164")</f>
        <v>LD164</v>
      </c>
      <c r="D419" s="114" t="s">
        <v>42</v>
      </c>
      <c r="E419" s="114" t="s">
        <v>69</v>
      </c>
      <c r="F419" s="114" t="s">
        <v>133</v>
      </c>
      <c r="G419" s="114">
        <v>1840.0</v>
      </c>
      <c r="H419" s="114" t="s">
        <v>1137</v>
      </c>
      <c r="I419" s="115" t="s">
        <v>3802</v>
      </c>
      <c r="J419" s="55" t="s">
        <v>3804</v>
      </c>
      <c r="K419" s="55" t="s">
        <v>61</v>
      </c>
      <c r="L419" s="55">
        <v>16917.0</v>
      </c>
      <c r="M419" s="55" t="s">
        <v>78</v>
      </c>
      <c r="N419" s="55" t="s">
        <v>69</v>
      </c>
      <c r="O419" s="55" t="s">
        <v>224</v>
      </c>
      <c r="P419" s="55" t="s">
        <v>110</v>
      </c>
      <c r="Q419" s="67" t="str">
        <f>IFERROR(__xludf.DUMMYFUNCTION("""COMPUTED_VALUE"""),"Japan.giaotiep.PTKOC_16917_CVS_NamNH_230324")</f>
        <v>Japan.giaotiep.PTKOC_16917_CVS_NamNH_230324</v>
      </c>
      <c r="R419" s="67" t="str">
        <f>IFERROR(__xludf.DUMMYFUNCTION("""COMPUTED_VALUE"""),"NEW_Japan_1840_none_230324")</f>
        <v>NEW_Japan_1840_none_230324</v>
      </c>
      <c r="S419" s="67" t="str">
        <f>IFERROR(__xludf.DUMMYFUNCTION("""COMPUTED_VALUE"""),"saletructiep_Japan.PTKOC.1840.giaotiep_PTATT_LD164")</f>
        <v>saletructiep_Japan.PTKOC.1840.giaotiep_PTATT_LD164</v>
      </c>
      <c r="T419" s="107" t="str">
        <f>IFERROR(__xludf.DUMMYFUNCTION("""COMPUTED_VALUE"""),"https://patadovietnam.edu.vn/gtjapan_nhn3/?utm_source=Facebook&amp;utm_medium=CVS&amp;utm_term=NEW_Japan_1840_none_230324&amp;utm_content=saletructiep_Japan.PTKOC.1840.giaotiep_PTATT_LD164&amp;utm_campaign=Japan.giaotiep.PTKOC_16917_CVS_NamNH_230324")</f>
        <v>https://patadovietnam.edu.vn/gtjapan_nhn3/?utm_source=Facebook&amp;utm_medium=CVS&amp;utm_term=NEW_Japan_1840_none_230324&amp;utm_content=saletructiep_Japan.PTKOC.1840.giaotiep_PTATT_LD164&amp;utm_campaign=Japan.giaotiep.PTKOC_16917_CVS_NamNH_230324</v>
      </c>
      <c r="U419" s="110" t="s">
        <v>3806</v>
      </c>
    </row>
    <row r="420">
      <c r="A420" s="72">
        <v>45374.0</v>
      </c>
      <c r="B420" s="75" t="s">
        <v>1134</v>
      </c>
      <c r="C420" s="67" t="str">
        <f>IFERROR(__xludf.DUMMYFUNCTION("""COMPUTED_VALUE"""),"LD153")</f>
        <v>LD153</v>
      </c>
      <c r="D420" s="114" t="s">
        <v>42</v>
      </c>
      <c r="E420" s="114" t="s">
        <v>69</v>
      </c>
      <c r="F420" s="114" t="s">
        <v>674</v>
      </c>
      <c r="G420" s="114">
        <v>1840.0</v>
      </c>
      <c r="H420" s="114" t="s">
        <v>1137</v>
      </c>
      <c r="I420" s="115" t="s">
        <v>3809</v>
      </c>
      <c r="J420" s="55" t="s">
        <v>3810</v>
      </c>
      <c r="K420" s="55" t="s">
        <v>61</v>
      </c>
      <c r="L420" s="55">
        <v>16917.0</v>
      </c>
      <c r="M420" s="55" t="s">
        <v>78</v>
      </c>
      <c r="N420" s="55" t="s">
        <v>69</v>
      </c>
      <c r="O420" s="55" t="s">
        <v>224</v>
      </c>
      <c r="P420" s="55" t="s">
        <v>110</v>
      </c>
      <c r="Q420" s="67" t="str">
        <f>IFERROR(__xludf.DUMMYFUNCTION("""COMPUTED_VALUE"""),"Europe.giaotiep.PTKOC_16917_CVS_NamNH_230324")</f>
        <v>Europe.giaotiep.PTKOC_16917_CVS_NamNH_230324</v>
      </c>
      <c r="R420" s="67" t="str">
        <f>IFERROR(__xludf.DUMMYFUNCTION("""COMPUTED_VALUE"""),"NEW_Europe_1840_none_230324")</f>
        <v>NEW_Europe_1840_none_230324</v>
      </c>
      <c r="S420" s="67" t="str">
        <f>IFERROR(__xludf.DUMMYFUNCTION("""COMPUTED_VALUE"""),"saletructiep_Europe.PTKOC.1840.giaotiep_PTATT_LD153")</f>
        <v>saletructiep_Europe.PTKOC.1840.giaotiep_PTATT_LD153</v>
      </c>
      <c r="T420" s="107" t="str">
        <f>IFERROR(__xludf.DUMMYFUNCTION("""COMPUTED_VALUE"""),"https://patadovietnam.edu.vn/tienganhgiaotiep_hn/?utm_source=Facebook&amp;utm_medium=CVS&amp;utm_term=NEW_Europe_1840_none_230324&amp;utm_content=saletructiep_Europe.PTKOC.1840.giaotiep_PTATT_LD153&amp;utm_campaign=Europe.giaotiep.PTKOC_16917_CVS_NamNH_230324")</f>
        <v>https://patadovietnam.edu.vn/tienganhgiaotiep_hn/?utm_source=Facebook&amp;utm_medium=CVS&amp;utm_term=NEW_Europe_1840_none_230324&amp;utm_content=saletructiep_Europe.PTKOC.1840.giaotiep_PTATT_LD153&amp;utm_campaign=Europe.giaotiep.PTKOC_16917_CVS_NamNH_230324</v>
      </c>
      <c r="U420" s="110" t="s">
        <v>3812</v>
      </c>
    </row>
    <row r="421">
      <c r="A421" s="72">
        <v>45374.0</v>
      </c>
      <c r="B421" s="75" t="s">
        <v>1134</v>
      </c>
      <c r="C421" s="67" t="str">
        <f>IFERROR(__xludf.DUMMYFUNCTION("""COMPUTED_VALUE"""),"LD153")</f>
        <v>LD153</v>
      </c>
      <c r="D421" s="114" t="s">
        <v>42</v>
      </c>
      <c r="E421" s="114" t="s">
        <v>69</v>
      </c>
      <c r="F421" s="114" t="s">
        <v>539</v>
      </c>
      <c r="G421" s="114">
        <v>1840.0</v>
      </c>
      <c r="H421" s="114" t="s">
        <v>1137</v>
      </c>
      <c r="I421" s="115" t="s">
        <v>3814</v>
      </c>
      <c r="J421" s="55" t="s">
        <v>3815</v>
      </c>
      <c r="K421" s="55" t="s">
        <v>61</v>
      </c>
      <c r="L421" s="55">
        <v>16917.0</v>
      </c>
      <c r="M421" s="55" t="s">
        <v>78</v>
      </c>
      <c r="N421" s="55" t="s">
        <v>69</v>
      </c>
      <c r="O421" s="55" t="s">
        <v>224</v>
      </c>
      <c r="P421" s="55" t="s">
        <v>110</v>
      </c>
      <c r="Q421" s="67" t="str">
        <f>IFERROR(__xludf.DUMMYFUNCTION("""COMPUTED_VALUE"""),"ALL.giaotiep.PTKOC_16917_CVS_NamNH_230324")</f>
        <v>ALL.giaotiep.PTKOC_16917_CVS_NamNH_230324</v>
      </c>
      <c r="R421" s="67" t="str">
        <f>IFERROR(__xludf.DUMMYFUNCTION("""COMPUTED_VALUE"""),"NEW_ALL_1840_none_230324")</f>
        <v>NEW_ALL_1840_none_230324</v>
      </c>
      <c r="S421" s="67" t="str">
        <f>IFERROR(__xludf.DUMMYFUNCTION("""COMPUTED_VALUE"""),"saletructiep_ALL.PTKOC.1840.giaotiep_PTATT_LD153")</f>
        <v>saletructiep_ALL.PTKOC.1840.giaotiep_PTATT_LD153</v>
      </c>
      <c r="T421" s="107" t="str">
        <f>IFERROR(__xludf.DUMMYFUNCTION("""COMPUTED_VALUE"""),"https://patadovietnam.edu.vn/tienganhgiaotiep_hn/?utm_source=Facebook&amp;utm_medium=CVS&amp;utm_term=NEW_ALL_1840_none_230324&amp;utm_content=saletructiep_ALL.PTKOC.1840.giaotiep_PTATT_LD153&amp;utm_campaign=ALL.giaotiep.PTKOC_16917_CVS_NamNH_230324")</f>
        <v>https://patadovietnam.edu.vn/tienganhgiaotiep_hn/?utm_source=Facebook&amp;utm_medium=CVS&amp;utm_term=NEW_ALL_1840_none_230324&amp;utm_content=saletructiep_ALL.PTKOC.1840.giaotiep_PTATT_LD153&amp;utm_campaign=ALL.giaotiep.PTKOC_16917_CVS_NamNH_230324</v>
      </c>
      <c r="U421" s="110" t="s">
        <v>3818</v>
      </c>
    </row>
    <row r="422">
      <c r="A422" s="72">
        <v>45374.0</v>
      </c>
      <c r="B422" s="75" t="s">
        <v>1245</v>
      </c>
      <c r="C422" s="67" t="str">
        <f>IFERROR(__xludf.DUMMYFUNCTION("""COMPUTED_VALUE"""),"LD161")</f>
        <v>LD161</v>
      </c>
      <c r="D422" s="55" t="s">
        <v>42</v>
      </c>
      <c r="E422" s="55" t="s">
        <v>79</v>
      </c>
      <c r="F422" s="55" t="s">
        <v>107</v>
      </c>
      <c r="G422" s="55">
        <v>1840.0</v>
      </c>
      <c r="H422" s="55" t="s">
        <v>1137</v>
      </c>
      <c r="I422" s="115" t="s">
        <v>3820</v>
      </c>
      <c r="J422" s="55" t="s">
        <v>3821</v>
      </c>
      <c r="K422" s="55" t="s">
        <v>61</v>
      </c>
      <c r="L422" s="55">
        <v>16917.0</v>
      </c>
      <c r="M422" s="55" t="s">
        <v>78</v>
      </c>
      <c r="N422" s="55" t="s">
        <v>79</v>
      </c>
      <c r="O422" s="55" t="s">
        <v>224</v>
      </c>
      <c r="P422" s="55" t="s">
        <v>110</v>
      </c>
      <c r="Q422" s="67" t="str">
        <f>IFERROR(__xludf.DUMMYFUNCTION("""COMPUTED_VALUE"""),"UnitedStates.giaotiep.PTKOC_16917_MES_NamNH_230324")</f>
        <v>UnitedStates.giaotiep.PTKOC_16917_MES_NamNH_230324</v>
      </c>
      <c r="R422" s="67" t="str">
        <f>IFERROR(__xludf.DUMMYFUNCTION("""COMPUTED_VALUE"""),"NEW_UnitedStates_1840_none_230324")</f>
        <v>NEW_UnitedStates_1840_none_230324</v>
      </c>
      <c r="S422" s="67" t="str">
        <f>IFERROR(__xludf.DUMMYFUNCTION("""COMPUTED_VALUE"""),"saletructiep_UnitedStates.PTKOC.1840.giaotiep_PTATT_LD161")</f>
        <v>saletructiep_UnitedStates.PTKOC.1840.giaotiep_PTATT_LD161</v>
      </c>
      <c r="T422" s="107" t="str">
        <f>IFERROR(__xludf.DUMMYFUNCTION("""COMPUTED_VALUE"""),"https://patadovietnam.edu.vn/gtusa1_nhn/?utm_source=Facebook&amp;utm_medium=MES&amp;utm_term=NEW_UnitedStates_1840_none_230324&amp;utm_content=saletructiep_UnitedStates.PTKOC.1840.giaotiep_PTATT_LD161&amp;utm_campaign=UnitedStates.giaotiep.PTKOC_16917_MES_NamNH_230324")</f>
        <v>https://patadovietnam.edu.vn/gtusa1_nhn/?utm_source=Facebook&amp;utm_medium=MES&amp;utm_term=NEW_UnitedStates_1840_none_230324&amp;utm_content=saletructiep_UnitedStates.PTKOC.1840.giaotiep_PTATT_LD161&amp;utm_campaign=UnitedStates.giaotiep.PTKOC_16917_MES_NamNH_230324</v>
      </c>
      <c r="U422" s="110" t="s">
        <v>3826</v>
      </c>
    </row>
    <row r="423">
      <c r="A423" s="72">
        <v>45386.0</v>
      </c>
      <c r="B423" s="75" t="s">
        <v>1134</v>
      </c>
      <c r="C423" s="67" t="str">
        <f>IFERROR(__xludf.DUMMYFUNCTION("""COMPUTED_VALUE"""),"LD153")</f>
        <v>LD153</v>
      </c>
      <c r="D423" s="55" t="s">
        <v>42</v>
      </c>
      <c r="E423" s="55" t="s">
        <v>79</v>
      </c>
      <c r="F423" s="55" t="s">
        <v>174</v>
      </c>
      <c r="G423" s="55">
        <v>1840.0</v>
      </c>
      <c r="H423" s="55" t="s">
        <v>1137</v>
      </c>
      <c r="I423" s="115" t="s">
        <v>3828</v>
      </c>
      <c r="J423" s="55" t="s">
        <v>3829</v>
      </c>
      <c r="K423" s="55" t="s">
        <v>61</v>
      </c>
      <c r="L423" s="55">
        <v>16917.0</v>
      </c>
      <c r="M423" s="55" t="s">
        <v>78</v>
      </c>
      <c r="N423" s="55" t="s">
        <v>79</v>
      </c>
      <c r="O423" s="55" t="s">
        <v>224</v>
      </c>
      <c r="P423" s="55" t="s">
        <v>110</v>
      </c>
      <c r="Q423" s="67" t="str">
        <f>IFERROR(__xludf.DUMMYFUNCTION("""COMPUTED_VALUE"""),"Philippines.giaotiep.PTKOC_16917_MES_NamNH_040424")</f>
        <v>Philippines.giaotiep.PTKOC_16917_MES_NamNH_040424</v>
      </c>
      <c r="R423" s="67" t="str">
        <f>IFERROR(__xludf.DUMMYFUNCTION("""COMPUTED_VALUE"""),"NEW_Philippines_1840_none_040424")</f>
        <v>NEW_Philippines_1840_none_040424</v>
      </c>
      <c r="S423" s="67" t="str">
        <f>IFERROR(__xludf.DUMMYFUNCTION("""COMPUTED_VALUE"""),"saletructiep_Philippines.PTKOC.1840.giaotiep_PTATT_LD153")</f>
        <v>saletructiep_Philippines.PTKOC.1840.giaotiep_PTATT_LD153</v>
      </c>
      <c r="T423" s="107" t="str">
        <f>IFERROR(__xludf.DUMMYFUNCTION("""COMPUTED_VALUE"""),"https://patadovietnam.edu.vn/tienganhgiaotiep_hn/?utm_source=Facebook&amp;utm_medium=MES&amp;utm_term=NEW_Philippines_1840_none_040424&amp;utm_content=saletructiep_Philippines.PTKOC.1840.giaotiep_PTATT_LD153&amp;utm_campaign=Philippines.giaotiep.PTKOC_16917_MES_NamNH_040"&amp;"424")</f>
        <v>https://patadovietnam.edu.vn/tienganhgiaotiep_hn/?utm_source=Facebook&amp;utm_medium=MES&amp;utm_term=NEW_Philippines_1840_none_040424&amp;utm_content=saletructiep_Philippines.PTKOC.1840.giaotiep_PTATT_LD153&amp;utm_campaign=Philippines.giaotiep.PTKOC_16917_MES_NamNH_040424</v>
      </c>
      <c r="U423" s="110" t="s">
        <v>3832</v>
      </c>
    </row>
    <row r="424">
      <c r="A424" s="72">
        <v>45386.0</v>
      </c>
      <c r="B424" s="75" t="s">
        <v>1134</v>
      </c>
      <c r="C424" s="67" t="str">
        <f>IFERROR(__xludf.DUMMYFUNCTION("""COMPUTED_VALUE"""),"LD153")</f>
        <v>LD153</v>
      </c>
      <c r="D424" s="55" t="s">
        <v>42</v>
      </c>
      <c r="E424" s="55" t="s">
        <v>79</v>
      </c>
      <c r="F424" s="55" t="s">
        <v>625</v>
      </c>
      <c r="G424" s="55">
        <v>1840.0</v>
      </c>
      <c r="H424" s="55" t="s">
        <v>1137</v>
      </c>
      <c r="I424" s="115" t="s">
        <v>3833</v>
      </c>
      <c r="J424" s="55" t="s">
        <v>3834</v>
      </c>
      <c r="K424" s="55" t="s">
        <v>61</v>
      </c>
      <c r="L424" s="55">
        <v>16917.0</v>
      </c>
      <c r="M424" s="55" t="s">
        <v>78</v>
      </c>
      <c r="N424" s="55" t="s">
        <v>79</v>
      </c>
      <c r="O424" s="55" t="s">
        <v>224</v>
      </c>
      <c r="P424" s="55" t="s">
        <v>110</v>
      </c>
      <c r="Q424" s="67" t="str">
        <f>IFERROR(__xludf.DUMMYFUNCTION("""COMPUTED_VALUE"""),"KoreaSouth.giaotiep.PTKOC_16917_MES_NamNH_040424")</f>
        <v>KoreaSouth.giaotiep.PTKOC_16917_MES_NamNH_040424</v>
      </c>
      <c r="R424" s="67" t="str">
        <f>IFERROR(__xludf.DUMMYFUNCTION("""COMPUTED_VALUE"""),"NEW_KoreaSouth_1840_none_040424")</f>
        <v>NEW_KoreaSouth_1840_none_040424</v>
      </c>
      <c r="S424" s="67" t="str">
        <f>IFERROR(__xludf.DUMMYFUNCTION("""COMPUTED_VALUE"""),"saletructiep_KoreaSouth.PTKOC.1840.giaotiep_PTATT_LD153")</f>
        <v>saletructiep_KoreaSouth.PTKOC.1840.giaotiep_PTATT_LD153</v>
      </c>
      <c r="T424" s="107" t="str">
        <f>IFERROR(__xludf.DUMMYFUNCTION("""COMPUTED_VALUE"""),"https://patadovietnam.edu.vn/tienganhgiaotiep_hn/?utm_source=Facebook&amp;utm_medium=MES&amp;utm_term=NEW_KoreaSouth_1840_none_040424&amp;utm_content=saletructiep_KoreaSouth.PTKOC.1840.giaotiep_PTATT_LD153&amp;utm_campaign=KoreaSouth.giaotiep.PTKOC_16917_MES_NamNH_040424")</f>
        <v>https://patadovietnam.edu.vn/tienganhgiaotiep_hn/?utm_source=Facebook&amp;utm_medium=MES&amp;utm_term=NEW_KoreaSouth_1840_none_040424&amp;utm_content=saletructiep_KoreaSouth.PTKOC.1840.giaotiep_PTATT_LD153&amp;utm_campaign=KoreaSouth.giaotiep.PTKOC_16917_MES_NamNH_040424</v>
      </c>
      <c r="U424" s="110" t="s">
        <v>3836</v>
      </c>
    </row>
    <row r="425">
      <c r="A425" s="72">
        <v>45386.0</v>
      </c>
      <c r="B425" s="75" t="s">
        <v>1134</v>
      </c>
      <c r="C425" s="67" t="str">
        <f>IFERROR(__xludf.DUMMYFUNCTION("""COMPUTED_VALUE"""),"LD153")</f>
        <v>LD153</v>
      </c>
      <c r="D425" s="55" t="s">
        <v>42</v>
      </c>
      <c r="E425" s="55" t="s">
        <v>79</v>
      </c>
      <c r="F425" s="55" t="s">
        <v>164</v>
      </c>
      <c r="G425" s="55">
        <v>1840.0</v>
      </c>
      <c r="H425" s="55" t="s">
        <v>1137</v>
      </c>
      <c r="I425" s="115" t="s">
        <v>3840</v>
      </c>
      <c r="J425" s="55" t="s">
        <v>3841</v>
      </c>
      <c r="K425" s="55" t="s">
        <v>61</v>
      </c>
      <c r="L425" s="55">
        <v>16917.0</v>
      </c>
      <c r="M425" s="55" t="s">
        <v>78</v>
      </c>
      <c r="N425" s="55" t="s">
        <v>79</v>
      </c>
      <c r="O425" s="55" t="s">
        <v>224</v>
      </c>
      <c r="P425" s="55" t="s">
        <v>110</v>
      </c>
      <c r="Q425" s="67" t="str">
        <f>IFERROR(__xludf.DUMMYFUNCTION("""COMPUTED_VALUE"""),"Taiwan.giaotiep.PTKOC_16917_MES_NamNH_040424")</f>
        <v>Taiwan.giaotiep.PTKOC_16917_MES_NamNH_040424</v>
      </c>
      <c r="R425" s="67" t="str">
        <f>IFERROR(__xludf.DUMMYFUNCTION("""COMPUTED_VALUE"""),"NEW_Taiwan_1840_none_040424")</f>
        <v>NEW_Taiwan_1840_none_040424</v>
      </c>
      <c r="S425" s="67" t="str">
        <f>IFERROR(__xludf.DUMMYFUNCTION("""COMPUTED_VALUE"""),"saletructiep_Taiwan.PTKOC.1840.giaotiep_PTATT_LD153")</f>
        <v>saletructiep_Taiwan.PTKOC.1840.giaotiep_PTATT_LD153</v>
      </c>
      <c r="T425" s="107" t="str">
        <f>IFERROR(__xludf.DUMMYFUNCTION("""COMPUTED_VALUE"""),"https://patadovietnam.edu.vn/tienganhgiaotiep_hn/?utm_source=Facebook&amp;utm_medium=MES&amp;utm_term=NEW_Taiwan_1840_none_040424&amp;utm_content=saletructiep_Taiwan.PTKOC.1840.giaotiep_PTATT_LD153&amp;utm_campaign=Taiwan.giaotiep.PTKOC_16917_MES_NamNH_040424")</f>
        <v>https://patadovietnam.edu.vn/tienganhgiaotiep_hn/?utm_source=Facebook&amp;utm_medium=MES&amp;utm_term=NEW_Taiwan_1840_none_040424&amp;utm_content=saletructiep_Taiwan.PTKOC.1840.giaotiep_PTATT_LD153&amp;utm_campaign=Taiwan.giaotiep.PTKOC_16917_MES_NamNH_040424</v>
      </c>
      <c r="U425" s="110" t="s">
        <v>3848</v>
      </c>
    </row>
    <row r="426">
      <c r="A426" s="72">
        <v>45386.0</v>
      </c>
      <c r="B426" s="75" t="s">
        <v>1229</v>
      </c>
      <c r="C426" s="67" t="str">
        <f>IFERROR(__xludf.DUMMYFUNCTION("""COMPUTED_VALUE"""),"LD164")</f>
        <v>LD164</v>
      </c>
      <c r="D426" s="114" t="s">
        <v>42</v>
      </c>
      <c r="E426" s="114" t="s">
        <v>69</v>
      </c>
      <c r="F426" s="114" t="s">
        <v>133</v>
      </c>
      <c r="G426" s="114">
        <v>1840.0</v>
      </c>
      <c r="H426" s="114" t="s">
        <v>1137</v>
      </c>
      <c r="I426" s="115" t="s">
        <v>1585</v>
      </c>
      <c r="J426" s="55" t="s">
        <v>3853</v>
      </c>
      <c r="K426" s="55" t="s">
        <v>61</v>
      </c>
      <c r="L426" s="55">
        <v>16917.0</v>
      </c>
      <c r="M426" s="55" t="s">
        <v>78</v>
      </c>
      <c r="N426" s="55" t="s">
        <v>69</v>
      </c>
      <c r="O426" s="55" t="s">
        <v>224</v>
      </c>
      <c r="P426" s="55" t="s">
        <v>110</v>
      </c>
      <c r="Q426" s="67" t="str">
        <f>IFERROR(__xludf.DUMMYFUNCTION("""COMPUTED_VALUE"""),"Japan.giaotiep.jh2_16917_CVS_NamNH_040424")</f>
        <v>Japan.giaotiep.jh2_16917_CVS_NamNH_040424</v>
      </c>
      <c r="R426" s="67" t="str">
        <f>IFERROR(__xludf.DUMMYFUNCTION("""COMPUTED_VALUE"""),"NEW_Japan_1840_none_040424")</f>
        <v>NEW_Japan_1840_none_040424</v>
      </c>
      <c r="S426" s="67" t="str">
        <f>IFERROR(__xludf.DUMMYFUNCTION("""COMPUTED_VALUE"""),"saletructiep_Japan.jh2.1840.giaotiep_PTATT_LD164")</f>
        <v>saletructiep_Japan.jh2.1840.giaotiep_PTATT_LD164</v>
      </c>
      <c r="T426" s="107" t="str">
        <f>IFERROR(__xludf.DUMMYFUNCTION("""COMPUTED_VALUE"""),"https://patadovietnam.edu.vn/gtjapan_nhn3/?utm_source=Facebook&amp;utm_medium=CVS&amp;utm_term=NEW_Japan_1840_none_040424&amp;utm_content=saletructiep_Japan.jh2.1840.giaotiep_PTATT_LD164&amp;utm_campaign=Japan.giaotiep.jh2_16917_CVS_NamNH_040424")</f>
        <v>https://patadovietnam.edu.vn/gtjapan_nhn3/?utm_source=Facebook&amp;utm_medium=CVS&amp;utm_term=NEW_Japan_1840_none_040424&amp;utm_content=saletructiep_Japan.jh2.1840.giaotiep_PTATT_LD164&amp;utm_campaign=Japan.giaotiep.jh2_16917_CVS_NamNH_040424</v>
      </c>
      <c r="U426" s="110" t="s">
        <v>3855</v>
      </c>
    </row>
    <row r="427">
      <c r="A427" s="72">
        <v>45386.0</v>
      </c>
      <c r="B427" s="75" t="s">
        <v>3857</v>
      </c>
      <c r="C427" s="67" t="str">
        <f>IFERROR(__xludf.DUMMYFUNCTION("""COMPUTED_VALUE"""),"LD221")</f>
        <v>LD221</v>
      </c>
      <c r="D427" s="114" t="s">
        <v>42</v>
      </c>
      <c r="E427" s="114" t="s">
        <v>69</v>
      </c>
      <c r="F427" s="114" t="s">
        <v>133</v>
      </c>
      <c r="G427" s="114">
        <v>1840.0</v>
      </c>
      <c r="H427" s="114" t="s">
        <v>1137</v>
      </c>
      <c r="I427" s="115" t="s">
        <v>3859</v>
      </c>
      <c r="J427" s="55" t="s">
        <v>3860</v>
      </c>
      <c r="K427" s="55" t="s">
        <v>61</v>
      </c>
      <c r="L427" s="55">
        <v>16917.0</v>
      </c>
      <c r="M427" s="55" t="s">
        <v>78</v>
      </c>
      <c r="N427" s="55" t="s">
        <v>69</v>
      </c>
      <c r="O427" s="55" t="s">
        <v>224</v>
      </c>
      <c r="P427" s="55" t="s">
        <v>110</v>
      </c>
      <c r="Q427" s="67" t="str">
        <f>IFERROR(__xludf.DUMMYFUNCTION("""COMPUTED_VALUE"""),"Japan.giaotiep.jh3_16917_CVS_NamNH_040424")</f>
        <v>Japan.giaotiep.jh3_16917_CVS_NamNH_040424</v>
      </c>
      <c r="R427" s="67" t="str">
        <f>IFERROR(__xludf.DUMMYFUNCTION("""COMPUTED_VALUE"""),"NEW_Japan_1840_none_040424")</f>
        <v>NEW_Japan_1840_none_040424</v>
      </c>
      <c r="S427" s="67" t="str">
        <f>IFERROR(__xludf.DUMMYFUNCTION("""COMPUTED_VALUE"""),"saletructiep_Japan.jh3.1840.giaotiep_PTATT_LD221")</f>
        <v>saletructiep_Japan.jh3.1840.giaotiep_PTATT_LD221</v>
      </c>
      <c r="T427" s="107" t="str">
        <f>IFERROR(__xludf.DUMMYFUNCTION("""COMPUTED_VALUE"""),"https://patadovietnam.edu.vn/japan_hn/?utm_source=Facebook&amp;utm_medium=CVS&amp;utm_term=NEW_Japan_1840_none_040424&amp;utm_content=saletructiep_Japan.jh3.1840.giaotiep_PTATT_LD221&amp;utm_campaign=Japan.giaotiep.jh3_16917_CVS_NamNH_040424")</f>
        <v>https://patadovietnam.edu.vn/japan_hn/?utm_source=Facebook&amp;utm_medium=CVS&amp;utm_term=NEW_Japan_1840_none_040424&amp;utm_content=saletructiep_Japan.jh3.1840.giaotiep_PTATT_LD221&amp;utm_campaign=Japan.giaotiep.jh3_16917_CVS_NamNH_040424</v>
      </c>
      <c r="U427" s="110" t="s">
        <v>3861</v>
      </c>
    </row>
    <row r="428">
      <c r="A428" s="72">
        <v>45386.0</v>
      </c>
      <c r="B428" s="75" t="s">
        <v>3863</v>
      </c>
      <c r="C428" s="67" t="str">
        <f>IFERROR(__xludf.DUMMYFUNCTION("""COMPUTED_VALUE"""),"LD222")</f>
        <v>LD222</v>
      </c>
      <c r="D428" s="55" t="s">
        <v>42</v>
      </c>
      <c r="E428" s="55" t="s">
        <v>79</v>
      </c>
      <c r="F428" s="55" t="s">
        <v>107</v>
      </c>
      <c r="G428" s="55">
        <v>1840.0</v>
      </c>
      <c r="H428" s="55" t="s">
        <v>1137</v>
      </c>
      <c r="I428" s="115" t="s">
        <v>3864</v>
      </c>
      <c r="J428" s="55" t="s">
        <v>3865</v>
      </c>
      <c r="K428" s="55" t="s">
        <v>61</v>
      </c>
      <c r="L428" s="55">
        <v>16917.0</v>
      </c>
      <c r="M428" s="55" t="s">
        <v>78</v>
      </c>
      <c r="N428" s="55" t="s">
        <v>79</v>
      </c>
      <c r="O428" s="55" t="s">
        <v>224</v>
      </c>
      <c r="P428" s="55" t="s">
        <v>110</v>
      </c>
      <c r="Q428" s="67" t="str">
        <f>IFERROR(__xludf.DUMMYFUNCTION("""COMPUTED_VALUE"""),"UnitedStates.giaotiep.jh3_16917_MES_NamNH_040424")</f>
        <v>UnitedStates.giaotiep.jh3_16917_MES_NamNH_040424</v>
      </c>
      <c r="R428" s="67" t="str">
        <f>IFERROR(__xludf.DUMMYFUNCTION("""COMPUTED_VALUE"""),"NEW_UnitedStates_1840_none_040424")</f>
        <v>NEW_UnitedStates_1840_none_040424</v>
      </c>
      <c r="S428" s="67" t="str">
        <f>IFERROR(__xludf.DUMMYFUNCTION("""COMPUTED_VALUE"""),"saletructiep_UnitedStates.jh3.1840.giaotiep_PTATT_LD222")</f>
        <v>saletructiep_UnitedStates.jh3.1840.giaotiep_PTATT_LD222</v>
      </c>
      <c r="T428" s="107" t="str">
        <f>IFERROR(__xludf.DUMMYFUNCTION("""COMPUTED_VALUE"""),"https://patadovietnam.edu.vn/giaotiepchung_hn/?utm_source=Facebook&amp;utm_medium=MES&amp;utm_term=NEW_UnitedStates_1840_none_040424&amp;utm_content=saletructiep_UnitedStates.jh3.1840.giaotiep_PTATT_LD222&amp;utm_campaign=UnitedStates.giaotiep.jh3_16917_MES_NamNH_040424")</f>
        <v>https://patadovietnam.edu.vn/giaotiepchung_hn/?utm_source=Facebook&amp;utm_medium=MES&amp;utm_term=NEW_UnitedStates_1840_none_040424&amp;utm_content=saletructiep_UnitedStates.jh3.1840.giaotiep_PTATT_LD222&amp;utm_campaign=UnitedStates.giaotiep.jh3_16917_MES_NamNH_040424</v>
      </c>
      <c r="U428" s="110" t="s">
        <v>3866</v>
      </c>
    </row>
    <row r="429">
      <c r="A429" s="72">
        <v>45386.0</v>
      </c>
      <c r="B429" s="75" t="s">
        <v>3863</v>
      </c>
      <c r="C429" s="67" t="str">
        <f>IFERROR(__xludf.DUMMYFUNCTION("""COMPUTED_VALUE"""),"LD222")</f>
        <v>LD222</v>
      </c>
      <c r="D429" s="55" t="s">
        <v>42</v>
      </c>
      <c r="E429" s="55" t="s">
        <v>79</v>
      </c>
      <c r="F429" s="55" t="s">
        <v>164</v>
      </c>
      <c r="G429" s="55">
        <v>1840.0</v>
      </c>
      <c r="H429" s="55" t="s">
        <v>1137</v>
      </c>
      <c r="I429" s="115" t="s">
        <v>3868</v>
      </c>
      <c r="J429" s="55" t="s">
        <v>3869</v>
      </c>
      <c r="K429" s="55" t="s">
        <v>61</v>
      </c>
      <c r="L429" s="55">
        <v>16917.0</v>
      </c>
      <c r="M429" s="55" t="s">
        <v>78</v>
      </c>
      <c r="N429" s="55" t="s">
        <v>79</v>
      </c>
      <c r="O429" s="55" t="s">
        <v>224</v>
      </c>
      <c r="P429" s="55" t="s">
        <v>110</v>
      </c>
      <c r="Q429" s="67" t="str">
        <f>IFERROR(__xludf.DUMMYFUNCTION("""COMPUTED_VALUE"""),"Taiwan.giaotiep.jh3_16917_MES_NamNH_040424")</f>
        <v>Taiwan.giaotiep.jh3_16917_MES_NamNH_040424</v>
      </c>
      <c r="R429" s="67" t="str">
        <f>IFERROR(__xludf.DUMMYFUNCTION("""COMPUTED_VALUE"""),"NEW_Taiwan_1840_none_040424")</f>
        <v>NEW_Taiwan_1840_none_040424</v>
      </c>
      <c r="S429" s="67" t="str">
        <f>IFERROR(__xludf.DUMMYFUNCTION("""COMPUTED_VALUE"""),"saletructiep_Taiwan.jh3.1840.giaotiep_PTATT_LD222")</f>
        <v>saletructiep_Taiwan.jh3.1840.giaotiep_PTATT_LD222</v>
      </c>
      <c r="T429" s="107" t="str">
        <f>IFERROR(__xludf.DUMMYFUNCTION("""COMPUTED_VALUE"""),"https://patadovietnam.edu.vn/giaotiepchung_hn/?utm_source=Facebook&amp;utm_medium=MES&amp;utm_term=NEW_Taiwan_1840_none_040424&amp;utm_content=saletructiep_Taiwan.jh3.1840.giaotiep_PTATT_LD222&amp;utm_campaign=Taiwan.giaotiep.jh3_16917_MES_NamNH_040424")</f>
        <v>https://patadovietnam.edu.vn/giaotiepchung_hn/?utm_source=Facebook&amp;utm_medium=MES&amp;utm_term=NEW_Taiwan_1840_none_040424&amp;utm_content=saletructiep_Taiwan.jh3.1840.giaotiep_PTATT_LD222&amp;utm_campaign=Taiwan.giaotiep.jh3_16917_MES_NamNH_040424</v>
      </c>
      <c r="U429" s="110" t="s">
        <v>3874</v>
      </c>
    </row>
    <row r="430">
      <c r="A430" s="72">
        <v>45386.0</v>
      </c>
      <c r="B430" s="75" t="s">
        <v>3863</v>
      </c>
      <c r="C430" s="67" t="str">
        <f>IFERROR(__xludf.DUMMYFUNCTION("""COMPUTED_VALUE"""),"LD222")</f>
        <v>LD222</v>
      </c>
      <c r="D430" s="55" t="s">
        <v>42</v>
      </c>
      <c r="E430" s="55" t="s">
        <v>79</v>
      </c>
      <c r="F430" s="55" t="s">
        <v>174</v>
      </c>
      <c r="G430" s="55">
        <v>1840.0</v>
      </c>
      <c r="H430" s="55" t="s">
        <v>1137</v>
      </c>
      <c r="I430" s="115" t="s">
        <v>3875</v>
      </c>
      <c r="J430" s="55" t="s">
        <v>3877</v>
      </c>
      <c r="K430" s="55" t="s">
        <v>61</v>
      </c>
      <c r="L430" s="55">
        <v>16917.0</v>
      </c>
      <c r="M430" s="55" t="s">
        <v>78</v>
      </c>
      <c r="N430" s="55" t="s">
        <v>79</v>
      </c>
      <c r="O430" s="55" t="s">
        <v>224</v>
      </c>
      <c r="P430" s="55" t="s">
        <v>110</v>
      </c>
      <c r="Q430" s="67" t="str">
        <f>IFERROR(__xludf.DUMMYFUNCTION("""COMPUTED_VALUE"""),"Philippines.giaotiep.jh3_16917_MES_NamNH_040424")</f>
        <v>Philippines.giaotiep.jh3_16917_MES_NamNH_040424</v>
      </c>
      <c r="R430" s="67" t="str">
        <f>IFERROR(__xludf.DUMMYFUNCTION("""COMPUTED_VALUE"""),"NEW_Philippines_1840_none_040424")</f>
        <v>NEW_Philippines_1840_none_040424</v>
      </c>
      <c r="S430" s="67" t="str">
        <f>IFERROR(__xludf.DUMMYFUNCTION("""COMPUTED_VALUE"""),"saletructiep_Philippines.jh3.1840.giaotiep_PTATT_LD222")</f>
        <v>saletructiep_Philippines.jh3.1840.giaotiep_PTATT_LD222</v>
      </c>
      <c r="T430" s="107" t="str">
        <f>IFERROR(__xludf.DUMMYFUNCTION("""COMPUTED_VALUE"""),"https://patadovietnam.edu.vn/giaotiepchung_hn/?utm_source=Facebook&amp;utm_medium=MES&amp;utm_term=NEW_Philippines_1840_none_040424&amp;utm_content=saletructiep_Philippines.jh3.1840.giaotiep_PTATT_LD222&amp;utm_campaign=Philippines.giaotiep.jh3_16917_MES_NamNH_040424")</f>
        <v>https://patadovietnam.edu.vn/giaotiepchung_hn/?utm_source=Facebook&amp;utm_medium=MES&amp;utm_term=NEW_Philippines_1840_none_040424&amp;utm_content=saletructiep_Philippines.jh3.1840.giaotiep_PTATT_LD222&amp;utm_campaign=Philippines.giaotiep.jh3_16917_MES_NamNH_040424</v>
      </c>
      <c r="U430" s="110" t="s">
        <v>3883</v>
      </c>
    </row>
    <row r="431">
      <c r="A431" s="72">
        <v>45386.0</v>
      </c>
      <c r="B431" s="75" t="s">
        <v>3863</v>
      </c>
      <c r="C431" s="67" t="str">
        <f>IFERROR(__xludf.DUMMYFUNCTION("""COMPUTED_VALUE"""),"LD222")</f>
        <v>LD222</v>
      </c>
      <c r="D431" s="55" t="s">
        <v>42</v>
      </c>
      <c r="E431" s="55" t="s">
        <v>79</v>
      </c>
      <c r="F431" s="55" t="s">
        <v>625</v>
      </c>
      <c r="G431" s="55">
        <v>1840.0</v>
      </c>
      <c r="H431" s="55" t="s">
        <v>1137</v>
      </c>
      <c r="I431" s="115" t="s">
        <v>3885</v>
      </c>
      <c r="J431" s="55" t="s">
        <v>3886</v>
      </c>
      <c r="K431" s="55" t="s">
        <v>61</v>
      </c>
      <c r="L431" s="55">
        <v>16917.0</v>
      </c>
      <c r="M431" s="55" t="s">
        <v>78</v>
      </c>
      <c r="N431" s="55" t="s">
        <v>79</v>
      </c>
      <c r="O431" s="55" t="s">
        <v>224</v>
      </c>
      <c r="P431" s="55" t="s">
        <v>110</v>
      </c>
      <c r="Q431" s="67" t="str">
        <f>IFERROR(__xludf.DUMMYFUNCTION("""COMPUTED_VALUE"""),"KoreaSouth.giaotiep.jh3_16917_MES_NamNH_040424")</f>
        <v>KoreaSouth.giaotiep.jh3_16917_MES_NamNH_040424</v>
      </c>
      <c r="R431" s="67" t="str">
        <f>IFERROR(__xludf.DUMMYFUNCTION("""COMPUTED_VALUE"""),"NEW_KoreaSouth_1840_none_040424")</f>
        <v>NEW_KoreaSouth_1840_none_040424</v>
      </c>
      <c r="S431" s="67" t="str">
        <f>IFERROR(__xludf.DUMMYFUNCTION("""COMPUTED_VALUE"""),"saletructiep_KoreaSouth.jh3.1840.giaotiep_PTATT_LD222")</f>
        <v>saletructiep_KoreaSouth.jh3.1840.giaotiep_PTATT_LD222</v>
      </c>
      <c r="T431" s="107" t="str">
        <f>IFERROR(__xludf.DUMMYFUNCTION("""COMPUTED_VALUE"""),"https://patadovietnam.edu.vn/giaotiepchung_hn/?utm_source=Facebook&amp;utm_medium=MES&amp;utm_term=NEW_KoreaSouth_1840_none_040424&amp;utm_content=saletructiep_KoreaSouth.jh3.1840.giaotiep_PTATT_LD222&amp;utm_campaign=KoreaSouth.giaotiep.jh3_16917_MES_NamNH_040424")</f>
        <v>https://patadovietnam.edu.vn/giaotiepchung_hn/?utm_source=Facebook&amp;utm_medium=MES&amp;utm_term=NEW_KoreaSouth_1840_none_040424&amp;utm_content=saletructiep_KoreaSouth.jh3.1840.giaotiep_PTATT_LD222&amp;utm_campaign=KoreaSouth.giaotiep.jh3_16917_MES_NamNH_040424</v>
      </c>
      <c r="U431" s="110" t="s">
        <v>3892</v>
      </c>
    </row>
    <row r="432">
      <c r="A432" s="72">
        <v>45386.0</v>
      </c>
      <c r="B432" s="75" t="s">
        <v>3857</v>
      </c>
      <c r="C432" s="67" t="str">
        <f>IFERROR(__xludf.DUMMYFUNCTION("""COMPUTED_VALUE"""),"LD221")</f>
        <v>LD221</v>
      </c>
      <c r="D432" s="114" t="s">
        <v>42</v>
      </c>
      <c r="E432" s="114" t="s">
        <v>69</v>
      </c>
      <c r="F432" s="114" t="s">
        <v>133</v>
      </c>
      <c r="G432" s="114">
        <v>1840.0</v>
      </c>
      <c r="H432" s="114" t="s">
        <v>1137</v>
      </c>
      <c r="I432" s="115" t="s">
        <v>3802</v>
      </c>
      <c r="J432" s="55" t="s">
        <v>3804</v>
      </c>
      <c r="K432" s="55" t="s">
        <v>61</v>
      </c>
      <c r="L432" s="55">
        <v>16917.0</v>
      </c>
      <c r="M432" s="55" t="s">
        <v>78</v>
      </c>
      <c r="N432" s="55" t="s">
        <v>69</v>
      </c>
      <c r="O432" s="55" t="s">
        <v>224</v>
      </c>
      <c r="P432" s="55" t="s">
        <v>110</v>
      </c>
      <c r="Q432" s="67" t="str">
        <f>IFERROR(__xludf.DUMMYFUNCTION("""COMPUTED_VALUE"""),"Japan.giaotiep.PTKOC_16917_CVS_NamNH_040424")</f>
        <v>Japan.giaotiep.PTKOC_16917_CVS_NamNH_040424</v>
      </c>
      <c r="R432" s="67" t="str">
        <f>IFERROR(__xludf.DUMMYFUNCTION("""COMPUTED_VALUE"""),"NEW_Japan_1840_none_040424")</f>
        <v>NEW_Japan_1840_none_040424</v>
      </c>
      <c r="S432" s="67" t="str">
        <f>IFERROR(__xludf.DUMMYFUNCTION("""COMPUTED_VALUE"""),"saletructiep_Japan.PTKOC.1840.giaotiep_PTATT_LD221")</f>
        <v>saletructiep_Japan.PTKOC.1840.giaotiep_PTATT_LD221</v>
      </c>
      <c r="T432" s="107" t="str">
        <f>IFERROR(__xludf.DUMMYFUNCTION("""COMPUTED_VALUE"""),"https://patadovietnam.edu.vn/japan_hn/?utm_source=Facebook&amp;utm_medium=CVS&amp;utm_term=NEW_Japan_1840_none_040424&amp;utm_content=saletructiep_Japan.PTKOC.1840.giaotiep_PTATT_LD221&amp;utm_campaign=Japan.giaotiep.PTKOC_16917_CVS_NamNH_040424")</f>
        <v>https://patadovietnam.edu.vn/japan_hn/?utm_source=Facebook&amp;utm_medium=CVS&amp;utm_term=NEW_Japan_1840_none_040424&amp;utm_content=saletructiep_Japan.PTKOC.1840.giaotiep_PTATT_LD221&amp;utm_campaign=Japan.giaotiep.PTKOC_16917_CVS_NamNH_040424</v>
      </c>
      <c r="U432" s="110" t="s">
        <v>3897</v>
      </c>
    </row>
    <row r="433">
      <c r="A433" s="72">
        <v>45386.0</v>
      </c>
      <c r="B433" s="75" t="s">
        <v>3857</v>
      </c>
      <c r="C433" s="67" t="str">
        <f>IFERROR(__xludf.DUMMYFUNCTION("""COMPUTED_VALUE"""),"LD221")</f>
        <v>LD221</v>
      </c>
      <c r="D433" s="114" t="s">
        <v>42</v>
      </c>
      <c r="E433" s="114" t="s">
        <v>69</v>
      </c>
      <c r="F433" s="114" t="s">
        <v>133</v>
      </c>
      <c r="G433" s="114">
        <v>1840.0</v>
      </c>
      <c r="H433" s="114" t="s">
        <v>1137</v>
      </c>
      <c r="I433" s="115" t="s">
        <v>3752</v>
      </c>
      <c r="J433" s="55" t="s">
        <v>3753</v>
      </c>
      <c r="K433" s="55" t="s">
        <v>61</v>
      </c>
      <c r="L433" s="55">
        <v>16917.0</v>
      </c>
      <c r="M433" s="55" t="s">
        <v>78</v>
      </c>
      <c r="N433" s="55" t="s">
        <v>69</v>
      </c>
      <c r="O433" s="55" t="s">
        <v>224</v>
      </c>
      <c r="P433" s="55" t="s">
        <v>110</v>
      </c>
      <c r="Q433" s="67" t="str">
        <f>IFERROR(__xludf.DUMMYFUNCTION("""COMPUTED_VALUE"""),"Japan.giaotiep.HTKOC_16917_CVS_NamNH_040424")</f>
        <v>Japan.giaotiep.HTKOC_16917_CVS_NamNH_040424</v>
      </c>
      <c r="R433" s="67" t="str">
        <f>IFERROR(__xludf.DUMMYFUNCTION("""COMPUTED_VALUE"""),"NEW_Japan_1840_none_040424")</f>
        <v>NEW_Japan_1840_none_040424</v>
      </c>
      <c r="S433" s="67" t="str">
        <f>IFERROR(__xludf.DUMMYFUNCTION("""COMPUTED_VALUE"""),"saletructiep_Japan.HTKOC.1840.giaotiep_PTATT_LD221")</f>
        <v>saletructiep_Japan.HTKOC.1840.giaotiep_PTATT_LD221</v>
      </c>
      <c r="T433" s="107" t="str">
        <f>IFERROR(__xludf.DUMMYFUNCTION("""COMPUTED_VALUE"""),"https://patadovietnam.edu.vn/japan_hn/?utm_source=Facebook&amp;utm_medium=CVS&amp;utm_term=NEW_Japan_1840_none_040424&amp;utm_content=saletructiep_Japan.HTKOC.1840.giaotiep_PTATT_LD221&amp;utm_campaign=Japan.giaotiep.HTKOC_16917_CVS_NamNH_040424")</f>
        <v>https://patadovietnam.edu.vn/japan_hn/?utm_source=Facebook&amp;utm_medium=CVS&amp;utm_term=NEW_Japan_1840_none_040424&amp;utm_content=saletructiep_Japan.HTKOC.1840.giaotiep_PTATT_LD221&amp;utm_campaign=Japan.giaotiep.HTKOC_16917_CVS_NamNH_040424</v>
      </c>
      <c r="U433" s="110" t="s">
        <v>3901</v>
      </c>
    </row>
    <row r="434">
      <c r="A434" s="72">
        <v>45397.0</v>
      </c>
      <c r="B434" s="75" t="s">
        <v>3903</v>
      </c>
      <c r="C434" s="67" t="str">
        <f>IFERROR(__xludf.DUMMYFUNCTION("""COMPUTED_VALUE"""),"LD224")</f>
        <v>LD224</v>
      </c>
      <c r="D434" s="114" t="s">
        <v>42</v>
      </c>
      <c r="E434" s="114" t="s">
        <v>69</v>
      </c>
      <c r="F434" s="114" t="s">
        <v>199</v>
      </c>
      <c r="G434" s="114">
        <v>1836.0</v>
      </c>
      <c r="H434" s="114" t="s">
        <v>1137</v>
      </c>
      <c r="I434" s="55" t="s">
        <v>3906</v>
      </c>
      <c r="J434" s="55" t="s">
        <v>3907</v>
      </c>
      <c r="K434" s="55" t="s">
        <v>61</v>
      </c>
      <c r="L434" s="55" t="s">
        <v>3607</v>
      </c>
      <c r="M434" s="55" t="s">
        <v>78</v>
      </c>
      <c r="N434" s="55" t="s">
        <v>69</v>
      </c>
      <c r="O434" s="55" t="s">
        <v>224</v>
      </c>
      <c r="P434" s="55" t="s">
        <v>110</v>
      </c>
      <c r="Q434" s="67" t="str">
        <f>IFERROR(__xludf.DUMMYFUNCTION("""COMPUTED_VALUE"""),"Vietnam.DoanhNghiep.4KNBE2_SCB.9889_CVS_NamNH_150424")</f>
        <v>Vietnam.DoanhNghiep.4KNBE2_SCB.9889_CVS_NamNH_150424</v>
      </c>
      <c r="R434" s="67" t="str">
        <f>IFERROR(__xludf.DUMMYFUNCTION("""COMPUTED_VALUE"""),"NEW_Vietnam_1836_none_150424")</f>
        <v>NEW_Vietnam_1836_none_150424</v>
      </c>
      <c r="S434" s="67" t="str">
        <f>IFERROR(__xludf.DUMMYFUNCTION("""COMPUTED_VALUE"""),"saletructiep_Vietnam.4KNBE2.1840.DoanhNghiep_PTATT_LD224")</f>
        <v>saletructiep_Vietnam.4KNBE2.1840.DoanhNghiep_PTATT_LD224</v>
      </c>
      <c r="T434" s="107" t="str">
        <f>IFERROR(__xludf.DUMMYFUNCTION("""COMPUTED_VALUE"""),"https://patadovietnam.edu.vn/tienganhdoanhnghiep_hn/?utm_source=Facebook&amp;utm_medium=CVS&amp;utm_term=NEW_Vietnam_1836_none_150424&amp;utm_content=saletructiep_Vietnam.4KNBE2.1840.DoanhNghiep_PTATT_LD224&amp;utm_campaign=Vietnam.DoanhNghiep.4KNBE2_SCB.9889_CVS_NamNH_1"&amp;"50424")</f>
        <v>https://patadovietnam.edu.vn/tienganhdoanhnghiep_hn/?utm_source=Facebook&amp;utm_medium=CVS&amp;utm_term=NEW_Vietnam_1836_none_150424&amp;utm_content=saletructiep_Vietnam.4KNBE2.1840.DoanhNghiep_PTATT_LD224&amp;utm_campaign=Vietnam.DoanhNghiep.4KNBE2_SCB.9889_CVS_NamNH_150424</v>
      </c>
      <c r="U434" s="110" t="s">
        <v>3910</v>
      </c>
    </row>
    <row r="435">
      <c r="A435" s="72">
        <v>45397.0</v>
      </c>
      <c r="B435" s="75" t="s">
        <v>3903</v>
      </c>
      <c r="C435" s="67" t="str">
        <f>IFERROR(__xludf.DUMMYFUNCTION("""COMPUTED_VALUE"""),"LD224")</f>
        <v>LD224</v>
      </c>
      <c r="D435" s="55" t="s">
        <v>42</v>
      </c>
      <c r="E435" s="55" t="s">
        <v>79</v>
      </c>
      <c r="F435" s="114" t="s">
        <v>199</v>
      </c>
      <c r="G435" s="114">
        <v>1836.0</v>
      </c>
      <c r="H435" s="114" t="s">
        <v>1137</v>
      </c>
      <c r="I435" s="55" t="s">
        <v>3911</v>
      </c>
      <c r="J435" s="55" t="s">
        <v>3912</v>
      </c>
      <c r="K435" s="55" t="s">
        <v>61</v>
      </c>
      <c r="L435" s="55" t="s">
        <v>3607</v>
      </c>
      <c r="M435" s="55" t="s">
        <v>78</v>
      </c>
      <c r="N435" s="55" t="s">
        <v>79</v>
      </c>
      <c r="O435" s="55" t="s">
        <v>224</v>
      </c>
      <c r="P435" s="55" t="s">
        <v>110</v>
      </c>
      <c r="Q435" s="67" t="str">
        <f>IFERROR(__xludf.DUMMYFUNCTION("""COMPUTED_VALUE"""),"Vietnam.DoanhNghiep.VDM_SCB.9889_MES_NamNH_150424")</f>
        <v>Vietnam.DoanhNghiep.VDM_SCB.9889_MES_NamNH_150424</v>
      </c>
      <c r="R435" s="67" t="str">
        <f>IFERROR(__xludf.DUMMYFUNCTION("""COMPUTED_VALUE"""),"NEW_Vietnam_1836_none_150424")</f>
        <v>NEW_Vietnam_1836_none_150424</v>
      </c>
      <c r="S435" s="67" t="str">
        <f>IFERROR(__xludf.DUMMYFUNCTION("""COMPUTED_VALUE"""),"saletructiep_Vietnam.VDM.1836.DoanhNghiep_PTATT_LD224")</f>
        <v>saletructiep_Vietnam.VDM.1836.DoanhNghiep_PTATT_LD224</v>
      </c>
      <c r="T435" s="107" t="str">
        <f>IFERROR(__xludf.DUMMYFUNCTION("""COMPUTED_VALUE"""),"https://patadovietnam.edu.vn/tienganhdoanhnghiep_hn/?utm_source=Facebook&amp;utm_medium=MES&amp;utm_term=NEW_Vietnam_1836_none_150424&amp;utm_content=saletructiep_Vietnam.VDM.1836.DoanhNghiep_PTATT_LD224&amp;utm_campaign=Vietnam.DoanhNghiep.VDM_SCB.9889_MES_NamNH_150424")</f>
        <v>https://patadovietnam.edu.vn/tienganhdoanhnghiep_hn/?utm_source=Facebook&amp;utm_medium=MES&amp;utm_term=NEW_Vietnam_1836_none_150424&amp;utm_content=saletructiep_Vietnam.VDM.1836.DoanhNghiep_PTATT_LD224&amp;utm_campaign=Vietnam.DoanhNghiep.VDM_SCB.9889_MES_NamNH_150424</v>
      </c>
      <c r="U435" s="110" t="s">
        <v>3919</v>
      </c>
    </row>
    <row r="436">
      <c r="A436" s="72">
        <v>45397.0</v>
      </c>
      <c r="B436" s="75" t="s">
        <v>3903</v>
      </c>
      <c r="C436" s="67" t="str">
        <f>IFERROR(__xludf.DUMMYFUNCTION("""COMPUTED_VALUE"""),"LD224")</f>
        <v>LD224</v>
      </c>
      <c r="D436" s="55" t="s">
        <v>42</v>
      </c>
      <c r="E436" s="55" t="s">
        <v>79</v>
      </c>
      <c r="F436" s="114" t="s">
        <v>3032</v>
      </c>
      <c r="G436" s="114">
        <v>1836.0</v>
      </c>
      <c r="H436" s="114" t="s">
        <v>1137</v>
      </c>
      <c r="I436" s="55" t="s">
        <v>3922</v>
      </c>
      <c r="J436" s="55" t="s">
        <v>3923</v>
      </c>
      <c r="K436" s="55" t="s">
        <v>61</v>
      </c>
      <c r="L436" s="55" t="s">
        <v>3607</v>
      </c>
      <c r="M436" s="55" t="s">
        <v>78</v>
      </c>
      <c r="N436" s="55" t="s">
        <v>79</v>
      </c>
      <c r="O436" s="55" t="s">
        <v>224</v>
      </c>
      <c r="P436" s="55" t="s">
        <v>110</v>
      </c>
      <c r="Q436" s="67" t="str">
        <f>IFERROR(__xludf.DUMMYFUNCTION("""COMPUTED_VALUE"""),"HCM.DoanhNghiep.VDM_SCB.9889_MES_NamNH_150424")</f>
        <v>HCM.DoanhNghiep.VDM_SCB.9889_MES_NamNH_150424</v>
      </c>
      <c r="R436" s="67" t="str">
        <f>IFERROR(__xludf.DUMMYFUNCTION("""COMPUTED_VALUE"""),"NEW_HCM_1836_none_150424")</f>
        <v>NEW_HCM_1836_none_150424</v>
      </c>
      <c r="S436" s="67" t="str">
        <f>IFERROR(__xludf.DUMMYFUNCTION("""COMPUTED_VALUE"""),"saletructiep_HCM.VDM.1836.DoanhNghiep_PTATT_LD224")</f>
        <v>saletructiep_HCM.VDM.1836.DoanhNghiep_PTATT_LD224</v>
      </c>
      <c r="T436" s="107" t="str">
        <f>IFERROR(__xludf.DUMMYFUNCTION("""COMPUTED_VALUE"""),"https://patadovietnam.edu.vn/tienganhdoanhnghiep_hn/?utm_source=Facebook&amp;utm_medium=MES&amp;utm_term=NEW_HCM_1836_none_150424&amp;utm_content=saletructiep_HCM.VDM.1836.DoanhNghiep_PTATT_LD224&amp;utm_campaign=HCM.DoanhNghiep.VDM_SCB.9889_MES_NamNH_150424")</f>
        <v>https://patadovietnam.edu.vn/tienganhdoanhnghiep_hn/?utm_source=Facebook&amp;utm_medium=MES&amp;utm_term=NEW_HCM_1836_none_150424&amp;utm_content=saletructiep_HCM.VDM.1836.DoanhNghiep_PTATT_LD224&amp;utm_campaign=HCM.DoanhNghiep.VDM_SCB.9889_MES_NamNH_150424</v>
      </c>
      <c r="U436" s="110" t="s">
        <v>3925</v>
      </c>
    </row>
    <row r="437">
      <c r="A437" s="72">
        <v>45397.0</v>
      </c>
      <c r="B437" s="75" t="s">
        <v>3903</v>
      </c>
      <c r="C437" s="67" t="str">
        <f>IFERROR(__xludf.DUMMYFUNCTION("""COMPUTED_VALUE"""),"LD224")</f>
        <v>LD224</v>
      </c>
      <c r="D437" s="55" t="s">
        <v>42</v>
      </c>
      <c r="E437" s="55" t="s">
        <v>79</v>
      </c>
      <c r="F437" s="114" t="s">
        <v>3928</v>
      </c>
      <c r="G437" s="114">
        <v>1836.0</v>
      </c>
      <c r="H437" s="114" t="s">
        <v>1137</v>
      </c>
      <c r="I437" s="55" t="s">
        <v>3929</v>
      </c>
      <c r="J437" s="55" t="s">
        <v>3930</v>
      </c>
      <c r="K437" s="55" t="s">
        <v>61</v>
      </c>
      <c r="L437" s="55" t="s">
        <v>3607</v>
      </c>
      <c r="M437" s="55" t="s">
        <v>78</v>
      </c>
      <c r="N437" s="55" t="s">
        <v>79</v>
      </c>
      <c r="O437" s="55" t="s">
        <v>224</v>
      </c>
      <c r="P437" s="55" t="s">
        <v>110</v>
      </c>
      <c r="Q437" s="67" t="str">
        <f>IFERROR(__xludf.DUMMYFUNCTION("""COMPUTED_VALUE"""),"Haiphong.DoanhNghiep.4KNBE2_SCB.9889_MES_NamNH_150424")</f>
        <v>Haiphong.DoanhNghiep.4KNBE2_SCB.9889_MES_NamNH_150424</v>
      </c>
      <c r="R437" s="67" t="str">
        <f>IFERROR(__xludf.DUMMYFUNCTION("""COMPUTED_VALUE"""),"NEW_Haiphong_1836_none_150424")</f>
        <v>NEW_Haiphong_1836_none_150424</v>
      </c>
      <c r="S437" s="67" t="str">
        <f>IFERROR(__xludf.DUMMYFUNCTION("""COMPUTED_VALUE"""),"saletructiep_Haiphong.4KNBE2.1840.DoanhNghiep_PTATT_LD224")</f>
        <v>saletructiep_Haiphong.4KNBE2.1840.DoanhNghiep_PTATT_LD224</v>
      </c>
      <c r="T437" s="107" t="str">
        <f>IFERROR(__xludf.DUMMYFUNCTION("""COMPUTED_VALUE"""),"https://patadovietnam.edu.vn/tienganhdoanhnghiep_hn/?utm_source=Facebook&amp;utm_medium=MES&amp;utm_term=NEW_Haiphong_1836_none_150424&amp;utm_content=saletructiep_Haiphong.4KNBE2.1840.DoanhNghiep_PTATT_LD224&amp;utm_campaign=Haiphong.DoanhNghiep.4KNBE2_SCB.9889_MES_NamN"&amp;"H_150424")</f>
        <v>https://patadovietnam.edu.vn/tienganhdoanhnghiep_hn/?utm_source=Facebook&amp;utm_medium=MES&amp;utm_term=NEW_Haiphong_1836_none_150424&amp;utm_content=saletructiep_Haiphong.4KNBE2.1840.DoanhNghiep_PTATT_LD224&amp;utm_campaign=Haiphong.DoanhNghiep.4KNBE2_SCB.9889_MES_NamNH_150424</v>
      </c>
      <c r="U437" s="110" t="s">
        <v>3932</v>
      </c>
    </row>
    <row r="438">
      <c r="A438" s="72">
        <v>45397.0</v>
      </c>
      <c r="B438" s="75" t="s">
        <v>3903</v>
      </c>
      <c r="C438" s="67" t="str">
        <f>IFERROR(__xludf.DUMMYFUNCTION("""COMPUTED_VALUE"""),"LD224")</f>
        <v>LD224</v>
      </c>
      <c r="D438" s="55" t="s">
        <v>42</v>
      </c>
      <c r="E438" s="55" t="s">
        <v>79</v>
      </c>
      <c r="F438" s="114" t="s">
        <v>3935</v>
      </c>
      <c r="G438" s="114">
        <v>1836.0</v>
      </c>
      <c r="H438" s="114" t="s">
        <v>1137</v>
      </c>
      <c r="I438" s="55" t="s">
        <v>3936</v>
      </c>
      <c r="J438" s="55" t="s">
        <v>3937</v>
      </c>
      <c r="K438" s="55" t="s">
        <v>61</v>
      </c>
      <c r="L438" s="55" t="s">
        <v>3607</v>
      </c>
      <c r="M438" s="55" t="s">
        <v>78</v>
      </c>
      <c r="N438" s="55" t="s">
        <v>79</v>
      </c>
      <c r="O438" s="55" t="s">
        <v>224</v>
      </c>
      <c r="P438" s="55" t="s">
        <v>110</v>
      </c>
      <c r="Q438" s="67" t="str">
        <f>IFERROR(__xludf.DUMMYFUNCTION("""COMPUTED_VALUE"""),"QuangNinh.DoanhNghiep.4KNBE2_SCB.9889_MES_NamNH_150424")</f>
        <v>QuangNinh.DoanhNghiep.4KNBE2_SCB.9889_MES_NamNH_150424</v>
      </c>
      <c r="R438" s="67" t="str">
        <f>IFERROR(__xludf.DUMMYFUNCTION("""COMPUTED_VALUE"""),"NEW_QuangNinh_1836_none_150424")</f>
        <v>NEW_QuangNinh_1836_none_150424</v>
      </c>
      <c r="S438" s="67" t="str">
        <f>IFERROR(__xludf.DUMMYFUNCTION("""COMPUTED_VALUE"""),"saletructiep_QuangNinh.4KNBE2.1840.DoanhNghiep_PTATT_LD224")</f>
        <v>saletructiep_QuangNinh.4KNBE2.1840.DoanhNghiep_PTATT_LD224</v>
      </c>
      <c r="T438" s="107" t="str">
        <f>IFERROR(__xludf.DUMMYFUNCTION("""COMPUTED_VALUE"""),"https://patadovietnam.edu.vn/tienganhdoanhnghiep_hn/?utm_source=Facebook&amp;utm_medium=MES&amp;utm_term=NEW_QuangNinh_1836_none_150424&amp;utm_content=saletructiep_QuangNinh.4KNBE2.1840.DoanhNghiep_PTATT_LD224&amp;utm_campaign=QuangNinh.DoanhNghiep.4KNBE2_SCB.9889_MES_N"&amp;"amNH_150424")</f>
        <v>https://patadovietnam.edu.vn/tienganhdoanhnghiep_hn/?utm_source=Facebook&amp;utm_medium=MES&amp;utm_term=NEW_QuangNinh_1836_none_150424&amp;utm_content=saletructiep_QuangNinh.4KNBE2.1840.DoanhNghiep_PTATT_LD224&amp;utm_campaign=QuangNinh.DoanhNghiep.4KNBE2_SCB.9889_MES_NamNH_150424</v>
      </c>
      <c r="U438" s="110" t="s">
        <v>3942</v>
      </c>
    </row>
    <row r="439">
      <c r="A439" s="72">
        <v>45397.0</v>
      </c>
      <c r="B439" s="75" t="s">
        <v>3903</v>
      </c>
      <c r="C439" s="67" t="str">
        <f>IFERROR(__xludf.DUMMYFUNCTION("""COMPUTED_VALUE"""),"LD224")</f>
        <v>LD224</v>
      </c>
      <c r="D439" s="55" t="s">
        <v>42</v>
      </c>
      <c r="E439" s="55" t="s">
        <v>69</v>
      </c>
      <c r="F439" s="114" t="s">
        <v>3032</v>
      </c>
      <c r="G439" s="114">
        <v>1836.0</v>
      </c>
      <c r="H439" s="114" t="s">
        <v>1137</v>
      </c>
      <c r="I439" s="55" t="s">
        <v>3946</v>
      </c>
      <c r="J439" s="55" t="s">
        <v>3947</v>
      </c>
      <c r="K439" s="55" t="s">
        <v>61</v>
      </c>
      <c r="L439" s="55" t="s">
        <v>3607</v>
      </c>
      <c r="M439" s="55" t="s">
        <v>78</v>
      </c>
      <c r="N439" s="55" t="s">
        <v>69</v>
      </c>
      <c r="O439" s="55" t="s">
        <v>224</v>
      </c>
      <c r="P439" s="55" t="s">
        <v>110</v>
      </c>
      <c r="Q439" s="67" t="str">
        <f>IFERROR(__xludf.DUMMYFUNCTION("""COMPUTED_VALUE"""),"HCM.DoanhNghiep.4KNBE2_SCB.9889_CVS_NamNH_150424")</f>
        <v>HCM.DoanhNghiep.4KNBE2_SCB.9889_CVS_NamNH_150424</v>
      </c>
      <c r="R439" s="67" t="str">
        <f>IFERROR(__xludf.DUMMYFUNCTION("""COMPUTED_VALUE"""),"NEW_HCM_1836_none_150424")</f>
        <v>NEW_HCM_1836_none_150424</v>
      </c>
      <c r="S439" s="67" t="str">
        <f>IFERROR(__xludf.DUMMYFUNCTION("""COMPUTED_VALUE"""),"saletructiep_HCM.4KNBE2.1836.DoanhNghiep_PTATT_LD224")</f>
        <v>saletructiep_HCM.4KNBE2.1836.DoanhNghiep_PTATT_LD224</v>
      </c>
      <c r="T439" s="107" t="str">
        <f>IFERROR(__xludf.DUMMYFUNCTION("""COMPUTED_VALUE"""),"https://patadovietnam.edu.vn/tienganhdoanhnghiep_hn/?utm_source=Facebook&amp;utm_medium=CVS&amp;utm_term=NEW_HCM_1836_none_150424&amp;utm_content=saletructiep_HCM.4KNBE2.1836.DoanhNghiep_PTATT_LD224&amp;utm_campaign=HCM.DoanhNghiep.4KNBE2_SCB.9889_CVS_NamNH_150424")</f>
        <v>https://patadovietnam.edu.vn/tienganhdoanhnghiep_hn/?utm_source=Facebook&amp;utm_medium=CVS&amp;utm_term=NEW_HCM_1836_none_150424&amp;utm_content=saletructiep_HCM.4KNBE2.1836.DoanhNghiep_PTATT_LD224&amp;utm_campaign=HCM.DoanhNghiep.4KNBE2_SCB.9889_CVS_NamNH_150424</v>
      </c>
      <c r="U439" s="110" t="s">
        <v>3951</v>
      </c>
    </row>
    <row r="440">
      <c r="A440" s="72">
        <v>45397.0</v>
      </c>
      <c r="B440" s="75" t="s">
        <v>3903</v>
      </c>
      <c r="C440" s="67" t="str">
        <f>IFERROR(__xludf.DUMMYFUNCTION("""COMPUTED_VALUE"""),"LD224")</f>
        <v>LD224</v>
      </c>
      <c r="D440" s="55" t="s">
        <v>42</v>
      </c>
      <c r="E440" s="55" t="s">
        <v>79</v>
      </c>
      <c r="F440" s="114" t="s">
        <v>3935</v>
      </c>
      <c r="G440" s="114">
        <v>1836.0</v>
      </c>
      <c r="H440" s="114" t="s">
        <v>1137</v>
      </c>
      <c r="I440" s="55" t="s">
        <v>3953</v>
      </c>
      <c r="J440" s="55" t="s">
        <v>3954</v>
      </c>
      <c r="K440" s="55" t="s">
        <v>61</v>
      </c>
      <c r="L440" s="55" t="s">
        <v>3607</v>
      </c>
      <c r="M440" s="55" t="s">
        <v>78</v>
      </c>
      <c r="N440" s="55" t="s">
        <v>79</v>
      </c>
      <c r="O440" s="55" t="s">
        <v>224</v>
      </c>
      <c r="P440" s="55" t="s">
        <v>110</v>
      </c>
      <c r="Q440" s="67" t="str">
        <f>IFERROR(__xludf.DUMMYFUNCTION("""COMPUTED_VALUE"""),"QuangNinh.DoanhNghiep.VDM_SCB.9889_MES_NamNH_150424")</f>
        <v>QuangNinh.DoanhNghiep.VDM_SCB.9889_MES_NamNH_150424</v>
      </c>
      <c r="R440" s="67" t="str">
        <f>IFERROR(__xludf.DUMMYFUNCTION("""COMPUTED_VALUE"""),"NEW_QuangNinh_1836_none_150424")</f>
        <v>NEW_QuangNinh_1836_none_150424</v>
      </c>
      <c r="S440" s="67" t="str">
        <f>IFERROR(__xludf.DUMMYFUNCTION("""COMPUTED_VALUE"""),"saletructiep_QuangNinh.VDM.1840.DoanhNghiep_PTATT_LD224")</f>
        <v>saletructiep_QuangNinh.VDM.1840.DoanhNghiep_PTATT_LD224</v>
      </c>
      <c r="T440" s="107" t="str">
        <f>IFERROR(__xludf.DUMMYFUNCTION("""COMPUTED_VALUE"""),"https://patadovietnam.edu.vn/tienganhdoanhnghiep_hn/?utm_source=Facebook&amp;utm_medium=MES&amp;utm_term=NEW_QuangNinh_1836_none_150424&amp;utm_content=saletructiep_QuangNinh.VDM.1840.DoanhNghiep_PTATT_LD224&amp;utm_campaign=QuangNinh.DoanhNghiep.VDM_SCB.9889_MES_NamNH_1"&amp;"50424")</f>
        <v>https://patadovietnam.edu.vn/tienganhdoanhnghiep_hn/?utm_source=Facebook&amp;utm_medium=MES&amp;utm_term=NEW_QuangNinh_1836_none_150424&amp;utm_content=saletructiep_QuangNinh.VDM.1840.DoanhNghiep_PTATT_LD224&amp;utm_campaign=QuangNinh.DoanhNghiep.VDM_SCB.9889_MES_NamNH_150424</v>
      </c>
      <c r="U440" s="110" t="s">
        <v>3962</v>
      </c>
    </row>
    <row r="441">
      <c r="A441" s="72">
        <v>45397.0</v>
      </c>
      <c r="B441" s="75" t="s">
        <v>1134</v>
      </c>
      <c r="C441" s="67" t="str">
        <f>IFERROR(__xludf.DUMMYFUNCTION("""COMPUTED_VALUE"""),"LD153")</f>
        <v>LD153</v>
      </c>
      <c r="D441" s="55" t="s">
        <v>42</v>
      </c>
      <c r="E441" s="55" t="s">
        <v>79</v>
      </c>
      <c r="F441" s="55" t="s">
        <v>107</v>
      </c>
      <c r="G441" s="55">
        <v>1840.0</v>
      </c>
      <c r="H441" s="55" t="s">
        <v>1137</v>
      </c>
      <c r="I441" s="115" t="s">
        <v>3965</v>
      </c>
      <c r="J441" s="55" t="s">
        <v>3966</v>
      </c>
      <c r="K441" s="55" t="s">
        <v>61</v>
      </c>
      <c r="L441" s="55">
        <v>16917.0</v>
      </c>
      <c r="M441" s="55" t="s">
        <v>78</v>
      </c>
      <c r="N441" s="55" t="s">
        <v>79</v>
      </c>
      <c r="O441" s="55" t="s">
        <v>224</v>
      </c>
      <c r="P441" s="55" t="s">
        <v>110</v>
      </c>
      <c r="Q441" s="67" t="str">
        <f>IFERROR(__xludf.DUMMYFUNCTION("""COMPUTED_VALUE"""),"UnitedStates.giaotiep.BDB_16917_MES_NamNH_150424")</f>
        <v>UnitedStates.giaotiep.BDB_16917_MES_NamNH_150424</v>
      </c>
      <c r="R441" s="67" t="str">
        <f>IFERROR(__xludf.DUMMYFUNCTION("""COMPUTED_VALUE"""),"NEW_UnitedStates_1840_none_150424")</f>
        <v>NEW_UnitedStates_1840_none_150424</v>
      </c>
      <c r="S441" s="67" t="str">
        <f>IFERROR(__xludf.DUMMYFUNCTION("""COMPUTED_VALUE"""),"saletructiep_UnitedStates.BDB.1840.giaotiep_PTATT_LD153")</f>
        <v>saletructiep_UnitedStates.BDB.1840.giaotiep_PTATT_LD153</v>
      </c>
      <c r="T441" s="107" t="str">
        <f>IFERROR(__xludf.DUMMYFUNCTION("""COMPUTED_VALUE"""),"https://patadovietnam.edu.vn/tienganhgiaotiep_hn/?utm_source=Facebook&amp;utm_medium=MES&amp;utm_term=NEW_UnitedStates_1840_none_150424&amp;utm_content=saletructiep_UnitedStates.BDB.1840.giaotiep_PTATT_LD153&amp;utm_campaign=UnitedStates.giaotiep.BDB_16917_MES_NamNH_1504"&amp;"24")</f>
        <v>https://patadovietnam.edu.vn/tienganhgiaotiep_hn/?utm_source=Facebook&amp;utm_medium=MES&amp;utm_term=NEW_UnitedStates_1840_none_150424&amp;utm_content=saletructiep_UnitedStates.BDB.1840.giaotiep_PTATT_LD153&amp;utm_campaign=UnitedStates.giaotiep.BDB_16917_MES_NamNH_150424</v>
      </c>
      <c r="U441" s="110" t="s">
        <v>3973</v>
      </c>
    </row>
    <row r="442">
      <c r="A442" s="72">
        <v>45397.0</v>
      </c>
      <c r="B442" s="75" t="s">
        <v>1134</v>
      </c>
      <c r="C442" s="67" t="str">
        <f>IFERROR(__xludf.DUMMYFUNCTION("""COMPUTED_VALUE"""),"LD153")</f>
        <v>LD153</v>
      </c>
      <c r="D442" s="55" t="s">
        <v>42</v>
      </c>
      <c r="E442" s="55" t="s">
        <v>79</v>
      </c>
      <c r="F442" s="55" t="s">
        <v>164</v>
      </c>
      <c r="G442" s="55">
        <v>1840.0</v>
      </c>
      <c r="H442" s="55" t="s">
        <v>1137</v>
      </c>
      <c r="I442" s="115" t="s">
        <v>3975</v>
      </c>
      <c r="J442" s="55" t="s">
        <v>3976</v>
      </c>
      <c r="K442" s="55" t="s">
        <v>61</v>
      </c>
      <c r="L442" s="55">
        <v>95360.0</v>
      </c>
      <c r="M442" s="55" t="s">
        <v>78</v>
      </c>
      <c r="N442" s="55" t="s">
        <v>79</v>
      </c>
      <c r="O442" s="55" t="s">
        <v>224</v>
      </c>
      <c r="P442" s="55" t="s">
        <v>110</v>
      </c>
      <c r="Q442" s="67" t="str">
        <f>IFERROR(__xludf.DUMMYFUNCTION("""COMPUTED_VALUE"""),"Taiwan.giaotiep.BDB_95360_MES_NamNH_150424")</f>
        <v>Taiwan.giaotiep.BDB_95360_MES_NamNH_150424</v>
      </c>
      <c r="R442" s="67" t="str">
        <f>IFERROR(__xludf.DUMMYFUNCTION("""COMPUTED_VALUE"""),"NEW_Taiwan_1840_none_150424")</f>
        <v>NEW_Taiwan_1840_none_150424</v>
      </c>
      <c r="S442" s="67" t="str">
        <f>IFERROR(__xludf.DUMMYFUNCTION("""COMPUTED_VALUE"""),"saletructiep_Taiwan.BDB.1840.giaotiep_PTATT_LD153")</f>
        <v>saletructiep_Taiwan.BDB.1840.giaotiep_PTATT_LD153</v>
      </c>
      <c r="T442" s="107" t="str">
        <f>IFERROR(__xludf.DUMMYFUNCTION("""COMPUTED_VALUE"""),"https://patadovietnam.edu.vn/tienganhgiaotiep_hn/?utm_source=Facebook&amp;utm_medium=MES&amp;utm_term=NEW_Taiwan_1840_none_150424&amp;utm_content=saletructiep_Taiwan.BDB.1840.giaotiep_PTATT_LD153&amp;utm_campaign=Taiwan.giaotiep.BDB_95360_MES_NamNH_150424")</f>
        <v>https://patadovietnam.edu.vn/tienganhgiaotiep_hn/?utm_source=Facebook&amp;utm_medium=MES&amp;utm_term=NEW_Taiwan_1840_none_150424&amp;utm_content=saletructiep_Taiwan.BDB.1840.giaotiep_PTATT_LD153&amp;utm_campaign=Taiwan.giaotiep.BDB_95360_MES_NamNH_150424</v>
      </c>
      <c r="U442" s="110" t="s">
        <v>3982</v>
      </c>
    </row>
    <row r="443">
      <c r="A443" s="72">
        <v>45397.0</v>
      </c>
      <c r="B443" s="75" t="s">
        <v>1134</v>
      </c>
      <c r="C443" s="67" t="str">
        <f>IFERROR(__xludf.DUMMYFUNCTION("""COMPUTED_VALUE"""),"LD153")</f>
        <v>LD153</v>
      </c>
      <c r="D443" s="55" t="s">
        <v>42</v>
      </c>
      <c r="E443" s="55" t="s">
        <v>79</v>
      </c>
      <c r="F443" s="55" t="s">
        <v>174</v>
      </c>
      <c r="G443" s="55">
        <v>1840.0</v>
      </c>
      <c r="H443" s="55" t="s">
        <v>1137</v>
      </c>
      <c r="I443" s="115" t="s">
        <v>3983</v>
      </c>
      <c r="J443" s="55" t="s">
        <v>3984</v>
      </c>
      <c r="K443" s="55" t="s">
        <v>61</v>
      </c>
      <c r="L443" s="55">
        <v>95360.0</v>
      </c>
      <c r="M443" s="55" t="s">
        <v>78</v>
      </c>
      <c r="N443" s="55" t="s">
        <v>79</v>
      </c>
      <c r="O443" s="55" t="s">
        <v>224</v>
      </c>
      <c r="P443" s="55" t="s">
        <v>110</v>
      </c>
      <c r="Q443" s="67" t="str">
        <f>IFERROR(__xludf.DUMMYFUNCTION("""COMPUTED_VALUE"""),"Philippines.giaotiep.BDB_95360_MES_NamNH_150424")</f>
        <v>Philippines.giaotiep.BDB_95360_MES_NamNH_150424</v>
      </c>
      <c r="R443" s="67" t="str">
        <f>IFERROR(__xludf.DUMMYFUNCTION("""COMPUTED_VALUE"""),"NEW_Philippines_1840_none_150424")</f>
        <v>NEW_Philippines_1840_none_150424</v>
      </c>
      <c r="S443" s="67" t="str">
        <f>IFERROR(__xludf.DUMMYFUNCTION("""COMPUTED_VALUE"""),"saletructiep_Philippines.BDB.1840.giaotiep_PTATT_LD153")</f>
        <v>saletructiep_Philippines.BDB.1840.giaotiep_PTATT_LD153</v>
      </c>
      <c r="T443" s="107" t="str">
        <f>IFERROR(__xludf.DUMMYFUNCTION("""COMPUTED_VALUE"""),"https://patadovietnam.edu.vn/tienganhgiaotiep_hn/?utm_source=Facebook&amp;utm_medium=MES&amp;utm_term=NEW_Philippines_1840_none_150424&amp;utm_content=saletructiep_Philippines.BDB.1840.giaotiep_PTATT_LD153&amp;utm_campaign=Philippines.giaotiep.BDB_95360_MES_NamNH_150424")</f>
        <v>https://patadovietnam.edu.vn/tienganhgiaotiep_hn/?utm_source=Facebook&amp;utm_medium=MES&amp;utm_term=NEW_Philippines_1840_none_150424&amp;utm_content=saletructiep_Philippines.BDB.1840.giaotiep_PTATT_LD153&amp;utm_campaign=Philippines.giaotiep.BDB_95360_MES_NamNH_150424</v>
      </c>
      <c r="U443" s="110" t="s">
        <v>3990</v>
      </c>
    </row>
    <row r="444">
      <c r="A444" s="72">
        <v>45397.0</v>
      </c>
      <c r="B444" s="75" t="s">
        <v>1134</v>
      </c>
      <c r="C444" s="67" t="str">
        <f>IFERROR(__xludf.DUMMYFUNCTION("""COMPUTED_VALUE"""),"LD153")</f>
        <v>LD153</v>
      </c>
      <c r="D444" s="55" t="s">
        <v>42</v>
      </c>
      <c r="E444" s="55" t="s">
        <v>79</v>
      </c>
      <c r="F444" s="55" t="s">
        <v>625</v>
      </c>
      <c r="G444" s="55">
        <v>1840.0</v>
      </c>
      <c r="H444" s="55" t="s">
        <v>1137</v>
      </c>
      <c r="I444" s="115" t="s">
        <v>3993</v>
      </c>
      <c r="J444" s="55" t="s">
        <v>3994</v>
      </c>
      <c r="K444" s="55" t="s">
        <v>61</v>
      </c>
      <c r="L444" s="55">
        <v>95360.0</v>
      </c>
      <c r="M444" s="55" t="s">
        <v>78</v>
      </c>
      <c r="N444" s="55" t="s">
        <v>79</v>
      </c>
      <c r="O444" s="55" t="s">
        <v>224</v>
      </c>
      <c r="P444" s="55" t="s">
        <v>110</v>
      </c>
      <c r="Q444" s="67" t="str">
        <f>IFERROR(__xludf.DUMMYFUNCTION("""COMPUTED_VALUE"""),"KoreaSouth.giaotiep.BDB_95360_MES_NamNH_150424")</f>
        <v>KoreaSouth.giaotiep.BDB_95360_MES_NamNH_150424</v>
      </c>
      <c r="R444" s="67" t="str">
        <f>IFERROR(__xludf.DUMMYFUNCTION("""COMPUTED_VALUE"""),"NEW_KoreaSouth_1840_none_150424")</f>
        <v>NEW_KoreaSouth_1840_none_150424</v>
      </c>
      <c r="S444" s="67" t="str">
        <f>IFERROR(__xludf.DUMMYFUNCTION("""COMPUTED_VALUE"""),"saletructiep_KoreaSouth.BDB.1840.giaotiep_PTATT_LD153")</f>
        <v>saletructiep_KoreaSouth.BDB.1840.giaotiep_PTATT_LD153</v>
      </c>
      <c r="T444" s="107" t="str">
        <f>IFERROR(__xludf.DUMMYFUNCTION("""COMPUTED_VALUE"""),"https://patadovietnam.edu.vn/tienganhgiaotiep_hn/?utm_source=Facebook&amp;utm_medium=MES&amp;utm_term=NEW_KoreaSouth_1840_none_150424&amp;utm_content=saletructiep_KoreaSouth.BDB.1840.giaotiep_PTATT_LD153&amp;utm_campaign=KoreaSouth.giaotiep.BDB_95360_MES_NamNH_150424")</f>
        <v>https://patadovietnam.edu.vn/tienganhgiaotiep_hn/?utm_source=Facebook&amp;utm_medium=MES&amp;utm_term=NEW_KoreaSouth_1840_none_150424&amp;utm_content=saletructiep_KoreaSouth.BDB.1840.giaotiep_PTATT_LD153&amp;utm_campaign=KoreaSouth.giaotiep.BDB_95360_MES_NamNH_150424</v>
      </c>
      <c r="U444" s="110" t="s">
        <v>4014</v>
      </c>
    </row>
    <row r="445">
      <c r="A445" s="72">
        <v>45397.0</v>
      </c>
      <c r="B445" s="60" t="s">
        <v>1134</v>
      </c>
      <c r="C445" s="67" t="str">
        <f>IFERROR(__xludf.DUMMYFUNCTION("""COMPUTED_VALUE"""),"LD153")</f>
        <v>LD153</v>
      </c>
      <c r="D445" s="55" t="s">
        <v>42</v>
      </c>
      <c r="E445" s="55" t="s">
        <v>69</v>
      </c>
      <c r="F445" s="55" t="s">
        <v>674</v>
      </c>
      <c r="G445" s="55">
        <v>1840.0</v>
      </c>
      <c r="H445" s="55" t="s">
        <v>1137</v>
      </c>
      <c r="I445" s="115" t="s">
        <v>4017</v>
      </c>
      <c r="J445" s="55" t="s">
        <v>4018</v>
      </c>
      <c r="K445" s="55" t="s">
        <v>61</v>
      </c>
      <c r="L445" s="55">
        <v>16917.0</v>
      </c>
      <c r="M445" s="55" t="s">
        <v>78</v>
      </c>
      <c r="N445" s="55" t="s">
        <v>69</v>
      </c>
      <c r="O445" s="55" t="s">
        <v>224</v>
      </c>
      <c r="P445" s="55" t="s">
        <v>110</v>
      </c>
      <c r="Q445" s="67" t="str">
        <f>IFERROR(__xludf.DUMMYFUNCTION("""COMPUTED_VALUE"""),"Europe.giaotiep.BDB_16917_CVS_NamNH_150424")</f>
        <v>Europe.giaotiep.BDB_16917_CVS_NamNH_150424</v>
      </c>
      <c r="R445" s="67" t="str">
        <f>IFERROR(__xludf.DUMMYFUNCTION("""COMPUTED_VALUE"""),"NEW_Europe_1840_none_150424")</f>
        <v>NEW_Europe_1840_none_150424</v>
      </c>
      <c r="S445" s="67" t="str">
        <f>IFERROR(__xludf.DUMMYFUNCTION("""COMPUTED_VALUE"""),"saletructiep_Europe.BDB.1840.giaotiep_PTATT_LD153")</f>
        <v>saletructiep_Europe.BDB.1840.giaotiep_PTATT_LD153</v>
      </c>
      <c r="T445" s="107" t="str">
        <f>IFERROR(__xludf.DUMMYFUNCTION("""COMPUTED_VALUE"""),"https://patadovietnam.edu.vn/tienganhgiaotiep_hn/?utm_source=Facebook&amp;utm_medium=CVS&amp;utm_term=NEW_Europe_1840_none_150424&amp;utm_content=saletructiep_Europe.BDB.1840.giaotiep_PTATT_LD153&amp;utm_campaign=Europe.giaotiep.BDB_16917_CVS_NamNH_150424")</f>
        <v>https://patadovietnam.edu.vn/tienganhgiaotiep_hn/?utm_source=Facebook&amp;utm_medium=CVS&amp;utm_term=NEW_Europe_1840_none_150424&amp;utm_content=saletructiep_Europe.BDB.1840.giaotiep_PTATT_LD153&amp;utm_campaign=Europe.giaotiep.BDB_16917_CVS_NamNH_150424</v>
      </c>
      <c r="U445" s="110" t="s">
        <v>4023</v>
      </c>
    </row>
    <row r="446">
      <c r="A446" s="72">
        <v>45397.0</v>
      </c>
      <c r="B446" s="75" t="s">
        <v>1229</v>
      </c>
      <c r="C446" s="67" t="str">
        <f>IFERROR(__xludf.DUMMYFUNCTION("""COMPUTED_VALUE"""),"LD164")</f>
        <v>LD164</v>
      </c>
      <c r="D446" s="55" t="s">
        <v>42</v>
      </c>
      <c r="E446" s="55" t="s">
        <v>69</v>
      </c>
      <c r="F446" s="55" t="s">
        <v>133</v>
      </c>
      <c r="G446" s="55">
        <v>1840.0</v>
      </c>
      <c r="H446" s="55" t="s">
        <v>1137</v>
      </c>
      <c r="I446" s="115" t="s">
        <v>4028</v>
      </c>
      <c r="J446" s="55" t="s">
        <v>4029</v>
      </c>
      <c r="K446" s="55" t="s">
        <v>61</v>
      </c>
      <c r="L446" s="55">
        <v>16917.0</v>
      </c>
      <c r="M446" s="55" t="s">
        <v>78</v>
      </c>
      <c r="N446" s="55" t="s">
        <v>69</v>
      </c>
      <c r="O446" s="55" t="s">
        <v>224</v>
      </c>
      <c r="P446" s="55" t="s">
        <v>110</v>
      </c>
      <c r="Q446" s="67" t="str">
        <f>IFERROR(__xludf.DUMMYFUNCTION("""COMPUTED_VALUE"""),"Japan.giaotiep.BDB_16917_CVS_NamNH_150424")</f>
        <v>Japan.giaotiep.BDB_16917_CVS_NamNH_150424</v>
      </c>
      <c r="R446" s="67" t="str">
        <f>IFERROR(__xludf.DUMMYFUNCTION("""COMPUTED_VALUE"""),"NEW_Japan_1840_none_150424")</f>
        <v>NEW_Japan_1840_none_150424</v>
      </c>
      <c r="S446" s="67" t="str">
        <f>IFERROR(__xludf.DUMMYFUNCTION("""COMPUTED_VALUE"""),"saletructiep_Japan.BDB.1840.giaotiep_PTATT_LD164")</f>
        <v>saletructiep_Japan.BDB.1840.giaotiep_PTATT_LD164</v>
      </c>
      <c r="T446" s="107" t="str">
        <f>IFERROR(__xludf.DUMMYFUNCTION("""COMPUTED_VALUE"""),"https://patadovietnam.edu.vn/gtjapan_nhn3/?utm_source=Facebook&amp;utm_medium=CVS&amp;utm_term=NEW_Japan_1840_none_150424&amp;utm_content=saletructiep_Japan.BDB.1840.giaotiep_PTATT_LD164&amp;utm_campaign=Japan.giaotiep.BDB_16917_CVS_NamNH_150424")</f>
        <v>https://patadovietnam.edu.vn/gtjapan_nhn3/?utm_source=Facebook&amp;utm_medium=CVS&amp;utm_term=NEW_Japan_1840_none_150424&amp;utm_content=saletructiep_Japan.BDB.1840.giaotiep_PTATT_LD164&amp;utm_campaign=Japan.giaotiep.BDB_16917_CVS_NamNH_150424</v>
      </c>
      <c r="U446" s="110" t="s">
        <v>4031</v>
      </c>
    </row>
    <row r="447">
      <c r="A447" s="72">
        <v>45397.0</v>
      </c>
      <c r="B447" s="75" t="s">
        <v>1134</v>
      </c>
      <c r="C447" s="67" t="str">
        <f>IFERROR(__xludf.DUMMYFUNCTION("""COMPUTED_VALUE"""),"LD153")</f>
        <v>LD153</v>
      </c>
      <c r="D447" s="55" t="s">
        <v>42</v>
      </c>
      <c r="E447" s="55" t="s">
        <v>79</v>
      </c>
      <c r="F447" s="55" t="s">
        <v>129</v>
      </c>
      <c r="G447" s="55">
        <v>1840.0</v>
      </c>
      <c r="H447" s="55" t="s">
        <v>1137</v>
      </c>
      <c r="I447" s="115" t="s">
        <v>4036</v>
      </c>
      <c r="J447" s="55" t="s">
        <v>4037</v>
      </c>
      <c r="K447" s="55" t="s">
        <v>61</v>
      </c>
      <c r="L447" s="55">
        <v>95360.0</v>
      </c>
      <c r="M447" s="55" t="s">
        <v>78</v>
      </c>
      <c r="N447" s="55" t="s">
        <v>79</v>
      </c>
      <c r="O447" s="55" t="s">
        <v>224</v>
      </c>
      <c r="P447" s="55" t="s">
        <v>110</v>
      </c>
      <c r="Q447" s="67" t="str">
        <f>IFERROR(__xludf.DUMMYFUNCTION("""COMPUTED_VALUE"""),"Australia.giaotiep.BDB_95360_MES_NamNH_150424")</f>
        <v>Australia.giaotiep.BDB_95360_MES_NamNH_150424</v>
      </c>
      <c r="R447" s="67" t="str">
        <f>IFERROR(__xludf.DUMMYFUNCTION("""COMPUTED_VALUE"""),"NEW_Australia_1840_none_150424")</f>
        <v>NEW_Australia_1840_none_150424</v>
      </c>
      <c r="S447" s="67" t="str">
        <f>IFERROR(__xludf.DUMMYFUNCTION("""COMPUTED_VALUE"""),"saletructiep_Australia.BDB.1840.giaotiep_PTATT_LD153")</f>
        <v>saletructiep_Australia.BDB.1840.giaotiep_PTATT_LD153</v>
      </c>
      <c r="T447" s="107" t="str">
        <f>IFERROR(__xludf.DUMMYFUNCTION("""COMPUTED_VALUE"""),"https://patadovietnam.edu.vn/tienganhgiaotiep_hn/?utm_source=Facebook&amp;utm_medium=MES&amp;utm_term=NEW_Australia_1840_none_150424&amp;utm_content=saletructiep_Australia.BDB.1840.giaotiep_PTATT_LD153&amp;utm_campaign=Australia.giaotiep.BDB_95360_MES_NamNH_150424")</f>
        <v>https://patadovietnam.edu.vn/tienganhgiaotiep_hn/?utm_source=Facebook&amp;utm_medium=MES&amp;utm_term=NEW_Australia_1840_none_150424&amp;utm_content=saletructiep_Australia.BDB.1840.giaotiep_PTATT_LD153&amp;utm_campaign=Australia.giaotiep.BDB_95360_MES_NamNH_150424</v>
      </c>
      <c r="U447" s="110" t="s">
        <v>4041</v>
      </c>
    </row>
    <row r="448">
      <c r="A448" s="72">
        <v>45397.0</v>
      </c>
      <c r="B448" s="75" t="s">
        <v>1134</v>
      </c>
      <c r="C448" s="67" t="str">
        <f>IFERROR(__xludf.DUMMYFUNCTION("""COMPUTED_VALUE"""),"LD153")</f>
        <v>LD153</v>
      </c>
      <c r="D448" s="55" t="s">
        <v>42</v>
      </c>
      <c r="E448" s="55" t="s">
        <v>79</v>
      </c>
      <c r="F448" s="55" t="s">
        <v>112</v>
      </c>
      <c r="G448" s="55">
        <v>1840.0</v>
      </c>
      <c r="H448" s="55" t="s">
        <v>1137</v>
      </c>
      <c r="I448" s="115" t="s">
        <v>4044</v>
      </c>
      <c r="J448" s="55" t="s">
        <v>4045</v>
      </c>
      <c r="K448" s="55" t="s">
        <v>61</v>
      </c>
      <c r="L448" s="55">
        <v>95360.0</v>
      </c>
      <c r="M448" s="55" t="s">
        <v>78</v>
      </c>
      <c r="N448" s="55" t="s">
        <v>79</v>
      </c>
      <c r="O448" s="55" t="s">
        <v>224</v>
      </c>
      <c r="P448" s="55" t="s">
        <v>110</v>
      </c>
      <c r="Q448" s="67" t="str">
        <f>IFERROR(__xludf.DUMMYFUNCTION("""COMPUTED_VALUE"""),"Canada.giaotiep.BDB_95360_MES_NamNH_150424")</f>
        <v>Canada.giaotiep.BDB_95360_MES_NamNH_150424</v>
      </c>
      <c r="R448" s="67" t="str">
        <f>IFERROR(__xludf.DUMMYFUNCTION("""COMPUTED_VALUE"""),"NEW_Canada_1840_none_150424")</f>
        <v>NEW_Canada_1840_none_150424</v>
      </c>
      <c r="S448" s="67" t="str">
        <f>IFERROR(__xludf.DUMMYFUNCTION("""COMPUTED_VALUE"""),"saletructiep_Canada.BDB.1840.giaotiep_PTATT_LD153")</f>
        <v>saletructiep_Canada.BDB.1840.giaotiep_PTATT_LD153</v>
      </c>
      <c r="T448" s="107" t="str">
        <f>IFERROR(__xludf.DUMMYFUNCTION("""COMPUTED_VALUE"""),"https://patadovietnam.edu.vn/tienganhgiaotiep_hn/?utm_source=Facebook&amp;utm_medium=MES&amp;utm_term=NEW_Canada_1840_none_150424&amp;utm_content=saletructiep_Canada.BDB.1840.giaotiep_PTATT_LD153&amp;utm_campaign=Canada.giaotiep.BDB_95360_MES_NamNH_150424")</f>
        <v>https://patadovietnam.edu.vn/tienganhgiaotiep_hn/?utm_source=Facebook&amp;utm_medium=MES&amp;utm_term=NEW_Canada_1840_none_150424&amp;utm_content=saletructiep_Canada.BDB.1840.giaotiep_PTATT_LD153&amp;utm_campaign=Canada.giaotiep.BDB_95360_MES_NamNH_150424</v>
      </c>
      <c r="U448" s="110" t="s">
        <v>4049</v>
      </c>
    </row>
    <row r="449">
      <c r="A449" s="72">
        <v>45399.0</v>
      </c>
      <c r="B449" s="75" t="s">
        <v>3903</v>
      </c>
      <c r="C449" s="67" t="str">
        <f>IFERROR(__xludf.DUMMYFUNCTION("""COMPUTED_VALUE"""),"LD224")</f>
        <v>LD224</v>
      </c>
      <c r="D449" s="55" t="s">
        <v>42</v>
      </c>
      <c r="E449" s="55" t="s">
        <v>79</v>
      </c>
      <c r="F449" s="55" t="s">
        <v>199</v>
      </c>
      <c r="G449" s="55">
        <v>1840.0</v>
      </c>
      <c r="H449" s="55" t="s">
        <v>1137</v>
      </c>
      <c r="I449" s="55" t="s">
        <v>4052</v>
      </c>
      <c r="J449" s="55" t="s">
        <v>4053</v>
      </c>
      <c r="K449" s="55" t="s">
        <v>61</v>
      </c>
      <c r="L449" s="55">
        <v>95360.0</v>
      </c>
      <c r="M449" s="55" t="s">
        <v>78</v>
      </c>
      <c r="N449" s="55" t="s">
        <v>79</v>
      </c>
      <c r="O449" s="55" t="s">
        <v>224</v>
      </c>
      <c r="P449" s="55" t="s">
        <v>110</v>
      </c>
      <c r="Q449" s="67" t="str">
        <f>IFERROR(__xludf.DUMMYFUNCTION("""COMPUTED_VALUE"""),"Vietnam.DoanhNghiep.HTKOC2_95360_MES_NamNH_170424")</f>
        <v>Vietnam.DoanhNghiep.HTKOC2_95360_MES_NamNH_170424</v>
      </c>
      <c r="R449" s="67" t="str">
        <f>IFERROR(__xludf.DUMMYFUNCTION("""COMPUTED_VALUE"""),"NEW_Vietnam_1840_none_170424")</f>
        <v>NEW_Vietnam_1840_none_170424</v>
      </c>
      <c r="S449" s="67" t="str">
        <f>IFERROR(__xludf.DUMMYFUNCTION("""COMPUTED_VALUE"""),"saletructiep_Vietnam.HTKOC2.1836.DoanhNghiep_PTATT_LD224")</f>
        <v>saletructiep_Vietnam.HTKOC2.1836.DoanhNghiep_PTATT_LD224</v>
      </c>
      <c r="T449" s="107" t="str">
        <f>IFERROR(__xludf.DUMMYFUNCTION("""COMPUTED_VALUE"""),"https://patadovietnam.edu.vn/tienganhdoanhnghiep_hn/?utm_source=Facebook&amp;utm_medium=MES&amp;utm_term=NEW_Vietnam_1840_none_170424&amp;utm_content=saletructiep_Vietnam.HTKOC2.1836.DoanhNghiep_PTATT_LD224&amp;utm_campaign=Vietnam.DoanhNghiep.HTKOC2_95360_MES_NamNH_1704"&amp;"24")</f>
        <v>https://patadovietnam.edu.vn/tienganhdoanhnghiep_hn/?utm_source=Facebook&amp;utm_medium=MES&amp;utm_term=NEW_Vietnam_1840_none_170424&amp;utm_content=saletructiep_Vietnam.HTKOC2.1836.DoanhNghiep_PTATT_LD224&amp;utm_campaign=Vietnam.DoanhNghiep.HTKOC2_95360_MES_NamNH_170424</v>
      </c>
      <c r="U449" s="110" t="s">
        <v>4058</v>
      </c>
    </row>
    <row r="450">
      <c r="A450" s="72">
        <v>45399.0</v>
      </c>
      <c r="B450" s="60" t="s">
        <v>3903</v>
      </c>
      <c r="C450" s="67" t="str">
        <f>IFERROR(__xludf.DUMMYFUNCTION("""COMPUTED_VALUE"""),"LD224")</f>
        <v>LD224</v>
      </c>
      <c r="D450" s="55" t="s">
        <v>42</v>
      </c>
      <c r="E450" s="55" t="s">
        <v>79</v>
      </c>
      <c r="F450" s="55" t="s">
        <v>3032</v>
      </c>
      <c r="G450" s="55">
        <v>1840.0</v>
      </c>
      <c r="H450" s="55" t="s">
        <v>1137</v>
      </c>
      <c r="I450" s="55" t="s">
        <v>4059</v>
      </c>
      <c r="J450" s="55" t="s">
        <v>4060</v>
      </c>
      <c r="K450" s="55" t="s">
        <v>61</v>
      </c>
      <c r="L450" s="55">
        <v>95360.0</v>
      </c>
      <c r="M450" s="55" t="s">
        <v>78</v>
      </c>
      <c r="N450" s="55" t="s">
        <v>79</v>
      </c>
      <c r="O450" s="55" t="s">
        <v>224</v>
      </c>
      <c r="P450" s="55" t="s">
        <v>110</v>
      </c>
      <c r="Q450" s="67" t="str">
        <f>IFERROR(__xludf.DUMMYFUNCTION("""COMPUTED_VALUE"""),"HCM.DoanhNghiep.HTKOC2_95360_MES_NamNH_170424")</f>
        <v>HCM.DoanhNghiep.HTKOC2_95360_MES_NamNH_170424</v>
      </c>
      <c r="R450" s="67" t="str">
        <f>IFERROR(__xludf.DUMMYFUNCTION("""COMPUTED_VALUE"""),"NEW_HCM_1840_none_170424")</f>
        <v>NEW_HCM_1840_none_170424</v>
      </c>
      <c r="S450" s="67" t="str">
        <f>IFERROR(__xludf.DUMMYFUNCTION("""COMPUTED_VALUE"""),"saletructiep_HCM.HTKOC2.1836.DoanhNghiep_PTATT_LD224")</f>
        <v>saletructiep_HCM.HTKOC2.1836.DoanhNghiep_PTATT_LD224</v>
      </c>
      <c r="T450" s="107" t="str">
        <f>IFERROR(__xludf.DUMMYFUNCTION("""COMPUTED_VALUE"""),"https://patadovietnam.edu.vn/tienganhdoanhnghiep_hn/?utm_source=Facebook&amp;utm_medium=MES&amp;utm_term=NEW_HCM_1840_none_170424&amp;utm_content=saletructiep_HCM.HTKOC2.1836.DoanhNghiep_PTATT_LD224&amp;utm_campaign=HCM.DoanhNghiep.HTKOC2_95360_MES_NamNH_170424")</f>
        <v>https://patadovietnam.edu.vn/tienganhdoanhnghiep_hn/?utm_source=Facebook&amp;utm_medium=MES&amp;utm_term=NEW_HCM_1840_none_170424&amp;utm_content=saletructiep_HCM.HTKOC2.1836.DoanhNghiep_PTATT_LD224&amp;utm_campaign=HCM.DoanhNghiep.HTKOC2_95360_MES_NamNH_170424</v>
      </c>
      <c r="U450" s="110" t="s">
        <v>4065</v>
      </c>
    </row>
    <row r="451">
      <c r="A451" s="72">
        <v>45404.0</v>
      </c>
      <c r="B451" s="75" t="s">
        <v>1229</v>
      </c>
      <c r="C451" s="67" t="str">
        <f>IFERROR(__xludf.DUMMYFUNCTION("""COMPUTED_VALUE"""),"LD164")</f>
        <v>LD164</v>
      </c>
      <c r="D451" s="55" t="s">
        <v>42</v>
      </c>
      <c r="E451" s="55" t="s">
        <v>69</v>
      </c>
      <c r="F451" s="55" t="s">
        <v>133</v>
      </c>
      <c r="G451" s="55">
        <v>1840.0</v>
      </c>
      <c r="H451" s="55" t="s">
        <v>1137</v>
      </c>
      <c r="I451" s="115" t="s">
        <v>4067</v>
      </c>
      <c r="J451" s="55" t="s">
        <v>4068</v>
      </c>
      <c r="K451" s="55" t="s">
        <v>61</v>
      </c>
      <c r="L451" s="55">
        <v>16917.0</v>
      </c>
      <c r="M451" s="55" t="s">
        <v>78</v>
      </c>
      <c r="N451" s="55" t="s">
        <v>69</v>
      </c>
      <c r="O451" s="55" t="s">
        <v>224</v>
      </c>
      <c r="P451" s="55" t="s">
        <v>110</v>
      </c>
      <c r="Q451" s="67" t="str">
        <f>IFERROR(__xludf.DUMMYFUNCTION("""COMPUTED_VALUE"""),"Japan.giaotiep.HTKOC2_16917_CVS_NamNH_220424")</f>
        <v>Japan.giaotiep.HTKOC2_16917_CVS_NamNH_220424</v>
      </c>
      <c r="R451" s="67" t="str">
        <f>IFERROR(__xludf.DUMMYFUNCTION("""COMPUTED_VALUE"""),"NEW_Japan_1840_none_220424")</f>
        <v>NEW_Japan_1840_none_220424</v>
      </c>
      <c r="S451" s="67" t="str">
        <f>IFERROR(__xludf.DUMMYFUNCTION("""COMPUTED_VALUE"""),"saletructiep_Japan.HTKOC2.1840.giaotiep_PTATT_LD164")</f>
        <v>saletructiep_Japan.HTKOC2.1840.giaotiep_PTATT_LD164</v>
      </c>
      <c r="T451" s="107" t="str">
        <f>IFERROR(__xludf.DUMMYFUNCTION("""COMPUTED_VALUE"""),"https://patadovietnam.edu.vn/gtjapan_nhn3/?utm_source=Facebook&amp;utm_medium=CVS&amp;utm_term=NEW_Japan_1840_none_220424&amp;utm_content=saletructiep_Japan.HTKOC2.1840.giaotiep_PTATT_LD164&amp;utm_campaign=Japan.giaotiep.HTKOC2_16917_CVS_NamNH_220424")</f>
        <v>https://patadovietnam.edu.vn/gtjapan_nhn3/?utm_source=Facebook&amp;utm_medium=CVS&amp;utm_term=NEW_Japan_1840_none_220424&amp;utm_content=saletructiep_Japan.HTKOC2.1840.giaotiep_PTATT_LD164&amp;utm_campaign=Japan.giaotiep.HTKOC2_16917_CVS_NamNH_220424</v>
      </c>
      <c r="U451" s="110" t="s">
        <v>4070</v>
      </c>
    </row>
    <row r="452">
      <c r="A452" s="72">
        <v>45404.0</v>
      </c>
      <c r="B452" s="75" t="s">
        <v>3903</v>
      </c>
      <c r="C452" s="67" t="str">
        <f>IFERROR(__xludf.DUMMYFUNCTION("""COMPUTED_VALUE"""),"LD224")</f>
        <v>LD224</v>
      </c>
      <c r="D452" s="55" t="s">
        <v>42</v>
      </c>
      <c r="E452" s="55" t="s">
        <v>79</v>
      </c>
      <c r="F452" s="55" t="s">
        <v>199</v>
      </c>
      <c r="G452" s="55">
        <v>1840.0</v>
      </c>
      <c r="H452" s="55" t="s">
        <v>1137</v>
      </c>
      <c r="I452" s="55" t="s">
        <v>4073</v>
      </c>
      <c r="J452" s="55" t="s">
        <v>4074</v>
      </c>
      <c r="K452" s="55" t="s">
        <v>61</v>
      </c>
      <c r="L452" s="55">
        <v>95360.0</v>
      </c>
      <c r="M452" s="55" t="s">
        <v>78</v>
      </c>
      <c r="N452" s="55" t="s">
        <v>79</v>
      </c>
      <c r="O452" s="55" t="s">
        <v>224</v>
      </c>
      <c r="P452" s="55" t="s">
        <v>110</v>
      </c>
      <c r="Q452" s="67" t="str">
        <f>IFERROR(__xludf.DUMMYFUNCTION("""COMPUTED_VALUE"""),"Vietnam.Doanhnghiep.TACS_95360_MES_NamNH_220424")</f>
        <v>Vietnam.Doanhnghiep.TACS_95360_MES_NamNH_220424</v>
      </c>
      <c r="R452" s="67" t="str">
        <f>IFERROR(__xludf.DUMMYFUNCTION("""COMPUTED_VALUE"""),"NEW_Vietnam_1840_none_220424")</f>
        <v>NEW_Vietnam_1840_none_220424</v>
      </c>
      <c r="S452" s="67" t="str">
        <f>IFERROR(__xludf.DUMMYFUNCTION("""COMPUTED_VALUE"""),"saletructiep_Vietnam.TACS.1836.DoanhNghiep_PTATT_LD224")</f>
        <v>saletructiep_Vietnam.TACS.1836.DoanhNghiep_PTATT_LD224</v>
      </c>
      <c r="T452" s="107" t="str">
        <f>IFERROR(__xludf.DUMMYFUNCTION("""COMPUTED_VALUE"""),"https://patadovietnam.edu.vn/tienganhdoanhnghiep_hn/?utm_source=Facebook&amp;utm_medium=MES&amp;utm_term=NEW_Vietnam_1840_none_220424&amp;utm_content=saletructiep_Vietnam.TACS.1836.DoanhNghiep_PTATT_LD224&amp;utm_campaign=Vietnam.Doanhnghiep.TACS_95360_MES_NamNH_220424")</f>
        <v>https://patadovietnam.edu.vn/tienganhdoanhnghiep_hn/?utm_source=Facebook&amp;utm_medium=MES&amp;utm_term=NEW_Vietnam_1840_none_220424&amp;utm_content=saletructiep_Vietnam.TACS.1836.DoanhNghiep_PTATT_LD224&amp;utm_campaign=Vietnam.Doanhnghiep.TACS_95360_MES_NamNH_220424</v>
      </c>
      <c r="U452" s="110" t="s">
        <v>4077</v>
      </c>
    </row>
    <row r="453">
      <c r="A453" s="72">
        <v>45404.0</v>
      </c>
      <c r="B453" s="75" t="s">
        <v>3903</v>
      </c>
      <c r="C453" s="67" t="str">
        <f>IFERROR(__xludf.DUMMYFUNCTION("""COMPUTED_VALUE"""),"LD224")</f>
        <v>LD224</v>
      </c>
      <c r="D453" s="55" t="s">
        <v>42</v>
      </c>
      <c r="E453" s="55" t="s">
        <v>79</v>
      </c>
      <c r="F453" s="55" t="s">
        <v>199</v>
      </c>
      <c r="G453" s="55">
        <v>1840.0</v>
      </c>
      <c r="H453" s="55" t="s">
        <v>1137</v>
      </c>
      <c r="I453" s="55" t="s">
        <v>4079</v>
      </c>
      <c r="J453" s="55" t="s">
        <v>4080</v>
      </c>
      <c r="K453" s="55" t="s">
        <v>61</v>
      </c>
      <c r="L453" s="55">
        <v>95360.0</v>
      </c>
      <c r="M453" s="55" t="s">
        <v>78</v>
      </c>
      <c r="N453" s="55" t="s">
        <v>79</v>
      </c>
      <c r="O453" s="55" t="s">
        <v>224</v>
      </c>
      <c r="P453" s="55" t="s">
        <v>110</v>
      </c>
      <c r="Q453" s="67" t="str">
        <f>IFERROR(__xludf.DUMMYFUNCTION("""COMPUTED_VALUE"""),"Vietnam.Doanhnghiep.NDLCS_95360_MES_NamNH_220424")</f>
        <v>Vietnam.Doanhnghiep.NDLCS_95360_MES_NamNH_220424</v>
      </c>
      <c r="R453" s="67" t="str">
        <f>IFERROR(__xludf.DUMMYFUNCTION("""COMPUTED_VALUE"""),"NEW_Vietnam_1840_none_220424")</f>
        <v>NEW_Vietnam_1840_none_220424</v>
      </c>
      <c r="S453" s="67" t="str">
        <f>IFERROR(__xludf.DUMMYFUNCTION("""COMPUTED_VALUE"""),"saletructiep_Vietnam.NDLCS.1836.DoanhNghiep_PTATT_LD224")</f>
        <v>saletructiep_Vietnam.NDLCS.1836.DoanhNghiep_PTATT_LD224</v>
      </c>
      <c r="T453" s="107" t="str">
        <f>IFERROR(__xludf.DUMMYFUNCTION("""COMPUTED_VALUE"""),"https://patadovietnam.edu.vn/tienganhdoanhnghiep_hn/?utm_source=Facebook&amp;utm_medium=MES&amp;utm_term=NEW_Vietnam_1840_none_220424&amp;utm_content=saletructiep_Vietnam.NDLCS.1836.DoanhNghiep_PTATT_LD224&amp;utm_campaign=Vietnam.Doanhnghiep.NDLCS_95360_MES_NamNH_220424")</f>
        <v>https://patadovietnam.edu.vn/tienganhdoanhnghiep_hn/?utm_source=Facebook&amp;utm_medium=MES&amp;utm_term=NEW_Vietnam_1840_none_220424&amp;utm_content=saletructiep_Vietnam.NDLCS.1836.DoanhNghiep_PTATT_LD224&amp;utm_campaign=Vietnam.Doanhnghiep.NDLCS_95360_MES_NamNH_220424</v>
      </c>
      <c r="U453" s="110" t="s">
        <v>4085</v>
      </c>
    </row>
    <row r="454">
      <c r="A454" s="72">
        <v>45407.0</v>
      </c>
      <c r="B454" s="75" t="s">
        <v>1134</v>
      </c>
      <c r="C454" s="67" t="str">
        <f>IFERROR(__xludf.DUMMYFUNCTION("""COMPUTED_VALUE"""),"LD153")</f>
        <v>LD153</v>
      </c>
      <c r="D454" s="55" t="s">
        <v>42</v>
      </c>
      <c r="E454" s="55" t="s">
        <v>69</v>
      </c>
      <c r="F454" s="55" t="s">
        <v>674</v>
      </c>
      <c r="G454" s="55">
        <v>1840.0</v>
      </c>
      <c r="H454" s="55" t="s">
        <v>1137</v>
      </c>
      <c r="I454" s="115" t="s">
        <v>4087</v>
      </c>
      <c r="J454" s="55" t="s">
        <v>4088</v>
      </c>
      <c r="K454" s="55" t="s">
        <v>61</v>
      </c>
      <c r="L454" s="55">
        <v>16917.0</v>
      </c>
      <c r="M454" s="55" t="s">
        <v>78</v>
      </c>
      <c r="N454" s="55" t="s">
        <v>69</v>
      </c>
      <c r="O454" s="55" t="s">
        <v>224</v>
      </c>
      <c r="P454" s="55" t="s">
        <v>110</v>
      </c>
      <c r="Q454" s="67" t="str">
        <f>IFERROR(__xludf.DUMMYFUNCTION("""COMPUTED_VALUE"""),"Europe.giaotiep.PTKO2_16917_CVS_NamNH_250424")</f>
        <v>Europe.giaotiep.PTKO2_16917_CVS_NamNH_250424</v>
      </c>
      <c r="R454" s="67" t="str">
        <f>IFERROR(__xludf.DUMMYFUNCTION("""COMPUTED_VALUE"""),"NEW_Europe_1840_none_250424")</f>
        <v>NEW_Europe_1840_none_250424</v>
      </c>
      <c r="S454" s="67" t="str">
        <f>IFERROR(__xludf.DUMMYFUNCTION("""COMPUTED_VALUE"""),"saletructiep_Europe.PTKO2.1840.giaotiep_PTATT_LD153")</f>
        <v>saletructiep_Europe.PTKO2.1840.giaotiep_PTATT_LD153</v>
      </c>
      <c r="T454" s="107" t="str">
        <f>IFERROR(__xludf.DUMMYFUNCTION("""COMPUTED_VALUE"""),"https://patadovietnam.edu.vn/tienganhgiaotiep_hn/?utm_source=Facebook&amp;utm_medium=CVS&amp;utm_term=NEW_Europe_1840_none_250424&amp;utm_content=saletructiep_Europe.PTKO2.1840.giaotiep_PTATT_LD153&amp;utm_campaign=Europe.giaotiep.PTKO2_16917_CVS_NamNH_250424")</f>
        <v>https://patadovietnam.edu.vn/tienganhgiaotiep_hn/?utm_source=Facebook&amp;utm_medium=CVS&amp;utm_term=NEW_Europe_1840_none_250424&amp;utm_content=saletructiep_Europe.PTKO2.1840.giaotiep_PTATT_LD153&amp;utm_campaign=Europe.giaotiep.PTKO2_16917_CVS_NamNH_250424</v>
      </c>
      <c r="U454" s="110" t="s">
        <v>4093</v>
      </c>
    </row>
    <row r="455">
      <c r="A455" s="72">
        <v>45407.0</v>
      </c>
      <c r="B455" s="75" t="s">
        <v>1134</v>
      </c>
      <c r="C455" s="67" t="str">
        <f>IFERROR(__xludf.DUMMYFUNCTION("""COMPUTED_VALUE"""),"LD153")</f>
        <v>LD153</v>
      </c>
      <c r="D455" s="55" t="s">
        <v>42</v>
      </c>
      <c r="E455" s="55" t="s">
        <v>69</v>
      </c>
      <c r="F455" s="55" t="s">
        <v>674</v>
      </c>
      <c r="G455" s="55">
        <v>1840.0</v>
      </c>
      <c r="H455" s="55" t="s">
        <v>1137</v>
      </c>
      <c r="I455" s="115" t="s">
        <v>4095</v>
      </c>
      <c r="J455" s="55" t="s">
        <v>4096</v>
      </c>
      <c r="K455" s="55" t="s">
        <v>61</v>
      </c>
      <c r="L455" s="55">
        <v>16917.0</v>
      </c>
      <c r="M455" s="55" t="s">
        <v>78</v>
      </c>
      <c r="N455" s="55" t="s">
        <v>69</v>
      </c>
      <c r="O455" s="55" t="s">
        <v>224</v>
      </c>
      <c r="P455" s="55" t="s">
        <v>110</v>
      </c>
      <c r="Q455" s="67" t="str">
        <f>IFERROR(__xludf.DUMMYFUNCTION("""COMPUTED_VALUE"""),"Europe.giaotiep.PTHTKO_16917_CVS_NamNH_250424")</f>
        <v>Europe.giaotiep.PTHTKO_16917_CVS_NamNH_250424</v>
      </c>
      <c r="R455" s="67" t="str">
        <f>IFERROR(__xludf.DUMMYFUNCTION("""COMPUTED_VALUE"""),"NEW_Europe_1840_none_250424")</f>
        <v>NEW_Europe_1840_none_250424</v>
      </c>
      <c r="S455" s="67" t="str">
        <f>IFERROR(__xludf.DUMMYFUNCTION("""COMPUTED_VALUE"""),"saletructiep_Europe.PTHTKO.1840.giaotiep_PTATT_LD153")</f>
        <v>saletructiep_Europe.PTHTKO.1840.giaotiep_PTATT_LD153</v>
      </c>
      <c r="T455" s="107" t="str">
        <f>IFERROR(__xludf.DUMMYFUNCTION("""COMPUTED_VALUE"""),"https://patadovietnam.edu.vn/tienganhgiaotiep_hn/?utm_source=Facebook&amp;utm_medium=CVS&amp;utm_term=NEW_Europe_1840_none_250424&amp;utm_content=saletructiep_Europe.PTHTKO.1840.giaotiep_PTATT_LD153&amp;utm_campaign=Europe.giaotiep.PTHTKO_16917_CVS_NamNH_250424")</f>
        <v>https://patadovietnam.edu.vn/tienganhgiaotiep_hn/?utm_source=Facebook&amp;utm_medium=CVS&amp;utm_term=NEW_Europe_1840_none_250424&amp;utm_content=saletructiep_Europe.PTHTKO.1840.giaotiep_PTATT_LD153&amp;utm_campaign=Europe.giaotiep.PTHTKO_16917_CVS_NamNH_250424</v>
      </c>
      <c r="U455" s="110" t="s">
        <v>4099</v>
      </c>
    </row>
    <row r="456">
      <c r="A456" s="72">
        <v>45407.0</v>
      </c>
      <c r="B456" s="75" t="s">
        <v>1134</v>
      </c>
      <c r="C456" s="67" t="str">
        <f>IFERROR(__xludf.DUMMYFUNCTION("""COMPUTED_VALUE"""),"LD153")</f>
        <v>LD153</v>
      </c>
      <c r="D456" s="55" t="s">
        <v>42</v>
      </c>
      <c r="E456" s="55" t="s">
        <v>69</v>
      </c>
      <c r="F456" s="55" t="s">
        <v>674</v>
      </c>
      <c r="G456" s="55">
        <v>1840.0</v>
      </c>
      <c r="H456" s="55" t="s">
        <v>1137</v>
      </c>
      <c r="I456" s="115" t="s">
        <v>4102</v>
      </c>
      <c r="J456" s="55" t="s">
        <v>4103</v>
      </c>
      <c r="K456" s="55" t="s">
        <v>61</v>
      </c>
      <c r="L456" s="55">
        <v>16917.0</v>
      </c>
      <c r="M456" s="55" t="s">
        <v>78</v>
      </c>
      <c r="N456" s="55" t="s">
        <v>69</v>
      </c>
      <c r="O456" s="55" t="s">
        <v>224</v>
      </c>
      <c r="P456" s="55" t="s">
        <v>110</v>
      </c>
      <c r="Q456" s="67" t="str">
        <f>IFERROR(__xludf.DUMMYFUNCTION("""COMPUTED_VALUE"""),"Europe.giaotiep.JHKO_16917_CVS_NamNH_250424")</f>
        <v>Europe.giaotiep.JHKO_16917_CVS_NamNH_250424</v>
      </c>
      <c r="R456" s="67" t="str">
        <f>IFERROR(__xludf.DUMMYFUNCTION("""COMPUTED_VALUE"""),"NEW_Europe_1840_none_250424")</f>
        <v>NEW_Europe_1840_none_250424</v>
      </c>
      <c r="S456" s="67" t="str">
        <f>IFERROR(__xludf.DUMMYFUNCTION("""COMPUTED_VALUE"""),"saletructiep_Europe.JHKO.1840.giaotiep_PTATT_LD153")</f>
        <v>saletructiep_Europe.JHKO.1840.giaotiep_PTATT_LD153</v>
      </c>
      <c r="T456" s="107" t="str">
        <f>IFERROR(__xludf.DUMMYFUNCTION("""COMPUTED_VALUE"""),"https://patadovietnam.edu.vn/tienganhgiaotiep_hn/?utm_source=Facebook&amp;utm_medium=CVS&amp;utm_term=NEW_Europe_1840_none_250424&amp;utm_content=saletructiep_Europe.JHKO.1840.giaotiep_PTATT_LD153&amp;utm_campaign=Europe.giaotiep.JHKO_16917_CVS_NamNH_250424")</f>
        <v>https://patadovietnam.edu.vn/tienganhgiaotiep_hn/?utm_source=Facebook&amp;utm_medium=CVS&amp;utm_term=NEW_Europe_1840_none_250424&amp;utm_content=saletructiep_Europe.JHKO.1840.giaotiep_PTATT_LD153&amp;utm_campaign=Europe.giaotiep.JHKO_16917_CVS_NamNH_250424</v>
      </c>
      <c r="U456" s="110" t="s">
        <v>4107</v>
      </c>
    </row>
    <row r="457">
      <c r="A457" s="72">
        <v>45408.0</v>
      </c>
      <c r="B457" s="75" t="s">
        <v>3903</v>
      </c>
      <c r="C457" s="67" t="str">
        <f>IFERROR(__xludf.DUMMYFUNCTION("""COMPUTED_VALUE"""),"LD224")</f>
        <v>LD224</v>
      </c>
      <c r="D457" s="55" t="s">
        <v>42</v>
      </c>
      <c r="E457" s="55" t="s">
        <v>79</v>
      </c>
      <c r="F457" s="55" t="s">
        <v>199</v>
      </c>
      <c r="G457" s="55">
        <v>2030.0</v>
      </c>
      <c r="H457" s="55" t="s">
        <v>1137</v>
      </c>
      <c r="I457" s="55" t="s">
        <v>4108</v>
      </c>
      <c r="J457" s="55" t="s">
        <v>4109</v>
      </c>
      <c r="K457" s="55" t="s">
        <v>61</v>
      </c>
      <c r="L457" s="55">
        <v>16917.0</v>
      </c>
      <c r="M457" s="55" t="s">
        <v>78</v>
      </c>
      <c r="N457" s="55" t="s">
        <v>79</v>
      </c>
      <c r="O457" s="55" t="s">
        <v>224</v>
      </c>
      <c r="P457" s="55" t="s">
        <v>110</v>
      </c>
      <c r="Q457" s="67" t="str">
        <f>IFERROR(__xludf.DUMMYFUNCTION("""COMPUTED_VALUE"""),"Vietnam.Doanhnghiep.MLBE_16917_MES_NamNH_260424")</f>
        <v>Vietnam.Doanhnghiep.MLBE_16917_MES_NamNH_260424</v>
      </c>
      <c r="R457" s="67" t="str">
        <f>IFERROR(__xludf.DUMMYFUNCTION("""COMPUTED_VALUE"""),"NEW_Vietnam_2030_none_260424")</f>
        <v>NEW_Vietnam_2030_none_260424</v>
      </c>
      <c r="S457" s="67" t="str">
        <f>IFERROR(__xludf.DUMMYFUNCTION("""COMPUTED_VALUE"""),"saletructiep_Vietnam.MLBE.1836.DoanhNghiep_PTATT_LD224")</f>
        <v>saletructiep_Vietnam.MLBE.1836.DoanhNghiep_PTATT_LD224</v>
      </c>
      <c r="T457" s="107" t="str">
        <f>IFERROR(__xludf.DUMMYFUNCTION("""COMPUTED_VALUE"""),"https://patadovietnam.edu.vn/tienganhdoanhnghiep_hn/?utm_source=Facebook&amp;utm_medium=MES&amp;utm_term=NEW_Vietnam_2030_none_260424&amp;utm_content=saletructiep_Vietnam.MLBE.1836.DoanhNghiep_PTATT_LD224&amp;utm_campaign=Vietnam.Doanhnghiep.MLBE_16917_MES_NamNH_260424")</f>
        <v>https://patadovietnam.edu.vn/tienganhdoanhnghiep_hn/?utm_source=Facebook&amp;utm_medium=MES&amp;utm_term=NEW_Vietnam_2030_none_260424&amp;utm_content=saletructiep_Vietnam.MLBE.1836.DoanhNghiep_PTATT_LD224&amp;utm_campaign=Vietnam.Doanhnghiep.MLBE_16917_MES_NamNH_260424</v>
      </c>
      <c r="U457" s="110" t="s">
        <v>4113</v>
      </c>
    </row>
    <row r="458">
      <c r="A458" s="72">
        <v>45408.0</v>
      </c>
      <c r="B458" s="60" t="s">
        <v>3903</v>
      </c>
      <c r="C458" s="67" t="str">
        <f>IFERROR(__xludf.DUMMYFUNCTION("""COMPUTED_VALUE"""),"LD224")</f>
        <v>LD224</v>
      </c>
      <c r="D458" s="55" t="s">
        <v>42</v>
      </c>
      <c r="E458" s="55" t="s">
        <v>79</v>
      </c>
      <c r="F458" s="55" t="s">
        <v>199</v>
      </c>
      <c r="G458" s="55">
        <v>3140.0</v>
      </c>
      <c r="H458" s="55" t="s">
        <v>1137</v>
      </c>
      <c r="I458" s="55" t="s">
        <v>4118</v>
      </c>
      <c r="J458" s="55" t="s">
        <v>4119</v>
      </c>
      <c r="K458" s="55" t="s">
        <v>61</v>
      </c>
      <c r="L458" s="55">
        <v>16917.0</v>
      </c>
      <c r="M458" s="55" t="s">
        <v>78</v>
      </c>
      <c r="N458" s="55" t="s">
        <v>79</v>
      </c>
      <c r="O458" s="55" t="s">
        <v>224</v>
      </c>
      <c r="P458" s="55" t="s">
        <v>110</v>
      </c>
      <c r="Q458" s="67" t="str">
        <f>IFERROR(__xludf.DUMMYFUNCTION("""COMPUTED_VALUE"""),"Vietnam.Doanhnghiep.MLBE1_16917_MES_NamNH_260424")</f>
        <v>Vietnam.Doanhnghiep.MLBE1_16917_MES_NamNH_260424</v>
      </c>
      <c r="R458" s="67" t="str">
        <f>IFERROR(__xludf.DUMMYFUNCTION("""COMPUTED_VALUE"""),"NEW_Vietnam_3140_none_260424")</f>
        <v>NEW_Vietnam_3140_none_260424</v>
      </c>
      <c r="S458" s="67" t="str">
        <f>IFERROR(__xludf.DUMMYFUNCTION("""COMPUTED_VALUE"""),"saletructiep_Vietnam.MLBE1.1836.DoanhNghiep_PTATT_LD224")</f>
        <v>saletructiep_Vietnam.MLBE1.1836.DoanhNghiep_PTATT_LD224</v>
      </c>
      <c r="T458" s="107" t="str">
        <f>IFERROR(__xludf.DUMMYFUNCTION("""COMPUTED_VALUE"""),"https://patadovietnam.edu.vn/tienganhdoanhnghiep_hn/?utm_source=Facebook&amp;utm_medium=MES&amp;utm_term=NEW_Vietnam_3140_none_260424&amp;utm_content=saletructiep_Vietnam.MLBE1.1836.DoanhNghiep_PTATT_LD224&amp;utm_campaign=Vietnam.Doanhnghiep.MLBE1_16917_MES_NamNH_260424")</f>
        <v>https://patadovietnam.edu.vn/tienganhdoanhnghiep_hn/?utm_source=Facebook&amp;utm_medium=MES&amp;utm_term=NEW_Vietnam_3140_none_260424&amp;utm_content=saletructiep_Vietnam.MLBE1.1836.DoanhNghiep_PTATT_LD224&amp;utm_campaign=Vietnam.Doanhnghiep.MLBE1_16917_MES_NamNH_260424</v>
      </c>
      <c r="U458" s="110" t="s">
        <v>4124</v>
      </c>
    </row>
    <row r="459">
      <c r="A459" s="72">
        <v>45408.0</v>
      </c>
      <c r="B459" s="75" t="s">
        <v>3903</v>
      </c>
      <c r="C459" s="67" t="str">
        <f>IFERROR(__xludf.DUMMYFUNCTION("""COMPUTED_VALUE"""),"LD224")</f>
        <v>LD224</v>
      </c>
      <c r="D459" s="55" t="s">
        <v>42</v>
      </c>
      <c r="E459" s="55" t="s">
        <v>79</v>
      </c>
      <c r="F459" s="55" t="s">
        <v>199</v>
      </c>
      <c r="G459" s="55">
        <v>3140.0</v>
      </c>
      <c r="H459" s="55" t="s">
        <v>1137</v>
      </c>
      <c r="I459" s="55" t="s">
        <v>4126</v>
      </c>
      <c r="J459" s="55" t="s">
        <v>4127</v>
      </c>
      <c r="K459" s="55" t="s">
        <v>61</v>
      </c>
      <c r="L459" s="55">
        <v>16917.0</v>
      </c>
      <c r="M459" s="55" t="s">
        <v>78</v>
      </c>
      <c r="N459" s="55" t="s">
        <v>79</v>
      </c>
      <c r="O459" s="55" t="s">
        <v>224</v>
      </c>
      <c r="P459" s="55" t="s">
        <v>110</v>
      </c>
      <c r="Q459" s="67" t="str">
        <f>IFERROR(__xludf.DUMMYFUNCTION("""COMPUTED_VALUE"""),"Vietnam.Doanhnghiep.UDBE_16917_MES_NamNH_260424")</f>
        <v>Vietnam.Doanhnghiep.UDBE_16917_MES_NamNH_260424</v>
      </c>
      <c r="R459" s="67" t="str">
        <f>IFERROR(__xludf.DUMMYFUNCTION("""COMPUTED_VALUE"""),"NEW_Vietnam_3140_none_260424")</f>
        <v>NEW_Vietnam_3140_none_260424</v>
      </c>
      <c r="S459" s="67" t="str">
        <f>IFERROR(__xludf.DUMMYFUNCTION("""COMPUTED_VALUE"""),"saletructiep_Vietnam.UDBE.3140.DoanhNghiep_PTATT_LD224")</f>
        <v>saletructiep_Vietnam.UDBE.3140.DoanhNghiep_PTATT_LD224</v>
      </c>
      <c r="T459" s="107" t="str">
        <f>IFERROR(__xludf.DUMMYFUNCTION("""COMPUTED_VALUE"""),"https://patadovietnam.edu.vn/tienganhdoanhnghiep_hn/?utm_source=Facebook&amp;utm_medium=MES&amp;utm_term=NEW_Vietnam_3140_none_260424&amp;utm_content=saletructiep_Vietnam.UDBE.3140.DoanhNghiep_PTATT_LD224&amp;utm_campaign=Vietnam.Doanhnghiep.UDBE_16917_MES_NamNH_260424")</f>
        <v>https://patadovietnam.edu.vn/tienganhdoanhnghiep_hn/?utm_source=Facebook&amp;utm_medium=MES&amp;utm_term=NEW_Vietnam_3140_none_260424&amp;utm_content=saletructiep_Vietnam.UDBE.3140.DoanhNghiep_PTATT_LD224&amp;utm_campaign=Vietnam.Doanhnghiep.UDBE_16917_MES_NamNH_260424</v>
      </c>
      <c r="U459" s="110" t="s">
        <v>4132</v>
      </c>
    </row>
    <row r="460">
      <c r="A460" s="72">
        <v>45408.0</v>
      </c>
      <c r="B460" s="75" t="s">
        <v>3903</v>
      </c>
      <c r="C460" s="67" t="str">
        <f>IFERROR(__xludf.DUMMYFUNCTION("""COMPUTED_VALUE"""),"LD224")</f>
        <v>LD224</v>
      </c>
      <c r="D460" s="55" t="s">
        <v>42</v>
      </c>
      <c r="E460" s="55" t="s">
        <v>79</v>
      </c>
      <c r="F460" s="55" t="s">
        <v>199</v>
      </c>
      <c r="G460" s="55">
        <v>2030.0</v>
      </c>
      <c r="H460" s="55" t="s">
        <v>1137</v>
      </c>
      <c r="I460" s="55" t="s">
        <v>4135</v>
      </c>
      <c r="J460" s="55" t="s">
        <v>4136</v>
      </c>
      <c r="K460" s="55" t="s">
        <v>61</v>
      </c>
      <c r="L460" s="55">
        <v>16917.0</v>
      </c>
      <c r="M460" s="55" t="s">
        <v>78</v>
      </c>
      <c r="N460" s="55" t="s">
        <v>79</v>
      </c>
      <c r="O460" s="55" t="s">
        <v>224</v>
      </c>
      <c r="P460" s="55" t="s">
        <v>110</v>
      </c>
      <c r="Q460" s="67" t="str">
        <f>IFERROR(__xludf.DUMMYFUNCTION("""COMPUTED_VALUE"""),"Vietnam.Doanhnghiep.UDBE1_16917_MES_NamNH_260424")</f>
        <v>Vietnam.Doanhnghiep.UDBE1_16917_MES_NamNH_260424</v>
      </c>
      <c r="R460" s="67" t="str">
        <f>IFERROR(__xludf.DUMMYFUNCTION("""COMPUTED_VALUE"""),"NEW_Vietnam_2030_none_260424")</f>
        <v>NEW_Vietnam_2030_none_260424</v>
      </c>
      <c r="S460" s="67" t="str">
        <f>IFERROR(__xludf.DUMMYFUNCTION("""COMPUTED_VALUE"""),"saletructiep_Vietnam.UDBE1.2030.DoanhNghiep_PTATT_LD224")</f>
        <v>saletructiep_Vietnam.UDBE1.2030.DoanhNghiep_PTATT_LD224</v>
      </c>
      <c r="T460" s="107" t="str">
        <f>IFERROR(__xludf.DUMMYFUNCTION("""COMPUTED_VALUE"""),"https://patadovietnam.edu.vn/tienganhdoanhnghiep_hn/?utm_source=Facebook&amp;utm_medium=MES&amp;utm_term=NEW_Vietnam_2030_none_260424&amp;utm_content=saletructiep_Vietnam.UDBE1.2030.DoanhNghiep_PTATT_LD224&amp;utm_campaign=Vietnam.Doanhnghiep.UDBE1_16917_MES_NamNH_260424")</f>
        <v>https://patadovietnam.edu.vn/tienganhdoanhnghiep_hn/?utm_source=Facebook&amp;utm_medium=MES&amp;utm_term=NEW_Vietnam_2030_none_260424&amp;utm_content=saletructiep_Vietnam.UDBE1.2030.DoanhNghiep_PTATT_LD224&amp;utm_campaign=Vietnam.Doanhnghiep.UDBE1_16917_MES_NamNH_260424</v>
      </c>
      <c r="U460" s="110" t="s">
        <v>4187</v>
      </c>
    </row>
    <row r="461">
      <c r="A461" s="72">
        <v>45408.0</v>
      </c>
      <c r="B461" s="75" t="s">
        <v>3903</v>
      </c>
      <c r="C461" s="67" t="str">
        <f>IFERROR(__xludf.DUMMYFUNCTION("""COMPUTED_VALUE"""),"LD224")</f>
        <v>LD224</v>
      </c>
      <c r="D461" s="55" t="s">
        <v>42</v>
      </c>
      <c r="E461" s="55" t="s">
        <v>69</v>
      </c>
      <c r="F461" s="55" t="s">
        <v>199</v>
      </c>
      <c r="G461" s="55">
        <v>2030.0</v>
      </c>
      <c r="H461" s="55" t="s">
        <v>1137</v>
      </c>
      <c r="I461" s="55" t="s">
        <v>4108</v>
      </c>
      <c r="J461" s="55" t="s">
        <v>4219</v>
      </c>
      <c r="K461" s="55" t="s">
        <v>61</v>
      </c>
      <c r="L461" s="55">
        <v>95360.0</v>
      </c>
      <c r="M461" s="55" t="s">
        <v>78</v>
      </c>
      <c r="N461" s="55" t="s">
        <v>69</v>
      </c>
      <c r="O461" s="55" t="s">
        <v>224</v>
      </c>
      <c r="P461" s="55" t="s">
        <v>110</v>
      </c>
      <c r="Q461" s="67" t="str">
        <f>IFERROR(__xludf.DUMMYFUNCTION("""COMPUTED_VALUE"""),"Vietnam.Doanhnghiep.MLBE_95360_CVS_NamNH_260424")</f>
        <v>Vietnam.Doanhnghiep.MLBE_95360_CVS_NamNH_260424</v>
      </c>
      <c r="R461" s="67" t="str">
        <f>IFERROR(__xludf.DUMMYFUNCTION("""COMPUTED_VALUE"""),"NEW_Vietnam_2030_none_260424")</f>
        <v>NEW_Vietnam_2030_none_260424</v>
      </c>
      <c r="S461" s="67" t="str">
        <f>IFERROR(__xludf.DUMMYFUNCTION("""COMPUTED_VALUE"""),"saletructiep_Vietnam.MLBE.2030.DoanhNghiep_PTATT_LD224")</f>
        <v>saletructiep_Vietnam.MLBE.2030.DoanhNghiep_PTATT_LD224</v>
      </c>
      <c r="T461" s="107" t="str">
        <f>IFERROR(__xludf.DUMMYFUNCTION("""COMPUTED_VALUE"""),"https://patadovietnam.edu.vn/tienganhdoanhnghiep_hn/?utm_source=Facebook&amp;utm_medium=CVS&amp;utm_term=NEW_Vietnam_2030_none_260424&amp;utm_content=saletructiep_Vietnam.MLBE.2030.DoanhNghiep_PTATT_LD224&amp;utm_campaign=Vietnam.Doanhnghiep.MLBE_95360_CVS_NamNH_260424")</f>
        <v>https://patadovietnam.edu.vn/tienganhdoanhnghiep_hn/?utm_source=Facebook&amp;utm_medium=CVS&amp;utm_term=NEW_Vietnam_2030_none_260424&amp;utm_content=saletructiep_Vietnam.MLBE.2030.DoanhNghiep_PTATT_LD224&amp;utm_campaign=Vietnam.Doanhnghiep.MLBE_95360_CVS_NamNH_260424</v>
      </c>
      <c r="U461" s="110" t="s">
        <v>4269</v>
      </c>
    </row>
    <row r="462">
      <c r="A462" s="72">
        <v>45408.0</v>
      </c>
      <c r="B462" s="60" t="s">
        <v>3903</v>
      </c>
      <c r="C462" s="67" t="str">
        <f>IFERROR(__xludf.DUMMYFUNCTION("""COMPUTED_VALUE"""),"LD224")</f>
        <v>LD224</v>
      </c>
      <c r="D462" s="55" t="s">
        <v>42</v>
      </c>
      <c r="E462" s="55" t="s">
        <v>69</v>
      </c>
      <c r="F462" s="55" t="s">
        <v>199</v>
      </c>
      <c r="G462" s="55">
        <v>3140.0</v>
      </c>
      <c r="H462" s="55" t="s">
        <v>1137</v>
      </c>
      <c r="I462" s="55" t="s">
        <v>4118</v>
      </c>
      <c r="J462" s="55" t="s">
        <v>4300</v>
      </c>
      <c r="K462" s="55" t="s">
        <v>61</v>
      </c>
      <c r="L462" s="55">
        <v>95360.0</v>
      </c>
      <c r="M462" s="55" t="s">
        <v>78</v>
      </c>
      <c r="N462" s="55" t="s">
        <v>69</v>
      </c>
      <c r="O462" s="55" t="s">
        <v>224</v>
      </c>
      <c r="P462" s="55" t="s">
        <v>110</v>
      </c>
      <c r="Q462" s="67" t="str">
        <f>IFERROR(__xludf.DUMMYFUNCTION("""COMPUTED_VALUE"""),"Vietnam.Doanhnghiep.MLBE1_95360_CVS_NamNH_260424")</f>
        <v>Vietnam.Doanhnghiep.MLBE1_95360_CVS_NamNH_260424</v>
      </c>
      <c r="R462" s="67" t="str">
        <f>IFERROR(__xludf.DUMMYFUNCTION("""COMPUTED_VALUE"""),"NEW_Vietnam_3140_none_260424")</f>
        <v>NEW_Vietnam_3140_none_260424</v>
      </c>
      <c r="S462" s="67" t="str">
        <f>IFERROR(__xludf.DUMMYFUNCTION("""COMPUTED_VALUE"""),"saletructiep_Vietnam.MLBE1.3140.DoanhNghiep_PTATT_LD224")</f>
        <v>saletructiep_Vietnam.MLBE1.3140.DoanhNghiep_PTATT_LD224</v>
      </c>
      <c r="T462" s="107" t="str">
        <f>IFERROR(__xludf.DUMMYFUNCTION("""COMPUTED_VALUE"""),"https://patadovietnam.edu.vn/tienganhdoanhnghiep_hn/?utm_source=Facebook&amp;utm_medium=CVS&amp;utm_term=NEW_Vietnam_3140_none_260424&amp;utm_content=saletructiep_Vietnam.MLBE1.3140.DoanhNghiep_PTATT_LD224&amp;utm_campaign=Vietnam.Doanhnghiep.MLBE1_95360_CVS_NamNH_260424")</f>
        <v>https://patadovietnam.edu.vn/tienganhdoanhnghiep_hn/?utm_source=Facebook&amp;utm_medium=CVS&amp;utm_term=NEW_Vietnam_3140_none_260424&amp;utm_content=saletructiep_Vietnam.MLBE1.3140.DoanhNghiep_PTATT_LD224&amp;utm_campaign=Vietnam.Doanhnghiep.MLBE1_95360_CVS_NamNH_260424</v>
      </c>
      <c r="U462" s="110" t="s">
        <v>4346</v>
      </c>
    </row>
    <row r="463">
      <c r="A463" s="72">
        <v>45413.0</v>
      </c>
      <c r="B463" s="75" t="s">
        <v>1229</v>
      </c>
      <c r="C463" s="67" t="str">
        <f>IFERROR(__xludf.DUMMYFUNCTION("""COMPUTED_VALUE"""),"LD164")</f>
        <v>LD164</v>
      </c>
      <c r="D463" s="55" t="s">
        <v>42</v>
      </c>
      <c r="E463" s="55" t="s">
        <v>69</v>
      </c>
      <c r="F463" s="55" t="s">
        <v>133</v>
      </c>
      <c r="G463" s="55">
        <v>1840.0</v>
      </c>
      <c r="H463" s="55" t="s">
        <v>1137</v>
      </c>
      <c r="I463" s="115" t="s">
        <v>4374</v>
      </c>
      <c r="J463" s="55" t="s">
        <v>4376</v>
      </c>
      <c r="K463" s="55" t="s">
        <v>61</v>
      </c>
      <c r="L463" s="55">
        <v>16917.0</v>
      </c>
      <c r="M463" s="55" t="s">
        <v>78</v>
      </c>
      <c r="N463" s="55" t="s">
        <v>69</v>
      </c>
      <c r="O463" s="55" t="s">
        <v>224</v>
      </c>
      <c r="P463" s="55" t="s">
        <v>110</v>
      </c>
      <c r="Q463" s="67" t="str">
        <f>IFERROR(__xludf.DUMMYFUNCTION("""COMPUTED_VALUE"""),"Japan.giaotiep.PTKO2_16917_CVS_NamNH_010524")</f>
        <v>Japan.giaotiep.PTKO2_16917_CVS_NamNH_010524</v>
      </c>
      <c r="R463" s="67" t="str">
        <f>IFERROR(__xludf.DUMMYFUNCTION("""COMPUTED_VALUE"""),"NEW_Japan_1840_none_010524")</f>
        <v>NEW_Japan_1840_none_010524</v>
      </c>
      <c r="S463" s="67" t="str">
        <f>IFERROR(__xludf.DUMMYFUNCTION("""COMPUTED_VALUE"""),"saletructiep_Japan.PTKO2.1840.giaotiep_PTATT_LD164")</f>
        <v>saletructiep_Japan.PTKO2.1840.giaotiep_PTATT_LD164</v>
      </c>
      <c r="T463" s="107" t="str">
        <f>IFERROR(__xludf.DUMMYFUNCTION("""COMPUTED_VALUE"""),"https://patadovietnam.edu.vn/gtjapan_nhn3/?utm_source=Facebook&amp;utm_medium=CVS&amp;utm_term=NEW_Japan_1840_none_010524&amp;utm_content=saletructiep_Japan.PTKO2.1840.giaotiep_PTATT_LD164&amp;utm_campaign=Japan.giaotiep.PTKO2_16917_CVS_NamNH_010524")</f>
        <v>https://patadovietnam.edu.vn/gtjapan_nhn3/?utm_source=Facebook&amp;utm_medium=CVS&amp;utm_term=NEW_Japan_1840_none_010524&amp;utm_content=saletructiep_Japan.PTKO2.1840.giaotiep_PTATT_LD164&amp;utm_campaign=Japan.giaotiep.PTKO2_16917_CVS_NamNH_010524</v>
      </c>
      <c r="U463" s="110" t="s">
        <v>4429</v>
      </c>
    </row>
    <row r="464">
      <c r="A464" s="72">
        <v>45413.0</v>
      </c>
      <c r="B464" s="75" t="s">
        <v>1229</v>
      </c>
      <c r="C464" s="67" t="str">
        <f>IFERROR(__xludf.DUMMYFUNCTION("""COMPUTED_VALUE"""),"LD164")</f>
        <v>LD164</v>
      </c>
      <c r="D464" s="55" t="s">
        <v>42</v>
      </c>
      <c r="E464" s="55" t="s">
        <v>69</v>
      </c>
      <c r="F464" s="55" t="s">
        <v>133</v>
      </c>
      <c r="G464" s="55">
        <v>1840.0</v>
      </c>
      <c r="H464" s="55" t="s">
        <v>1137</v>
      </c>
      <c r="I464" s="115" t="s">
        <v>4456</v>
      </c>
      <c r="J464" s="55" t="s">
        <v>4457</v>
      </c>
      <c r="K464" s="55" t="s">
        <v>61</v>
      </c>
      <c r="L464" s="55">
        <v>16917.0</v>
      </c>
      <c r="M464" s="55" t="s">
        <v>78</v>
      </c>
      <c r="N464" s="55" t="s">
        <v>69</v>
      </c>
      <c r="O464" s="55" t="s">
        <v>224</v>
      </c>
      <c r="P464" s="55" t="s">
        <v>110</v>
      </c>
      <c r="Q464" s="67" t="str">
        <f>IFERROR(__xludf.DUMMYFUNCTION("""COMPUTED_VALUE"""),"Japan.giaotiep.PTHTKO_16917_CVS_NamNH_010524")</f>
        <v>Japan.giaotiep.PTHTKO_16917_CVS_NamNH_010524</v>
      </c>
      <c r="R464" s="67" t="str">
        <f>IFERROR(__xludf.DUMMYFUNCTION("""COMPUTED_VALUE"""),"NEW_Japan_1840_none_010524")</f>
        <v>NEW_Japan_1840_none_010524</v>
      </c>
      <c r="S464" s="67" t="str">
        <f>IFERROR(__xludf.DUMMYFUNCTION("""COMPUTED_VALUE"""),"saletructiep_Japan.PTHTKO.1840.giaotiep_PTATT_LD164")</f>
        <v>saletructiep_Japan.PTHTKO.1840.giaotiep_PTATT_LD164</v>
      </c>
      <c r="T464" s="107" t="str">
        <f>IFERROR(__xludf.DUMMYFUNCTION("""COMPUTED_VALUE"""),"https://patadovietnam.edu.vn/gtjapan_nhn3/?utm_source=Facebook&amp;utm_medium=CVS&amp;utm_term=NEW_Japan_1840_none_010524&amp;utm_content=saletructiep_Japan.PTHTKO.1840.giaotiep_PTATT_LD164&amp;utm_campaign=Japan.giaotiep.PTHTKO_16917_CVS_NamNH_010524")</f>
        <v>https://patadovietnam.edu.vn/gtjapan_nhn3/?utm_source=Facebook&amp;utm_medium=CVS&amp;utm_term=NEW_Japan_1840_none_010524&amp;utm_content=saletructiep_Japan.PTHTKO.1840.giaotiep_PTATT_LD164&amp;utm_campaign=Japan.giaotiep.PTHTKO_16917_CVS_NamNH_010524</v>
      </c>
      <c r="U464" s="110" t="s">
        <v>4510</v>
      </c>
    </row>
    <row r="465">
      <c r="A465" s="72">
        <v>45413.0</v>
      </c>
      <c r="B465" s="75" t="s">
        <v>1229</v>
      </c>
      <c r="C465" s="67" t="str">
        <f>IFERROR(__xludf.DUMMYFUNCTION("""COMPUTED_VALUE"""),"LD164")</f>
        <v>LD164</v>
      </c>
      <c r="D465" s="55" t="s">
        <v>42</v>
      </c>
      <c r="E465" s="55" t="s">
        <v>69</v>
      </c>
      <c r="F465" s="55" t="s">
        <v>133</v>
      </c>
      <c r="G465" s="55">
        <v>1840.0</v>
      </c>
      <c r="H465" s="55" t="s">
        <v>1137</v>
      </c>
      <c r="I465" s="115" t="s">
        <v>4539</v>
      </c>
      <c r="J465" s="55" t="s">
        <v>4541</v>
      </c>
      <c r="K465" s="55" t="s">
        <v>61</v>
      </c>
      <c r="L465" s="55">
        <v>16917.0</v>
      </c>
      <c r="M465" s="55" t="s">
        <v>78</v>
      </c>
      <c r="N465" s="55" t="s">
        <v>69</v>
      </c>
      <c r="O465" s="55" t="s">
        <v>224</v>
      </c>
      <c r="P465" s="55" t="s">
        <v>110</v>
      </c>
      <c r="Q465" s="67" t="str">
        <f>IFERROR(__xludf.DUMMYFUNCTION("""COMPUTED_VALUE"""),"Japan.giaotiep.JHKO_16917_CVS_NamNH_010524")</f>
        <v>Japan.giaotiep.JHKO_16917_CVS_NamNH_010524</v>
      </c>
      <c r="R465" s="67" t="str">
        <f>IFERROR(__xludf.DUMMYFUNCTION("""COMPUTED_VALUE"""),"NEW_Japan_1840_none_010524")</f>
        <v>NEW_Japan_1840_none_010524</v>
      </c>
      <c r="S465" s="67" t="str">
        <f>IFERROR(__xludf.DUMMYFUNCTION("""COMPUTED_VALUE"""),"saletructiep_Japan.JHKO.1840.giaotiep_PTATT_LD164")</f>
        <v>saletructiep_Japan.JHKO.1840.giaotiep_PTATT_LD164</v>
      </c>
      <c r="T465" s="107" t="str">
        <f>IFERROR(__xludf.DUMMYFUNCTION("""COMPUTED_VALUE"""),"https://patadovietnam.edu.vn/gtjapan_nhn3/?utm_source=Facebook&amp;utm_medium=CVS&amp;utm_term=NEW_Japan_1840_none_010524&amp;utm_content=saletructiep_Japan.JHKO.1840.giaotiep_PTATT_LD164&amp;utm_campaign=Japan.giaotiep.JHKO_16917_CVS_NamNH_010524")</f>
        <v>https://patadovietnam.edu.vn/gtjapan_nhn3/?utm_source=Facebook&amp;utm_medium=CVS&amp;utm_term=NEW_Japan_1840_none_010524&amp;utm_content=saletructiep_Japan.JHKO.1840.giaotiep_PTATT_LD164&amp;utm_campaign=Japan.giaotiep.JHKO_16917_CVS_NamNH_010524</v>
      </c>
      <c r="U465" s="110" t="s">
        <v>4578</v>
      </c>
    </row>
    <row r="466">
      <c r="A466" s="72">
        <v>45413.0</v>
      </c>
      <c r="B466" s="75" t="s">
        <v>1134</v>
      </c>
      <c r="C466" s="67" t="str">
        <f>IFERROR(__xludf.DUMMYFUNCTION("""COMPUTED_VALUE"""),"LD153")</f>
        <v>LD153</v>
      </c>
      <c r="D466" s="55" t="s">
        <v>42</v>
      </c>
      <c r="E466" s="55" t="s">
        <v>69</v>
      </c>
      <c r="F466" s="55" t="s">
        <v>674</v>
      </c>
      <c r="G466" s="55">
        <v>1840.0</v>
      </c>
      <c r="H466" s="55" t="s">
        <v>1137</v>
      </c>
      <c r="I466" s="115" t="s">
        <v>4581</v>
      </c>
      <c r="J466" s="55" t="s">
        <v>4582</v>
      </c>
      <c r="K466" s="55" t="s">
        <v>61</v>
      </c>
      <c r="L466" s="55">
        <v>16917.0</v>
      </c>
      <c r="M466" s="55" t="s">
        <v>78</v>
      </c>
      <c r="N466" s="55" t="s">
        <v>69</v>
      </c>
      <c r="O466" s="55" t="s">
        <v>224</v>
      </c>
      <c r="P466" s="55" t="s">
        <v>110</v>
      </c>
      <c r="Q466" s="67" t="str">
        <f>IFERROR(__xludf.DUMMYFUNCTION("""COMPUTED_VALUE"""),"Europe.giaotiep.PPJH_16917_CVS_NamNH_010524")</f>
        <v>Europe.giaotiep.PPJH_16917_CVS_NamNH_010524</v>
      </c>
      <c r="R466" s="67" t="str">
        <f>IFERROR(__xludf.DUMMYFUNCTION("""COMPUTED_VALUE"""),"NEW_Europe_1840_none_010524")</f>
        <v>NEW_Europe_1840_none_010524</v>
      </c>
      <c r="S466" s="67" t="str">
        <f>IFERROR(__xludf.DUMMYFUNCTION("""COMPUTED_VALUE"""),"saletructiep_Europe.PPJH.1840.giaotiep_PTATT_LD153")</f>
        <v>saletructiep_Europe.PPJH.1840.giaotiep_PTATT_LD153</v>
      </c>
      <c r="T466" s="107" t="str">
        <f>IFERROR(__xludf.DUMMYFUNCTION("""COMPUTED_VALUE"""),"https://patadovietnam.edu.vn/tienganhgiaotiep_hn/?utm_source=Facebook&amp;utm_medium=CVS&amp;utm_term=NEW_Europe_1840_none_010524&amp;utm_content=saletructiep_Europe.PPJH.1840.giaotiep_PTATT_LD153&amp;utm_campaign=Europe.giaotiep.PPJH_16917_CVS_NamNH_010524")</f>
        <v>https://patadovietnam.edu.vn/tienganhgiaotiep_hn/?utm_source=Facebook&amp;utm_medium=CVS&amp;utm_term=NEW_Europe_1840_none_010524&amp;utm_content=saletructiep_Europe.PPJH.1840.giaotiep_PTATT_LD153&amp;utm_campaign=Europe.giaotiep.PPJH_16917_CVS_NamNH_010524</v>
      </c>
      <c r="U466" s="110" t="s">
        <v>4587</v>
      </c>
    </row>
    <row r="467">
      <c r="A467" s="72">
        <v>45413.0</v>
      </c>
      <c r="B467" s="75" t="s">
        <v>1245</v>
      </c>
      <c r="C467" s="67" t="str">
        <f>IFERROR(__xludf.DUMMYFUNCTION("""COMPUTED_VALUE"""),"LD161")</f>
        <v>LD161</v>
      </c>
      <c r="D467" s="55" t="s">
        <v>42</v>
      </c>
      <c r="E467" s="55" t="s">
        <v>79</v>
      </c>
      <c r="F467" s="55" t="s">
        <v>107</v>
      </c>
      <c r="G467" s="55">
        <v>1840.0</v>
      </c>
      <c r="H467" s="55" t="s">
        <v>1137</v>
      </c>
      <c r="I467" s="115" t="s">
        <v>4589</v>
      </c>
      <c r="J467" s="55" t="s">
        <v>4590</v>
      </c>
      <c r="K467" s="55" t="s">
        <v>61</v>
      </c>
      <c r="L467" s="55">
        <v>16917.0</v>
      </c>
      <c r="M467" s="55" t="s">
        <v>78</v>
      </c>
      <c r="N467" s="55" t="s">
        <v>79</v>
      </c>
      <c r="O467" s="55" t="s">
        <v>224</v>
      </c>
      <c r="P467" s="55" t="s">
        <v>110</v>
      </c>
      <c r="Q467" s="67" t="str">
        <f>IFERROR(__xludf.DUMMYFUNCTION("""COMPUTED_VALUE"""),"UnitedStates.giaotiep.PTKO2_16917_MES_NamNH_010524")</f>
        <v>UnitedStates.giaotiep.PTKO2_16917_MES_NamNH_010524</v>
      </c>
      <c r="R467" s="67" t="str">
        <f>IFERROR(__xludf.DUMMYFUNCTION("""COMPUTED_VALUE"""),"NEW_UnitedStates_1840_none_010524")</f>
        <v>NEW_UnitedStates_1840_none_010524</v>
      </c>
      <c r="S467" s="67" t="str">
        <f>IFERROR(__xludf.DUMMYFUNCTION("""COMPUTED_VALUE"""),"saletructiep_UnitedStates.PTKO2.1840.giaotiep_PTATT_LD161")</f>
        <v>saletructiep_UnitedStates.PTKO2.1840.giaotiep_PTATT_LD161</v>
      </c>
      <c r="T467" s="107" t="str">
        <f>IFERROR(__xludf.DUMMYFUNCTION("""COMPUTED_VALUE"""),"https://patadovietnam.edu.vn/gtusa1_nhn/?utm_source=Facebook&amp;utm_medium=MES&amp;utm_term=NEW_UnitedStates_1840_none_010524&amp;utm_content=saletructiep_UnitedStates.PTKO2.1840.giaotiep_PTATT_LD161&amp;utm_campaign=UnitedStates.giaotiep.PTKO2_16917_MES_NamNH_010524")</f>
        <v>https://patadovietnam.edu.vn/gtusa1_nhn/?utm_source=Facebook&amp;utm_medium=MES&amp;utm_term=NEW_UnitedStates_1840_none_010524&amp;utm_content=saletructiep_UnitedStates.PTKO2.1840.giaotiep_PTATT_LD161&amp;utm_campaign=UnitedStates.giaotiep.PTKO2_16917_MES_NamNH_010524</v>
      </c>
      <c r="U467" s="110" t="s">
        <v>4596</v>
      </c>
    </row>
    <row r="468">
      <c r="A468" s="72">
        <v>45413.0</v>
      </c>
      <c r="B468" s="75" t="s">
        <v>1245</v>
      </c>
      <c r="C468" s="67" t="str">
        <f>IFERROR(__xludf.DUMMYFUNCTION("""COMPUTED_VALUE"""),"LD161")</f>
        <v>LD161</v>
      </c>
      <c r="D468" s="55" t="s">
        <v>42</v>
      </c>
      <c r="E468" s="55" t="s">
        <v>79</v>
      </c>
      <c r="F468" s="55" t="s">
        <v>107</v>
      </c>
      <c r="G468" s="55">
        <v>1840.0</v>
      </c>
      <c r="H468" s="55" t="s">
        <v>1137</v>
      </c>
      <c r="I468" s="115" t="s">
        <v>4599</v>
      </c>
      <c r="J468" s="55" t="s">
        <v>4600</v>
      </c>
      <c r="K468" s="55" t="s">
        <v>61</v>
      </c>
      <c r="L468" s="55">
        <v>16917.0</v>
      </c>
      <c r="M468" s="55" t="s">
        <v>78</v>
      </c>
      <c r="N468" s="55" t="s">
        <v>79</v>
      </c>
      <c r="O468" s="55" t="s">
        <v>224</v>
      </c>
      <c r="P468" s="55" t="s">
        <v>110</v>
      </c>
      <c r="Q468" s="67" t="str">
        <f>IFERROR(__xludf.DUMMYFUNCTION("""COMPUTED_VALUE"""),"UnitedStates.giaotiep.PTHTKO_16917_MES_NamNH_010524")</f>
        <v>UnitedStates.giaotiep.PTHTKO_16917_MES_NamNH_010524</v>
      </c>
      <c r="R468" s="67" t="str">
        <f>IFERROR(__xludf.DUMMYFUNCTION("""COMPUTED_VALUE"""),"NEW_UnitedStates_1840_none_010524")</f>
        <v>NEW_UnitedStates_1840_none_010524</v>
      </c>
      <c r="S468" s="67" t="str">
        <f>IFERROR(__xludf.DUMMYFUNCTION("""COMPUTED_VALUE"""),"saletructiep_UnitedStates.PTHTKO.1840.giaotiep_PTATT_LD161")</f>
        <v>saletructiep_UnitedStates.PTHTKO.1840.giaotiep_PTATT_LD161</v>
      </c>
      <c r="T468" s="107" t="str">
        <f>IFERROR(__xludf.DUMMYFUNCTION("""COMPUTED_VALUE"""),"https://patadovietnam.edu.vn/gtusa1_nhn/?utm_source=Facebook&amp;utm_medium=MES&amp;utm_term=NEW_UnitedStates_1840_none_010524&amp;utm_content=saletructiep_UnitedStates.PTHTKO.1840.giaotiep_PTATT_LD161&amp;utm_campaign=UnitedStates.giaotiep.PTHTKO_16917_MES_NamNH_010524")</f>
        <v>https://patadovietnam.edu.vn/gtusa1_nhn/?utm_source=Facebook&amp;utm_medium=MES&amp;utm_term=NEW_UnitedStates_1840_none_010524&amp;utm_content=saletructiep_UnitedStates.PTHTKO.1840.giaotiep_PTATT_LD161&amp;utm_campaign=UnitedStates.giaotiep.PTHTKO_16917_MES_NamNH_010524</v>
      </c>
      <c r="U468" s="110" t="s">
        <v>4605</v>
      </c>
    </row>
    <row r="469">
      <c r="A469" s="72">
        <v>45413.0</v>
      </c>
      <c r="B469" s="75" t="s">
        <v>1245</v>
      </c>
      <c r="C469" s="67" t="str">
        <f>IFERROR(__xludf.DUMMYFUNCTION("""COMPUTED_VALUE"""),"LD161")</f>
        <v>LD161</v>
      </c>
      <c r="D469" s="55" t="s">
        <v>42</v>
      </c>
      <c r="E469" s="55" t="s">
        <v>79</v>
      </c>
      <c r="F469" s="55" t="s">
        <v>107</v>
      </c>
      <c r="G469" s="55">
        <v>1840.0</v>
      </c>
      <c r="H469" s="55" t="s">
        <v>1137</v>
      </c>
      <c r="I469" s="115" t="s">
        <v>4607</v>
      </c>
      <c r="J469" s="55" t="s">
        <v>4608</v>
      </c>
      <c r="K469" s="55" t="s">
        <v>61</v>
      </c>
      <c r="L469" s="55">
        <v>16917.0</v>
      </c>
      <c r="M469" s="55" t="s">
        <v>78</v>
      </c>
      <c r="N469" s="55" t="s">
        <v>79</v>
      </c>
      <c r="O469" s="55" t="s">
        <v>224</v>
      </c>
      <c r="P469" s="55" t="s">
        <v>110</v>
      </c>
      <c r="Q469" s="67" t="str">
        <f>IFERROR(__xludf.DUMMYFUNCTION("""COMPUTED_VALUE"""),"UnitedStates.giaotiep.JHKO_16917_MES_NamNH_010524")</f>
        <v>UnitedStates.giaotiep.JHKO_16917_MES_NamNH_010524</v>
      </c>
      <c r="R469" s="67" t="str">
        <f>IFERROR(__xludf.DUMMYFUNCTION("""COMPUTED_VALUE"""),"NEW_UnitedStates_1840_none_010524")</f>
        <v>NEW_UnitedStates_1840_none_010524</v>
      </c>
      <c r="S469" s="67" t="str">
        <f>IFERROR(__xludf.DUMMYFUNCTION("""COMPUTED_VALUE"""),"saletructiep_UnitedStates.JHKO.1840.giaotiep_PTATT_LD161")</f>
        <v>saletructiep_UnitedStates.JHKO.1840.giaotiep_PTATT_LD161</v>
      </c>
      <c r="T469" s="107" t="str">
        <f>IFERROR(__xludf.DUMMYFUNCTION("""COMPUTED_VALUE"""),"https://patadovietnam.edu.vn/gtusa1_nhn/?utm_source=Facebook&amp;utm_medium=MES&amp;utm_term=NEW_UnitedStates_1840_none_010524&amp;utm_content=saletructiep_UnitedStates.JHKO.1840.giaotiep_PTATT_LD161&amp;utm_campaign=UnitedStates.giaotiep.JHKO_16917_MES_NamNH_010524")</f>
        <v>https://patadovietnam.edu.vn/gtusa1_nhn/?utm_source=Facebook&amp;utm_medium=MES&amp;utm_term=NEW_UnitedStates_1840_none_010524&amp;utm_content=saletructiep_UnitedStates.JHKO.1840.giaotiep_PTATT_LD161&amp;utm_campaign=UnitedStates.giaotiep.JHKO_16917_MES_NamNH_010524</v>
      </c>
      <c r="U469" s="110" t="s">
        <v>4611</v>
      </c>
    </row>
    <row r="470">
      <c r="A470" s="72">
        <v>45413.0</v>
      </c>
      <c r="B470" s="75" t="s">
        <v>1245</v>
      </c>
      <c r="C470" s="67" t="str">
        <f>IFERROR(__xludf.DUMMYFUNCTION("""COMPUTED_VALUE"""),"LD161")</f>
        <v>LD161</v>
      </c>
      <c r="D470" s="55" t="s">
        <v>42</v>
      </c>
      <c r="E470" s="55" t="s">
        <v>79</v>
      </c>
      <c r="F470" s="55" t="s">
        <v>107</v>
      </c>
      <c r="G470" s="55">
        <v>1840.0</v>
      </c>
      <c r="H470" s="55" t="s">
        <v>1137</v>
      </c>
      <c r="I470" s="115" t="s">
        <v>4613</v>
      </c>
      <c r="J470" s="55" t="s">
        <v>4614</v>
      </c>
      <c r="K470" s="55" t="s">
        <v>61</v>
      </c>
      <c r="L470" s="55">
        <v>16917.0</v>
      </c>
      <c r="M470" s="55" t="s">
        <v>78</v>
      </c>
      <c r="N470" s="55" t="s">
        <v>79</v>
      </c>
      <c r="O470" s="55" t="s">
        <v>224</v>
      </c>
      <c r="P470" s="55" t="s">
        <v>110</v>
      </c>
      <c r="Q470" s="67" t="str">
        <f>IFERROR(__xludf.DUMMYFUNCTION("""COMPUTED_VALUE"""),"UnitedStates.giaotiep.PPJH_16917_MES_NamNH_010524")</f>
        <v>UnitedStates.giaotiep.PPJH_16917_MES_NamNH_010524</v>
      </c>
      <c r="R470" s="67" t="str">
        <f>IFERROR(__xludf.DUMMYFUNCTION("""COMPUTED_VALUE"""),"NEW_UnitedStates_1840_none_010524")</f>
        <v>NEW_UnitedStates_1840_none_010524</v>
      </c>
      <c r="S470" s="67" t="str">
        <f>IFERROR(__xludf.DUMMYFUNCTION("""COMPUTED_VALUE"""),"saletructiep_UnitedStates.PPJH.1840.giaotiep_PTATT_LD161")</f>
        <v>saletructiep_UnitedStates.PPJH.1840.giaotiep_PTATT_LD161</v>
      </c>
      <c r="T470" s="107" t="str">
        <f>IFERROR(__xludf.DUMMYFUNCTION("""COMPUTED_VALUE"""),"https://patadovietnam.edu.vn/gtusa1_nhn/?utm_source=Facebook&amp;utm_medium=MES&amp;utm_term=NEW_UnitedStates_1840_none_010524&amp;utm_content=saletructiep_UnitedStates.PPJH.1840.giaotiep_PTATT_LD161&amp;utm_campaign=UnitedStates.giaotiep.PPJH_16917_MES_NamNH_010524")</f>
        <v>https://patadovietnam.edu.vn/gtusa1_nhn/?utm_source=Facebook&amp;utm_medium=MES&amp;utm_term=NEW_UnitedStates_1840_none_010524&amp;utm_content=saletructiep_UnitedStates.PPJH.1840.giaotiep_PTATT_LD161&amp;utm_campaign=UnitedStates.giaotiep.PPJH_16917_MES_NamNH_010524</v>
      </c>
      <c r="U470" s="110" t="s">
        <v>4616</v>
      </c>
    </row>
    <row r="471">
      <c r="A471" s="72">
        <v>45413.0</v>
      </c>
      <c r="B471" s="75" t="s">
        <v>1134</v>
      </c>
      <c r="C471" s="67" t="str">
        <f>IFERROR(__xludf.DUMMYFUNCTION("""COMPUTED_VALUE"""),"LD153")</f>
        <v>LD153</v>
      </c>
      <c r="D471" s="55" t="s">
        <v>42</v>
      </c>
      <c r="E471" s="55" t="s">
        <v>79</v>
      </c>
      <c r="F471" s="55" t="s">
        <v>174</v>
      </c>
      <c r="G471" s="55">
        <v>1840.0</v>
      </c>
      <c r="H471" s="55" t="s">
        <v>1137</v>
      </c>
      <c r="I471" s="115" t="s">
        <v>4617</v>
      </c>
      <c r="J471" s="55" t="s">
        <v>4618</v>
      </c>
      <c r="K471" s="55" t="s">
        <v>61</v>
      </c>
      <c r="L471" s="55">
        <v>16917.0</v>
      </c>
      <c r="M471" s="55" t="s">
        <v>78</v>
      </c>
      <c r="N471" s="55" t="s">
        <v>79</v>
      </c>
      <c r="O471" s="55" t="s">
        <v>224</v>
      </c>
      <c r="P471" s="55" t="s">
        <v>110</v>
      </c>
      <c r="Q471" s="67" t="str">
        <f>IFERROR(__xludf.DUMMYFUNCTION("""COMPUTED_VALUE"""),"Philippines.giaotiep.PTKO2_16917_MES_NamNH_010524")</f>
        <v>Philippines.giaotiep.PTKO2_16917_MES_NamNH_010524</v>
      </c>
      <c r="R471" s="67" t="str">
        <f>IFERROR(__xludf.DUMMYFUNCTION("""COMPUTED_VALUE"""),"NEW_Philippines_1840_none_010524")</f>
        <v>NEW_Philippines_1840_none_010524</v>
      </c>
      <c r="S471" s="67" t="str">
        <f>IFERROR(__xludf.DUMMYFUNCTION("""COMPUTED_VALUE"""),"saletructiep_Philippines.PTKO2.1840.giaotiep_PTATT_LD153")</f>
        <v>saletructiep_Philippines.PTKO2.1840.giaotiep_PTATT_LD153</v>
      </c>
      <c r="T471" s="107" t="str">
        <f>IFERROR(__xludf.DUMMYFUNCTION("""COMPUTED_VALUE"""),"https://patadovietnam.edu.vn/tienganhgiaotiep_hn/?utm_source=Facebook&amp;utm_medium=MES&amp;utm_term=NEW_Philippines_1840_none_010524&amp;utm_content=saletructiep_Philippines.PTKO2.1840.giaotiep_PTATT_LD153&amp;utm_campaign=Philippines.giaotiep.PTKO2_16917_MES_NamNH_010"&amp;"524")</f>
        <v>https://patadovietnam.edu.vn/tienganhgiaotiep_hn/?utm_source=Facebook&amp;utm_medium=MES&amp;utm_term=NEW_Philippines_1840_none_010524&amp;utm_content=saletructiep_Philippines.PTKO2.1840.giaotiep_PTATT_LD153&amp;utm_campaign=Philippines.giaotiep.PTKO2_16917_MES_NamNH_010524</v>
      </c>
      <c r="U471" s="110" t="s">
        <v>4622</v>
      </c>
    </row>
    <row r="472">
      <c r="A472" s="72">
        <v>45413.0</v>
      </c>
      <c r="B472" s="75" t="s">
        <v>1134</v>
      </c>
      <c r="C472" s="67" t="str">
        <f>IFERROR(__xludf.DUMMYFUNCTION("""COMPUTED_VALUE"""),"LD153")</f>
        <v>LD153</v>
      </c>
      <c r="D472" s="55" t="s">
        <v>42</v>
      </c>
      <c r="E472" s="55" t="s">
        <v>79</v>
      </c>
      <c r="F472" s="55" t="s">
        <v>174</v>
      </c>
      <c r="G472" s="55">
        <v>1840.0</v>
      </c>
      <c r="H472" s="55" t="s">
        <v>1137</v>
      </c>
      <c r="I472" s="115" t="s">
        <v>4625</v>
      </c>
      <c r="J472" s="55" t="s">
        <v>4626</v>
      </c>
      <c r="K472" s="55" t="s">
        <v>61</v>
      </c>
      <c r="L472" s="55">
        <v>16917.0</v>
      </c>
      <c r="M472" s="55" t="s">
        <v>78</v>
      </c>
      <c r="N472" s="55" t="s">
        <v>79</v>
      </c>
      <c r="O472" s="55" t="s">
        <v>224</v>
      </c>
      <c r="P472" s="55" t="s">
        <v>110</v>
      </c>
      <c r="Q472" s="67" t="str">
        <f>IFERROR(__xludf.DUMMYFUNCTION("""COMPUTED_VALUE"""),"Philippines.giaotiep.PTHTKO_16917_MES_NamNH_010524")</f>
        <v>Philippines.giaotiep.PTHTKO_16917_MES_NamNH_010524</v>
      </c>
      <c r="R472" s="67" t="str">
        <f>IFERROR(__xludf.DUMMYFUNCTION("""COMPUTED_VALUE"""),"NEW_Philippines_1840_none_010524")</f>
        <v>NEW_Philippines_1840_none_010524</v>
      </c>
      <c r="S472" s="67" t="str">
        <f>IFERROR(__xludf.DUMMYFUNCTION("""COMPUTED_VALUE"""),"saletructiep_Philippines.PTHTKO.1840.giaotiep_PTATT_LD153")</f>
        <v>saletructiep_Philippines.PTHTKO.1840.giaotiep_PTATT_LD153</v>
      </c>
      <c r="T472" s="107" t="str">
        <f>IFERROR(__xludf.DUMMYFUNCTION("""COMPUTED_VALUE"""),"https://patadovietnam.edu.vn/tienganhgiaotiep_hn/?utm_source=Facebook&amp;utm_medium=MES&amp;utm_term=NEW_Philippines_1840_none_010524&amp;utm_content=saletructiep_Philippines.PTHTKO.1840.giaotiep_PTATT_LD153&amp;utm_campaign=Philippines.giaotiep.PTHTKO_16917_MES_NamNH_0"&amp;"10524")</f>
        <v>https://patadovietnam.edu.vn/tienganhgiaotiep_hn/?utm_source=Facebook&amp;utm_medium=MES&amp;utm_term=NEW_Philippines_1840_none_010524&amp;utm_content=saletructiep_Philippines.PTHTKO.1840.giaotiep_PTATT_LD153&amp;utm_campaign=Philippines.giaotiep.PTHTKO_16917_MES_NamNH_010524</v>
      </c>
      <c r="U472" s="110" t="s">
        <v>4629</v>
      </c>
    </row>
    <row r="473">
      <c r="A473" s="72">
        <v>45413.0</v>
      </c>
      <c r="B473" s="75" t="s">
        <v>1134</v>
      </c>
      <c r="C473" s="67" t="str">
        <f>IFERROR(__xludf.DUMMYFUNCTION("""COMPUTED_VALUE"""),"LD153")</f>
        <v>LD153</v>
      </c>
      <c r="D473" s="55" t="s">
        <v>42</v>
      </c>
      <c r="E473" s="55" t="s">
        <v>79</v>
      </c>
      <c r="F473" s="55" t="s">
        <v>174</v>
      </c>
      <c r="G473" s="55">
        <v>1840.0</v>
      </c>
      <c r="H473" s="55" t="s">
        <v>1137</v>
      </c>
      <c r="I473" s="115" t="s">
        <v>4633</v>
      </c>
      <c r="J473" s="55" t="s">
        <v>4634</v>
      </c>
      <c r="K473" s="55" t="s">
        <v>61</v>
      </c>
      <c r="L473" s="55">
        <v>16917.0</v>
      </c>
      <c r="M473" s="55" t="s">
        <v>78</v>
      </c>
      <c r="N473" s="55" t="s">
        <v>79</v>
      </c>
      <c r="O473" s="55" t="s">
        <v>224</v>
      </c>
      <c r="P473" s="55" t="s">
        <v>110</v>
      </c>
      <c r="Q473" s="67" t="str">
        <f>IFERROR(__xludf.DUMMYFUNCTION("""COMPUTED_VALUE"""),"Philippines.giaotiep.JHKO_16917_MES_NamNH_010524")</f>
        <v>Philippines.giaotiep.JHKO_16917_MES_NamNH_010524</v>
      </c>
      <c r="R473" s="67" t="str">
        <f>IFERROR(__xludf.DUMMYFUNCTION("""COMPUTED_VALUE"""),"NEW_Philippines_1840_none_010524")</f>
        <v>NEW_Philippines_1840_none_010524</v>
      </c>
      <c r="S473" s="67" t="str">
        <f>IFERROR(__xludf.DUMMYFUNCTION("""COMPUTED_VALUE"""),"saletructiep_Philippines.JHKO.1840.giaotiep_PTATT_LD153")</f>
        <v>saletructiep_Philippines.JHKO.1840.giaotiep_PTATT_LD153</v>
      </c>
      <c r="T473" s="107" t="str">
        <f>IFERROR(__xludf.DUMMYFUNCTION("""COMPUTED_VALUE"""),"https://patadovietnam.edu.vn/tienganhgiaotiep_hn/?utm_source=Facebook&amp;utm_medium=MES&amp;utm_term=NEW_Philippines_1840_none_010524&amp;utm_content=saletructiep_Philippines.JHKO.1840.giaotiep_PTATT_LD153&amp;utm_campaign=Philippines.giaotiep.JHKO_16917_MES_NamNH_01052"&amp;"4")</f>
        <v>https://patadovietnam.edu.vn/tienganhgiaotiep_hn/?utm_source=Facebook&amp;utm_medium=MES&amp;utm_term=NEW_Philippines_1840_none_010524&amp;utm_content=saletructiep_Philippines.JHKO.1840.giaotiep_PTATT_LD153&amp;utm_campaign=Philippines.giaotiep.JHKO_16917_MES_NamNH_010524</v>
      </c>
      <c r="U473" s="110" t="s">
        <v>4638</v>
      </c>
    </row>
    <row r="474">
      <c r="A474" s="72">
        <v>45413.0</v>
      </c>
      <c r="B474" s="75" t="s">
        <v>1134</v>
      </c>
      <c r="C474" s="67" t="str">
        <f>IFERROR(__xludf.DUMMYFUNCTION("""COMPUTED_VALUE"""),"LD153")</f>
        <v>LD153</v>
      </c>
      <c r="D474" s="55" t="s">
        <v>42</v>
      </c>
      <c r="E474" s="55" t="s">
        <v>79</v>
      </c>
      <c r="F474" s="55" t="s">
        <v>174</v>
      </c>
      <c r="G474" s="55">
        <v>1840.0</v>
      </c>
      <c r="H474" s="55" t="s">
        <v>1137</v>
      </c>
      <c r="I474" s="115" t="s">
        <v>4640</v>
      </c>
      <c r="J474" s="55" t="s">
        <v>4641</v>
      </c>
      <c r="K474" s="55" t="s">
        <v>61</v>
      </c>
      <c r="L474" s="55">
        <v>16917.0</v>
      </c>
      <c r="M474" s="55" t="s">
        <v>78</v>
      </c>
      <c r="N474" s="55" t="s">
        <v>79</v>
      </c>
      <c r="O474" s="55" t="s">
        <v>224</v>
      </c>
      <c r="P474" s="55" t="s">
        <v>110</v>
      </c>
      <c r="Q474" s="67" t="str">
        <f>IFERROR(__xludf.DUMMYFUNCTION("""COMPUTED_VALUE"""),"Philippines.giaotiep.PPJH_16917_MES_NamNH_010524")</f>
        <v>Philippines.giaotiep.PPJH_16917_MES_NamNH_010524</v>
      </c>
      <c r="R474" s="67" t="str">
        <f>IFERROR(__xludf.DUMMYFUNCTION("""COMPUTED_VALUE"""),"NEW_Philippines_1840_none_010524")</f>
        <v>NEW_Philippines_1840_none_010524</v>
      </c>
      <c r="S474" s="67" t="str">
        <f>IFERROR(__xludf.DUMMYFUNCTION("""COMPUTED_VALUE"""),"saletructiep_Philippines.PPJH.1840.giaotiep_PTATT_LD153")</f>
        <v>saletructiep_Philippines.PPJH.1840.giaotiep_PTATT_LD153</v>
      </c>
      <c r="T474" s="107" t="str">
        <f>IFERROR(__xludf.DUMMYFUNCTION("""COMPUTED_VALUE"""),"https://patadovietnam.edu.vn/tienganhgiaotiep_hn/?utm_source=Facebook&amp;utm_medium=MES&amp;utm_term=NEW_Philippines_1840_none_010524&amp;utm_content=saletructiep_Philippines.PPJH.1840.giaotiep_PTATT_LD153&amp;utm_campaign=Philippines.giaotiep.PPJH_16917_MES_NamNH_01052"&amp;"4")</f>
        <v>https://patadovietnam.edu.vn/tienganhgiaotiep_hn/?utm_source=Facebook&amp;utm_medium=MES&amp;utm_term=NEW_Philippines_1840_none_010524&amp;utm_content=saletructiep_Philippines.PPJH.1840.giaotiep_PTATT_LD153&amp;utm_campaign=Philippines.giaotiep.PPJH_16917_MES_NamNH_010524</v>
      </c>
      <c r="U474" s="110" t="s">
        <v>4643</v>
      </c>
    </row>
    <row r="475">
      <c r="A475" s="72">
        <v>45413.0</v>
      </c>
      <c r="B475" s="75" t="s">
        <v>1134</v>
      </c>
      <c r="C475" s="67" t="str">
        <f>IFERROR(__xludf.DUMMYFUNCTION("""COMPUTED_VALUE"""),"LD153")</f>
        <v>LD153</v>
      </c>
      <c r="D475" s="55" t="s">
        <v>42</v>
      </c>
      <c r="E475" s="55" t="s">
        <v>79</v>
      </c>
      <c r="F475" s="55" t="s">
        <v>164</v>
      </c>
      <c r="G475" s="55">
        <v>1840.0</v>
      </c>
      <c r="H475" s="55" t="s">
        <v>1137</v>
      </c>
      <c r="I475" s="115" t="s">
        <v>4646</v>
      </c>
      <c r="J475" s="55" t="s">
        <v>4647</v>
      </c>
      <c r="K475" s="55" t="s">
        <v>61</v>
      </c>
      <c r="L475" s="55">
        <v>16917.0</v>
      </c>
      <c r="M475" s="55" t="s">
        <v>78</v>
      </c>
      <c r="N475" s="55" t="s">
        <v>79</v>
      </c>
      <c r="O475" s="55" t="s">
        <v>224</v>
      </c>
      <c r="P475" s="55" t="s">
        <v>110</v>
      </c>
      <c r="Q475" s="67" t="str">
        <f>IFERROR(__xludf.DUMMYFUNCTION("""COMPUTED_VALUE"""),"Taiwan.giaotiep.PTKO2_16917_MES_NamNH_010524")</f>
        <v>Taiwan.giaotiep.PTKO2_16917_MES_NamNH_010524</v>
      </c>
      <c r="R475" s="67" t="str">
        <f>IFERROR(__xludf.DUMMYFUNCTION("""COMPUTED_VALUE"""),"NEW_Taiwan_1840_none_010524")</f>
        <v>NEW_Taiwan_1840_none_010524</v>
      </c>
      <c r="S475" s="67" t="str">
        <f>IFERROR(__xludf.DUMMYFUNCTION("""COMPUTED_VALUE"""),"saletructiep_Taiwan.PTKO2.1840.giaotiep_PTATT_LD153")</f>
        <v>saletructiep_Taiwan.PTKO2.1840.giaotiep_PTATT_LD153</v>
      </c>
      <c r="T475" s="107" t="str">
        <f>IFERROR(__xludf.DUMMYFUNCTION("""COMPUTED_VALUE"""),"https://patadovietnam.edu.vn/tienganhgiaotiep_hn/?utm_source=Facebook&amp;utm_medium=MES&amp;utm_term=NEW_Taiwan_1840_none_010524&amp;utm_content=saletructiep_Taiwan.PTKO2.1840.giaotiep_PTATT_LD153&amp;utm_campaign=Taiwan.giaotiep.PTKO2_16917_MES_NamNH_010524")</f>
        <v>https://patadovietnam.edu.vn/tienganhgiaotiep_hn/?utm_source=Facebook&amp;utm_medium=MES&amp;utm_term=NEW_Taiwan_1840_none_010524&amp;utm_content=saletructiep_Taiwan.PTKO2.1840.giaotiep_PTATT_LD153&amp;utm_campaign=Taiwan.giaotiep.PTKO2_16917_MES_NamNH_010524</v>
      </c>
      <c r="U475" s="110" t="s">
        <v>4651</v>
      </c>
    </row>
    <row r="476">
      <c r="A476" s="72">
        <v>45413.0</v>
      </c>
      <c r="B476" s="75" t="s">
        <v>1134</v>
      </c>
      <c r="C476" s="67" t="str">
        <f>IFERROR(__xludf.DUMMYFUNCTION("""COMPUTED_VALUE"""),"LD153")</f>
        <v>LD153</v>
      </c>
      <c r="D476" s="55" t="s">
        <v>42</v>
      </c>
      <c r="E476" s="55" t="s">
        <v>79</v>
      </c>
      <c r="F476" s="55" t="s">
        <v>164</v>
      </c>
      <c r="G476" s="55">
        <v>1840.0</v>
      </c>
      <c r="H476" s="55" t="s">
        <v>1137</v>
      </c>
      <c r="I476" s="115" t="s">
        <v>4657</v>
      </c>
      <c r="J476" s="55" t="s">
        <v>4658</v>
      </c>
      <c r="K476" s="55" t="s">
        <v>61</v>
      </c>
      <c r="L476" s="55">
        <v>16917.0</v>
      </c>
      <c r="M476" s="55" t="s">
        <v>78</v>
      </c>
      <c r="N476" s="55" t="s">
        <v>79</v>
      </c>
      <c r="O476" s="55" t="s">
        <v>224</v>
      </c>
      <c r="P476" s="55" t="s">
        <v>110</v>
      </c>
      <c r="Q476" s="67" t="str">
        <f>IFERROR(__xludf.DUMMYFUNCTION("""COMPUTED_VALUE"""),"Taiwan.giaotiep.PTHTKO_16917_MES_NamNH_010524")</f>
        <v>Taiwan.giaotiep.PTHTKO_16917_MES_NamNH_010524</v>
      </c>
      <c r="R476" s="67" t="str">
        <f>IFERROR(__xludf.DUMMYFUNCTION("""COMPUTED_VALUE"""),"NEW_Taiwan_1840_none_010524")</f>
        <v>NEW_Taiwan_1840_none_010524</v>
      </c>
      <c r="S476" s="67" t="str">
        <f>IFERROR(__xludf.DUMMYFUNCTION("""COMPUTED_VALUE"""),"saletructiep_Taiwan.PTHTKO.1840.giaotiep_PTATT_LD153")</f>
        <v>saletructiep_Taiwan.PTHTKO.1840.giaotiep_PTATT_LD153</v>
      </c>
      <c r="T476" s="107" t="str">
        <f>IFERROR(__xludf.DUMMYFUNCTION("""COMPUTED_VALUE"""),"https://patadovietnam.edu.vn/tienganhgiaotiep_hn/?utm_source=Facebook&amp;utm_medium=MES&amp;utm_term=NEW_Taiwan_1840_none_010524&amp;utm_content=saletructiep_Taiwan.PTHTKO.1840.giaotiep_PTATT_LD153&amp;utm_campaign=Taiwan.giaotiep.PTHTKO_16917_MES_NamNH_010524")</f>
        <v>https://patadovietnam.edu.vn/tienganhgiaotiep_hn/?utm_source=Facebook&amp;utm_medium=MES&amp;utm_term=NEW_Taiwan_1840_none_010524&amp;utm_content=saletructiep_Taiwan.PTHTKO.1840.giaotiep_PTATT_LD153&amp;utm_campaign=Taiwan.giaotiep.PTHTKO_16917_MES_NamNH_010524</v>
      </c>
      <c r="U476" s="110" t="s">
        <v>4662</v>
      </c>
    </row>
    <row r="477">
      <c r="A477" s="72">
        <v>45413.0</v>
      </c>
      <c r="B477" s="75" t="s">
        <v>1134</v>
      </c>
      <c r="C477" s="67" t="str">
        <f>IFERROR(__xludf.DUMMYFUNCTION("""COMPUTED_VALUE"""),"LD153")</f>
        <v>LD153</v>
      </c>
      <c r="D477" s="55" t="s">
        <v>42</v>
      </c>
      <c r="E477" s="55" t="s">
        <v>79</v>
      </c>
      <c r="F477" s="55" t="s">
        <v>164</v>
      </c>
      <c r="G477" s="55">
        <v>1840.0</v>
      </c>
      <c r="H477" s="55" t="s">
        <v>1137</v>
      </c>
      <c r="I477" s="115" t="s">
        <v>4664</v>
      </c>
      <c r="J477" s="55" t="s">
        <v>4665</v>
      </c>
      <c r="K477" s="55" t="s">
        <v>61</v>
      </c>
      <c r="L477" s="55">
        <v>16917.0</v>
      </c>
      <c r="M477" s="55" t="s">
        <v>78</v>
      </c>
      <c r="N477" s="55" t="s">
        <v>79</v>
      </c>
      <c r="O477" s="55" t="s">
        <v>224</v>
      </c>
      <c r="P477" s="55" t="s">
        <v>110</v>
      </c>
      <c r="Q477" s="67" t="str">
        <f>IFERROR(__xludf.DUMMYFUNCTION("""COMPUTED_VALUE"""),"Taiwan.giaotiep.JHKO_16917_MES_NamNH_010524")</f>
        <v>Taiwan.giaotiep.JHKO_16917_MES_NamNH_010524</v>
      </c>
      <c r="R477" s="67" t="str">
        <f>IFERROR(__xludf.DUMMYFUNCTION("""COMPUTED_VALUE"""),"NEW_Taiwan_1840_none_010524")</f>
        <v>NEW_Taiwan_1840_none_010524</v>
      </c>
      <c r="S477" s="67" t="str">
        <f>IFERROR(__xludf.DUMMYFUNCTION("""COMPUTED_VALUE"""),"saletructiep_Taiwan.JHKO.1840.giaotiep_PTATT_LD153")</f>
        <v>saletructiep_Taiwan.JHKO.1840.giaotiep_PTATT_LD153</v>
      </c>
      <c r="T477" s="107" t="str">
        <f>IFERROR(__xludf.DUMMYFUNCTION("""COMPUTED_VALUE"""),"https://patadovietnam.edu.vn/tienganhgiaotiep_hn/?utm_source=Facebook&amp;utm_medium=MES&amp;utm_term=NEW_Taiwan_1840_none_010524&amp;utm_content=saletructiep_Taiwan.JHKO.1840.giaotiep_PTATT_LD153&amp;utm_campaign=Taiwan.giaotiep.JHKO_16917_MES_NamNH_010524")</f>
        <v>https://patadovietnam.edu.vn/tienganhgiaotiep_hn/?utm_source=Facebook&amp;utm_medium=MES&amp;utm_term=NEW_Taiwan_1840_none_010524&amp;utm_content=saletructiep_Taiwan.JHKO.1840.giaotiep_PTATT_LD153&amp;utm_campaign=Taiwan.giaotiep.JHKO_16917_MES_NamNH_010524</v>
      </c>
      <c r="U477" s="110" t="s">
        <v>4670</v>
      </c>
    </row>
    <row r="478">
      <c r="A478" s="72">
        <v>45413.0</v>
      </c>
      <c r="B478" s="75" t="s">
        <v>1134</v>
      </c>
      <c r="C478" s="67" t="str">
        <f>IFERROR(__xludf.DUMMYFUNCTION("""COMPUTED_VALUE"""),"LD153")</f>
        <v>LD153</v>
      </c>
      <c r="D478" s="55" t="s">
        <v>42</v>
      </c>
      <c r="E478" s="55" t="s">
        <v>79</v>
      </c>
      <c r="F478" s="55" t="s">
        <v>164</v>
      </c>
      <c r="G478" s="55">
        <v>1840.0</v>
      </c>
      <c r="H478" s="55" t="s">
        <v>1137</v>
      </c>
      <c r="I478" s="115" t="s">
        <v>4673</v>
      </c>
      <c r="J478" s="55" t="s">
        <v>4674</v>
      </c>
      <c r="K478" s="55" t="s">
        <v>61</v>
      </c>
      <c r="L478" s="55">
        <v>16917.0</v>
      </c>
      <c r="M478" s="55" t="s">
        <v>78</v>
      </c>
      <c r="N478" s="55" t="s">
        <v>79</v>
      </c>
      <c r="O478" s="55" t="s">
        <v>224</v>
      </c>
      <c r="P478" s="55" t="s">
        <v>110</v>
      </c>
      <c r="Q478" s="67" t="str">
        <f>IFERROR(__xludf.DUMMYFUNCTION("""COMPUTED_VALUE"""),"Taiwan.giaotiep.PPJH_16917_MES_NamNH_010524")</f>
        <v>Taiwan.giaotiep.PPJH_16917_MES_NamNH_010524</v>
      </c>
      <c r="R478" s="67" t="str">
        <f>IFERROR(__xludf.DUMMYFUNCTION("""COMPUTED_VALUE"""),"NEW_Taiwan_1840_none_010524")</f>
        <v>NEW_Taiwan_1840_none_010524</v>
      </c>
      <c r="S478" s="67" t="str">
        <f>IFERROR(__xludf.DUMMYFUNCTION("""COMPUTED_VALUE"""),"saletructiep_Taiwan.PPJH.1840.giaotiep_PTATT_LD153")</f>
        <v>saletructiep_Taiwan.PPJH.1840.giaotiep_PTATT_LD153</v>
      </c>
      <c r="T478" s="107" t="str">
        <f>IFERROR(__xludf.DUMMYFUNCTION("""COMPUTED_VALUE"""),"https://patadovietnam.edu.vn/tienganhgiaotiep_hn/?utm_source=Facebook&amp;utm_medium=MES&amp;utm_term=NEW_Taiwan_1840_none_010524&amp;utm_content=saletructiep_Taiwan.PPJH.1840.giaotiep_PTATT_LD153&amp;utm_campaign=Taiwan.giaotiep.PPJH_16917_MES_NamNH_010524")</f>
        <v>https://patadovietnam.edu.vn/tienganhgiaotiep_hn/?utm_source=Facebook&amp;utm_medium=MES&amp;utm_term=NEW_Taiwan_1840_none_010524&amp;utm_content=saletructiep_Taiwan.PPJH.1840.giaotiep_PTATT_LD153&amp;utm_campaign=Taiwan.giaotiep.PPJH_16917_MES_NamNH_010524</v>
      </c>
      <c r="U478" s="110" t="s">
        <v>4679</v>
      </c>
    </row>
    <row r="479">
      <c r="A479" s="72">
        <v>45413.0</v>
      </c>
      <c r="B479" s="75" t="s">
        <v>1134</v>
      </c>
      <c r="C479" s="67" t="str">
        <f>IFERROR(__xludf.DUMMYFUNCTION("""COMPUTED_VALUE"""),"LD153")</f>
        <v>LD153</v>
      </c>
      <c r="D479" s="55" t="s">
        <v>42</v>
      </c>
      <c r="E479" s="55" t="s">
        <v>79</v>
      </c>
      <c r="F479" s="55" t="s">
        <v>625</v>
      </c>
      <c r="G479" s="55">
        <v>1840.0</v>
      </c>
      <c r="H479" s="55" t="s">
        <v>1137</v>
      </c>
      <c r="I479" s="115" t="s">
        <v>4681</v>
      </c>
      <c r="J479" s="55" t="s">
        <v>4682</v>
      </c>
      <c r="K479" s="55" t="s">
        <v>61</v>
      </c>
      <c r="L479" s="55">
        <v>16917.0</v>
      </c>
      <c r="M479" s="55" t="s">
        <v>78</v>
      </c>
      <c r="N479" s="55" t="s">
        <v>79</v>
      </c>
      <c r="O479" s="55" t="s">
        <v>224</v>
      </c>
      <c r="P479" s="55" t="s">
        <v>110</v>
      </c>
      <c r="Q479" s="67" t="str">
        <f>IFERROR(__xludf.DUMMYFUNCTION("""COMPUTED_VALUE"""),"KoreaSouth.giaotiep.PTKO2_16917_MES_NamNH_010524")</f>
        <v>KoreaSouth.giaotiep.PTKO2_16917_MES_NamNH_010524</v>
      </c>
      <c r="R479" s="67" t="str">
        <f>IFERROR(__xludf.DUMMYFUNCTION("""COMPUTED_VALUE"""),"NEW_KoreaSouth_1840_none_010524")</f>
        <v>NEW_KoreaSouth_1840_none_010524</v>
      </c>
      <c r="S479" s="67" t="str">
        <f>IFERROR(__xludf.DUMMYFUNCTION("""COMPUTED_VALUE"""),"saletructiep_KoreaSouth.PTKO2.1840.giaotiep_PTATT_LD153")</f>
        <v>saletructiep_KoreaSouth.PTKO2.1840.giaotiep_PTATT_LD153</v>
      </c>
      <c r="T479" s="107" t="str">
        <f>IFERROR(__xludf.DUMMYFUNCTION("""COMPUTED_VALUE"""),"https://patadovietnam.edu.vn/tienganhgiaotiep_hn/?utm_source=Facebook&amp;utm_medium=MES&amp;utm_term=NEW_KoreaSouth_1840_none_010524&amp;utm_content=saletructiep_KoreaSouth.PTKO2.1840.giaotiep_PTATT_LD153&amp;utm_campaign=KoreaSouth.giaotiep.PTKO2_16917_MES_NamNH_010524")</f>
        <v>https://patadovietnam.edu.vn/tienganhgiaotiep_hn/?utm_source=Facebook&amp;utm_medium=MES&amp;utm_term=NEW_KoreaSouth_1840_none_010524&amp;utm_content=saletructiep_KoreaSouth.PTKO2.1840.giaotiep_PTATT_LD153&amp;utm_campaign=KoreaSouth.giaotiep.PTKO2_16917_MES_NamNH_010524</v>
      </c>
      <c r="U479" s="110" t="s">
        <v>4688</v>
      </c>
    </row>
    <row r="480">
      <c r="A480" s="72">
        <v>45413.0</v>
      </c>
      <c r="B480" s="75" t="s">
        <v>1134</v>
      </c>
      <c r="C480" s="67" t="str">
        <f>IFERROR(__xludf.DUMMYFUNCTION("""COMPUTED_VALUE"""),"LD153")</f>
        <v>LD153</v>
      </c>
      <c r="D480" s="55" t="s">
        <v>42</v>
      </c>
      <c r="E480" s="55" t="s">
        <v>79</v>
      </c>
      <c r="F480" s="55" t="s">
        <v>625</v>
      </c>
      <c r="G480" s="55">
        <v>1840.0</v>
      </c>
      <c r="H480" s="55" t="s">
        <v>1137</v>
      </c>
      <c r="I480" s="115" t="s">
        <v>4689</v>
      </c>
      <c r="J480" s="55" t="s">
        <v>4690</v>
      </c>
      <c r="K480" s="55" t="s">
        <v>61</v>
      </c>
      <c r="L480" s="55">
        <v>16917.0</v>
      </c>
      <c r="M480" s="55" t="s">
        <v>78</v>
      </c>
      <c r="N480" s="55" t="s">
        <v>79</v>
      </c>
      <c r="O480" s="55" t="s">
        <v>224</v>
      </c>
      <c r="P480" s="55" t="s">
        <v>110</v>
      </c>
      <c r="Q480" s="67" t="str">
        <f>IFERROR(__xludf.DUMMYFUNCTION("""COMPUTED_VALUE"""),"KoreaSouth.giaotiep.PTHTKO_16917_MES_NamNH_010524")</f>
        <v>KoreaSouth.giaotiep.PTHTKO_16917_MES_NamNH_010524</v>
      </c>
      <c r="R480" s="67" t="str">
        <f>IFERROR(__xludf.DUMMYFUNCTION("""COMPUTED_VALUE"""),"NEW_KoreaSouth_1840_none_010524")</f>
        <v>NEW_KoreaSouth_1840_none_010524</v>
      </c>
      <c r="S480" s="67" t="str">
        <f>IFERROR(__xludf.DUMMYFUNCTION("""COMPUTED_VALUE"""),"saletructiep_KoreaSouth.PTHTKO.1840.giaotiep_PTATT_LD153")</f>
        <v>saletructiep_KoreaSouth.PTHTKO.1840.giaotiep_PTATT_LD153</v>
      </c>
      <c r="T480" s="107" t="str">
        <f>IFERROR(__xludf.DUMMYFUNCTION("""COMPUTED_VALUE"""),"https://patadovietnam.edu.vn/tienganhgiaotiep_hn/?utm_source=Facebook&amp;utm_medium=MES&amp;utm_term=NEW_KoreaSouth_1840_none_010524&amp;utm_content=saletructiep_KoreaSouth.PTHTKO.1840.giaotiep_PTATT_LD153&amp;utm_campaign=KoreaSouth.giaotiep.PTHTKO_16917_MES_NamNH_0105"&amp;"24")</f>
        <v>https://patadovietnam.edu.vn/tienganhgiaotiep_hn/?utm_source=Facebook&amp;utm_medium=MES&amp;utm_term=NEW_KoreaSouth_1840_none_010524&amp;utm_content=saletructiep_KoreaSouth.PTHTKO.1840.giaotiep_PTATT_LD153&amp;utm_campaign=KoreaSouth.giaotiep.PTHTKO_16917_MES_NamNH_010524</v>
      </c>
      <c r="U480" s="110" t="s">
        <v>4696</v>
      </c>
    </row>
    <row r="481">
      <c r="A481" s="72">
        <v>45413.0</v>
      </c>
      <c r="B481" s="75" t="s">
        <v>1134</v>
      </c>
      <c r="C481" s="67" t="str">
        <f>IFERROR(__xludf.DUMMYFUNCTION("""COMPUTED_VALUE"""),"LD153")</f>
        <v>LD153</v>
      </c>
      <c r="D481" s="55" t="s">
        <v>42</v>
      </c>
      <c r="E481" s="55" t="s">
        <v>79</v>
      </c>
      <c r="F481" s="55" t="s">
        <v>625</v>
      </c>
      <c r="G481" s="55">
        <v>1840.0</v>
      </c>
      <c r="H481" s="55" t="s">
        <v>1137</v>
      </c>
      <c r="I481" s="115" t="s">
        <v>4698</v>
      </c>
      <c r="J481" s="55" t="s">
        <v>4699</v>
      </c>
      <c r="K481" s="55" t="s">
        <v>61</v>
      </c>
      <c r="L481" s="55">
        <v>16917.0</v>
      </c>
      <c r="M481" s="55" t="s">
        <v>78</v>
      </c>
      <c r="N481" s="55" t="s">
        <v>79</v>
      </c>
      <c r="O481" s="55" t="s">
        <v>224</v>
      </c>
      <c r="P481" s="55" t="s">
        <v>110</v>
      </c>
      <c r="Q481" s="67" t="str">
        <f>IFERROR(__xludf.DUMMYFUNCTION("""COMPUTED_VALUE"""),"KoreaSouth.giaotiep.JHKO_16917_MES_NamNH_010524")</f>
        <v>KoreaSouth.giaotiep.JHKO_16917_MES_NamNH_010524</v>
      </c>
      <c r="R481" s="67" t="str">
        <f>IFERROR(__xludf.DUMMYFUNCTION("""COMPUTED_VALUE"""),"NEW_KoreaSouth_1840_none_010524")</f>
        <v>NEW_KoreaSouth_1840_none_010524</v>
      </c>
      <c r="S481" s="67" t="str">
        <f>IFERROR(__xludf.DUMMYFUNCTION("""COMPUTED_VALUE"""),"saletructiep_KoreaSouth.JHKO.1840.giaotiep_PTATT_LD153")</f>
        <v>saletructiep_KoreaSouth.JHKO.1840.giaotiep_PTATT_LD153</v>
      </c>
      <c r="T481" s="107" t="str">
        <f>IFERROR(__xludf.DUMMYFUNCTION("""COMPUTED_VALUE"""),"https://patadovietnam.edu.vn/tienganhgiaotiep_hn/?utm_source=Facebook&amp;utm_medium=MES&amp;utm_term=NEW_KoreaSouth_1840_none_010524&amp;utm_content=saletructiep_KoreaSouth.JHKO.1840.giaotiep_PTATT_LD153&amp;utm_campaign=KoreaSouth.giaotiep.JHKO_16917_MES_NamNH_010524")</f>
        <v>https://patadovietnam.edu.vn/tienganhgiaotiep_hn/?utm_source=Facebook&amp;utm_medium=MES&amp;utm_term=NEW_KoreaSouth_1840_none_010524&amp;utm_content=saletructiep_KoreaSouth.JHKO.1840.giaotiep_PTATT_LD153&amp;utm_campaign=KoreaSouth.giaotiep.JHKO_16917_MES_NamNH_010524</v>
      </c>
      <c r="U481" s="110" t="s">
        <v>4703</v>
      </c>
    </row>
    <row r="482">
      <c r="A482" s="72">
        <v>45413.0</v>
      </c>
      <c r="B482" s="75" t="s">
        <v>1134</v>
      </c>
      <c r="C482" s="67" t="str">
        <f>IFERROR(__xludf.DUMMYFUNCTION("""COMPUTED_VALUE"""),"LD153")</f>
        <v>LD153</v>
      </c>
      <c r="D482" s="55" t="s">
        <v>42</v>
      </c>
      <c r="E482" s="55" t="s">
        <v>79</v>
      </c>
      <c r="F482" s="55" t="s">
        <v>625</v>
      </c>
      <c r="G482" s="55">
        <v>1840.0</v>
      </c>
      <c r="H482" s="55" t="s">
        <v>1137</v>
      </c>
      <c r="I482" s="115" t="s">
        <v>4706</v>
      </c>
      <c r="J482" s="55" t="s">
        <v>4707</v>
      </c>
      <c r="K482" s="55" t="s">
        <v>61</v>
      </c>
      <c r="L482" s="55">
        <v>16917.0</v>
      </c>
      <c r="M482" s="55" t="s">
        <v>78</v>
      </c>
      <c r="N482" s="55" t="s">
        <v>79</v>
      </c>
      <c r="O482" s="55" t="s">
        <v>224</v>
      </c>
      <c r="P482" s="55" t="s">
        <v>110</v>
      </c>
      <c r="Q482" s="67" t="str">
        <f>IFERROR(__xludf.DUMMYFUNCTION("""COMPUTED_VALUE"""),"KoreaSouth.giaotiep.PPJH_16917_MES_NamNH_010524")</f>
        <v>KoreaSouth.giaotiep.PPJH_16917_MES_NamNH_010524</v>
      </c>
      <c r="R482" s="67" t="str">
        <f>IFERROR(__xludf.DUMMYFUNCTION("""COMPUTED_VALUE"""),"NEW_KoreaSouth_1840_none_010524")</f>
        <v>NEW_KoreaSouth_1840_none_010524</v>
      </c>
      <c r="S482" s="67" t="str">
        <f>IFERROR(__xludf.DUMMYFUNCTION("""COMPUTED_VALUE"""),"saletructiep_KoreaSouth.PPJH.1840.giaotiep_PTATT_LD153")</f>
        <v>saletructiep_KoreaSouth.PPJH.1840.giaotiep_PTATT_LD153</v>
      </c>
      <c r="T482" s="107" t="str">
        <f>IFERROR(__xludf.DUMMYFUNCTION("""COMPUTED_VALUE"""),"https://patadovietnam.edu.vn/tienganhgiaotiep_hn/?utm_source=Facebook&amp;utm_medium=MES&amp;utm_term=NEW_KoreaSouth_1840_none_010524&amp;utm_content=saletructiep_KoreaSouth.PPJH.1840.giaotiep_PTATT_LD153&amp;utm_campaign=KoreaSouth.giaotiep.PPJH_16917_MES_NamNH_010524")</f>
        <v>https://patadovietnam.edu.vn/tienganhgiaotiep_hn/?utm_source=Facebook&amp;utm_medium=MES&amp;utm_term=NEW_KoreaSouth_1840_none_010524&amp;utm_content=saletructiep_KoreaSouth.PPJH.1840.giaotiep_PTATT_LD153&amp;utm_campaign=KoreaSouth.giaotiep.PPJH_16917_MES_NamNH_010524</v>
      </c>
      <c r="U482" s="110" t="s">
        <v>4712</v>
      </c>
    </row>
    <row r="483">
      <c r="A483" s="72">
        <v>45413.0</v>
      </c>
      <c r="B483" s="75" t="s">
        <v>1134</v>
      </c>
      <c r="C483" s="67" t="str">
        <f>IFERROR(__xludf.DUMMYFUNCTION("""COMPUTED_VALUE"""),"LD153")</f>
        <v>LD153</v>
      </c>
      <c r="D483" s="55" t="s">
        <v>42</v>
      </c>
      <c r="E483" s="55" t="s">
        <v>79</v>
      </c>
      <c r="F483" s="55" t="s">
        <v>129</v>
      </c>
      <c r="G483" s="55">
        <v>1840.0</v>
      </c>
      <c r="H483" s="55" t="s">
        <v>1137</v>
      </c>
      <c r="I483" s="115" t="s">
        <v>4715</v>
      </c>
      <c r="J483" s="55" t="s">
        <v>4716</v>
      </c>
      <c r="K483" s="55" t="s">
        <v>61</v>
      </c>
      <c r="L483" s="55">
        <v>16917.0</v>
      </c>
      <c r="M483" s="55" t="s">
        <v>78</v>
      </c>
      <c r="N483" s="55" t="s">
        <v>79</v>
      </c>
      <c r="O483" s="55" t="s">
        <v>224</v>
      </c>
      <c r="P483" s="55" t="s">
        <v>110</v>
      </c>
      <c r="Q483" s="67" t="str">
        <f>IFERROR(__xludf.DUMMYFUNCTION("""COMPUTED_VALUE"""),"Australia.giaotiep.PTKO2_16917_MES_NamNH_010524")</f>
        <v>Australia.giaotiep.PTKO2_16917_MES_NamNH_010524</v>
      </c>
      <c r="R483" s="67" t="str">
        <f>IFERROR(__xludf.DUMMYFUNCTION("""COMPUTED_VALUE"""),"NEW_Australia_1840_none_010524")</f>
        <v>NEW_Australia_1840_none_010524</v>
      </c>
      <c r="S483" s="67" t="str">
        <f>IFERROR(__xludf.DUMMYFUNCTION("""COMPUTED_VALUE"""),"saletructiep_Australia.PTKO2.1840.giaotiep_PTATT_LD153")</f>
        <v>saletructiep_Australia.PTKO2.1840.giaotiep_PTATT_LD153</v>
      </c>
      <c r="T483" s="107" t="str">
        <f>IFERROR(__xludf.DUMMYFUNCTION("""COMPUTED_VALUE"""),"https://patadovietnam.edu.vn/tienganhgiaotiep_hn/?utm_source=Facebook&amp;utm_medium=MES&amp;utm_term=NEW_Australia_1840_none_010524&amp;utm_content=saletructiep_Australia.PTKO2.1840.giaotiep_PTATT_LD153&amp;utm_campaign=Australia.giaotiep.PTKO2_16917_MES_NamNH_010524")</f>
        <v>https://patadovietnam.edu.vn/tienganhgiaotiep_hn/?utm_source=Facebook&amp;utm_medium=MES&amp;utm_term=NEW_Australia_1840_none_010524&amp;utm_content=saletructiep_Australia.PTKO2.1840.giaotiep_PTATT_LD153&amp;utm_campaign=Australia.giaotiep.PTKO2_16917_MES_NamNH_010524</v>
      </c>
      <c r="U483" s="110" t="s">
        <v>4723</v>
      </c>
    </row>
    <row r="484">
      <c r="A484" s="72">
        <v>45413.0</v>
      </c>
      <c r="B484" s="75" t="s">
        <v>1134</v>
      </c>
      <c r="C484" s="67" t="str">
        <f>IFERROR(__xludf.DUMMYFUNCTION("""COMPUTED_VALUE"""),"LD153")</f>
        <v>LD153</v>
      </c>
      <c r="D484" s="55" t="s">
        <v>42</v>
      </c>
      <c r="E484" s="55" t="s">
        <v>79</v>
      </c>
      <c r="F484" s="55" t="s">
        <v>129</v>
      </c>
      <c r="G484" s="55">
        <v>1840.0</v>
      </c>
      <c r="H484" s="55" t="s">
        <v>1137</v>
      </c>
      <c r="I484" s="115" t="s">
        <v>4725</v>
      </c>
      <c r="J484" s="55" t="s">
        <v>4726</v>
      </c>
      <c r="K484" s="55" t="s">
        <v>61</v>
      </c>
      <c r="L484" s="55">
        <v>16917.0</v>
      </c>
      <c r="M484" s="55" t="s">
        <v>78</v>
      </c>
      <c r="N484" s="55" t="s">
        <v>79</v>
      </c>
      <c r="O484" s="55" t="s">
        <v>224</v>
      </c>
      <c r="P484" s="55" t="s">
        <v>110</v>
      </c>
      <c r="Q484" s="67" t="str">
        <f>IFERROR(__xludf.DUMMYFUNCTION("""COMPUTED_VALUE"""),"Australia.giaotiep.JHKO_16917_MES_NamNH_010524")</f>
        <v>Australia.giaotiep.JHKO_16917_MES_NamNH_010524</v>
      </c>
      <c r="R484" s="67" t="str">
        <f>IFERROR(__xludf.DUMMYFUNCTION("""COMPUTED_VALUE"""),"NEW_Australia_1840_none_010524")</f>
        <v>NEW_Australia_1840_none_010524</v>
      </c>
      <c r="S484" s="67" t="str">
        <f>IFERROR(__xludf.DUMMYFUNCTION("""COMPUTED_VALUE"""),"saletructiep_Australia.JHKO.1840.giaotiep_PTATT_LD153")</f>
        <v>saletructiep_Australia.JHKO.1840.giaotiep_PTATT_LD153</v>
      </c>
      <c r="T484" s="107" t="str">
        <f>IFERROR(__xludf.DUMMYFUNCTION("""COMPUTED_VALUE"""),"https://patadovietnam.edu.vn/tienganhgiaotiep_hn/?utm_source=Facebook&amp;utm_medium=MES&amp;utm_term=NEW_Australia_1840_none_010524&amp;utm_content=saletructiep_Australia.JHKO.1840.giaotiep_PTATT_LD153&amp;utm_campaign=Australia.giaotiep.JHKO_16917_MES_NamNH_010524")</f>
        <v>https://patadovietnam.edu.vn/tienganhgiaotiep_hn/?utm_source=Facebook&amp;utm_medium=MES&amp;utm_term=NEW_Australia_1840_none_010524&amp;utm_content=saletructiep_Australia.JHKO.1840.giaotiep_PTATT_LD153&amp;utm_campaign=Australia.giaotiep.JHKO_16917_MES_NamNH_010524</v>
      </c>
      <c r="U484" s="110" t="s">
        <v>4733</v>
      </c>
    </row>
    <row r="485">
      <c r="A485" s="72">
        <v>45417.0</v>
      </c>
      <c r="B485" s="75" t="s">
        <v>1134</v>
      </c>
      <c r="C485" s="67" t="str">
        <f>IFERROR(__xludf.DUMMYFUNCTION("""COMPUTED_VALUE"""),"LD153")</f>
        <v>LD153</v>
      </c>
      <c r="D485" s="55" t="s">
        <v>42</v>
      </c>
      <c r="E485" s="55" t="s">
        <v>69</v>
      </c>
      <c r="F485" s="55" t="s">
        <v>674</v>
      </c>
      <c r="G485" s="55">
        <v>1840.0</v>
      </c>
      <c r="H485" s="55" t="s">
        <v>1137</v>
      </c>
      <c r="I485" s="115" t="s">
        <v>4734</v>
      </c>
      <c r="J485" s="55" t="s">
        <v>4735</v>
      </c>
      <c r="K485" s="55" t="s">
        <v>61</v>
      </c>
      <c r="L485" s="55">
        <v>16917.0</v>
      </c>
      <c r="M485" s="55" t="s">
        <v>78</v>
      </c>
      <c r="N485" s="55" t="s">
        <v>69</v>
      </c>
      <c r="O485" s="55" t="s">
        <v>224</v>
      </c>
      <c r="P485" s="55" t="s">
        <v>110</v>
      </c>
      <c r="Q485" s="67" t="str">
        <f>IFERROR(__xludf.DUMMYFUNCTION("""COMPUTED_VALUE"""),"Europe.giaotiep.M223C82_16917_CVS_NamNH_050524")</f>
        <v>Europe.giaotiep.M223C82_16917_CVS_NamNH_050524</v>
      </c>
      <c r="R485" s="67" t="str">
        <f>IFERROR(__xludf.DUMMYFUNCTION("""COMPUTED_VALUE"""),"NEW_Europe_1840_none_050524")</f>
        <v>NEW_Europe_1840_none_050524</v>
      </c>
      <c r="S485" s="67" t="str">
        <f>IFERROR(__xludf.DUMMYFUNCTION("""COMPUTED_VALUE"""),"saletructiep_Europe.M223C82.1840.giaotiep_PTATT_LD153")</f>
        <v>saletructiep_Europe.M223C82.1840.giaotiep_PTATT_LD153</v>
      </c>
      <c r="T485" s="107" t="str">
        <f>IFERROR(__xludf.DUMMYFUNCTION("""COMPUTED_VALUE"""),"https://patadovietnam.edu.vn/tienganhgiaotiep_hn/?utm_source=Facebook&amp;utm_medium=CVS&amp;utm_term=NEW_Europe_1840_none_050524&amp;utm_content=saletructiep_Europe.M223C82.1840.giaotiep_PTATT_LD153&amp;utm_campaign=Europe.giaotiep.M223C82_16917_CVS_NamNH_050524")</f>
        <v>https://patadovietnam.edu.vn/tienganhgiaotiep_hn/?utm_source=Facebook&amp;utm_medium=CVS&amp;utm_term=NEW_Europe_1840_none_050524&amp;utm_content=saletructiep_Europe.M223C82.1840.giaotiep_PTATT_LD153&amp;utm_campaign=Europe.giaotiep.M223C82_16917_CVS_NamNH_050524</v>
      </c>
      <c r="U485" s="110" t="s">
        <v>4741</v>
      </c>
    </row>
    <row r="486">
      <c r="A486" s="72">
        <v>45417.0</v>
      </c>
      <c r="B486" s="75" t="s">
        <v>1229</v>
      </c>
      <c r="C486" s="67" t="str">
        <f>IFERROR(__xludf.DUMMYFUNCTION("""COMPUTED_VALUE"""),"LD164")</f>
        <v>LD164</v>
      </c>
      <c r="D486" s="55" t="s">
        <v>42</v>
      </c>
      <c r="E486" s="55" t="s">
        <v>69</v>
      </c>
      <c r="F486" s="55" t="s">
        <v>133</v>
      </c>
      <c r="G486" s="55">
        <v>1840.0</v>
      </c>
      <c r="H486" s="55" t="s">
        <v>1137</v>
      </c>
      <c r="I486" s="115" t="s">
        <v>4742</v>
      </c>
      <c r="J486" s="55" t="s">
        <v>4744</v>
      </c>
      <c r="K486" s="55" t="s">
        <v>61</v>
      </c>
      <c r="L486" s="55">
        <v>16917.0</v>
      </c>
      <c r="M486" s="55" t="s">
        <v>78</v>
      </c>
      <c r="N486" s="55" t="s">
        <v>69</v>
      </c>
      <c r="O486" s="55" t="s">
        <v>224</v>
      </c>
      <c r="P486" s="55" t="s">
        <v>110</v>
      </c>
      <c r="Q486" s="67" t="str">
        <f>IFERROR(__xludf.DUMMYFUNCTION("""COMPUTED_VALUE"""),"Japan.giaotiep.M223_16917_CVS_NamNH_050524")</f>
        <v>Japan.giaotiep.M223_16917_CVS_NamNH_050524</v>
      </c>
      <c r="R486" s="67" t="str">
        <f>IFERROR(__xludf.DUMMYFUNCTION("""COMPUTED_VALUE"""),"NEW_Japan_1840_none_050524")</f>
        <v>NEW_Japan_1840_none_050524</v>
      </c>
      <c r="S486" s="67" t="str">
        <f>IFERROR(__xludf.DUMMYFUNCTION("""COMPUTED_VALUE"""),"saletructiep_Japan.M223.1840.giaotiep_PTATT_LD164")</f>
        <v>saletructiep_Japan.M223.1840.giaotiep_PTATT_LD164</v>
      </c>
      <c r="T486" s="107" t="str">
        <f>IFERROR(__xludf.DUMMYFUNCTION("""COMPUTED_VALUE"""),"https://patadovietnam.edu.vn/gtjapan_nhn3/?utm_source=Facebook&amp;utm_medium=CVS&amp;utm_term=NEW_Japan_1840_none_050524&amp;utm_content=saletructiep_Japan.M223.1840.giaotiep_PTATT_LD164&amp;utm_campaign=Japan.giaotiep.M223_16917_CVS_NamNH_050524")</f>
        <v>https://patadovietnam.edu.vn/gtjapan_nhn3/?utm_source=Facebook&amp;utm_medium=CVS&amp;utm_term=NEW_Japan_1840_none_050524&amp;utm_content=saletructiep_Japan.M223.1840.giaotiep_PTATT_LD164&amp;utm_campaign=Japan.giaotiep.M223_16917_CVS_NamNH_050524</v>
      </c>
      <c r="U486" s="110" t="s">
        <v>4749</v>
      </c>
    </row>
    <row r="487">
      <c r="A487" s="72">
        <v>45417.0</v>
      </c>
      <c r="B487" s="75" t="s">
        <v>1245</v>
      </c>
      <c r="C487" s="67" t="str">
        <f>IFERROR(__xludf.DUMMYFUNCTION("""COMPUTED_VALUE"""),"LD161")</f>
        <v>LD161</v>
      </c>
      <c r="D487" s="55" t="s">
        <v>42</v>
      </c>
      <c r="E487" s="55" t="s">
        <v>79</v>
      </c>
      <c r="F487" s="55" t="s">
        <v>107</v>
      </c>
      <c r="G487" s="55">
        <v>1840.0</v>
      </c>
      <c r="H487" s="55" t="s">
        <v>1137</v>
      </c>
      <c r="I487" s="115" t="s">
        <v>4755</v>
      </c>
      <c r="J487" s="55" t="s">
        <v>4756</v>
      </c>
      <c r="K487" s="55" t="s">
        <v>61</v>
      </c>
      <c r="L487" s="55">
        <v>16917.0</v>
      </c>
      <c r="M487" s="55" t="s">
        <v>78</v>
      </c>
      <c r="N487" s="55" t="s">
        <v>79</v>
      </c>
      <c r="O487" s="55" t="s">
        <v>224</v>
      </c>
      <c r="P487" s="55" t="s">
        <v>110</v>
      </c>
      <c r="Q487" s="67" t="str">
        <f>IFERROR(__xludf.DUMMYFUNCTION("""COMPUTED_VALUE"""),"UnitedStates.giaotiep.M223_16917_MES_NamNH_050524")</f>
        <v>UnitedStates.giaotiep.M223_16917_MES_NamNH_050524</v>
      </c>
      <c r="R487" s="67" t="str">
        <f>IFERROR(__xludf.DUMMYFUNCTION("""COMPUTED_VALUE"""),"NEW_UnitedStates_1840_none_050524")</f>
        <v>NEW_UnitedStates_1840_none_050524</v>
      </c>
      <c r="S487" s="67" t="str">
        <f>IFERROR(__xludf.DUMMYFUNCTION("""COMPUTED_VALUE"""),"saletructiep_UnitedStates.M223.1840.giaotiep_PTATT_LD161")</f>
        <v>saletructiep_UnitedStates.M223.1840.giaotiep_PTATT_LD161</v>
      </c>
      <c r="T487" s="107" t="str">
        <f>IFERROR(__xludf.DUMMYFUNCTION("""COMPUTED_VALUE"""),"https://patadovietnam.edu.vn/gtusa1_nhn/?utm_source=Facebook&amp;utm_medium=MES&amp;utm_term=NEW_UnitedStates_1840_none_050524&amp;utm_content=saletructiep_UnitedStates.M223.1840.giaotiep_PTATT_LD161&amp;utm_campaign=UnitedStates.giaotiep.M223_16917_MES_NamNH_050524")</f>
        <v>https://patadovietnam.edu.vn/gtusa1_nhn/?utm_source=Facebook&amp;utm_medium=MES&amp;utm_term=NEW_UnitedStates_1840_none_050524&amp;utm_content=saletructiep_UnitedStates.M223.1840.giaotiep_PTATT_LD161&amp;utm_campaign=UnitedStates.giaotiep.M223_16917_MES_NamNH_050524</v>
      </c>
      <c r="U487" s="110" t="s">
        <v>4761</v>
      </c>
    </row>
    <row r="488">
      <c r="A488" s="72">
        <v>45417.0</v>
      </c>
      <c r="B488" s="75" t="s">
        <v>1134</v>
      </c>
      <c r="C488" s="67" t="str">
        <f>IFERROR(__xludf.DUMMYFUNCTION("""COMPUTED_VALUE"""),"LD153")</f>
        <v>LD153</v>
      </c>
      <c r="D488" s="55" t="s">
        <v>42</v>
      </c>
      <c r="E488" s="55" t="s">
        <v>79</v>
      </c>
      <c r="F488" s="55" t="s">
        <v>174</v>
      </c>
      <c r="G488" s="55">
        <v>1840.0</v>
      </c>
      <c r="H488" s="55" t="s">
        <v>1137</v>
      </c>
      <c r="I488" s="115" t="s">
        <v>4763</v>
      </c>
      <c r="J488" s="55" t="s">
        <v>4764</v>
      </c>
      <c r="K488" s="55" t="s">
        <v>61</v>
      </c>
      <c r="L488" s="55">
        <v>16917.0</v>
      </c>
      <c r="M488" s="55" t="s">
        <v>78</v>
      </c>
      <c r="N488" s="55" t="s">
        <v>79</v>
      </c>
      <c r="O488" s="55" t="s">
        <v>224</v>
      </c>
      <c r="P488" s="55" t="s">
        <v>110</v>
      </c>
      <c r="Q488" s="67" t="str">
        <f>IFERROR(__xludf.DUMMYFUNCTION("""COMPUTED_VALUE"""),"Philippines.giaotiep.M223_16917_MES_NamNH_050524")</f>
        <v>Philippines.giaotiep.M223_16917_MES_NamNH_050524</v>
      </c>
      <c r="R488" s="67" t="str">
        <f>IFERROR(__xludf.DUMMYFUNCTION("""COMPUTED_VALUE"""),"NEW_Philippines_1840_none_050524")</f>
        <v>NEW_Philippines_1840_none_050524</v>
      </c>
      <c r="S488" s="67" t="str">
        <f>IFERROR(__xludf.DUMMYFUNCTION("""COMPUTED_VALUE"""),"saletructiep_Philippines.M223.1840.giaotiep_PTATT_LD153")</f>
        <v>saletructiep_Philippines.M223.1840.giaotiep_PTATT_LD153</v>
      </c>
      <c r="T488" s="107" t="str">
        <f>IFERROR(__xludf.DUMMYFUNCTION("""COMPUTED_VALUE"""),"https://patadovietnam.edu.vn/tienganhgiaotiep_hn/?utm_source=Facebook&amp;utm_medium=MES&amp;utm_term=NEW_Philippines_1840_none_050524&amp;utm_content=saletructiep_Philippines.M223.1840.giaotiep_PTATT_LD153&amp;utm_campaign=Philippines.giaotiep.M223_16917_MES_NamNH_05052"&amp;"4")</f>
        <v>https://patadovietnam.edu.vn/tienganhgiaotiep_hn/?utm_source=Facebook&amp;utm_medium=MES&amp;utm_term=NEW_Philippines_1840_none_050524&amp;utm_content=saletructiep_Philippines.M223.1840.giaotiep_PTATT_LD153&amp;utm_campaign=Philippines.giaotiep.M223_16917_MES_NamNH_050524</v>
      </c>
      <c r="U488" s="110" t="s">
        <v>4769</v>
      </c>
    </row>
    <row r="489">
      <c r="A489" s="72">
        <v>45417.0</v>
      </c>
      <c r="B489" s="75" t="s">
        <v>1134</v>
      </c>
      <c r="C489" s="67" t="str">
        <f>IFERROR(__xludf.DUMMYFUNCTION("""COMPUTED_VALUE"""),"LD153")</f>
        <v>LD153</v>
      </c>
      <c r="D489" s="55" t="s">
        <v>42</v>
      </c>
      <c r="E489" s="55" t="s">
        <v>69</v>
      </c>
      <c r="F489" s="55" t="s">
        <v>674</v>
      </c>
      <c r="G489" s="55">
        <v>1840.0</v>
      </c>
      <c r="H489" s="55" t="s">
        <v>1137</v>
      </c>
      <c r="I489" s="115" t="s">
        <v>4775</v>
      </c>
      <c r="J489" s="55" t="s">
        <v>4777</v>
      </c>
      <c r="K489" s="55" t="s">
        <v>61</v>
      </c>
      <c r="L489" s="55">
        <v>16917.0</v>
      </c>
      <c r="M489" s="55" t="s">
        <v>78</v>
      </c>
      <c r="N489" s="55" t="s">
        <v>69</v>
      </c>
      <c r="O489" s="55" t="s">
        <v>224</v>
      </c>
      <c r="P489" s="55" t="s">
        <v>110</v>
      </c>
      <c r="Q489" s="67" t="str">
        <f>IFERROR(__xludf.DUMMYFUNCTION("""COMPUTED_VALUE"""),"Europe.giaotiep.M226_16917_CVS_NamNH_050524")</f>
        <v>Europe.giaotiep.M226_16917_CVS_NamNH_050524</v>
      </c>
      <c r="R489" s="67" t="str">
        <f>IFERROR(__xludf.DUMMYFUNCTION("""COMPUTED_VALUE"""),"NEW_Europe_1840_none_050524")</f>
        <v>NEW_Europe_1840_none_050524</v>
      </c>
      <c r="S489" s="67" t="str">
        <f>IFERROR(__xludf.DUMMYFUNCTION("""COMPUTED_VALUE"""),"saletructiep_Europe.M226.1840.giaotiep_PTATT_LD153")</f>
        <v>saletructiep_Europe.M226.1840.giaotiep_PTATT_LD153</v>
      </c>
      <c r="T489" s="107" t="str">
        <f>IFERROR(__xludf.DUMMYFUNCTION("""COMPUTED_VALUE"""),"https://patadovietnam.edu.vn/tienganhgiaotiep_hn/?utm_source=Facebook&amp;utm_medium=CVS&amp;utm_term=NEW_Europe_1840_none_050524&amp;utm_content=saletructiep_Europe.M226.1840.giaotiep_PTATT_LD153&amp;utm_campaign=Europe.giaotiep.M226_16917_CVS_NamNH_050524")</f>
        <v>https://patadovietnam.edu.vn/tienganhgiaotiep_hn/?utm_source=Facebook&amp;utm_medium=CVS&amp;utm_term=NEW_Europe_1840_none_050524&amp;utm_content=saletructiep_Europe.M226.1840.giaotiep_PTATT_LD153&amp;utm_campaign=Europe.giaotiep.M226_16917_CVS_NamNH_050524</v>
      </c>
      <c r="U489" s="110" t="s">
        <v>4781</v>
      </c>
    </row>
    <row r="490">
      <c r="A490" s="72">
        <v>45417.0</v>
      </c>
      <c r="B490" s="75" t="s">
        <v>1229</v>
      </c>
      <c r="C490" s="67" t="str">
        <f>IFERROR(__xludf.DUMMYFUNCTION("""COMPUTED_VALUE"""),"LD164")</f>
        <v>LD164</v>
      </c>
      <c r="D490" s="55" t="s">
        <v>42</v>
      </c>
      <c r="E490" s="55" t="s">
        <v>69</v>
      </c>
      <c r="F490" s="55" t="s">
        <v>133</v>
      </c>
      <c r="G490" s="55">
        <v>1840.0</v>
      </c>
      <c r="H490" s="55" t="s">
        <v>1137</v>
      </c>
      <c r="I490" s="115" t="s">
        <v>4782</v>
      </c>
      <c r="J490" s="55" t="s">
        <v>4783</v>
      </c>
      <c r="K490" s="55" t="s">
        <v>61</v>
      </c>
      <c r="L490" s="55">
        <v>16917.0</v>
      </c>
      <c r="M490" s="55" t="s">
        <v>78</v>
      </c>
      <c r="N490" s="55" t="s">
        <v>69</v>
      </c>
      <c r="O490" s="55" t="s">
        <v>224</v>
      </c>
      <c r="P490" s="55" t="s">
        <v>110</v>
      </c>
      <c r="Q490" s="67" t="str">
        <f>IFERROR(__xludf.DUMMYFUNCTION("""COMPUTED_VALUE"""),"Japan.giaotiep.M226_16917_CVS_NamNH_050524")</f>
        <v>Japan.giaotiep.M226_16917_CVS_NamNH_050524</v>
      </c>
      <c r="R490" s="67" t="str">
        <f>IFERROR(__xludf.DUMMYFUNCTION("""COMPUTED_VALUE"""),"NEW_Japan_1840_none_050524")</f>
        <v>NEW_Japan_1840_none_050524</v>
      </c>
      <c r="S490" s="67" t="str">
        <f>IFERROR(__xludf.DUMMYFUNCTION("""COMPUTED_VALUE"""),"saletructiep_Japan.M226.1840.giaotiep_PTATT_LD164")</f>
        <v>saletructiep_Japan.M226.1840.giaotiep_PTATT_LD164</v>
      </c>
      <c r="T490" s="107" t="str">
        <f>IFERROR(__xludf.DUMMYFUNCTION("""COMPUTED_VALUE"""),"https://patadovietnam.edu.vn/gtjapan_nhn3/?utm_source=Facebook&amp;utm_medium=CVS&amp;utm_term=NEW_Japan_1840_none_050524&amp;utm_content=saletructiep_Japan.M226.1840.giaotiep_PTATT_LD164&amp;utm_campaign=Japan.giaotiep.M226_16917_CVS_NamNH_050524")</f>
        <v>https://patadovietnam.edu.vn/gtjapan_nhn3/?utm_source=Facebook&amp;utm_medium=CVS&amp;utm_term=NEW_Japan_1840_none_050524&amp;utm_content=saletructiep_Japan.M226.1840.giaotiep_PTATT_LD164&amp;utm_campaign=Japan.giaotiep.M226_16917_CVS_NamNH_050524</v>
      </c>
      <c r="U490" s="110" t="s">
        <v>4787</v>
      </c>
    </row>
    <row r="491">
      <c r="A491" s="72">
        <v>45417.0</v>
      </c>
      <c r="B491" s="75" t="s">
        <v>1245</v>
      </c>
      <c r="C491" s="67" t="str">
        <f>IFERROR(__xludf.DUMMYFUNCTION("""COMPUTED_VALUE"""),"LD161")</f>
        <v>LD161</v>
      </c>
      <c r="D491" s="55" t="s">
        <v>42</v>
      </c>
      <c r="E491" s="55" t="s">
        <v>79</v>
      </c>
      <c r="F491" s="55" t="s">
        <v>107</v>
      </c>
      <c r="G491" s="55">
        <v>1840.0</v>
      </c>
      <c r="H491" s="55" t="s">
        <v>1137</v>
      </c>
      <c r="I491" s="115" t="s">
        <v>4790</v>
      </c>
      <c r="J491" s="55" t="s">
        <v>4791</v>
      </c>
      <c r="K491" s="55" t="s">
        <v>61</v>
      </c>
      <c r="L491" s="55">
        <v>16917.0</v>
      </c>
      <c r="M491" s="55" t="s">
        <v>78</v>
      </c>
      <c r="N491" s="55" t="s">
        <v>79</v>
      </c>
      <c r="O491" s="55" t="s">
        <v>224</v>
      </c>
      <c r="P491" s="55" t="s">
        <v>110</v>
      </c>
      <c r="Q491" s="67" t="str">
        <f>IFERROR(__xludf.DUMMYFUNCTION("""COMPUTED_VALUE"""),"UnitedStates.giaotiep.M226_16917_MES_NamNH_050524")</f>
        <v>UnitedStates.giaotiep.M226_16917_MES_NamNH_050524</v>
      </c>
      <c r="R491" s="67" t="str">
        <f>IFERROR(__xludf.DUMMYFUNCTION("""COMPUTED_VALUE"""),"NEW_UnitedStates_1840_none_050524")</f>
        <v>NEW_UnitedStates_1840_none_050524</v>
      </c>
      <c r="S491" s="67" t="str">
        <f>IFERROR(__xludf.DUMMYFUNCTION("""COMPUTED_VALUE"""),"saletructiep_UnitedStates.M226.1840.giaotiep_PTATT_LD161")</f>
        <v>saletructiep_UnitedStates.M226.1840.giaotiep_PTATT_LD161</v>
      </c>
      <c r="T491" s="107" t="str">
        <f>IFERROR(__xludf.DUMMYFUNCTION("""COMPUTED_VALUE"""),"https://patadovietnam.edu.vn/gtusa1_nhn/?utm_source=Facebook&amp;utm_medium=MES&amp;utm_term=NEW_UnitedStates_1840_none_050524&amp;utm_content=saletructiep_UnitedStates.M226.1840.giaotiep_PTATT_LD161&amp;utm_campaign=UnitedStates.giaotiep.M226_16917_MES_NamNH_050524")</f>
        <v>https://patadovietnam.edu.vn/gtusa1_nhn/?utm_source=Facebook&amp;utm_medium=MES&amp;utm_term=NEW_UnitedStates_1840_none_050524&amp;utm_content=saletructiep_UnitedStates.M226.1840.giaotiep_PTATT_LD161&amp;utm_campaign=UnitedStates.giaotiep.M226_16917_MES_NamNH_050524</v>
      </c>
      <c r="U491" s="110" t="s">
        <v>4797</v>
      </c>
    </row>
    <row r="492">
      <c r="A492" s="72">
        <v>45417.0</v>
      </c>
      <c r="B492" s="75" t="s">
        <v>1134</v>
      </c>
      <c r="C492" s="67" t="str">
        <f>IFERROR(__xludf.DUMMYFUNCTION("""COMPUTED_VALUE"""),"LD153")</f>
        <v>LD153</v>
      </c>
      <c r="D492" s="55" t="s">
        <v>42</v>
      </c>
      <c r="E492" s="55" t="s">
        <v>79</v>
      </c>
      <c r="F492" s="55" t="s">
        <v>174</v>
      </c>
      <c r="G492" s="55">
        <v>1840.0</v>
      </c>
      <c r="H492" s="55" t="s">
        <v>1137</v>
      </c>
      <c r="I492" s="115" t="s">
        <v>4799</v>
      </c>
      <c r="J492" s="55" t="s">
        <v>4800</v>
      </c>
      <c r="K492" s="55" t="s">
        <v>61</v>
      </c>
      <c r="L492" s="55">
        <v>16917.0</v>
      </c>
      <c r="M492" s="55" t="s">
        <v>78</v>
      </c>
      <c r="N492" s="55" t="s">
        <v>79</v>
      </c>
      <c r="O492" s="55" t="s">
        <v>224</v>
      </c>
      <c r="P492" s="55" t="s">
        <v>110</v>
      </c>
      <c r="Q492" s="67" t="str">
        <f>IFERROR(__xludf.DUMMYFUNCTION("""COMPUTED_VALUE"""),"Philippines.giaotiep.M226_16917_MES_NamNH_050524")</f>
        <v>Philippines.giaotiep.M226_16917_MES_NamNH_050524</v>
      </c>
      <c r="R492" s="67" t="str">
        <f>IFERROR(__xludf.DUMMYFUNCTION("""COMPUTED_VALUE"""),"NEW_Philippines_1840_none_050524")</f>
        <v>NEW_Philippines_1840_none_050524</v>
      </c>
      <c r="S492" s="67" t="str">
        <f>IFERROR(__xludf.DUMMYFUNCTION("""COMPUTED_VALUE"""),"saletructiep_Philippines.M226.1840.giaotiep_PTATT_LD153")</f>
        <v>saletructiep_Philippines.M226.1840.giaotiep_PTATT_LD153</v>
      </c>
      <c r="T492" s="107" t="str">
        <f>IFERROR(__xludf.DUMMYFUNCTION("""COMPUTED_VALUE"""),"https://patadovietnam.edu.vn/tienganhgiaotiep_hn/?utm_source=Facebook&amp;utm_medium=MES&amp;utm_term=NEW_Philippines_1840_none_050524&amp;utm_content=saletructiep_Philippines.M226.1840.giaotiep_PTATT_LD153&amp;utm_campaign=Philippines.giaotiep.M226_16917_MES_NamNH_05052"&amp;"4")</f>
        <v>https://patadovietnam.edu.vn/tienganhgiaotiep_hn/?utm_source=Facebook&amp;utm_medium=MES&amp;utm_term=NEW_Philippines_1840_none_050524&amp;utm_content=saletructiep_Philippines.M226.1840.giaotiep_PTATT_LD153&amp;utm_campaign=Philippines.giaotiep.M226_16917_MES_NamNH_050524</v>
      </c>
      <c r="U492" s="110" t="s">
        <v>4807</v>
      </c>
    </row>
    <row r="493">
      <c r="A493" s="72">
        <v>45418.0</v>
      </c>
      <c r="B493" s="75" t="s">
        <v>3903</v>
      </c>
      <c r="C493" s="67" t="str">
        <f>IFERROR(__xludf.DUMMYFUNCTION("""COMPUTED_VALUE"""),"LD224")</f>
        <v>LD224</v>
      </c>
      <c r="D493" s="55" t="s">
        <v>42</v>
      </c>
      <c r="E493" s="55" t="s">
        <v>79</v>
      </c>
      <c r="F493" s="55" t="s">
        <v>199</v>
      </c>
      <c r="G493" s="55">
        <v>2030.0</v>
      </c>
      <c r="H493" s="55" t="s">
        <v>1137</v>
      </c>
      <c r="I493" s="55" t="s">
        <v>4810</v>
      </c>
      <c r="J493" s="55" t="s">
        <v>4811</v>
      </c>
      <c r="K493" s="55" t="s">
        <v>61</v>
      </c>
      <c r="L493" s="55">
        <v>95360.0</v>
      </c>
      <c r="M493" s="55" t="s">
        <v>78</v>
      </c>
      <c r="N493" s="55" t="s">
        <v>79</v>
      </c>
      <c r="O493" s="55" t="s">
        <v>224</v>
      </c>
      <c r="P493" s="55" t="s">
        <v>110</v>
      </c>
      <c r="Q493" s="67" t="str">
        <f>IFERROR(__xludf.DUMMYFUNCTION("""COMPUTED_VALUE"""),"Vietnam.Doanhnghiep.MGTT_95360_MES_NamNH_060524")</f>
        <v>Vietnam.Doanhnghiep.MGTT_95360_MES_NamNH_060524</v>
      </c>
      <c r="R493" s="67" t="str">
        <f>IFERROR(__xludf.DUMMYFUNCTION("""COMPUTED_VALUE"""),"NEW_Vietnam_2030_none_060524")</f>
        <v>NEW_Vietnam_2030_none_060524</v>
      </c>
      <c r="S493" s="67" t="str">
        <f>IFERROR(__xludf.DUMMYFUNCTION("""COMPUTED_VALUE"""),"saletructiep_Vietnam.MGTT.2030.DoanhNghiep_PTATT_LD224")</f>
        <v>saletructiep_Vietnam.MGTT.2030.DoanhNghiep_PTATT_LD224</v>
      </c>
      <c r="T493" s="107" t="str">
        <f>IFERROR(__xludf.DUMMYFUNCTION("""COMPUTED_VALUE"""),"https://patadovietnam.edu.vn/tienganhdoanhnghiep_hn/?utm_source=Facebook&amp;utm_medium=MES&amp;utm_term=NEW_Vietnam_2030_none_060524&amp;utm_content=saletructiep_Vietnam.MGTT.2030.DoanhNghiep_PTATT_LD224&amp;utm_campaign=Vietnam.Doanhnghiep.MGTT_95360_MES_NamNH_060524")</f>
        <v>https://patadovietnam.edu.vn/tienganhdoanhnghiep_hn/?utm_source=Facebook&amp;utm_medium=MES&amp;utm_term=NEW_Vietnam_2030_none_060524&amp;utm_content=saletructiep_Vietnam.MGTT.2030.DoanhNghiep_PTATT_LD224&amp;utm_campaign=Vietnam.Doanhnghiep.MGTT_95360_MES_NamNH_060524</v>
      </c>
      <c r="U493" s="110" t="s">
        <v>4819</v>
      </c>
    </row>
    <row r="494">
      <c r="A494" s="72">
        <v>45418.0</v>
      </c>
      <c r="B494" s="75" t="s">
        <v>3903</v>
      </c>
      <c r="C494" s="67" t="str">
        <f>IFERROR(__xludf.DUMMYFUNCTION("""COMPUTED_VALUE"""),"LD224")</f>
        <v>LD224</v>
      </c>
      <c r="D494" s="55" t="s">
        <v>42</v>
      </c>
      <c r="E494" s="55" t="s">
        <v>79</v>
      </c>
      <c r="F494" s="55" t="s">
        <v>199</v>
      </c>
      <c r="G494" s="55">
        <v>3140.0</v>
      </c>
      <c r="H494" s="55" t="s">
        <v>1137</v>
      </c>
      <c r="I494" s="55" t="s">
        <v>4822</v>
      </c>
      <c r="J494" s="55" t="s">
        <v>4823</v>
      </c>
      <c r="K494" s="55" t="s">
        <v>61</v>
      </c>
      <c r="L494" s="55">
        <v>95360.0</v>
      </c>
      <c r="M494" s="55" t="s">
        <v>78</v>
      </c>
      <c r="N494" s="55" t="s">
        <v>79</v>
      </c>
      <c r="O494" s="55" t="s">
        <v>224</v>
      </c>
      <c r="P494" s="55" t="s">
        <v>110</v>
      </c>
      <c r="Q494" s="67" t="str">
        <f>IFERROR(__xludf.DUMMYFUNCTION("""COMPUTED_VALUE"""),"Vietnam.Doanhnghiep.MGTT1_95360_MES_NamNH_060524")</f>
        <v>Vietnam.Doanhnghiep.MGTT1_95360_MES_NamNH_060524</v>
      </c>
      <c r="R494" s="67" t="str">
        <f>IFERROR(__xludf.DUMMYFUNCTION("""COMPUTED_VALUE"""),"NEW_Vietnam_3140_none_060524")</f>
        <v>NEW_Vietnam_3140_none_060524</v>
      </c>
      <c r="S494" s="67" t="str">
        <f>IFERROR(__xludf.DUMMYFUNCTION("""COMPUTED_VALUE"""),"saletructiep_Vietnam.MGTT1.3140.DoanhNghiep_PTATT_LD224")</f>
        <v>saletructiep_Vietnam.MGTT1.3140.DoanhNghiep_PTATT_LD224</v>
      </c>
      <c r="T494" s="107" t="str">
        <f>IFERROR(__xludf.DUMMYFUNCTION("""COMPUTED_VALUE"""),"https://patadovietnam.edu.vn/tienganhdoanhnghiep_hn/?utm_source=Facebook&amp;utm_medium=MES&amp;utm_term=NEW_Vietnam_3140_none_060524&amp;utm_content=saletructiep_Vietnam.MGTT1.3140.DoanhNghiep_PTATT_LD224&amp;utm_campaign=Vietnam.Doanhnghiep.MGTT1_95360_MES_NamNH_060524")</f>
        <v>https://patadovietnam.edu.vn/tienganhdoanhnghiep_hn/?utm_source=Facebook&amp;utm_medium=MES&amp;utm_term=NEW_Vietnam_3140_none_060524&amp;utm_content=saletructiep_Vietnam.MGTT1.3140.DoanhNghiep_PTATT_LD224&amp;utm_campaign=Vietnam.Doanhnghiep.MGTT1_95360_MES_NamNH_060524</v>
      </c>
      <c r="U494" s="110" t="s">
        <v>4828</v>
      </c>
    </row>
    <row r="495">
      <c r="A495" s="72">
        <v>45418.0</v>
      </c>
      <c r="B495" s="75" t="s">
        <v>3903</v>
      </c>
      <c r="C495" s="67" t="str">
        <f>IFERROR(__xludf.DUMMYFUNCTION("""COMPUTED_VALUE"""),"LD224")</f>
        <v>LD224</v>
      </c>
      <c r="D495" s="55" t="s">
        <v>42</v>
      </c>
      <c r="E495" s="55" t="s">
        <v>69</v>
      </c>
      <c r="F495" s="55" t="s">
        <v>199</v>
      </c>
      <c r="G495" s="55">
        <v>2030.0</v>
      </c>
      <c r="H495" s="55" t="s">
        <v>1137</v>
      </c>
      <c r="I495" s="55" t="s">
        <v>4835</v>
      </c>
      <c r="J495" s="55" t="s">
        <v>4836</v>
      </c>
      <c r="K495" s="55" t="s">
        <v>61</v>
      </c>
      <c r="L495" s="55">
        <v>95360.0</v>
      </c>
      <c r="M495" s="55" t="s">
        <v>78</v>
      </c>
      <c r="N495" s="55" t="s">
        <v>69</v>
      </c>
      <c r="O495" s="55" t="s">
        <v>224</v>
      </c>
      <c r="P495" s="55" t="s">
        <v>110</v>
      </c>
      <c r="Q495" s="67" t="str">
        <f>IFERROR(__xludf.DUMMYFUNCTION("""COMPUTED_VALUE"""),"Vietnam.Doanhnghiep.KHCS_95360_CVS_NamNH_060524")</f>
        <v>Vietnam.Doanhnghiep.KHCS_95360_CVS_NamNH_060524</v>
      </c>
      <c r="R495" s="67" t="str">
        <f>IFERROR(__xludf.DUMMYFUNCTION("""COMPUTED_VALUE"""),"NEW_Vietnam_2030_none_060524")</f>
        <v>NEW_Vietnam_2030_none_060524</v>
      </c>
      <c r="S495" s="67" t="str">
        <f>IFERROR(__xludf.DUMMYFUNCTION("""COMPUTED_VALUE"""),"saletructiep_Vietnam.KHCS.2030.DoanhNghiep_PTATT_LD224")</f>
        <v>saletructiep_Vietnam.KHCS.2030.DoanhNghiep_PTATT_LD224</v>
      </c>
      <c r="T495" s="107" t="str">
        <f>IFERROR(__xludf.DUMMYFUNCTION("""COMPUTED_VALUE"""),"https://patadovietnam.edu.vn/tienganhdoanhnghiep_hn/?utm_source=Facebook&amp;utm_medium=CVS&amp;utm_term=NEW_Vietnam_2030_none_060524&amp;utm_content=saletructiep_Vietnam.KHCS.2030.DoanhNghiep_PTATT_LD224&amp;utm_campaign=Vietnam.Doanhnghiep.KHCS_95360_CVS_NamNH_060524")</f>
        <v>https://patadovietnam.edu.vn/tienganhdoanhnghiep_hn/?utm_source=Facebook&amp;utm_medium=CVS&amp;utm_term=NEW_Vietnam_2030_none_060524&amp;utm_content=saletructiep_Vietnam.KHCS.2030.DoanhNghiep_PTATT_LD224&amp;utm_campaign=Vietnam.Doanhnghiep.KHCS_95360_CVS_NamNH_060524</v>
      </c>
      <c r="U495" s="110" t="s">
        <v>4841</v>
      </c>
    </row>
    <row r="496">
      <c r="A496" s="72">
        <v>45418.0</v>
      </c>
      <c r="B496" s="60" t="s">
        <v>3903</v>
      </c>
      <c r="C496" s="67" t="str">
        <f>IFERROR(__xludf.DUMMYFUNCTION("""COMPUTED_VALUE"""),"LD224")</f>
        <v>LD224</v>
      </c>
      <c r="D496" s="55" t="s">
        <v>42</v>
      </c>
      <c r="E496" s="55" t="s">
        <v>69</v>
      </c>
      <c r="F496" s="55" t="s">
        <v>199</v>
      </c>
      <c r="G496" s="55">
        <v>3140.0</v>
      </c>
      <c r="H496" s="55" t="s">
        <v>1137</v>
      </c>
      <c r="I496" s="55" t="s">
        <v>4842</v>
      </c>
      <c r="J496" s="55" t="s">
        <v>4843</v>
      </c>
      <c r="K496" s="55" t="s">
        <v>61</v>
      </c>
      <c r="L496" s="55">
        <v>95360.0</v>
      </c>
      <c r="M496" s="55" t="s">
        <v>78</v>
      </c>
      <c r="N496" s="55" t="s">
        <v>69</v>
      </c>
      <c r="O496" s="55" t="s">
        <v>224</v>
      </c>
      <c r="P496" s="55" t="s">
        <v>110</v>
      </c>
      <c r="Q496" s="67" t="str">
        <f>IFERROR(__xludf.DUMMYFUNCTION("""COMPUTED_VALUE"""),"Vietnam.Doanhnghiep.KHCS1_95360_CVS_NamNH_060524")</f>
        <v>Vietnam.Doanhnghiep.KHCS1_95360_CVS_NamNH_060524</v>
      </c>
      <c r="R496" s="67" t="str">
        <f>IFERROR(__xludf.DUMMYFUNCTION("""COMPUTED_VALUE"""),"NEW_Vietnam_3140_none_060524")</f>
        <v>NEW_Vietnam_3140_none_060524</v>
      </c>
      <c r="S496" s="67" t="str">
        <f>IFERROR(__xludf.DUMMYFUNCTION("""COMPUTED_VALUE"""),"saletructiep_Vietnam.KHCS1.2030.DoanhNghiep_PTATT_LD224")</f>
        <v>saletructiep_Vietnam.KHCS1.2030.DoanhNghiep_PTATT_LD224</v>
      </c>
      <c r="T496" s="107" t="str">
        <f>IFERROR(__xludf.DUMMYFUNCTION("""COMPUTED_VALUE"""),"https://patadovietnam.edu.vn/tienganhdoanhnghiep_hn/?utm_source=Facebook&amp;utm_medium=CVS&amp;utm_term=NEW_Vietnam_3140_none_060524&amp;utm_content=saletructiep_Vietnam.KHCS1.2030.DoanhNghiep_PTATT_LD224&amp;utm_campaign=Vietnam.Doanhnghiep.KHCS1_95360_CVS_NamNH_060524")</f>
        <v>https://patadovietnam.edu.vn/tienganhdoanhnghiep_hn/?utm_source=Facebook&amp;utm_medium=CVS&amp;utm_term=NEW_Vietnam_3140_none_060524&amp;utm_content=saletructiep_Vietnam.KHCS1.2030.DoanhNghiep_PTATT_LD224&amp;utm_campaign=Vietnam.Doanhnghiep.KHCS1_95360_CVS_NamNH_060524</v>
      </c>
      <c r="U496" s="110" t="s">
        <v>4848</v>
      </c>
    </row>
    <row r="497">
      <c r="A497" s="72">
        <v>45418.0</v>
      </c>
      <c r="B497" s="75" t="s">
        <v>1229</v>
      </c>
      <c r="C497" s="67" t="str">
        <f>IFERROR(__xludf.DUMMYFUNCTION("""COMPUTED_VALUE"""),"LD164")</f>
        <v>LD164</v>
      </c>
      <c r="D497" s="55" t="s">
        <v>42</v>
      </c>
      <c r="E497" s="55" t="s">
        <v>69</v>
      </c>
      <c r="F497" s="55" t="s">
        <v>133</v>
      </c>
      <c r="G497" s="55">
        <v>3140.0</v>
      </c>
      <c r="H497" s="55" t="s">
        <v>1137</v>
      </c>
      <c r="I497" s="115" t="s">
        <v>4850</v>
      </c>
      <c r="J497" s="55" t="s">
        <v>4851</v>
      </c>
      <c r="K497" s="55" t="s">
        <v>61</v>
      </c>
      <c r="L497" s="55">
        <v>16917.0</v>
      </c>
      <c r="M497" s="55" t="s">
        <v>78</v>
      </c>
      <c r="N497" s="55" t="s">
        <v>69</v>
      </c>
      <c r="O497" s="55" t="s">
        <v>224</v>
      </c>
      <c r="P497" s="55" t="s">
        <v>110</v>
      </c>
      <c r="Q497" s="67" t="str">
        <f>IFERROR(__xludf.DUMMYFUNCTION("""COMPUTED_VALUE"""),"Japan.giaotiep.ANO_16917_CVS_NamNH_060524")</f>
        <v>Japan.giaotiep.ANO_16917_CVS_NamNH_060524</v>
      </c>
      <c r="R497" s="67" t="str">
        <f>IFERROR(__xludf.DUMMYFUNCTION("""COMPUTED_VALUE"""),"NEW_Japan_3140_none_060524")</f>
        <v>NEW_Japan_3140_none_060524</v>
      </c>
      <c r="S497" s="67" t="str">
        <f>IFERROR(__xludf.DUMMYFUNCTION("""COMPUTED_VALUE"""),"saletructiep_Japan.ANO.1840.giaotiep_PTATT_LD164")</f>
        <v>saletructiep_Japan.ANO.1840.giaotiep_PTATT_LD164</v>
      </c>
      <c r="T497" s="107" t="str">
        <f>IFERROR(__xludf.DUMMYFUNCTION("""COMPUTED_VALUE"""),"https://patadovietnam.edu.vn/gtjapan_nhn3/?utm_source=Facebook&amp;utm_medium=CVS&amp;utm_term=NEW_Japan_3140_none_060524&amp;utm_content=saletructiep_Japan.ANO.1840.giaotiep_PTATT_LD164&amp;utm_campaign=Japan.giaotiep.ANO_16917_CVS_NamNH_060524")</f>
        <v>https://patadovietnam.edu.vn/gtjapan_nhn3/?utm_source=Facebook&amp;utm_medium=CVS&amp;utm_term=NEW_Japan_3140_none_060524&amp;utm_content=saletructiep_Japan.ANO.1840.giaotiep_PTATT_LD164&amp;utm_campaign=Japan.giaotiep.ANO_16917_CVS_NamNH_060524</v>
      </c>
      <c r="U497" s="110" t="s">
        <v>4854</v>
      </c>
    </row>
    <row r="498">
      <c r="A498" s="72">
        <v>45418.0</v>
      </c>
      <c r="B498" s="75" t="s">
        <v>1229</v>
      </c>
      <c r="C498" s="67" t="str">
        <f>IFERROR(__xludf.DUMMYFUNCTION("""COMPUTED_VALUE"""),"LD164")</f>
        <v>LD164</v>
      </c>
      <c r="D498" s="55" t="s">
        <v>42</v>
      </c>
      <c r="E498" s="55" t="s">
        <v>69</v>
      </c>
      <c r="F498" s="55" t="s">
        <v>133</v>
      </c>
      <c r="G498" s="55">
        <v>3140.0</v>
      </c>
      <c r="H498" s="55" t="s">
        <v>1137</v>
      </c>
      <c r="I498" s="115" t="s">
        <v>4855</v>
      </c>
      <c r="J498" s="55" t="s">
        <v>4857</v>
      </c>
      <c r="K498" s="55" t="s">
        <v>61</v>
      </c>
      <c r="L498" s="55">
        <v>16917.0</v>
      </c>
      <c r="M498" s="55" t="s">
        <v>78</v>
      </c>
      <c r="N498" s="55" t="s">
        <v>69</v>
      </c>
      <c r="O498" s="55" t="s">
        <v>224</v>
      </c>
      <c r="P498" s="55" t="s">
        <v>110</v>
      </c>
      <c r="Q498" s="67" t="str">
        <f>IFERROR(__xludf.DUMMYFUNCTION("""COMPUTED_VALUE"""),"Japan.giaotiep.LTO_16917_CVS_NamNH_060524")</f>
        <v>Japan.giaotiep.LTO_16917_CVS_NamNH_060524</v>
      </c>
      <c r="R498" s="67" t="str">
        <f>IFERROR(__xludf.DUMMYFUNCTION("""COMPUTED_VALUE"""),"NEW_Japan_3140_none_060524")</f>
        <v>NEW_Japan_3140_none_060524</v>
      </c>
      <c r="S498" s="67" t="str">
        <f>IFERROR(__xludf.DUMMYFUNCTION("""COMPUTED_VALUE"""),"saletructiep_Japan.LTO.1840.giaotiep_PTATT_LD164")</f>
        <v>saletructiep_Japan.LTO.1840.giaotiep_PTATT_LD164</v>
      </c>
      <c r="T498" s="107" t="str">
        <f>IFERROR(__xludf.DUMMYFUNCTION("""COMPUTED_VALUE"""),"https://patadovietnam.edu.vn/gtjapan_nhn3/?utm_source=Facebook&amp;utm_medium=CVS&amp;utm_term=NEW_Japan_3140_none_060524&amp;utm_content=saletructiep_Japan.LTO.1840.giaotiep_PTATT_LD164&amp;utm_campaign=Japan.giaotiep.LTO_16917_CVS_NamNH_060524")</f>
        <v>https://patadovietnam.edu.vn/gtjapan_nhn3/?utm_source=Facebook&amp;utm_medium=CVS&amp;utm_term=NEW_Japan_3140_none_060524&amp;utm_content=saletructiep_Japan.LTO.1840.giaotiep_PTATT_LD164&amp;utm_campaign=Japan.giaotiep.LTO_16917_CVS_NamNH_060524</v>
      </c>
      <c r="U498" s="110" t="s">
        <v>4862</v>
      </c>
    </row>
    <row r="499">
      <c r="A499" s="72">
        <v>45418.0</v>
      </c>
      <c r="B499" s="75" t="s">
        <v>1245</v>
      </c>
      <c r="C499" s="67" t="str">
        <f>IFERROR(__xludf.DUMMYFUNCTION("""COMPUTED_VALUE"""),"LD161")</f>
        <v>LD161</v>
      </c>
      <c r="D499" s="55" t="s">
        <v>42</v>
      </c>
      <c r="E499" s="55" t="s">
        <v>79</v>
      </c>
      <c r="F499" s="55" t="s">
        <v>107</v>
      </c>
      <c r="G499" s="55">
        <v>1840.0</v>
      </c>
      <c r="H499" s="55" t="s">
        <v>1137</v>
      </c>
      <c r="I499" s="115" t="s">
        <v>4864</v>
      </c>
      <c r="J499" s="55" t="s">
        <v>4865</v>
      </c>
      <c r="K499" s="55" t="s">
        <v>61</v>
      </c>
      <c r="L499" s="55">
        <v>16917.0</v>
      </c>
      <c r="M499" s="55" t="s">
        <v>78</v>
      </c>
      <c r="N499" s="55" t="s">
        <v>79</v>
      </c>
      <c r="O499" s="55" t="s">
        <v>224</v>
      </c>
      <c r="P499" s="55" t="s">
        <v>110</v>
      </c>
      <c r="Q499" s="67" t="str">
        <f>IFERROR(__xludf.DUMMYFUNCTION("""COMPUTED_VALUE"""),"UnitedStates.giaotiep.NGHO_16917_MES_NamNH_060524")</f>
        <v>UnitedStates.giaotiep.NGHO_16917_MES_NamNH_060524</v>
      </c>
      <c r="R499" s="67" t="str">
        <f>IFERROR(__xludf.DUMMYFUNCTION("""COMPUTED_VALUE"""),"NEW_UnitedStates_1840_none_060524")</f>
        <v>NEW_UnitedStates_1840_none_060524</v>
      </c>
      <c r="S499" s="67" t="str">
        <f>IFERROR(__xludf.DUMMYFUNCTION("""COMPUTED_VALUE"""),"saletructiep_UnitedStates.NGHO.1840.giaotiep_PTATT_LD161")</f>
        <v>saletructiep_UnitedStates.NGHO.1840.giaotiep_PTATT_LD161</v>
      </c>
      <c r="T499" s="107" t="str">
        <f>IFERROR(__xludf.DUMMYFUNCTION("""COMPUTED_VALUE"""),"https://patadovietnam.edu.vn/gtusa1_nhn/?utm_source=Facebook&amp;utm_medium=MES&amp;utm_term=NEW_UnitedStates_1840_none_060524&amp;utm_content=saletructiep_UnitedStates.NGHO.1840.giaotiep_PTATT_LD161&amp;utm_campaign=UnitedStates.giaotiep.NGHO_16917_MES_NamNH_060524")</f>
        <v>https://patadovietnam.edu.vn/gtusa1_nhn/?utm_source=Facebook&amp;utm_medium=MES&amp;utm_term=NEW_UnitedStates_1840_none_060524&amp;utm_content=saletructiep_UnitedStates.NGHO.1840.giaotiep_PTATT_LD161&amp;utm_campaign=UnitedStates.giaotiep.NGHO_16917_MES_NamNH_060524</v>
      </c>
      <c r="U499" s="110" t="s">
        <v>4870</v>
      </c>
    </row>
    <row r="500">
      <c r="A500" s="72">
        <v>45418.0</v>
      </c>
      <c r="B500" s="75" t="s">
        <v>1245</v>
      </c>
      <c r="C500" s="67" t="str">
        <f>IFERROR(__xludf.DUMMYFUNCTION("""COMPUTED_VALUE"""),"LD161")</f>
        <v>LD161</v>
      </c>
      <c r="D500" s="55" t="s">
        <v>42</v>
      </c>
      <c r="E500" s="55" t="s">
        <v>79</v>
      </c>
      <c r="F500" s="55" t="s">
        <v>107</v>
      </c>
      <c r="G500" s="55">
        <v>1840.0</v>
      </c>
      <c r="H500" s="55" t="s">
        <v>1137</v>
      </c>
      <c r="I500" s="115" t="s">
        <v>4872</v>
      </c>
      <c r="J500" s="55" t="s">
        <v>4873</v>
      </c>
      <c r="K500" s="55" t="s">
        <v>61</v>
      </c>
      <c r="L500" s="55">
        <v>16917.0</v>
      </c>
      <c r="M500" s="55" t="s">
        <v>78</v>
      </c>
      <c r="N500" s="55" t="s">
        <v>79</v>
      </c>
      <c r="O500" s="55" t="s">
        <v>224</v>
      </c>
      <c r="P500" s="55" t="s">
        <v>110</v>
      </c>
      <c r="Q500" s="67" t="str">
        <f>IFERROR(__xludf.DUMMYFUNCTION("""COMPUTED_VALUE"""),"UnitedStates.giaotiep.LTO_16917_MES_NamNH_060524")</f>
        <v>UnitedStates.giaotiep.LTO_16917_MES_NamNH_060524</v>
      </c>
      <c r="R500" s="67" t="str">
        <f>IFERROR(__xludf.DUMMYFUNCTION("""COMPUTED_VALUE"""),"NEW_UnitedStates_1840_none_060524")</f>
        <v>NEW_UnitedStates_1840_none_060524</v>
      </c>
      <c r="S500" s="67" t="str">
        <f>IFERROR(__xludf.DUMMYFUNCTION("""COMPUTED_VALUE"""),"saletructiep_UnitedStates.LTO.1840.giaotiep_PTATT_LD161")</f>
        <v>saletructiep_UnitedStates.LTO.1840.giaotiep_PTATT_LD161</v>
      </c>
      <c r="T500" s="107" t="str">
        <f>IFERROR(__xludf.DUMMYFUNCTION("""COMPUTED_VALUE"""),"https://patadovietnam.edu.vn/gtusa1_nhn/?utm_source=Facebook&amp;utm_medium=MES&amp;utm_term=NEW_UnitedStates_1840_none_060524&amp;utm_content=saletructiep_UnitedStates.LTO.1840.giaotiep_PTATT_LD161&amp;utm_campaign=UnitedStates.giaotiep.LTO_16917_MES_NamNH_060524")</f>
        <v>https://patadovietnam.edu.vn/gtusa1_nhn/?utm_source=Facebook&amp;utm_medium=MES&amp;utm_term=NEW_UnitedStates_1840_none_060524&amp;utm_content=saletructiep_UnitedStates.LTO.1840.giaotiep_PTATT_LD161&amp;utm_campaign=UnitedStates.giaotiep.LTO_16917_MES_NamNH_060524</v>
      </c>
      <c r="U500" s="110" t="s">
        <v>4878</v>
      </c>
    </row>
    <row r="501">
      <c r="A501" s="72">
        <v>45418.0</v>
      </c>
      <c r="B501" s="75" t="s">
        <v>1245</v>
      </c>
      <c r="C501" s="67" t="str">
        <f>IFERROR(__xludf.DUMMYFUNCTION("""COMPUTED_VALUE"""),"LD161")</f>
        <v>LD161</v>
      </c>
      <c r="D501" s="55" t="s">
        <v>42</v>
      </c>
      <c r="E501" s="55" t="s">
        <v>79</v>
      </c>
      <c r="F501" s="55" t="s">
        <v>107</v>
      </c>
      <c r="G501" s="55">
        <v>1840.0</v>
      </c>
      <c r="H501" s="55" t="s">
        <v>1137</v>
      </c>
      <c r="I501" s="115" t="s">
        <v>4883</v>
      </c>
      <c r="J501" s="55" t="s">
        <v>4884</v>
      </c>
      <c r="K501" s="55" t="s">
        <v>61</v>
      </c>
      <c r="L501" s="55">
        <v>16917.0</v>
      </c>
      <c r="M501" s="55" t="s">
        <v>78</v>
      </c>
      <c r="N501" s="55" t="s">
        <v>79</v>
      </c>
      <c r="O501" s="55" t="s">
        <v>224</v>
      </c>
      <c r="P501" s="55" t="s">
        <v>110</v>
      </c>
      <c r="Q501" s="67" t="str">
        <f>IFERROR(__xludf.DUMMYFUNCTION("""COMPUTED_VALUE"""),"UnitedStates.giaotiep.ANO_16917_MES_NamNH_060524")</f>
        <v>UnitedStates.giaotiep.ANO_16917_MES_NamNH_060524</v>
      </c>
      <c r="R501" s="67" t="str">
        <f>IFERROR(__xludf.DUMMYFUNCTION("""COMPUTED_VALUE"""),"NEW_UnitedStates_1840_none_060524")</f>
        <v>NEW_UnitedStates_1840_none_060524</v>
      </c>
      <c r="S501" s="67" t="str">
        <f>IFERROR(__xludf.DUMMYFUNCTION("""COMPUTED_VALUE"""),"saletructiep_UnitedStates.ANO.1840.giaotiep_PTATT_LD161")</f>
        <v>saletructiep_UnitedStates.ANO.1840.giaotiep_PTATT_LD161</v>
      </c>
      <c r="T501" s="107" t="str">
        <f>IFERROR(__xludf.DUMMYFUNCTION("""COMPUTED_VALUE"""),"https://patadovietnam.edu.vn/gtusa1_nhn/?utm_source=Facebook&amp;utm_medium=MES&amp;utm_term=NEW_UnitedStates_1840_none_060524&amp;utm_content=saletructiep_UnitedStates.ANO.1840.giaotiep_PTATT_LD161&amp;utm_campaign=UnitedStates.giaotiep.ANO_16917_MES_NamNH_060524")</f>
        <v>https://patadovietnam.edu.vn/gtusa1_nhn/?utm_source=Facebook&amp;utm_medium=MES&amp;utm_term=NEW_UnitedStates_1840_none_060524&amp;utm_content=saletructiep_UnitedStates.ANO.1840.giaotiep_PTATT_LD161&amp;utm_campaign=UnitedStates.giaotiep.ANO_16917_MES_NamNH_060524</v>
      </c>
      <c r="U501" s="110" t="s">
        <v>4888</v>
      </c>
    </row>
    <row r="502">
      <c r="A502" s="72">
        <v>45418.0</v>
      </c>
      <c r="B502" s="75" t="s">
        <v>1134</v>
      </c>
      <c r="C502" s="67" t="str">
        <f>IFERROR(__xludf.DUMMYFUNCTION("""COMPUTED_VALUE"""),"LD153")</f>
        <v>LD153</v>
      </c>
      <c r="D502" s="55" t="s">
        <v>42</v>
      </c>
      <c r="E502" s="55" t="s">
        <v>79</v>
      </c>
      <c r="F502" s="55" t="s">
        <v>625</v>
      </c>
      <c r="G502" s="55">
        <v>1840.0</v>
      </c>
      <c r="H502" s="55" t="s">
        <v>1137</v>
      </c>
      <c r="I502" s="115" t="s">
        <v>4892</v>
      </c>
      <c r="J502" s="55" t="s">
        <v>4893</v>
      </c>
      <c r="K502" s="55" t="s">
        <v>61</v>
      </c>
      <c r="L502" s="55">
        <v>95360.0</v>
      </c>
      <c r="M502" s="55" t="s">
        <v>78</v>
      </c>
      <c r="N502" s="55" t="s">
        <v>79</v>
      </c>
      <c r="O502" s="55" t="s">
        <v>224</v>
      </c>
      <c r="P502" s="55" t="s">
        <v>110</v>
      </c>
      <c r="Q502" s="67" t="str">
        <f>IFERROR(__xludf.DUMMYFUNCTION("""COMPUTED_VALUE"""),"KoreaSouth.giaotiep.anhnote_95360_MES_NamNH_060524")</f>
        <v>KoreaSouth.giaotiep.anhnote_95360_MES_NamNH_060524</v>
      </c>
      <c r="R502" s="67" t="str">
        <f>IFERROR(__xludf.DUMMYFUNCTION("""COMPUTED_VALUE"""),"NEW_KoreaSouth_1840_none_060524")</f>
        <v>NEW_KoreaSouth_1840_none_060524</v>
      </c>
      <c r="S502" s="67" t="str">
        <f>IFERROR(__xludf.DUMMYFUNCTION("""COMPUTED_VALUE"""),"saletructiep_KoreaSouth.anhnote.1840.giaotiep_PTATT_LD153")</f>
        <v>saletructiep_KoreaSouth.anhnote.1840.giaotiep_PTATT_LD153</v>
      </c>
      <c r="T502" s="107" t="str">
        <f>IFERROR(__xludf.DUMMYFUNCTION("""COMPUTED_VALUE"""),"https://patadovietnam.edu.vn/tienganhgiaotiep_hn/?utm_source=Facebook&amp;utm_medium=MES&amp;utm_term=NEW_KoreaSouth_1840_none_060524&amp;utm_content=saletructiep_KoreaSouth.anhnote.1840.giaotiep_PTATT_LD153&amp;utm_campaign=KoreaSouth.giaotiep.anhnote_95360_MES_NamNH_06"&amp;"0524")</f>
        <v>https://patadovietnam.edu.vn/tienganhgiaotiep_hn/?utm_source=Facebook&amp;utm_medium=MES&amp;utm_term=NEW_KoreaSouth_1840_none_060524&amp;utm_content=saletructiep_KoreaSouth.anhnote.1840.giaotiep_PTATT_LD153&amp;utm_campaign=KoreaSouth.giaotiep.anhnote_95360_MES_NamNH_060524</v>
      </c>
      <c r="U502" s="110" t="s">
        <v>4898</v>
      </c>
    </row>
    <row r="503">
      <c r="A503" s="72">
        <v>45418.0</v>
      </c>
      <c r="B503" s="75" t="s">
        <v>1134</v>
      </c>
      <c r="C503" s="67" t="str">
        <f>IFERROR(__xludf.DUMMYFUNCTION("""COMPUTED_VALUE"""),"LD153")</f>
        <v>LD153</v>
      </c>
      <c r="D503" s="55" t="s">
        <v>42</v>
      </c>
      <c r="E503" s="55" t="s">
        <v>79</v>
      </c>
      <c r="F503" s="55" t="s">
        <v>625</v>
      </c>
      <c r="G503" s="55">
        <v>1840.0</v>
      </c>
      <c r="H503" s="55" t="s">
        <v>1137</v>
      </c>
      <c r="I503" s="115" t="s">
        <v>4901</v>
      </c>
      <c r="J503" s="55" t="s">
        <v>4902</v>
      </c>
      <c r="K503" s="55" t="s">
        <v>61</v>
      </c>
      <c r="L503" s="55">
        <v>95360.0</v>
      </c>
      <c r="M503" s="55" t="s">
        <v>78</v>
      </c>
      <c r="N503" s="55" t="s">
        <v>79</v>
      </c>
      <c r="O503" s="55" t="s">
        <v>224</v>
      </c>
      <c r="P503" s="55" t="s">
        <v>110</v>
      </c>
      <c r="Q503" s="67" t="str">
        <f>IFERROR(__xludf.DUMMYFUNCTION("""COMPUTED_VALUE"""),"KoreaSouth.giaotiep.anhlt_95360_MES_NamNH_060524")</f>
        <v>KoreaSouth.giaotiep.anhlt_95360_MES_NamNH_060524</v>
      </c>
      <c r="R503" s="67" t="str">
        <f>IFERROR(__xludf.DUMMYFUNCTION("""COMPUTED_VALUE"""),"NEW_KoreaSouth_1840_none_060524")</f>
        <v>NEW_KoreaSouth_1840_none_060524</v>
      </c>
      <c r="S503" s="67" t="str">
        <f>IFERROR(__xludf.DUMMYFUNCTION("""COMPUTED_VALUE"""),"saletructiep_KoreaSouth.anhlt.1840.giaotiep_PTATT_LD153")</f>
        <v>saletructiep_KoreaSouth.anhlt.1840.giaotiep_PTATT_LD153</v>
      </c>
      <c r="T503" s="107" t="str">
        <f>IFERROR(__xludf.DUMMYFUNCTION("""COMPUTED_VALUE"""),"https://patadovietnam.edu.vn/tienganhgiaotiep_hn/?utm_source=Facebook&amp;utm_medium=MES&amp;utm_term=NEW_KoreaSouth_1840_none_060524&amp;utm_content=saletructiep_KoreaSouth.anhlt.1840.giaotiep_PTATT_LD153&amp;utm_campaign=KoreaSouth.giaotiep.anhlt_95360_MES_NamNH_060524")</f>
        <v>https://patadovietnam.edu.vn/tienganhgiaotiep_hn/?utm_source=Facebook&amp;utm_medium=MES&amp;utm_term=NEW_KoreaSouth_1840_none_060524&amp;utm_content=saletructiep_KoreaSouth.anhlt.1840.giaotiep_PTATT_LD153&amp;utm_campaign=KoreaSouth.giaotiep.anhlt_95360_MES_NamNH_060524</v>
      </c>
      <c r="U503" s="110" t="s">
        <v>4908</v>
      </c>
    </row>
    <row r="504">
      <c r="A504" s="72">
        <v>45418.0</v>
      </c>
      <c r="B504" s="75" t="s">
        <v>1134</v>
      </c>
      <c r="C504" s="67" t="str">
        <f>IFERROR(__xludf.DUMMYFUNCTION("""COMPUTED_VALUE"""),"LD153")</f>
        <v>LD153</v>
      </c>
      <c r="D504" s="55" t="s">
        <v>42</v>
      </c>
      <c r="E504" s="55" t="s">
        <v>79</v>
      </c>
      <c r="F504" s="55" t="s">
        <v>164</v>
      </c>
      <c r="G504" s="55">
        <v>1840.0</v>
      </c>
      <c r="H504" s="55" t="s">
        <v>1137</v>
      </c>
      <c r="I504" s="115" t="s">
        <v>4911</v>
      </c>
      <c r="J504" s="55" t="s">
        <v>4912</v>
      </c>
      <c r="K504" s="55" t="s">
        <v>61</v>
      </c>
      <c r="L504" s="55">
        <v>95360.0</v>
      </c>
      <c r="M504" s="55" t="s">
        <v>78</v>
      </c>
      <c r="N504" s="55" t="s">
        <v>79</v>
      </c>
      <c r="O504" s="55" t="s">
        <v>224</v>
      </c>
      <c r="P504" s="55" t="s">
        <v>110</v>
      </c>
      <c r="Q504" s="67" t="str">
        <f>IFERROR(__xludf.DUMMYFUNCTION("""COMPUTED_VALUE"""),"Taiwan.giaotiep.anhtblh_95360_MES_NamNH_060524")</f>
        <v>Taiwan.giaotiep.anhtblh_95360_MES_NamNH_060524</v>
      </c>
      <c r="R504" s="67" t="str">
        <f>IFERROR(__xludf.DUMMYFUNCTION("""COMPUTED_VALUE"""),"NEW_Taiwan_1840_none_060524")</f>
        <v>NEW_Taiwan_1840_none_060524</v>
      </c>
      <c r="S504" s="67" t="str">
        <f>IFERROR(__xludf.DUMMYFUNCTION("""COMPUTED_VALUE"""),"saletructiep_Taiwan.anhtblh.1840.giaotiep_PTATT_LD153")</f>
        <v>saletructiep_Taiwan.anhtblh.1840.giaotiep_PTATT_LD153</v>
      </c>
      <c r="T504" s="107" t="str">
        <f>IFERROR(__xludf.DUMMYFUNCTION("""COMPUTED_VALUE"""),"https://patadovietnam.edu.vn/tienganhgiaotiep_hn/?utm_source=Facebook&amp;utm_medium=MES&amp;utm_term=NEW_Taiwan_1840_none_060524&amp;utm_content=saletructiep_Taiwan.anhtblh.1840.giaotiep_PTATT_LD153&amp;utm_campaign=Taiwan.giaotiep.anhtblh_95360_MES_NamNH_060524")</f>
        <v>https://patadovietnam.edu.vn/tienganhgiaotiep_hn/?utm_source=Facebook&amp;utm_medium=MES&amp;utm_term=NEW_Taiwan_1840_none_060524&amp;utm_content=saletructiep_Taiwan.anhtblh.1840.giaotiep_PTATT_LD153&amp;utm_campaign=Taiwan.giaotiep.anhtblh_95360_MES_NamNH_060524</v>
      </c>
      <c r="U504" s="110" t="s">
        <v>4917</v>
      </c>
    </row>
    <row r="505">
      <c r="A505" s="72">
        <v>45418.0</v>
      </c>
      <c r="B505" s="75" t="s">
        <v>1134</v>
      </c>
      <c r="C505" s="67" t="str">
        <f>IFERROR(__xludf.DUMMYFUNCTION("""COMPUTED_VALUE"""),"LD153")</f>
        <v>LD153</v>
      </c>
      <c r="D505" s="55" t="s">
        <v>42</v>
      </c>
      <c r="E505" s="55" t="s">
        <v>79</v>
      </c>
      <c r="F505" s="55" t="s">
        <v>129</v>
      </c>
      <c r="G505" s="55">
        <v>1840.0</v>
      </c>
      <c r="H505" s="55" t="s">
        <v>1137</v>
      </c>
      <c r="I505" s="115" t="s">
        <v>4920</v>
      </c>
      <c r="J505" s="55" t="s">
        <v>4921</v>
      </c>
      <c r="K505" s="55" t="s">
        <v>61</v>
      </c>
      <c r="L505" s="55">
        <v>95360.0</v>
      </c>
      <c r="M505" s="55" t="s">
        <v>78</v>
      </c>
      <c r="N505" s="55" t="s">
        <v>79</v>
      </c>
      <c r="O505" s="55" t="s">
        <v>224</v>
      </c>
      <c r="P505" s="55" t="s">
        <v>110</v>
      </c>
      <c r="Q505" s="67" t="str">
        <f>IFERROR(__xludf.DUMMYFUNCTION("""COMPUTED_VALUE"""),"Australia.giaotiep.anhnote_95360_MES_NamNH_060524")</f>
        <v>Australia.giaotiep.anhnote_95360_MES_NamNH_060524</v>
      </c>
      <c r="R505" s="67" t="str">
        <f>IFERROR(__xludf.DUMMYFUNCTION("""COMPUTED_VALUE"""),"NEW_Australia_1840_none_060524")</f>
        <v>NEW_Australia_1840_none_060524</v>
      </c>
      <c r="S505" s="67" t="str">
        <f>IFERROR(__xludf.DUMMYFUNCTION("""COMPUTED_VALUE"""),"saletructiep_Australia.anhnote.1840.giaotiep_PTATT_LD153")</f>
        <v>saletructiep_Australia.anhnote.1840.giaotiep_PTATT_LD153</v>
      </c>
      <c r="T505" s="107" t="str">
        <f>IFERROR(__xludf.DUMMYFUNCTION("""COMPUTED_VALUE"""),"https://patadovietnam.edu.vn/tienganhgiaotiep_hn/?utm_source=Facebook&amp;utm_medium=MES&amp;utm_term=NEW_Australia_1840_none_060524&amp;utm_content=saletructiep_Australia.anhnote.1840.giaotiep_PTATT_LD153&amp;utm_campaign=Australia.giaotiep.anhnote_95360_MES_NamNH_06052"&amp;"4")</f>
        <v>https://patadovietnam.edu.vn/tienganhgiaotiep_hn/?utm_source=Facebook&amp;utm_medium=MES&amp;utm_term=NEW_Australia_1840_none_060524&amp;utm_content=saletructiep_Australia.anhnote.1840.giaotiep_PTATT_LD153&amp;utm_campaign=Australia.giaotiep.anhnote_95360_MES_NamNH_060524</v>
      </c>
      <c r="U505" s="110" t="s">
        <v>4928</v>
      </c>
    </row>
    <row r="506">
      <c r="A506" s="72">
        <v>45418.0</v>
      </c>
      <c r="B506" s="60" t="s">
        <v>1134</v>
      </c>
      <c r="C506" s="67" t="str">
        <f>IFERROR(__xludf.DUMMYFUNCTION("""COMPUTED_VALUE"""),"LD153")</f>
        <v>LD153</v>
      </c>
      <c r="D506" s="55" t="s">
        <v>42</v>
      </c>
      <c r="E506" s="55" t="s">
        <v>79</v>
      </c>
      <c r="F506" s="55" t="s">
        <v>174</v>
      </c>
      <c r="G506" s="55">
        <v>1840.0</v>
      </c>
      <c r="H506" s="55" t="s">
        <v>1137</v>
      </c>
      <c r="I506" s="115" t="s">
        <v>1959</v>
      </c>
      <c r="J506" s="55" t="s">
        <v>4931</v>
      </c>
      <c r="K506" s="55" t="s">
        <v>61</v>
      </c>
      <c r="L506" s="55">
        <v>95360.0</v>
      </c>
      <c r="M506" s="55" t="s">
        <v>78</v>
      </c>
      <c r="N506" s="55" t="s">
        <v>79</v>
      </c>
      <c r="O506" s="55" t="s">
        <v>224</v>
      </c>
      <c r="P506" s="55" t="s">
        <v>110</v>
      </c>
      <c r="Q506" s="67" t="str">
        <f>IFERROR(__xludf.DUMMYFUNCTION("""COMPUTED_VALUE"""),"Philippines.giaotiep.anhnote_95360_MES_NamNH_060524")</f>
        <v>Philippines.giaotiep.anhnote_95360_MES_NamNH_060524</v>
      </c>
      <c r="R506" s="67" t="str">
        <f>IFERROR(__xludf.DUMMYFUNCTION("""COMPUTED_VALUE"""),"NEW_Philippines_1840_none_060524")</f>
        <v>NEW_Philippines_1840_none_060524</v>
      </c>
      <c r="S506" s="67" t="str">
        <f>IFERROR(__xludf.DUMMYFUNCTION("""COMPUTED_VALUE"""),"saletructiep_Philippines.anhnote.1840.giaotiep_PTATT_LD153")</f>
        <v>saletructiep_Philippines.anhnote.1840.giaotiep_PTATT_LD153</v>
      </c>
      <c r="T506" s="107" t="str">
        <f>IFERROR(__xludf.DUMMYFUNCTION("""COMPUTED_VALUE"""),"https://patadovietnam.edu.vn/tienganhgiaotiep_hn/?utm_source=Facebook&amp;utm_medium=MES&amp;utm_term=NEW_Philippines_1840_none_060524&amp;utm_content=saletructiep_Philippines.anhnote.1840.giaotiep_PTATT_LD153&amp;utm_campaign=Philippines.giaotiep.anhnote_95360_MES_NamNH"&amp;"_060524")</f>
        <v>https://patadovietnam.edu.vn/tienganhgiaotiep_hn/?utm_source=Facebook&amp;utm_medium=MES&amp;utm_term=NEW_Philippines_1840_none_060524&amp;utm_content=saletructiep_Philippines.anhnote.1840.giaotiep_PTATT_LD153&amp;utm_campaign=Philippines.giaotiep.anhnote_95360_MES_NamNH_060524</v>
      </c>
      <c r="U506" s="110" t="s">
        <v>4938</v>
      </c>
    </row>
    <row r="507">
      <c r="A507" s="72">
        <v>45418.0</v>
      </c>
      <c r="B507" s="75" t="s">
        <v>1134</v>
      </c>
      <c r="C507" s="67" t="str">
        <f>IFERROR(__xludf.DUMMYFUNCTION("""COMPUTED_VALUE"""),"LD153")</f>
        <v>LD153</v>
      </c>
      <c r="D507" s="55" t="s">
        <v>42</v>
      </c>
      <c r="E507" s="55" t="s">
        <v>79</v>
      </c>
      <c r="F507" s="55" t="s">
        <v>174</v>
      </c>
      <c r="G507" s="55">
        <v>1840.0</v>
      </c>
      <c r="H507" s="55" t="s">
        <v>1137</v>
      </c>
      <c r="I507" s="115" t="s">
        <v>3182</v>
      </c>
      <c r="J507" s="55" t="s">
        <v>3183</v>
      </c>
      <c r="K507" s="55" t="s">
        <v>61</v>
      </c>
      <c r="L507" s="55">
        <v>95360.0</v>
      </c>
      <c r="M507" s="55" t="s">
        <v>78</v>
      </c>
      <c r="N507" s="55" t="s">
        <v>79</v>
      </c>
      <c r="O507" s="55" t="s">
        <v>224</v>
      </c>
      <c r="P507" s="55" t="s">
        <v>110</v>
      </c>
      <c r="Q507" s="67" t="str">
        <f>IFERROR(__xludf.DUMMYFUNCTION("""COMPUTED_VALUE"""),"Philippines.giaotiep.ndlchn_95360_MES_NamNH_060524")</f>
        <v>Philippines.giaotiep.ndlchn_95360_MES_NamNH_060524</v>
      </c>
      <c r="R507" s="67" t="str">
        <f>IFERROR(__xludf.DUMMYFUNCTION("""COMPUTED_VALUE"""),"NEW_Philippines_1840_none_060524")</f>
        <v>NEW_Philippines_1840_none_060524</v>
      </c>
      <c r="S507" s="67" t="str">
        <f>IFERROR(__xludf.DUMMYFUNCTION("""COMPUTED_VALUE"""),"saletructiep_Philippines.ndlchn.1840.giaotiep_PTATT_LD153")</f>
        <v>saletructiep_Philippines.ndlchn.1840.giaotiep_PTATT_LD153</v>
      </c>
      <c r="T507" s="107" t="str">
        <f>IFERROR(__xludf.DUMMYFUNCTION("""COMPUTED_VALUE"""),"https://patadovietnam.edu.vn/tienganhgiaotiep_hn/?utm_source=Facebook&amp;utm_medium=MES&amp;utm_term=NEW_Philippines_1840_none_060524&amp;utm_content=saletructiep_Philippines.ndlchn.1840.giaotiep_PTATT_LD153&amp;utm_campaign=Philippines.giaotiep.ndlchn_95360_MES_NamNH_0"&amp;"60524")</f>
        <v>https://patadovietnam.edu.vn/tienganhgiaotiep_hn/?utm_source=Facebook&amp;utm_medium=MES&amp;utm_term=NEW_Philippines_1840_none_060524&amp;utm_content=saletructiep_Philippines.ndlchn.1840.giaotiep_PTATT_LD153&amp;utm_campaign=Philippines.giaotiep.ndlchn_95360_MES_NamNH_060524</v>
      </c>
      <c r="U507" s="110" t="s">
        <v>4943</v>
      </c>
    </row>
    <row r="508">
      <c r="A508" s="72">
        <v>45418.0</v>
      </c>
      <c r="B508" s="75" t="s">
        <v>1245</v>
      </c>
      <c r="C508" s="67" t="str">
        <f>IFERROR(__xludf.DUMMYFUNCTION("""COMPUTED_VALUE"""),"LD161")</f>
        <v>LD161</v>
      </c>
      <c r="D508" s="55" t="s">
        <v>42</v>
      </c>
      <c r="E508" s="55" t="s">
        <v>79</v>
      </c>
      <c r="F508" s="55" t="s">
        <v>107</v>
      </c>
      <c r="G508" s="55">
        <v>1840.0</v>
      </c>
      <c r="H508" s="55" t="s">
        <v>1137</v>
      </c>
      <c r="I508" s="115" t="s">
        <v>4946</v>
      </c>
      <c r="J508" s="55" t="s">
        <v>4947</v>
      </c>
      <c r="K508" s="55" t="s">
        <v>61</v>
      </c>
      <c r="L508" s="55">
        <v>16917.0</v>
      </c>
      <c r="M508" s="55" t="s">
        <v>78</v>
      </c>
      <c r="N508" s="55" t="s">
        <v>79</v>
      </c>
      <c r="O508" s="55" t="s">
        <v>224</v>
      </c>
      <c r="P508" s="55" t="s">
        <v>110</v>
      </c>
      <c r="Q508" s="67" t="str">
        <f>IFERROR(__xludf.DUMMYFUNCTION("""COMPUTED_VALUE"""),"UnitedStates.giaotiep.M230C90_16917_MES_NamNH_060524")</f>
        <v>UnitedStates.giaotiep.M230C90_16917_MES_NamNH_060524</v>
      </c>
      <c r="R508" s="67" t="str">
        <f>IFERROR(__xludf.DUMMYFUNCTION("""COMPUTED_VALUE"""),"NEW_UnitedStates_1840_none_060524")</f>
        <v>NEW_UnitedStates_1840_none_060524</v>
      </c>
      <c r="S508" s="67" t="str">
        <f>IFERROR(__xludf.DUMMYFUNCTION("""COMPUTED_VALUE"""),"saletructiep_UnitedStates.M230C90.1840.giaotiep_PTATT_LD161")</f>
        <v>saletructiep_UnitedStates.M230C90.1840.giaotiep_PTATT_LD161</v>
      </c>
      <c r="T508" s="107" t="str">
        <f>IFERROR(__xludf.DUMMYFUNCTION("""COMPUTED_VALUE"""),"https://patadovietnam.edu.vn/gtusa1_nhn/?utm_source=Facebook&amp;utm_medium=MES&amp;utm_term=NEW_UnitedStates_1840_none_060524&amp;utm_content=saletructiep_UnitedStates.M230C90.1840.giaotiep_PTATT_LD161&amp;utm_campaign=UnitedStates.giaotiep.M230C90_16917_MES_NamNH_06052"&amp;"4")</f>
        <v>https://patadovietnam.edu.vn/gtusa1_nhn/?utm_source=Facebook&amp;utm_medium=MES&amp;utm_term=NEW_UnitedStates_1840_none_060524&amp;utm_content=saletructiep_UnitedStates.M230C90.1840.giaotiep_PTATT_LD161&amp;utm_campaign=UnitedStates.giaotiep.M230C90_16917_MES_NamNH_060524</v>
      </c>
      <c r="U508" s="110" t="s">
        <v>4950</v>
      </c>
    </row>
    <row r="509">
      <c r="A509" s="72">
        <v>45418.0</v>
      </c>
      <c r="B509" s="75" t="s">
        <v>1134</v>
      </c>
      <c r="C509" s="67" t="str">
        <f>IFERROR(__xludf.DUMMYFUNCTION("""COMPUTED_VALUE"""),"LD153")</f>
        <v>LD153</v>
      </c>
      <c r="D509" s="55" t="s">
        <v>42</v>
      </c>
      <c r="E509" s="55" t="s">
        <v>79</v>
      </c>
      <c r="F509" s="55" t="s">
        <v>164</v>
      </c>
      <c r="G509" s="55">
        <v>1840.0</v>
      </c>
      <c r="H509" s="55" t="s">
        <v>1137</v>
      </c>
      <c r="I509" s="115" t="s">
        <v>4955</v>
      </c>
      <c r="J509" s="55" t="s">
        <v>4956</v>
      </c>
      <c r="K509" s="55" t="s">
        <v>61</v>
      </c>
      <c r="L509" s="55">
        <v>95360.0</v>
      </c>
      <c r="M509" s="55" t="s">
        <v>78</v>
      </c>
      <c r="N509" s="55" t="s">
        <v>79</v>
      </c>
      <c r="O509" s="55" t="s">
        <v>224</v>
      </c>
      <c r="P509" s="55" t="s">
        <v>110</v>
      </c>
      <c r="Q509" s="67" t="str">
        <f>IFERROR(__xludf.DUMMYFUNCTION("""COMPUTED_VALUE"""),"Taiwan.giaotiep.M230C90_95360_MES_NamNH_060524")</f>
        <v>Taiwan.giaotiep.M230C90_95360_MES_NamNH_060524</v>
      </c>
      <c r="R509" s="67" t="str">
        <f>IFERROR(__xludf.DUMMYFUNCTION("""COMPUTED_VALUE"""),"NEW_Taiwan_1840_none_060524")</f>
        <v>NEW_Taiwan_1840_none_060524</v>
      </c>
      <c r="S509" s="67" t="str">
        <f>IFERROR(__xludf.DUMMYFUNCTION("""COMPUTED_VALUE"""),"saletructiep_Taiwan.M230C90.1840.giaotiep_PTATT_LD153")</f>
        <v>saletructiep_Taiwan.M230C90.1840.giaotiep_PTATT_LD153</v>
      </c>
      <c r="T509" s="107" t="str">
        <f>IFERROR(__xludf.DUMMYFUNCTION("""COMPUTED_VALUE"""),"https://patadovietnam.edu.vn/tienganhgiaotiep_hn/?utm_source=Facebook&amp;utm_medium=MES&amp;utm_term=NEW_Taiwan_1840_none_060524&amp;utm_content=saletructiep_Taiwan.M230C90.1840.giaotiep_PTATT_LD153&amp;utm_campaign=Taiwan.giaotiep.M230C90_95360_MES_NamNH_060524")</f>
        <v>https://patadovietnam.edu.vn/tienganhgiaotiep_hn/?utm_source=Facebook&amp;utm_medium=MES&amp;utm_term=NEW_Taiwan_1840_none_060524&amp;utm_content=saletructiep_Taiwan.M230C90.1840.giaotiep_PTATT_LD153&amp;utm_campaign=Taiwan.giaotiep.M230C90_95360_MES_NamNH_060524</v>
      </c>
      <c r="U509" s="110" t="s">
        <v>4958</v>
      </c>
    </row>
    <row r="510">
      <c r="A510" s="72">
        <v>45418.0</v>
      </c>
      <c r="B510" s="75" t="s">
        <v>1229</v>
      </c>
      <c r="C510" s="67" t="str">
        <f>IFERROR(__xludf.DUMMYFUNCTION("""COMPUTED_VALUE"""),"LD164")</f>
        <v>LD164</v>
      </c>
      <c r="D510" s="55" t="s">
        <v>42</v>
      </c>
      <c r="E510" s="55" t="s">
        <v>69</v>
      </c>
      <c r="F510" s="55" t="s">
        <v>133</v>
      </c>
      <c r="G510" s="55">
        <v>1840.0</v>
      </c>
      <c r="H510" s="55" t="s">
        <v>1137</v>
      </c>
      <c r="I510" s="115" t="s">
        <v>4961</v>
      </c>
      <c r="J510" s="55" t="s">
        <v>4962</v>
      </c>
      <c r="K510" s="55" t="s">
        <v>61</v>
      </c>
      <c r="L510" s="55">
        <v>16917.0</v>
      </c>
      <c r="M510" s="55" t="s">
        <v>78</v>
      </c>
      <c r="N510" s="55" t="s">
        <v>69</v>
      </c>
      <c r="O510" s="55" t="s">
        <v>224</v>
      </c>
      <c r="P510" s="55" t="s">
        <v>110</v>
      </c>
      <c r="Q510" s="67" t="str">
        <f>IFERROR(__xludf.DUMMYFUNCTION("""COMPUTED_VALUE"""),"Japan.giaotiep.M230C91_16917_CVS_NamNH_060524")</f>
        <v>Japan.giaotiep.M230C91_16917_CVS_NamNH_060524</v>
      </c>
      <c r="R510" s="67" t="str">
        <f>IFERROR(__xludf.DUMMYFUNCTION("""COMPUTED_VALUE"""),"NEW_Japan_1840_none_060524")</f>
        <v>NEW_Japan_1840_none_060524</v>
      </c>
      <c r="S510" s="67" t="str">
        <f>IFERROR(__xludf.DUMMYFUNCTION("""COMPUTED_VALUE"""),"saletructiep_Japan.M230C91.1840.giaotiep_PTATT_LD164")</f>
        <v>saletructiep_Japan.M230C91.1840.giaotiep_PTATT_LD164</v>
      </c>
      <c r="T510" s="107" t="str">
        <f>IFERROR(__xludf.DUMMYFUNCTION("""COMPUTED_VALUE"""),"https://patadovietnam.edu.vn/gtjapan_nhn3/?utm_source=Facebook&amp;utm_medium=CVS&amp;utm_term=NEW_Japan_1840_none_060524&amp;utm_content=saletructiep_Japan.M230C91.1840.giaotiep_PTATT_LD164&amp;utm_campaign=Japan.giaotiep.M230C91_16917_CVS_NamNH_060524")</f>
        <v>https://patadovietnam.edu.vn/gtjapan_nhn3/?utm_source=Facebook&amp;utm_medium=CVS&amp;utm_term=NEW_Japan_1840_none_060524&amp;utm_content=saletructiep_Japan.M230C91.1840.giaotiep_PTATT_LD164&amp;utm_campaign=Japan.giaotiep.M230C91_16917_CVS_NamNH_060524</v>
      </c>
      <c r="U510" s="110" t="s">
        <v>4967</v>
      </c>
    </row>
    <row r="511">
      <c r="A511" s="72">
        <v>45418.0</v>
      </c>
      <c r="B511" s="75" t="s">
        <v>1134</v>
      </c>
      <c r="C511" s="67" t="str">
        <f>IFERROR(__xludf.DUMMYFUNCTION("""COMPUTED_VALUE"""),"LD153")</f>
        <v>LD153</v>
      </c>
      <c r="D511" s="55" t="s">
        <v>42</v>
      </c>
      <c r="E511" s="55" t="s">
        <v>69</v>
      </c>
      <c r="F511" s="55" t="s">
        <v>674</v>
      </c>
      <c r="G511" s="55">
        <v>1840.0</v>
      </c>
      <c r="H511" s="55" t="s">
        <v>1137</v>
      </c>
      <c r="I511" s="115" t="s">
        <v>4970</v>
      </c>
      <c r="J511" s="55" t="s">
        <v>4971</v>
      </c>
      <c r="K511" s="55" t="s">
        <v>61</v>
      </c>
      <c r="L511" s="55">
        <v>16917.0</v>
      </c>
      <c r="M511" s="55" t="s">
        <v>78</v>
      </c>
      <c r="N511" s="55" t="s">
        <v>69</v>
      </c>
      <c r="O511" s="55" t="s">
        <v>224</v>
      </c>
      <c r="P511" s="55" t="s">
        <v>110</v>
      </c>
      <c r="Q511" s="67" t="str">
        <f>IFERROR(__xludf.DUMMYFUNCTION("""COMPUTED_VALUE"""),"Europe.giaotiep.M230C90_16917_CVS_NamNH_060524")</f>
        <v>Europe.giaotiep.M230C90_16917_CVS_NamNH_060524</v>
      </c>
      <c r="R511" s="67" t="str">
        <f>IFERROR(__xludf.DUMMYFUNCTION("""COMPUTED_VALUE"""),"NEW_Europe_1840_none_060524")</f>
        <v>NEW_Europe_1840_none_060524</v>
      </c>
      <c r="S511" s="67" t="str">
        <f>IFERROR(__xludf.DUMMYFUNCTION("""COMPUTED_VALUE"""),"saletructiep_Europe.M230C90.1840.giaotiep_PTATT_LD153")</f>
        <v>saletructiep_Europe.M230C90.1840.giaotiep_PTATT_LD153</v>
      </c>
      <c r="T511" s="107" t="str">
        <f>IFERROR(__xludf.DUMMYFUNCTION("""COMPUTED_VALUE"""),"https://patadovietnam.edu.vn/tienganhgiaotiep_hn/?utm_source=Facebook&amp;utm_medium=CVS&amp;utm_term=NEW_Europe_1840_none_060524&amp;utm_content=saletructiep_Europe.M230C90.1840.giaotiep_PTATT_LD153&amp;utm_campaign=Europe.giaotiep.M230C90_16917_CVS_NamNH_060524")</f>
        <v>https://patadovietnam.edu.vn/tienganhgiaotiep_hn/?utm_source=Facebook&amp;utm_medium=CVS&amp;utm_term=NEW_Europe_1840_none_060524&amp;utm_content=saletructiep_Europe.M230C90.1840.giaotiep_PTATT_LD153&amp;utm_campaign=Europe.giaotiep.M230C90_16917_CVS_NamNH_060524</v>
      </c>
      <c r="U511" s="110" t="s">
        <v>4978</v>
      </c>
    </row>
    <row r="512">
      <c r="A512" s="72">
        <v>45418.0</v>
      </c>
      <c r="B512" s="75" t="s">
        <v>1134</v>
      </c>
      <c r="C512" s="67" t="str">
        <f>IFERROR(__xludf.DUMMYFUNCTION("""COMPUTED_VALUE"""),"LD153")</f>
        <v>LD153</v>
      </c>
      <c r="D512" s="55" t="s">
        <v>42</v>
      </c>
      <c r="E512" s="55" t="s">
        <v>69</v>
      </c>
      <c r="F512" s="55" t="s">
        <v>674</v>
      </c>
      <c r="G512" s="55">
        <v>1840.0</v>
      </c>
      <c r="H512" s="55" t="s">
        <v>1137</v>
      </c>
      <c r="I512" s="115" t="s">
        <v>4981</v>
      </c>
      <c r="J512" s="55" t="s">
        <v>4982</v>
      </c>
      <c r="K512" s="55" t="s">
        <v>61</v>
      </c>
      <c r="L512" s="55">
        <v>16917.0</v>
      </c>
      <c r="M512" s="55" t="s">
        <v>78</v>
      </c>
      <c r="N512" s="55" t="s">
        <v>69</v>
      </c>
      <c r="O512" s="55" t="s">
        <v>224</v>
      </c>
      <c r="P512" s="55" t="s">
        <v>110</v>
      </c>
      <c r="Q512" s="67" t="str">
        <f>IFERROR(__xludf.DUMMYFUNCTION("""COMPUTED_VALUE"""),"Europe.giaotiep.M231C90_16917_CVS_NamNH_060524")</f>
        <v>Europe.giaotiep.M231C90_16917_CVS_NamNH_060524</v>
      </c>
      <c r="R512" s="67" t="str">
        <f>IFERROR(__xludf.DUMMYFUNCTION("""COMPUTED_VALUE"""),"NEW_Europe_1840_none_060524")</f>
        <v>NEW_Europe_1840_none_060524</v>
      </c>
      <c r="S512" s="67" t="str">
        <f>IFERROR(__xludf.DUMMYFUNCTION("""COMPUTED_VALUE"""),"saletructiep_Europe.M231C90.1840.giaotiep_PTATT_LD153")</f>
        <v>saletructiep_Europe.M231C90.1840.giaotiep_PTATT_LD153</v>
      </c>
      <c r="T512" s="107" t="str">
        <f>IFERROR(__xludf.DUMMYFUNCTION("""COMPUTED_VALUE"""),"https://patadovietnam.edu.vn/tienganhgiaotiep_hn/?utm_source=Facebook&amp;utm_medium=CVS&amp;utm_term=NEW_Europe_1840_none_060524&amp;utm_content=saletructiep_Europe.M231C90.1840.giaotiep_PTATT_LD153&amp;utm_campaign=Europe.giaotiep.M231C90_16917_CVS_NamNH_060524")</f>
        <v>https://patadovietnam.edu.vn/tienganhgiaotiep_hn/?utm_source=Facebook&amp;utm_medium=CVS&amp;utm_term=NEW_Europe_1840_none_060524&amp;utm_content=saletructiep_Europe.M231C90.1840.giaotiep_PTATT_LD153&amp;utm_campaign=Europe.giaotiep.M231C90_16917_CVS_NamNH_060524</v>
      </c>
      <c r="U512" s="110" t="s">
        <v>4989</v>
      </c>
    </row>
    <row r="513">
      <c r="A513" s="72">
        <v>45424.0</v>
      </c>
      <c r="B513" s="75" t="s">
        <v>1245</v>
      </c>
      <c r="C513" s="67" t="str">
        <f>IFERROR(__xludf.DUMMYFUNCTION("""COMPUTED_VALUE"""),"LD161")</f>
        <v>LD161</v>
      </c>
      <c r="D513" s="55" t="s">
        <v>42</v>
      </c>
      <c r="E513" s="55" t="s">
        <v>79</v>
      </c>
      <c r="F513" s="55" t="s">
        <v>107</v>
      </c>
      <c r="G513" s="55">
        <v>1840.0</v>
      </c>
      <c r="H513" s="55" t="s">
        <v>1137</v>
      </c>
      <c r="I513" s="115" t="s">
        <v>4991</v>
      </c>
      <c r="J513" s="55" t="s">
        <v>4994</v>
      </c>
      <c r="K513" s="55" t="s">
        <v>61</v>
      </c>
      <c r="L513" s="55">
        <v>16917.0</v>
      </c>
      <c r="M513" s="55" t="s">
        <v>78</v>
      </c>
      <c r="N513" s="55" t="s">
        <v>79</v>
      </c>
      <c r="O513" s="55" t="s">
        <v>224</v>
      </c>
      <c r="P513" s="55" t="s">
        <v>110</v>
      </c>
      <c r="Q513" s="67" t="str">
        <f>IFERROR(__xludf.DUMMYFUNCTION("""COMPUTED_VALUE"""),"UnitedStates.giaotiep.M231C90_16917_MES_NamNH_120524")</f>
        <v>UnitedStates.giaotiep.M231C90_16917_MES_NamNH_120524</v>
      </c>
      <c r="R513" s="67" t="str">
        <f>IFERROR(__xludf.DUMMYFUNCTION("""COMPUTED_VALUE"""),"NEW_UnitedStates_1840_none_120524")</f>
        <v>NEW_UnitedStates_1840_none_120524</v>
      </c>
      <c r="S513" s="67" t="str">
        <f>IFERROR(__xludf.DUMMYFUNCTION("""COMPUTED_VALUE"""),"saletructiep_UnitedStates.M231C90.1840.giaotiep_PTATT_LD161")</f>
        <v>saletructiep_UnitedStates.M231C90.1840.giaotiep_PTATT_LD161</v>
      </c>
      <c r="T513" s="107" t="str">
        <f>IFERROR(__xludf.DUMMYFUNCTION("""COMPUTED_VALUE"""),"https://patadovietnam.edu.vn/gtusa1_nhn/?utm_source=Facebook&amp;utm_medium=MES&amp;utm_term=NEW_UnitedStates_1840_none_120524&amp;utm_content=saletructiep_UnitedStates.M231C90.1840.giaotiep_PTATT_LD161&amp;utm_campaign=UnitedStates.giaotiep.M231C90_16917_MES_NamNH_12052"&amp;"4")</f>
        <v>https://patadovietnam.edu.vn/gtusa1_nhn/?utm_source=Facebook&amp;utm_medium=MES&amp;utm_term=NEW_UnitedStates_1840_none_120524&amp;utm_content=saletructiep_UnitedStates.M231C90.1840.giaotiep_PTATT_LD161&amp;utm_campaign=UnitedStates.giaotiep.M231C90_16917_MES_NamNH_120524</v>
      </c>
      <c r="U513" s="110" t="s">
        <v>5001</v>
      </c>
    </row>
    <row r="514">
      <c r="A514" s="72">
        <v>45424.0</v>
      </c>
      <c r="B514" s="75" t="s">
        <v>1134</v>
      </c>
      <c r="C514" s="67" t="str">
        <f>IFERROR(__xludf.DUMMYFUNCTION("""COMPUTED_VALUE"""),"LD153")</f>
        <v>LD153</v>
      </c>
      <c r="D514" s="55" t="s">
        <v>42</v>
      </c>
      <c r="E514" s="55" t="s">
        <v>79</v>
      </c>
      <c r="F514" s="55" t="s">
        <v>174</v>
      </c>
      <c r="G514" s="55">
        <v>1840.0</v>
      </c>
      <c r="H514" s="55" t="s">
        <v>1137</v>
      </c>
      <c r="I514" s="115" t="s">
        <v>5004</v>
      </c>
      <c r="J514" s="55" t="s">
        <v>5005</v>
      </c>
      <c r="K514" s="55" t="s">
        <v>61</v>
      </c>
      <c r="L514" s="55">
        <v>95360.0</v>
      </c>
      <c r="M514" s="55" t="s">
        <v>78</v>
      </c>
      <c r="N514" s="55" t="s">
        <v>79</v>
      </c>
      <c r="O514" s="55" t="s">
        <v>224</v>
      </c>
      <c r="P514" s="55" t="s">
        <v>110</v>
      </c>
      <c r="Q514" s="67" t="str">
        <f>IFERROR(__xludf.DUMMYFUNCTION("""COMPUTED_VALUE"""),"Philippines.giaotiep.M231C90_95360_MES_NamNH_120524")</f>
        <v>Philippines.giaotiep.M231C90_95360_MES_NamNH_120524</v>
      </c>
      <c r="R514" s="67" t="str">
        <f>IFERROR(__xludf.DUMMYFUNCTION("""COMPUTED_VALUE"""),"NEW_Philippines_1840_none_120524")</f>
        <v>NEW_Philippines_1840_none_120524</v>
      </c>
      <c r="S514" s="67" t="str">
        <f>IFERROR(__xludf.DUMMYFUNCTION("""COMPUTED_VALUE"""),"saletructiep_Philippines.M231C90.1840.giaotiep_PTATT_LD153")</f>
        <v>saletructiep_Philippines.M231C90.1840.giaotiep_PTATT_LD153</v>
      </c>
      <c r="T514" s="107" t="str">
        <f>IFERROR(__xludf.DUMMYFUNCTION("""COMPUTED_VALUE"""),"https://patadovietnam.edu.vn/tienganhgiaotiep_hn/?utm_source=Facebook&amp;utm_medium=MES&amp;utm_term=NEW_Philippines_1840_none_120524&amp;utm_content=saletructiep_Philippines.M231C90.1840.giaotiep_PTATT_LD153&amp;utm_campaign=Philippines.giaotiep.M231C90_95360_MES_NamNH"&amp;"_120524")</f>
        <v>https://patadovietnam.edu.vn/tienganhgiaotiep_hn/?utm_source=Facebook&amp;utm_medium=MES&amp;utm_term=NEW_Philippines_1840_none_120524&amp;utm_content=saletructiep_Philippines.M231C90.1840.giaotiep_PTATT_LD153&amp;utm_campaign=Philippines.giaotiep.M231C90_95360_MES_NamNH_120524</v>
      </c>
      <c r="U514" s="110" t="s">
        <v>5009</v>
      </c>
    </row>
    <row r="515">
      <c r="A515" s="72">
        <v>45424.0</v>
      </c>
      <c r="B515" s="75" t="s">
        <v>1134</v>
      </c>
      <c r="C515" s="67" t="str">
        <f>IFERROR(__xludf.DUMMYFUNCTION("""COMPUTED_VALUE"""),"LD153")</f>
        <v>LD153</v>
      </c>
      <c r="D515" s="55" t="s">
        <v>42</v>
      </c>
      <c r="E515" s="55" t="s">
        <v>69</v>
      </c>
      <c r="F515" s="55" t="s">
        <v>133</v>
      </c>
      <c r="G515" s="55">
        <v>1840.0</v>
      </c>
      <c r="H515" s="55" t="s">
        <v>1137</v>
      </c>
      <c r="I515" s="115" t="s">
        <v>5015</v>
      </c>
      <c r="J515" s="55" t="s">
        <v>5017</v>
      </c>
      <c r="K515" s="55" t="s">
        <v>61</v>
      </c>
      <c r="L515" s="55">
        <v>16917.0</v>
      </c>
      <c r="M515" s="55" t="s">
        <v>78</v>
      </c>
      <c r="N515" s="55" t="s">
        <v>69</v>
      </c>
      <c r="O515" s="55" t="s">
        <v>224</v>
      </c>
      <c r="P515" s="55" t="s">
        <v>110</v>
      </c>
      <c r="Q515" s="67" t="str">
        <f>IFERROR(__xludf.DUMMYFUNCTION("""COMPUTED_VALUE"""),"Japan.giaotiep.M231C90_16917_CVS_NamNH_120524")</f>
        <v>Japan.giaotiep.M231C90_16917_CVS_NamNH_120524</v>
      </c>
      <c r="R515" s="67" t="str">
        <f>IFERROR(__xludf.DUMMYFUNCTION("""COMPUTED_VALUE"""),"NEW_Japan_1840_none_120524")</f>
        <v>NEW_Japan_1840_none_120524</v>
      </c>
      <c r="S515" s="67" t="str">
        <f>IFERROR(__xludf.DUMMYFUNCTION("""COMPUTED_VALUE"""),"saletructiep_Japan.M231C90.1840.giaotiep_PTATT_LD153")</f>
        <v>saletructiep_Japan.M231C90.1840.giaotiep_PTATT_LD153</v>
      </c>
      <c r="T515" s="107" t="str">
        <f>IFERROR(__xludf.DUMMYFUNCTION("""COMPUTED_VALUE"""),"https://patadovietnam.edu.vn/tienganhgiaotiep_hn/?utm_source=Facebook&amp;utm_medium=CVS&amp;utm_term=NEW_Japan_1840_none_120524&amp;utm_content=saletructiep_Japan.M231C90.1840.giaotiep_PTATT_LD153&amp;utm_campaign=Japan.giaotiep.M231C90_16917_CVS_NamNH_120524")</f>
        <v>https://patadovietnam.edu.vn/tienganhgiaotiep_hn/?utm_source=Facebook&amp;utm_medium=CVS&amp;utm_term=NEW_Japan_1840_none_120524&amp;utm_content=saletructiep_Japan.M231C90.1840.giaotiep_PTATT_LD153&amp;utm_campaign=Japan.giaotiep.M231C90_16917_CVS_NamNH_120524</v>
      </c>
      <c r="U515" s="110" t="s">
        <v>5023</v>
      </c>
    </row>
    <row r="516">
      <c r="A516" s="72">
        <v>45424.0</v>
      </c>
      <c r="B516" s="75" t="s">
        <v>1134</v>
      </c>
      <c r="C516" s="67" t="str">
        <f>IFERROR(__xludf.DUMMYFUNCTION("""COMPUTED_VALUE"""),"LD153")</f>
        <v>LD153</v>
      </c>
      <c r="D516" s="55" t="s">
        <v>42</v>
      </c>
      <c r="E516" s="55" t="s">
        <v>79</v>
      </c>
      <c r="F516" s="55" t="s">
        <v>164</v>
      </c>
      <c r="G516" s="55">
        <v>1840.0</v>
      </c>
      <c r="H516" s="55" t="s">
        <v>1137</v>
      </c>
      <c r="I516" s="115" t="s">
        <v>5028</v>
      </c>
      <c r="J516" s="55" t="s">
        <v>5029</v>
      </c>
      <c r="K516" s="55" t="s">
        <v>61</v>
      </c>
      <c r="L516" s="55">
        <v>95360.0</v>
      </c>
      <c r="M516" s="55" t="s">
        <v>78</v>
      </c>
      <c r="N516" s="55" t="s">
        <v>79</v>
      </c>
      <c r="O516" s="55" t="s">
        <v>224</v>
      </c>
      <c r="P516" s="55" t="s">
        <v>110</v>
      </c>
      <c r="Q516" s="67" t="str">
        <f>IFERROR(__xludf.DUMMYFUNCTION("""COMPUTED_VALUE"""),"Taiwan.giaotiep.M231C90_95360_MES_NamNH_120524")</f>
        <v>Taiwan.giaotiep.M231C90_95360_MES_NamNH_120524</v>
      </c>
      <c r="R516" s="67" t="str">
        <f>IFERROR(__xludf.DUMMYFUNCTION("""COMPUTED_VALUE"""),"NEW_Taiwan_1840_none_120524")</f>
        <v>NEW_Taiwan_1840_none_120524</v>
      </c>
      <c r="S516" s="67" t="str">
        <f>IFERROR(__xludf.DUMMYFUNCTION("""COMPUTED_VALUE"""),"saletructiep_Taiwan.M231C90.1840.giaotiep_PTATT_LD153")</f>
        <v>saletructiep_Taiwan.M231C90.1840.giaotiep_PTATT_LD153</v>
      </c>
      <c r="T516" s="107" t="str">
        <f>IFERROR(__xludf.DUMMYFUNCTION("""COMPUTED_VALUE"""),"https://patadovietnam.edu.vn/tienganhgiaotiep_hn/?utm_source=Facebook&amp;utm_medium=MES&amp;utm_term=NEW_Taiwan_1840_none_120524&amp;utm_content=saletructiep_Taiwan.M231C90.1840.giaotiep_PTATT_LD153&amp;utm_campaign=Taiwan.giaotiep.M231C90_95360_MES_NamNH_120524")</f>
        <v>https://patadovietnam.edu.vn/tienganhgiaotiep_hn/?utm_source=Facebook&amp;utm_medium=MES&amp;utm_term=NEW_Taiwan_1840_none_120524&amp;utm_content=saletructiep_Taiwan.M231C90.1840.giaotiep_PTATT_LD153&amp;utm_campaign=Taiwan.giaotiep.M231C90_95360_MES_NamNH_120524</v>
      </c>
      <c r="U516" s="110" t="s">
        <v>5033</v>
      </c>
    </row>
    <row r="517">
      <c r="A517" s="72">
        <v>45424.0</v>
      </c>
      <c r="B517" s="75" t="s">
        <v>1134</v>
      </c>
      <c r="C517" s="67" t="str">
        <f>IFERROR(__xludf.DUMMYFUNCTION("""COMPUTED_VALUE"""),"LD153")</f>
        <v>LD153</v>
      </c>
      <c r="D517" s="55" t="s">
        <v>42</v>
      </c>
      <c r="E517" s="55" t="s">
        <v>79</v>
      </c>
      <c r="F517" s="55" t="s">
        <v>625</v>
      </c>
      <c r="G517" s="55">
        <v>1840.0</v>
      </c>
      <c r="H517" s="55" t="s">
        <v>1137</v>
      </c>
      <c r="I517" s="115" t="s">
        <v>5038</v>
      </c>
      <c r="J517" s="55" t="s">
        <v>5039</v>
      </c>
      <c r="K517" s="55" t="s">
        <v>61</v>
      </c>
      <c r="L517" s="55">
        <v>95360.0</v>
      </c>
      <c r="M517" s="55" t="s">
        <v>78</v>
      </c>
      <c r="N517" s="55" t="s">
        <v>79</v>
      </c>
      <c r="O517" s="55" t="s">
        <v>224</v>
      </c>
      <c r="P517" s="55" t="s">
        <v>110</v>
      </c>
      <c r="Q517" s="67" t="str">
        <f>IFERROR(__xludf.DUMMYFUNCTION("""COMPUTED_VALUE"""),"KoreaSouth.giaotiep.M231C90_95360_MES_NamNH_120524")</f>
        <v>KoreaSouth.giaotiep.M231C90_95360_MES_NamNH_120524</v>
      </c>
      <c r="R517" s="67" t="str">
        <f>IFERROR(__xludf.DUMMYFUNCTION("""COMPUTED_VALUE"""),"NEW_KoreaSouth_1840_none_120524")</f>
        <v>NEW_KoreaSouth_1840_none_120524</v>
      </c>
      <c r="S517" s="67" t="str">
        <f>IFERROR(__xludf.DUMMYFUNCTION("""COMPUTED_VALUE"""),"saletructiep_KoreaSouth.M231C90.1840.giaotiep_PTATT_LD153")</f>
        <v>saletructiep_KoreaSouth.M231C90.1840.giaotiep_PTATT_LD153</v>
      </c>
      <c r="T517" s="107" t="str">
        <f>IFERROR(__xludf.DUMMYFUNCTION("""COMPUTED_VALUE"""),"https://patadovietnam.edu.vn/tienganhgiaotiep_hn/?utm_source=Facebook&amp;utm_medium=MES&amp;utm_term=NEW_KoreaSouth_1840_none_120524&amp;utm_content=saletructiep_KoreaSouth.M231C90.1840.giaotiep_PTATT_LD153&amp;utm_campaign=KoreaSouth.giaotiep.M231C90_95360_MES_NamNH_12"&amp;"0524")</f>
        <v>https://patadovietnam.edu.vn/tienganhgiaotiep_hn/?utm_source=Facebook&amp;utm_medium=MES&amp;utm_term=NEW_KoreaSouth_1840_none_120524&amp;utm_content=saletructiep_KoreaSouth.M231C90.1840.giaotiep_PTATT_LD153&amp;utm_campaign=KoreaSouth.giaotiep.M231C90_95360_MES_NamNH_120524</v>
      </c>
      <c r="U517" s="110" t="s">
        <v>5043</v>
      </c>
    </row>
    <row r="518">
      <c r="A518" s="72">
        <v>45424.0</v>
      </c>
      <c r="B518" s="75" t="s">
        <v>1134</v>
      </c>
      <c r="C518" s="67" t="str">
        <f>IFERROR(__xludf.DUMMYFUNCTION("""COMPUTED_VALUE"""),"LD153")</f>
        <v>LD153</v>
      </c>
      <c r="D518" s="55" t="s">
        <v>42</v>
      </c>
      <c r="E518" s="55" t="s">
        <v>79</v>
      </c>
      <c r="F518" s="55" t="s">
        <v>129</v>
      </c>
      <c r="G518" s="55">
        <v>1840.0</v>
      </c>
      <c r="H518" s="55" t="s">
        <v>1137</v>
      </c>
      <c r="I518" s="115" t="s">
        <v>5048</v>
      </c>
      <c r="J518" s="55" t="s">
        <v>5049</v>
      </c>
      <c r="K518" s="55" t="s">
        <v>61</v>
      </c>
      <c r="L518" s="55">
        <v>95360.0</v>
      </c>
      <c r="M518" s="55" t="s">
        <v>78</v>
      </c>
      <c r="N518" s="55" t="s">
        <v>79</v>
      </c>
      <c r="O518" s="55" t="s">
        <v>224</v>
      </c>
      <c r="P518" s="55" t="s">
        <v>110</v>
      </c>
      <c r="Q518" s="67" t="str">
        <f>IFERROR(__xludf.DUMMYFUNCTION("""COMPUTED_VALUE"""),"Australia.giaotiep.M231C90_95360_MES_NamNH_120524")</f>
        <v>Australia.giaotiep.M231C90_95360_MES_NamNH_120524</v>
      </c>
      <c r="R518" s="67" t="str">
        <f>IFERROR(__xludf.DUMMYFUNCTION("""COMPUTED_VALUE"""),"NEW_Australia_1840_none_120524")</f>
        <v>NEW_Australia_1840_none_120524</v>
      </c>
      <c r="S518" s="67" t="str">
        <f>IFERROR(__xludf.DUMMYFUNCTION("""COMPUTED_VALUE"""),"saletructiep_Australia.M231C90.1840.giaotiep_PTATT_LD153")</f>
        <v>saletructiep_Australia.M231C90.1840.giaotiep_PTATT_LD153</v>
      </c>
      <c r="T518" s="107" t="str">
        <f>IFERROR(__xludf.DUMMYFUNCTION("""COMPUTED_VALUE"""),"https://patadovietnam.edu.vn/tienganhgiaotiep_hn/?utm_source=Facebook&amp;utm_medium=MES&amp;utm_term=NEW_Australia_1840_none_120524&amp;utm_content=saletructiep_Australia.M231C90.1840.giaotiep_PTATT_LD153&amp;utm_campaign=Australia.giaotiep.M231C90_95360_MES_NamNH_12052"&amp;"4")</f>
        <v>https://patadovietnam.edu.vn/tienganhgiaotiep_hn/?utm_source=Facebook&amp;utm_medium=MES&amp;utm_term=NEW_Australia_1840_none_120524&amp;utm_content=saletructiep_Australia.M231C90.1840.giaotiep_PTATT_LD153&amp;utm_campaign=Australia.giaotiep.M231C90_95360_MES_NamNH_120524</v>
      </c>
      <c r="U518" s="110" t="s">
        <v>5057</v>
      </c>
    </row>
    <row r="519">
      <c r="A519" s="72">
        <v>45424.0</v>
      </c>
      <c r="B519" s="75" t="s">
        <v>1134</v>
      </c>
      <c r="C519" s="67" t="str">
        <f>IFERROR(__xludf.DUMMYFUNCTION("""COMPUTED_VALUE"""),"LD153")</f>
        <v>LD153</v>
      </c>
      <c r="D519" s="55" t="s">
        <v>42</v>
      </c>
      <c r="E519" s="55" t="s">
        <v>69</v>
      </c>
      <c r="F519" s="55" t="s">
        <v>539</v>
      </c>
      <c r="G519" s="55">
        <v>1840.0</v>
      </c>
      <c r="H519" s="55" t="s">
        <v>1137</v>
      </c>
      <c r="I519" s="115" t="s">
        <v>5060</v>
      </c>
      <c r="J519" s="55" t="s">
        <v>5061</v>
      </c>
      <c r="K519" s="55" t="s">
        <v>61</v>
      </c>
      <c r="L519" s="55">
        <v>16917.0</v>
      </c>
      <c r="M519" s="55" t="s">
        <v>78</v>
      </c>
      <c r="N519" s="55" t="s">
        <v>69</v>
      </c>
      <c r="O519" s="55" t="s">
        <v>224</v>
      </c>
      <c r="P519" s="55" t="s">
        <v>110</v>
      </c>
      <c r="Q519" s="67" t="str">
        <f>IFERROR(__xludf.DUMMYFUNCTION("""COMPUTED_VALUE"""),"ALL.giaotiep.M186_16917_CVS_NamNH_120524")</f>
        <v>ALL.giaotiep.M186_16917_CVS_NamNH_120524</v>
      </c>
      <c r="R519" s="67" t="str">
        <f>IFERROR(__xludf.DUMMYFUNCTION("""COMPUTED_VALUE"""),"NEW_ALL_1840_none_120524")</f>
        <v>NEW_ALL_1840_none_120524</v>
      </c>
      <c r="S519" s="67" t="str">
        <f>IFERROR(__xludf.DUMMYFUNCTION("""COMPUTED_VALUE"""),"saletructiep_ALL.M186.1840.giaotiep_PTATT_LD153")</f>
        <v>saletructiep_ALL.M186.1840.giaotiep_PTATT_LD153</v>
      </c>
      <c r="T519" s="107" t="str">
        <f>IFERROR(__xludf.DUMMYFUNCTION("""COMPUTED_VALUE"""),"https://patadovietnam.edu.vn/tienganhgiaotiep_hn/?utm_source=Facebook&amp;utm_medium=CVS&amp;utm_term=NEW_ALL_1840_none_120524&amp;utm_content=saletructiep_ALL.M186.1840.giaotiep_PTATT_LD153&amp;utm_campaign=ALL.giaotiep.M186_16917_CVS_NamNH_120524")</f>
        <v>https://patadovietnam.edu.vn/tienganhgiaotiep_hn/?utm_source=Facebook&amp;utm_medium=CVS&amp;utm_term=NEW_ALL_1840_none_120524&amp;utm_content=saletructiep_ALL.M186.1840.giaotiep_PTATT_LD153&amp;utm_campaign=ALL.giaotiep.M186_16917_CVS_NamNH_120524</v>
      </c>
      <c r="U519" s="110" t="s">
        <v>5064</v>
      </c>
    </row>
    <row r="520">
      <c r="A520" s="72">
        <v>45424.0</v>
      </c>
      <c r="B520" s="75" t="s">
        <v>1134</v>
      </c>
      <c r="C520" s="67" t="str">
        <f>IFERROR(__xludf.DUMMYFUNCTION("""COMPUTED_VALUE"""),"LD153")</f>
        <v>LD153</v>
      </c>
      <c r="D520" s="55" t="s">
        <v>42</v>
      </c>
      <c r="E520" s="55" t="s">
        <v>69</v>
      </c>
      <c r="F520" s="55" t="s">
        <v>539</v>
      </c>
      <c r="G520" s="55">
        <v>1840.0</v>
      </c>
      <c r="H520" s="55" t="s">
        <v>1137</v>
      </c>
      <c r="I520" s="115" t="s">
        <v>5069</v>
      </c>
      <c r="J520" s="55" t="s">
        <v>5070</v>
      </c>
      <c r="K520" s="55" t="s">
        <v>61</v>
      </c>
      <c r="L520" s="55">
        <v>95360.0</v>
      </c>
      <c r="M520" s="55" t="s">
        <v>78</v>
      </c>
      <c r="N520" s="55" t="s">
        <v>69</v>
      </c>
      <c r="O520" s="55" t="s">
        <v>224</v>
      </c>
      <c r="P520" s="55" t="s">
        <v>110</v>
      </c>
      <c r="Q520" s="67" t="str">
        <f>IFERROR(__xludf.DUMMYFUNCTION("""COMPUTED_VALUE"""),"ALL.giaotiep.PV120_95360_CVS_NamNH_120524")</f>
        <v>ALL.giaotiep.PV120_95360_CVS_NamNH_120524</v>
      </c>
      <c r="R520" s="67" t="str">
        <f>IFERROR(__xludf.DUMMYFUNCTION("""COMPUTED_VALUE"""),"NEW_ALL_1840_none_120524")</f>
        <v>NEW_ALL_1840_none_120524</v>
      </c>
      <c r="S520" s="67" t="str">
        <f>IFERROR(__xludf.DUMMYFUNCTION("""COMPUTED_VALUE"""),"saletructiep_ALL.PV120.1840.giaotiep_PTATT_LD153")</f>
        <v>saletructiep_ALL.PV120.1840.giaotiep_PTATT_LD153</v>
      </c>
      <c r="T520" s="107" t="str">
        <f>IFERROR(__xludf.DUMMYFUNCTION("""COMPUTED_VALUE"""),"https://patadovietnam.edu.vn/tienganhgiaotiep_hn/?utm_source=Facebook&amp;utm_medium=CVS&amp;utm_term=NEW_ALL_1840_none_120524&amp;utm_content=saletructiep_ALL.PV120.1840.giaotiep_PTATT_LD153&amp;utm_campaign=ALL.giaotiep.PV120_95360_CVS_NamNH_120524")</f>
        <v>https://patadovietnam.edu.vn/tienganhgiaotiep_hn/?utm_source=Facebook&amp;utm_medium=CVS&amp;utm_term=NEW_ALL_1840_none_120524&amp;utm_content=saletructiep_ALL.PV120.1840.giaotiep_PTATT_LD153&amp;utm_campaign=ALL.giaotiep.PV120_95360_CVS_NamNH_120524</v>
      </c>
      <c r="U520" s="110" t="s">
        <v>5073</v>
      </c>
    </row>
    <row r="521">
      <c r="A521" s="72">
        <v>45424.0</v>
      </c>
      <c r="B521" s="75" t="s">
        <v>1229</v>
      </c>
      <c r="C521" s="67" t="str">
        <f>IFERROR(__xludf.DUMMYFUNCTION("""COMPUTED_VALUE"""),"LD164")</f>
        <v>LD164</v>
      </c>
      <c r="D521" s="55" t="s">
        <v>42</v>
      </c>
      <c r="E521" s="55" t="s">
        <v>69</v>
      </c>
      <c r="F521" s="55" t="s">
        <v>133</v>
      </c>
      <c r="G521" s="55">
        <v>1840.0</v>
      </c>
      <c r="H521" s="55" t="s">
        <v>1137</v>
      </c>
      <c r="I521" s="115" t="s">
        <v>5078</v>
      </c>
      <c r="J521" s="55" t="s">
        <v>5079</v>
      </c>
      <c r="K521" s="55" t="s">
        <v>61</v>
      </c>
      <c r="L521" s="55">
        <v>16917.0</v>
      </c>
      <c r="M521" s="55" t="s">
        <v>78</v>
      </c>
      <c r="N521" s="55" t="s">
        <v>69</v>
      </c>
      <c r="O521" s="55" t="s">
        <v>224</v>
      </c>
      <c r="P521" s="55" t="s">
        <v>110</v>
      </c>
      <c r="Q521" s="67" t="str">
        <f>IFERROR(__xludf.DUMMYFUNCTION("""COMPUTED_VALUE"""),"Japan.giaotiep.TAGTP_16917_CVS_NamNH_120524")</f>
        <v>Japan.giaotiep.TAGTP_16917_CVS_NamNH_120524</v>
      </c>
      <c r="R521" s="67" t="str">
        <f>IFERROR(__xludf.DUMMYFUNCTION("""COMPUTED_VALUE"""),"NEW_Japan_1840_none_120524")</f>
        <v>NEW_Japan_1840_none_120524</v>
      </c>
      <c r="S521" s="67" t="str">
        <f>IFERROR(__xludf.DUMMYFUNCTION("""COMPUTED_VALUE"""),"saletructiep_Japan.TAGTP.1840.giaotiep_PTATT_LD164")</f>
        <v>saletructiep_Japan.TAGTP.1840.giaotiep_PTATT_LD164</v>
      </c>
      <c r="T521" s="107" t="str">
        <f>IFERROR(__xludf.DUMMYFUNCTION("""COMPUTED_VALUE"""),"https://patadovietnam.edu.vn/gtjapan_nhn3/?utm_source=Facebook&amp;utm_medium=CVS&amp;utm_term=NEW_Japan_1840_none_120524&amp;utm_content=saletructiep_Japan.TAGTP.1840.giaotiep_PTATT_LD164&amp;utm_campaign=Japan.giaotiep.TAGTP_16917_CVS_NamNH_120524")</f>
        <v>https://patadovietnam.edu.vn/gtjapan_nhn3/?utm_source=Facebook&amp;utm_medium=CVS&amp;utm_term=NEW_Japan_1840_none_120524&amp;utm_content=saletructiep_Japan.TAGTP.1840.giaotiep_PTATT_LD164&amp;utm_campaign=Japan.giaotiep.TAGTP_16917_CVS_NamNH_120524</v>
      </c>
      <c r="U521" s="110" t="s">
        <v>5080</v>
      </c>
    </row>
    <row r="522">
      <c r="A522" s="72">
        <v>45424.0</v>
      </c>
      <c r="B522" s="75" t="s">
        <v>1134</v>
      </c>
      <c r="C522" s="67" t="str">
        <f>IFERROR(__xludf.DUMMYFUNCTION("""COMPUTED_VALUE"""),"LD153")</f>
        <v>LD153</v>
      </c>
      <c r="D522" s="55" t="s">
        <v>42</v>
      </c>
      <c r="E522" s="55" t="s">
        <v>69</v>
      </c>
      <c r="F522" s="55" t="s">
        <v>674</v>
      </c>
      <c r="G522" s="55">
        <v>1840.0</v>
      </c>
      <c r="H522" s="55" t="s">
        <v>1137</v>
      </c>
      <c r="I522" s="115" t="s">
        <v>5083</v>
      </c>
      <c r="J522" s="55" t="s">
        <v>5084</v>
      </c>
      <c r="K522" s="55" t="s">
        <v>61</v>
      </c>
      <c r="L522" s="55">
        <v>16917.0</v>
      </c>
      <c r="M522" s="55" t="s">
        <v>78</v>
      </c>
      <c r="N522" s="55" t="s">
        <v>69</v>
      </c>
      <c r="O522" s="55" t="s">
        <v>224</v>
      </c>
      <c r="P522" s="55" t="s">
        <v>110</v>
      </c>
      <c r="Q522" s="67" t="str">
        <f>IFERROR(__xludf.DUMMYFUNCTION("""COMPUTED_VALUE"""),"Europe.giaotiep.TAGTP_16917_CVS_NamNH_120524")</f>
        <v>Europe.giaotiep.TAGTP_16917_CVS_NamNH_120524</v>
      </c>
      <c r="R522" s="67" t="str">
        <f>IFERROR(__xludf.DUMMYFUNCTION("""COMPUTED_VALUE"""),"NEW_Europe_1840_none_120524")</f>
        <v>NEW_Europe_1840_none_120524</v>
      </c>
      <c r="S522" s="67" t="str">
        <f>IFERROR(__xludf.DUMMYFUNCTION("""COMPUTED_VALUE"""),"saletructiep_Europe.TAGTP.1840.giaotiep_PTATT_LD153")</f>
        <v>saletructiep_Europe.TAGTP.1840.giaotiep_PTATT_LD153</v>
      </c>
      <c r="T522" s="107" t="str">
        <f>IFERROR(__xludf.DUMMYFUNCTION("""COMPUTED_VALUE"""),"https://patadovietnam.edu.vn/tienganhgiaotiep_hn/?utm_source=Facebook&amp;utm_medium=CVS&amp;utm_term=NEW_Europe_1840_none_120524&amp;utm_content=saletructiep_Europe.TAGTP.1840.giaotiep_PTATT_LD153&amp;utm_campaign=Europe.giaotiep.TAGTP_16917_CVS_NamNH_120524")</f>
        <v>https://patadovietnam.edu.vn/tienganhgiaotiep_hn/?utm_source=Facebook&amp;utm_medium=CVS&amp;utm_term=NEW_Europe_1840_none_120524&amp;utm_content=saletructiep_Europe.TAGTP.1840.giaotiep_PTATT_LD153&amp;utm_campaign=Europe.giaotiep.TAGTP_16917_CVS_NamNH_120524</v>
      </c>
      <c r="U522" s="110" t="s">
        <v>5089</v>
      </c>
    </row>
    <row r="523">
      <c r="A523" s="72">
        <v>45424.0</v>
      </c>
      <c r="B523" s="75" t="s">
        <v>1134</v>
      </c>
      <c r="C523" s="67" t="str">
        <f>IFERROR(__xludf.DUMMYFUNCTION("""COMPUTED_VALUE"""),"LD153")</f>
        <v>LD153</v>
      </c>
      <c r="D523" s="55" t="s">
        <v>42</v>
      </c>
      <c r="E523" s="55" t="s">
        <v>79</v>
      </c>
      <c r="F523" s="55" t="s">
        <v>174</v>
      </c>
      <c r="G523" s="55">
        <v>1840.0</v>
      </c>
      <c r="H523" s="55" t="s">
        <v>1137</v>
      </c>
      <c r="I523" s="115" t="s">
        <v>5092</v>
      </c>
      <c r="J523" s="55" t="s">
        <v>5093</v>
      </c>
      <c r="K523" s="55" t="s">
        <v>61</v>
      </c>
      <c r="L523" s="55">
        <v>16917.0</v>
      </c>
      <c r="M523" s="55" t="s">
        <v>78</v>
      </c>
      <c r="N523" s="55" t="s">
        <v>79</v>
      </c>
      <c r="O523" s="55" t="s">
        <v>224</v>
      </c>
      <c r="P523" s="55" t="s">
        <v>110</v>
      </c>
      <c r="Q523" s="67" t="str">
        <f>IFERROR(__xludf.DUMMYFUNCTION("""COMPUTED_VALUE"""),"Philippines.giaotiep.TAGTP_16917_MES_NamNH_120524")</f>
        <v>Philippines.giaotiep.TAGTP_16917_MES_NamNH_120524</v>
      </c>
      <c r="R523" s="67" t="str">
        <f>IFERROR(__xludf.DUMMYFUNCTION("""COMPUTED_VALUE"""),"NEW_Philippines_1840_none_120524")</f>
        <v>NEW_Philippines_1840_none_120524</v>
      </c>
      <c r="S523" s="67" t="str">
        <f>IFERROR(__xludf.DUMMYFUNCTION("""COMPUTED_VALUE"""),"saletructiep_Philippines.TAGTP.1840.giaotiep_PTATT_LD153")</f>
        <v>saletructiep_Philippines.TAGTP.1840.giaotiep_PTATT_LD153</v>
      </c>
      <c r="T523" s="107" t="str">
        <f>IFERROR(__xludf.DUMMYFUNCTION("""COMPUTED_VALUE"""),"https://patadovietnam.edu.vn/tienganhgiaotiep_hn/?utm_source=Facebook&amp;utm_medium=MES&amp;utm_term=NEW_Philippines_1840_none_120524&amp;utm_content=saletructiep_Philippines.TAGTP.1840.giaotiep_PTATT_LD153&amp;utm_campaign=Philippines.giaotiep.TAGTP_16917_MES_NamNH_120"&amp;"524")</f>
        <v>https://patadovietnam.edu.vn/tienganhgiaotiep_hn/?utm_source=Facebook&amp;utm_medium=MES&amp;utm_term=NEW_Philippines_1840_none_120524&amp;utm_content=saletructiep_Philippines.TAGTP.1840.giaotiep_PTATT_LD153&amp;utm_campaign=Philippines.giaotiep.TAGTP_16917_MES_NamNH_120524</v>
      </c>
      <c r="U523" s="110" t="s">
        <v>5098</v>
      </c>
    </row>
    <row r="524">
      <c r="A524" s="72">
        <v>45424.0</v>
      </c>
      <c r="B524" s="75" t="s">
        <v>1134</v>
      </c>
      <c r="C524" s="67" t="str">
        <f>IFERROR(__xludf.DUMMYFUNCTION("""COMPUTED_VALUE"""),"LD153")</f>
        <v>LD153</v>
      </c>
      <c r="D524" s="55" t="s">
        <v>42</v>
      </c>
      <c r="E524" s="55" t="s">
        <v>79</v>
      </c>
      <c r="F524" s="55" t="s">
        <v>625</v>
      </c>
      <c r="G524" s="55">
        <v>1840.0</v>
      </c>
      <c r="H524" s="55" t="s">
        <v>1137</v>
      </c>
      <c r="I524" s="115" t="s">
        <v>5099</v>
      </c>
      <c r="J524" s="55" t="s">
        <v>5100</v>
      </c>
      <c r="K524" s="55" t="s">
        <v>61</v>
      </c>
      <c r="L524" s="55">
        <v>16917.0</v>
      </c>
      <c r="M524" s="55" t="s">
        <v>78</v>
      </c>
      <c r="N524" s="55" t="s">
        <v>79</v>
      </c>
      <c r="O524" s="55" t="s">
        <v>224</v>
      </c>
      <c r="P524" s="55" t="s">
        <v>110</v>
      </c>
      <c r="Q524" s="67" t="str">
        <f>IFERROR(__xludf.DUMMYFUNCTION("""COMPUTED_VALUE"""),"KoreaSouth.giaotiep.TAGTP_16917_MES_NamNH_120524")</f>
        <v>KoreaSouth.giaotiep.TAGTP_16917_MES_NamNH_120524</v>
      </c>
      <c r="R524" s="67" t="str">
        <f>IFERROR(__xludf.DUMMYFUNCTION("""COMPUTED_VALUE"""),"NEW_KoreaSouth_1840_none_120524")</f>
        <v>NEW_KoreaSouth_1840_none_120524</v>
      </c>
      <c r="S524" s="67" t="str">
        <f>IFERROR(__xludf.DUMMYFUNCTION("""COMPUTED_VALUE"""),"saletructiep_KoreaSouth.TAGTP.1840.giaotiep_PTATT_LD153")</f>
        <v>saletructiep_KoreaSouth.TAGTP.1840.giaotiep_PTATT_LD153</v>
      </c>
      <c r="T524" s="107" t="str">
        <f>IFERROR(__xludf.DUMMYFUNCTION("""COMPUTED_VALUE"""),"https://patadovietnam.edu.vn/tienganhgiaotiep_hn/?utm_source=Facebook&amp;utm_medium=MES&amp;utm_term=NEW_KoreaSouth_1840_none_120524&amp;utm_content=saletructiep_KoreaSouth.TAGTP.1840.giaotiep_PTATT_LD153&amp;utm_campaign=KoreaSouth.giaotiep.TAGTP_16917_MES_NamNH_120524")</f>
        <v>https://patadovietnam.edu.vn/tienganhgiaotiep_hn/?utm_source=Facebook&amp;utm_medium=MES&amp;utm_term=NEW_KoreaSouth_1840_none_120524&amp;utm_content=saletructiep_KoreaSouth.TAGTP.1840.giaotiep_PTATT_LD153&amp;utm_campaign=KoreaSouth.giaotiep.TAGTP_16917_MES_NamNH_120524</v>
      </c>
      <c r="U524" s="110" t="s">
        <v>5107</v>
      </c>
    </row>
    <row r="525">
      <c r="A525" s="72">
        <v>45425.0</v>
      </c>
      <c r="B525" s="75" t="s">
        <v>3903</v>
      </c>
      <c r="C525" s="67" t="str">
        <f>IFERROR(__xludf.DUMMYFUNCTION("""COMPUTED_VALUE"""),"LD224")</f>
        <v>LD224</v>
      </c>
      <c r="D525" s="55" t="s">
        <v>42</v>
      </c>
      <c r="E525" s="55" t="s">
        <v>79</v>
      </c>
      <c r="F525" s="55" t="s">
        <v>199</v>
      </c>
      <c r="G525" s="55">
        <v>2035.0</v>
      </c>
      <c r="H525" s="55" t="s">
        <v>1137</v>
      </c>
      <c r="I525" s="55" t="s">
        <v>5108</v>
      </c>
      <c r="J525" s="55" t="s">
        <v>5109</v>
      </c>
      <c r="K525" s="55" t="s">
        <v>61</v>
      </c>
      <c r="L525" s="55">
        <v>95360.0</v>
      </c>
      <c r="M525" s="55" t="s">
        <v>78</v>
      </c>
      <c r="N525" s="55" t="s">
        <v>79</v>
      </c>
      <c r="O525" s="55" t="s">
        <v>224</v>
      </c>
      <c r="P525" s="55" t="s">
        <v>110</v>
      </c>
      <c r="Q525" s="67" t="str">
        <f>IFERROR(__xludf.DUMMYFUNCTION("""COMPUTED_VALUE"""),"Vietnam.Doanhnghiep.MB14_95360_MES_NamNH_130524")</f>
        <v>Vietnam.Doanhnghiep.MB14_95360_MES_NamNH_130524</v>
      </c>
      <c r="R525" s="67" t="str">
        <f>IFERROR(__xludf.DUMMYFUNCTION("""COMPUTED_VALUE"""),"NEW_Vietnam_2035_none_130524")</f>
        <v>NEW_Vietnam_2035_none_130524</v>
      </c>
      <c r="S525" s="67" t="str">
        <f>IFERROR(__xludf.DUMMYFUNCTION("""COMPUTED_VALUE"""),"saletructiep_Vietnam.MB14.1836.DoanhNghiep_PTATT_LD224")</f>
        <v>saletructiep_Vietnam.MB14.1836.DoanhNghiep_PTATT_LD224</v>
      </c>
      <c r="T525" s="107" t="str">
        <f>IFERROR(__xludf.DUMMYFUNCTION("""COMPUTED_VALUE"""),"https://patadovietnam.edu.vn/tienganhdoanhnghiep_hn/?utm_source=Facebook&amp;utm_medium=MES&amp;utm_term=NEW_Vietnam_2035_none_130524&amp;utm_content=saletructiep_Vietnam.MB14.1836.DoanhNghiep_PTATT_LD224&amp;utm_campaign=Vietnam.Doanhnghiep.MB14_95360_MES_NamNH_130524")</f>
        <v>https://patadovietnam.edu.vn/tienganhdoanhnghiep_hn/?utm_source=Facebook&amp;utm_medium=MES&amp;utm_term=NEW_Vietnam_2035_none_130524&amp;utm_content=saletructiep_Vietnam.MB14.1836.DoanhNghiep_PTATT_LD224&amp;utm_campaign=Vietnam.Doanhnghiep.MB14_95360_MES_NamNH_130524</v>
      </c>
      <c r="U525" s="110" t="s">
        <v>5112</v>
      </c>
    </row>
    <row r="526">
      <c r="A526" s="72">
        <v>45427.0</v>
      </c>
      <c r="B526" s="75" t="s">
        <v>1134</v>
      </c>
      <c r="C526" s="67" t="str">
        <f>IFERROR(__xludf.DUMMYFUNCTION("""COMPUTED_VALUE"""),"LD153")</f>
        <v>LD153</v>
      </c>
      <c r="D526" s="55" t="s">
        <v>42</v>
      </c>
      <c r="E526" s="55" t="s">
        <v>79</v>
      </c>
      <c r="F526" s="55" t="s">
        <v>625</v>
      </c>
      <c r="G526" s="55">
        <v>1840.0</v>
      </c>
      <c r="H526" s="55" t="s">
        <v>1137</v>
      </c>
      <c r="I526" s="115" t="s">
        <v>5115</v>
      </c>
      <c r="J526" s="55" t="s">
        <v>5116</v>
      </c>
      <c r="K526" s="55" t="s">
        <v>61</v>
      </c>
      <c r="L526" s="55">
        <v>95360.0</v>
      </c>
      <c r="M526" s="55" t="s">
        <v>78</v>
      </c>
      <c r="N526" s="55" t="s">
        <v>79</v>
      </c>
      <c r="O526" s="55" t="s">
        <v>224</v>
      </c>
      <c r="P526" s="55" t="s">
        <v>110</v>
      </c>
      <c r="Q526" s="67" t="str">
        <f>IFERROR(__xludf.DUMMYFUNCTION("""COMPUTED_VALUE"""),"KoreaSouth.giaotiep.M191C133_95360_MES_NamNH_150524")</f>
        <v>KoreaSouth.giaotiep.M191C133_95360_MES_NamNH_150524</v>
      </c>
      <c r="R526" s="67" t="str">
        <f>IFERROR(__xludf.DUMMYFUNCTION("""COMPUTED_VALUE"""),"NEW_KoreaSouth_1840_none_150524")</f>
        <v>NEW_KoreaSouth_1840_none_150524</v>
      </c>
      <c r="S526" s="67" t="str">
        <f>IFERROR(__xludf.DUMMYFUNCTION("""COMPUTED_VALUE"""),"saletructiep_KoreaSouth.M191C133.1840.giaotiep_PTATT_LD153")</f>
        <v>saletructiep_KoreaSouth.M191C133.1840.giaotiep_PTATT_LD153</v>
      </c>
      <c r="T526" s="107" t="str">
        <f>IFERROR(__xludf.DUMMYFUNCTION("""COMPUTED_VALUE"""),"https://patadovietnam.edu.vn/tienganhgiaotiep_hn/?utm_source=Facebook&amp;utm_medium=MES&amp;utm_term=NEW_KoreaSouth_1840_none_150524&amp;utm_content=saletructiep_KoreaSouth.M191C133.1840.giaotiep_PTATT_LD153&amp;utm_campaign=KoreaSouth.giaotiep.M191C133_95360_MES_NamNH_"&amp;"150524")</f>
        <v>https://patadovietnam.edu.vn/tienganhgiaotiep_hn/?utm_source=Facebook&amp;utm_medium=MES&amp;utm_term=NEW_KoreaSouth_1840_none_150524&amp;utm_content=saletructiep_KoreaSouth.M191C133.1840.giaotiep_PTATT_LD153&amp;utm_campaign=KoreaSouth.giaotiep.M191C133_95360_MES_NamNH_150524</v>
      </c>
      <c r="U526" s="110" t="s">
        <v>5118</v>
      </c>
    </row>
    <row r="527">
      <c r="A527" s="72">
        <v>45427.0</v>
      </c>
      <c r="B527" s="75" t="s">
        <v>1134</v>
      </c>
      <c r="C527" s="67" t="str">
        <f>IFERROR(__xludf.DUMMYFUNCTION("""COMPUTED_VALUE"""),"LD153")</f>
        <v>LD153</v>
      </c>
      <c r="D527" s="55" t="s">
        <v>42</v>
      </c>
      <c r="E527" s="55" t="s">
        <v>79</v>
      </c>
      <c r="F527" s="55" t="s">
        <v>129</v>
      </c>
      <c r="G527" s="55">
        <v>1840.0</v>
      </c>
      <c r="H527" s="55" t="s">
        <v>1137</v>
      </c>
      <c r="I527" s="115" t="s">
        <v>5121</v>
      </c>
      <c r="J527" s="55" t="s">
        <v>5122</v>
      </c>
      <c r="K527" s="55" t="s">
        <v>61</v>
      </c>
      <c r="L527" s="55">
        <v>95360.0</v>
      </c>
      <c r="M527" s="55" t="s">
        <v>78</v>
      </c>
      <c r="N527" s="55" t="s">
        <v>79</v>
      </c>
      <c r="O527" s="55" t="s">
        <v>224</v>
      </c>
      <c r="P527" s="55" t="s">
        <v>110</v>
      </c>
      <c r="Q527" s="67" t="str">
        <f>IFERROR(__xludf.DUMMYFUNCTION("""COMPUTED_VALUE"""),"Australia.giaotiep.M207C161_95360_MES_NamNH_150524")</f>
        <v>Australia.giaotiep.M207C161_95360_MES_NamNH_150524</v>
      </c>
      <c r="R527" s="67" t="str">
        <f>IFERROR(__xludf.DUMMYFUNCTION("""COMPUTED_VALUE"""),"NEW_Australia_1840_none_150524")</f>
        <v>NEW_Australia_1840_none_150524</v>
      </c>
      <c r="S527" s="67" t="str">
        <f>IFERROR(__xludf.DUMMYFUNCTION("""COMPUTED_VALUE"""),"saletructiep_Australia.M207C161.1840.giaotiep_PTATT_LD153")</f>
        <v>saletructiep_Australia.M207C161.1840.giaotiep_PTATT_LD153</v>
      </c>
      <c r="T527" s="107" t="str">
        <f>IFERROR(__xludf.DUMMYFUNCTION("""COMPUTED_VALUE"""),"https://patadovietnam.edu.vn/tienganhgiaotiep_hn/?utm_source=Facebook&amp;utm_medium=MES&amp;utm_term=NEW_Australia_1840_none_150524&amp;utm_content=saletructiep_Australia.M207C161.1840.giaotiep_PTATT_LD153&amp;utm_campaign=Australia.giaotiep.M207C161_95360_MES_NamNH_150"&amp;"524")</f>
        <v>https://patadovietnam.edu.vn/tienganhgiaotiep_hn/?utm_source=Facebook&amp;utm_medium=MES&amp;utm_term=NEW_Australia_1840_none_150524&amp;utm_content=saletructiep_Australia.M207C161.1840.giaotiep_PTATT_LD153&amp;utm_campaign=Australia.giaotiep.M207C161_95360_MES_NamNH_150524</v>
      </c>
      <c r="U527" s="110" t="s">
        <v>5124</v>
      </c>
    </row>
    <row r="528">
      <c r="A528" s="72">
        <v>45427.0</v>
      </c>
      <c r="B528" s="75" t="s">
        <v>1134</v>
      </c>
      <c r="C528" s="67" t="str">
        <f>IFERROR(__xludf.DUMMYFUNCTION("""COMPUTED_VALUE"""),"LD153")</f>
        <v>LD153</v>
      </c>
      <c r="D528" s="55" t="s">
        <v>42</v>
      </c>
      <c r="E528" s="55" t="s">
        <v>79</v>
      </c>
      <c r="F528" s="55" t="s">
        <v>539</v>
      </c>
      <c r="G528" s="55">
        <v>1840.0</v>
      </c>
      <c r="H528" s="55" t="s">
        <v>1137</v>
      </c>
      <c r="I528" s="115" t="s">
        <v>5125</v>
      </c>
      <c r="J528" s="55" t="s">
        <v>5126</v>
      </c>
      <c r="K528" s="55" t="s">
        <v>61</v>
      </c>
      <c r="L528" s="55">
        <v>95360.0</v>
      </c>
      <c r="M528" s="55" t="s">
        <v>78</v>
      </c>
      <c r="N528" s="55" t="s">
        <v>79</v>
      </c>
      <c r="O528" s="55" t="s">
        <v>224</v>
      </c>
      <c r="P528" s="55" t="s">
        <v>110</v>
      </c>
      <c r="Q528" s="67" t="str">
        <f>IFERROR(__xludf.DUMMYFUNCTION("""COMPUTED_VALUE"""),"ALL.giaotiep.M172C138_95360_MES_NamNH_150524")</f>
        <v>ALL.giaotiep.M172C138_95360_MES_NamNH_150524</v>
      </c>
      <c r="R528" s="67" t="str">
        <f>IFERROR(__xludf.DUMMYFUNCTION("""COMPUTED_VALUE"""),"NEW_ALL_1840_none_150524")</f>
        <v>NEW_ALL_1840_none_150524</v>
      </c>
      <c r="S528" s="67" t="str">
        <f>IFERROR(__xludf.DUMMYFUNCTION("""COMPUTED_VALUE"""),"saletructiep_ALL.M172C138.1840.giaotiep_PTATT_LD153")</f>
        <v>saletructiep_ALL.M172C138.1840.giaotiep_PTATT_LD153</v>
      </c>
      <c r="T528" s="107" t="str">
        <f>IFERROR(__xludf.DUMMYFUNCTION("""COMPUTED_VALUE"""),"https://patadovietnam.edu.vn/tienganhgiaotiep_hn/?utm_source=Facebook&amp;utm_medium=MES&amp;utm_term=NEW_ALL_1840_none_150524&amp;utm_content=saletructiep_ALL.M172C138.1840.giaotiep_PTATT_LD153&amp;utm_campaign=ALL.giaotiep.M172C138_95360_MES_NamNH_150524")</f>
        <v>https://patadovietnam.edu.vn/tienganhgiaotiep_hn/?utm_source=Facebook&amp;utm_medium=MES&amp;utm_term=NEW_ALL_1840_none_150524&amp;utm_content=saletructiep_ALL.M172C138.1840.giaotiep_PTATT_LD153&amp;utm_campaign=ALL.giaotiep.M172C138_95360_MES_NamNH_150524</v>
      </c>
      <c r="U528" s="110" t="s">
        <v>5129</v>
      </c>
    </row>
    <row r="529">
      <c r="A529" s="72">
        <v>45429.0</v>
      </c>
      <c r="B529" s="75" t="s">
        <v>1245</v>
      </c>
      <c r="C529" s="67" t="str">
        <f>IFERROR(__xludf.DUMMYFUNCTION("""COMPUTED_VALUE"""),"LD161")</f>
        <v>LD161</v>
      </c>
      <c r="D529" s="55" t="s">
        <v>42</v>
      </c>
      <c r="E529" s="55" t="s">
        <v>79</v>
      </c>
      <c r="F529" s="55" t="s">
        <v>107</v>
      </c>
      <c r="G529" s="55">
        <v>1840.0</v>
      </c>
      <c r="H529" s="55" t="s">
        <v>1137</v>
      </c>
      <c r="I529" s="115" t="s">
        <v>5133</v>
      </c>
      <c r="J529" s="55" t="s">
        <v>5134</v>
      </c>
      <c r="K529" s="55" t="s">
        <v>61</v>
      </c>
      <c r="L529" s="55">
        <v>16917.0</v>
      </c>
      <c r="M529" s="55" t="s">
        <v>78</v>
      </c>
      <c r="N529" s="55" t="s">
        <v>79</v>
      </c>
      <c r="O529" s="55" t="s">
        <v>224</v>
      </c>
      <c r="P529" s="55" t="s">
        <v>110</v>
      </c>
      <c r="Q529" s="67" t="str">
        <f>IFERROR(__xludf.DUMMYFUNCTION("""COMPUTED_VALUE"""),"UnitedStates.giaotiep.M236_16917_MES_NamNH_170524")</f>
        <v>UnitedStates.giaotiep.M236_16917_MES_NamNH_170524</v>
      </c>
      <c r="R529" s="67" t="str">
        <f>IFERROR(__xludf.DUMMYFUNCTION("""COMPUTED_VALUE"""),"NEW_UnitedStates_1840_none_170524")</f>
        <v>NEW_UnitedStates_1840_none_170524</v>
      </c>
      <c r="S529" s="67" t="str">
        <f>IFERROR(__xludf.DUMMYFUNCTION("""COMPUTED_VALUE"""),"saletructiep_UnitedStates.M236.1840.giaotiep_PTATT_LD161")</f>
        <v>saletructiep_UnitedStates.M236.1840.giaotiep_PTATT_LD161</v>
      </c>
      <c r="T529" s="107" t="str">
        <f>IFERROR(__xludf.DUMMYFUNCTION("""COMPUTED_VALUE"""),"https://patadovietnam.edu.vn/gtusa1_nhn/?utm_source=Facebook&amp;utm_medium=MES&amp;utm_term=NEW_UnitedStates_1840_none_170524&amp;utm_content=saletructiep_UnitedStates.M236.1840.giaotiep_PTATT_LD161&amp;utm_campaign=UnitedStates.giaotiep.M236_16917_MES_NamNH_170524")</f>
        <v>https://patadovietnam.edu.vn/gtusa1_nhn/?utm_source=Facebook&amp;utm_medium=MES&amp;utm_term=NEW_UnitedStates_1840_none_170524&amp;utm_content=saletructiep_UnitedStates.M236.1840.giaotiep_PTATT_LD161&amp;utm_campaign=UnitedStates.giaotiep.M236_16917_MES_NamNH_170524</v>
      </c>
      <c r="U529" s="110" t="s">
        <v>5137</v>
      </c>
    </row>
    <row r="530">
      <c r="A530" s="72">
        <v>45429.0</v>
      </c>
      <c r="B530" s="75" t="s">
        <v>1134</v>
      </c>
      <c r="C530" s="67" t="str">
        <f>IFERROR(__xludf.DUMMYFUNCTION("""COMPUTED_VALUE"""),"LD153")</f>
        <v>LD153</v>
      </c>
      <c r="D530" s="55" t="s">
        <v>42</v>
      </c>
      <c r="E530" s="55" t="s">
        <v>69</v>
      </c>
      <c r="F530" s="55" t="s">
        <v>674</v>
      </c>
      <c r="G530" s="55">
        <v>1840.0</v>
      </c>
      <c r="H530" s="55" t="s">
        <v>1137</v>
      </c>
      <c r="I530" s="115" t="s">
        <v>5140</v>
      </c>
      <c r="J530" s="55" t="s">
        <v>5141</v>
      </c>
      <c r="K530" s="55" t="s">
        <v>61</v>
      </c>
      <c r="L530" s="55">
        <v>16917.0</v>
      </c>
      <c r="M530" s="55" t="s">
        <v>78</v>
      </c>
      <c r="N530" s="55" t="s">
        <v>69</v>
      </c>
      <c r="O530" s="55" t="s">
        <v>224</v>
      </c>
      <c r="P530" s="55" t="s">
        <v>110</v>
      </c>
      <c r="Q530" s="67" t="str">
        <f>IFERROR(__xludf.DUMMYFUNCTION("""COMPUTED_VALUE"""),"Europe.giaotiep.M236_16917_CVS_NamNH_170524")</f>
        <v>Europe.giaotiep.M236_16917_CVS_NamNH_170524</v>
      </c>
      <c r="R530" s="67" t="str">
        <f>IFERROR(__xludf.DUMMYFUNCTION("""COMPUTED_VALUE"""),"NEW_Europe_1840_none_170524")</f>
        <v>NEW_Europe_1840_none_170524</v>
      </c>
      <c r="S530" s="67" t="str">
        <f>IFERROR(__xludf.DUMMYFUNCTION("""COMPUTED_VALUE"""),"saletructiep_Europe.M236.1840.giaotiep_PTATT_LD153")</f>
        <v>saletructiep_Europe.M236.1840.giaotiep_PTATT_LD153</v>
      </c>
      <c r="T530" s="107" t="str">
        <f>IFERROR(__xludf.DUMMYFUNCTION("""COMPUTED_VALUE"""),"https://patadovietnam.edu.vn/tienganhgiaotiep_hn/?utm_source=Facebook&amp;utm_medium=CVS&amp;utm_term=NEW_Europe_1840_none_170524&amp;utm_content=saletructiep_Europe.M236.1840.giaotiep_PTATT_LD153&amp;utm_campaign=Europe.giaotiep.M236_16917_CVS_NamNH_170524")</f>
        <v>https://patadovietnam.edu.vn/tienganhgiaotiep_hn/?utm_source=Facebook&amp;utm_medium=CVS&amp;utm_term=NEW_Europe_1840_none_170524&amp;utm_content=saletructiep_Europe.M236.1840.giaotiep_PTATT_LD153&amp;utm_campaign=Europe.giaotiep.M236_16917_CVS_NamNH_170524</v>
      </c>
      <c r="U530" s="110" t="s">
        <v>5146</v>
      </c>
    </row>
    <row r="531">
      <c r="A531" s="72">
        <v>45429.0</v>
      </c>
      <c r="B531" s="75" t="s">
        <v>1134</v>
      </c>
      <c r="C531" s="67" t="str">
        <f>IFERROR(__xludf.DUMMYFUNCTION("""COMPUTED_VALUE"""),"LD153")</f>
        <v>LD153</v>
      </c>
      <c r="D531" s="55" t="s">
        <v>42</v>
      </c>
      <c r="E531" s="55" t="s">
        <v>79</v>
      </c>
      <c r="F531" s="55" t="s">
        <v>174</v>
      </c>
      <c r="G531" s="55">
        <v>1840.0</v>
      </c>
      <c r="H531" s="55" t="s">
        <v>1137</v>
      </c>
      <c r="I531" s="115" t="s">
        <v>5148</v>
      </c>
      <c r="J531" s="55" t="s">
        <v>5149</v>
      </c>
      <c r="K531" s="55" t="s">
        <v>61</v>
      </c>
      <c r="L531" s="55">
        <v>95360.0</v>
      </c>
      <c r="M531" s="55" t="s">
        <v>78</v>
      </c>
      <c r="N531" s="55" t="s">
        <v>79</v>
      </c>
      <c r="O531" s="55" t="s">
        <v>224</v>
      </c>
      <c r="P531" s="55" t="s">
        <v>110</v>
      </c>
      <c r="Q531" s="67" t="str">
        <f>IFERROR(__xludf.DUMMYFUNCTION("""COMPUTED_VALUE"""),"Philippines.giaotiep.M236_95360_MES_NamNH_170524")</f>
        <v>Philippines.giaotiep.M236_95360_MES_NamNH_170524</v>
      </c>
      <c r="R531" s="67" t="str">
        <f>IFERROR(__xludf.DUMMYFUNCTION("""COMPUTED_VALUE"""),"NEW_Philippines_1840_none_170524")</f>
        <v>NEW_Philippines_1840_none_170524</v>
      </c>
      <c r="S531" s="67" t="str">
        <f>IFERROR(__xludf.DUMMYFUNCTION("""COMPUTED_VALUE"""),"saletructiep_Philippines.M236.1840.giaotiep_PTATT_LD153")</f>
        <v>saletructiep_Philippines.M236.1840.giaotiep_PTATT_LD153</v>
      </c>
      <c r="T531" s="107" t="str">
        <f>IFERROR(__xludf.DUMMYFUNCTION("""COMPUTED_VALUE"""),"https://patadovietnam.edu.vn/tienganhgiaotiep_hn/?utm_source=Facebook&amp;utm_medium=MES&amp;utm_term=NEW_Philippines_1840_none_170524&amp;utm_content=saletructiep_Philippines.M236.1840.giaotiep_PTATT_LD153&amp;utm_campaign=Philippines.giaotiep.M236_95360_MES_NamNH_17052"&amp;"4")</f>
        <v>https://patadovietnam.edu.vn/tienganhgiaotiep_hn/?utm_source=Facebook&amp;utm_medium=MES&amp;utm_term=NEW_Philippines_1840_none_170524&amp;utm_content=saletructiep_Philippines.M236.1840.giaotiep_PTATT_LD153&amp;utm_campaign=Philippines.giaotiep.M236_95360_MES_NamNH_170524</v>
      </c>
      <c r="U531" s="110" t="s">
        <v>5153</v>
      </c>
    </row>
    <row r="532">
      <c r="A532" s="72">
        <v>45429.0</v>
      </c>
      <c r="B532" s="75" t="s">
        <v>1229</v>
      </c>
      <c r="C532" s="67" t="str">
        <f>IFERROR(__xludf.DUMMYFUNCTION("""COMPUTED_VALUE"""),"LD164")</f>
        <v>LD164</v>
      </c>
      <c r="D532" s="55" t="s">
        <v>42</v>
      </c>
      <c r="E532" s="55" t="s">
        <v>69</v>
      </c>
      <c r="F532" s="55" t="s">
        <v>133</v>
      </c>
      <c r="G532" s="55">
        <v>1840.0</v>
      </c>
      <c r="H532" s="55" t="s">
        <v>1137</v>
      </c>
      <c r="I532" s="115" t="s">
        <v>5156</v>
      </c>
      <c r="J532" s="55" t="s">
        <v>5157</v>
      </c>
      <c r="K532" s="55" t="s">
        <v>61</v>
      </c>
      <c r="L532" s="55">
        <v>16917.0</v>
      </c>
      <c r="M532" s="55" t="s">
        <v>78</v>
      </c>
      <c r="N532" s="55" t="s">
        <v>69</v>
      </c>
      <c r="O532" s="55" t="s">
        <v>224</v>
      </c>
      <c r="P532" s="55" t="s">
        <v>110</v>
      </c>
      <c r="Q532" s="67" t="str">
        <f>IFERROR(__xludf.DUMMYFUNCTION("""COMPUTED_VALUE"""),"Japan.giaotiep.M236_16917_CVS_NamNH_170524")</f>
        <v>Japan.giaotiep.M236_16917_CVS_NamNH_170524</v>
      </c>
      <c r="R532" s="67" t="str">
        <f>IFERROR(__xludf.DUMMYFUNCTION("""COMPUTED_VALUE"""),"NEW_Japan_1840_none_170524")</f>
        <v>NEW_Japan_1840_none_170524</v>
      </c>
      <c r="S532" s="67" t="str">
        <f>IFERROR(__xludf.DUMMYFUNCTION("""COMPUTED_VALUE"""),"saletructiep_Japan.M236.1840.giaotiep_PTATT_LD164")</f>
        <v>saletructiep_Japan.M236.1840.giaotiep_PTATT_LD164</v>
      </c>
      <c r="T532" s="107" t="str">
        <f>IFERROR(__xludf.DUMMYFUNCTION("""COMPUTED_VALUE"""),"https://patadovietnam.edu.vn/gtjapan_nhn3/?utm_source=Facebook&amp;utm_medium=CVS&amp;utm_term=NEW_Japan_1840_none_170524&amp;utm_content=saletructiep_Japan.M236.1840.giaotiep_PTATT_LD164&amp;utm_campaign=Japan.giaotiep.M236_16917_CVS_NamNH_170524")</f>
        <v>https://patadovietnam.edu.vn/gtjapan_nhn3/?utm_source=Facebook&amp;utm_medium=CVS&amp;utm_term=NEW_Japan_1840_none_170524&amp;utm_content=saletructiep_Japan.M236.1840.giaotiep_PTATT_LD164&amp;utm_campaign=Japan.giaotiep.M236_16917_CVS_NamNH_170524</v>
      </c>
      <c r="U532" s="110" t="s">
        <v>5161</v>
      </c>
    </row>
    <row r="533">
      <c r="A533" s="72">
        <v>45429.0</v>
      </c>
      <c r="B533" s="75" t="s">
        <v>1134</v>
      </c>
      <c r="C533" s="67" t="str">
        <f>IFERROR(__xludf.DUMMYFUNCTION("""COMPUTED_VALUE"""),"LD153")</f>
        <v>LD153</v>
      </c>
      <c r="D533" s="55" t="s">
        <v>42</v>
      </c>
      <c r="E533" s="55" t="s">
        <v>79</v>
      </c>
      <c r="F533" s="55" t="s">
        <v>164</v>
      </c>
      <c r="G533" s="55">
        <v>1840.0</v>
      </c>
      <c r="H533" s="55" t="s">
        <v>1137</v>
      </c>
      <c r="I533" s="115" t="s">
        <v>5163</v>
      </c>
      <c r="J533" s="55" t="s">
        <v>5164</v>
      </c>
      <c r="K533" s="55" t="s">
        <v>61</v>
      </c>
      <c r="L533" s="55">
        <v>95360.0</v>
      </c>
      <c r="M533" s="55" t="s">
        <v>78</v>
      </c>
      <c r="N533" s="55" t="s">
        <v>79</v>
      </c>
      <c r="O533" s="55" t="s">
        <v>224</v>
      </c>
      <c r="P533" s="55" t="s">
        <v>110</v>
      </c>
      <c r="Q533" s="67" t="str">
        <f>IFERROR(__xludf.DUMMYFUNCTION("""COMPUTED_VALUE"""),"Taiwan.giaotiep.M236_95360_MES_NamNH_170524")</f>
        <v>Taiwan.giaotiep.M236_95360_MES_NamNH_170524</v>
      </c>
      <c r="R533" s="67" t="str">
        <f>IFERROR(__xludf.DUMMYFUNCTION("""COMPUTED_VALUE"""),"NEW_Taiwan_1840_none_170524")</f>
        <v>NEW_Taiwan_1840_none_170524</v>
      </c>
      <c r="S533" s="67" t="str">
        <f>IFERROR(__xludf.DUMMYFUNCTION("""COMPUTED_VALUE"""),"saletructiep_Taiwan.M236.1840.giaotiep_PTATT_LD153")</f>
        <v>saletructiep_Taiwan.M236.1840.giaotiep_PTATT_LD153</v>
      </c>
      <c r="T533" s="107" t="str">
        <f>IFERROR(__xludf.DUMMYFUNCTION("""COMPUTED_VALUE"""),"https://patadovietnam.edu.vn/tienganhgiaotiep_hn/?utm_source=Facebook&amp;utm_medium=MES&amp;utm_term=NEW_Taiwan_1840_none_170524&amp;utm_content=saletructiep_Taiwan.M236.1840.giaotiep_PTATT_LD153&amp;utm_campaign=Taiwan.giaotiep.M236_95360_MES_NamNH_170524")</f>
        <v>https://patadovietnam.edu.vn/tienganhgiaotiep_hn/?utm_source=Facebook&amp;utm_medium=MES&amp;utm_term=NEW_Taiwan_1840_none_170524&amp;utm_content=saletructiep_Taiwan.M236.1840.giaotiep_PTATT_LD153&amp;utm_campaign=Taiwan.giaotiep.M236_95360_MES_NamNH_170524</v>
      </c>
      <c r="U533" s="110" t="s">
        <v>5168</v>
      </c>
    </row>
    <row r="534">
      <c r="A534" s="72">
        <v>45444.0</v>
      </c>
      <c r="B534" s="75" t="s">
        <v>1245</v>
      </c>
      <c r="C534" s="67" t="str">
        <f>IFERROR(__xludf.DUMMYFUNCTION("""COMPUTED_VALUE"""),"LD161")</f>
        <v>LD161</v>
      </c>
      <c r="D534" s="55" t="s">
        <v>42</v>
      </c>
      <c r="E534" s="55" t="s">
        <v>79</v>
      </c>
      <c r="F534" s="55" t="s">
        <v>107</v>
      </c>
      <c r="G534" s="55">
        <v>1840.0</v>
      </c>
      <c r="H534" s="55" t="s">
        <v>1137</v>
      </c>
      <c r="I534" s="115" t="s">
        <v>5172</v>
      </c>
      <c r="J534" s="55" t="s">
        <v>5173</v>
      </c>
      <c r="K534" s="55" t="s">
        <v>61</v>
      </c>
      <c r="L534" s="55">
        <v>16917.0</v>
      </c>
      <c r="M534" s="55" t="s">
        <v>78</v>
      </c>
      <c r="N534" s="55" t="s">
        <v>79</v>
      </c>
      <c r="O534" s="55" t="s">
        <v>224</v>
      </c>
      <c r="P534" s="55" t="s">
        <v>110</v>
      </c>
      <c r="Q534" s="67" t="str">
        <f>IFERROR(__xludf.DUMMYFUNCTION("""COMPUTED_VALUE"""),"UnitedStates.giaotiep.M241_16917_MES_NamNH_010624")</f>
        <v>UnitedStates.giaotiep.M241_16917_MES_NamNH_010624</v>
      </c>
      <c r="R534" s="67" t="str">
        <f>IFERROR(__xludf.DUMMYFUNCTION("""COMPUTED_VALUE"""),"NEW_UnitedStates_1840_none_010624")</f>
        <v>NEW_UnitedStates_1840_none_010624</v>
      </c>
      <c r="S534" s="67" t="str">
        <f>IFERROR(__xludf.DUMMYFUNCTION("""COMPUTED_VALUE"""),"saletructiep_UnitedStates.M241.1840.giaotiep_PTATT_LD161")</f>
        <v>saletructiep_UnitedStates.M241.1840.giaotiep_PTATT_LD161</v>
      </c>
      <c r="T534" s="107" t="str">
        <f>IFERROR(__xludf.DUMMYFUNCTION("""COMPUTED_VALUE"""),"https://patadovietnam.edu.vn/gtusa1_nhn/?utm_source=Facebook&amp;utm_medium=MES&amp;utm_term=NEW_UnitedStates_1840_none_010624&amp;utm_content=saletructiep_UnitedStates.M241.1840.giaotiep_PTATT_LD161&amp;utm_campaign=UnitedStates.giaotiep.M241_16917_MES_NamNH_010624")</f>
        <v>https://patadovietnam.edu.vn/gtusa1_nhn/?utm_source=Facebook&amp;utm_medium=MES&amp;utm_term=NEW_UnitedStates_1840_none_010624&amp;utm_content=saletructiep_UnitedStates.M241.1840.giaotiep_PTATT_LD161&amp;utm_campaign=UnitedStates.giaotiep.M241_16917_MES_NamNH_010624</v>
      </c>
      <c r="U534" s="110" t="s">
        <v>5177</v>
      </c>
    </row>
    <row r="535">
      <c r="A535" s="72">
        <v>45444.0</v>
      </c>
      <c r="B535" s="75" t="s">
        <v>1245</v>
      </c>
      <c r="C535" s="67" t="str">
        <f>IFERROR(__xludf.DUMMYFUNCTION("""COMPUTED_VALUE"""),"LD161")</f>
        <v>LD161</v>
      </c>
      <c r="D535" s="55" t="s">
        <v>42</v>
      </c>
      <c r="E535" s="55" t="s">
        <v>79</v>
      </c>
      <c r="F535" s="55" t="s">
        <v>107</v>
      </c>
      <c r="G535" s="55">
        <v>1840.0</v>
      </c>
      <c r="H535" s="55" t="s">
        <v>1137</v>
      </c>
      <c r="I535" s="115" t="s">
        <v>5179</v>
      </c>
      <c r="J535" s="55" t="s">
        <v>5180</v>
      </c>
      <c r="K535" s="55" t="s">
        <v>61</v>
      </c>
      <c r="L535" s="55">
        <v>16917.0</v>
      </c>
      <c r="M535" s="55" t="s">
        <v>78</v>
      </c>
      <c r="N535" s="55" t="s">
        <v>79</v>
      </c>
      <c r="O535" s="55" t="s">
        <v>224</v>
      </c>
      <c r="P535" s="55" t="s">
        <v>110</v>
      </c>
      <c r="Q535" s="67" t="str">
        <f>IFERROR(__xludf.DUMMYFUNCTION("""COMPUTED_VALUE"""),"UnitedStates.giaotiep.M239_16917_MES_NamNH_010624")</f>
        <v>UnitedStates.giaotiep.M239_16917_MES_NamNH_010624</v>
      </c>
      <c r="R535" s="67" t="str">
        <f>IFERROR(__xludf.DUMMYFUNCTION("""COMPUTED_VALUE"""),"NEW_UnitedStates_1840_none_010624")</f>
        <v>NEW_UnitedStates_1840_none_010624</v>
      </c>
      <c r="S535" s="67" t="str">
        <f>IFERROR(__xludf.DUMMYFUNCTION("""COMPUTED_VALUE"""),"saletructiep_UnitedStates.M239.1840.giaotiep_PTATT_LD161")</f>
        <v>saletructiep_UnitedStates.M239.1840.giaotiep_PTATT_LD161</v>
      </c>
      <c r="T535" s="107" t="str">
        <f>IFERROR(__xludf.DUMMYFUNCTION("""COMPUTED_VALUE"""),"https://patadovietnam.edu.vn/gtusa1_nhn/?utm_source=Facebook&amp;utm_medium=MES&amp;utm_term=NEW_UnitedStates_1840_none_010624&amp;utm_content=saletructiep_UnitedStates.M239.1840.giaotiep_PTATT_LD161&amp;utm_campaign=UnitedStates.giaotiep.M239_16917_MES_NamNH_010624")</f>
        <v>https://patadovietnam.edu.vn/gtusa1_nhn/?utm_source=Facebook&amp;utm_medium=MES&amp;utm_term=NEW_UnitedStates_1840_none_010624&amp;utm_content=saletructiep_UnitedStates.M239.1840.giaotiep_PTATT_LD161&amp;utm_campaign=UnitedStates.giaotiep.M239_16917_MES_NamNH_010624</v>
      </c>
      <c r="U535" s="110" t="s">
        <v>5183</v>
      </c>
    </row>
    <row r="536">
      <c r="A536" s="72">
        <v>45444.0</v>
      </c>
      <c r="B536" s="75" t="s">
        <v>1245</v>
      </c>
      <c r="C536" s="67" t="str">
        <f>IFERROR(__xludf.DUMMYFUNCTION("""COMPUTED_VALUE"""),"LD161")</f>
        <v>LD161</v>
      </c>
      <c r="D536" s="55" t="s">
        <v>42</v>
      </c>
      <c r="E536" s="55" t="s">
        <v>79</v>
      </c>
      <c r="F536" s="55" t="s">
        <v>107</v>
      </c>
      <c r="G536" s="55">
        <v>1840.0</v>
      </c>
      <c r="H536" s="55" t="s">
        <v>1137</v>
      </c>
      <c r="I536" s="115" t="s">
        <v>5185</v>
      </c>
      <c r="J536" s="55" t="s">
        <v>5186</v>
      </c>
      <c r="K536" s="55" t="s">
        <v>61</v>
      </c>
      <c r="L536" s="55">
        <v>16917.0</v>
      </c>
      <c r="M536" s="55" t="s">
        <v>78</v>
      </c>
      <c r="N536" s="55" t="s">
        <v>79</v>
      </c>
      <c r="O536" s="55" t="s">
        <v>224</v>
      </c>
      <c r="P536" s="55" t="s">
        <v>110</v>
      </c>
      <c r="Q536" s="67" t="str">
        <f>IFERROR(__xludf.DUMMYFUNCTION("""COMPUTED_VALUE"""),"UnitedStates.giaotiep.M220_16917_MES_NamNH_010624")</f>
        <v>UnitedStates.giaotiep.M220_16917_MES_NamNH_010624</v>
      </c>
      <c r="R536" s="67" t="str">
        <f>IFERROR(__xludf.DUMMYFUNCTION("""COMPUTED_VALUE"""),"NEW_UnitedStates_1840_none_010624")</f>
        <v>NEW_UnitedStates_1840_none_010624</v>
      </c>
      <c r="S536" s="67" t="str">
        <f>IFERROR(__xludf.DUMMYFUNCTION("""COMPUTED_VALUE"""),"saletructiep_UnitedStates.M220.1840.giaotiep_PTATT_LD161")</f>
        <v>saletructiep_UnitedStates.M220.1840.giaotiep_PTATT_LD161</v>
      </c>
      <c r="T536" s="107" t="str">
        <f>IFERROR(__xludf.DUMMYFUNCTION("""COMPUTED_VALUE"""),"https://patadovietnam.edu.vn/gtusa1_nhn/?utm_source=Facebook&amp;utm_medium=MES&amp;utm_term=NEW_UnitedStates_1840_none_010624&amp;utm_content=saletructiep_UnitedStates.M220.1840.giaotiep_PTATT_LD161&amp;utm_campaign=UnitedStates.giaotiep.M220_16917_MES_NamNH_010624")</f>
        <v>https://patadovietnam.edu.vn/gtusa1_nhn/?utm_source=Facebook&amp;utm_medium=MES&amp;utm_term=NEW_UnitedStates_1840_none_010624&amp;utm_content=saletructiep_UnitedStates.M220.1840.giaotiep_PTATT_LD161&amp;utm_campaign=UnitedStates.giaotiep.M220_16917_MES_NamNH_010624</v>
      </c>
      <c r="U536" s="110" t="s">
        <v>5192</v>
      </c>
    </row>
    <row r="537">
      <c r="A537" s="72">
        <v>45444.0</v>
      </c>
      <c r="B537" s="75" t="s">
        <v>1245</v>
      </c>
      <c r="C537" s="67" t="str">
        <f>IFERROR(__xludf.DUMMYFUNCTION("""COMPUTED_VALUE"""),"LD161")</f>
        <v>LD161</v>
      </c>
      <c r="D537" s="55" t="s">
        <v>42</v>
      </c>
      <c r="E537" s="55" t="s">
        <v>69</v>
      </c>
      <c r="F537" s="55" t="s">
        <v>107</v>
      </c>
      <c r="G537" s="55">
        <v>1840.0</v>
      </c>
      <c r="H537" s="55" t="s">
        <v>1137</v>
      </c>
      <c r="I537" s="115" t="s">
        <v>4991</v>
      </c>
      <c r="J537" s="55" t="s">
        <v>4994</v>
      </c>
      <c r="K537" s="55" t="s">
        <v>61</v>
      </c>
      <c r="L537" s="55">
        <v>16917.0</v>
      </c>
      <c r="M537" s="55" t="s">
        <v>78</v>
      </c>
      <c r="N537" s="55" t="s">
        <v>69</v>
      </c>
      <c r="O537" s="55" t="s">
        <v>224</v>
      </c>
      <c r="P537" s="55" t="s">
        <v>110</v>
      </c>
      <c r="Q537" s="67" t="str">
        <f>IFERROR(__xludf.DUMMYFUNCTION("""COMPUTED_VALUE"""),"UnitedStates.giaotiep.M231C90_16917_CVS_NamNH_010624")</f>
        <v>UnitedStates.giaotiep.M231C90_16917_CVS_NamNH_010624</v>
      </c>
      <c r="R537" s="67" t="str">
        <f>IFERROR(__xludf.DUMMYFUNCTION("""COMPUTED_VALUE"""),"NEW_UnitedStates_1840_none_010624")</f>
        <v>NEW_UnitedStates_1840_none_010624</v>
      </c>
      <c r="S537" s="67" t="str">
        <f>IFERROR(__xludf.DUMMYFUNCTION("""COMPUTED_VALUE"""),"saletructiep_UnitedStates.M231C90.1840.giaotiep_PTATT_LD161")</f>
        <v>saletructiep_UnitedStates.M231C90.1840.giaotiep_PTATT_LD161</v>
      </c>
      <c r="T537" s="107" t="str">
        <f>IFERROR(__xludf.DUMMYFUNCTION("""COMPUTED_VALUE"""),"https://patadovietnam.edu.vn/gtusa1_nhn/?utm_source=Facebook&amp;utm_medium=CVS&amp;utm_term=NEW_UnitedStates_1840_none_010624&amp;utm_content=saletructiep_UnitedStates.M231C90.1840.giaotiep_PTATT_LD161&amp;utm_campaign=UnitedStates.giaotiep.M231C90_16917_CVS_NamNH_01062"&amp;"4")</f>
        <v>https://patadovietnam.edu.vn/gtusa1_nhn/?utm_source=Facebook&amp;utm_medium=CVS&amp;utm_term=NEW_UnitedStates_1840_none_010624&amp;utm_content=saletructiep_UnitedStates.M231C90.1840.giaotiep_PTATT_LD161&amp;utm_campaign=UnitedStates.giaotiep.M231C90_16917_CVS_NamNH_010624</v>
      </c>
      <c r="U537" s="110" t="s">
        <v>5197</v>
      </c>
    </row>
    <row r="538">
      <c r="A538" s="72">
        <v>45444.0</v>
      </c>
      <c r="B538" s="75" t="s">
        <v>1245</v>
      </c>
      <c r="C538" s="67" t="str">
        <f>IFERROR(__xludf.DUMMYFUNCTION("""COMPUTED_VALUE"""),"LD161")</f>
        <v>LD161</v>
      </c>
      <c r="D538" s="55" t="s">
        <v>42</v>
      </c>
      <c r="E538" s="55" t="s">
        <v>69</v>
      </c>
      <c r="F538" s="55" t="s">
        <v>107</v>
      </c>
      <c r="G538" s="55">
        <v>1840.0</v>
      </c>
      <c r="H538" s="55" t="s">
        <v>1137</v>
      </c>
      <c r="I538" s="115" t="s">
        <v>5200</v>
      </c>
      <c r="J538" s="55" t="s">
        <v>5201</v>
      </c>
      <c r="K538" s="55" t="s">
        <v>61</v>
      </c>
      <c r="L538" s="55">
        <v>16917.0</v>
      </c>
      <c r="M538" s="55" t="s">
        <v>78</v>
      </c>
      <c r="N538" s="55" t="s">
        <v>69</v>
      </c>
      <c r="O538" s="55" t="s">
        <v>224</v>
      </c>
      <c r="P538" s="55" t="s">
        <v>110</v>
      </c>
      <c r="Q538" s="67" t="str">
        <f>IFERROR(__xludf.DUMMYFUNCTION("""COMPUTED_VALUE"""),"UnitedStates.giaotiep.M235_16917_CVS_NamNH_010624")</f>
        <v>UnitedStates.giaotiep.M235_16917_CVS_NamNH_010624</v>
      </c>
      <c r="R538" s="67" t="str">
        <f>IFERROR(__xludf.DUMMYFUNCTION("""COMPUTED_VALUE"""),"NEW_UnitedStates_1840_none_010624")</f>
        <v>NEW_UnitedStates_1840_none_010624</v>
      </c>
      <c r="S538" s="67" t="str">
        <f>IFERROR(__xludf.DUMMYFUNCTION("""COMPUTED_VALUE"""),"saletructiep_UnitedStates.M235.1840.giaotiep_PTATT_LD161")</f>
        <v>saletructiep_UnitedStates.M235.1840.giaotiep_PTATT_LD161</v>
      </c>
      <c r="T538" s="107" t="str">
        <f>IFERROR(__xludf.DUMMYFUNCTION("""COMPUTED_VALUE"""),"https://patadovietnam.edu.vn/gtusa1_nhn/?utm_source=Facebook&amp;utm_medium=CVS&amp;utm_term=NEW_UnitedStates_1840_none_010624&amp;utm_content=saletructiep_UnitedStates.M235.1840.giaotiep_PTATT_LD161&amp;utm_campaign=UnitedStates.giaotiep.M235_16917_CVS_NamNH_010624")</f>
        <v>https://patadovietnam.edu.vn/gtusa1_nhn/?utm_source=Facebook&amp;utm_medium=CVS&amp;utm_term=NEW_UnitedStates_1840_none_010624&amp;utm_content=saletructiep_UnitedStates.M235.1840.giaotiep_PTATT_LD161&amp;utm_campaign=UnitedStates.giaotiep.M235_16917_CVS_NamNH_010624</v>
      </c>
      <c r="U538" s="110" t="s">
        <v>5204</v>
      </c>
    </row>
    <row r="539">
      <c r="A539" s="72">
        <v>45444.0</v>
      </c>
      <c r="B539" s="75" t="s">
        <v>1134</v>
      </c>
      <c r="C539" s="67" t="str">
        <f>IFERROR(__xludf.DUMMYFUNCTION("""COMPUTED_VALUE"""),"LD153")</f>
        <v>LD153</v>
      </c>
      <c r="D539" s="55" t="s">
        <v>42</v>
      </c>
      <c r="E539" s="55" t="s">
        <v>79</v>
      </c>
      <c r="F539" s="55" t="s">
        <v>164</v>
      </c>
      <c r="G539" s="55">
        <v>1840.0</v>
      </c>
      <c r="H539" s="55" t="s">
        <v>1137</v>
      </c>
      <c r="I539" s="115" t="s">
        <v>5209</v>
      </c>
      <c r="J539" s="55" t="s">
        <v>5210</v>
      </c>
      <c r="K539" s="55" t="s">
        <v>61</v>
      </c>
      <c r="L539" s="55">
        <v>95360.0</v>
      </c>
      <c r="M539" s="55" t="s">
        <v>78</v>
      </c>
      <c r="N539" s="55" t="s">
        <v>79</v>
      </c>
      <c r="O539" s="55" t="s">
        <v>224</v>
      </c>
      <c r="P539" s="55" t="s">
        <v>110</v>
      </c>
      <c r="Q539" s="67" t="str">
        <f>IFERROR(__xludf.DUMMYFUNCTION("""COMPUTED_VALUE"""),"Taiwan.giaotiep.M241_95360_MES_NamNH_010624")</f>
        <v>Taiwan.giaotiep.M241_95360_MES_NamNH_010624</v>
      </c>
      <c r="R539" s="67" t="str">
        <f>IFERROR(__xludf.DUMMYFUNCTION("""COMPUTED_VALUE"""),"NEW_Taiwan_1840_none_010624")</f>
        <v>NEW_Taiwan_1840_none_010624</v>
      </c>
      <c r="S539" s="67" t="str">
        <f>IFERROR(__xludf.DUMMYFUNCTION("""COMPUTED_VALUE"""),"saletructiep_Taiwan.M241.1840.giaotiep_PTATT_LD153")</f>
        <v>saletructiep_Taiwan.M241.1840.giaotiep_PTATT_LD153</v>
      </c>
      <c r="T539" s="107" t="str">
        <f>IFERROR(__xludf.DUMMYFUNCTION("""COMPUTED_VALUE"""),"https://patadovietnam.edu.vn/tienganhgiaotiep_hn/?utm_source=Facebook&amp;utm_medium=MES&amp;utm_term=NEW_Taiwan_1840_none_010624&amp;utm_content=saletructiep_Taiwan.M241.1840.giaotiep_PTATT_LD153&amp;utm_campaign=Taiwan.giaotiep.M241_95360_MES_NamNH_010624")</f>
        <v>https://patadovietnam.edu.vn/tienganhgiaotiep_hn/?utm_source=Facebook&amp;utm_medium=MES&amp;utm_term=NEW_Taiwan_1840_none_010624&amp;utm_content=saletructiep_Taiwan.M241.1840.giaotiep_PTATT_LD153&amp;utm_campaign=Taiwan.giaotiep.M241_95360_MES_NamNH_010624</v>
      </c>
      <c r="U539" s="110" t="s">
        <v>5213</v>
      </c>
    </row>
    <row r="540">
      <c r="A540" s="72">
        <v>45444.0</v>
      </c>
      <c r="B540" s="60" t="s">
        <v>1134</v>
      </c>
      <c r="C540" s="67" t="str">
        <f>IFERROR(__xludf.DUMMYFUNCTION("""COMPUTED_VALUE"""),"LD153")</f>
        <v>LD153</v>
      </c>
      <c r="D540" s="55" t="s">
        <v>42</v>
      </c>
      <c r="E540" s="55" t="s">
        <v>79</v>
      </c>
      <c r="F540" s="55" t="s">
        <v>164</v>
      </c>
      <c r="G540" s="55">
        <v>1840.0</v>
      </c>
      <c r="H540" s="55" t="s">
        <v>1137</v>
      </c>
      <c r="I540" s="115" t="s">
        <v>5214</v>
      </c>
      <c r="J540" s="55" t="s">
        <v>5216</v>
      </c>
      <c r="K540" s="55" t="s">
        <v>61</v>
      </c>
      <c r="L540" s="55">
        <v>95360.0</v>
      </c>
      <c r="M540" s="55" t="s">
        <v>78</v>
      </c>
      <c r="N540" s="55" t="s">
        <v>79</v>
      </c>
      <c r="O540" s="55" t="s">
        <v>224</v>
      </c>
      <c r="P540" s="55" t="s">
        <v>110</v>
      </c>
      <c r="Q540" s="67" t="str">
        <f>IFERROR(__xludf.DUMMYFUNCTION("""COMPUTED_VALUE"""),"Taiwan.giaotiep.M220_95360_MES_NamNH_010624")</f>
        <v>Taiwan.giaotiep.M220_95360_MES_NamNH_010624</v>
      </c>
      <c r="R540" s="67" t="str">
        <f>IFERROR(__xludf.DUMMYFUNCTION("""COMPUTED_VALUE"""),"NEW_Taiwan_1840_none_010624")</f>
        <v>NEW_Taiwan_1840_none_010624</v>
      </c>
      <c r="S540" s="67" t="str">
        <f>IFERROR(__xludf.DUMMYFUNCTION("""COMPUTED_VALUE"""),"saletructiep_Taiwan.M220.1840.giaotiep_PTATT_LD153")</f>
        <v>saletructiep_Taiwan.M220.1840.giaotiep_PTATT_LD153</v>
      </c>
      <c r="T540" s="107" t="str">
        <f>IFERROR(__xludf.DUMMYFUNCTION("""COMPUTED_VALUE"""),"https://patadovietnam.edu.vn/tienganhgiaotiep_hn/?utm_source=Facebook&amp;utm_medium=MES&amp;utm_term=NEW_Taiwan_1840_none_010624&amp;utm_content=saletructiep_Taiwan.M220.1840.giaotiep_PTATT_LD153&amp;utm_campaign=Taiwan.giaotiep.M220_95360_MES_NamNH_010624")</f>
        <v>https://patadovietnam.edu.vn/tienganhgiaotiep_hn/?utm_source=Facebook&amp;utm_medium=MES&amp;utm_term=NEW_Taiwan_1840_none_010624&amp;utm_content=saletructiep_Taiwan.M220.1840.giaotiep_PTATT_LD153&amp;utm_campaign=Taiwan.giaotiep.M220_95360_MES_NamNH_010624</v>
      </c>
      <c r="U540" s="110" t="s">
        <v>5220</v>
      </c>
    </row>
    <row r="541">
      <c r="A541" s="72">
        <v>45444.0</v>
      </c>
      <c r="B541" s="75" t="s">
        <v>1134</v>
      </c>
      <c r="C541" s="67" t="str">
        <f>IFERROR(__xludf.DUMMYFUNCTION("""COMPUTED_VALUE"""),"LD153")</f>
        <v>LD153</v>
      </c>
      <c r="D541" s="55" t="s">
        <v>42</v>
      </c>
      <c r="E541" s="55" t="s">
        <v>69</v>
      </c>
      <c r="F541" s="55" t="s">
        <v>164</v>
      </c>
      <c r="G541" s="55">
        <v>1840.0</v>
      </c>
      <c r="H541" s="55" t="s">
        <v>1137</v>
      </c>
      <c r="I541" s="115" t="s">
        <v>5223</v>
      </c>
      <c r="J541" s="55" t="s">
        <v>5224</v>
      </c>
      <c r="K541" s="55" t="s">
        <v>61</v>
      </c>
      <c r="L541" s="55">
        <v>95360.0</v>
      </c>
      <c r="M541" s="55" t="s">
        <v>78</v>
      </c>
      <c r="N541" s="55" t="s">
        <v>69</v>
      </c>
      <c r="O541" s="55" t="s">
        <v>224</v>
      </c>
      <c r="P541" s="55" t="s">
        <v>110</v>
      </c>
      <c r="Q541" s="67" t="str">
        <f>IFERROR(__xludf.DUMMYFUNCTION("""COMPUTED_VALUE"""),"Taiwan.giaotiep.M231_95360_CVS_NamNH_010624")</f>
        <v>Taiwan.giaotiep.M231_95360_CVS_NamNH_010624</v>
      </c>
      <c r="R541" s="67" t="str">
        <f>IFERROR(__xludf.DUMMYFUNCTION("""COMPUTED_VALUE"""),"NEW_Taiwan_1840_none_010624")</f>
        <v>NEW_Taiwan_1840_none_010624</v>
      </c>
      <c r="S541" s="67" t="str">
        <f>IFERROR(__xludf.DUMMYFUNCTION("""COMPUTED_VALUE"""),"saletructiep_Taiwan.M231.1840.giaotiep_PTATT_LD153")</f>
        <v>saletructiep_Taiwan.M231.1840.giaotiep_PTATT_LD153</v>
      </c>
      <c r="T541" s="107" t="str">
        <f>IFERROR(__xludf.DUMMYFUNCTION("""COMPUTED_VALUE"""),"https://patadovietnam.edu.vn/tienganhgiaotiep_hn/?utm_source=Facebook&amp;utm_medium=CVS&amp;utm_term=NEW_Taiwan_1840_none_010624&amp;utm_content=saletructiep_Taiwan.M231.1840.giaotiep_PTATT_LD153&amp;utm_campaign=Taiwan.giaotiep.M231_95360_CVS_NamNH_010624")</f>
        <v>https://patadovietnam.edu.vn/tienganhgiaotiep_hn/?utm_source=Facebook&amp;utm_medium=CVS&amp;utm_term=NEW_Taiwan_1840_none_010624&amp;utm_content=saletructiep_Taiwan.M231.1840.giaotiep_PTATT_LD153&amp;utm_campaign=Taiwan.giaotiep.M231_95360_CVS_NamNH_010624</v>
      </c>
      <c r="U541" s="110" t="s">
        <v>5229</v>
      </c>
    </row>
    <row r="542">
      <c r="A542" s="72">
        <v>45444.0</v>
      </c>
      <c r="B542" s="60" t="s">
        <v>1134</v>
      </c>
      <c r="C542" s="67" t="str">
        <f>IFERROR(__xludf.DUMMYFUNCTION("""COMPUTED_VALUE"""),"LD153")</f>
        <v>LD153</v>
      </c>
      <c r="D542" s="55" t="s">
        <v>42</v>
      </c>
      <c r="E542" s="55" t="s">
        <v>69</v>
      </c>
      <c r="F542" s="55" t="s">
        <v>625</v>
      </c>
      <c r="G542" s="55">
        <v>1840.0</v>
      </c>
      <c r="H542" s="55" t="s">
        <v>1137</v>
      </c>
      <c r="I542" s="115" t="s">
        <v>5232</v>
      </c>
      <c r="J542" s="55" t="s">
        <v>5233</v>
      </c>
      <c r="K542" s="55" t="s">
        <v>61</v>
      </c>
      <c r="L542" s="55">
        <v>95360.0</v>
      </c>
      <c r="M542" s="55" t="s">
        <v>78</v>
      </c>
      <c r="N542" s="55" t="s">
        <v>69</v>
      </c>
      <c r="O542" s="55" t="s">
        <v>224</v>
      </c>
      <c r="P542" s="55" t="s">
        <v>110</v>
      </c>
      <c r="Q542" s="67" t="str">
        <f>IFERROR(__xludf.DUMMYFUNCTION("""COMPUTED_VALUE"""),"KoreaSouth.giaotiep.M231_95360_CVS_NamNH_010624")</f>
        <v>KoreaSouth.giaotiep.M231_95360_CVS_NamNH_010624</v>
      </c>
      <c r="R542" s="67" t="str">
        <f>IFERROR(__xludf.DUMMYFUNCTION("""COMPUTED_VALUE"""),"NEW_KoreaSouth_1840_none_010624")</f>
        <v>NEW_KoreaSouth_1840_none_010624</v>
      </c>
      <c r="S542" s="67" t="str">
        <f>IFERROR(__xludf.DUMMYFUNCTION("""COMPUTED_VALUE"""),"saletructiep_KoreaSouth.M231.1840.giaotiep_PTATT_LD153")</f>
        <v>saletructiep_KoreaSouth.M231.1840.giaotiep_PTATT_LD153</v>
      </c>
      <c r="T542" s="107" t="str">
        <f>IFERROR(__xludf.DUMMYFUNCTION("""COMPUTED_VALUE"""),"https://patadovietnam.edu.vn/tienganhgiaotiep_hn/?utm_source=Facebook&amp;utm_medium=CVS&amp;utm_term=NEW_KoreaSouth_1840_none_010624&amp;utm_content=saletructiep_KoreaSouth.M231.1840.giaotiep_PTATT_LD153&amp;utm_campaign=KoreaSouth.giaotiep.M231_95360_CVS_NamNH_010624")</f>
        <v>https://patadovietnam.edu.vn/tienganhgiaotiep_hn/?utm_source=Facebook&amp;utm_medium=CVS&amp;utm_term=NEW_KoreaSouth_1840_none_010624&amp;utm_content=saletructiep_KoreaSouth.M231.1840.giaotiep_PTATT_LD153&amp;utm_campaign=KoreaSouth.giaotiep.M231_95360_CVS_NamNH_010624</v>
      </c>
      <c r="U542" s="110" t="s">
        <v>5238</v>
      </c>
    </row>
    <row r="543">
      <c r="A543" s="72">
        <v>45444.0</v>
      </c>
      <c r="B543" s="75" t="s">
        <v>1134</v>
      </c>
      <c r="C543" s="67" t="str">
        <f>IFERROR(__xludf.DUMMYFUNCTION("""COMPUTED_VALUE"""),"LD153")</f>
        <v>LD153</v>
      </c>
      <c r="D543" s="55" t="s">
        <v>42</v>
      </c>
      <c r="E543" s="55" t="s">
        <v>79</v>
      </c>
      <c r="F543" s="55" t="s">
        <v>174</v>
      </c>
      <c r="G543" s="55">
        <v>1840.0</v>
      </c>
      <c r="H543" s="55" t="s">
        <v>1137</v>
      </c>
      <c r="I543" s="115" t="s">
        <v>5239</v>
      </c>
      <c r="J543" s="55" t="s">
        <v>5240</v>
      </c>
      <c r="K543" s="55" t="s">
        <v>61</v>
      </c>
      <c r="L543" s="55">
        <v>95360.0</v>
      </c>
      <c r="M543" s="55" t="s">
        <v>78</v>
      </c>
      <c r="N543" s="55" t="s">
        <v>79</v>
      </c>
      <c r="O543" s="55" t="s">
        <v>224</v>
      </c>
      <c r="P543" s="55" t="s">
        <v>110</v>
      </c>
      <c r="Q543" s="67" t="str">
        <f>IFERROR(__xludf.DUMMYFUNCTION("""COMPUTED_VALUE"""),"Philippines.giaotiep.M241_95360_MES_NamNH_010624")</f>
        <v>Philippines.giaotiep.M241_95360_MES_NamNH_010624</v>
      </c>
      <c r="R543" s="67" t="str">
        <f>IFERROR(__xludf.DUMMYFUNCTION("""COMPUTED_VALUE"""),"NEW_Philippines_1840_none_010624")</f>
        <v>NEW_Philippines_1840_none_010624</v>
      </c>
      <c r="S543" s="67" t="str">
        <f>IFERROR(__xludf.DUMMYFUNCTION("""COMPUTED_VALUE"""),"saletructiep_Philippines.M241.1840.giaotiep_PTATT_LD153")</f>
        <v>saletructiep_Philippines.M241.1840.giaotiep_PTATT_LD153</v>
      </c>
      <c r="T543" s="107" t="str">
        <f>IFERROR(__xludf.DUMMYFUNCTION("""COMPUTED_VALUE"""),"https://patadovietnam.edu.vn/tienganhgiaotiep_hn/?utm_source=Facebook&amp;utm_medium=MES&amp;utm_term=NEW_Philippines_1840_none_010624&amp;utm_content=saletructiep_Philippines.M241.1840.giaotiep_PTATT_LD153&amp;utm_campaign=Philippines.giaotiep.M241_95360_MES_NamNH_01062"&amp;"4")</f>
        <v>https://patadovietnam.edu.vn/tienganhgiaotiep_hn/?utm_source=Facebook&amp;utm_medium=MES&amp;utm_term=NEW_Philippines_1840_none_010624&amp;utm_content=saletructiep_Philippines.M241.1840.giaotiep_PTATT_LD153&amp;utm_campaign=Philippines.giaotiep.M241_95360_MES_NamNH_010624</v>
      </c>
      <c r="U543" s="110" t="s">
        <v>5245</v>
      </c>
    </row>
    <row r="544">
      <c r="A544" s="72">
        <v>45444.0</v>
      </c>
      <c r="B544" s="75" t="s">
        <v>1229</v>
      </c>
      <c r="C544" s="67" t="str">
        <f>IFERROR(__xludf.DUMMYFUNCTION("""COMPUTED_VALUE"""),"LD164")</f>
        <v>LD164</v>
      </c>
      <c r="D544" s="55" t="s">
        <v>42</v>
      </c>
      <c r="E544" s="55" t="s">
        <v>69</v>
      </c>
      <c r="F544" s="55" t="s">
        <v>133</v>
      </c>
      <c r="G544" s="55">
        <v>1840.0</v>
      </c>
      <c r="H544" s="55" t="s">
        <v>1137</v>
      </c>
      <c r="I544" s="115" t="s">
        <v>5246</v>
      </c>
      <c r="J544" s="55" t="s">
        <v>5247</v>
      </c>
      <c r="K544" s="55" t="s">
        <v>61</v>
      </c>
      <c r="L544" s="55">
        <v>16917.0</v>
      </c>
      <c r="M544" s="55" t="s">
        <v>78</v>
      </c>
      <c r="N544" s="55" t="s">
        <v>69</v>
      </c>
      <c r="O544" s="55" t="s">
        <v>224</v>
      </c>
      <c r="P544" s="55" t="s">
        <v>110</v>
      </c>
      <c r="Q544" s="67" t="str">
        <f>IFERROR(__xludf.DUMMYFUNCTION("""COMPUTED_VALUE"""),"Japan.giaotiep.M231_16917_CVS_NamNH_010624")</f>
        <v>Japan.giaotiep.M231_16917_CVS_NamNH_010624</v>
      </c>
      <c r="R544" s="67" t="str">
        <f>IFERROR(__xludf.DUMMYFUNCTION("""COMPUTED_VALUE"""),"NEW_Japan_1840_none_010624")</f>
        <v>NEW_Japan_1840_none_010624</v>
      </c>
      <c r="S544" s="67" t="str">
        <f>IFERROR(__xludf.DUMMYFUNCTION("""COMPUTED_VALUE"""),"saletructiep_Japan.M231.1840.giaotiep_PTATT_LD164")</f>
        <v>saletructiep_Japan.M231.1840.giaotiep_PTATT_LD164</v>
      </c>
      <c r="T544" s="107" t="str">
        <f>IFERROR(__xludf.DUMMYFUNCTION("""COMPUTED_VALUE"""),"https://patadovietnam.edu.vn/gtjapan_nhn3/?utm_source=Facebook&amp;utm_medium=CVS&amp;utm_term=NEW_Japan_1840_none_010624&amp;utm_content=saletructiep_Japan.M231.1840.giaotiep_PTATT_LD164&amp;utm_campaign=Japan.giaotiep.M231_16917_CVS_NamNH_010624")</f>
        <v>https://patadovietnam.edu.vn/gtjapan_nhn3/?utm_source=Facebook&amp;utm_medium=CVS&amp;utm_term=NEW_Japan_1840_none_010624&amp;utm_content=saletructiep_Japan.M231.1840.giaotiep_PTATT_LD164&amp;utm_campaign=Japan.giaotiep.M231_16917_CVS_NamNH_010624</v>
      </c>
      <c r="U544" s="110" t="s">
        <v>5251</v>
      </c>
    </row>
    <row r="545">
      <c r="A545" s="72">
        <v>45444.0</v>
      </c>
      <c r="B545" s="75" t="s">
        <v>1229</v>
      </c>
      <c r="C545" s="67" t="str">
        <f>IFERROR(__xludf.DUMMYFUNCTION("""COMPUTED_VALUE"""),"LD164")</f>
        <v>LD164</v>
      </c>
      <c r="D545" s="55" t="s">
        <v>42</v>
      </c>
      <c r="E545" s="55" t="s">
        <v>69</v>
      </c>
      <c r="F545" s="55" t="s">
        <v>133</v>
      </c>
      <c r="G545" s="55">
        <v>1840.0</v>
      </c>
      <c r="H545" s="55" t="s">
        <v>1137</v>
      </c>
      <c r="I545" s="115" t="s">
        <v>5254</v>
      </c>
      <c r="J545" s="55" t="s">
        <v>5255</v>
      </c>
      <c r="K545" s="55" t="s">
        <v>61</v>
      </c>
      <c r="L545" s="55">
        <v>16917.0</v>
      </c>
      <c r="M545" s="55" t="s">
        <v>78</v>
      </c>
      <c r="N545" s="55" t="s">
        <v>69</v>
      </c>
      <c r="O545" s="55" t="s">
        <v>224</v>
      </c>
      <c r="P545" s="55" t="s">
        <v>110</v>
      </c>
      <c r="Q545" s="67" t="str">
        <f>IFERROR(__xludf.DUMMYFUNCTION("""COMPUTED_VALUE"""),"Japan.giaotiep.M241_16917_CVS_NamNH_010624")</f>
        <v>Japan.giaotiep.M241_16917_CVS_NamNH_010624</v>
      </c>
      <c r="R545" s="67" t="str">
        <f>IFERROR(__xludf.DUMMYFUNCTION("""COMPUTED_VALUE"""),"NEW_Japan_1840_none_010624")</f>
        <v>NEW_Japan_1840_none_010624</v>
      </c>
      <c r="S545" s="67" t="str">
        <f>IFERROR(__xludf.DUMMYFUNCTION("""COMPUTED_VALUE"""),"saletructiep_Japan.M241.1840.giaotiep_PTATT_LD164")</f>
        <v>saletructiep_Japan.M241.1840.giaotiep_PTATT_LD164</v>
      </c>
      <c r="T545" s="107" t="str">
        <f>IFERROR(__xludf.DUMMYFUNCTION("""COMPUTED_VALUE"""),"https://patadovietnam.edu.vn/gtjapan_nhn3/?utm_source=Facebook&amp;utm_medium=CVS&amp;utm_term=NEW_Japan_1840_none_010624&amp;utm_content=saletructiep_Japan.M241.1840.giaotiep_PTATT_LD164&amp;utm_campaign=Japan.giaotiep.M241_16917_CVS_NamNH_010624")</f>
        <v>https://patadovietnam.edu.vn/gtjapan_nhn3/?utm_source=Facebook&amp;utm_medium=CVS&amp;utm_term=NEW_Japan_1840_none_010624&amp;utm_content=saletructiep_Japan.M241.1840.giaotiep_PTATT_LD164&amp;utm_campaign=Japan.giaotiep.M241_16917_CVS_NamNH_010624</v>
      </c>
      <c r="U545" s="110" t="s">
        <v>5258</v>
      </c>
    </row>
    <row r="546">
      <c r="A546" s="72">
        <v>45444.0</v>
      </c>
      <c r="B546" s="75" t="s">
        <v>1229</v>
      </c>
      <c r="C546" s="67" t="str">
        <f>IFERROR(__xludf.DUMMYFUNCTION("""COMPUTED_VALUE"""),"LD164")</f>
        <v>LD164</v>
      </c>
      <c r="D546" s="55" t="s">
        <v>42</v>
      </c>
      <c r="E546" s="55" t="s">
        <v>69</v>
      </c>
      <c r="F546" s="55" t="s">
        <v>133</v>
      </c>
      <c r="G546" s="55">
        <v>1840.0</v>
      </c>
      <c r="H546" s="55" t="s">
        <v>1137</v>
      </c>
      <c r="I546" s="115" t="s">
        <v>5263</v>
      </c>
      <c r="J546" s="55" t="s">
        <v>5264</v>
      </c>
      <c r="K546" s="55" t="s">
        <v>61</v>
      </c>
      <c r="L546" s="55">
        <v>16917.0</v>
      </c>
      <c r="M546" s="55" t="s">
        <v>78</v>
      </c>
      <c r="N546" s="55" t="s">
        <v>69</v>
      </c>
      <c r="O546" s="55" t="s">
        <v>224</v>
      </c>
      <c r="P546" s="55" t="s">
        <v>110</v>
      </c>
      <c r="Q546" s="67" t="str">
        <f>IFERROR(__xludf.DUMMYFUNCTION("""COMPUTED_VALUE"""),"Japan.giaotiep.M220_16917_CVS_NamNH_010624")</f>
        <v>Japan.giaotiep.M220_16917_CVS_NamNH_010624</v>
      </c>
      <c r="R546" s="67" t="str">
        <f>IFERROR(__xludf.DUMMYFUNCTION("""COMPUTED_VALUE"""),"NEW_Japan_1840_none_010624")</f>
        <v>NEW_Japan_1840_none_010624</v>
      </c>
      <c r="S546" s="67" t="str">
        <f>IFERROR(__xludf.DUMMYFUNCTION("""COMPUTED_VALUE"""),"saletructiep_Japan.M220.1840.giaotiep_PTATT_LD164")</f>
        <v>saletructiep_Japan.M220.1840.giaotiep_PTATT_LD164</v>
      </c>
      <c r="T546" s="107" t="str">
        <f>IFERROR(__xludf.DUMMYFUNCTION("""COMPUTED_VALUE"""),"https://patadovietnam.edu.vn/gtjapan_nhn3/?utm_source=Facebook&amp;utm_medium=CVS&amp;utm_term=NEW_Japan_1840_none_010624&amp;utm_content=saletructiep_Japan.M220.1840.giaotiep_PTATT_LD164&amp;utm_campaign=Japan.giaotiep.M220_16917_CVS_NamNH_010624")</f>
        <v>https://patadovietnam.edu.vn/gtjapan_nhn3/?utm_source=Facebook&amp;utm_medium=CVS&amp;utm_term=NEW_Japan_1840_none_010624&amp;utm_content=saletructiep_Japan.M220.1840.giaotiep_PTATT_LD164&amp;utm_campaign=Japan.giaotiep.M220_16917_CVS_NamNH_010624</v>
      </c>
      <c r="U546" s="110" t="s">
        <v>5265</v>
      </c>
    </row>
    <row r="547">
      <c r="A547" s="72">
        <v>45444.0</v>
      </c>
      <c r="B547" s="75" t="s">
        <v>1229</v>
      </c>
      <c r="C547" s="67" t="str">
        <f>IFERROR(__xludf.DUMMYFUNCTION("""COMPUTED_VALUE"""),"LD164")</f>
        <v>LD164</v>
      </c>
      <c r="D547" s="55" t="s">
        <v>42</v>
      </c>
      <c r="E547" s="55" t="s">
        <v>69</v>
      </c>
      <c r="F547" s="55" t="s">
        <v>133</v>
      </c>
      <c r="G547" s="55">
        <v>1840.0</v>
      </c>
      <c r="H547" s="55" t="s">
        <v>1137</v>
      </c>
      <c r="I547" s="115" t="s">
        <v>5267</v>
      </c>
      <c r="J547" s="55" t="s">
        <v>5268</v>
      </c>
      <c r="K547" s="55" t="s">
        <v>61</v>
      </c>
      <c r="L547" s="55">
        <v>16917.0</v>
      </c>
      <c r="M547" s="55" t="s">
        <v>78</v>
      </c>
      <c r="N547" s="55" t="s">
        <v>69</v>
      </c>
      <c r="O547" s="55" t="s">
        <v>224</v>
      </c>
      <c r="P547" s="55" t="s">
        <v>110</v>
      </c>
      <c r="Q547" s="67" t="str">
        <f>IFERROR(__xludf.DUMMYFUNCTION("""COMPUTED_VALUE"""),"Japan.giaotiep.M239_16917_CVS_NamNH_010624")</f>
        <v>Japan.giaotiep.M239_16917_CVS_NamNH_010624</v>
      </c>
      <c r="R547" s="67" t="str">
        <f>IFERROR(__xludf.DUMMYFUNCTION("""COMPUTED_VALUE"""),"NEW_Japan_1840_none_010624")</f>
        <v>NEW_Japan_1840_none_010624</v>
      </c>
      <c r="S547" s="67" t="str">
        <f>IFERROR(__xludf.DUMMYFUNCTION("""COMPUTED_VALUE"""),"saletructiep_Japan.M239.1840.giaotiep_PTATT_LD164")</f>
        <v>saletructiep_Japan.M239.1840.giaotiep_PTATT_LD164</v>
      </c>
      <c r="T547" s="107" t="str">
        <f>IFERROR(__xludf.DUMMYFUNCTION("""COMPUTED_VALUE"""),"https://patadovietnam.edu.vn/gtjapan_nhn3/?utm_source=Facebook&amp;utm_medium=CVS&amp;utm_term=NEW_Japan_1840_none_010624&amp;utm_content=saletructiep_Japan.M239.1840.giaotiep_PTATT_LD164&amp;utm_campaign=Japan.giaotiep.M239_16917_CVS_NamNH_010624")</f>
        <v>https://patadovietnam.edu.vn/gtjapan_nhn3/?utm_source=Facebook&amp;utm_medium=CVS&amp;utm_term=NEW_Japan_1840_none_010624&amp;utm_content=saletructiep_Japan.M239.1840.giaotiep_PTATT_LD164&amp;utm_campaign=Japan.giaotiep.M239_16917_CVS_NamNH_010624</v>
      </c>
      <c r="U547" s="110" t="s">
        <v>5274</v>
      </c>
    </row>
    <row r="548">
      <c r="A548" s="72">
        <v>45444.0</v>
      </c>
      <c r="B548" s="60" t="s">
        <v>1229</v>
      </c>
      <c r="C548" s="67" t="str">
        <f>IFERROR(__xludf.DUMMYFUNCTION("""COMPUTED_VALUE"""),"LD164")</f>
        <v>LD164</v>
      </c>
      <c r="D548" s="55" t="s">
        <v>42</v>
      </c>
      <c r="E548" s="55" t="s">
        <v>69</v>
      </c>
      <c r="F548" s="55" t="s">
        <v>133</v>
      </c>
      <c r="G548" s="55">
        <v>1840.0</v>
      </c>
      <c r="H548" s="55" t="s">
        <v>1137</v>
      </c>
      <c r="I548" s="115" t="s">
        <v>5276</v>
      </c>
      <c r="J548" s="55" t="s">
        <v>5277</v>
      </c>
      <c r="K548" s="55" t="s">
        <v>61</v>
      </c>
      <c r="L548" s="55">
        <v>16917.0</v>
      </c>
      <c r="M548" s="55" t="s">
        <v>78</v>
      </c>
      <c r="N548" s="55" t="s">
        <v>69</v>
      </c>
      <c r="O548" s="55" t="s">
        <v>224</v>
      </c>
      <c r="P548" s="55" t="s">
        <v>110</v>
      </c>
      <c r="Q548" s="67" t="str">
        <f>IFERROR(__xludf.DUMMYFUNCTION("""COMPUTED_VALUE"""),"Japan.giaotiep.anhsale13_16917_CVS_NamNH_010624")</f>
        <v>Japan.giaotiep.anhsale13_16917_CVS_NamNH_010624</v>
      </c>
      <c r="R548" s="67" t="str">
        <f>IFERROR(__xludf.DUMMYFUNCTION("""COMPUTED_VALUE"""),"NEW_Japan_1840_none_010624")</f>
        <v>NEW_Japan_1840_none_010624</v>
      </c>
      <c r="S548" s="67" t="str">
        <f>IFERROR(__xludf.DUMMYFUNCTION("""COMPUTED_VALUE"""),"saletructiep_Japan.anhsale13.1840.giaotiep_PTATT_LD164")</f>
        <v>saletructiep_Japan.anhsale13.1840.giaotiep_PTATT_LD164</v>
      </c>
      <c r="T548" s="107" t="str">
        <f>IFERROR(__xludf.DUMMYFUNCTION("""COMPUTED_VALUE"""),"https://patadovietnam.edu.vn/gtjapan_nhn3/?utm_source=Facebook&amp;utm_medium=CVS&amp;utm_term=NEW_Japan_1840_none_010624&amp;utm_content=saletructiep_Japan.anhsale13.1840.giaotiep_PTATT_LD164&amp;utm_campaign=Japan.giaotiep.anhsale13_16917_CVS_NamNH_010624")</f>
        <v>https://patadovietnam.edu.vn/gtjapan_nhn3/?utm_source=Facebook&amp;utm_medium=CVS&amp;utm_term=NEW_Japan_1840_none_010624&amp;utm_content=saletructiep_Japan.anhsale13.1840.giaotiep_PTATT_LD164&amp;utm_campaign=Japan.giaotiep.anhsale13_16917_CVS_NamNH_010624</v>
      </c>
      <c r="U548" s="110" t="s">
        <v>5283</v>
      </c>
    </row>
    <row r="549">
      <c r="A549" s="72">
        <v>45444.0</v>
      </c>
      <c r="B549" s="75" t="s">
        <v>1229</v>
      </c>
      <c r="C549" s="67" t="str">
        <f>IFERROR(__xludf.DUMMYFUNCTION("""COMPUTED_VALUE"""),"LD164")</f>
        <v>LD164</v>
      </c>
      <c r="D549" s="55" t="s">
        <v>42</v>
      </c>
      <c r="E549" s="55" t="s">
        <v>69</v>
      </c>
      <c r="F549" s="55" t="s">
        <v>133</v>
      </c>
      <c r="G549" s="55">
        <v>1840.0</v>
      </c>
      <c r="H549" s="55" t="s">
        <v>1137</v>
      </c>
      <c r="I549" s="115" t="s">
        <v>5286</v>
      </c>
      <c r="J549" s="55" t="s">
        <v>5287</v>
      </c>
      <c r="K549" s="55" t="s">
        <v>61</v>
      </c>
      <c r="L549" s="55">
        <v>16917.0</v>
      </c>
      <c r="M549" s="55" t="s">
        <v>78</v>
      </c>
      <c r="N549" s="55" t="s">
        <v>69</v>
      </c>
      <c r="O549" s="55" t="s">
        <v>224</v>
      </c>
      <c r="P549" s="55" t="s">
        <v>110</v>
      </c>
      <c r="Q549" s="67" t="str">
        <f>IFERROR(__xludf.DUMMYFUNCTION("""COMPUTED_VALUE"""),"Japan.giaotiep.anhsale10_16917_CVS_NamNH_010624")</f>
        <v>Japan.giaotiep.anhsale10_16917_CVS_NamNH_010624</v>
      </c>
      <c r="R549" s="67" t="str">
        <f>IFERROR(__xludf.DUMMYFUNCTION("""COMPUTED_VALUE"""),"NEW_Japan_1840_none_010624")</f>
        <v>NEW_Japan_1840_none_010624</v>
      </c>
      <c r="S549" s="67" t="str">
        <f>IFERROR(__xludf.DUMMYFUNCTION("""COMPUTED_VALUE"""),"saletructiep_Japan.anhsale10.1840.giaotiep_PTATT_LD164")</f>
        <v>saletructiep_Japan.anhsale10.1840.giaotiep_PTATT_LD164</v>
      </c>
      <c r="T549" s="107" t="str">
        <f>IFERROR(__xludf.DUMMYFUNCTION("""COMPUTED_VALUE"""),"https://patadovietnam.edu.vn/gtjapan_nhn3/?utm_source=Facebook&amp;utm_medium=CVS&amp;utm_term=NEW_Japan_1840_none_010624&amp;utm_content=saletructiep_Japan.anhsale10.1840.giaotiep_PTATT_LD164&amp;utm_campaign=Japan.giaotiep.anhsale10_16917_CVS_NamNH_010624")</f>
        <v>https://patadovietnam.edu.vn/gtjapan_nhn3/?utm_source=Facebook&amp;utm_medium=CVS&amp;utm_term=NEW_Japan_1840_none_010624&amp;utm_content=saletructiep_Japan.anhsale10.1840.giaotiep_PTATT_LD164&amp;utm_campaign=Japan.giaotiep.anhsale10_16917_CVS_NamNH_010624</v>
      </c>
      <c r="U549" s="110" t="s">
        <v>5294</v>
      </c>
    </row>
    <row r="550">
      <c r="A550" s="72">
        <v>45444.0</v>
      </c>
      <c r="B550" s="75" t="s">
        <v>1134</v>
      </c>
      <c r="C550" s="67" t="str">
        <f>IFERROR(__xludf.DUMMYFUNCTION("""COMPUTED_VALUE"""),"LD153")</f>
        <v>LD153</v>
      </c>
      <c r="D550" s="55" t="s">
        <v>42</v>
      </c>
      <c r="E550" s="55" t="s">
        <v>69</v>
      </c>
      <c r="F550" s="55" t="s">
        <v>674</v>
      </c>
      <c r="G550" s="55">
        <v>1840.0</v>
      </c>
      <c r="H550" s="55" t="s">
        <v>1137</v>
      </c>
      <c r="I550" s="115" t="s">
        <v>5298</v>
      </c>
      <c r="J550" s="55" t="s">
        <v>5300</v>
      </c>
      <c r="K550" s="55" t="s">
        <v>61</v>
      </c>
      <c r="L550" s="55">
        <v>16917.0</v>
      </c>
      <c r="M550" s="55" t="s">
        <v>78</v>
      </c>
      <c r="N550" s="55" t="s">
        <v>69</v>
      </c>
      <c r="O550" s="55" t="s">
        <v>224</v>
      </c>
      <c r="P550" s="55" t="s">
        <v>110</v>
      </c>
      <c r="Q550" s="67" t="str">
        <f>IFERROR(__xludf.DUMMYFUNCTION("""COMPUTED_VALUE"""),"Europe.giaotiep.M241_16917_CVS_NamNH_010624")</f>
        <v>Europe.giaotiep.M241_16917_CVS_NamNH_010624</v>
      </c>
      <c r="R550" s="67" t="str">
        <f>IFERROR(__xludf.DUMMYFUNCTION("""COMPUTED_VALUE"""),"NEW_Europe_1840_none_010624")</f>
        <v>NEW_Europe_1840_none_010624</v>
      </c>
      <c r="S550" s="67" t="str">
        <f>IFERROR(__xludf.DUMMYFUNCTION("""COMPUTED_VALUE"""),"saletructiep_Europe.M241.1840.giaotiep_PTATT_LD153")</f>
        <v>saletructiep_Europe.M241.1840.giaotiep_PTATT_LD153</v>
      </c>
      <c r="T550" s="107" t="str">
        <f>IFERROR(__xludf.DUMMYFUNCTION("""COMPUTED_VALUE"""),"https://patadovietnam.edu.vn/tienganhgiaotiep_hn/?utm_source=Facebook&amp;utm_medium=CVS&amp;utm_term=NEW_Europe_1840_none_010624&amp;utm_content=saletructiep_Europe.M241.1840.giaotiep_PTATT_LD153&amp;utm_campaign=Europe.giaotiep.M241_16917_CVS_NamNH_010624")</f>
        <v>https://patadovietnam.edu.vn/tienganhgiaotiep_hn/?utm_source=Facebook&amp;utm_medium=CVS&amp;utm_term=NEW_Europe_1840_none_010624&amp;utm_content=saletructiep_Europe.M241.1840.giaotiep_PTATT_LD153&amp;utm_campaign=Europe.giaotiep.M241_16917_CVS_NamNH_010624</v>
      </c>
      <c r="U550" s="110" t="s">
        <v>5304</v>
      </c>
    </row>
    <row r="551">
      <c r="A551" s="72">
        <v>45444.0</v>
      </c>
      <c r="B551" s="75" t="s">
        <v>1134</v>
      </c>
      <c r="C551" s="67" t="str">
        <f>IFERROR(__xludf.DUMMYFUNCTION("""COMPUTED_VALUE"""),"LD153")</f>
        <v>LD153</v>
      </c>
      <c r="D551" s="55" t="s">
        <v>42</v>
      </c>
      <c r="E551" s="55" t="s">
        <v>69</v>
      </c>
      <c r="F551" s="55" t="s">
        <v>674</v>
      </c>
      <c r="G551" s="55">
        <v>1840.0</v>
      </c>
      <c r="H551" s="55" t="s">
        <v>1137</v>
      </c>
      <c r="I551" s="115" t="s">
        <v>5307</v>
      </c>
      <c r="J551" s="55" t="s">
        <v>5308</v>
      </c>
      <c r="K551" s="55" t="s">
        <v>61</v>
      </c>
      <c r="L551" s="55">
        <v>16917.0</v>
      </c>
      <c r="M551" s="55" t="s">
        <v>78</v>
      </c>
      <c r="N551" s="55" t="s">
        <v>69</v>
      </c>
      <c r="O551" s="55" t="s">
        <v>224</v>
      </c>
      <c r="P551" s="55" t="s">
        <v>110</v>
      </c>
      <c r="Q551" s="67" t="str">
        <f>IFERROR(__xludf.DUMMYFUNCTION("""COMPUTED_VALUE"""),"Europe.giaotiep.M220_16917_CVS_NamNH_010624")</f>
        <v>Europe.giaotiep.M220_16917_CVS_NamNH_010624</v>
      </c>
      <c r="R551" s="67" t="str">
        <f>IFERROR(__xludf.DUMMYFUNCTION("""COMPUTED_VALUE"""),"NEW_Europe_1840_none_010624")</f>
        <v>NEW_Europe_1840_none_010624</v>
      </c>
      <c r="S551" s="67" t="str">
        <f>IFERROR(__xludf.DUMMYFUNCTION("""COMPUTED_VALUE"""),"saletructiep_Europe.M220.1840.giaotiep_PTATT_LD153")</f>
        <v>saletructiep_Europe.M220.1840.giaotiep_PTATT_LD153</v>
      </c>
      <c r="T551" s="107" t="str">
        <f>IFERROR(__xludf.DUMMYFUNCTION("""COMPUTED_VALUE"""),"https://patadovietnam.edu.vn/tienganhgiaotiep_hn/?utm_source=Facebook&amp;utm_medium=CVS&amp;utm_term=NEW_Europe_1840_none_010624&amp;utm_content=saletructiep_Europe.M220.1840.giaotiep_PTATT_LD153&amp;utm_campaign=Europe.giaotiep.M220_16917_CVS_NamNH_010624")</f>
        <v>https://patadovietnam.edu.vn/tienganhgiaotiep_hn/?utm_source=Facebook&amp;utm_medium=CVS&amp;utm_term=NEW_Europe_1840_none_010624&amp;utm_content=saletructiep_Europe.M220.1840.giaotiep_PTATT_LD153&amp;utm_campaign=Europe.giaotiep.M220_16917_CVS_NamNH_010624</v>
      </c>
      <c r="U551" s="110" t="s">
        <v>5312</v>
      </c>
    </row>
    <row r="552">
      <c r="A552" s="72">
        <v>45444.0</v>
      </c>
      <c r="B552" s="60" t="s">
        <v>1134</v>
      </c>
      <c r="C552" s="67" t="str">
        <f>IFERROR(__xludf.DUMMYFUNCTION("""COMPUTED_VALUE"""),"LD153")</f>
        <v>LD153</v>
      </c>
      <c r="D552" s="55" t="s">
        <v>42</v>
      </c>
      <c r="E552" s="55" t="s">
        <v>69</v>
      </c>
      <c r="F552" s="55" t="s">
        <v>674</v>
      </c>
      <c r="G552" s="55">
        <v>1840.0</v>
      </c>
      <c r="H552" s="55" t="s">
        <v>1137</v>
      </c>
      <c r="I552" s="115" t="s">
        <v>5315</v>
      </c>
      <c r="J552" s="55" t="s">
        <v>5317</v>
      </c>
      <c r="K552" s="55" t="s">
        <v>61</v>
      </c>
      <c r="L552" s="55">
        <v>16917.0</v>
      </c>
      <c r="M552" s="55" t="s">
        <v>78</v>
      </c>
      <c r="N552" s="55" t="s">
        <v>69</v>
      </c>
      <c r="O552" s="55" t="s">
        <v>224</v>
      </c>
      <c r="P552" s="55" t="s">
        <v>110</v>
      </c>
      <c r="Q552" s="67" t="str">
        <f>IFERROR(__xludf.DUMMYFUNCTION("""COMPUTED_VALUE"""),"Europe.giaotiep.M231_16917_CVS_NamNH_010624")</f>
        <v>Europe.giaotiep.M231_16917_CVS_NamNH_010624</v>
      </c>
      <c r="R552" s="67" t="str">
        <f>IFERROR(__xludf.DUMMYFUNCTION("""COMPUTED_VALUE"""),"NEW_Europe_1840_none_010624")</f>
        <v>NEW_Europe_1840_none_010624</v>
      </c>
      <c r="S552" s="67" t="str">
        <f>IFERROR(__xludf.DUMMYFUNCTION("""COMPUTED_VALUE"""),"saletructiep_Europe.M231.1840.giaotiep_PTATT_LD153")</f>
        <v>saletructiep_Europe.M231.1840.giaotiep_PTATT_LD153</v>
      </c>
      <c r="T552" s="107" t="str">
        <f>IFERROR(__xludf.DUMMYFUNCTION("""COMPUTED_VALUE"""),"https://patadovietnam.edu.vn/tienganhgiaotiep_hn/?utm_source=Facebook&amp;utm_medium=CVS&amp;utm_term=NEW_Europe_1840_none_010624&amp;utm_content=saletructiep_Europe.M231.1840.giaotiep_PTATT_LD153&amp;utm_campaign=Europe.giaotiep.M231_16917_CVS_NamNH_010624")</f>
        <v>https://patadovietnam.edu.vn/tienganhgiaotiep_hn/?utm_source=Facebook&amp;utm_medium=CVS&amp;utm_term=NEW_Europe_1840_none_010624&amp;utm_content=saletructiep_Europe.M231.1840.giaotiep_PTATT_LD153&amp;utm_campaign=Europe.giaotiep.M231_16917_CVS_NamNH_010624</v>
      </c>
      <c r="U552" s="110" t="s">
        <v>5320</v>
      </c>
    </row>
    <row r="553">
      <c r="A553" s="72">
        <v>45444.0</v>
      </c>
      <c r="B553" s="75" t="s">
        <v>1134</v>
      </c>
      <c r="C553" s="67" t="str">
        <f>IFERROR(__xludf.DUMMYFUNCTION("""COMPUTED_VALUE"""),"LD153")</f>
        <v>LD153</v>
      </c>
      <c r="D553" s="55" t="s">
        <v>42</v>
      </c>
      <c r="E553" s="55" t="s">
        <v>69</v>
      </c>
      <c r="F553" s="55" t="s">
        <v>674</v>
      </c>
      <c r="G553" s="55">
        <v>1840.0</v>
      </c>
      <c r="H553" s="55" t="s">
        <v>1137</v>
      </c>
      <c r="I553" s="115" t="s">
        <v>1679</v>
      </c>
      <c r="J553" s="55" t="s">
        <v>3790</v>
      </c>
      <c r="K553" s="55" t="s">
        <v>61</v>
      </c>
      <c r="L553" s="55">
        <v>16917.0</v>
      </c>
      <c r="M553" s="55" t="s">
        <v>78</v>
      </c>
      <c r="N553" s="55" t="s">
        <v>69</v>
      </c>
      <c r="O553" s="55" t="s">
        <v>224</v>
      </c>
      <c r="P553" s="55" t="s">
        <v>110</v>
      </c>
      <c r="Q553" s="67" t="str">
        <f>IFERROR(__xludf.DUMMYFUNCTION("""COMPUTED_VALUE"""),"Europe.giaotiep.HTKOC2_16917_CVS_NamNH_010624")</f>
        <v>Europe.giaotiep.HTKOC2_16917_CVS_NamNH_010624</v>
      </c>
      <c r="R553" s="67" t="str">
        <f>IFERROR(__xludf.DUMMYFUNCTION("""COMPUTED_VALUE"""),"NEW_Europe_1840_none_010624")</f>
        <v>NEW_Europe_1840_none_010624</v>
      </c>
      <c r="S553" s="67" t="str">
        <f>IFERROR(__xludf.DUMMYFUNCTION("""COMPUTED_VALUE"""),"saletructiep_Europe.HTKOC2.1840.giaotiep_PTATT_LD153")</f>
        <v>saletructiep_Europe.HTKOC2.1840.giaotiep_PTATT_LD153</v>
      </c>
      <c r="T553" s="107" t="str">
        <f>IFERROR(__xludf.DUMMYFUNCTION("""COMPUTED_VALUE"""),"https://patadovietnam.edu.vn/tienganhgiaotiep_hn/?utm_source=Facebook&amp;utm_medium=CVS&amp;utm_term=NEW_Europe_1840_none_010624&amp;utm_content=saletructiep_Europe.HTKOC2.1840.giaotiep_PTATT_LD153&amp;utm_campaign=Europe.giaotiep.HTKOC2_16917_CVS_NamNH_010624")</f>
        <v>https://patadovietnam.edu.vn/tienganhgiaotiep_hn/?utm_source=Facebook&amp;utm_medium=CVS&amp;utm_term=NEW_Europe_1840_none_010624&amp;utm_content=saletructiep_Europe.HTKOC2.1840.giaotiep_PTATT_LD153&amp;utm_campaign=Europe.giaotiep.HTKOC2_16917_CVS_NamNH_010624</v>
      </c>
      <c r="U553" s="110" t="s">
        <v>3795</v>
      </c>
    </row>
    <row r="554">
      <c r="A554" s="72">
        <v>45444.0</v>
      </c>
      <c r="B554" s="75" t="s">
        <v>1134</v>
      </c>
      <c r="C554" s="67" t="str">
        <f>IFERROR(__xludf.DUMMYFUNCTION("""COMPUTED_VALUE"""),"LD153")</f>
        <v>LD153</v>
      </c>
      <c r="D554" s="55" t="s">
        <v>42</v>
      </c>
      <c r="E554" s="55" t="s">
        <v>69</v>
      </c>
      <c r="F554" s="55" t="s">
        <v>674</v>
      </c>
      <c r="G554" s="55">
        <v>1840.0</v>
      </c>
      <c r="H554" s="55" t="s">
        <v>1137</v>
      </c>
      <c r="I554" s="115" t="s">
        <v>3809</v>
      </c>
      <c r="J554" s="55" t="s">
        <v>3810</v>
      </c>
      <c r="K554" s="55" t="s">
        <v>61</v>
      </c>
      <c r="L554" s="55">
        <v>16917.0</v>
      </c>
      <c r="M554" s="55" t="s">
        <v>78</v>
      </c>
      <c r="N554" s="55" t="s">
        <v>69</v>
      </c>
      <c r="O554" s="55" t="s">
        <v>224</v>
      </c>
      <c r="P554" s="55" t="s">
        <v>110</v>
      </c>
      <c r="Q554" s="67" t="str">
        <f>IFERROR(__xludf.DUMMYFUNCTION("""COMPUTED_VALUE"""),"Europe.giaotiep.PTKOC_16917_CVS_NamNH_010624")</f>
        <v>Europe.giaotiep.PTKOC_16917_CVS_NamNH_010624</v>
      </c>
      <c r="R554" s="67" t="str">
        <f>IFERROR(__xludf.DUMMYFUNCTION("""COMPUTED_VALUE"""),"NEW_Europe_1840_none_010624")</f>
        <v>NEW_Europe_1840_none_010624</v>
      </c>
      <c r="S554" s="67" t="str">
        <f>IFERROR(__xludf.DUMMYFUNCTION("""COMPUTED_VALUE"""),"saletructiep_Europe.PTKOC.1840.giaotiep_PTATT_LD153")</f>
        <v>saletructiep_Europe.PTKOC.1840.giaotiep_PTATT_LD153</v>
      </c>
      <c r="T554" s="107" t="str">
        <f>IFERROR(__xludf.DUMMYFUNCTION("""COMPUTED_VALUE"""),"https://patadovietnam.edu.vn/tienganhgiaotiep_hn/?utm_source=Facebook&amp;utm_medium=CVS&amp;utm_term=NEW_Europe_1840_none_010624&amp;utm_content=saletructiep_Europe.PTKOC.1840.giaotiep_PTATT_LD153&amp;utm_campaign=Europe.giaotiep.PTKOC_16917_CVS_NamNH_010624")</f>
        <v>https://patadovietnam.edu.vn/tienganhgiaotiep_hn/?utm_source=Facebook&amp;utm_medium=CVS&amp;utm_term=NEW_Europe_1840_none_010624&amp;utm_content=saletructiep_Europe.PTKOC.1840.giaotiep_PTATT_LD153&amp;utm_campaign=Europe.giaotiep.PTKOC_16917_CVS_NamNH_010624</v>
      </c>
      <c r="U554" s="110" t="s">
        <v>5334</v>
      </c>
    </row>
    <row r="555">
      <c r="A555" s="72">
        <v>45444.0</v>
      </c>
      <c r="B555" s="75" t="s">
        <v>1134</v>
      </c>
      <c r="C555" s="67" t="str">
        <f>IFERROR(__xludf.DUMMYFUNCTION("""COMPUTED_VALUE"""),"LD153")</f>
        <v>LD153</v>
      </c>
      <c r="D555" s="55" t="s">
        <v>42</v>
      </c>
      <c r="E555" s="55" t="s">
        <v>69</v>
      </c>
      <c r="F555" s="55" t="s">
        <v>674</v>
      </c>
      <c r="G555" s="55">
        <v>1840.0</v>
      </c>
      <c r="H555" s="55" t="s">
        <v>1137</v>
      </c>
      <c r="I555" s="115" t="s">
        <v>5336</v>
      </c>
      <c r="J555" s="55" t="s">
        <v>5337</v>
      </c>
      <c r="K555" s="55" t="s">
        <v>61</v>
      </c>
      <c r="L555" s="55">
        <v>16917.0</v>
      </c>
      <c r="M555" s="55" t="s">
        <v>78</v>
      </c>
      <c r="N555" s="55" t="s">
        <v>69</v>
      </c>
      <c r="O555" s="55" t="s">
        <v>224</v>
      </c>
      <c r="P555" s="55" t="s">
        <v>110</v>
      </c>
      <c r="Q555" s="67" t="str">
        <f>IFERROR(__xludf.DUMMYFUNCTION("""COMPUTED_VALUE"""),"Europe.giaotiep.ndl_16917_CVS_NamNH_010624")</f>
        <v>Europe.giaotiep.ndl_16917_CVS_NamNH_010624</v>
      </c>
      <c r="R555" s="67" t="str">
        <f>IFERROR(__xludf.DUMMYFUNCTION("""COMPUTED_VALUE"""),"NEW_Europe_1840_none_010624")</f>
        <v>NEW_Europe_1840_none_010624</v>
      </c>
      <c r="S555" s="67" t="str">
        <f>IFERROR(__xludf.DUMMYFUNCTION("""COMPUTED_VALUE"""),"saletructiep_Europe.ndl.1840.giaotiep_PTATT_LD153")</f>
        <v>saletructiep_Europe.ndl.1840.giaotiep_PTATT_LD153</v>
      </c>
      <c r="T555" s="107" t="str">
        <f>IFERROR(__xludf.DUMMYFUNCTION("""COMPUTED_VALUE"""),"https://patadovietnam.edu.vn/tienganhgiaotiep_hn/?utm_source=Facebook&amp;utm_medium=CVS&amp;utm_term=NEW_Europe_1840_none_010624&amp;utm_content=saletructiep_Europe.ndl.1840.giaotiep_PTATT_LD153&amp;utm_campaign=Europe.giaotiep.ndl_16917_CVS_NamNH_010624")</f>
        <v>https://patadovietnam.edu.vn/tienganhgiaotiep_hn/?utm_source=Facebook&amp;utm_medium=CVS&amp;utm_term=NEW_Europe_1840_none_010624&amp;utm_content=saletructiep_Europe.ndl.1840.giaotiep_PTATT_LD153&amp;utm_campaign=Europe.giaotiep.ndl_16917_CVS_NamNH_010624</v>
      </c>
      <c r="U555" s="110" t="s">
        <v>5342</v>
      </c>
    </row>
    <row r="556">
      <c r="A556" s="72">
        <v>45444.0</v>
      </c>
      <c r="B556" s="75" t="s">
        <v>1134</v>
      </c>
      <c r="C556" s="67" t="str">
        <f>IFERROR(__xludf.DUMMYFUNCTION("""COMPUTED_VALUE"""),"LD153")</f>
        <v>LD153</v>
      </c>
      <c r="D556" s="55" t="s">
        <v>42</v>
      </c>
      <c r="E556" s="55" t="s">
        <v>69</v>
      </c>
      <c r="F556" s="55" t="s">
        <v>674</v>
      </c>
      <c r="G556" s="55">
        <v>1840.0</v>
      </c>
      <c r="H556" s="55" t="s">
        <v>1137</v>
      </c>
      <c r="I556" s="115" t="s">
        <v>5346</v>
      </c>
      <c r="J556" s="55" t="s">
        <v>5347</v>
      </c>
      <c r="K556" s="55" t="s">
        <v>61</v>
      </c>
      <c r="L556" s="55">
        <v>16917.0</v>
      </c>
      <c r="M556" s="55" t="s">
        <v>78</v>
      </c>
      <c r="N556" s="55" t="s">
        <v>69</v>
      </c>
      <c r="O556" s="55" t="s">
        <v>224</v>
      </c>
      <c r="P556" s="55" t="s">
        <v>110</v>
      </c>
      <c r="Q556" s="67" t="str">
        <f>IFERROR(__xludf.DUMMYFUNCTION("""COMPUTED_VALUE"""),"Europe.giaotiep.akg_16917_CVS_NamNH_010624")</f>
        <v>Europe.giaotiep.akg_16917_CVS_NamNH_010624</v>
      </c>
      <c r="R556" s="67" t="str">
        <f>IFERROR(__xludf.DUMMYFUNCTION("""COMPUTED_VALUE"""),"NEW_Europe_1840_none_010624")</f>
        <v>NEW_Europe_1840_none_010624</v>
      </c>
      <c r="S556" s="67" t="str">
        <f>IFERROR(__xludf.DUMMYFUNCTION("""COMPUTED_VALUE"""),"saletructiep_Europe.akg.1840.giaotiep_PTATT_LD153")</f>
        <v>saletructiep_Europe.akg.1840.giaotiep_PTATT_LD153</v>
      </c>
      <c r="T556" s="107" t="str">
        <f>IFERROR(__xludf.DUMMYFUNCTION("""COMPUTED_VALUE"""),"https://patadovietnam.edu.vn/tienganhgiaotiep_hn/?utm_source=Facebook&amp;utm_medium=CVS&amp;utm_term=NEW_Europe_1840_none_010624&amp;utm_content=saletructiep_Europe.akg.1840.giaotiep_PTATT_LD153&amp;utm_campaign=Europe.giaotiep.akg_16917_CVS_NamNH_010624")</f>
        <v>https://patadovietnam.edu.vn/tienganhgiaotiep_hn/?utm_source=Facebook&amp;utm_medium=CVS&amp;utm_term=NEW_Europe_1840_none_010624&amp;utm_content=saletructiep_Europe.akg.1840.giaotiep_PTATT_LD153&amp;utm_campaign=Europe.giaotiep.akg_16917_CVS_NamNH_010624</v>
      </c>
      <c r="U556" s="110" t="s">
        <v>5353</v>
      </c>
    </row>
    <row r="557">
      <c r="A557" s="72">
        <v>45444.0</v>
      </c>
      <c r="B557" s="75" t="s">
        <v>1245</v>
      </c>
      <c r="C557" s="67" t="str">
        <f>IFERROR(__xludf.DUMMYFUNCTION("""COMPUTED_VALUE"""),"LD161")</f>
        <v>LD161</v>
      </c>
      <c r="D557" s="55" t="s">
        <v>42</v>
      </c>
      <c r="E557" s="55" t="s">
        <v>79</v>
      </c>
      <c r="F557" s="55" t="s">
        <v>107</v>
      </c>
      <c r="G557" s="55">
        <v>1840.0</v>
      </c>
      <c r="H557" s="55" t="s">
        <v>1137</v>
      </c>
      <c r="I557" s="115" t="s">
        <v>5356</v>
      </c>
      <c r="J557" s="55" t="s">
        <v>5357</v>
      </c>
      <c r="K557" s="55" t="s">
        <v>61</v>
      </c>
      <c r="L557" s="55">
        <v>16917.0</v>
      </c>
      <c r="M557" s="55" t="s">
        <v>78</v>
      </c>
      <c r="N557" s="55" t="s">
        <v>79</v>
      </c>
      <c r="O557" s="55" t="s">
        <v>224</v>
      </c>
      <c r="P557" s="55" t="s">
        <v>110</v>
      </c>
      <c r="Q557" s="67" t="str">
        <f>IFERROR(__xludf.DUMMYFUNCTION("""COMPUTED_VALUE"""),"UnitedStates.giaotiep.ndl_16917_MES_NamNH_010624")</f>
        <v>UnitedStates.giaotiep.ndl_16917_MES_NamNH_010624</v>
      </c>
      <c r="R557" s="67" t="str">
        <f>IFERROR(__xludf.DUMMYFUNCTION("""COMPUTED_VALUE"""),"NEW_UnitedStates_1840_none_010624")</f>
        <v>NEW_UnitedStates_1840_none_010624</v>
      </c>
      <c r="S557" s="67" t="str">
        <f>IFERROR(__xludf.DUMMYFUNCTION("""COMPUTED_VALUE"""),"saletructiep_UnitedStates.ndl.1840.giaotiep_PTATT_LD161")</f>
        <v>saletructiep_UnitedStates.ndl.1840.giaotiep_PTATT_LD161</v>
      </c>
      <c r="T557" s="229" t="str">
        <f>IFERROR(__xludf.DUMMYFUNCTION("""COMPUTED_VALUE"""),"https://patadovietnam.edu.vn/gtusa1_nhn/?utm_source=Facebook&amp;utm_medium=MES&amp;utm_term=NEW_UnitedStates_1840_none_010624&amp;utm_content=saletructiep_UnitedStates.ndl.1840.giaotiep_PTATT_LD161&amp;utm_campaign=UnitedStates.giaotiep.ndl_16917_MES_NamNH_010624")</f>
        <v>https://patadovietnam.edu.vn/gtusa1_nhn/?utm_source=Facebook&amp;utm_medium=MES&amp;utm_term=NEW_UnitedStates_1840_none_010624&amp;utm_content=saletructiep_UnitedStates.ndl.1840.giaotiep_PTATT_LD161&amp;utm_campaign=UnitedStates.giaotiep.ndl_16917_MES_NamNH_010624</v>
      </c>
      <c r="U557" s="110" t="s">
        <v>5363</v>
      </c>
    </row>
    <row r="558">
      <c r="A558" s="72">
        <v>45444.0</v>
      </c>
      <c r="B558" s="60" t="s">
        <v>1245</v>
      </c>
      <c r="C558" s="67" t="str">
        <f>IFERROR(__xludf.DUMMYFUNCTION("""COMPUTED_VALUE"""),"LD161")</f>
        <v>LD161</v>
      </c>
      <c r="D558" s="55" t="s">
        <v>42</v>
      </c>
      <c r="E558" s="55" t="s">
        <v>79</v>
      </c>
      <c r="F558" s="55" t="s">
        <v>107</v>
      </c>
      <c r="G558" s="55">
        <v>1840.0</v>
      </c>
      <c r="H558" s="55" t="s">
        <v>1137</v>
      </c>
      <c r="I558" s="115" t="s">
        <v>5369</v>
      </c>
      <c r="J558" s="55" t="s">
        <v>5370</v>
      </c>
      <c r="K558" s="55" t="s">
        <v>61</v>
      </c>
      <c r="L558" s="55">
        <v>16917.0</v>
      </c>
      <c r="M558" s="55" t="s">
        <v>78</v>
      </c>
      <c r="N558" s="55" t="s">
        <v>79</v>
      </c>
      <c r="O558" s="55" t="s">
        <v>224</v>
      </c>
      <c r="P558" s="55" t="s">
        <v>110</v>
      </c>
      <c r="Q558" s="67" t="str">
        <f>IFERROR(__xludf.DUMMYFUNCTION("""COMPUTED_VALUE"""),"UnitedStates.giaotiep.akg_16917_MES_NamNH_010624")</f>
        <v>UnitedStates.giaotiep.akg_16917_MES_NamNH_010624</v>
      </c>
      <c r="R558" s="67" t="str">
        <f>IFERROR(__xludf.DUMMYFUNCTION("""COMPUTED_VALUE"""),"NEW_UnitedStates_1840_none_010624")</f>
        <v>NEW_UnitedStates_1840_none_010624</v>
      </c>
      <c r="S558" s="67" t="str">
        <f>IFERROR(__xludf.DUMMYFUNCTION("""COMPUTED_VALUE"""),"saletructiep_UnitedStates.akg.1840.giaotiep_PTATT_LD161")</f>
        <v>saletructiep_UnitedStates.akg.1840.giaotiep_PTATT_LD161</v>
      </c>
      <c r="T558" s="107" t="str">
        <f>IFERROR(__xludf.DUMMYFUNCTION("""COMPUTED_VALUE"""),"https://patadovietnam.edu.vn/gtusa1_nhn/?utm_source=Facebook&amp;utm_medium=MES&amp;utm_term=NEW_UnitedStates_1840_none_010624&amp;utm_content=saletructiep_UnitedStates.akg.1840.giaotiep_PTATT_LD161&amp;utm_campaign=UnitedStates.giaotiep.akg_16917_MES_NamNH_010624")</f>
        <v>https://patadovietnam.edu.vn/gtusa1_nhn/?utm_source=Facebook&amp;utm_medium=MES&amp;utm_term=NEW_UnitedStates_1840_none_010624&amp;utm_content=saletructiep_UnitedStates.akg.1840.giaotiep_PTATT_LD161&amp;utm_campaign=UnitedStates.giaotiep.akg_16917_MES_NamNH_010624</v>
      </c>
      <c r="U558" s="110" t="s">
        <v>5376</v>
      </c>
    </row>
    <row r="559">
      <c r="A559" s="72">
        <v>45444.0</v>
      </c>
      <c r="B559" s="75" t="s">
        <v>1134</v>
      </c>
      <c r="C559" s="67" t="str">
        <f>IFERROR(__xludf.DUMMYFUNCTION("""COMPUTED_VALUE"""),"LD153")</f>
        <v>LD153</v>
      </c>
      <c r="D559" s="55" t="s">
        <v>42</v>
      </c>
      <c r="E559" s="55" t="s">
        <v>79</v>
      </c>
      <c r="F559" s="55" t="s">
        <v>539</v>
      </c>
      <c r="G559" s="55">
        <v>1840.0</v>
      </c>
      <c r="H559" s="55" t="s">
        <v>1137</v>
      </c>
      <c r="I559" s="115" t="s">
        <v>5377</v>
      </c>
      <c r="J559" s="55" t="s">
        <v>5378</v>
      </c>
      <c r="K559" s="55" t="s">
        <v>61</v>
      </c>
      <c r="L559" s="55">
        <v>16917.0</v>
      </c>
      <c r="M559" s="55" t="s">
        <v>78</v>
      </c>
      <c r="N559" s="55" t="s">
        <v>79</v>
      </c>
      <c r="O559" s="55" t="s">
        <v>224</v>
      </c>
      <c r="P559" s="55" t="s">
        <v>110</v>
      </c>
      <c r="Q559" s="67" t="str">
        <f>IFERROR(__xludf.DUMMYFUNCTION("""COMPUTED_VALUE"""),"ALL.giaotiep.akg_16917_MES_NamNH_010624")</f>
        <v>ALL.giaotiep.akg_16917_MES_NamNH_010624</v>
      </c>
      <c r="R559" s="67" t="str">
        <f>IFERROR(__xludf.DUMMYFUNCTION("""COMPUTED_VALUE"""),"NEW_ALL_1840_none_010624")</f>
        <v>NEW_ALL_1840_none_010624</v>
      </c>
      <c r="S559" s="67" t="str">
        <f>IFERROR(__xludf.DUMMYFUNCTION("""COMPUTED_VALUE"""),"saletructiep_ALL.akg.1840.giaotiep_PTATT_LD153")</f>
        <v>saletructiep_ALL.akg.1840.giaotiep_PTATT_LD153</v>
      </c>
      <c r="T559" s="107" t="str">
        <f>IFERROR(__xludf.DUMMYFUNCTION("""COMPUTED_VALUE"""),"https://patadovietnam.edu.vn/tienganhgiaotiep_hn/?utm_source=Facebook&amp;utm_medium=MES&amp;utm_term=NEW_ALL_1840_none_010624&amp;utm_content=saletructiep_ALL.akg.1840.giaotiep_PTATT_LD153&amp;utm_campaign=ALL.giaotiep.akg_16917_MES_NamNH_010624")</f>
        <v>https://patadovietnam.edu.vn/tienganhgiaotiep_hn/?utm_source=Facebook&amp;utm_medium=MES&amp;utm_term=NEW_ALL_1840_none_010624&amp;utm_content=saletructiep_ALL.akg.1840.giaotiep_PTATT_LD153&amp;utm_campaign=ALL.giaotiep.akg_16917_MES_NamNH_010624</v>
      </c>
      <c r="U559" s="110" t="s">
        <v>5384</v>
      </c>
    </row>
    <row r="560">
      <c r="A560" s="72">
        <v>45444.0</v>
      </c>
      <c r="B560" s="75" t="s">
        <v>1134</v>
      </c>
      <c r="C560" s="67" t="str">
        <f>IFERROR(__xludf.DUMMYFUNCTION("""COMPUTED_VALUE"""),"LD153")</f>
        <v>LD153</v>
      </c>
      <c r="D560" s="55" t="s">
        <v>42</v>
      </c>
      <c r="E560" s="55" t="s">
        <v>79</v>
      </c>
      <c r="F560" s="55" t="s">
        <v>539</v>
      </c>
      <c r="G560" s="55">
        <v>1840.0</v>
      </c>
      <c r="H560" s="55" t="s">
        <v>1137</v>
      </c>
      <c r="I560" s="115" t="s">
        <v>5386</v>
      </c>
      <c r="J560" s="55" t="s">
        <v>5387</v>
      </c>
      <c r="K560" s="55" t="s">
        <v>61</v>
      </c>
      <c r="L560" s="55">
        <v>16917.0</v>
      </c>
      <c r="M560" s="55" t="s">
        <v>78</v>
      </c>
      <c r="N560" s="55" t="s">
        <v>79</v>
      </c>
      <c r="O560" s="55" t="s">
        <v>224</v>
      </c>
      <c r="P560" s="55" t="s">
        <v>110</v>
      </c>
      <c r="Q560" s="67" t="str">
        <f>IFERROR(__xludf.DUMMYFUNCTION("""COMPUTED_VALUE"""),"ALL.giaotiep.ndl_16917_MES_NamNH_010624")</f>
        <v>ALL.giaotiep.ndl_16917_MES_NamNH_010624</v>
      </c>
      <c r="R560" s="67" t="str">
        <f>IFERROR(__xludf.DUMMYFUNCTION("""COMPUTED_VALUE"""),"NEW_ALL_1840_none_010624")</f>
        <v>NEW_ALL_1840_none_010624</v>
      </c>
      <c r="S560" s="67" t="str">
        <f>IFERROR(__xludf.DUMMYFUNCTION("""COMPUTED_VALUE"""),"saletructiep_ALL.ndl.1840.giaotiep_PTATT_LD153")</f>
        <v>saletructiep_ALL.ndl.1840.giaotiep_PTATT_LD153</v>
      </c>
      <c r="T560" s="107" t="str">
        <f>IFERROR(__xludf.DUMMYFUNCTION("""COMPUTED_VALUE"""),"https://patadovietnam.edu.vn/tienganhgiaotiep_hn/?utm_source=Facebook&amp;utm_medium=MES&amp;utm_term=NEW_ALL_1840_none_010624&amp;utm_content=saletructiep_ALL.ndl.1840.giaotiep_PTATT_LD153&amp;utm_campaign=ALL.giaotiep.ndl_16917_MES_NamNH_010624")</f>
        <v>https://patadovietnam.edu.vn/tienganhgiaotiep_hn/?utm_source=Facebook&amp;utm_medium=MES&amp;utm_term=NEW_ALL_1840_none_010624&amp;utm_content=saletructiep_ALL.ndl.1840.giaotiep_PTATT_LD153&amp;utm_campaign=ALL.giaotiep.ndl_16917_MES_NamNH_010624</v>
      </c>
      <c r="U560" s="110" t="s">
        <v>5392</v>
      </c>
    </row>
    <row r="561">
      <c r="A561" s="72">
        <v>45444.0</v>
      </c>
      <c r="B561" s="75" t="s">
        <v>1134</v>
      </c>
      <c r="C561" s="67" t="str">
        <f>IFERROR(__xludf.DUMMYFUNCTION("""COMPUTED_VALUE"""),"LD153")</f>
        <v>LD153</v>
      </c>
      <c r="D561" s="55" t="s">
        <v>42</v>
      </c>
      <c r="E561" s="55" t="s">
        <v>69</v>
      </c>
      <c r="F561" s="55" t="s">
        <v>539</v>
      </c>
      <c r="G561" s="55">
        <v>1840.0</v>
      </c>
      <c r="H561" s="55" t="s">
        <v>1137</v>
      </c>
      <c r="I561" s="115" t="s">
        <v>5393</v>
      </c>
      <c r="J561" s="55" t="s">
        <v>5394</v>
      </c>
      <c r="K561" s="55" t="s">
        <v>61</v>
      </c>
      <c r="L561" s="55">
        <v>16917.0</v>
      </c>
      <c r="M561" s="55" t="s">
        <v>78</v>
      </c>
      <c r="N561" s="55" t="s">
        <v>69</v>
      </c>
      <c r="O561" s="55" t="s">
        <v>224</v>
      </c>
      <c r="P561" s="55" t="s">
        <v>110</v>
      </c>
      <c r="Q561" s="67" t="str">
        <f>IFERROR(__xludf.DUMMYFUNCTION("""COMPUTED_VALUE"""),"ALL.giaotiep.M241_16917_CVS_NamNH_010624")</f>
        <v>ALL.giaotiep.M241_16917_CVS_NamNH_010624</v>
      </c>
      <c r="R561" s="67" t="str">
        <f>IFERROR(__xludf.DUMMYFUNCTION("""COMPUTED_VALUE"""),"NEW_ALL_1840_none_010624")</f>
        <v>NEW_ALL_1840_none_010624</v>
      </c>
      <c r="S561" s="67" t="str">
        <f>IFERROR(__xludf.DUMMYFUNCTION("""COMPUTED_VALUE"""),"saletructiep_ALL.M241.1840.giaotiep_PTATT_LD153")</f>
        <v>saletructiep_ALL.M241.1840.giaotiep_PTATT_LD153</v>
      </c>
      <c r="T561" s="107" t="str">
        <f>IFERROR(__xludf.DUMMYFUNCTION("""COMPUTED_VALUE"""),"https://patadovietnam.edu.vn/tienganhgiaotiep_hn/?utm_source=Facebook&amp;utm_medium=CVS&amp;utm_term=NEW_ALL_1840_none_010624&amp;utm_content=saletructiep_ALL.M241.1840.giaotiep_PTATT_LD153&amp;utm_campaign=ALL.giaotiep.M241_16917_CVS_NamNH_010624")</f>
        <v>https://patadovietnam.edu.vn/tienganhgiaotiep_hn/?utm_source=Facebook&amp;utm_medium=CVS&amp;utm_term=NEW_ALL_1840_none_010624&amp;utm_content=saletructiep_ALL.M241.1840.giaotiep_PTATT_LD153&amp;utm_campaign=ALL.giaotiep.M241_16917_CVS_NamNH_010624</v>
      </c>
      <c r="U561" s="110" t="s">
        <v>5399</v>
      </c>
    </row>
    <row r="562">
      <c r="A562" s="72">
        <v>45444.0</v>
      </c>
      <c r="B562" s="75" t="s">
        <v>3903</v>
      </c>
      <c r="C562" s="67" t="str">
        <f>IFERROR(__xludf.DUMMYFUNCTION("""COMPUTED_VALUE"""),"LD224")</f>
        <v>LD224</v>
      </c>
      <c r="D562" s="55" t="s">
        <v>42</v>
      </c>
      <c r="E562" s="55" t="s">
        <v>79</v>
      </c>
      <c r="F562" s="55" t="s">
        <v>199</v>
      </c>
      <c r="G562" s="55">
        <v>1840.0</v>
      </c>
      <c r="H562" s="55" t="s">
        <v>1137</v>
      </c>
      <c r="I562" s="115" t="s">
        <v>5402</v>
      </c>
      <c r="J562" s="55" t="s">
        <v>5403</v>
      </c>
      <c r="K562" s="55" t="s">
        <v>61</v>
      </c>
      <c r="L562" s="55">
        <v>16917.0</v>
      </c>
      <c r="M562" s="55" t="s">
        <v>78</v>
      </c>
      <c r="N562" s="55" t="s">
        <v>79</v>
      </c>
      <c r="O562" s="55" t="s">
        <v>224</v>
      </c>
      <c r="P562" s="55" t="s">
        <v>110</v>
      </c>
      <c r="Q562" s="67" t="str">
        <f>IFERROR(__xludf.DUMMYFUNCTION("""COMPUTED_VALUE"""),"Vietnam.giaotiep.M241_16917_MES_NamNH_010624")</f>
        <v>Vietnam.giaotiep.M241_16917_MES_NamNH_010624</v>
      </c>
      <c r="R562" s="67" t="str">
        <f>IFERROR(__xludf.DUMMYFUNCTION("""COMPUTED_VALUE"""),"NEW_Vietnam_1840_none_010624")</f>
        <v>NEW_Vietnam_1840_none_010624</v>
      </c>
      <c r="S562" s="67" t="str">
        <f>IFERROR(__xludf.DUMMYFUNCTION("""COMPUTED_VALUE"""),"saletructiep_Vietnam.M241.1840.giaotiep_PTATT_LD224")</f>
        <v>saletructiep_Vietnam.M241.1840.giaotiep_PTATT_LD224</v>
      </c>
      <c r="T562" s="107" t="str">
        <f>IFERROR(__xludf.DUMMYFUNCTION("""COMPUTED_VALUE"""),"https://patadovietnam.edu.vn/tienganhdoanhnghiep_hn/?utm_source=Facebook&amp;utm_medium=MES&amp;utm_term=NEW_Vietnam_1840_none_010624&amp;utm_content=saletructiep_Vietnam.M241.1840.giaotiep_PTATT_LD224&amp;utm_campaign=Vietnam.giaotiep.M241_16917_MES_NamNH_010624")</f>
        <v>https://patadovietnam.edu.vn/tienganhdoanhnghiep_hn/?utm_source=Facebook&amp;utm_medium=MES&amp;utm_term=NEW_Vietnam_1840_none_010624&amp;utm_content=saletructiep_Vietnam.M241.1840.giaotiep_PTATT_LD224&amp;utm_campaign=Vietnam.giaotiep.M241_16917_MES_NamNH_010624</v>
      </c>
      <c r="U562" s="110" t="s">
        <v>5408</v>
      </c>
    </row>
    <row r="563">
      <c r="A563" s="72">
        <v>45444.0</v>
      </c>
      <c r="B563" s="75" t="s">
        <v>3903</v>
      </c>
      <c r="C563" s="67" t="str">
        <f>IFERROR(__xludf.DUMMYFUNCTION("""COMPUTED_VALUE"""),"LD224")</f>
        <v>LD224</v>
      </c>
      <c r="D563" s="55" t="s">
        <v>42</v>
      </c>
      <c r="E563" s="55" t="s">
        <v>79</v>
      </c>
      <c r="F563" s="55" t="s">
        <v>199</v>
      </c>
      <c r="G563" s="55">
        <v>1840.0</v>
      </c>
      <c r="H563" s="55" t="s">
        <v>1137</v>
      </c>
      <c r="I563" s="115" t="s">
        <v>5410</v>
      </c>
      <c r="J563" s="55" t="s">
        <v>5412</v>
      </c>
      <c r="K563" s="55" t="s">
        <v>61</v>
      </c>
      <c r="L563" s="55">
        <v>16917.0</v>
      </c>
      <c r="M563" s="55" t="s">
        <v>78</v>
      </c>
      <c r="N563" s="55" t="s">
        <v>79</v>
      </c>
      <c r="O563" s="55" t="s">
        <v>224</v>
      </c>
      <c r="P563" s="55" t="s">
        <v>110</v>
      </c>
      <c r="Q563" s="67" t="str">
        <f>IFERROR(__xludf.DUMMYFUNCTION("""COMPUTED_VALUE"""),"Vietnam.giaotiep.M220_16917_MES_NamNH_010624")</f>
        <v>Vietnam.giaotiep.M220_16917_MES_NamNH_010624</v>
      </c>
      <c r="R563" s="67" t="str">
        <f>IFERROR(__xludf.DUMMYFUNCTION("""COMPUTED_VALUE"""),"NEW_Vietnam_1840_none_010624")</f>
        <v>NEW_Vietnam_1840_none_010624</v>
      </c>
      <c r="S563" s="67" t="str">
        <f>IFERROR(__xludf.DUMMYFUNCTION("""COMPUTED_VALUE"""),"saletructiep_Vietnam.M220.1840.giaotiep_PTATT_LD224")</f>
        <v>saletructiep_Vietnam.M220.1840.giaotiep_PTATT_LD224</v>
      </c>
      <c r="T563" s="107" t="str">
        <f>IFERROR(__xludf.DUMMYFUNCTION("""COMPUTED_VALUE"""),"https://patadovietnam.edu.vn/tienganhdoanhnghiep_hn/?utm_source=Facebook&amp;utm_medium=MES&amp;utm_term=NEW_Vietnam_1840_none_010624&amp;utm_content=saletructiep_Vietnam.M220.1840.giaotiep_PTATT_LD224&amp;utm_campaign=Vietnam.giaotiep.M220_16917_MES_NamNH_010624")</f>
        <v>https://patadovietnam.edu.vn/tienganhdoanhnghiep_hn/?utm_source=Facebook&amp;utm_medium=MES&amp;utm_term=NEW_Vietnam_1840_none_010624&amp;utm_content=saletructiep_Vietnam.M220.1840.giaotiep_PTATT_LD224&amp;utm_campaign=Vietnam.giaotiep.M220_16917_MES_NamNH_010624</v>
      </c>
      <c r="U563" s="110" t="s">
        <v>5417</v>
      </c>
    </row>
    <row r="564">
      <c r="A564" s="72">
        <v>45444.0</v>
      </c>
      <c r="B564" s="75" t="s">
        <v>3903</v>
      </c>
      <c r="C564" s="67" t="str">
        <f>IFERROR(__xludf.DUMMYFUNCTION("""COMPUTED_VALUE"""),"LD224")</f>
        <v>LD224</v>
      </c>
      <c r="D564" s="55" t="s">
        <v>42</v>
      </c>
      <c r="E564" s="55" t="s">
        <v>79</v>
      </c>
      <c r="F564" s="55" t="s">
        <v>199</v>
      </c>
      <c r="G564" s="55">
        <v>1840.0</v>
      </c>
      <c r="H564" s="55" t="s">
        <v>1137</v>
      </c>
      <c r="I564" s="115" t="s">
        <v>5419</v>
      </c>
      <c r="J564" s="55" t="s">
        <v>5420</v>
      </c>
      <c r="K564" s="55" t="s">
        <v>61</v>
      </c>
      <c r="L564" s="55">
        <v>16917.0</v>
      </c>
      <c r="M564" s="55" t="s">
        <v>78</v>
      </c>
      <c r="N564" s="55" t="s">
        <v>79</v>
      </c>
      <c r="O564" s="55" t="s">
        <v>224</v>
      </c>
      <c r="P564" s="55" t="s">
        <v>110</v>
      </c>
      <c r="Q564" s="67" t="str">
        <f>IFERROR(__xludf.DUMMYFUNCTION("""COMPUTED_VALUE"""),"Vietnam.giaotiep.M229_16917_MES_NamNH_010624")</f>
        <v>Vietnam.giaotiep.M229_16917_MES_NamNH_010624</v>
      </c>
      <c r="R564" s="67" t="str">
        <f>IFERROR(__xludf.DUMMYFUNCTION("""COMPUTED_VALUE"""),"NEW_Vietnam_1840_none_010624")</f>
        <v>NEW_Vietnam_1840_none_010624</v>
      </c>
      <c r="S564" s="67" t="str">
        <f>IFERROR(__xludf.DUMMYFUNCTION("""COMPUTED_VALUE"""),"saletructiep_Vietnam.M229.1840.giaotiep_PTATT_LD224")</f>
        <v>saletructiep_Vietnam.M229.1840.giaotiep_PTATT_LD224</v>
      </c>
      <c r="T564" s="107" t="str">
        <f>IFERROR(__xludf.DUMMYFUNCTION("""COMPUTED_VALUE"""),"https://patadovietnam.edu.vn/tienganhdoanhnghiep_hn/?utm_source=Facebook&amp;utm_medium=MES&amp;utm_term=NEW_Vietnam_1840_none_010624&amp;utm_content=saletructiep_Vietnam.M229.1840.giaotiep_PTATT_LD224&amp;utm_campaign=Vietnam.giaotiep.M229_16917_MES_NamNH_010624")</f>
        <v>https://patadovietnam.edu.vn/tienganhdoanhnghiep_hn/?utm_source=Facebook&amp;utm_medium=MES&amp;utm_term=NEW_Vietnam_1840_none_010624&amp;utm_content=saletructiep_Vietnam.M229.1840.giaotiep_PTATT_LD224&amp;utm_campaign=Vietnam.giaotiep.M229_16917_MES_NamNH_010624</v>
      </c>
      <c r="U564" s="110" t="s">
        <v>5424</v>
      </c>
    </row>
    <row r="565">
      <c r="A565" s="72">
        <v>45447.0</v>
      </c>
      <c r="B565" s="75" t="s">
        <v>1245</v>
      </c>
      <c r="C565" s="67" t="str">
        <f>IFERROR(__xludf.DUMMYFUNCTION("""COMPUTED_VALUE"""),"LD161")</f>
        <v>LD161</v>
      </c>
      <c r="D565" s="55" t="s">
        <v>42</v>
      </c>
      <c r="E565" s="55" t="s">
        <v>79</v>
      </c>
      <c r="F565" s="55" t="s">
        <v>107</v>
      </c>
      <c r="G565" s="55">
        <v>1840.0</v>
      </c>
      <c r="H565" s="55" t="s">
        <v>1137</v>
      </c>
      <c r="I565" s="115" t="s">
        <v>5200</v>
      </c>
      <c r="J565" s="55" t="s">
        <v>5201</v>
      </c>
      <c r="K565" s="55" t="s">
        <v>61</v>
      </c>
      <c r="L565" s="55">
        <v>16917.0</v>
      </c>
      <c r="M565" s="55" t="s">
        <v>78</v>
      </c>
      <c r="N565" s="55" t="s">
        <v>79</v>
      </c>
      <c r="O565" s="55" t="s">
        <v>224</v>
      </c>
      <c r="P565" s="55" t="s">
        <v>110</v>
      </c>
      <c r="Q565" s="67" t="str">
        <f>IFERROR(__xludf.DUMMYFUNCTION("""COMPUTED_VALUE"""),"UnitedStates.giaotiep.M235_16917_MES_NamNH_040624")</f>
        <v>UnitedStates.giaotiep.M235_16917_MES_NamNH_040624</v>
      </c>
      <c r="R565" s="67" t="str">
        <f>IFERROR(__xludf.DUMMYFUNCTION("""COMPUTED_VALUE"""),"NEW_UnitedStates_1840_none_040624")</f>
        <v>NEW_UnitedStates_1840_none_040624</v>
      </c>
      <c r="S565" s="67" t="str">
        <f>IFERROR(__xludf.DUMMYFUNCTION("""COMPUTED_VALUE"""),"saletructiep_UnitedStates.M235.1840.giaotiep_PTATT_LD161")</f>
        <v>saletructiep_UnitedStates.M235.1840.giaotiep_PTATT_LD161</v>
      </c>
      <c r="T565" s="107" t="str">
        <f>IFERROR(__xludf.DUMMYFUNCTION("""COMPUTED_VALUE"""),"https://patadovietnam.edu.vn/gtusa1_nhn/?utm_source=Facebook&amp;utm_medium=MES&amp;utm_term=NEW_UnitedStates_1840_none_040624&amp;utm_content=saletructiep_UnitedStates.M235.1840.giaotiep_PTATT_LD161&amp;utm_campaign=UnitedStates.giaotiep.M235_16917_MES_NamNH_040624")</f>
        <v>https://patadovietnam.edu.vn/gtusa1_nhn/?utm_source=Facebook&amp;utm_medium=MES&amp;utm_term=NEW_UnitedStates_1840_none_040624&amp;utm_content=saletructiep_UnitedStates.M235.1840.giaotiep_PTATT_LD161&amp;utm_campaign=UnitedStates.giaotiep.M235_16917_MES_NamNH_040624</v>
      </c>
      <c r="U565" s="110" t="s">
        <v>5429</v>
      </c>
    </row>
    <row r="566">
      <c r="A566" s="72">
        <v>45448.0</v>
      </c>
      <c r="B566" s="75" t="s">
        <v>5431</v>
      </c>
      <c r="C566" s="67" t="str">
        <f>IFERROR(__xludf.DUMMYFUNCTION("""COMPUTED_VALUE"""),"LD227")</f>
        <v>LD227</v>
      </c>
      <c r="D566" s="55" t="s">
        <v>42</v>
      </c>
      <c r="E566" s="55" t="s">
        <v>69</v>
      </c>
      <c r="F566" s="55" t="s">
        <v>133</v>
      </c>
      <c r="G566" s="55">
        <v>1840.0</v>
      </c>
      <c r="H566" s="55" t="s">
        <v>1137</v>
      </c>
      <c r="I566" s="115" t="s">
        <v>5263</v>
      </c>
      <c r="J566" s="55" t="s">
        <v>5264</v>
      </c>
      <c r="K566" s="55" t="s">
        <v>61</v>
      </c>
      <c r="L566" s="55">
        <v>16917.0</v>
      </c>
      <c r="M566" s="55" t="s">
        <v>78</v>
      </c>
      <c r="N566" s="55" t="s">
        <v>69</v>
      </c>
      <c r="O566" s="55" t="s">
        <v>224</v>
      </c>
      <c r="P566" s="55" t="s">
        <v>110</v>
      </c>
      <c r="Q566" s="67" t="str">
        <f>IFERROR(__xludf.DUMMYFUNCTION("""COMPUTED_VALUE"""),"Japan.giaotiep.M220_16917_CVS_NamNH_050624")</f>
        <v>Japan.giaotiep.M220_16917_CVS_NamNH_050624</v>
      </c>
      <c r="R566" s="67" t="str">
        <f>IFERROR(__xludf.DUMMYFUNCTION("""COMPUTED_VALUE"""),"NEW_Japan_1840_none_050624")</f>
        <v>NEW_Japan_1840_none_050624</v>
      </c>
      <c r="S566" s="67" t="str">
        <f>IFERROR(__xludf.DUMMYFUNCTION("""COMPUTED_VALUE"""),"saletructiep_Japan.M220.1840.giaotiep_PTATT_LD227")</f>
        <v>saletructiep_Japan.M220.1840.giaotiep_PTATT_LD227</v>
      </c>
      <c r="T566" s="107" t="str">
        <f>IFERROR(__xludf.DUMMYFUNCTION("""COMPUTED_VALUE"""),"https://patadovietnam.edu.vn/giaotiep_japan/?utm_source=Facebook&amp;utm_medium=CVS&amp;utm_term=NEW_Japan_1840_none_050624&amp;utm_content=saletructiep_Japan.M220.1840.giaotiep_PTATT_LD227&amp;utm_campaign=Japan.giaotiep.M220_16917_CVS_NamNH_050624")</f>
        <v>https://patadovietnam.edu.vn/giaotiep_japan/?utm_source=Facebook&amp;utm_medium=CVS&amp;utm_term=NEW_Japan_1840_none_050624&amp;utm_content=saletructiep_Japan.M220.1840.giaotiep_PTATT_LD227&amp;utm_campaign=Japan.giaotiep.M220_16917_CVS_NamNH_050624</v>
      </c>
      <c r="U566" s="230" t="s">
        <v>5435</v>
      </c>
    </row>
    <row r="567">
      <c r="A567" s="72">
        <v>45448.0</v>
      </c>
      <c r="B567" s="75" t="s">
        <v>5431</v>
      </c>
      <c r="C567" s="67" t="str">
        <f>IFERROR(__xludf.DUMMYFUNCTION("""COMPUTED_VALUE"""),"LD227")</f>
        <v>LD227</v>
      </c>
      <c r="D567" s="55" t="s">
        <v>42</v>
      </c>
      <c r="E567" s="55" t="s">
        <v>69</v>
      </c>
      <c r="F567" s="55" t="s">
        <v>133</v>
      </c>
      <c r="G567" s="55">
        <v>1840.0</v>
      </c>
      <c r="H567" s="55" t="s">
        <v>1137</v>
      </c>
      <c r="I567" s="115" t="s">
        <v>5276</v>
      </c>
      <c r="J567" s="55" t="s">
        <v>5277</v>
      </c>
      <c r="K567" s="55" t="s">
        <v>61</v>
      </c>
      <c r="L567" s="55">
        <v>16917.0</v>
      </c>
      <c r="M567" s="55" t="s">
        <v>78</v>
      </c>
      <c r="N567" s="55" t="s">
        <v>69</v>
      </c>
      <c r="O567" s="55" t="s">
        <v>224</v>
      </c>
      <c r="P567" s="55" t="s">
        <v>110</v>
      </c>
      <c r="Q567" s="67" t="str">
        <f>IFERROR(__xludf.DUMMYFUNCTION("""COMPUTED_VALUE"""),"Japan.giaotiep.anhsale13_16917_CVS_NamNH_050624")</f>
        <v>Japan.giaotiep.anhsale13_16917_CVS_NamNH_050624</v>
      </c>
      <c r="R567" s="67" t="str">
        <f>IFERROR(__xludf.DUMMYFUNCTION("""COMPUTED_VALUE"""),"NEW_Japan_1840_none_050624")</f>
        <v>NEW_Japan_1840_none_050624</v>
      </c>
      <c r="S567" s="67" t="str">
        <f>IFERROR(__xludf.DUMMYFUNCTION("""COMPUTED_VALUE"""),"saletructiep_Japan.anhsale13.1840.giaotiep_PTATT_LD227")</f>
        <v>saletructiep_Japan.anhsale13.1840.giaotiep_PTATT_LD227</v>
      </c>
      <c r="T567" s="107" t="str">
        <f>IFERROR(__xludf.DUMMYFUNCTION("""COMPUTED_VALUE"""),"https://patadovietnam.edu.vn/giaotiep_japan/?utm_source=Facebook&amp;utm_medium=CVS&amp;utm_term=NEW_Japan_1840_none_050624&amp;utm_content=saletructiep_Japan.anhsale13.1840.giaotiep_PTATT_LD227&amp;utm_campaign=Japan.giaotiep.anhsale13_16917_CVS_NamNH_050624")</f>
        <v>https://patadovietnam.edu.vn/giaotiep_japan/?utm_source=Facebook&amp;utm_medium=CVS&amp;utm_term=NEW_Japan_1840_none_050624&amp;utm_content=saletructiep_Japan.anhsale13.1840.giaotiep_PTATT_LD227&amp;utm_campaign=Japan.giaotiep.anhsale13_16917_CVS_NamNH_050624</v>
      </c>
      <c r="U567" s="110" t="s">
        <v>5438</v>
      </c>
    </row>
    <row r="568">
      <c r="A568" s="72">
        <v>45448.0</v>
      </c>
      <c r="B568" s="75" t="s">
        <v>3863</v>
      </c>
      <c r="C568" s="67" t="str">
        <f>IFERROR(__xludf.DUMMYFUNCTION("""COMPUTED_VALUE"""),"LD222")</f>
        <v>LD222</v>
      </c>
      <c r="D568" s="55" t="s">
        <v>42</v>
      </c>
      <c r="E568" s="55" t="s">
        <v>79</v>
      </c>
      <c r="F568" s="55" t="s">
        <v>625</v>
      </c>
      <c r="G568" s="55">
        <v>1840.0</v>
      </c>
      <c r="H568" s="55" t="s">
        <v>1137</v>
      </c>
      <c r="I568" s="115" t="s">
        <v>5232</v>
      </c>
      <c r="J568" s="55" t="s">
        <v>5233</v>
      </c>
      <c r="K568" s="55" t="s">
        <v>61</v>
      </c>
      <c r="L568" s="55">
        <v>16917.0</v>
      </c>
      <c r="M568" s="55" t="s">
        <v>78</v>
      </c>
      <c r="N568" s="55" t="s">
        <v>79</v>
      </c>
      <c r="O568" s="55" t="s">
        <v>224</v>
      </c>
      <c r="P568" s="55" t="s">
        <v>110</v>
      </c>
      <c r="Q568" s="67" t="str">
        <f>IFERROR(__xludf.DUMMYFUNCTION("""COMPUTED_VALUE"""),"KoreaSouth.giaotiep.M231_16917_MES_NamNH_050624")</f>
        <v>KoreaSouth.giaotiep.M231_16917_MES_NamNH_050624</v>
      </c>
      <c r="R568" s="67" t="str">
        <f>IFERROR(__xludf.DUMMYFUNCTION("""COMPUTED_VALUE"""),"NEW_KoreaSouth_1840_none_050624")</f>
        <v>NEW_KoreaSouth_1840_none_050624</v>
      </c>
      <c r="S568" s="67" t="str">
        <f>IFERROR(__xludf.DUMMYFUNCTION("""COMPUTED_VALUE"""),"saletructiep_KoreaSouth.M231.1840.giaotiep_PTATT_LD222")</f>
        <v>saletructiep_KoreaSouth.M231.1840.giaotiep_PTATT_LD222</v>
      </c>
      <c r="T568" s="107" t="str">
        <f>IFERROR(__xludf.DUMMYFUNCTION("""COMPUTED_VALUE"""),"https://patadovietnam.edu.vn/giaotiepchung_hn/?utm_source=Facebook&amp;utm_medium=MES&amp;utm_term=NEW_KoreaSouth_1840_none_050624&amp;utm_content=saletructiep_KoreaSouth.M231.1840.giaotiep_PTATT_LD222&amp;utm_campaign=KoreaSouth.giaotiep.M231_16917_MES_NamNH_050624")</f>
        <v>https://patadovietnam.edu.vn/giaotiepchung_hn/?utm_source=Facebook&amp;utm_medium=MES&amp;utm_term=NEW_KoreaSouth_1840_none_050624&amp;utm_content=saletructiep_KoreaSouth.M231.1840.giaotiep_PTATT_LD222&amp;utm_campaign=KoreaSouth.giaotiep.M231_16917_MES_NamNH_050624</v>
      </c>
      <c r="U568" s="110" t="s">
        <v>5443</v>
      </c>
    </row>
    <row r="569">
      <c r="A569" s="72">
        <v>45448.0</v>
      </c>
      <c r="B569" s="75" t="s">
        <v>3863</v>
      </c>
      <c r="C569" s="67" t="str">
        <f>IFERROR(__xludf.DUMMYFUNCTION("""COMPUTED_VALUE"""),"LD222")</f>
        <v>LD222</v>
      </c>
      <c r="D569" s="55" t="s">
        <v>42</v>
      </c>
      <c r="E569" s="55" t="s">
        <v>69</v>
      </c>
      <c r="F569" s="55" t="s">
        <v>674</v>
      </c>
      <c r="G569" s="55">
        <v>1840.0</v>
      </c>
      <c r="H569" s="55" t="s">
        <v>1137</v>
      </c>
      <c r="I569" s="115" t="s">
        <v>5336</v>
      </c>
      <c r="J569" s="55" t="s">
        <v>5337</v>
      </c>
      <c r="K569" s="55" t="s">
        <v>61</v>
      </c>
      <c r="L569" s="55">
        <v>16917.0</v>
      </c>
      <c r="M569" s="55" t="s">
        <v>78</v>
      </c>
      <c r="N569" s="55" t="s">
        <v>69</v>
      </c>
      <c r="O569" s="55" t="s">
        <v>224</v>
      </c>
      <c r="P569" s="55" t="s">
        <v>110</v>
      </c>
      <c r="Q569" s="67" t="str">
        <f>IFERROR(__xludf.DUMMYFUNCTION("""COMPUTED_VALUE"""),"Europe.giaotiep.ndl_16917_CVS_NamNH_050624")</f>
        <v>Europe.giaotiep.ndl_16917_CVS_NamNH_050624</v>
      </c>
      <c r="R569" s="67" t="str">
        <f>IFERROR(__xludf.DUMMYFUNCTION("""COMPUTED_VALUE"""),"NEW_Europe_1840_none_050624")</f>
        <v>NEW_Europe_1840_none_050624</v>
      </c>
      <c r="S569" s="67" t="str">
        <f>IFERROR(__xludf.DUMMYFUNCTION("""COMPUTED_VALUE"""),"saletructiep_Europe.ndl.1840.giaotiep_PTATT_LD222")</f>
        <v>saletructiep_Europe.ndl.1840.giaotiep_PTATT_LD222</v>
      </c>
      <c r="T569" s="107" t="str">
        <f>IFERROR(__xludf.DUMMYFUNCTION("""COMPUTED_VALUE"""),"https://patadovietnam.edu.vn/giaotiepchung_hn/?utm_source=Facebook&amp;utm_medium=CVS&amp;utm_term=NEW_Europe_1840_none_050624&amp;utm_content=saletructiep_Europe.ndl.1840.giaotiep_PTATT_LD222&amp;utm_campaign=Europe.giaotiep.ndl_16917_CVS_NamNH_050624")</f>
        <v>https://patadovietnam.edu.vn/giaotiepchung_hn/?utm_source=Facebook&amp;utm_medium=CVS&amp;utm_term=NEW_Europe_1840_none_050624&amp;utm_content=saletructiep_Europe.ndl.1840.giaotiep_PTATT_LD222&amp;utm_campaign=Europe.giaotiep.ndl_16917_CVS_NamNH_050624</v>
      </c>
      <c r="U569" s="110" t="s">
        <v>5445</v>
      </c>
    </row>
    <row r="570">
      <c r="A570" s="72">
        <v>45448.0</v>
      </c>
      <c r="B570" s="60" t="s">
        <v>3863</v>
      </c>
      <c r="C570" s="67" t="str">
        <f>IFERROR(__xludf.DUMMYFUNCTION("""COMPUTED_VALUE"""),"LD222")</f>
        <v>LD222</v>
      </c>
      <c r="D570" s="55" t="s">
        <v>42</v>
      </c>
      <c r="E570" s="55" t="s">
        <v>69</v>
      </c>
      <c r="F570" s="55" t="s">
        <v>674</v>
      </c>
      <c r="G570" s="55">
        <v>1840.0</v>
      </c>
      <c r="H570" s="55" t="s">
        <v>1137</v>
      </c>
      <c r="I570" s="115" t="s">
        <v>3809</v>
      </c>
      <c r="J570" s="55" t="s">
        <v>3810</v>
      </c>
      <c r="K570" s="55" t="s">
        <v>61</v>
      </c>
      <c r="L570" s="55">
        <v>16917.0</v>
      </c>
      <c r="M570" s="55" t="s">
        <v>78</v>
      </c>
      <c r="N570" s="55" t="s">
        <v>69</v>
      </c>
      <c r="O570" s="55" t="s">
        <v>224</v>
      </c>
      <c r="P570" s="55" t="s">
        <v>110</v>
      </c>
      <c r="Q570" s="67" t="str">
        <f>IFERROR(__xludf.DUMMYFUNCTION("""COMPUTED_VALUE"""),"Europe.giaotiep.PTKOC_16917_CVS_NamNH_050624")</f>
        <v>Europe.giaotiep.PTKOC_16917_CVS_NamNH_050624</v>
      </c>
      <c r="R570" s="67" t="str">
        <f>IFERROR(__xludf.DUMMYFUNCTION("""COMPUTED_VALUE"""),"NEW_Europe_1840_none_050624")</f>
        <v>NEW_Europe_1840_none_050624</v>
      </c>
      <c r="S570" s="67" t="str">
        <f>IFERROR(__xludf.DUMMYFUNCTION("""COMPUTED_VALUE"""),"saletructiep_Europe.PTKOC.1840.giaotiep_PTATT_LD222")</f>
        <v>saletructiep_Europe.PTKOC.1840.giaotiep_PTATT_LD222</v>
      </c>
      <c r="T570" s="107" t="str">
        <f>IFERROR(__xludf.DUMMYFUNCTION("""COMPUTED_VALUE"""),"https://patadovietnam.edu.vn/giaotiepchung_hn/?utm_source=Facebook&amp;utm_medium=CVS&amp;utm_term=NEW_Europe_1840_none_050624&amp;utm_content=saletructiep_Europe.PTKOC.1840.giaotiep_PTATT_LD222&amp;utm_campaign=Europe.giaotiep.PTKOC_16917_CVS_NamNH_050624")</f>
        <v>https://patadovietnam.edu.vn/giaotiepchung_hn/?utm_source=Facebook&amp;utm_medium=CVS&amp;utm_term=NEW_Europe_1840_none_050624&amp;utm_content=saletructiep_Europe.PTKOC.1840.giaotiep_PTATT_LD222&amp;utm_campaign=Europe.giaotiep.PTKOC_16917_CVS_NamNH_050624</v>
      </c>
      <c r="U570" s="110" t="s">
        <v>5451</v>
      </c>
    </row>
    <row r="571">
      <c r="A571" s="72">
        <v>45448.0</v>
      </c>
      <c r="B571" s="60" t="s">
        <v>3863</v>
      </c>
      <c r="C571" s="67" t="str">
        <f>IFERROR(__xludf.DUMMYFUNCTION("""COMPUTED_VALUE"""),"LD222")</f>
        <v>LD222</v>
      </c>
      <c r="D571" s="55" t="s">
        <v>42</v>
      </c>
      <c r="E571" s="55" t="s">
        <v>69</v>
      </c>
      <c r="F571" s="55" t="s">
        <v>674</v>
      </c>
      <c r="G571" s="55">
        <v>1840.0</v>
      </c>
      <c r="H571" s="55" t="s">
        <v>1137</v>
      </c>
      <c r="I571" s="115" t="s">
        <v>1679</v>
      </c>
      <c r="J571" s="55" t="s">
        <v>3790</v>
      </c>
      <c r="K571" s="55" t="s">
        <v>61</v>
      </c>
      <c r="L571" s="55">
        <v>16917.0</v>
      </c>
      <c r="M571" s="55" t="s">
        <v>78</v>
      </c>
      <c r="N571" s="55" t="s">
        <v>69</v>
      </c>
      <c r="O571" s="55" t="s">
        <v>224</v>
      </c>
      <c r="P571" s="55" t="s">
        <v>110</v>
      </c>
      <c r="Q571" s="67" t="str">
        <f>IFERROR(__xludf.DUMMYFUNCTION("""COMPUTED_VALUE"""),"Europe.giaotiep.HTKOC2_16917_CVS_NamNH_050624")</f>
        <v>Europe.giaotiep.HTKOC2_16917_CVS_NamNH_050624</v>
      </c>
      <c r="R571" s="67" t="str">
        <f>IFERROR(__xludf.DUMMYFUNCTION("""COMPUTED_VALUE"""),"NEW_Europe_1840_none_050624")</f>
        <v>NEW_Europe_1840_none_050624</v>
      </c>
      <c r="S571" s="67" t="str">
        <f>IFERROR(__xludf.DUMMYFUNCTION("""COMPUTED_VALUE"""),"saletructiep_Europe.HTKOC2.1840.giaotiep_PTATT_LD222")</f>
        <v>saletructiep_Europe.HTKOC2.1840.giaotiep_PTATT_LD222</v>
      </c>
      <c r="T571" s="107" t="str">
        <f>IFERROR(__xludf.DUMMYFUNCTION("""COMPUTED_VALUE"""),"https://patadovietnam.edu.vn/giaotiepchung_hn/?utm_source=Facebook&amp;utm_medium=CVS&amp;utm_term=NEW_Europe_1840_none_050624&amp;utm_content=saletructiep_Europe.HTKOC2.1840.giaotiep_PTATT_LD222&amp;utm_campaign=Europe.giaotiep.HTKOC2_16917_CVS_NamNH_050624")</f>
        <v>https://patadovietnam.edu.vn/giaotiepchung_hn/?utm_source=Facebook&amp;utm_medium=CVS&amp;utm_term=NEW_Europe_1840_none_050624&amp;utm_content=saletructiep_Europe.HTKOC2.1840.giaotiep_PTATT_LD222&amp;utm_campaign=Europe.giaotiep.HTKOC2_16917_CVS_NamNH_050624</v>
      </c>
      <c r="U571" s="110" t="s">
        <v>5455</v>
      </c>
    </row>
    <row r="572">
      <c r="A572" s="72">
        <v>45448.0</v>
      </c>
      <c r="B572" s="75" t="s">
        <v>3863</v>
      </c>
      <c r="C572" s="67" t="str">
        <f>IFERROR(__xludf.DUMMYFUNCTION("""COMPUTED_VALUE"""),"LD222")</f>
        <v>LD222</v>
      </c>
      <c r="D572" s="55" t="s">
        <v>42</v>
      </c>
      <c r="E572" s="55" t="s">
        <v>69</v>
      </c>
      <c r="F572" s="55" t="s">
        <v>674</v>
      </c>
      <c r="G572" s="55">
        <v>1840.0</v>
      </c>
      <c r="H572" s="55" t="s">
        <v>1137</v>
      </c>
      <c r="I572" s="115" t="s">
        <v>5315</v>
      </c>
      <c r="J572" s="55" t="s">
        <v>5317</v>
      </c>
      <c r="K572" s="55" t="s">
        <v>61</v>
      </c>
      <c r="L572" s="55">
        <v>16917.0</v>
      </c>
      <c r="M572" s="55" t="s">
        <v>78</v>
      </c>
      <c r="N572" s="55" t="s">
        <v>69</v>
      </c>
      <c r="O572" s="55" t="s">
        <v>224</v>
      </c>
      <c r="P572" s="55" t="s">
        <v>110</v>
      </c>
      <c r="Q572" s="67" t="str">
        <f>IFERROR(__xludf.DUMMYFUNCTION("""COMPUTED_VALUE"""),"Europe.giaotiep.M231_16917_CVS_NamNH_050624")</f>
        <v>Europe.giaotiep.M231_16917_CVS_NamNH_050624</v>
      </c>
      <c r="R572" s="67" t="str">
        <f>IFERROR(__xludf.DUMMYFUNCTION("""COMPUTED_VALUE"""),"NEW_Europe_1840_none_050624")</f>
        <v>NEW_Europe_1840_none_050624</v>
      </c>
      <c r="S572" s="67" t="str">
        <f>IFERROR(__xludf.DUMMYFUNCTION("""COMPUTED_VALUE"""),"saletructiep_Europe.M231.1840.giaotiep_PTATT_LD222")</f>
        <v>saletructiep_Europe.M231.1840.giaotiep_PTATT_LD222</v>
      </c>
      <c r="T572" s="107" t="str">
        <f>IFERROR(__xludf.DUMMYFUNCTION("""COMPUTED_VALUE"""),"https://patadovietnam.edu.vn/giaotiepchung_hn/?utm_source=Facebook&amp;utm_medium=CVS&amp;utm_term=NEW_Europe_1840_none_050624&amp;utm_content=saletructiep_Europe.M231.1840.giaotiep_PTATT_LD222&amp;utm_campaign=Europe.giaotiep.M231_16917_CVS_NamNH_050624")</f>
        <v>https://patadovietnam.edu.vn/giaotiepchung_hn/?utm_source=Facebook&amp;utm_medium=CVS&amp;utm_term=NEW_Europe_1840_none_050624&amp;utm_content=saletructiep_Europe.M231.1840.giaotiep_PTATT_LD222&amp;utm_campaign=Europe.giaotiep.M231_16917_CVS_NamNH_050624</v>
      </c>
      <c r="U572" s="110" t="s">
        <v>5459</v>
      </c>
    </row>
    <row r="573">
      <c r="A573" s="72">
        <v>45448.0</v>
      </c>
      <c r="B573" s="75" t="s">
        <v>3863</v>
      </c>
      <c r="C573" s="67" t="str">
        <f>IFERROR(__xludf.DUMMYFUNCTION("""COMPUTED_VALUE"""),"LD222")</f>
        <v>LD222</v>
      </c>
      <c r="D573" s="55" t="s">
        <v>42</v>
      </c>
      <c r="E573" s="55" t="s">
        <v>69</v>
      </c>
      <c r="F573" s="55" t="s">
        <v>674</v>
      </c>
      <c r="G573" s="55">
        <v>1840.0</v>
      </c>
      <c r="H573" s="55" t="s">
        <v>1137</v>
      </c>
      <c r="I573" s="115" t="s">
        <v>5346</v>
      </c>
      <c r="J573" s="55" t="s">
        <v>5347</v>
      </c>
      <c r="K573" s="55" t="s">
        <v>61</v>
      </c>
      <c r="L573" s="55">
        <v>16917.0</v>
      </c>
      <c r="M573" s="55" t="s">
        <v>78</v>
      </c>
      <c r="N573" s="55" t="s">
        <v>69</v>
      </c>
      <c r="O573" s="55" t="s">
        <v>224</v>
      </c>
      <c r="P573" s="55" t="s">
        <v>110</v>
      </c>
      <c r="Q573" s="67" t="str">
        <f>IFERROR(__xludf.DUMMYFUNCTION("""COMPUTED_VALUE"""),"Europe.giaotiep.akg_16917_CVS_NamNH_050624")</f>
        <v>Europe.giaotiep.akg_16917_CVS_NamNH_050624</v>
      </c>
      <c r="R573" s="67" t="str">
        <f>IFERROR(__xludf.DUMMYFUNCTION("""COMPUTED_VALUE"""),"NEW_Europe_1840_none_050624")</f>
        <v>NEW_Europe_1840_none_050624</v>
      </c>
      <c r="S573" s="67" t="str">
        <f>IFERROR(__xludf.DUMMYFUNCTION("""COMPUTED_VALUE"""),"saletructiep_Europe.akg.1840.giaotiep_PTATT_LD222")</f>
        <v>saletructiep_Europe.akg.1840.giaotiep_PTATT_LD222</v>
      </c>
      <c r="T573" s="107" t="str">
        <f>IFERROR(__xludf.DUMMYFUNCTION("""COMPUTED_VALUE"""),"https://patadovietnam.edu.vn/giaotiepchung_hn/?utm_source=Facebook&amp;utm_medium=CVS&amp;utm_term=NEW_Europe_1840_none_050624&amp;utm_content=saletructiep_Europe.akg.1840.giaotiep_PTATT_LD222&amp;utm_campaign=Europe.giaotiep.akg_16917_CVS_NamNH_050624")</f>
        <v>https://patadovietnam.edu.vn/giaotiepchung_hn/?utm_source=Facebook&amp;utm_medium=CVS&amp;utm_term=NEW_Europe_1840_none_050624&amp;utm_content=saletructiep_Europe.akg.1840.giaotiep_PTATT_LD222&amp;utm_campaign=Europe.giaotiep.akg_16917_CVS_NamNH_050624</v>
      </c>
      <c r="U573" s="110" t="s">
        <v>5464</v>
      </c>
    </row>
    <row r="574">
      <c r="A574" s="72">
        <v>45448.0</v>
      </c>
      <c r="B574" s="75" t="s">
        <v>1134</v>
      </c>
      <c r="C574" s="67" t="str">
        <f>IFERROR(__xludf.DUMMYFUNCTION("""COMPUTED_VALUE"""),"LD153")</f>
        <v>LD153</v>
      </c>
      <c r="D574" s="55" t="s">
        <v>42</v>
      </c>
      <c r="E574" s="55" t="s">
        <v>79</v>
      </c>
      <c r="F574" s="55" t="s">
        <v>164</v>
      </c>
      <c r="G574" s="55">
        <v>1840.0</v>
      </c>
      <c r="H574" s="55" t="s">
        <v>1137</v>
      </c>
      <c r="I574" s="115" t="s">
        <v>5223</v>
      </c>
      <c r="J574" s="55" t="s">
        <v>5224</v>
      </c>
      <c r="K574" s="55" t="s">
        <v>61</v>
      </c>
      <c r="L574" s="55">
        <v>16917.0</v>
      </c>
      <c r="M574" s="55" t="s">
        <v>78</v>
      </c>
      <c r="N574" s="55" t="s">
        <v>79</v>
      </c>
      <c r="O574" s="55" t="s">
        <v>224</v>
      </c>
      <c r="P574" s="55" t="s">
        <v>110</v>
      </c>
      <c r="Q574" s="67" t="str">
        <f>IFERROR(__xludf.DUMMYFUNCTION("""COMPUTED_VALUE"""),"Taiwan.giaotiep.M231_16917_MES_NamNH_050624")</f>
        <v>Taiwan.giaotiep.M231_16917_MES_NamNH_050624</v>
      </c>
      <c r="R574" s="67" t="str">
        <f>IFERROR(__xludf.DUMMYFUNCTION("""COMPUTED_VALUE"""),"NEW_Taiwan_1840_none_050624")</f>
        <v>NEW_Taiwan_1840_none_050624</v>
      </c>
      <c r="S574" s="67" t="str">
        <f>IFERROR(__xludf.DUMMYFUNCTION("""COMPUTED_VALUE"""),"saletructiep_Taiwan.M231.1840.giaotiep_PTATT_LD153")</f>
        <v>saletructiep_Taiwan.M231.1840.giaotiep_PTATT_LD153</v>
      </c>
      <c r="T574" s="107" t="str">
        <f>IFERROR(__xludf.DUMMYFUNCTION("""COMPUTED_VALUE"""),"https://patadovietnam.edu.vn/tienganhgiaotiep_hn/?utm_source=Facebook&amp;utm_medium=MES&amp;utm_term=NEW_Taiwan_1840_none_050624&amp;utm_content=saletructiep_Taiwan.M231.1840.giaotiep_PTATT_LD153&amp;utm_campaign=Taiwan.giaotiep.M231_16917_MES_NamNH_050624")</f>
        <v>https://patadovietnam.edu.vn/tienganhgiaotiep_hn/?utm_source=Facebook&amp;utm_medium=MES&amp;utm_term=NEW_Taiwan_1840_none_050624&amp;utm_content=saletructiep_Taiwan.M231.1840.giaotiep_PTATT_LD153&amp;utm_campaign=Taiwan.giaotiep.M231_16917_MES_NamNH_050624</v>
      </c>
      <c r="U574" s="110" t="s">
        <v>5468</v>
      </c>
    </row>
    <row r="575">
      <c r="A575" s="72">
        <v>45452.0</v>
      </c>
      <c r="B575" s="75" t="s">
        <v>1245</v>
      </c>
      <c r="C575" s="67" t="str">
        <f>IFERROR(__xludf.DUMMYFUNCTION("""COMPUTED_VALUE"""),"LD161")</f>
        <v>LD161</v>
      </c>
      <c r="D575" s="55" t="s">
        <v>42</v>
      </c>
      <c r="E575" s="55" t="s">
        <v>79</v>
      </c>
      <c r="F575" s="55" t="s">
        <v>107</v>
      </c>
      <c r="G575" s="55">
        <v>1840.0</v>
      </c>
      <c r="H575" s="55" t="s">
        <v>1137</v>
      </c>
      <c r="I575" s="115" t="s">
        <v>5471</v>
      </c>
      <c r="J575" s="55" t="s">
        <v>5472</v>
      </c>
      <c r="K575" s="55" t="s">
        <v>61</v>
      </c>
      <c r="L575" s="55">
        <v>16917.0</v>
      </c>
      <c r="M575" s="55" t="s">
        <v>78</v>
      </c>
      <c r="N575" s="55" t="s">
        <v>79</v>
      </c>
      <c r="O575" s="55" t="s">
        <v>224</v>
      </c>
      <c r="P575" s="55" t="s">
        <v>110</v>
      </c>
      <c r="Q575" s="67" t="str">
        <f>IFERROR(__xludf.DUMMYFUNCTION("""COMPUTED_VALUE"""),"UnitedStates.giaotiep.M246_16917_MES_NamNH_090624")</f>
        <v>UnitedStates.giaotiep.M246_16917_MES_NamNH_090624</v>
      </c>
      <c r="R575" s="67" t="str">
        <f>IFERROR(__xludf.DUMMYFUNCTION("""COMPUTED_VALUE"""),"NEW_UnitedStates_1840_none_090624")</f>
        <v>NEW_UnitedStates_1840_none_090624</v>
      </c>
      <c r="S575" s="67" t="str">
        <f>IFERROR(__xludf.DUMMYFUNCTION("""COMPUTED_VALUE"""),"saletructiep_UnitedStates.M246.1840.giaotiep_PTATT_LD161")</f>
        <v>saletructiep_UnitedStates.M246.1840.giaotiep_PTATT_LD161</v>
      </c>
      <c r="T575" s="107" t="str">
        <f>IFERROR(__xludf.DUMMYFUNCTION("""COMPUTED_VALUE"""),"https://patadovietnam.edu.vn/gtusa1_nhn/?utm_source=Facebook&amp;utm_medium=MES&amp;utm_term=NEW_UnitedStates_1840_none_090624&amp;utm_content=saletructiep_UnitedStates.M246.1840.giaotiep_PTATT_LD161&amp;utm_campaign=UnitedStates.giaotiep.M246_16917_MES_NamNH_090624")</f>
        <v>https://patadovietnam.edu.vn/gtusa1_nhn/?utm_source=Facebook&amp;utm_medium=MES&amp;utm_term=NEW_UnitedStates_1840_none_090624&amp;utm_content=saletructiep_UnitedStates.M246.1840.giaotiep_PTATT_LD161&amp;utm_campaign=UnitedStates.giaotiep.M246_16917_MES_NamNH_090624</v>
      </c>
      <c r="U575" s="110" t="s">
        <v>5477</v>
      </c>
    </row>
    <row r="576">
      <c r="A576" s="72">
        <v>45452.0</v>
      </c>
      <c r="B576" s="75" t="s">
        <v>1229</v>
      </c>
      <c r="C576" s="67" t="str">
        <f>IFERROR(__xludf.DUMMYFUNCTION("""COMPUTED_VALUE"""),"LD164")</f>
        <v>LD164</v>
      </c>
      <c r="D576" s="55" t="s">
        <v>42</v>
      </c>
      <c r="E576" s="55" t="s">
        <v>69</v>
      </c>
      <c r="F576" s="55" t="s">
        <v>133</v>
      </c>
      <c r="G576" s="55">
        <v>1840.0</v>
      </c>
      <c r="H576" s="55" t="s">
        <v>1137</v>
      </c>
      <c r="I576" s="115" t="s">
        <v>5479</v>
      </c>
      <c r="J576" s="55" t="s">
        <v>5480</v>
      </c>
      <c r="K576" s="55" t="s">
        <v>61</v>
      </c>
      <c r="L576" s="55">
        <v>16917.0</v>
      </c>
      <c r="M576" s="55" t="s">
        <v>78</v>
      </c>
      <c r="N576" s="55" t="s">
        <v>69</v>
      </c>
      <c r="O576" s="55" t="s">
        <v>224</v>
      </c>
      <c r="P576" s="55" t="s">
        <v>110</v>
      </c>
      <c r="Q576" s="67" t="str">
        <f>IFERROR(__xludf.DUMMYFUNCTION("""COMPUTED_VALUE"""),"Japan.giaotiep.M246_16917_CVS_NamNH_090624")</f>
        <v>Japan.giaotiep.M246_16917_CVS_NamNH_090624</v>
      </c>
      <c r="R576" s="67" t="str">
        <f>IFERROR(__xludf.DUMMYFUNCTION("""COMPUTED_VALUE"""),"NEW_Japan_1840_none_090624")</f>
        <v>NEW_Japan_1840_none_090624</v>
      </c>
      <c r="S576" s="67" t="str">
        <f>IFERROR(__xludf.DUMMYFUNCTION("""COMPUTED_VALUE"""),"saletructiep_Japan.M246.1840.giaotiep_PTATT_LD164")</f>
        <v>saletructiep_Japan.M246.1840.giaotiep_PTATT_LD164</v>
      </c>
      <c r="T576" s="107" t="str">
        <f>IFERROR(__xludf.DUMMYFUNCTION("""COMPUTED_VALUE"""),"https://patadovietnam.edu.vn/gtjapan_nhn3/?utm_source=Facebook&amp;utm_medium=CVS&amp;utm_term=NEW_Japan_1840_none_090624&amp;utm_content=saletructiep_Japan.M246.1840.giaotiep_PTATT_LD164&amp;utm_campaign=Japan.giaotiep.M246_16917_CVS_NamNH_090624")</f>
        <v>https://patadovietnam.edu.vn/gtjapan_nhn3/?utm_source=Facebook&amp;utm_medium=CVS&amp;utm_term=NEW_Japan_1840_none_090624&amp;utm_content=saletructiep_Japan.M246.1840.giaotiep_PTATT_LD164&amp;utm_campaign=Japan.giaotiep.M246_16917_CVS_NamNH_090624</v>
      </c>
      <c r="U576" s="110" t="s">
        <v>5486</v>
      </c>
    </row>
    <row r="577">
      <c r="A577" s="72">
        <v>45452.0</v>
      </c>
      <c r="B577" s="75" t="s">
        <v>1134</v>
      </c>
      <c r="C577" s="67" t="str">
        <f>IFERROR(__xludf.DUMMYFUNCTION("""COMPUTED_VALUE"""),"LD153")</f>
        <v>LD153</v>
      </c>
      <c r="D577" s="55" t="s">
        <v>42</v>
      </c>
      <c r="E577" s="55" t="s">
        <v>69</v>
      </c>
      <c r="F577" s="55" t="s">
        <v>674</v>
      </c>
      <c r="G577" s="55">
        <v>1840.0</v>
      </c>
      <c r="H577" s="55" t="s">
        <v>1137</v>
      </c>
      <c r="I577" s="115" t="s">
        <v>5487</v>
      </c>
      <c r="J577" s="55" t="s">
        <v>5488</v>
      </c>
      <c r="K577" s="55" t="s">
        <v>61</v>
      </c>
      <c r="L577" s="55">
        <v>16917.0</v>
      </c>
      <c r="M577" s="55" t="s">
        <v>78</v>
      </c>
      <c r="N577" s="55" t="s">
        <v>69</v>
      </c>
      <c r="O577" s="55" t="s">
        <v>224</v>
      </c>
      <c r="P577" s="55" t="s">
        <v>110</v>
      </c>
      <c r="Q577" s="67" t="str">
        <f>IFERROR(__xludf.DUMMYFUNCTION("""COMPUTED_VALUE"""),"Europe.giaotiep.M246_16917_CVS_NamNH_090624")</f>
        <v>Europe.giaotiep.M246_16917_CVS_NamNH_090624</v>
      </c>
      <c r="R577" s="67" t="str">
        <f>IFERROR(__xludf.DUMMYFUNCTION("""COMPUTED_VALUE"""),"NEW_Europe_1840_none_090624")</f>
        <v>NEW_Europe_1840_none_090624</v>
      </c>
      <c r="S577" s="67" t="str">
        <f>IFERROR(__xludf.DUMMYFUNCTION("""COMPUTED_VALUE"""),"saletructiep_Europe.M246.1840.giaotiep_PTATT_LD153")</f>
        <v>saletructiep_Europe.M246.1840.giaotiep_PTATT_LD153</v>
      </c>
      <c r="T577" s="107" t="str">
        <f>IFERROR(__xludf.DUMMYFUNCTION("""COMPUTED_VALUE"""),"https://patadovietnam.edu.vn/tienganhgiaotiep_hn/?utm_source=Facebook&amp;utm_medium=CVS&amp;utm_term=NEW_Europe_1840_none_090624&amp;utm_content=saletructiep_Europe.M246.1840.giaotiep_PTATT_LD153&amp;utm_campaign=Europe.giaotiep.M246_16917_CVS_NamNH_090624")</f>
        <v>https://patadovietnam.edu.vn/tienganhgiaotiep_hn/?utm_source=Facebook&amp;utm_medium=CVS&amp;utm_term=NEW_Europe_1840_none_090624&amp;utm_content=saletructiep_Europe.M246.1840.giaotiep_PTATT_LD153&amp;utm_campaign=Europe.giaotiep.M246_16917_CVS_NamNH_090624</v>
      </c>
      <c r="U577" s="110" t="s">
        <v>5492</v>
      </c>
    </row>
    <row r="578">
      <c r="A578" s="72">
        <v>45452.0</v>
      </c>
      <c r="B578" s="75" t="s">
        <v>1134</v>
      </c>
      <c r="C578" s="67" t="str">
        <f>IFERROR(__xludf.DUMMYFUNCTION("""COMPUTED_VALUE"""),"LD153")</f>
        <v>LD153</v>
      </c>
      <c r="D578" s="55" t="s">
        <v>42</v>
      </c>
      <c r="E578" s="55" t="s">
        <v>79</v>
      </c>
      <c r="F578" s="55" t="s">
        <v>164</v>
      </c>
      <c r="G578" s="55">
        <v>1840.0</v>
      </c>
      <c r="H578" s="55" t="s">
        <v>1137</v>
      </c>
      <c r="I578" s="115" t="s">
        <v>5495</v>
      </c>
      <c r="J578" s="55" t="s">
        <v>5496</v>
      </c>
      <c r="K578" s="55" t="s">
        <v>61</v>
      </c>
      <c r="L578" s="55">
        <v>16917.0</v>
      </c>
      <c r="M578" s="55" t="s">
        <v>78</v>
      </c>
      <c r="N578" s="55" t="s">
        <v>79</v>
      </c>
      <c r="O578" s="55" t="s">
        <v>224</v>
      </c>
      <c r="P578" s="55" t="s">
        <v>110</v>
      </c>
      <c r="Q578" s="67" t="str">
        <f>IFERROR(__xludf.DUMMYFUNCTION("""COMPUTED_VALUE"""),"Taiwan.giaotiep.M246_16917_MES_NamNH_090624")</f>
        <v>Taiwan.giaotiep.M246_16917_MES_NamNH_090624</v>
      </c>
      <c r="R578" s="67" t="str">
        <f>IFERROR(__xludf.DUMMYFUNCTION("""COMPUTED_VALUE"""),"NEW_Taiwan_1840_none_090624")</f>
        <v>NEW_Taiwan_1840_none_090624</v>
      </c>
      <c r="S578" s="67" t="str">
        <f>IFERROR(__xludf.DUMMYFUNCTION("""COMPUTED_VALUE"""),"saletructiep_Taiwan.M246.1840.giaotiep_PTATT_LD153")</f>
        <v>saletructiep_Taiwan.M246.1840.giaotiep_PTATT_LD153</v>
      </c>
      <c r="T578" s="107" t="str">
        <f>IFERROR(__xludf.DUMMYFUNCTION("""COMPUTED_VALUE"""),"https://patadovietnam.edu.vn/tienganhgiaotiep_hn/?utm_source=Facebook&amp;utm_medium=MES&amp;utm_term=NEW_Taiwan_1840_none_090624&amp;utm_content=saletructiep_Taiwan.M246.1840.giaotiep_PTATT_LD153&amp;utm_campaign=Taiwan.giaotiep.M246_16917_MES_NamNH_090624")</f>
        <v>https://patadovietnam.edu.vn/tienganhgiaotiep_hn/?utm_source=Facebook&amp;utm_medium=MES&amp;utm_term=NEW_Taiwan_1840_none_090624&amp;utm_content=saletructiep_Taiwan.M246.1840.giaotiep_PTATT_LD153&amp;utm_campaign=Taiwan.giaotiep.M246_16917_MES_NamNH_090624</v>
      </c>
      <c r="U578" s="110" t="s">
        <v>5498</v>
      </c>
    </row>
    <row r="579">
      <c r="A579" s="72">
        <v>45452.0</v>
      </c>
      <c r="B579" s="75" t="s">
        <v>1134</v>
      </c>
      <c r="C579" s="67" t="str">
        <f>IFERROR(__xludf.DUMMYFUNCTION("""COMPUTED_VALUE"""),"LD153")</f>
        <v>LD153</v>
      </c>
      <c r="D579" s="55" t="s">
        <v>42</v>
      </c>
      <c r="E579" s="55" t="s">
        <v>79</v>
      </c>
      <c r="F579" s="55" t="s">
        <v>174</v>
      </c>
      <c r="G579" s="55">
        <v>1840.0</v>
      </c>
      <c r="H579" s="55" t="s">
        <v>1137</v>
      </c>
      <c r="I579" s="115" t="s">
        <v>5503</v>
      </c>
      <c r="J579" s="55" t="s">
        <v>5504</v>
      </c>
      <c r="K579" s="55" t="s">
        <v>61</v>
      </c>
      <c r="L579" s="55">
        <v>16917.0</v>
      </c>
      <c r="M579" s="55" t="s">
        <v>78</v>
      </c>
      <c r="N579" s="55" t="s">
        <v>79</v>
      </c>
      <c r="O579" s="55" t="s">
        <v>224</v>
      </c>
      <c r="P579" s="55" t="s">
        <v>110</v>
      </c>
      <c r="Q579" s="67" t="str">
        <f>IFERROR(__xludf.DUMMYFUNCTION("""COMPUTED_VALUE"""),"Philippines.giaotiep.M246_16917_MES_NamNH_090624")</f>
        <v>Philippines.giaotiep.M246_16917_MES_NamNH_090624</v>
      </c>
      <c r="R579" s="67" t="str">
        <f>IFERROR(__xludf.DUMMYFUNCTION("""COMPUTED_VALUE"""),"NEW_Philippines_1840_none_090624")</f>
        <v>NEW_Philippines_1840_none_090624</v>
      </c>
      <c r="S579" s="67" t="str">
        <f>IFERROR(__xludf.DUMMYFUNCTION("""COMPUTED_VALUE"""),"saletructiep_Philippines.M246.1840.giaotiep_PTATT_LD153")</f>
        <v>saletructiep_Philippines.M246.1840.giaotiep_PTATT_LD153</v>
      </c>
      <c r="T579" s="107" t="str">
        <f>IFERROR(__xludf.DUMMYFUNCTION("""COMPUTED_VALUE"""),"https://patadovietnam.edu.vn/tienganhgiaotiep_hn/?utm_source=Facebook&amp;utm_medium=MES&amp;utm_term=NEW_Philippines_1840_none_090624&amp;utm_content=saletructiep_Philippines.M246.1840.giaotiep_PTATT_LD153&amp;utm_campaign=Philippines.giaotiep.M246_16917_MES_NamNH_09062"&amp;"4")</f>
        <v>https://patadovietnam.edu.vn/tienganhgiaotiep_hn/?utm_source=Facebook&amp;utm_medium=MES&amp;utm_term=NEW_Philippines_1840_none_090624&amp;utm_content=saletructiep_Philippines.M246.1840.giaotiep_PTATT_LD153&amp;utm_campaign=Philippines.giaotiep.M246_16917_MES_NamNH_090624</v>
      </c>
      <c r="U579" s="110" t="s">
        <v>5508</v>
      </c>
    </row>
    <row r="580">
      <c r="A580" s="72">
        <v>45452.0</v>
      </c>
      <c r="B580" s="75" t="s">
        <v>1134</v>
      </c>
      <c r="C580" s="67" t="str">
        <f>IFERROR(__xludf.DUMMYFUNCTION("""COMPUTED_VALUE"""),"LD153")</f>
        <v>LD153</v>
      </c>
      <c r="D580" s="55" t="s">
        <v>42</v>
      </c>
      <c r="E580" s="55" t="s">
        <v>79</v>
      </c>
      <c r="F580" s="55" t="s">
        <v>129</v>
      </c>
      <c r="G580" s="55">
        <v>1840.0</v>
      </c>
      <c r="H580" s="55" t="s">
        <v>1137</v>
      </c>
      <c r="I580" s="115" t="s">
        <v>5509</v>
      </c>
      <c r="J580" s="55" t="s">
        <v>5511</v>
      </c>
      <c r="K580" s="55" t="s">
        <v>61</v>
      </c>
      <c r="L580" s="55">
        <v>16917.0</v>
      </c>
      <c r="M580" s="55" t="s">
        <v>78</v>
      </c>
      <c r="N580" s="55" t="s">
        <v>79</v>
      </c>
      <c r="O580" s="55" t="s">
        <v>224</v>
      </c>
      <c r="P580" s="55" t="s">
        <v>110</v>
      </c>
      <c r="Q580" s="67" t="str">
        <f>IFERROR(__xludf.DUMMYFUNCTION("""COMPUTED_VALUE"""),"Australia.giaotiep.M246_16917_MES_NamNH_090624")</f>
        <v>Australia.giaotiep.M246_16917_MES_NamNH_090624</v>
      </c>
      <c r="R580" s="67" t="str">
        <f>IFERROR(__xludf.DUMMYFUNCTION("""COMPUTED_VALUE"""),"NEW_Australia_1840_none_090624")</f>
        <v>NEW_Australia_1840_none_090624</v>
      </c>
      <c r="S580" s="67" t="str">
        <f>IFERROR(__xludf.DUMMYFUNCTION("""COMPUTED_VALUE"""),"saletructiep_Australia.M246.1840.giaotiep_PTATT_LD153")</f>
        <v>saletructiep_Australia.M246.1840.giaotiep_PTATT_LD153</v>
      </c>
      <c r="T580" s="107" t="str">
        <f>IFERROR(__xludf.DUMMYFUNCTION("""COMPUTED_VALUE"""),"https://patadovietnam.edu.vn/tienganhgiaotiep_hn/?utm_source=Facebook&amp;utm_medium=MES&amp;utm_term=NEW_Australia_1840_none_090624&amp;utm_content=saletructiep_Australia.M246.1840.giaotiep_PTATT_LD153&amp;utm_campaign=Australia.giaotiep.M246_16917_MES_NamNH_090624")</f>
        <v>https://patadovietnam.edu.vn/tienganhgiaotiep_hn/?utm_source=Facebook&amp;utm_medium=MES&amp;utm_term=NEW_Australia_1840_none_090624&amp;utm_content=saletructiep_Australia.M246.1840.giaotiep_PTATT_LD153&amp;utm_campaign=Australia.giaotiep.M246_16917_MES_NamNH_090624</v>
      </c>
      <c r="U580" s="110" t="s">
        <v>5515</v>
      </c>
    </row>
    <row r="581">
      <c r="A581" s="72">
        <v>45452.0</v>
      </c>
      <c r="B581" s="75" t="s">
        <v>1229</v>
      </c>
      <c r="C581" s="67" t="str">
        <f>IFERROR(__xludf.DUMMYFUNCTION("""COMPUTED_VALUE"""),"LD164")</f>
        <v>LD164</v>
      </c>
      <c r="D581" s="55" t="s">
        <v>42</v>
      </c>
      <c r="E581" s="55" t="s">
        <v>69</v>
      </c>
      <c r="F581" s="55" t="s">
        <v>133</v>
      </c>
      <c r="G581" s="55">
        <v>1840.0</v>
      </c>
      <c r="H581" s="55" t="s">
        <v>1137</v>
      </c>
      <c r="I581" s="115" t="s">
        <v>5517</v>
      </c>
      <c r="J581" s="55" t="s">
        <v>5518</v>
      </c>
      <c r="K581" s="55" t="s">
        <v>61</v>
      </c>
      <c r="L581" s="55">
        <v>16917.0</v>
      </c>
      <c r="M581" s="55" t="s">
        <v>78</v>
      </c>
      <c r="N581" s="55" t="s">
        <v>69</v>
      </c>
      <c r="O581" s="55" t="s">
        <v>224</v>
      </c>
      <c r="P581" s="55" t="s">
        <v>110</v>
      </c>
      <c r="Q581" s="67" t="str">
        <f>IFERROR(__xludf.DUMMYFUNCTION("""COMPUTED_VALUE"""),"Japan.giaotiep.M199_16917_CVS_NamNH_090624")</f>
        <v>Japan.giaotiep.M199_16917_CVS_NamNH_090624</v>
      </c>
      <c r="R581" s="67" t="str">
        <f>IFERROR(__xludf.DUMMYFUNCTION("""COMPUTED_VALUE"""),"NEW_Japan_1840_none_090624")</f>
        <v>NEW_Japan_1840_none_090624</v>
      </c>
      <c r="S581" s="67" t="str">
        <f>IFERROR(__xludf.DUMMYFUNCTION("""COMPUTED_VALUE"""),"saletructiep_Japan.M199.1840.giaotiep_PTATT_LD164")</f>
        <v>saletructiep_Japan.M199.1840.giaotiep_PTATT_LD164</v>
      </c>
      <c r="T581" s="107" t="str">
        <f>IFERROR(__xludf.DUMMYFUNCTION("""COMPUTED_VALUE"""),"https://patadovietnam.edu.vn/gtjapan_nhn3/?utm_source=Facebook&amp;utm_medium=CVS&amp;utm_term=NEW_Japan_1840_none_090624&amp;utm_content=saletructiep_Japan.M199.1840.giaotiep_PTATT_LD164&amp;utm_campaign=Japan.giaotiep.M199_16917_CVS_NamNH_090624")</f>
        <v>https://patadovietnam.edu.vn/gtjapan_nhn3/?utm_source=Facebook&amp;utm_medium=CVS&amp;utm_term=NEW_Japan_1840_none_090624&amp;utm_content=saletructiep_Japan.M199.1840.giaotiep_PTATT_LD164&amp;utm_campaign=Japan.giaotiep.M199_16917_CVS_NamNH_090624</v>
      </c>
      <c r="U581" s="110" t="s">
        <v>5523</v>
      </c>
    </row>
    <row r="582">
      <c r="A582" s="72">
        <v>45452.0</v>
      </c>
      <c r="B582" s="75" t="s">
        <v>3903</v>
      </c>
      <c r="C582" s="67" t="str">
        <f>IFERROR(__xludf.DUMMYFUNCTION("""COMPUTED_VALUE"""),"LD224")</f>
        <v>LD224</v>
      </c>
      <c r="D582" s="55" t="s">
        <v>42</v>
      </c>
      <c r="E582" s="55" t="s">
        <v>79</v>
      </c>
      <c r="F582" s="55" t="s">
        <v>199</v>
      </c>
      <c r="G582" s="55">
        <v>1840.0</v>
      </c>
      <c r="H582" s="55" t="s">
        <v>1137</v>
      </c>
      <c r="I582" s="115" t="s">
        <v>5525</v>
      </c>
      <c r="J582" s="55" t="s">
        <v>5526</v>
      </c>
      <c r="K582" s="55" t="s">
        <v>61</v>
      </c>
      <c r="L582" s="55">
        <v>16917.0</v>
      </c>
      <c r="M582" s="55" t="s">
        <v>78</v>
      </c>
      <c r="N582" s="55" t="s">
        <v>79</v>
      </c>
      <c r="O582" s="55" t="s">
        <v>224</v>
      </c>
      <c r="P582" s="55" t="s">
        <v>110</v>
      </c>
      <c r="Q582" s="67" t="str">
        <f>IFERROR(__xludf.DUMMYFUNCTION("""COMPUTED_VALUE"""),"Vietnam.Congso.MB15_16917_MES_NamNH_090624")</f>
        <v>Vietnam.Congso.MB15_16917_MES_NamNH_090624</v>
      </c>
      <c r="R582" s="67" t="str">
        <f>IFERROR(__xludf.DUMMYFUNCTION("""COMPUTED_VALUE"""),"NEW_Vietnam_1840_none_090624")</f>
        <v>NEW_Vietnam_1840_none_090624</v>
      </c>
      <c r="S582" s="67" t="str">
        <f>IFERROR(__xludf.DUMMYFUNCTION("""COMPUTED_VALUE"""),"saletructiep_Vietnam.MB15.1840.giaotiep_PTATT_LD224")</f>
        <v>saletructiep_Vietnam.MB15.1840.giaotiep_PTATT_LD224</v>
      </c>
      <c r="T582" s="107" t="str">
        <f>IFERROR(__xludf.DUMMYFUNCTION("""COMPUTED_VALUE"""),"https://patadovietnam.edu.vn/tienganhdoanhnghiep_hn/?utm_source=Facebook&amp;utm_medium=MES&amp;utm_term=NEW_Vietnam_1840_none_090624&amp;utm_content=saletructiep_Vietnam.MB15.1840.giaotiep_PTATT_LD224&amp;utm_campaign=Vietnam.Congso.MB15_16917_MES_NamNH_090624")</f>
        <v>https://patadovietnam.edu.vn/tienganhdoanhnghiep_hn/?utm_source=Facebook&amp;utm_medium=MES&amp;utm_term=NEW_Vietnam_1840_none_090624&amp;utm_content=saletructiep_Vietnam.MB15.1840.giaotiep_PTATT_LD224&amp;utm_campaign=Vietnam.Congso.MB15_16917_MES_NamNH_090624</v>
      </c>
      <c r="U582" s="110" t="s">
        <v>5531</v>
      </c>
    </row>
    <row r="583">
      <c r="A583" s="72">
        <v>45452.0</v>
      </c>
      <c r="B583" s="75" t="s">
        <v>3903</v>
      </c>
      <c r="C583" s="67" t="str">
        <f>IFERROR(__xludf.DUMMYFUNCTION("""COMPUTED_VALUE"""),"LD224")</f>
        <v>LD224</v>
      </c>
      <c r="D583" s="55" t="s">
        <v>42</v>
      </c>
      <c r="E583" s="55" t="s">
        <v>79</v>
      </c>
      <c r="F583" s="55" t="s">
        <v>199</v>
      </c>
      <c r="G583" s="55">
        <v>1840.0</v>
      </c>
      <c r="H583" s="55" t="s">
        <v>1137</v>
      </c>
      <c r="I583" s="115" t="s">
        <v>5532</v>
      </c>
      <c r="J583" s="55" t="s">
        <v>5533</v>
      </c>
      <c r="K583" s="55" t="s">
        <v>61</v>
      </c>
      <c r="L583" s="55">
        <v>16917.0</v>
      </c>
      <c r="M583" s="55" t="s">
        <v>78</v>
      </c>
      <c r="N583" s="55" t="s">
        <v>79</v>
      </c>
      <c r="O583" s="55" t="s">
        <v>224</v>
      </c>
      <c r="P583" s="55" t="s">
        <v>110</v>
      </c>
      <c r="Q583" s="67" t="str">
        <f>IFERROR(__xludf.DUMMYFUNCTION("""COMPUTED_VALUE"""),"Vietnam.Congso.MB16_16917_MES_NamNH_090624")</f>
        <v>Vietnam.Congso.MB16_16917_MES_NamNH_090624</v>
      </c>
      <c r="R583" s="67" t="str">
        <f>IFERROR(__xludf.DUMMYFUNCTION("""COMPUTED_VALUE"""),"NEW_Vietnam_1840_none_090624")</f>
        <v>NEW_Vietnam_1840_none_090624</v>
      </c>
      <c r="S583" s="67" t="str">
        <f>IFERROR(__xludf.DUMMYFUNCTION("""COMPUTED_VALUE"""),"saletructiep_Vietnam.MB16.1840.giaotiep_PTATT_LD224")</f>
        <v>saletructiep_Vietnam.MB16.1840.giaotiep_PTATT_LD224</v>
      </c>
      <c r="T583" s="107" t="str">
        <f>IFERROR(__xludf.DUMMYFUNCTION("""COMPUTED_VALUE"""),"https://patadovietnam.edu.vn/tienganhdoanhnghiep_hn/?utm_source=Facebook&amp;utm_medium=MES&amp;utm_term=NEW_Vietnam_1840_none_090624&amp;utm_content=saletructiep_Vietnam.MB16.1840.giaotiep_PTATT_LD224&amp;utm_campaign=Vietnam.Congso.MB16_16917_MES_NamNH_090624")</f>
        <v>https://patadovietnam.edu.vn/tienganhdoanhnghiep_hn/?utm_source=Facebook&amp;utm_medium=MES&amp;utm_term=NEW_Vietnam_1840_none_090624&amp;utm_content=saletructiep_Vietnam.MB16.1840.giaotiep_PTATT_LD224&amp;utm_campaign=Vietnam.Congso.MB16_16917_MES_NamNH_090624</v>
      </c>
      <c r="U583" s="110" t="s">
        <v>5537</v>
      </c>
    </row>
    <row r="584">
      <c r="A584" s="72">
        <v>45452.0</v>
      </c>
      <c r="B584" s="75" t="s">
        <v>3903</v>
      </c>
      <c r="C584" s="67" t="str">
        <f>IFERROR(__xludf.DUMMYFUNCTION("""COMPUTED_VALUE"""),"LD224")</f>
        <v>LD224</v>
      </c>
      <c r="D584" s="55" t="s">
        <v>42</v>
      </c>
      <c r="E584" s="55" t="s">
        <v>79</v>
      </c>
      <c r="F584" s="55" t="s">
        <v>199</v>
      </c>
      <c r="G584" s="55">
        <v>1840.0</v>
      </c>
      <c r="H584" s="55" t="s">
        <v>1137</v>
      </c>
      <c r="I584" s="115" t="s">
        <v>5542</v>
      </c>
      <c r="J584" s="55" t="s">
        <v>5543</v>
      </c>
      <c r="K584" s="55" t="s">
        <v>61</v>
      </c>
      <c r="L584" s="55">
        <v>16917.0</v>
      </c>
      <c r="M584" s="55" t="s">
        <v>78</v>
      </c>
      <c r="N584" s="55" t="s">
        <v>79</v>
      </c>
      <c r="O584" s="55" t="s">
        <v>224</v>
      </c>
      <c r="P584" s="55" t="s">
        <v>110</v>
      </c>
      <c r="Q584" s="67" t="str">
        <f>IFERROR(__xludf.DUMMYFUNCTION("""COMPUTED_VALUE"""),"Vietnam.Congso.MB17_16917_MES_NamNH_090624")</f>
        <v>Vietnam.Congso.MB17_16917_MES_NamNH_090624</v>
      </c>
      <c r="R584" s="67" t="str">
        <f>IFERROR(__xludf.DUMMYFUNCTION("""COMPUTED_VALUE"""),"NEW_Vietnam_1840_none_090624")</f>
        <v>NEW_Vietnam_1840_none_090624</v>
      </c>
      <c r="S584" s="67" t="str">
        <f>IFERROR(__xludf.DUMMYFUNCTION("""COMPUTED_VALUE"""),"saletructiep_Vietnam.MB17.1840.giaotiep_PTATT_LD224")</f>
        <v>saletructiep_Vietnam.MB17.1840.giaotiep_PTATT_LD224</v>
      </c>
      <c r="T584" s="107" t="str">
        <f>IFERROR(__xludf.DUMMYFUNCTION("""COMPUTED_VALUE"""),"https://patadovietnam.edu.vn/tienganhdoanhnghiep_hn/?utm_source=Facebook&amp;utm_medium=MES&amp;utm_term=NEW_Vietnam_1840_none_090624&amp;utm_content=saletructiep_Vietnam.MB17.1840.giaotiep_PTATT_LD224&amp;utm_campaign=Vietnam.Congso.MB17_16917_MES_NamNH_090624")</f>
        <v>https://patadovietnam.edu.vn/tienganhdoanhnghiep_hn/?utm_source=Facebook&amp;utm_medium=MES&amp;utm_term=NEW_Vietnam_1840_none_090624&amp;utm_content=saletructiep_Vietnam.MB17.1840.giaotiep_PTATT_LD224&amp;utm_campaign=Vietnam.Congso.MB17_16917_MES_NamNH_090624</v>
      </c>
      <c r="U584" s="110" t="s">
        <v>5544</v>
      </c>
    </row>
    <row r="585">
      <c r="A585" s="72">
        <v>45455.0</v>
      </c>
      <c r="B585" s="75" t="s">
        <v>1245</v>
      </c>
      <c r="C585" s="67" t="str">
        <f>IFERROR(__xludf.DUMMYFUNCTION("""COMPUTED_VALUE"""),"LD161")</f>
        <v>LD161</v>
      </c>
      <c r="D585" s="55" t="s">
        <v>42</v>
      </c>
      <c r="E585" s="55" t="s">
        <v>79</v>
      </c>
      <c r="F585" s="55" t="s">
        <v>107</v>
      </c>
      <c r="G585" s="55">
        <v>1840.0</v>
      </c>
      <c r="H585" s="55" t="s">
        <v>1137</v>
      </c>
      <c r="I585" s="115" t="s">
        <v>5548</v>
      </c>
      <c r="J585" s="55" t="s">
        <v>5549</v>
      </c>
      <c r="K585" s="55" t="s">
        <v>61</v>
      </c>
      <c r="L585" s="55">
        <v>16917.0</v>
      </c>
      <c r="M585" s="55" t="s">
        <v>78</v>
      </c>
      <c r="N585" s="55" t="s">
        <v>79</v>
      </c>
      <c r="O585" s="55" t="s">
        <v>224</v>
      </c>
      <c r="P585" s="55" t="s">
        <v>110</v>
      </c>
      <c r="Q585" s="67" t="str">
        <f>IFERROR(__xludf.DUMMYFUNCTION("""COMPUTED_VALUE"""),"UnitedStates.giaotiep.M247_16917_MES_NamNH_120624")</f>
        <v>UnitedStates.giaotiep.M247_16917_MES_NamNH_120624</v>
      </c>
      <c r="R585" s="67" t="str">
        <f>IFERROR(__xludf.DUMMYFUNCTION("""COMPUTED_VALUE"""),"NEW_UnitedStates_1840_none_120624")</f>
        <v>NEW_UnitedStates_1840_none_120624</v>
      </c>
      <c r="S585" s="67" t="str">
        <f>IFERROR(__xludf.DUMMYFUNCTION("""COMPUTED_VALUE"""),"saletructiep_UnitedStates.M247.1840.giaotiep_PTATT_LD161")</f>
        <v>saletructiep_UnitedStates.M247.1840.giaotiep_PTATT_LD161</v>
      </c>
      <c r="T585" s="107" t="str">
        <f>IFERROR(__xludf.DUMMYFUNCTION("""COMPUTED_VALUE"""),"https://patadovietnam.edu.vn/gtusa1_nhn/?utm_source=Facebook&amp;utm_medium=MES&amp;utm_term=NEW_UnitedStates_1840_none_120624&amp;utm_content=saletructiep_UnitedStates.M247.1840.giaotiep_PTATT_LD161&amp;utm_campaign=UnitedStates.giaotiep.M247_16917_MES_NamNH_120624")</f>
        <v>https://patadovietnam.edu.vn/gtusa1_nhn/?utm_source=Facebook&amp;utm_medium=MES&amp;utm_term=NEW_UnitedStates_1840_none_120624&amp;utm_content=saletructiep_UnitedStates.M247.1840.giaotiep_PTATT_LD161&amp;utm_campaign=UnitedStates.giaotiep.M247_16917_MES_NamNH_120624</v>
      </c>
      <c r="U585" s="110" t="s">
        <v>5554</v>
      </c>
    </row>
    <row r="586">
      <c r="A586" s="72">
        <v>45455.0</v>
      </c>
      <c r="B586" s="75" t="s">
        <v>1229</v>
      </c>
      <c r="C586" s="67" t="str">
        <f>IFERROR(__xludf.DUMMYFUNCTION("""COMPUTED_VALUE"""),"LD164")</f>
        <v>LD164</v>
      </c>
      <c r="D586" s="55" t="s">
        <v>42</v>
      </c>
      <c r="E586" s="55" t="s">
        <v>69</v>
      </c>
      <c r="F586" s="55" t="s">
        <v>133</v>
      </c>
      <c r="G586" s="55">
        <v>1840.0</v>
      </c>
      <c r="H586" s="55" t="s">
        <v>1137</v>
      </c>
      <c r="I586" s="115" t="s">
        <v>5556</v>
      </c>
      <c r="J586" s="55" t="s">
        <v>5557</v>
      </c>
      <c r="K586" s="55" t="s">
        <v>61</v>
      </c>
      <c r="L586" s="55">
        <v>16917.0</v>
      </c>
      <c r="M586" s="55" t="s">
        <v>78</v>
      </c>
      <c r="N586" s="55" t="s">
        <v>69</v>
      </c>
      <c r="O586" s="55" t="s">
        <v>224</v>
      </c>
      <c r="P586" s="55" t="s">
        <v>110</v>
      </c>
      <c r="Q586" s="67" t="str">
        <f>IFERROR(__xludf.DUMMYFUNCTION("""COMPUTED_VALUE"""),"Japan.giaotiep.M247_16917_CVS_NamNH_120624")</f>
        <v>Japan.giaotiep.M247_16917_CVS_NamNH_120624</v>
      </c>
      <c r="R586" s="67" t="str">
        <f>IFERROR(__xludf.DUMMYFUNCTION("""COMPUTED_VALUE"""),"NEW_Japan_1840_none_120624")</f>
        <v>NEW_Japan_1840_none_120624</v>
      </c>
      <c r="S586" s="67" t="str">
        <f>IFERROR(__xludf.DUMMYFUNCTION("""COMPUTED_VALUE"""),"saletructiep_Japan.M247.1840.giaotiep_PTATT_LD164")</f>
        <v>saletructiep_Japan.M247.1840.giaotiep_PTATT_LD164</v>
      </c>
      <c r="T586" s="107" t="str">
        <f>IFERROR(__xludf.DUMMYFUNCTION("""COMPUTED_VALUE"""),"https://patadovietnam.edu.vn/gtjapan_nhn3/?utm_source=Facebook&amp;utm_medium=CVS&amp;utm_term=NEW_Japan_1840_none_120624&amp;utm_content=saletructiep_Japan.M247.1840.giaotiep_PTATT_LD164&amp;utm_campaign=Japan.giaotiep.M247_16917_CVS_NamNH_120624")</f>
        <v>https://patadovietnam.edu.vn/gtjapan_nhn3/?utm_source=Facebook&amp;utm_medium=CVS&amp;utm_term=NEW_Japan_1840_none_120624&amp;utm_content=saletructiep_Japan.M247.1840.giaotiep_PTATT_LD164&amp;utm_campaign=Japan.giaotiep.M247_16917_CVS_NamNH_120624</v>
      </c>
      <c r="U586" s="110" t="s">
        <v>5562</v>
      </c>
    </row>
    <row r="587">
      <c r="A587" s="72">
        <v>45455.0</v>
      </c>
      <c r="B587" s="75" t="s">
        <v>5431</v>
      </c>
      <c r="C587" s="67" t="str">
        <f>IFERROR(__xludf.DUMMYFUNCTION("""COMPUTED_VALUE"""),"LD227")</f>
        <v>LD227</v>
      </c>
      <c r="D587" s="55" t="s">
        <v>42</v>
      </c>
      <c r="E587" s="55" t="s">
        <v>69</v>
      </c>
      <c r="F587" s="55" t="s">
        <v>133</v>
      </c>
      <c r="G587" s="55">
        <v>1840.0</v>
      </c>
      <c r="H587" s="55" t="s">
        <v>1137</v>
      </c>
      <c r="I587" s="115" t="s">
        <v>5566</v>
      </c>
      <c r="J587" s="55" t="s">
        <v>5567</v>
      </c>
      <c r="K587" s="55" t="s">
        <v>61</v>
      </c>
      <c r="L587" s="55">
        <v>16917.0</v>
      </c>
      <c r="M587" s="55" t="s">
        <v>78</v>
      </c>
      <c r="N587" s="55" t="s">
        <v>69</v>
      </c>
      <c r="O587" s="55" t="s">
        <v>224</v>
      </c>
      <c r="P587" s="55" t="s">
        <v>110</v>
      </c>
      <c r="Q587" s="67" t="str">
        <f>IFERROR(__xludf.DUMMYFUNCTION("""COMPUTED_VALUE"""),"Japan.giaotiep.M250_16917_CVS_NamNH_120624")</f>
        <v>Japan.giaotiep.M250_16917_CVS_NamNH_120624</v>
      </c>
      <c r="R587" s="67" t="str">
        <f>IFERROR(__xludf.DUMMYFUNCTION("""COMPUTED_VALUE"""),"NEW_Japan_1840_none_120624")</f>
        <v>NEW_Japan_1840_none_120624</v>
      </c>
      <c r="S587" s="67" t="str">
        <f>IFERROR(__xludf.DUMMYFUNCTION("""COMPUTED_VALUE"""),"saletructiep_Japan.M250.1840.giaotiep_PTATT_LD227")</f>
        <v>saletructiep_Japan.M250.1840.giaotiep_PTATT_LD227</v>
      </c>
      <c r="T587" s="107" t="str">
        <f>IFERROR(__xludf.DUMMYFUNCTION("""COMPUTED_VALUE"""),"https://patadovietnam.edu.vn/giaotiep_japan/?utm_source=Facebook&amp;utm_medium=CVS&amp;utm_term=NEW_Japan_1840_none_120624&amp;utm_content=saletructiep_Japan.M250.1840.giaotiep_PTATT_LD227&amp;utm_campaign=Japan.giaotiep.M250_16917_CVS_NamNH_120624")</f>
        <v>https://patadovietnam.edu.vn/giaotiep_japan/?utm_source=Facebook&amp;utm_medium=CVS&amp;utm_term=NEW_Japan_1840_none_120624&amp;utm_content=saletructiep_Japan.M250.1840.giaotiep_PTATT_LD227&amp;utm_campaign=Japan.giaotiep.M250_16917_CVS_NamNH_120624</v>
      </c>
      <c r="U587" s="110" t="s">
        <v>5570</v>
      </c>
    </row>
    <row r="588">
      <c r="A588" s="72">
        <v>45455.0</v>
      </c>
      <c r="B588" s="75" t="s">
        <v>1134</v>
      </c>
      <c r="C588" s="67" t="str">
        <f>IFERROR(__xludf.DUMMYFUNCTION("""COMPUTED_VALUE"""),"LD153")</f>
        <v>LD153</v>
      </c>
      <c r="D588" s="55" t="s">
        <v>42</v>
      </c>
      <c r="E588" s="55" t="s">
        <v>79</v>
      </c>
      <c r="F588" s="55" t="s">
        <v>539</v>
      </c>
      <c r="G588" s="55">
        <v>1840.0</v>
      </c>
      <c r="H588" s="55" t="s">
        <v>1137</v>
      </c>
      <c r="I588" s="115" t="s">
        <v>5573</v>
      </c>
      <c r="J588" s="55" t="s">
        <v>5574</v>
      </c>
      <c r="K588" s="55" t="s">
        <v>61</v>
      </c>
      <c r="L588" s="55">
        <v>16917.0</v>
      </c>
      <c r="M588" s="55" t="s">
        <v>78</v>
      </c>
      <c r="N588" s="55" t="s">
        <v>79</v>
      </c>
      <c r="O588" s="55" t="s">
        <v>224</v>
      </c>
      <c r="P588" s="55" t="s">
        <v>110</v>
      </c>
      <c r="Q588" s="67" t="str">
        <f>IFERROR(__xludf.DUMMYFUNCTION("""COMPUTED_VALUE"""),"ALL.giaotiep.M250_16917_MES_NamNH_120624")</f>
        <v>ALL.giaotiep.M250_16917_MES_NamNH_120624</v>
      </c>
      <c r="R588" s="67" t="str">
        <f>IFERROR(__xludf.DUMMYFUNCTION("""COMPUTED_VALUE"""),"NEW_ALL_1840_none_120624")</f>
        <v>NEW_ALL_1840_none_120624</v>
      </c>
      <c r="S588" s="67" t="str">
        <f>IFERROR(__xludf.DUMMYFUNCTION("""COMPUTED_VALUE"""),"saletructiep_ALL.M250.1840.giaotiep_PTATT_LD153")</f>
        <v>saletructiep_ALL.M250.1840.giaotiep_PTATT_LD153</v>
      </c>
      <c r="T588" s="107" t="str">
        <f>IFERROR(__xludf.DUMMYFUNCTION("""COMPUTED_VALUE"""),"https://patadovietnam.edu.vn/tienganhgiaotiep_hn/?utm_source=Facebook&amp;utm_medium=MES&amp;utm_term=NEW_ALL_1840_none_120624&amp;utm_content=saletructiep_ALL.M250.1840.giaotiep_PTATT_LD153&amp;utm_campaign=ALL.giaotiep.M250_16917_MES_NamNH_120624")</f>
        <v>https://patadovietnam.edu.vn/tienganhgiaotiep_hn/?utm_source=Facebook&amp;utm_medium=MES&amp;utm_term=NEW_ALL_1840_none_120624&amp;utm_content=saletructiep_ALL.M250.1840.giaotiep_PTATT_LD153&amp;utm_campaign=ALL.giaotiep.M250_16917_MES_NamNH_120624</v>
      </c>
      <c r="U588" s="110" t="s">
        <v>5580</v>
      </c>
    </row>
    <row r="589">
      <c r="A589" s="72">
        <v>45455.0</v>
      </c>
      <c r="B589" s="75" t="s">
        <v>1134</v>
      </c>
      <c r="C589" s="67" t="str">
        <f>IFERROR(__xludf.DUMMYFUNCTION("""COMPUTED_VALUE"""),"LD153")</f>
        <v>LD153</v>
      </c>
      <c r="D589" s="55" t="s">
        <v>42</v>
      </c>
      <c r="E589" s="55" t="s">
        <v>69</v>
      </c>
      <c r="F589" s="55" t="s">
        <v>674</v>
      </c>
      <c r="G589" s="55">
        <v>1840.0</v>
      </c>
      <c r="H589" s="55" t="s">
        <v>1137</v>
      </c>
      <c r="I589" s="115" t="s">
        <v>5581</v>
      </c>
      <c r="J589" s="55" t="s">
        <v>5582</v>
      </c>
      <c r="K589" s="55" t="s">
        <v>61</v>
      </c>
      <c r="L589" s="55">
        <v>16917.0</v>
      </c>
      <c r="M589" s="55" t="s">
        <v>78</v>
      </c>
      <c r="N589" s="55" t="s">
        <v>69</v>
      </c>
      <c r="O589" s="55" t="s">
        <v>224</v>
      </c>
      <c r="P589" s="55" t="s">
        <v>110</v>
      </c>
      <c r="Q589" s="67" t="str">
        <f>IFERROR(__xludf.DUMMYFUNCTION("""COMPUTED_VALUE"""),"Europe.giaotiep.M250_16917_CVS_NamNH_120624")</f>
        <v>Europe.giaotiep.M250_16917_CVS_NamNH_120624</v>
      </c>
      <c r="R589" s="67" t="str">
        <f>IFERROR(__xludf.DUMMYFUNCTION("""COMPUTED_VALUE"""),"NEW_Europe_1840_none_120624")</f>
        <v>NEW_Europe_1840_none_120624</v>
      </c>
      <c r="S589" s="67" t="str">
        <f>IFERROR(__xludf.DUMMYFUNCTION("""COMPUTED_VALUE"""),"saletructiep_Europe.M250.1840.giaotiep_PTATT_LD153")</f>
        <v>saletructiep_Europe.M250.1840.giaotiep_PTATT_LD153</v>
      </c>
      <c r="T589" s="107" t="str">
        <f>IFERROR(__xludf.DUMMYFUNCTION("""COMPUTED_VALUE"""),"https://patadovietnam.edu.vn/tienganhgiaotiep_hn/?utm_source=Facebook&amp;utm_medium=CVS&amp;utm_term=NEW_Europe_1840_none_120624&amp;utm_content=saletructiep_Europe.M250.1840.giaotiep_PTATT_LD153&amp;utm_campaign=Europe.giaotiep.M250_16917_CVS_NamNH_120624")</f>
        <v>https://patadovietnam.edu.vn/tienganhgiaotiep_hn/?utm_source=Facebook&amp;utm_medium=CVS&amp;utm_term=NEW_Europe_1840_none_120624&amp;utm_content=saletructiep_Europe.M250.1840.giaotiep_PTATT_LD153&amp;utm_campaign=Europe.giaotiep.M250_16917_CVS_NamNH_120624</v>
      </c>
      <c r="U589" s="110" t="s">
        <v>5587</v>
      </c>
    </row>
    <row r="590">
      <c r="A590" s="72">
        <v>45456.0</v>
      </c>
      <c r="B590" s="75" t="s">
        <v>3903</v>
      </c>
      <c r="C590" s="67" t="str">
        <f>IFERROR(__xludf.DUMMYFUNCTION("""COMPUTED_VALUE"""),"LD224")</f>
        <v>LD224</v>
      </c>
      <c r="D590" s="55" t="s">
        <v>42</v>
      </c>
      <c r="E590" s="55" t="s">
        <v>79</v>
      </c>
      <c r="F590" s="55" t="s">
        <v>199</v>
      </c>
      <c r="G590" s="55">
        <v>2035.0</v>
      </c>
      <c r="H590" s="55" t="s">
        <v>1137</v>
      </c>
      <c r="I590" s="55" t="s">
        <v>5588</v>
      </c>
      <c r="J590" s="55" t="s">
        <v>5589</v>
      </c>
      <c r="K590" s="55" t="s">
        <v>61</v>
      </c>
      <c r="L590" s="55">
        <v>16917.0</v>
      </c>
      <c r="M590" s="55" t="s">
        <v>78</v>
      </c>
      <c r="N590" s="55" t="s">
        <v>79</v>
      </c>
      <c r="O590" s="55" t="s">
        <v>224</v>
      </c>
      <c r="P590" s="55" t="s">
        <v>110</v>
      </c>
      <c r="Q590" s="67" t="str">
        <f>IFERROR(__xludf.DUMMYFUNCTION("""COMPUTED_VALUE"""),"Vietnam.Congso.MB18_16917_MES_NamNH_130624")</f>
        <v>Vietnam.Congso.MB18_16917_MES_NamNH_130624</v>
      </c>
      <c r="R590" s="67" t="str">
        <f>IFERROR(__xludf.DUMMYFUNCTION("""COMPUTED_VALUE"""),"NEW_Vietnam_2035_none_130624")</f>
        <v>NEW_Vietnam_2035_none_130624</v>
      </c>
      <c r="S590" s="67" t="str">
        <f>IFERROR(__xludf.DUMMYFUNCTION("""COMPUTED_VALUE"""),"saletructiep_Vietnam.MB18.1836.Congso_PTATT_LD224")</f>
        <v>saletructiep_Vietnam.MB18.1836.Congso_PTATT_LD224</v>
      </c>
      <c r="T590" s="107" t="str">
        <f>IFERROR(__xludf.DUMMYFUNCTION("""COMPUTED_VALUE"""),"https://patadovietnam.edu.vn/tienganhdoanhnghiep_hn/?utm_source=Facebook&amp;utm_medium=MES&amp;utm_term=NEW_Vietnam_2035_none_130624&amp;utm_content=saletructiep_Vietnam.MB18.1836.Congso_PTATT_LD224&amp;utm_campaign=Vietnam.Congso.MB18_16917_MES_NamNH_130624")</f>
        <v>https://patadovietnam.edu.vn/tienganhdoanhnghiep_hn/?utm_source=Facebook&amp;utm_medium=MES&amp;utm_term=NEW_Vietnam_2035_none_130624&amp;utm_content=saletructiep_Vietnam.MB18.1836.Congso_PTATT_LD224&amp;utm_campaign=Vietnam.Congso.MB18_16917_MES_NamNH_130624</v>
      </c>
      <c r="U590" s="110" t="s">
        <v>5592</v>
      </c>
    </row>
    <row r="591">
      <c r="A591" s="72">
        <v>45456.0</v>
      </c>
      <c r="B591" s="75" t="s">
        <v>3903</v>
      </c>
      <c r="C591" s="67" t="str">
        <f>IFERROR(__xludf.DUMMYFUNCTION("""COMPUTED_VALUE"""),"LD224")</f>
        <v>LD224</v>
      </c>
      <c r="D591" s="55" t="s">
        <v>42</v>
      </c>
      <c r="E591" s="55" t="s">
        <v>79</v>
      </c>
      <c r="F591" s="55" t="s">
        <v>199</v>
      </c>
      <c r="G591" s="55">
        <v>2035.0</v>
      </c>
      <c r="H591" s="55" t="s">
        <v>1137</v>
      </c>
      <c r="I591" s="55" t="s">
        <v>5597</v>
      </c>
      <c r="J591" s="55" t="s">
        <v>5598</v>
      </c>
      <c r="K591" s="55" t="s">
        <v>61</v>
      </c>
      <c r="L591" s="55">
        <v>16917.0</v>
      </c>
      <c r="M591" s="55" t="s">
        <v>78</v>
      </c>
      <c r="N591" s="55" t="s">
        <v>79</v>
      </c>
      <c r="O591" s="55" t="s">
        <v>224</v>
      </c>
      <c r="P591" s="55" t="s">
        <v>110</v>
      </c>
      <c r="Q591" s="67" t="str">
        <f>IFERROR(__xludf.DUMMYFUNCTION("""COMPUTED_VALUE"""),"Vietnam.Congso.MB19_16917_MES_NamNH_130624")</f>
        <v>Vietnam.Congso.MB19_16917_MES_NamNH_130624</v>
      </c>
      <c r="R591" s="67" t="str">
        <f>IFERROR(__xludf.DUMMYFUNCTION("""COMPUTED_VALUE"""),"NEW_Vietnam_2035_none_130624")</f>
        <v>NEW_Vietnam_2035_none_130624</v>
      </c>
      <c r="S591" s="67" t="str">
        <f>IFERROR(__xludf.DUMMYFUNCTION("""COMPUTED_VALUE"""),"saletructiep_Vietnam.MB19.1836.Congso_PTATT_LD224")</f>
        <v>saletructiep_Vietnam.MB19.1836.Congso_PTATT_LD224</v>
      </c>
      <c r="T591" s="107" t="str">
        <f>IFERROR(__xludf.DUMMYFUNCTION("""COMPUTED_VALUE"""),"https://patadovietnam.edu.vn/tienganhdoanhnghiep_hn/?utm_source=Facebook&amp;utm_medium=MES&amp;utm_term=NEW_Vietnam_2035_none_130624&amp;utm_content=saletructiep_Vietnam.MB19.1836.Congso_PTATT_LD224&amp;utm_campaign=Vietnam.Congso.MB19_16917_MES_NamNH_130624")</f>
        <v>https://patadovietnam.edu.vn/tienganhdoanhnghiep_hn/?utm_source=Facebook&amp;utm_medium=MES&amp;utm_term=NEW_Vietnam_2035_none_130624&amp;utm_content=saletructiep_Vietnam.MB19.1836.Congso_PTATT_LD224&amp;utm_campaign=Vietnam.Congso.MB19_16917_MES_NamNH_130624</v>
      </c>
      <c r="U591" s="110" t="s">
        <v>5601</v>
      </c>
    </row>
    <row r="592">
      <c r="A592" s="72">
        <v>45468.0</v>
      </c>
      <c r="B592" s="75" t="s">
        <v>3903</v>
      </c>
      <c r="C592" s="67" t="str">
        <f>IFERROR(__xludf.DUMMYFUNCTION("""COMPUTED_VALUE"""),"LD224")</f>
        <v>LD224</v>
      </c>
      <c r="D592" s="55" t="s">
        <v>42</v>
      </c>
      <c r="E592" s="55" t="s">
        <v>79</v>
      </c>
      <c r="F592" s="55" t="s">
        <v>199</v>
      </c>
      <c r="G592" s="55">
        <v>2035.0</v>
      </c>
      <c r="H592" s="55" t="s">
        <v>1137</v>
      </c>
      <c r="I592" s="55" t="s">
        <v>5602</v>
      </c>
      <c r="J592" s="55" t="s">
        <v>5603</v>
      </c>
      <c r="K592" s="55" t="s">
        <v>61</v>
      </c>
      <c r="L592" s="55">
        <v>16917.0</v>
      </c>
      <c r="M592" s="55" t="s">
        <v>78</v>
      </c>
      <c r="N592" s="55" t="s">
        <v>79</v>
      </c>
      <c r="O592" s="55" t="s">
        <v>224</v>
      </c>
      <c r="P592" s="55" t="s">
        <v>110</v>
      </c>
      <c r="Q592" s="67" t="str">
        <f>IFERROR(__xludf.DUMMYFUNCTION("""COMPUTED_VALUE"""),"Vietnam.Congso.MB20_16917_MES_NamNH_250624")</f>
        <v>Vietnam.Congso.MB20_16917_MES_NamNH_250624</v>
      </c>
      <c r="R592" s="67" t="str">
        <f>IFERROR(__xludf.DUMMYFUNCTION("""COMPUTED_VALUE"""),"NEW_Vietnam_2035_none_250624")</f>
        <v>NEW_Vietnam_2035_none_250624</v>
      </c>
      <c r="S592" s="67" t="str">
        <f>IFERROR(__xludf.DUMMYFUNCTION("""COMPUTED_VALUE"""),"saletructiep_Vietnam.MB20.1836.Congso_PTATT_LD224")</f>
        <v>saletructiep_Vietnam.MB20.1836.Congso_PTATT_LD224</v>
      </c>
      <c r="T592" s="107" t="str">
        <f>IFERROR(__xludf.DUMMYFUNCTION("""COMPUTED_VALUE"""),"https://patadovietnam.edu.vn/tienganhdoanhnghiep_hn/?utm_source=Facebook&amp;utm_medium=MES&amp;utm_term=NEW_Vietnam_2035_none_250624&amp;utm_content=saletructiep_Vietnam.MB20.1836.Congso_PTATT_LD224&amp;utm_campaign=Vietnam.Congso.MB20_16917_MES_NamNH_250624")</f>
        <v>https://patadovietnam.edu.vn/tienganhdoanhnghiep_hn/?utm_source=Facebook&amp;utm_medium=MES&amp;utm_term=NEW_Vietnam_2035_none_250624&amp;utm_content=saletructiep_Vietnam.MB20.1836.Congso_PTATT_LD224&amp;utm_campaign=Vietnam.Congso.MB20_16917_MES_NamNH_250624</v>
      </c>
      <c r="U592" s="110" t="s">
        <v>5608</v>
      </c>
    </row>
    <row r="593">
      <c r="A593" s="72">
        <v>45471.0</v>
      </c>
      <c r="B593" s="75" t="s">
        <v>1229</v>
      </c>
      <c r="C593" s="67" t="str">
        <f>IFERROR(__xludf.DUMMYFUNCTION("""COMPUTED_VALUE"""),"LD164")</f>
        <v>LD164</v>
      </c>
      <c r="D593" s="55" t="s">
        <v>42</v>
      </c>
      <c r="E593" s="55" t="s">
        <v>69</v>
      </c>
      <c r="F593" s="55" t="s">
        <v>133</v>
      </c>
      <c r="G593" s="55">
        <v>1840.0</v>
      </c>
      <c r="H593" s="55" t="s">
        <v>1137</v>
      </c>
      <c r="I593" s="115" t="s">
        <v>5611</v>
      </c>
      <c r="J593" s="55" t="s">
        <v>5612</v>
      </c>
      <c r="K593" s="55" t="s">
        <v>61</v>
      </c>
      <c r="L593" s="55">
        <v>16917.0</v>
      </c>
      <c r="M593" s="55" t="s">
        <v>78</v>
      </c>
      <c r="N593" s="55" t="s">
        <v>69</v>
      </c>
      <c r="O593" s="55" t="s">
        <v>224</v>
      </c>
      <c r="P593" s="55" t="s">
        <v>110</v>
      </c>
      <c r="Q593" s="67" t="str">
        <f>IFERROR(__xludf.DUMMYFUNCTION("""COMPUTED_VALUE"""),"Japan.giaotiep.M256_16917_CVS_NamNH_280624")</f>
        <v>Japan.giaotiep.M256_16917_CVS_NamNH_280624</v>
      </c>
      <c r="R593" s="67" t="str">
        <f>IFERROR(__xludf.DUMMYFUNCTION("""COMPUTED_VALUE"""),"NEW_Japan_1840_none_280624")</f>
        <v>NEW_Japan_1840_none_280624</v>
      </c>
      <c r="S593" s="67" t="str">
        <f>IFERROR(__xludf.DUMMYFUNCTION("""COMPUTED_VALUE"""),"saletructiep_Japan.M256.1840.giaotiep_PTATT_LD164")</f>
        <v>saletructiep_Japan.M256.1840.giaotiep_PTATT_LD164</v>
      </c>
      <c r="T593" s="107" t="str">
        <f>IFERROR(__xludf.DUMMYFUNCTION("""COMPUTED_VALUE"""),"https://patadovietnam.edu.vn/gtjapan_nhn3/?utm_source=Facebook&amp;utm_medium=CVS&amp;utm_term=NEW_Japan_1840_none_280624&amp;utm_content=saletructiep_Japan.M256.1840.giaotiep_PTATT_LD164&amp;utm_campaign=Japan.giaotiep.M256_16917_CVS_NamNH_280624")</f>
        <v>https://patadovietnam.edu.vn/gtjapan_nhn3/?utm_source=Facebook&amp;utm_medium=CVS&amp;utm_term=NEW_Japan_1840_none_280624&amp;utm_content=saletructiep_Japan.M256.1840.giaotiep_PTATT_LD164&amp;utm_campaign=Japan.giaotiep.M256_16917_CVS_NamNH_280624</v>
      </c>
      <c r="U593" s="110" t="s">
        <v>5617</v>
      </c>
    </row>
    <row r="594">
      <c r="A594" s="72">
        <v>45471.0</v>
      </c>
      <c r="B594" s="75" t="s">
        <v>1134</v>
      </c>
      <c r="C594" s="67" t="str">
        <f>IFERROR(__xludf.DUMMYFUNCTION("""COMPUTED_VALUE"""),"LD153")</f>
        <v>LD153</v>
      </c>
      <c r="D594" s="55" t="s">
        <v>42</v>
      </c>
      <c r="E594" s="55" t="s">
        <v>69</v>
      </c>
      <c r="F594" s="55" t="s">
        <v>674</v>
      </c>
      <c r="G594" s="55">
        <v>1840.0</v>
      </c>
      <c r="H594" s="55" t="s">
        <v>1137</v>
      </c>
      <c r="I594" s="115" t="s">
        <v>5619</v>
      </c>
      <c r="J594" s="55" t="s">
        <v>5620</v>
      </c>
      <c r="K594" s="55" t="s">
        <v>61</v>
      </c>
      <c r="L594" s="55">
        <v>16917.0</v>
      </c>
      <c r="M594" s="55" t="s">
        <v>78</v>
      </c>
      <c r="N594" s="55" t="s">
        <v>69</v>
      </c>
      <c r="O594" s="55" t="s">
        <v>224</v>
      </c>
      <c r="P594" s="55" t="s">
        <v>110</v>
      </c>
      <c r="Q594" s="67" t="str">
        <f>IFERROR(__xludf.DUMMYFUNCTION("""COMPUTED_VALUE"""),"Europe.giaotiep.M256_16917_CVS_NamNH_280624")</f>
        <v>Europe.giaotiep.M256_16917_CVS_NamNH_280624</v>
      </c>
      <c r="R594" s="67" t="str">
        <f>IFERROR(__xludf.DUMMYFUNCTION("""COMPUTED_VALUE"""),"NEW_Europe_1840_none_280624")</f>
        <v>NEW_Europe_1840_none_280624</v>
      </c>
      <c r="S594" s="67" t="str">
        <f>IFERROR(__xludf.DUMMYFUNCTION("""COMPUTED_VALUE"""),"saletructiep_Europe.M256.1840.giaotiep_PTATT_LD153")</f>
        <v>saletructiep_Europe.M256.1840.giaotiep_PTATT_LD153</v>
      </c>
      <c r="T594" s="107" t="str">
        <f>IFERROR(__xludf.DUMMYFUNCTION("""COMPUTED_VALUE"""),"https://patadovietnam.edu.vn/tienganhgiaotiep_hn/?utm_source=Facebook&amp;utm_medium=CVS&amp;utm_term=NEW_Europe_1840_none_280624&amp;utm_content=saletructiep_Europe.M256.1840.giaotiep_PTATT_LD153&amp;utm_campaign=Europe.giaotiep.M256_16917_CVS_NamNH_280624")</f>
        <v>https://patadovietnam.edu.vn/tienganhgiaotiep_hn/?utm_source=Facebook&amp;utm_medium=CVS&amp;utm_term=NEW_Europe_1840_none_280624&amp;utm_content=saletructiep_Europe.M256.1840.giaotiep_PTATT_LD153&amp;utm_campaign=Europe.giaotiep.M256_16917_CVS_NamNH_280624</v>
      </c>
      <c r="U594" s="110" t="s">
        <v>5626</v>
      </c>
    </row>
    <row r="595">
      <c r="A595" s="72">
        <v>45471.0</v>
      </c>
      <c r="B595" s="75" t="s">
        <v>1134</v>
      </c>
      <c r="C595" s="67" t="str">
        <f>IFERROR(__xludf.DUMMYFUNCTION("""COMPUTED_VALUE"""),"LD153")</f>
        <v>LD153</v>
      </c>
      <c r="D595" s="55" t="s">
        <v>42</v>
      </c>
      <c r="E595" s="55" t="s">
        <v>69</v>
      </c>
      <c r="F595" s="55" t="s">
        <v>674</v>
      </c>
      <c r="G595" s="55">
        <v>1840.0</v>
      </c>
      <c r="H595" s="55" t="s">
        <v>1137</v>
      </c>
      <c r="I595" s="115" t="s">
        <v>5627</v>
      </c>
      <c r="J595" s="55" t="s">
        <v>5628</v>
      </c>
      <c r="K595" s="55" t="s">
        <v>61</v>
      </c>
      <c r="L595" s="55">
        <v>16917.0</v>
      </c>
      <c r="M595" s="55" t="s">
        <v>78</v>
      </c>
      <c r="N595" s="55" t="s">
        <v>69</v>
      </c>
      <c r="O595" s="55" t="s">
        <v>224</v>
      </c>
      <c r="P595" s="55" t="s">
        <v>110</v>
      </c>
      <c r="Q595" s="67" t="str">
        <f>IFERROR(__xludf.DUMMYFUNCTION("""COMPUTED_VALUE"""),"Europe.giaotiep.M254_16917_CVS_NamNH_280624")</f>
        <v>Europe.giaotiep.M254_16917_CVS_NamNH_280624</v>
      </c>
      <c r="R595" s="67" t="str">
        <f>IFERROR(__xludf.DUMMYFUNCTION("""COMPUTED_VALUE"""),"NEW_Europe_1840_none_280624")</f>
        <v>NEW_Europe_1840_none_280624</v>
      </c>
      <c r="S595" s="67" t="str">
        <f>IFERROR(__xludf.DUMMYFUNCTION("""COMPUTED_VALUE"""),"saletructiep_Europe.M254.1840.giaotiep_PTATT_LD153")</f>
        <v>saletructiep_Europe.M254.1840.giaotiep_PTATT_LD153</v>
      </c>
      <c r="T595" s="107" t="str">
        <f>IFERROR(__xludf.DUMMYFUNCTION("""COMPUTED_VALUE"""),"https://patadovietnam.edu.vn/tienganhgiaotiep_hn/?utm_source=Facebook&amp;utm_medium=CVS&amp;utm_term=NEW_Europe_1840_none_280624&amp;utm_content=saletructiep_Europe.M254.1840.giaotiep_PTATT_LD153&amp;utm_campaign=Europe.giaotiep.M254_16917_CVS_NamNH_280624")</f>
        <v>https://patadovietnam.edu.vn/tienganhgiaotiep_hn/?utm_source=Facebook&amp;utm_medium=CVS&amp;utm_term=NEW_Europe_1840_none_280624&amp;utm_content=saletructiep_Europe.M254.1840.giaotiep_PTATT_LD153&amp;utm_campaign=Europe.giaotiep.M254_16917_CVS_NamNH_280624</v>
      </c>
      <c r="U595" s="110" t="s">
        <v>5633</v>
      </c>
    </row>
    <row r="596">
      <c r="A596" s="72">
        <v>45471.0</v>
      </c>
      <c r="B596" s="75" t="s">
        <v>1229</v>
      </c>
      <c r="C596" s="67" t="str">
        <f>IFERROR(__xludf.DUMMYFUNCTION("""COMPUTED_VALUE"""),"LD164")</f>
        <v>LD164</v>
      </c>
      <c r="D596" s="55" t="s">
        <v>42</v>
      </c>
      <c r="E596" s="55" t="s">
        <v>69</v>
      </c>
      <c r="F596" s="55" t="s">
        <v>133</v>
      </c>
      <c r="G596" s="55">
        <v>1840.0</v>
      </c>
      <c r="H596" s="55" t="s">
        <v>1137</v>
      </c>
      <c r="I596" s="115" t="s">
        <v>5635</v>
      </c>
      <c r="J596" s="55" t="s">
        <v>5636</v>
      </c>
      <c r="K596" s="55" t="s">
        <v>61</v>
      </c>
      <c r="L596" s="55">
        <v>16917.0</v>
      </c>
      <c r="M596" s="55" t="s">
        <v>78</v>
      </c>
      <c r="N596" s="55" t="s">
        <v>69</v>
      </c>
      <c r="O596" s="55" t="s">
        <v>224</v>
      </c>
      <c r="P596" s="55" t="s">
        <v>110</v>
      </c>
      <c r="Q596" s="67" t="str">
        <f>IFERROR(__xludf.DUMMYFUNCTION("""COMPUTED_VALUE"""),"Japan.giaotiep.M254_16917_CVS_NamNH_280624")</f>
        <v>Japan.giaotiep.M254_16917_CVS_NamNH_280624</v>
      </c>
      <c r="R596" s="67" t="str">
        <f>IFERROR(__xludf.DUMMYFUNCTION("""COMPUTED_VALUE"""),"NEW_Japan_1840_none_280624")</f>
        <v>NEW_Japan_1840_none_280624</v>
      </c>
      <c r="S596" s="67" t="str">
        <f>IFERROR(__xludf.DUMMYFUNCTION("""COMPUTED_VALUE"""),"saletructiep_Japan.M254.1840.giaotiep_PTATT_LD164")</f>
        <v>saletructiep_Japan.M254.1840.giaotiep_PTATT_LD164</v>
      </c>
      <c r="T596" s="107" t="str">
        <f>IFERROR(__xludf.DUMMYFUNCTION("""COMPUTED_VALUE"""),"https://patadovietnam.edu.vn/gtjapan_nhn3/?utm_source=Facebook&amp;utm_medium=CVS&amp;utm_term=NEW_Japan_1840_none_280624&amp;utm_content=saletructiep_Japan.M254.1840.giaotiep_PTATT_LD164&amp;utm_campaign=Japan.giaotiep.M254_16917_CVS_NamNH_280624")</f>
        <v>https://patadovietnam.edu.vn/gtjapan_nhn3/?utm_source=Facebook&amp;utm_medium=CVS&amp;utm_term=NEW_Japan_1840_none_280624&amp;utm_content=saletructiep_Japan.M254.1840.giaotiep_PTATT_LD164&amp;utm_campaign=Japan.giaotiep.M254_16917_CVS_NamNH_280624</v>
      </c>
      <c r="U596" s="110" t="s">
        <v>5640</v>
      </c>
    </row>
    <row r="597">
      <c r="A597" s="72">
        <v>45471.0</v>
      </c>
      <c r="B597" s="75" t="s">
        <v>1134</v>
      </c>
      <c r="C597" s="67" t="str">
        <f>IFERROR(__xludf.DUMMYFUNCTION("""COMPUTED_VALUE"""),"LD153")</f>
        <v>LD153</v>
      </c>
      <c r="D597" s="55" t="s">
        <v>42</v>
      </c>
      <c r="E597" s="55" t="s">
        <v>69</v>
      </c>
      <c r="F597" s="55" t="s">
        <v>674</v>
      </c>
      <c r="G597" s="55">
        <v>1840.0</v>
      </c>
      <c r="H597" s="55" t="s">
        <v>1137</v>
      </c>
      <c r="I597" s="115" t="s">
        <v>5644</v>
      </c>
      <c r="J597" s="55" t="s">
        <v>5645</v>
      </c>
      <c r="K597" s="55" t="s">
        <v>61</v>
      </c>
      <c r="L597" s="55">
        <v>16917.0</v>
      </c>
      <c r="M597" s="55" t="s">
        <v>78</v>
      </c>
      <c r="N597" s="55" t="s">
        <v>69</v>
      </c>
      <c r="O597" s="55" t="s">
        <v>224</v>
      </c>
      <c r="P597" s="55" t="s">
        <v>110</v>
      </c>
      <c r="Q597" s="67" t="str">
        <f>IFERROR(__xludf.DUMMYFUNCTION("""COMPUTED_VALUE"""),"Europe.giaotiep.M257_16917_CVS_NamNH_280624")</f>
        <v>Europe.giaotiep.M257_16917_CVS_NamNH_280624</v>
      </c>
      <c r="R597" s="67" t="str">
        <f>IFERROR(__xludf.DUMMYFUNCTION("""COMPUTED_VALUE"""),"NEW_Europe_1840_none_280624")</f>
        <v>NEW_Europe_1840_none_280624</v>
      </c>
      <c r="S597" s="67" t="str">
        <f>IFERROR(__xludf.DUMMYFUNCTION("""COMPUTED_VALUE"""),"saletructiep_Europe.M257.1840.giaotiep_PTATT_LD153")</f>
        <v>saletructiep_Europe.M257.1840.giaotiep_PTATT_LD153</v>
      </c>
      <c r="T597" s="107" t="str">
        <f>IFERROR(__xludf.DUMMYFUNCTION("""COMPUTED_VALUE"""),"https://patadovietnam.edu.vn/tienganhgiaotiep_hn/?utm_source=Facebook&amp;utm_medium=CVS&amp;utm_term=NEW_Europe_1840_none_280624&amp;utm_content=saletructiep_Europe.M257.1840.giaotiep_PTATT_LD153&amp;utm_campaign=Europe.giaotiep.M257_16917_CVS_NamNH_280624")</f>
        <v>https://patadovietnam.edu.vn/tienganhgiaotiep_hn/?utm_source=Facebook&amp;utm_medium=CVS&amp;utm_term=NEW_Europe_1840_none_280624&amp;utm_content=saletructiep_Europe.M257.1840.giaotiep_PTATT_LD153&amp;utm_campaign=Europe.giaotiep.M257_16917_CVS_NamNH_280624</v>
      </c>
      <c r="U597" s="110" t="s">
        <v>5648</v>
      </c>
    </row>
    <row r="598">
      <c r="A598" s="72">
        <v>45471.0</v>
      </c>
      <c r="B598" s="75" t="s">
        <v>1134</v>
      </c>
      <c r="C598" s="67" t="str">
        <f>IFERROR(__xludf.DUMMYFUNCTION("""COMPUTED_VALUE"""),"LD153")</f>
        <v>LD153</v>
      </c>
      <c r="D598" s="55" t="s">
        <v>42</v>
      </c>
      <c r="E598" s="55" t="s">
        <v>79</v>
      </c>
      <c r="F598" s="55" t="s">
        <v>164</v>
      </c>
      <c r="G598" s="55">
        <v>1840.0</v>
      </c>
      <c r="H598" s="55" t="s">
        <v>1137</v>
      </c>
      <c r="I598" s="115" t="s">
        <v>5649</v>
      </c>
      <c r="J598" s="55" t="s">
        <v>5650</v>
      </c>
      <c r="K598" s="55" t="s">
        <v>61</v>
      </c>
      <c r="L598" s="55">
        <v>16917.0</v>
      </c>
      <c r="M598" s="55" t="s">
        <v>78</v>
      </c>
      <c r="N598" s="55" t="s">
        <v>79</v>
      </c>
      <c r="O598" s="55" t="s">
        <v>224</v>
      </c>
      <c r="P598" s="55" t="s">
        <v>110</v>
      </c>
      <c r="Q598" s="67" t="str">
        <f>IFERROR(__xludf.DUMMYFUNCTION("""COMPUTED_VALUE"""),"Taiwan.giaotiep.M256_16917_MES_NamNH_280624")</f>
        <v>Taiwan.giaotiep.M256_16917_MES_NamNH_280624</v>
      </c>
      <c r="R598" s="67" t="str">
        <f>IFERROR(__xludf.DUMMYFUNCTION("""COMPUTED_VALUE"""),"NEW_Taiwan_1840_none_280624")</f>
        <v>NEW_Taiwan_1840_none_280624</v>
      </c>
      <c r="S598" s="67" t="str">
        <f>IFERROR(__xludf.DUMMYFUNCTION("""COMPUTED_VALUE"""),"saletructiep_Taiwan.M256.1840.giaotiep_PTATT_LD153")</f>
        <v>saletructiep_Taiwan.M256.1840.giaotiep_PTATT_LD153</v>
      </c>
      <c r="T598" s="107" t="str">
        <f>IFERROR(__xludf.DUMMYFUNCTION("""COMPUTED_VALUE"""),"https://patadovietnam.edu.vn/tienganhgiaotiep_hn/?utm_source=Facebook&amp;utm_medium=MES&amp;utm_term=NEW_Taiwan_1840_none_280624&amp;utm_content=saletructiep_Taiwan.M256.1840.giaotiep_PTATT_LD153&amp;utm_campaign=Taiwan.giaotiep.M256_16917_MES_NamNH_280624")</f>
        <v>https://patadovietnam.edu.vn/tienganhgiaotiep_hn/?utm_source=Facebook&amp;utm_medium=MES&amp;utm_term=NEW_Taiwan_1840_none_280624&amp;utm_content=saletructiep_Taiwan.M256.1840.giaotiep_PTATT_LD153&amp;utm_campaign=Taiwan.giaotiep.M256_16917_MES_NamNH_280624</v>
      </c>
      <c r="U598" s="110" t="s">
        <v>5654</v>
      </c>
    </row>
    <row r="599">
      <c r="A599" s="72">
        <v>45471.0</v>
      </c>
      <c r="B599" s="75" t="s">
        <v>5431</v>
      </c>
      <c r="C599" s="67" t="str">
        <f>IFERROR(__xludf.DUMMYFUNCTION("""COMPUTED_VALUE"""),"LD227")</f>
        <v>LD227</v>
      </c>
      <c r="D599" s="55" t="s">
        <v>42</v>
      </c>
      <c r="E599" s="55" t="s">
        <v>69</v>
      </c>
      <c r="F599" s="55" t="s">
        <v>133</v>
      </c>
      <c r="G599" s="55">
        <v>1840.0</v>
      </c>
      <c r="H599" s="55" t="s">
        <v>1137</v>
      </c>
      <c r="I599" s="115" t="s">
        <v>5657</v>
      </c>
      <c r="J599" s="55" t="s">
        <v>5658</v>
      </c>
      <c r="K599" s="55" t="s">
        <v>61</v>
      </c>
      <c r="L599" s="55">
        <v>16917.0</v>
      </c>
      <c r="M599" s="55" t="s">
        <v>78</v>
      </c>
      <c r="N599" s="55" t="s">
        <v>69</v>
      </c>
      <c r="O599" s="55" t="s">
        <v>224</v>
      </c>
      <c r="P599" s="55" t="s">
        <v>110</v>
      </c>
      <c r="Q599" s="67" t="str">
        <f>IFERROR(__xludf.DUMMYFUNCTION("""COMPUTED_VALUE"""),"Japan.giaotiep.M257_16917_CVS_NamNH_280624")</f>
        <v>Japan.giaotiep.M257_16917_CVS_NamNH_280624</v>
      </c>
      <c r="R599" s="67" t="str">
        <f>IFERROR(__xludf.DUMMYFUNCTION("""COMPUTED_VALUE"""),"NEW_Japan_1840_none_280624")</f>
        <v>NEW_Japan_1840_none_280624</v>
      </c>
      <c r="S599" s="67" t="str">
        <f>IFERROR(__xludf.DUMMYFUNCTION("""COMPUTED_VALUE"""),"saletructiep_Japan.M257.1840.giaotiep_PTATT_LD227")</f>
        <v>saletructiep_Japan.M257.1840.giaotiep_PTATT_LD227</v>
      </c>
      <c r="T599" s="107" t="str">
        <f>IFERROR(__xludf.DUMMYFUNCTION("""COMPUTED_VALUE"""),"https://patadovietnam.edu.vn/giaotiep_japan/?utm_source=Facebook&amp;utm_medium=CVS&amp;utm_term=NEW_Japan_1840_none_280624&amp;utm_content=saletructiep_Japan.M257.1840.giaotiep_PTATT_LD227&amp;utm_campaign=Japan.giaotiep.M257_16917_CVS_NamNH_280624")</f>
        <v>https://patadovietnam.edu.vn/giaotiep_japan/?utm_source=Facebook&amp;utm_medium=CVS&amp;utm_term=NEW_Japan_1840_none_280624&amp;utm_content=saletructiep_Japan.M257.1840.giaotiep_PTATT_LD227&amp;utm_campaign=Japan.giaotiep.M257_16917_CVS_NamNH_280624</v>
      </c>
      <c r="U599" s="110" t="s">
        <v>5661</v>
      </c>
    </row>
    <row r="600">
      <c r="A600" s="72">
        <v>45471.0</v>
      </c>
      <c r="B600" s="75" t="s">
        <v>5431</v>
      </c>
      <c r="C600" s="67" t="str">
        <f>IFERROR(__xludf.DUMMYFUNCTION("""COMPUTED_VALUE"""),"LD227")</f>
        <v>LD227</v>
      </c>
      <c r="D600" s="55" t="s">
        <v>42</v>
      </c>
      <c r="E600" s="55" t="s">
        <v>1409</v>
      </c>
      <c r="F600" s="55" t="s">
        <v>133</v>
      </c>
      <c r="G600" s="55">
        <v>1840.0</v>
      </c>
      <c r="H600" s="55" t="s">
        <v>1137</v>
      </c>
      <c r="I600" s="115" t="s">
        <v>5611</v>
      </c>
      <c r="J600" s="55" t="s">
        <v>5612</v>
      </c>
      <c r="K600" s="55" t="s">
        <v>61</v>
      </c>
      <c r="L600" s="55">
        <v>16917.0</v>
      </c>
      <c r="M600" s="55" t="s">
        <v>78</v>
      </c>
      <c r="N600" s="55" t="s">
        <v>69</v>
      </c>
      <c r="O600" s="55" t="s">
        <v>224</v>
      </c>
      <c r="P600" s="55" t="s">
        <v>110</v>
      </c>
      <c r="Q600" s="67" t="str">
        <f>IFERROR(__xludf.DUMMYFUNCTION("""COMPUTED_VALUE"""),"Japan.giaotiep.M256_16917_CVS_NamNH_280624")</f>
        <v>Japan.giaotiep.M256_16917_CVS_NamNH_280624</v>
      </c>
      <c r="R600" s="67" t="str">
        <f>IFERROR(__xludf.DUMMYFUNCTION("""COMPUTED_VALUE"""),"NEW_Japan_1840_none_280624")</f>
        <v>NEW_Japan_1840_none_280624</v>
      </c>
      <c r="S600" s="67" t="str">
        <f>IFERROR(__xludf.DUMMYFUNCTION("""COMPUTED_VALUE"""),"saletructiep_Japan.M256.1840.giaotiep_PTATT_LD227")</f>
        <v>saletructiep_Japan.M256.1840.giaotiep_PTATT_LD227</v>
      </c>
      <c r="T600" s="107" t="str">
        <f>IFERROR(__xludf.DUMMYFUNCTION("""COMPUTED_VALUE"""),"https://patadovietnam.edu.vn/giaotiep_japan/?utm_source=Facebook&amp;utm_medium=LEAD&amp;utm_term=NEW_Japan_1840_none_280624&amp;utm_content=saletructiep_Japan.M256.1840.giaotiep_PTATT_LD227&amp;utm_campaign=Japan.giaotiep.M256_16917_CVS_NamNH_280624")</f>
        <v>https://patadovietnam.edu.vn/giaotiep_japan/?utm_source=Facebook&amp;utm_medium=LEAD&amp;utm_term=NEW_Japan_1840_none_280624&amp;utm_content=saletructiep_Japan.M256.1840.giaotiep_PTATT_LD227&amp;utm_campaign=Japan.giaotiep.M256_16917_CVS_NamNH_280624</v>
      </c>
      <c r="U600" s="110" t="s">
        <v>5665</v>
      </c>
    </row>
    <row r="601">
      <c r="A601" s="72">
        <v>45471.0</v>
      </c>
      <c r="B601" s="75" t="s">
        <v>1245</v>
      </c>
      <c r="C601" s="67" t="str">
        <f>IFERROR(__xludf.DUMMYFUNCTION("""COMPUTED_VALUE"""),"LD161")</f>
        <v>LD161</v>
      </c>
      <c r="D601" s="55" t="s">
        <v>42</v>
      </c>
      <c r="E601" s="55" t="s">
        <v>79</v>
      </c>
      <c r="F601" s="55" t="s">
        <v>107</v>
      </c>
      <c r="G601" s="55">
        <v>1840.0</v>
      </c>
      <c r="H601" s="55" t="s">
        <v>1137</v>
      </c>
      <c r="I601" s="115" t="s">
        <v>5666</v>
      </c>
      <c r="J601" s="55" t="s">
        <v>5667</v>
      </c>
      <c r="K601" s="55" t="s">
        <v>61</v>
      </c>
      <c r="L601" s="55">
        <v>16917.0</v>
      </c>
      <c r="M601" s="55" t="s">
        <v>78</v>
      </c>
      <c r="N601" s="55" t="s">
        <v>79</v>
      </c>
      <c r="O601" s="55" t="s">
        <v>224</v>
      </c>
      <c r="P601" s="55" t="s">
        <v>110</v>
      </c>
      <c r="Q601" s="67" t="str">
        <f>IFERROR(__xludf.DUMMYFUNCTION("""COMPUTED_VALUE"""),"UnitedStates.giaotiep.M256_16917_MES_NamNH_280624")</f>
        <v>UnitedStates.giaotiep.M256_16917_MES_NamNH_280624</v>
      </c>
      <c r="R601" s="67" t="str">
        <f>IFERROR(__xludf.DUMMYFUNCTION("""COMPUTED_VALUE"""),"NEW_UnitedStates_1840_none_280624")</f>
        <v>NEW_UnitedStates_1840_none_280624</v>
      </c>
      <c r="S601" s="67" t="str">
        <f>IFERROR(__xludf.DUMMYFUNCTION("""COMPUTED_VALUE"""),"saletructiep_UnitedStates.M256.1840.giaotiep_PTATT_LD161")</f>
        <v>saletructiep_UnitedStates.M256.1840.giaotiep_PTATT_LD161</v>
      </c>
      <c r="T601" s="107" t="str">
        <f>IFERROR(__xludf.DUMMYFUNCTION("""COMPUTED_VALUE"""),"https://patadovietnam.edu.vn/gtusa1_nhn/?utm_source=Facebook&amp;utm_medium=MES&amp;utm_term=NEW_UnitedStates_1840_none_280624&amp;utm_content=saletructiep_UnitedStates.M256.1840.giaotiep_PTATT_LD161&amp;utm_campaign=UnitedStates.giaotiep.M256_16917_MES_NamNH_280624")</f>
        <v>https://patadovietnam.edu.vn/gtusa1_nhn/?utm_source=Facebook&amp;utm_medium=MES&amp;utm_term=NEW_UnitedStates_1840_none_280624&amp;utm_content=saletructiep_UnitedStates.M256.1840.giaotiep_PTATT_LD161&amp;utm_campaign=UnitedStates.giaotiep.M256_16917_MES_NamNH_280624</v>
      </c>
      <c r="U601" s="110" t="s">
        <v>5672</v>
      </c>
    </row>
    <row r="602">
      <c r="A602" s="72">
        <v>45474.0</v>
      </c>
      <c r="B602" s="75" t="s">
        <v>1245</v>
      </c>
      <c r="C602" s="67" t="str">
        <f>IFERROR(__xludf.DUMMYFUNCTION("""COMPUTED_VALUE"""),"LD161")</f>
        <v>LD161</v>
      </c>
      <c r="D602" s="55" t="s">
        <v>42</v>
      </c>
      <c r="E602" s="55" t="s">
        <v>79</v>
      </c>
      <c r="F602" s="55" t="s">
        <v>107</v>
      </c>
      <c r="G602" s="55">
        <v>1840.0</v>
      </c>
      <c r="H602" s="55" t="s">
        <v>1137</v>
      </c>
      <c r="I602" s="115" t="s">
        <v>5675</v>
      </c>
      <c r="J602" s="55" t="s">
        <v>5676</v>
      </c>
      <c r="K602" s="55" t="s">
        <v>61</v>
      </c>
      <c r="L602" s="55">
        <v>16917.0</v>
      </c>
      <c r="M602" s="55" t="s">
        <v>78</v>
      </c>
      <c r="N602" s="55" t="s">
        <v>79</v>
      </c>
      <c r="O602" s="55" t="s">
        <v>224</v>
      </c>
      <c r="P602" s="55" t="s">
        <v>110</v>
      </c>
      <c r="Q602" s="67" t="str">
        <f>IFERROR(__xludf.DUMMYFUNCTION("""COMPUTED_VALUE"""),"UnitedStates.giaotiep.M259_16917_MES_NamNH_010724")</f>
        <v>UnitedStates.giaotiep.M259_16917_MES_NamNH_010724</v>
      </c>
      <c r="R602" s="67" t="str">
        <f>IFERROR(__xludf.DUMMYFUNCTION("""COMPUTED_VALUE"""),"NEW_UnitedStates_1840_none_010724")</f>
        <v>NEW_UnitedStates_1840_none_010724</v>
      </c>
      <c r="S602" s="67" t="str">
        <f>IFERROR(__xludf.DUMMYFUNCTION("""COMPUTED_VALUE"""),"saletructiep_UnitedStates.M259.1840.giaotiep_PTATT_LD161")</f>
        <v>saletructiep_UnitedStates.M259.1840.giaotiep_PTATT_LD161</v>
      </c>
      <c r="T602" s="107" t="str">
        <f>IFERROR(__xludf.DUMMYFUNCTION("""COMPUTED_VALUE"""),"https://patadovietnam.edu.vn/gtusa1_nhn/?utm_source=Facebook&amp;utm_medium=MES&amp;utm_term=NEW_UnitedStates_1840_none_010724&amp;utm_content=saletructiep_UnitedStates.M259.1840.giaotiep_PTATT_LD161&amp;utm_campaign=UnitedStates.giaotiep.M259_16917_MES_NamNH_010724")</f>
        <v>https://patadovietnam.edu.vn/gtusa1_nhn/?utm_source=Facebook&amp;utm_medium=MES&amp;utm_term=NEW_UnitedStates_1840_none_010724&amp;utm_content=saletructiep_UnitedStates.M259.1840.giaotiep_PTATT_LD161&amp;utm_campaign=UnitedStates.giaotiep.M259_16917_MES_NamNH_010724</v>
      </c>
      <c r="U602" s="110" t="s">
        <v>5681</v>
      </c>
    </row>
    <row r="603">
      <c r="A603" s="72">
        <v>45474.0</v>
      </c>
      <c r="B603" s="75" t="s">
        <v>1245</v>
      </c>
      <c r="C603" s="67" t="str">
        <f>IFERROR(__xludf.DUMMYFUNCTION("""COMPUTED_VALUE"""),"LD161")</f>
        <v>LD161</v>
      </c>
      <c r="D603" s="55" t="s">
        <v>42</v>
      </c>
      <c r="E603" s="55" t="s">
        <v>79</v>
      </c>
      <c r="F603" s="55" t="s">
        <v>107</v>
      </c>
      <c r="G603" s="55">
        <v>1840.0</v>
      </c>
      <c r="H603" s="55" t="s">
        <v>1137</v>
      </c>
      <c r="I603" s="115" t="s">
        <v>5684</v>
      </c>
      <c r="J603" s="55" t="s">
        <v>5685</v>
      </c>
      <c r="K603" s="55" t="s">
        <v>61</v>
      </c>
      <c r="L603" s="55">
        <v>16917.0</v>
      </c>
      <c r="M603" s="55" t="s">
        <v>78</v>
      </c>
      <c r="N603" s="55" t="s">
        <v>79</v>
      </c>
      <c r="O603" s="55" t="s">
        <v>224</v>
      </c>
      <c r="P603" s="55" t="s">
        <v>110</v>
      </c>
      <c r="Q603" s="67" t="str">
        <f>IFERROR(__xludf.DUMMYFUNCTION("""COMPUTED_VALUE"""),"UnitedStates.giaotiep.M260_16917_MES_NamNH_010724")</f>
        <v>UnitedStates.giaotiep.M260_16917_MES_NamNH_010724</v>
      </c>
      <c r="R603" s="67" t="str">
        <f>IFERROR(__xludf.DUMMYFUNCTION("""COMPUTED_VALUE"""),"NEW_UnitedStates_1840_none_010724")</f>
        <v>NEW_UnitedStates_1840_none_010724</v>
      </c>
      <c r="S603" s="67" t="str">
        <f>IFERROR(__xludf.DUMMYFUNCTION("""COMPUTED_VALUE"""),"saletructiep_UnitedStates.M260.1840.giaotiep_PTATT_LD161")</f>
        <v>saletructiep_UnitedStates.M260.1840.giaotiep_PTATT_LD161</v>
      </c>
      <c r="T603" s="107" t="str">
        <f>IFERROR(__xludf.DUMMYFUNCTION("""COMPUTED_VALUE"""),"https://patadovietnam.edu.vn/gtusa1_nhn/?utm_source=Facebook&amp;utm_medium=MES&amp;utm_term=NEW_UnitedStates_1840_none_010724&amp;utm_content=saletructiep_UnitedStates.M260.1840.giaotiep_PTATT_LD161&amp;utm_campaign=UnitedStates.giaotiep.M260_16917_MES_NamNH_010724")</f>
        <v>https://patadovietnam.edu.vn/gtusa1_nhn/?utm_source=Facebook&amp;utm_medium=MES&amp;utm_term=NEW_UnitedStates_1840_none_010724&amp;utm_content=saletructiep_UnitedStates.M260.1840.giaotiep_PTATT_LD161&amp;utm_campaign=UnitedStates.giaotiep.M260_16917_MES_NamNH_010724</v>
      </c>
      <c r="U603" s="110" t="s">
        <v>5688</v>
      </c>
    </row>
    <row r="604">
      <c r="A604" s="72">
        <v>45474.0</v>
      </c>
      <c r="B604" s="75" t="s">
        <v>1245</v>
      </c>
      <c r="C604" s="67" t="str">
        <f>IFERROR(__xludf.DUMMYFUNCTION("""COMPUTED_VALUE"""),"LD161")</f>
        <v>LD161</v>
      </c>
      <c r="D604" s="55" t="s">
        <v>42</v>
      </c>
      <c r="E604" s="55" t="s">
        <v>79</v>
      </c>
      <c r="F604" s="55" t="s">
        <v>107</v>
      </c>
      <c r="G604" s="55">
        <v>1840.0</v>
      </c>
      <c r="H604" s="55" t="s">
        <v>1137</v>
      </c>
      <c r="I604" s="115" t="s">
        <v>5693</v>
      </c>
      <c r="J604" s="55" t="s">
        <v>5694</v>
      </c>
      <c r="K604" s="55" t="s">
        <v>61</v>
      </c>
      <c r="L604" s="55">
        <v>16917.0</v>
      </c>
      <c r="M604" s="55" t="s">
        <v>78</v>
      </c>
      <c r="N604" s="55" t="s">
        <v>79</v>
      </c>
      <c r="O604" s="55" t="s">
        <v>224</v>
      </c>
      <c r="P604" s="55" t="s">
        <v>110</v>
      </c>
      <c r="Q604" s="67" t="str">
        <f>IFERROR(__xludf.DUMMYFUNCTION("""COMPUTED_VALUE"""),"UnitedStates.giaotiep.M258_16917_MES_NamNH_010724")</f>
        <v>UnitedStates.giaotiep.M258_16917_MES_NamNH_010724</v>
      </c>
      <c r="R604" s="67" t="str">
        <f>IFERROR(__xludf.DUMMYFUNCTION("""COMPUTED_VALUE"""),"NEW_UnitedStates_1840_none_010724")</f>
        <v>NEW_UnitedStates_1840_none_010724</v>
      </c>
      <c r="S604" s="67" t="str">
        <f>IFERROR(__xludf.DUMMYFUNCTION("""COMPUTED_VALUE"""),"saletructiep_UnitedStates.M258.1840.giaotiep_PTATT_LD161")</f>
        <v>saletructiep_UnitedStates.M258.1840.giaotiep_PTATT_LD161</v>
      </c>
      <c r="T604" s="107" t="str">
        <f>IFERROR(__xludf.DUMMYFUNCTION("""COMPUTED_VALUE"""),"https://patadovietnam.edu.vn/gtusa1_nhn/?utm_source=Facebook&amp;utm_medium=MES&amp;utm_term=NEW_UnitedStates_1840_none_010724&amp;utm_content=saletructiep_UnitedStates.M258.1840.giaotiep_PTATT_LD161&amp;utm_campaign=UnitedStates.giaotiep.M258_16917_MES_NamNH_010724")</f>
        <v>https://patadovietnam.edu.vn/gtusa1_nhn/?utm_source=Facebook&amp;utm_medium=MES&amp;utm_term=NEW_UnitedStates_1840_none_010724&amp;utm_content=saletructiep_UnitedStates.M258.1840.giaotiep_PTATT_LD161&amp;utm_campaign=UnitedStates.giaotiep.M258_16917_MES_NamNH_010724</v>
      </c>
      <c r="U604" s="110" t="s">
        <v>5696</v>
      </c>
    </row>
    <row r="605">
      <c r="A605" s="72">
        <v>45474.0</v>
      </c>
      <c r="B605" s="75" t="s">
        <v>1134</v>
      </c>
      <c r="C605" s="67" t="str">
        <f>IFERROR(__xludf.DUMMYFUNCTION("""COMPUTED_VALUE"""),"LD153")</f>
        <v>LD153</v>
      </c>
      <c r="D605" s="55" t="s">
        <v>42</v>
      </c>
      <c r="E605" s="55" t="s">
        <v>69</v>
      </c>
      <c r="F605" s="55" t="s">
        <v>674</v>
      </c>
      <c r="G605" s="55">
        <v>1840.0</v>
      </c>
      <c r="H605" s="55" t="s">
        <v>1137</v>
      </c>
      <c r="I605" s="115" t="s">
        <v>5700</v>
      </c>
      <c r="J605" s="55" t="s">
        <v>5701</v>
      </c>
      <c r="K605" s="55" t="s">
        <v>61</v>
      </c>
      <c r="L605" s="55">
        <v>16917.0</v>
      </c>
      <c r="M605" s="55" t="s">
        <v>78</v>
      </c>
      <c r="N605" s="55" t="s">
        <v>69</v>
      </c>
      <c r="O605" s="55" t="s">
        <v>224</v>
      </c>
      <c r="P605" s="55" t="s">
        <v>110</v>
      </c>
      <c r="Q605" s="67" t="str">
        <f>IFERROR(__xludf.DUMMYFUNCTION("""COMPUTED_VALUE"""),"Europe.giaotiep.M258_16917_CVS_NamNH_010724")</f>
        <v>Europe.giaotiep.M258_16917_CVS_NamNH_010724</v>
      </c>
      <c r="R605" s="67" t="str">
        <f>IFERROR(__xludf.DUMMYFUNCTION("""COMPUTED_VALUE"""),"NEW_Europe_1840_none_010724")</f>
        <v>NEW_Europe_1840_none_010724</v>
      </c>
      <c r="S605" s="67" t="str">
        <f>IFERROR(__xludf.DUMMYFUNCTION("""COMPUTED_VALUE"""),"saletructiep_Europe.M258.1840.giaotiep_PTATT_LD153")</f>
        <v>saletructiep_Europe.M258.1840.giaotiep_PTATT_LD153</v>
      </c>
      <c r="T605" s="107" t="str">
        <f>IFERROR(__xludf.DUMMYFUNCTION("""COMPUTED_VALUE"""),"https://patadovietnam.edu.vn/tienganhgiaotiep_hn/?utm_source=Facebook&amp;utm_medium=CVS&amp;utm_term=NEW_Europe_1840_none_010724&amp;utm_content=saletructiep_Europe.M258.1840.giaotiep_PTATT_LD153&amp;utm_campaign=Europe.giaotiep.M258_16917_CVS_NamNH_010724")</f>
        <v>https://patadovietnam.edu.vn/tienganhgiaotiep_hn/?utm_source=Facebook&amp;utm_medium=CVS&amp;utm_term=NEW_Europe_1840_none_010724&amp;utm_content=saletructiep_Europe.M258.1840.giaotiep_PTATT_LD153&amp;utm_campaign=Europe.giaotiep.M258_16917_CVS_NamNH_010724</v>
      </c>
      <c r="U605" s="110" t="s">
        <v>5705</v>
      </c>
    </row>
    <row r="606">
      <c r="A606" s="72">
        <v>45474.0</v>
      </c>
      <c r="B606" s="75" t="s">
        <v>1134</v>
      </c>
      <c r="C606" s="67" t="str">
        <f>IFERROR(__xludf.DUMMYFUNCTION("""COMPUTED_VALUE"""),"LD153")</f>
        <v>LD153</v>
      </c>
      <c r="D606" s="55" t="s">
        <v>42</v>
      </c>
      <c r="E606" s="55" t="s">
        <v>69</v>
      </c>
      <c r="F606" s="55" t="s">
        <v>674</v>
      </c>
      <c r="G606" s="55">
        <v>1840.0</v>
      </c>
      <c r="H606" s="55" t="s">
        <v>1137</v>
      </c>
      <c r="I606" s="115" t="s">
        <v>5708</v>
      </c>
      <c r="J606" s="55" t="s">
        <v>5709</v>
      </c>
      <c r="K606" s="55" t="s">
        <v>61</v>
      </c>
      <c r="L606" s="55">
        <v>16917.0</v>
      </c>
      <c r="M606" s="55" t="s">
        <v>78</v>
      </c>
      <c r="N606" s="55" t="s">
        <v>69</v>
      </c>
      <c r="O606" s="55" t="s">
        <v>224</v>
      </c>
      <c r="P606" s="55" t="s">
        <v>110</v>
      </c>
      <c r="Q606" s="67" t="str">
        <f>IFERROR(__xludf.DUMMYFUNCTION("""COMPUTED_VALUE"""),"Europe.giaotiep.M261_16917_CVS_NamNH_010724")</f>
        <v>Europe.giaotiep.M261_16917_CVS_NamNH_010724</v>
      </c>
      <c r="R606" s="67" t="str">
        <f>IFERROR(__xludf.DUMMYFUNCTION("""COMPUTED_VALUE"""),"NEW_Europe_1840_none_010724")</f>
        <v>NEW_Europe_1840_none_010724</v>
      </c>
      <c r="S606" s="67" t="str">
        <f>IFERROR(__xludf.DUMMYFUNCTION("""COMPUTED_VALUE"""),"saletructiep_Europe.M261.1840.giaotiep_PTATT_LD153")</f>
        <v>saletructiep_Europe.M261.1840.giaotiep_PTATT_LD153</v>
      </c>
      <c r="T606" s="107" t="str">
        <f>IFERROR(__xludf.DUMMYFUNCTION("""COMPUTED_VALUE"""),"https://patadovietnam.edu.vn/tienganhgiaotiep_hn/?utm_source=Facebook&amp;utm_medium=CVS&amp;utm_term=NEW_Europe_1840_none_010724&amp;utm_content=saletructiep_Europe.M261.1840.giaotiep_PTATT_LD153&amp;utm_campaign=Europe.giaotiep.M261_16917_CVS_NamNH_010724")</f>
        <v>https://patadovietnam.edu.vn/tienganhgiaotiep_hn/?utm_source=Facebook&amp;utm_medium=CVS&amp;utm_term=NEW_Europe_1840_none_010724&amp;utm_content=saletructiep_Europe.M261.1840.giaotiep_PTATT_LD153&amp;utm_campaign=Europe.giaotiep.M261_16917_CVS_NamNH_010724</v>
      </c>
      <c r="U606" s="110" t="s">
        <v>5712</v>
      </c>
    </row>
    <row r="607">
      <c r="A607" s="72">
        <v>45474.0</v>
      </c>
      <c r="B607" s="75" t="s">
        <v>1134</v>
      </c>
      <c r="C607" s="67" t="str">
        <f>IFERROR(__xludf.DUMMYFUNCTION("""COMPUTED_VALUE"""),"LD153")</f>
        <v>LD153</v>
      </c>
      <c r="D607" s="55" t="s">
        <v>42</v>
      </c>
      <c r="E607" s="55" t="s">
        <v>69</v>
      </c>
      <c r="F607" s="55" t="s">
        <v>674</v>
      </c>
      <c r="G607" s="55">
        <v>1840.0</v>
      </c>
      <c r="H607" s="55" t="s">
        <v>1137</v>
      </c>
      <c r="I607" s="115" t="s">
        <v>5715</v>
      </c>
      <c r="J607" s="55" t="s">
        <v>5716</v>
      </c>
      <c r="K607" s="55" t="s">
        <v>61</v>
      </c>
      <c r="L607" s="55">
        <v>16917.0</v>
      </c>
      <c r="M607" s="55" t="s">
        <v>78</v>
      </c>
      <c r="N607" s="55" t="s">
        <v>69</v>
      </c>
      <c r="O607" s="55" t="s">
        <v>224</v>
      </c>
      <c r="P607" s="55" t="s">
        <v>110</v>
      </c>
      <c r="Q607" s="67" t="str">
        <f>IFERROR(__xludf.DUMMYFUNCTION("""COMPUTED_VALUE"""),"Europe.giaotiep.M260_16917_CVS_NamNH_010724")</f>
        <v>Europe.giaotiep.M260_16917_CVS_NamNH_010724</v>
      </c>
      <c r="R607" s="67" t="str">
        <f>IFERROR(__xludf.DUMMYFUNCTION("""COMPUTED_VALUE"""),"NEW_Europe_1840_none_010724")</f>
        <v>NEW_Europe_1840_none_010724</v>
      </c>
      <c r="S607" s="67" t="str">
        <f>IFERROR(__xludf.DUMMYFUNCTION("""COMPUTED_VALUE"""),"saletructiep_Europe.M260.1840.giaotiep_PTATT_LD153")</f>
        <v>saletructiep_Europe.M260.1840.giaotiep_PTATT_LD153</v>
      </c>
      <c r="T607" s="107" t="str">
        <f>IFERROR(__xludf.DUMMYFUNCTION("""COMPUTED_VALUE"""),"https://patadovietnam.edu.vn/tienganhgiaotiep_hn/?utm_source=Facebook&amp;utm_medium=CVS&amp;utm_term=NEW_Europe_1840_none_010724&amp;utm_content=saletructiep_Europe.M260.1840.giaotiep_PTATT_LD153&amp;utm_campaign=Europe.giaotiep.M260_16917_CVS_NamNH_010724")</f>
        <v>https://patadovietnam.edu.vn/tienganhgiaotiep_hn/?utm_source=Facebook&amp;utm_medium=CVS&amp;utm_term=NEW_Europe_1840_none_010724&amp;utm_content=saletructiep_Europe.M260.1840.giaotiep_PTATT_LD153&amp;utm_campaign=Europe.giaotiep.M260_16917_CVS_NamNH_010724</v>
      </c>
      <c r="U607" s="110" t="s">
        <v>5717</v>
      </c>
    </row>
    <row r="608">
      <c r="A608" s="72">
        <v>45474.0</v>
      </c>
      <c r="B608" s="75" t="s">
        <v>1229</v>
      </c>
      <c r="C608" s="67" t="str">
        <f>IFERROR(__xludf.DUMMYFUNCTION("""COMPUTED_VALUE"""),"LD164")</f>
        <v>LD164</v>
      </c>
      <c r="D608" s="55" t="s">
        <v>42</v>
      </c>
      <c r="E608" s="55" t="s">
        <v>69</v>
      </c>
      <c r="F608" s="55" t="s">
        <v>133</v>
      </c>
      <c r="G608" s="55">
        <v>1840.0</v>
      </c>
      <c r="H608" s="55" t="s">
        <v>1137</v>
      </c>
      <c r="I608" s="115" t="s">
        <v>5721</v>
      </c>
      <c r="J608" s="55" t="s">
        <v>5722</v>
      </c>
      <c r="K608" s="55" t="s">
        <v>61</v>
      </c>
      <c r="L608" s="55">
        <v>16917.0</v>
      </c>
      <c r="M608" s="55" t="s">
        <v>78</v>
      </c>
      <c r="N608" s="55" t="s">
        <v>69</v>
      </c>
      <c r="O608" s="55" t="s">
        <v>224</v>
      </c>
      <c r="P608" s="55" t="s">
        <v>110</v>
      </c>
      <c r="Q608" s="67" t="str">
        <f>IFERROR(__xludf.DUMMYFUNCTION("""COMPUTED_VALUE"""),"Japan.giaotiep.M258_16917_CVS_NamNH_010724")</f>
        <v>Japan.giaotiep.M258_16917_CVS_NamNH_010724</v>
      </c>
      <c r="R608" s="67" t="str">
        <f>IFERROR(__xludf.DUMMYFUNCTION("""COMPUTED_VALUE"""),"NEW_Japan_1840_none_010724")</f>
        <v>NEW_Japan_1840_none_010724</v>
      </c>
      <c r="S608" s="67" t="str">
        <f>IFERROR(__xludf.DUMMYFUNCTION("""COMPUTED_VALUE"""),"saletructiep_Japan.M258.1840.giaotiep_PTATT_LD164")</f>
        <v>saletructiep_Japan.M258.1840.giaotiep_PTATT_LD164</v>
      </c>
      <c r="T608" s="107" t="str">
        <f>IFERROR(__xludf.DUMMYFUNCTION("""COMPUTED_VALUE"""),"https://patadovietnam.edu.vn/gtjapan_nhn3/?utm_source=Facebook&amp;utm_medium=CVS&amp;utm_term=NEW_Japan_1840_none_010724&amp;utm_content=saletructiep_Japan.M258.1840.giaotiep_PTATT_LD164&amp;utm_campaign=Japan.giaotiep.M258_16917_CVS_NamNH_010724")</f>
        <v>https://patadovietnam.edu.vn/gtjapan_nhn3/?utm_source=Facebook&amp;utm_medium=CVS&amp;utm_term=NEW_Japan_1840_none_010724&amp;utm_content=saletructiep_Japan.M258.1840.giaotiep_PTATT_LD164&amp;utm_campaign=Japan.giaotiep.M258_16917_CVS_NamNH_010724</v>
      </c>
      <c r="U608" s="110" t="s">
        <v>5724</v>
      </c>
    </row>
    <row r="609">
      <c r="A609" s="72">
        <v>45474.0</v>
      </c>
      <c r="B609" s="75" t="s">
        <v>1229</v>
      </c>
      <c r="C609" s="67" t="str">
        <f>IFERROR(__xludf.DUMMYFUNCTION("""COMPUTED_VALUE"""),"LD164")</f>
        <v>LD164</v>
      </c>
      <c r="D609" s="55" t="s">
        <v>42</v>
      </c>
      <c r="E609" s="55" t="s">
        <v>69</v>
      </c>
      <c r="F609" s="55" t="s">
        <v>133</v>
      </c>
      <c r="G609" s="55">
        <v>1840.0</v>
      </c>
      <c r="H609" s="55" t="s">
        <v>1137</v>
      </c>
      <c r="I609" s="115" t="s">
        <v>5727</v>
      </c>
      <c r="J609" s="55" t="s">
        <v>5728</v>
      </c>
      <c r="K609" s="55" t="s">
        <v>61</v>
      </c>
      <c r="L609" s="55">
        <v>16917.0</v>
      </c>
      <c r="M609" s="55" t="s">
        <v>78</v>
      </c>
      <c r="N609" s="55" t="s">
        <v>69</v>
      </c>
      <c r="O609" s="55" t="s">
        <v>224</v>
      </c>
      <c r="P609" s="55" t="s">
        <v>110</v>
      </c>
      <c r="Q609" s="67" t="str">
        <f>IFERROR(__xludf.DUMMYFUNCTION("""COMPUTED_VALUE"""),"Japan.giaotiep.M260_16917_CVS_NamNH_010724")</f>
        <v>Japan.giaotiep.M260_16917_CVS_NamNH_010724</v>
      </c>
      <c r="R609" s="67" t="str">
        <f>IFERROR(__xludf.DUMMYFUNCTION("""COMPUTED_VALUE"""),"NEW_Japan_1840_none_010724")</f>
        <v>NEW_Japan_1840_none_010724</v>
      </c>
      <c r="S609" s="67" t="str">
        <f>IFERROR(__xludf.DUMMYFUNCTION("""COMPUTED_VALUE"""),"saletructiep_Japan.M260.1840.giaotiep_PTATT_LD164")</f>
        <v>saletructiep_Japan.M260.1840.giaotiep_PTATT_LD164</v>
      </c>
      <c r="T609" s="107" t="str">
        <f>IFERROR(__xludf.DUMMYFUNCTION("""COMPUTED_VALUE"""),"https://patadovietnam.edu.vn/gtjapan_nhn3/?utm_source=Facebook&amp;utm_medium=CVS&amp;utm_term=NEW_Japan_1840_none_010724&amp;utm_content=saletructiep_Japan.M260.1840.giaotiep_PTATT_LD164&amp;utm_campaign=Japan.giaotiep.M260_16917_CVS_NamNH_010724")</f>
        <v>https://patadovietnam.edu.vn/gtjapan_nhn3/?utm_source=Facebook&amp;utm_medium=CVS&amp;utm_term=NEW_Japan_1840_none_010724&amp;utm_content=saletructiep_Japan.M260.1840.giaotiep_PTATT_LD164&amp;utm_campaign=Japan.giaotiep.M260_16917_CVS_NamNH_010724</v>
      </c>
      <c r="U609" s="110" t="s">
        <v>5732</v>
      </c>
    </row>
    <row r="610">
      <c r="A610" s="72">
        <v>45474.0</v>
      </c>
      <c r="B610" s="75" t="s">
        <v>1229</v>
      </c>
      <c r="C610" s="67" t="str">
        <f>IFERROR(__xludf.DUMMYFUNCTION("""COMPUTED_VALUE"""),"LD164")</f>
        <v>LD164</v>
      </c>
      <c r="D610" s="55" t="s">
        <v>42</v>
      </c>
      <c r="E610" s="55" t="s">
        <v>69</v>
      </c>
      <c r="F610" s="55" t="s">
        <v>133</v>
      </c>
      <c r="G610" s="55">
        <v>1840.0</v>
      </c>
      <c r="H610" s="55" t="s">
        <v>1137</v>
      </c>
      <c r="I610" s="115" t="s">
        <v>5734</v>
      </c>
      <c r="J610" s="55" t="s">
        <v>5735</v>
      </c>
      <c r="K610" s="55" t="s">
        <v>61</v>
      </c>
      <c r="L610" s="55">
        <v>16917.0</v>
      </c>
      <c r="M610" s="55" t="s">
        <v>78</v>
      </c>
      <c r="N610" s="55" t="s">
        <v>69</v>
      </c>
      <c r="O610" s="55" t="s">
        <v>224</v>
      </c>
      <c r="P610" s="55" t="s">
        <v>110</v>
      </c>
      <c r="Q610" s="67" t="str">
        <f>IFERROR(__xludf.DUMMYFUNCTION("""COMPUTED_VALUE"""),"Japan.giaotiep.M261_16917_CVS_NamNH_010724")</f>
        <v>Japan.giaotiep.M261_16917_CVS_NamNH_010724</v>
      </c>
      <c r="R610" s="67" t="str">
        <f>IFERROR(__xludf.DUMMYFUNCTION("""COMPUTED_VALUE"""),"NEW_Japan_1840_none_010724")</f>
        <v>NEW_Japan_1840_none_010724</v>
      </c>
      <c r="S610" s="67" t="str">
        <f>IFERROR(__xludf.DUMMYFUNCTION("""COMPUTED_VALUE"""),"saletructiep_Japan.M261.1840.giaotiep_PTATT_LD164")</f>
        <v>saletructiep_Japan.M261.1840.giaotiep_PTATT_LD164</v>
      </c>
      <c r="T610" s="107" t="str">
        <f>IFERROR(__xludf.DUMMYFUNCTION("""COMPUTED_VALUE"""),"https://patadovietnam.edu.vn/gtjapan_nhn3/?utm_source=Facebook&amp;utm_medium=CVS&amp;utm_term=NEW_Japan_1840_none_010724&amp;utm_content=saletructiep_Japan.M261.1840.giaotiep_PTATT_LD164&amp;utm_campaign=Japan.giaotiep.M261_16917_CVS_NamNH_010724")</f>
        <v>https://patadovietnam.edu.vn/gtjapan_nhn3/?utm_source=Facebook&amp;utm_medium=CVS&amp;utm_term=NEW_Japan_1840_none_010724&amp;utm_content=saletructiep_Japan.M261.1840.giaotiep_PTATT_LD164&amp;utm_campaign=Japan.giaotiep.M261_16917_CVS_NamNH_010724</v>
      </c>
      <c r="U610" s="110" t="s">
        <v>5740</v>
      </c>
    </row>
    <row r="611">
      <c r="A611" s="72">
        <v>45474.0</v>
      </c>
      <c r="B611" s="75" t="s">
        <v>1134</v>
      </c>
      <c r="C611" s="67" t="str">
        <f>IFERROR(__xludf.DUMMYFUNCTION("""COMPUTED_VALUE"""),"LD153")</f>
        <v>LD153</v>
      </c>
      <c r="D611" s="55" t="s">
        <v>42</v>
      </c>
      <c r="E611" s="55" t="s">
        <v>79</v>
      </c>
      <c r="F611" s="55" t="s">
        <v>164</v>
      </c>
      <c r="G611" s="55">
        <v>1840.0</v>
      </c>
      <c r="H611" s="55" t="s">
        <v>1137</v>
      </c>
      <c r="I611" s="115" t="s">
        <v>5745</v>
      </c>
      <c r="J611" s="55" t="s">
        <v>5746</v>
      </c>
      <c r="K611" s="55" t="s">
        <v>61</v>
      </c>
      <c r="L611" s="55">
        <v>16917.0</v>
      </c>
      <c r="M611" s="55" t="s">
        <v>78</v>
      </c>
      <c r="N611" s="55" t="s">
        <v>79</v>
      </c>
      <c r="O611" s="55" t="s">
        <v>224</v>
      </c>
      <c r="P611" s="55" t="s">
        <v>110</v>
      </c>
      <c r="Q611" s="67" t="str">
        <f>IFERROR(__xludf.DUMMYFUNCTION("""COMPUTED_VALUE"""),"Taiwan.giaotiep.M260_16917_MES_NamNH_010724")</f>
        <v>Taiwan.giaotiep.M260_16917_MES_NamNH_010724</v>
      </c>
      <c r="R611" s="67" t="str">
        <f>IFERROR(__xludf.DUMMYFUNCTION("""COMPUTED_VALUE"""),"NEW_Taiwan_1840_none_010724")</f>
        <v>NEW_Taiwan_1840_none_010724</v>
      </c>
      <c r="S611" s="67" t="str">
        <f>IFERROR(__xludf.DUMMYFUNCTION("""COMPUTED_VALUE"""),"saletructiep_Taiwan.M260.1840.giaotiep_PTATT_LD153")</f>
        <v>saletructiep_Taiwan.M260.1840.giaotiep_PTATT_LD153</v>
      </c>
      <c r="T611" s="107" t="str">
        <f>IFERROR(__xludf.DUMMYFUNCTION("""COMPUTED_VALUE"""),"https://patadovietnam.edu.vn/tienganhgiaotiep_hn/?utm_source=Facebook&amp;utm_medium=MES&amp;utm_term=NEW_Taiwan_1840_none_010724&amp;utm_content=saletructiep_Taiwan.M260.1840.giaotiep_PTATT_LD153&amp;utm_campaign=Taiwan.giaotiep.M260_16917_MES_NamNH_010724")</f>
        <v>https://patadovietnam.edu.vn/tienganhgiaotiep_hn/?utm_source=Facebook&amp;utm_medium=MES&amp;utm_term=NEW_Taiwan_1840_none_010724&amp;utm_content=saletructiep_Taiwan.M260.1840.giaotiep_PTATT_LD153&amp;utm_campaign=Taiwan.giaotiep.M260_16917_MES_NamNH_010724</v>
      </c>
      <c r="U611" s="110" t="s">
        <v>5749</v>
      </c>
    </row>
    <row r="612">
      <c r="A612" s="72">
        <v>45474.0</v>
      </c>
      <c r="B612" s="60" t="s">
        <v>1134</v>
      </c>
      <c r="C612" s="67" t="str">
        <f>IFERROR(__xludf.DUMMYFUNCTION("""COMPUTED_VALUE"""),"LD153")</f>
        <v>LD153</v>
      </c>
      <c r="D612" s="55" t="s">
        <v>42</v>
      </c>
      <c r="E612" s="55" t="s">
        <v>79</v>
      </c>
      <c r="F612" s="55" t="s">
        <v>164</v>
      </c>
      <c r="G612" s="55">
        <v>1840.0</v>
      </c>
      <c r="H612" s="55" t="s">
        <v>1137</v>
      </c>
      <c r="I612" s="115" t="s">
        <v>5753</v>
      </c>
      <c r="J612" s="55" t="s">
        <v>5754</v>
      </c>
      <c r="K612" s="55" t="s">
        <v>61</v>
      </c>
      <c r="L612" s="55">
        <v>16917.0</v>
      </c>
      <c r="M612" s="55" t="s">
        <v>78</v>
      </c>
      <c r="N612" s="55" t="s">
        <v>79</v>
      </c>
      <c r="O612" s="55" t="s">
        <v>224</v>
      </c>
      <c r="P612" s="55" t="s">
        <v>110</v>
      </c>
      <c r="Q612" s="67" t="str">
        <f>IFERROR(__xludf.DUMMYFUNCTION("""COMPUTED_VALUE"""),"Taiwan.giaotiep.M261_16917_MES_NamNH_010724")</f>
        <v>Taiwan.giaotiep.M261_16917_MES_NamNH_010724</v>
      </c>
      <c r="R612" s="67" t="str">
        <f>IFERROR(__xludf.DUMMYFUNCTION("""COMPUTED_VALUE"""),"NEW_Taiwan_1840_none_010724")</f>
        <v>NEW_Taiwan_1840_none_010724</v>
      </c>
      <c r="S612" s="67" t="str">
        <f>IFERROR(__xludf.DUMMYFUNCTION("""COMPUTED_VALUE"""),"saletructiep_Taiwan.M261.1840.giaotiep_PTATT_LD153")</f>
        <v>saletructiep_Taiwan.M261.1840.giaotiep_PTATT_LD153</v>
      </c>
      <c r="T612" s="107" t="str">
        <f>IFERROR(__xludf.DUMMYFUNCTION("""COMPUTED_VALUE"""),"https://patadovietnam.edu.vn/tienganhgiaotiep_hn/?utm_source=Facebook&amp;utm_medium=MES&amp;utm_term=NEW_Taiwan_1840_none_010724&amp;utm_content=saletructiep_Taiwan.M261.1840.giaotiep_PTATT_LD153&amp;utm_campaign=Taiwan.giaotiep.M261_16917_MES_NamNH_010724")</f>
        <v>https://patadovietnam.edu.vn/tienganhgiaotiep_hn/?utm_source=Facebook&amp;utm_medium=MES&amp;utm_term=NEW_Taiwan_1840_none_010724&amp;utm_content=saletructiep_Taiwan.M261.1840.giaotiep_PTATT_LD153&amp;utm_campaign=Taiwan.giaotiep.M261_16917_MES_NamNH_010724</v>
      </c>
      <c r="U612" s="110" t="s">
        <v>5760</v>
      </c>
    </row>
    <row r="613">
      <c r="A613" s="72">
        <v>45474.0</v>
      </c>
      <c r="B613" s="75" t="s">
        <v>1134</v>
      </c>
      <c r="C613" s="67" t="str">
        <f>IFERROR(__xludf.DUMMYFUNCTION("""COMPUTED_VALUE"""),"LD153")</f>
        <v>LD153</v>
      </c>
      <c r="D613" s="55" t="s">
        <v>42</v>
      </c>
      <c r="E613" s="55" t="s">
        <v>79</v>
      </c>
      <c r="F613" s="55" t="s">
        <v>625</v>
      </c>
      <c r="G613" s="55">
        <v>1840.0</v>
      </c>
      <c r="H613" s="55" t="s">
        <v>1137</v>
      </c>
      <c r="I613" s="115" t="s">
        <v>5761</v>
      </c>
      <c r="J613" s="55" t="s">
        <v>5762</v>
      </c>
      <c r="K613" s="55" t="s">
        <v>61</v>
      </c>
      <c r="L613" s="55">
        <v>16917.0</v>
      </c>
      <c r="M613" s="55" t="s">
        <v>78</v>
      </c>
      <c r="N613" s="55" t="s">
        <v>79</v>
      </c>
      <c r="O613" s="55" t="s">
        <v>224</v>
      </c>
      <c r="P613" s="55" t="s">
        <v>110</v>
      </c>
      <c r="Q613" s="67" t="str">
        <f>IFERROR(__xludf.DUMMYFUNCTION("""COMPUTED_VALUE"""),"KoreaSouth.giaotiep.M260_16917_MES_NamNH_010724")</f>
        <v>KoreaSouth.giaotiep.M260_16917_MES_NamNH_010724</v>
      </c>
      <c r="R613" s="67" t="str">
        <f>IFERROR(__xludf.DUMMYFUNCTION("""COMPUTED_VALUE"""),"NEW_KoreaSouth_1840_none_010724")</f>
        <v>NEW_KoreaSouth_1840_none_010724</v>
      </c>
      <c r="S613" s="67" t="str">
        <f>IFERROR(__xludf.DUMMYFUNCTION("""COMPUTED_VALUE"""),"saletructiep_KoreaSouth.M260.1840.giaotiep_PTATT_LD153")</f>
        <v>saletructiep_KoreaSouth.M260.1840.giaotiep_PTATT_LD153</v>
      </c>
      <c r="T613" s="107" t="str">
        <f>IFERROR(__xludf.DUMMYFUNCTION("""COMPUTED_VALUE"""),"https://patadovietnam.edu.vn/tienganhgiaotiep_hn/?utm_source=Facebook&amp;utm_medium=MES&amp;utm_term=NEW_KoreaSouth_1840_none_010724&amp;utm_content=saletructiep_KoreaSouth.M260.1840.giaotiep_PTATT_LD153&amp;utm_campaign=KoreaSouth.giaotiep.M260_16917_MES_NamNH_010724")</f>
        <v>https://patadovietnam.edu.vn/tienganhgiaotiep_hn/?utm_source=Facebook&amp;utm_medium=MES&amp;utm_term=NEW_KoreaSouth_1840_none_010724&amp;utm_content=saletructiep_KoreaSouth.M260.1840.giaotiep_PTATT_LD153&amp;utm_campaign=KoreaSouth.giaotiep.M260_16917_MES_NamNH_010724</v>
      </c>
      <c r="U613" s="110" t="s">
        <v>5767</v>
      </c>
    </row>
    <row r="614">
      <c r="A614" s="72">
        <v>45474.0</v>
      </c>
      <c r="B614" s="75" t="s">
        <v>1134</v>
      </c>
      <c r="C614" s="67" t="str">
        <f>IFERROR(__xludf.DUMMYFUNCTION("""COMPUTED_VALUE"""),"LD153")</f>
        <v>LD153</v>
      </c>
      <c r="D614" s="55" t="s">
        <v>42</v>
      </c>
      <c r="E614" s="55" t="s">
        <v>79</v>
      </c>
      <c r="F614" s="55" t="s">
        <v>625</v>
      </c>
      <c r="G614" s="55">
        <v>1840.0</v>
      </c>
      <c r="H614" s="55" t="s">
        <v>1137</v>
      </c>
      <c r="I614" s="115" t="s">
        <v>5770</v>
      </c>
      <c r="J614" s="55" t="s">
        <v>5762</v>
      </c>
      <c r="K614" s="55" t="s">
        <v>61</v>
      </c>
      <c r="L614" s="55">
        <v>16917.0</v>
      </c>
      <c r="M614" s="55" t="s">
        <v>78</v>
      </c>
      <c r="N614" s="55" t="s">
        <v>79</v>
      </c>
      <c r="O614" s="55" t="s">
        <v>224</v>
      </c>
      <c r="P614" s="55" t="s">
        <v>110</v>
      </c>
      <c r="Q614" s="67" t="str">
        <f>IFERROR(__xludf.DUMMYFUNCTION("""COMPUTED_VALUE"""),"KoreaSouth.giaotiep.M261_16917_MES_NamNH_010724")</f>
        <v>KoreaSouth.giaotiep.M261_16917_MES_NamNH_010724</v>
      </c>
      <c r="R614" s="67" t="str">
        <f>IFERROR(__xludf.DUMMYFUNCTION("""COMPUTED_VALUE"""),"NEW_KoreaSouth_1840_none_010724")</f>
        <v>NEW_KoreaSouth_1840_none_010724</v>
      </c>
      <c r="S614" s="67" t="str">
        <f>IFERROR(__xludf.DUMMYFUNCTION("""COMPUTED_VALUE"""),"saletructiep_KoreaSouth.M260.1840.giaotiep_PTATT_LD153")</f>
        <v>saletructiep_KoreaSouth.M260.1840.giaotiep_PTATT_LD153</v>
      </c>
      <c r="T614" s="107" t="str">
        <f>IFERROR(__xludf.DUMMYFUNCTION("""COMPUTED_VALUE"""),"https://patadovietnam.edu.vn/tienganhgiaotiep_hn/?utm_source=Facebook&amp;utm_medium=MES&amp;utm_term=NEW_KoreaSouth_1840_none_010724&amp;utm_content=saletructiep_KoreaSouth.M260.1840.giaotiep_PTATT_LD153&amp;utm_campaign=KoreaSouth.giaotiep.M261_16917_MES_NamNH_010724")</f>
        <v>https://patadovietnam.edu.vn/tienganhgiaotiep_hn/?utm_source=Facebook&amp;utm_medium=MES&amp;utm_term=NEW_KoreaSouth_1840_none_010724&amp;utm_content=saletructiep_KoreaSouth.M260.1840.giaotiep_PTATT_LD153&amp;utm_campaign=KoreaSouth.giaotiep.M261_16917_MES_NamNH_010724</v>
      </c>
      <c r="U614" s="110" t="s">
        <v>5775</v>
      </c>
    </row>
    <row r="615">
      <c r="A615" s="72">
        <v>45474.0</v>
      </c>
      <c r="B615" s="75" t="s">
        <v>1134</v>
      </c>
      <c r="C615" s="67" t="str">
        <f>IFERROR(__xludf.DUMMYFUNCTION("""COMPUTED_VALUE"""),"LD153")</f>
        <v>LD153</v>
      </c>
      <c r="D615" s="55" t="s">
        <v>42</v>
      </c>
      <c r="E615" s="55" t="s">
        <v>79</v>
      </c>
      <c r="F615" s="55" t="s">
        <v>174</v>
      </c>
      <c r="G615" s="55">
        <v>1840.0</v>
      </c>
      <c r="H615" s="55" t="s">
        <v>1137</v>
      </c>
      <c r="I615" s="115" t="s">
        <v>5778</v>
      </c>
      <c r="J615" s="55" t="s">
        <v>5779</v>
      </c>
      <c r="K615" s="55" t="s">
        <v>61</v>
      </c>
      <c r="L615" s="55">
        <v>16917.0</v>
      </c>
      <c r="M615" s="55" t="s">
        <v>78</v>
      </c>
      <c r="N615" s="55" t="s">
        <v>79</v>
      </c>
      <c r="O615" s="55" t="s">
        <v>224</v>
      </c>
      <c r="P615" s="55" t="s">
        <v>110</v>
      </c>
      <c r="Q615" s="67" t="str">
        <f>IFERROR(__xludf.DUMMYFUNCTION("""COMPUTED_VALUE"""),"Philippines.giaotiep.M260_16917_MES_NamNH_010724")</f>
        <v>Philippines.giaotiep.M260_16917_MES_NamNH_010724</v>
      </c>
      <c r="R615" s="67" t="str">
        <f>IFERROR(__xludf.DUMMYFUNCTION("""COMPUTED_VALUE"""),"NEW_Philippines_1840_none_010724")</f>
        <v>NEW_Philippines_1840_none_010724</v>
      </c>
      <c r="S615" s="67" t="str">
        <f>IFERROR(__xludf.DUMMYFUNCTION("""COMPUTED_VALUE"""),"saletructiep_Philippines.M260.1840.giaotiep_PTATT_LD153")</f>
        <v>saletructiep_Philippines.M260.1840.giaotiep_PTATT_LD153</v>
      </c>
      <c r="T615" s="107" t="str">
        <f>IFERROR(__xludf.DUMMYFUNCTION("""COMPUTED_VALUE"""),"https://patadovietnam.edu.vn/tienganhgiaotiep_hn/?utm_source=Facebook&amp;utm_medium=MES&amp;utm_term=NEW_Philippines_1840_none_010724&amp;utm_content=saletructiep_Philippines.M260.1840.giaotiep_PTATT_LD153&amp;utm_campaign=Philippines.giaotiep.M260_16917_MES_NamNH_01072"&amp;"4")</f>
        <v>https://patadovietnam.edu.vn/tienganhgiaotiep_hn/?utm_source=Facebook&amp;utm_medium=MES&amp;utm_term=NEW_Philippines_1840_none_010724&amp;utm_content=saletructiep_Philippines.M260.1840.giaotiep_PTATT_LD153&amp;utm_campaign=Philippines.giaotiep.M260_16917_MES_NamNH_010724</v>
      </c>
      <c r="U615" s="110" t="s">
        <v>5782</v>
      </c>
    </row>
    <row r="616">
      <c r="A616" s="72">
        <v>45474.0</v>
      </c>
      <c r="B616" s="75" t="s">
        <v>1134</v>
      </c>
      <c r="C616" s="67" t="str">
        <f>IFERROR(__xludf.DUMMYFUNCTION("""COMPUTED_VALUE"""),"LD153")</f>
        <v>LD153</v>
      </c>
      <c r="D616" s="55" t="s">
        <v>42</v>
      </c>
      <c r="E616" s="55" t="s">
        <v>79</v>
      </c>
      <c r="F616" s="55" t="s">
        <v>174</v>
      </c>
      <c r="G616" s="55">
        <v>1840.0</v>
      </c>
      <c r="H616" s="55" t="s">
        <v>1137</v>
      </c>
      <c r="I616" s="115" t="s">
        <v>5787</v>
      </c>
      <c r="J616" s="55" t="s">
        <v>5779</v>
      </c>
      <c r="K616" s="55" t="s">
        <v>61</v>
      </c>
      <c r="L616" s="55">
        <v>16917.0</v>
      </c>
      <c r="M616" s="55" t="s">
        <v>78</v>
      </c>
      <c r="N616" s="55" t="s">
        <v>79</v>
      </c>
      <c r="O616" s="55" t="s">
        <v>224</v>
      </c>
      <c r="P616" s="55" t="s">
        <v>110</v>
      </c>
      <c r="Q616" s="67" t="str">
        <f>IFERROR(__xludf.DUMMYFUNCTION("""COMPUTED_VALUE"""),"Philippines.giaotiep.M261_16917_MES_NamNH_010724")</f>
        <v>Philippines.giaotiep.M261_16917_MES_NamNH_010724</v>
      </c>
      <c r="R616" s="67" t="str">
        <f>IFERROR(__xludf.DUMMYFUNCTION("""COMPUTED_VALUE"""),"NEW_Philippines_1840_none_010724")</f>
        <v>NEW_Philippines_1840_none_010724</v>
      </c>
      <c r="S616" s="67" t="str">
        <f>IFERROR(__xludf.DUMMYFUNCTION("""COMPUTED_VALUE"""),"saletructiep_Philippines.M260.1840.giaotiep_PTATT_LD153")</f>
        <v>saletructiep_Philippines.M260.1840.giaotiep_PTATT_LD153</v>
      </c>
      <c r="T616" s="107" t="str">
        <f>IFERROR(__xludf.DUMMYFUNCTION("""COMPUTED_VALUE"""),"https://patadovietnam.edu.vn/tienganhgiaotiep_hn/?utm_source=Facebook&amp;utm_medium=MES&amp;utm_term=NEW_Philippines_1840_none_010724&amp;utm_content=saletructiep_Philippines.M260.1840.giaotiep_PTATT_LD153&amp;utm_campaign=Philippines.giaotiep.M261_16917_MES_NamNH_01072"&amp;"4")</f>
        <v>https://patadovietnam.edu.vn/tienganhgiaotiep_hn/?utm_source=Facebook&amp;utm_medium=MES&amp;utm_term=NEW_Philippines_1840_none_010724&amp;utm_content=saletructiep_Philippines.M260.1840.giaotiep_PTATT_LD153&amp;utm_campaign=Philippines.giaotiep.M261_16917_MES_NamNH_010724</v>
      </c>
      <c r="U616" s="110" t="s">
        <v>5789</v>
      </c>
    </row>
    <row r="617">
      <c r="A617" s="72">
        <v>45474.0</v>
      </c>
      <c r="B617" s="75" t="s">
        <v>1134</v>
      </c>
      <c r="C617" s="67" t="str">
        <f>IFERROR(__xludf.DUMMYFUNCTION("""COMPUTED_VALUE"""),"LD153")</f>
        <v>LD153</v>
      </c>
      <c r="D617" s="55" t="s">
        <v>42</v>
      </c>
      <c r="E617" s="55" t="s">
        <v>79</v>
      </c>
      <c r="F617" s="55" t="s">
        <v>129</v>
      </c>
      <c r="G617" s="55">
        <v>1840.0</v>
      </c>
      <c r="H617" s="55" t="s">
        <v>1137</v>
      </c>
      <c r="I617" s="115" t="s">
        <v>5793</v>
      </c>
      <c r="J617" s="55" t="s">
        <v>5794</v>
      </c>
      <c r="K617" s="55" t="s">
        <v>61</v>
      </c>
      <c r="L617" s="55">
        <v>16917.0</v>
      </c>
      <c r="M617" s="55" t="s">
        <v>78</v>
      </c>
      <c r="N617" s="55" t="s">
        <v>79</v>
      </c>
      <c r="O617" s="55" t="s">
        <v>224</v>
      </c>
      <c r="P617" s="55" t="s">
        <v>110</v>
      </c>
      <c r="Q617" s="67" t="str">
        <f>IFERROR(__xludf.DUMMYFUNCTION("""COMPUTED_VALUE"""),"Australia.giaotiep.M261_16917_MES_NamNH_010724")</f>
        <v>Australia.giaotiep.M261_16917_MES_NamNH_010724</v>
      </c>
      <c r="R617" s="67" t="str">
        <f>IFERROR(__xludf.DUMMYFUNCTION("""COMPUTED_VALUE"""),"NEW_Australia_1840_none_010724")</f>
        <v>NEW_Australia_1840_none_010724</v>
      </c>
      <c r="S617" s="67" t="str">
        <f>IFERROR(__xludf.DUMMYFUNCTION("""COMPUTED_VALUE"""),"saletructiep_Australia.M261.1840.giaotiep_PTATT_LD153")</f>
        <v>saletructiep_Australia.M261.1840.giaotiep_PTATT_LD153</v>
      </c>
      <c r="T617" s="107" t="str">
        <f>IFERROR(__xludf.DUMMYFUNCTION("""COMPUTED_VALUE"""),"https://patadovietnam.edu.vn/tienganhgiaotiep_hn/?utm_source=Facebook&amp;utm_medium=MES&amp;utm_term=NEW_Australia_1840_none_010724&amp;utm_content=saletructiep_Australia.M261.1840.giaotiep_PTATT_LD153&amp;utm_campaign=Australia.giaotiep.M261_16917_MES_NamNH_010724")</f>
        <v>https://patadovietnam.edu.vn/tienganhgiaotiep_hn/?utm_source=Facebook&amp;utm_medium=MES&amp;utm_term=NEW_Australia_1840_none_010724&amp;utm_content=saletructiep_Australia.M261.1840.giaotiep_PTATT_LD153&amp;utm_campaign=Australia.giaotiep.M261_16917_MES_NamNH_010724</v>
      </c>
      <c r="U617" s="110" t="s">
        <v>5800</v>
      </c>
    </row>
    <row r="618">
      <c r="A618" s="72">
        <v>45474.0</v>
      </c>
      <c r="B618" s="75" t="s">
        <v>1134</v>
      </c>
      <c r="C618" s="67" t="str">
        <f>IFERROR(__xludf.DUMMYFUNCTION("""COMPUTED_VALUE"""),"LD153")</f>
        <v>LD153</v>
      </c>
      <c r="D618" s="55" t="s">
        <v>42</v>
      </c>
      <c r="E618" s="55" t="s">
        <v>79</v>
      </c>
      <c r="F618" s="55" t="s">
        <v>129</v>
      </c>
      <c r="G618" s="55">
        <v>1840.0</v>
      </c>
      <c r="H618" s="55" t="s">
        <v>1137</v>
      </c>
      <c r="I618" s="115" t="s">
        <v>5803</v>
      </c>
      <c r="J618" s="55" t="s">
        <v>5804</v>
      </c>
      <c r="K618" s="55" t="s">
        <v>61</v>
      </c>
      <c r="L618" s="55">
        <v>16917.0</v>
      </c>
      <c r="M618" s="55" t="s">
        <v>78</v>
      </c>
      <c r="N618" s="55" t="s">
        <v>79</v>
      </c>
      <c r="O618" s="55" t="s">
        <v>224</v>
      </c>
      <c r="P618" s="55" t="s">
        <v>110</v>
      </c>
      <c r="Q618" s="67" t="str">
        <f>IFERROR(__xludf.DUMMYFUNCTION("""COMPUTED_VALUE"""),"Australia.giaotiep.M260_16917_MES_NamNH_010724")</f>
        <v>Australia.giaotiep.M260_16917_MES_NamNH_010724</v>
      </c>
      <c r="R618" s="67" t="str">
        <f>IFERROR(__xludf.DUMMYFUNCTION("""COMPUTED_VALUE"""),"NEW_Australia_1840_none_010724")</f>
        <v>NEW_Australia_1840_none_010724</v>
      </c>
      <c r="S618" s="67" t="str">
        <f>IFERROR(__xludf.DUMMYFUNCTION("""COMPUTED_VALUE"""),"saletructiep_Australia.M260.1840.giaotiep_PTATT_LD153")</f>
        <v>saletructiep_Australia.M260.1840.giaotiep_PTATT_LD153</v>
      </c>
      <c r="T618" s="107" t="str">
        <f>IFERROR(__xludf.DUMMYFUNCTION("""COMPUTED_VALUE"""),"https://patadovietnam.edu.vn/tienganhgiaotiep_hn/?utm_source=Facebook&amp;utm_medium=MES&amp;utm_term=NEW_Australia_1840_none_010724&amp;utm_content=saletructiep_Australia.M260.1840.giaotiep_PTATT_LD153&amp;utm_campaign=Australia.giaotiep.M260_16917_MES_NamNH_010724")</f>
        <v>https://patadovietnam.edu.vn/tienganhgiaotiep_hn/?utm_source=Facebook&amp;utm_medium=MES&amp;utm_term=NEW_Australia_1840_none_010724&amp;utm_content=saletructiep_Australia.M260.1840.giaotiep_PTATT_LD153&amp;utm_campaign=Australia.giaotiep.M260_16917_MES_NamNH_010724</v>
      </c>
      <c r="U618" s="110" t="s">
        <v>5807</v>
      </c>
    </row>
    <row r="619">
      <c r="A619" s="72">
        <v>45476.0</v>
      </c>
      <c r="B619" s="75" t="s">
        <v>3903</v>
      </c>
      <c r="C619" s="67" t="str">
        <f>IFERROR(__xludf.DUMMYFUNCTION("""COMPUTED_VALUE"""),"LD224")</f>
        <v>LD224</v>
      </c>
      <c r="D619" s="55" t="s">
        <v>42</v>
      </c>
      <c r="E619" s="55" t="s">
        <v>79</v>
      </c>
      <c r="F619" s="55" t="s">
        <v>199</v>
      </c>
      <c r="G619" s="55">
        <v>2035.0</v>
      </c>
      <c r="H619" s="55" t="s">
        <v>1137</v>
      </c>
      <c r="I619" s="115" t="s">
        <v>5810</v>
      </c>
      <c r="J619" s="55" t="s">
        <v>5811</v>
      </c>
      <c r="K619" s="55" t="s">
        <v>61</v>
      </c>
      <c r="L619" s="55">
        <v>16917.0</v>
      </c>
      <c r="M619" s="55" t="s">
        <v>78</v>
      </c>
      <c r="N619" s="55" t="s">
        <v>79</v>
      </c>
      <c r="O619" s="55" t="s">
        <v>224</v>
      </c>
      <c r="P619" s="55" t="s">
        <v>110</v>
      </c>
      <c r="Q619" s="67" t="str">
        <f>IFERROR(__xludf.DUMMYFUNCTION("""COMPUTED_VALUE"""),"Vietnam.Congso.MB24_16917_MES_NamNH_030724")</f>
        <v>Vietnam.Congso.MB24_16917_MES_NamNH_030724</v>
      </c>
      <c r="R619" s="67" t="str">
        <f>IFERROR(__xludf.DUMMYFUNCTION("""COMPUTED_VALUE"""),"NEW_Vietnam_2035_none_030724")</f>
        <v>NEW_Vietnam_2035_none_030724</v>
      </c>
      <c r="S619" s="67" t="str">
        <f>IFERROR(__xludf.DUMMYFUNCTION("""COMPUTED_VALUE"""),"saletructiep_Vietnam.MB24.1840.giaotiep_PTATT_LD224")</f>
        <v>saletructiep_Vietnam.MB24.1840.giaotiep_PTATT_LD224</v>
      </c>
      <c r="T619" s="107" t="str">
        <f>IFERROR(__xludf.DUMMYFUNCTION("""COMPUTED_VALUE"""),"https://patadovietnam.edu.vn/tienganhdoanhnghiep_hn/?utm_source=Facebook&amp;utm_medium=MES&amp;utm_term=NEW_Vietnam_2035_none_030724&amp;utm_content=saletructiep_Vietnam.MB24.1840.giaotiep_PTATT_LD224&amp;utm_campaign=Vietnam.Congso.MB24_16917_MES_NamNH_030724")</f>
        <v>https://patadovietnam.edu.vn/tienganhdoanhnghiep_hn/?utm_source=Facebook&amp;utm_medium=MES&amp;utm_term=NEW_Vietnam_2035_none_030724&amp;utm_content=saletructiep_Vietnam.MB24.1840.giaotiep_PTATT_LD224&amp;utm_campaign=Vietnam.Congso.MB24_16917_MES_NamNH_030724</v>
      </c>
      <c r="U619" s="110" t="s">
        <v>5814</v>
      </c>
    </row>
    <row r="620">
      <c r="A620" s="72">
        <v>45476.0</v>
      </c>
      <c r="B620" s="75" t="s">
        <v>3903</v>
      </c>
      <c r="C620" s="67" t="str">
        <f>IFERROR(__xludf.DUMMYFUNCTION("""COMPUTED_VALUE"""),"LD224")</f>
        <v>LD224</v>
      </c>
      <c r="D620" s="55" t="s">
        <v>42</v>
      </c>
      <c r="E620" s="55" t="s">
        <v>79</v>
      </c>
      <c r="F620" s="55" t="s">
        <v>199</v>
      </c>
      <c r="G620" s="55">
        <v>2035.0</v>
      </c>
      <c r="H620" s="55" t="s">
        <v>1137</v>
      </c>
      <c r="I620" s="115" t="s">
        <v>5817</v>
      </c>
      <c r="J620" s="55" t="s">
        <v>5818</v>
      </c>
      <c r="K620" s="55" t="s">
        <v>61</v>
      </c>
      <c r="L620" s="55">
        <v>16917.0</v>
      </c>
      <c r="M620" s="55" t="s">
        <v>78</v>
      </c>
      <c r="N620" s="55" t="s">
        <v>79</v>
      </c>
      <c r="O620" s="55" t="s">
        <v>224</v>
      </c>
      <c r="P620" s="55" t="s">
        <v>110</v>
      </c>
      <c r="Q620" s="67" t="str">
        <f>IFERROR(__xludf.DUMMYFUNCTION("""COMPUTED_VALUE"""),"Vietnam.Congso.MB23_16917_MES_NamNH_030724")</f>
        <v>Vietnam.Congso.MB23_16917_MES_NamNH_030724</v>
      </c>
      <c r="R620" s="67" t="str">
        <f>IFERROR(__xludf.DUMMYFUNCTION("""COMPUTED_VALUE"""),"NEW_Vietnam_2035_none_030724")</f>
        <v>NEW_Vietnam_2035_none_030724</v>
      </c>
      <c r="S620" s="67" t="str">
        <f>IFERROR(__xludf.DUMMYFUNCTION("""COMPUTED_VALUE"""),"saletructiep_Vietnam.MB23.1840.giaotiep_PTATT_LD224")</f>
        <v>saletructiep_Vietnam.MB23.1840.giaotiep_PTATT_LD224</v>
      </c>
      <c r="T620" s="107" t="str">
        <f>IFERROR(__xludf.DUMMYFUNCTION("""COMPUTED_VALUE"""),"https://patadovietnam.edu.vn/tienganhdoanhnghiep_hn/?utm_source=Facebook&amp;utm_medium=MES&amp;utm_term=NEW_Vietnam_2035_none_030724&amp;utm_content=saletructiep_Vietnam.MB23.1840.giaotiep_PTATT_LD224&amp;utm_campaign=Vietnam.Congso.MB23_16917_MES_NamNH_030724")</f>
        <v>https://patadovietnam.edu.vn/tienganhdoanhnghiep_hn/?utm_source=Facebook&amp;utm_medium=MES&amp;utm_term=NEW_Vietnam_2035_none_030724&amp;utm_content=saletructiep_Vietnam.MB23.1840.giaotiep_PTATT_LD224&amp;utm_campaign=Vietnam.Congso.MB23_16917_MES_NamNH_030724</v>
      </c>
      <c r="U620" s="110" t="s">
        <v>5822</v>
      </c>
    </row>
    <row r="621">
      <c r="A621" s="72">
        <v>45483.0</v>
      </c>
      <c r="B621" s="75" t="s">
        <v>1134</v>
      </c>
      <c r="C621" s="67" t="str">
        <f>IFERROR(__xludf.DUMMYFUNCTION("""COMPUTED_VALUE"""),"LD153")</f>
        <v>LD153</v>
      </c>
      <c r="D621" s="55" t="s">
        <v>42</v>
      </c>
      <c r="E621" s="55" t="s">
        <v>79</v>
      </c>
      <c r="F621" s="55" t="s">
        <v>107</v>
      </c>
      <c r="G621" s="55">
        <v>1840.0</v>
      </c>
      <c r="H621" s="55" t="s">
        <v>1137</v>
      </c>
      <c r="I621" s="115" t="s">
        <v>1621</v>
      </c>
      <c r="J621" s="55" t="s">
        <v>5825</v>
      </c>
      <c r="K621" s="55" t="s">
        <v>61</v>
      </c>
      <c r="L621" s="55">
        <v>16917.0</v>
      </c>
      <c r="M621" s="55" t="s">
        <v>78</v>
      </c>
      <c r="N621" s="55" t="s">
        <v>79</v>
      </c>
      <c r="O621" s="55" t="s">
        <v>224</v>
      </c>
      <c r="P621" s="55" t="s">
        <v>110</v>
      </c>
      <c r="Q621" s="67" t="str">
        <f>IFERROR(__xludf.DUMMYFUNCTION("""COMPUTED_VALUE"""),"UnitedStates.giaotiep.M264_16917_MES_NamNH_100724")</f>
        <v>UnitedStates.giaotiep.M264_16917_MES_NamNH_100724</v>
      </c>
      <c r="R621" s="67" t="str">
        <f>IFERROR(__xludf.DUMMYFUNCTION("""COMPUTED_VALUE"""),"NEW_UnitedStates_1840_none_100724")</f>
        <v>NEW_UnitedStates_1840_none_100724</v>
      </c>
      <c r="S621" s="67" t="str">
        <f>IFERROR(__xludf.DUMMYFUNCTION("""COMPUTED_VALUE"""),"saletructiep_UnitedStates.M264.1840.giaotiep_PTATT_LD153")</f>
        <v>saletructiep_UnitedStates.M264.1840.giaotiep_PTATT_LD153</v>
      </c>
      <c r="T621" s="107" t="str">
        <f>IFERROR(__xludf.DUMMYFUNCTION("""COMPUTED_VALUE"""),"https://patadovietnam.edu.vn/tienganhgiaotiep_hn/?utm_source=Facebook&amp;utm_medium=MES&amp;utm_term=NEW_UnitedStates_1840_none_100724&amp;utm_content=saletructiep_UnitedStates.M264.1840.giaotiep_PTATT_LD153&amp;utm_campaign=UnitedStates.giaotiep.M264_16917_MES_NamNH_10"&amp;"0724")</f>
        <v>https://patadovietnam.edu.vn/tienganhgiaotiep_hn/?utm_source=Facebook&amp;utm_medium=MES&amp;utm_term=NEW_UnitedStates_1840_none_100724&amp;utm_content=saletructiep_UnitedStates.M264.1840.giaotiep_PTATT_LD153&amp;utm_campaign=UnitedStates.giaotiep.M264_16917_MES_NamNH_100724</v>
      </c>
      <c r="U621" s="110" t="s">
        <v>5830</v>
      </c>
    </row>
    <row r="622">
      <c r="A622" s="72">
        <v>45483.0</v>
      </c>
      <c r="B622" s="75" t="s">
        <v>1134</v>
      </c>
      <c r="C622" s="67" t="str">
        <f>IFERROR(__xludf.DUMMYFUNCTION("""COMPUTED_VALUE"""),"LD153")</f>
        <v>LD153</v>
      </c>
      <c r="D622" s="55" t="s">
        <v>42</v>
      </c>
      <c r="E622" s="55" t="s">
        <v>69</v>
      </c>
      <c r="F622" s="55" t="s">
        <v>133</v>
      </c>
      <c r="G622" s="55">
        <v>1840.0</v>
      </c>
      <c r="H622" s="55" t="s">
        <v>1137</v>
      </c>
      <c r="I622" s="115" t="s">
        <v>1997</v>
      </c>
      <c r="J622" s="55" t="s">
        <v>5835</v>
      </c>
      <c r="K622" s="55" t="s">
        <v>61</v>
      </c>
      <c r="L622" s="55">
        <v>16917.0</v>
      </c>
      <c r="M622" s="55" t="s">
        <v>78</v>
      </c>
      <c r="N622" s="55" t="s">
        <v>69</v>
      </c>
      <c r="O622" s="55" t="s">
        <v>224</v>
      </c>
      <c r="P622" s="55" t="s">
        <v>110</v>
      </c>
      <c r="Q622" s="67" t="str">
        <f>IFERROR(__xludf.DUMMYFUNCTION("""COMPUTED_VALUE"""),"Japan.giaotiep.M264_16917_CVS_NamNH_100724")</f>
        <v>Japan.giaotiep.M264_16917_CVS_NamNH_100724</v>
      </c>
      <c r="R622" s="67" t="str">
        <f>IFERROR(__xludf.DUMMYFUNCTION("""COMPUTED_VALUE"""),"NEW_Japan_1840_none_100724")</f>
        <v>NEW_Japan_1840_none_100724</v>
      </c>
      <c r="S622" s="67" t="str">
        <f>IFERROR(__xludf.DUMMYFUNCTION("""COMPUTED_VALUE"""),"saletructiep_Japan.M264.1840.giaotiep_PTATT_LD153")</f>
        <v>saletructiep_Japan.M264.1840.giaotiep_PTATT_LD153</v>
      </c>
      <c r="T622" s="107" t="str">
        <f>IFERROR(__xludf.DUMMYFUNCTION("""COMPUTED_VALUE"""),"https://patadovietnam.edu.vn/tienganhgiaotiep_hn/?utm_source=Facebook&amp;utm_medium=CVS&amp;utm_term=NEW_Japan_1840_none_100724&amp;utm_content=saletructiep_Japan.M264.1840.giaotiep_PTATT_LD153&amp;utm_campaign=Japan.giaotiep.M264_16917_CVS_NamNH_100724")</f>
        <v>https://patadovietnam.edu.vn/tienganhgiaotiep_hn/?utm_source=Facebook&amp;utm_medium=CVS&amp;utm_term=NEW_Japan_1840_none_100724&amp;utm_content=saletructiep_Japan.M264.1840.giaotiep_PTATT_LD153&amp;utm_campaign=Japan.giaotiep.M264_16917_CVS_NamNH_100724</v>
      </c>
      <c r="U622" s="110" t="s">
        <v>5837</v>
      </c>
    </row>
    <row r="623">
      <c r="A623" s="72">
        <v>45483.0</v>
      </c>
      <c r="B623" s="75" t="s">
        <v>1134</v>
      </c>
      <c r="C623" s="67" t="str">
        <f>IFERROR(__xludf.DUMMYFUNCTION("""COMPUTED_VALUE"""),"LD153")</f>
        <v>LD153</v>
      </c>
      <c r="D623" s="55" t="s">
        <v>42</v>
      </c>
      <c r="E623" s="55" t="s">
        <v>69</v>
      </c>
      <c r="F623" s="55" t="s">
        <v>674</v>
      </c>
      <c r="G623" s="55">
        <v>1840.0</v>
      </c>
      <c r="H623" s="55" t="s">
        <v>1137</v>
      </c>
      <c r="I623" s="115" t="s">
        <v>5840</v>
      </c>
      <c r="J623" s="55" t="s">
        <v>5841</v>
      </c>
      <c r="K623" s="55" t="s">
        <v>61</v>
      </c>
      <c r="L623" s="55">
        <v>16917.0</v>
      </c>
      <c r="M623" s="55" t="s">
        <v>78</v>
      </c>
      <c r="N623" s="55" t="s">
        <v>69</v>
      </c>
      <c r="O623" s="55" t="s">
        <v>224</v>
      </c>
      <c r="P623" s="55" t="s">
        <v>110</v>
      </c>
      <c r="Q623" s="67" t="str">
        <f>IFERROR(__xludf.DUMMYFUNCTION("""COMPUTED_VALUE"""),"Europe.giaotiep.M264_16917_CVS_NamNH_100724")</f>
        <v>Europe.giaotiep.M264_16917_CVS_NamNH_100724</v>
      </c>
      <c r="R623" s="67" t="str">
        <f>IFERROR(__xludf.DUMMYFUNCTION("""COMPUTED_VALUE"""),"NEW_Europe_1840_none_100724")</f>
        <v>NEW_Europe_1840_none_100724</v>
      </c>
      <c r="S623" s="67" t="str">
        <f>IFERROR(__xludf.DUMMYFUNCTION("""COMPUTED_VALUE"""),"saletructiep_Europe.M264.1840.giaotiep_PTATT_LD153")</f>
        <v>saletructiep_Europe.M264.1840.giaotiep_PTATT_LD153</v>
      </c>
      <c r="T623" s="107" t="str">
        <f>IFERROR(__xludf.DUMMYFUNCTION("""COMPUTED_VALUE"""),"https://patadovietnam.edu.vn/tienganhgiaotiep_hn/?utm_source=Facebook&amp;utm_medium=CVS&amp;utm_term=NEW_Europe_1840_none_100724&amp;utm_content=saletructiep_Europe.M264.1840.giaotiep_PTATT_LD153&amp;utm_campaign=Europe.giaotiep.M264_16917_CVS_NamNH_100724")</f>
        <v>https://patadovietnam.edu.vn/tienganhgiaotiep_hn/?utm_source=Facebook&amp;utm_medium=CVS&amp;utm_term=NEW_Europe_1840_none_100724&amp;utm_content=saletructiep_Europe.M264.1840.giaotiep_PTATT_LD153&amp;utm_campaign=Europe.giaotiep.M264_16917_CVS_NamNH_100724</v>
      </c>
      <c r="U623" s="110" t="s">
        <v>5843</v>
      </c>
    </row>
    <row r="624">
      <c r="A624" s="72">
        <v>45483.0</v>
      </c>
      <c r="B624" s="75" t="s">
        <v>1134</v>
      </c>
      <c r="C624" s="67" t="str">
        <f>IFERROR(__xludf.DUMMYFUNCTION("""COMPUTED_VALUE"""),"LD153")</f>
        <v>LD153</v>
      </c>
      <c r="D624" s="55" t="s">
        <v>42</v>
      </c>
      <c r="E624" s="55" t="s">
        <v>79</v>
      </c>
      <c r="F624" s="55" t="s">
        <v>625</v>
      </c>
      <c r="G624" s="55">
        <v>1840.0</v>
      </c>
      <c r="H624" s="55" t="s">
        <v>1137</v>
      </c>
      <c r="I624" s="115" t="s">
        <v>5846</v>
      </c>
      <c r="J624" s="55" t="s">
        <v>5847</v>
      </c>
      <c r="K624" s="55" t="s">
        <v>61</v>
      </c>
      <c r="L624" s="55">
        <v>16917.0</v>
      </c>
      <c r="M624" s="55" t="s">
        <v>78</v>
      </c>
      <c r="N624" s="55" t="s">
        <v>79</v>
      </c>
      <c r="O624" s="55" t="s">
        <v>224</v>
      </c>
      <c r="P624" s="55" t="s">
        <v>110</v>
      </c>
      <c r="Q624" s="67" t="str">
        <f>IFERROR(__xludf.DUMMYFUNCTION("""COMPUTED_VALUE"""),"KoreaSouth.giaotiep.M264_16917_MES_NamNH_100724")</f>
        <v>KoreaSouth.giaotiep.M264_16917_MES_NamNH_100724</v>
      </c>
      <c r="R624" s="67" t="str">
        <f>IFERROR(__xludf.DUMMYFUNCTION("""COMPUTED_VALUE"""),"NEW_KoreaSouth_1840_none_100724")</f>
        <v>NEW_KoreaSouth_1840_none_100724</v>
      </c>
      <c r="S624" s="67" t="str">
        <f>IFERROR(__xludf.DUMMYFUNCTION("""COMPUTED_VALUE"""),"saletructiep_KoreaSouth.M264.1840.giaotiep_PTATT_LD153")</f>
        <v>saletructiep_KoreaSouth.M264.1840.giaotiep_PTATT_LD153</v>
      </c>
      <c r="T624" s="107" t="str">
        <f>IFERROR(__xludf.DUMMYFUNCTION("""COMPUTED_VALUE"""),"https://patadovietnam.edu.vn/tienganhgiaotiep_hn/?utm_source=Facebook&amp;utm_medium=MES&amp;utm_term=NEW_KoreaSouth_1840_none_100724&amp;utm_content=saletructiep_KoreaSouth.M264.1840.giaotiep_PTATT_LD153&amp;utm_campaign=KoreaSouth.giaotiep.M264_16917_MES_NamNH_100724")</f>
        <v>https://patadovietnam.edu.vn/tienganhgiaotiep_hn/?utm_source=Facebook&amp;utm_medium=MES&amp;utm_term=NEW_KoreaSouth_1840_none_100724&amp;utm_content=saletructiep_KoreaSouth.M264.1840.giaotiep_PTATT_LD153&amp;utm_campaign=KoreaSouth.giaotiep.M264_16917_MES_NamNH_100724</v>
      </c>
      <c r="U624" s="110" t="s">
        <v>5851</v>
      </c>
    </row>
    <row r="625">
      <c r="A625" s="72">
        <v>45483.0</v>
      </c>
      <c r="B625" s="60" t="s">
        <v>1134</v>
      </c>
      <c r="C625" s="67" t="str">
        <f>IFERROR(__xludf.DUMMYFUNCTION("""COMPUTED_VALUE"""),"LD153")</f>
        <v>LD153</v>
      </c>
      <c r="D625" s="55" t="s">
        <v>42</v>
      </c>
      <c r="E625" s="55" t="s">
        <v>79</v>
      </c>
      <c r="F625" s="55" t="s">
        <v>129</v>
      </c>
      <c r="G625" s="55">
        <v>1840.0</v>
      </c>
      <c r="H625" s="55" t="s">
        <v>1137</v>
      </c>
      <c r="I625" s="115" t="s">
        <v>5853</v>
      </c>
      <c r="J625" s="55" t="s">
        <v>5854</v>
      </c>
      <c r="K625" s="55" t="s">
        <v>61</v>
      </c>
      <c r="L625" s="55">
        <v>16917.0</v>
      </c>
      <c r="M625" s="55" t="s">
        <v>78</v>
      </c>
      <c r="N625" s="55" t="s">
        <v>79</v>
      </c>
      <c r="O625" s="55" t="s">
        <v>224</v>
      </c>
      <c r="P625" s="55" t="s">
        <v>110</v>
      </c>
      <c r="Q625" s="67" t="str">
        <f>IFERROR(__xludf.DUMMYFUNCTION("""COMPUTED_VALUE"""),"Australia.giaotiep.M264_16917_MES_NamNH_100724")</f>
        <v>Australia.giaotiep.M264_16917_MES_NamNH_100724</v>
      </c>
      <c r="R625" s="67" t="str">
        <f>IFERROR(__xludf.DUMMYFUNCTION("""COMPUTED_VALUE"""),"NEW_Australia_1840_none_100724")</f>
        <v>NEW_Australia_1840_none_100724</v>
      </c>
      <c r="S625" s="67" t="str">
        <f>IFERROR(__xludf.DUMMYFUNCTION("""COMPUTED_VALUE"""),"saletructiep_Australia.M264.1840.giaotiep_PTATT_LD153")</f>
        <v>saletructiep_Australia.M264.1840.giaotiep_PTATT_LD153</v>
      </c>
      <c r="T625" s="107" t="str">
        <f>IFERROR(__xludf.DUMMYFUNCTION("""COMPUTED_VALUE"""),"https://patadovietnam.edu.vn/tienganhgiaotiep_hn/?utm_source=Facebook&amp;utm_medium=MES&amp;utm_term=NEW_Australia_1840_none_100724&amp;utm_content=saletructiep_Australia.M264.1840.giaotiep_PTATT_LD153&amp;utm_campaign=Australia.giaotiep.M264_16917_MES_NamNH_100724")</f>
        <v>https://patadovietnam.edu.vn/tienganhgiaotiep_hn/?utm_source=Facebook&amp;utm_medium=MES&amp;utm_term=NEW_Australia_1840_none_100724&amp;utm_content=saletructiep_Australia.M264.1840.giaotiep_PTATT_LD153&amp;utm_campaign=Australia.giaotiep.M264_16917_MES_NamNH_100724</v>
      </c>
      <c r="U625" s="110" t="s">
        <v>5859</v>
      </c>
    </row>
    <row r="626">
      <c r="A626" s="72">
        <v>45483.0</v>
      </c>
      <c r="B626" s="75" t="s">
        <v>1134</v>
      </c>
      <c r="C626" s="67" t="str">
        <f>IFERROR(__xludf.DUMMYFUNCTION("""COMPUTED_VALUE"""),"LD153")</f>
        <v>LD153</v>
      </c>
      <c r="D626" s="55" t="s">
        <v>42</v>
      </c>
      <c r="E626" s="55" t="s">
        <v>79</v>
      </c>
      <c r="F626" s="55" t="s">
        <v>174</v>
      </c>
      <c r="G626" s="55">
        <v>1840.0</v>
      </c>
      <c r="H626" s="55" t="s">
        <v>1137</v>
      </c>
      <c r="I626" s="115" t="s">
        <v>5862</v>
      </c>
      <c r="J626" s="55" t="s">
        <v>5863</v>
      </c>
      <c r="K626" s="55" t="s">
        <v>61</v>
      </c>
      <c r="L626" s="55">
        <v>16917.0</v>
      </c>
      <c r="M626" s="55" t="s">
        <v>78</v>
      </c>
      <c r="N626" s="55" t="s">
        <v>79</v>
      </c>
      <c r="O626" s="55" t="s">
        <v>224</v>
      </c>
      <c r="P626" s="55" t="s">
        <v>110</v>
      </c>
      <c r="Q626" s="67" t="str">
        <f>IFERROR(__xludf.DUMMYFUNCTION("""COMPUTED_VALUE"""),"Philippines.giaotiep.M264_16917_MES_NamNH_100724")</f>
        <v>Philippines.giaotiep.M264_16917_MES_NamNH_100724</v>
      </c>
      <c r="R626" s="67" t="str">
        <f>IFERROR(__xludf.DUMMYFUNCTION("""COMPUTED_VALUE"""),"NEW_Philippines_1840_none_100724")</f>
        <v>NEW_Philippines_1840_none_100724</v>
      </c>
      <c r="S626" s="67" t="str">
        <f>IFERROR(__xludf.DUMMYFUNCTION("""COMPUTED_VALUE"""),"saletructiep_Philippines.M264.1840.giaotiep_PTATT_LD153")</f>
        <v>saletructiep_Philippines.M264.1840.giaotiep_PTATT_LD153</v>
      </c>
      <c r="T626" s="107" t="str">
        <f>IFERROR(__xludf.DUMMYFUNCTION("""COMPUTED_VALUE"""),"https://patadovietnam.edu.vn/tienganhgiaotiep_hn/?utm_source=Facebook&amp;utm_medium=MES&amp;utm_term=NEW_Philippines_1840_none_100724&amp;utm_content=saletructiep_Philippines.M264.1840.giaotiep_PTATT_LD153&amp;utm_campaign=Philippines.giaotiep.M264_16917_MES_NamNH_10072"&amp;"4")</f>
        <v>https://patadovietnam.edu.vn/tienganhgiaotiep_hn/?utm_source=Facebook&amp;utm_medium=MES&amp;utm_term=NEW_Philippines_1840_none_100724&amp;utm_content=saletructiep_Philippines.M264.1840.giaotiep_PTATT_LD153&amp;utm_campaign=Philippines.giaotiep.M264_16917_MES_NamNH_100724</v>
      </c>
      <c r="U626" s="110" t="s">
        <v>5868</v>
      </c>
    </row>
    <row r="627">
      <c r="A627" s="72">
        <v>45491.0</v>
      </c>
      <c r="B627" s="75" t="s">
        <v>1245</v>
      </c>
      <c r="C627" s="67" t="str">
        <f>IFERROR(__xludf.DUMMYFUNCTION("""COMPUTED_VALUE"""),"LD161")</f>
        <v>LD161</v>
      </c>
      <c r="D627" s="55" t="s">
        <v>42</v>
      </c>
      <c r="E627" s="55" t="s">
        <v>79</v>
      </c>
      <c r="F627" s="55" t="s">
        <v>107</v>
      </c>
      <c r="G627" s="55">
        <v>1840.0</v>
      </c>
      <c r="H627" s="55" t="s">
        <v>1137</v>
      </c>
      <c r="I627" s="115" t="s">
        <v>5870</v>
      </c>
      <c r="J627" s="55" t="s">
        <v>5871</v>
      </c>
      <c r="K627" s="55" t="s">
        <v>61</v>
      </c>
      <c r="L627" s="55">
        <v>16917.0</v>
      </c>
      <c r="M627" s="55" t="s">
        <v>78</v>
      </c>
      <c r="N627" s="55" t="s">
        <v>79</v>
      </c>
      <c r="O627" s="55" t="s">
        <v>224</v>
      </c>
      <c r="P627" s="55" t="s">
        <v>110</v>
      </c>
      <c r="Q627" s="67" t="str">
        <f>IFERROR(__xludf.DUMMYFUNCTION("""COMPUTED_VALUE"""),"UnitedStates.giaotiep.M269_16917_MES_NamNH_180724")</f>
        <v>UnitedStates.giaotiep.M269_16917_MES_NamNH_180724</v>
      </c>
      <c r="R627" s="67" t="str">
        <f>IFERROR(__xludf.DUMMYFUNCTION("""COMPUTED_VALUE"""),"NEW_UnitedStates_1840_none_180724")</f>
        <v>NEW_UnitedStates_1840_none_180724</v>
      </c>
      <c r="S627" s="67" t="str">
        <f>IFERROR(__xludf.DUMMYFUNCTION("""COMPUTED_VALUE"""),"saletructiep_UnitedStates.M269.1840.giaotiep_PTATT_LD161")</f>
        <v>saletructiep_UnitedStates.M269.1840.giaotiep_PTATT_LD161</v>
      </c>
      <c r="T627" s="107" t="str">
        <f>IFERROR(__xludf.DUMMYFUNCTION("""COMPUTED_VALUE"""),"https://patadovietnam.edu.vn/gtusa1_nhn/?utm_source=Facebook&amp;utm_medium=MES&amp;utm_term=NEW_UnitedStates_1840_none_180724&amp;utm_content=saletructiep_UnitedStates.M269.1840.giaotiep_PTATT_LD161&amp;utm_campaign=UnitedStates.giaotiep.M269_16917_MES_NamNH_180724")</f>
        <v>https://patadovietnam.edu.vn/gtusa1_nhn/?utm_source=Facebook&amp;utm_medium=MES&amp;utm_term=NEW_UnitedStates_1840_none_180724&amp;utm_content=saletructiep_UnitedStates.M269.1840.giaotiep_PTATT_LD161&amp;utm_campaign=UnitedStates.giaotiep.M269_16917_MES_NamNH_180724</v>
      </c>
      <c r="U627" s="110" t="s">
        <v>5874</v>
      </c>
    </row>
    <row r="628">
      <c r="A628" s="72">
        <v>45491.0</v>
      </c>
      <c r="B628" s="75" t="s">
        <v>1134</v>
      </c>
      <c r="C628" s="67" t="str">
        <f>IFERROR(__xludf.DUMMYFUNCTION("""COMPUTED_VALUE"""),"LD153")</f>
        <v>LD153</v>
      </c>
      <c r="D628" s="55" t="s">
        <v>42</v>
      </c>
      <c r="E628" s="55" t="s">
        <v>69</v>
      </c>
      <c r="F628" s="55" t="s">
        <v>674</v>
      </c>
      <c r="G628" s="55">
        <v>1840.0</v>
      </c>
      <c r="H628" s="55" t="s">
        <v>1137</v>
      </c>
      <c r="I628" s="115" t="s">
        <v>5877</v>
      </c>
      <c r="J628" s="55" t="s">
        <v>5878</v>
      </c>
      <c r="K628" s="55" t="s">
        <v>61</v>
      </c>
      <c r="L628" s="55">
        <v>16917.0</v>
      </c>
      <c r="M628" s="55" t="s">
        <v>78</v>
      </c>
      <c r="N628" s="55" t="s">
        <v>69</v>
      </c>
      <c r="O628" s="55" t="s">
        <v>224</v>
      </c>
      <c r="P628" s="55" t="s">
        <v>110</v>
      </c>
      <c r="Q628" s="67" t="str">
        <f>IFERROR(__xludf.DUMMYFUNCTION("""COMPUTED_VALUE"""),"Europe.giaotiep.M269_16917_CVS_NamNH_180724")</f>
        <v>Europe.giaotiep.M269_16917_CVS_NamNH_180724</v>
      </c>
      <c r="R628" s="67" t="str">
        <f>IFERROR(__xludf.DUMMYFUNCTION("""COMPUTED_VALUE"""),"NEW_Europe_1840_none_180724")</f>
        <v>NEW_Europe_1840_none_180724</v>
      </c>
      <c r="S628" s="67" t="str">
        <f>IFERROR(__xludf.DUMMYFUNCTION("""COMPUTED_VALUE"""),"saletructiep_Europe.M269.1840.giaotiep_PTATT_LD153")</f>
        <v>saletructiep_Europe.M269.1840.giaotiep_PTATT_LD153</v>
      </c>
      <c r="T628" s="107" t="str">
        <f>IFERROR(__xludf.DUMMYFUNCTION("""COMPUTED_VALUE"""),"https://patadovietnam.edu.vn/tienganhgiaotiep_hn/?utm_source=Facebook&amp;utm_medium=CVS&amp;utm_term=NEW_Europe_1840_none_180724&amp;utm_content=saletructiep_Europe.M269.1840.giaotiep_PTATT_LD153&amp;utm_campaign=Europe.giaotiep.M269_16917_CVS_NamNH_180724")</f>
        <v>https://patadovietnam.edu.vn/tienganhgiaotiep_hn/?utm_source=Facebook&amp;utm_medium=CVS&amp;utm_term=NEW_Europe_1840_none_180724&amp;utm_content=saletructiep_Europe.M269.1840.giaotiep_PTATT_LD153&amp;utm_campaign=Europe.giaotiep.M269_16917_CVS_NamNH_180724</v>
      </c>
      <c r="U628" s="110" t="s">
        <v>5881</v>
      </c>
    </row>
    <row r="629">
      <c r="A629" s="72">
        <v>45491.0</v>
      </c>
      <c r="B629" s="75" t="s">
        <v>1229</v>
      </c>
      <c r="C629" s="67" t="str">
        <f>IFERROR(__xludf.DUMMYFUNCTION("""COMPUTED_VALUE"""),"LD164")</f>
        <v>LD164</v>
      </c>
      <c r="D629" s="55" t="s">
        <v>42</v>
      </c>
      <c r="E629" s="55" t="s">
        <v>69</v>
      </c>
      <c r="F629" s="55" t="s">
        <v>133</v>
      </c>
      <c r="G629" s="55">
        <v>1840.0</v>
      </c>
      <c r="H629" s="55" t="s">
        <v>1137</v>
      </c>
      <c r="I629" s="115" t="s">
        <v>5885</v>
      </c>
      <c r="J629" s="55" t="s">
        <v>5886</v>
      </c>
      <c r="K629" s="55" t="s">
        <v>61</v>
      </c>
      <c r="L629" s="55">
        <v>16917.0</v>
      </c>
      <c r="M629" s="55" t="s">
        <v>78</v>
      </c>
      <c r="N629" s="55" t="s">
        <v>69</v>
      </c>
      <c r="O629" s="55" t="s">
        <v>224</v>
      </c>
      <c r="P629" s="55" t="s">
        <v>110</v>
      </c>
      <c r="Q629" s="67" t="str">
        <f>IFERROR(__xludf.DUMMYFUNCTION("""COMPUTED_VALUE"""),"Japan.giaotiep.M269_16917_CVS_NamNH_180724")</f>
        <v>Japan.giaotiep.M269_16917_CVS_NamNH_180724</v>
      </c>
      <c r="R629" s="67" t="str">
        <f>IFERROR(__xludf.DUMMYFUNCTION("""COMPUTED_VALUE"""),"NEW_Japan_1840_none_180724")</f>
        <v>NEW_Japan_1840_none_180724</v>
      </c>
      <c r="S629" s="67" t="str">
        <f>IFERROR(__xludf.DUMMYFUNCTION("""COMPUTED_VALUE"""),"saletructiep_Japan.M269.1840.giaotiep_PTATT_LD164")</f>
        <v>saletructiep_Japan.M269.1840.giaotiep_PTATT_LD164</v>
      </c>
      <c r="T629" s="107" t="str">
        <f>IFERROR(__xludf.DUMMYFUNCTION("""COMPUTED_VALUE"""),"https://patadovietnam.edu.vn/gtjapan_nhn3/?utm_source=Facebook&amp;utm_medium=CVS&amp;utm_term=NEW_Japan_1840_none_180724&amp;utm_content=saletructiep_Japan.M269.1840.giaotiep_PTATT_LD164&amp;utm_campaign=Japan.giaotiep.M269_16917_CVS_NamNH_180724")</f>
        <v>https://patadovietnam.edu.vn/gtjapan_nhn3/?utm_source=Facebook&amp;utm_medium=CVS&amp;utm_term=NEW_Japan_1840_none_180724&amp;utm_content=saletructiep_Japan.M269.1840.giaotiep_PTATT_LD164&amp;utm_campaign=Japan.giaotiep.M269_16917_CVS_NamNH_180724</v>
      </c>
      <c r="U629" s="110" t="s">
        <v>5890</v>
      </c>
    </row>
    <row r="630">
      <c r="A630" s="72">
        <v>45491.0</v>
      </c>
      <c r="B630" s="75" t="s">
        <v>1229</v>
      </c>
      <c r="C630" s="67" t="str">
        <f>IFERROR(__xludf.DUMMYFUNCTION("""COMPUTED_VALUE"""),"LD164")</f>
        <v>LD164</v>
      </c>
      <c r="D630" s="55" t="s">
        <v>42</v>
      </c>
      <c r="E630" s="55" t="s">
        <v>69</v>
      </c>
      <c r="F630" s="55" t="s">
        <v>133</v>
      </c>
      <c r="G630" s="55">
        <v>1840.0</v>
      </c>
      <c r="H630" s="55" t="s">
        <v>1137</v>
      </c>
      <c r="I630" s="115" t="s">
        <v>5893</v>
      </c>
      <c r="J630" s="55" t="s">
        <v>5894</v>
      </c>
      <c r="K630" s="55" t="s">
        <v>61</v>
      </c>
      <c r="L630" s="55">
        <v>16917.0</v>
      </c>
      <c r="M630" s="55" t="s">
        <v>78</v>
      </c>
      <c r="N630" s="55" t="s">
        <v>69</v>
      </c>
      <c r="O630" s="55" t="s">
        <v>224</v>
      </c>
      <c r="P630" s="55" t="s">
        <v>110</v>
      </c>
      <c r="Q630" s="67" t="str">
        <f>IFERROR(__xludf.DUMMYFUNCTION("""COMPUTED_VALUE"""),"Japan.giaotiep.M270_16917_CVS_NamNH_180724")</f>
        <v>Japan.giaotiep.M270_16917_CVS_NamNH_180724</v>
      </c>
      <c r="R630" s="67" t="str">
        <f>IFERROR(__xludf.DUMMYFUNCTION("""COMPUTED_VALUE"""),"NEW_Japan_1840_none_180724")</f>
        <v>NEW_Japan_1840_none_180724</v>
      </c>
      <c r="S630" s="67" t="str">
        <f>IFERROR(__xludf.DUMMYFUNCTION("""COMPUTED_VALUE"""),"saletructiep_Japan.M270.1840.giaotiep_PTATT_LD164")</f>
        <v>saletructiep_Japan.M270.1840.giaotiep_PTATT_LD164</v>
      </c>
      <c r="T630" s="107" t="str">
        <f>IFERROR(__xludf.DUMMYFUNCTION("""COMPUTED_VALUE"""),"https://patadovietnam.edu.vn/gtjapan_nhn3/?utm_source=Facebook&amp;utm_medium=CVS&amp;utm_term=NEW_Japan_1840_none_180724&amp;utm_content=saletructiep_Japan.M270.1840.giaotiep_PTATT_LD164&amp;utm_campaign=Japan.giaotiep.M270_16917_CVS_NamNH_180724")</f>
        <v>https://patadovietnam.edu.vn/gtjapan_nhn3/?utm_source=Facebook&amp;utm_medium=CVS&amp;utm_term=NEW_Japan_1840_none_180724&amp;utm_content=saletructiep_Japan.M270.1840.giaotiep_PTATT_LD164&amp;utm_campaign=Japan.giaotiep.M270_16917_CVS_NamNH_180724</v>
      </c>
      <c r="U630" s="110" t="s">
        <v>5897</v>
      </c>
    </row>
    <row r="631">
      <c r="A631" s="72">
        <v>45491.0</v>
      </c>
      <c r="B631" s="75" t="s">
        <v>1134</v>
      </c>
      <c r="C631" s="67" t="str">
        <f>IFERROR(__xludf.DUMMYFUNCTION("""COMPUTED_VALUE"""),"LD153")</f>
        <v>LD153</v>
      </c>
      <c r="D631" s="55" t="s">
        <v>42</v>
      </c>
      <c r="E631" s="55" t="s">
        <v>69</v>
      </c>
      <c r="F631" s="55" t="s">
        <v>674</v>
      </c>
      <c r="G631" s="55">
        <v>1840.0</v>
      </c>
      <c r="H631" s="55" t="s">
        <v>1137</v>
      </c>
      <c r="I631" s="115" t="s">
        <v>5899</v>
      </c>
      <c r="J631" s="55" t="s">
        <v>5900</v>
      </c>
      <c r="K631" s="55" t="s">
        <v>61</v>
      </c>
      <c r="L631" s="55">
        <v>16917.0</v>
      </c>
      <c r="M631" s="55" t="s">
        <v>78</v>
      </c>
      <c r="N631" s="55" t="s">
        <v>69</v>
      </c>
      <c r="O631" s="55" t="s">
        <v>224</v>
      </c>
      <c r="P631" s="55" t="s">
        <v>110</v>
      </c>
      <c r="Q631" s="67" t="str">
        <f>IFERROR(__xludf.DUMMYFUNCTION("""COMPUTED_VALUE"""),"Europe.giaotiep.M270_16917_CVS_NamNH_180724")</f>
        <v>Europe.giaotiep.M270_16917_CVS_NamNH_180724</v>
      </c>
      <c r="R631" s="67" t="str">
        <f>IFERROR(__xludf.DUMMYFUNCTION("""COMPUTED_VALUE"""),"NEW_Europe_1840_none_180724")</f>
        <v>NEW_Europe_1840_none_180724</v>
      </c>
      <c r="S631" s="67" t="str">
        <f>IFERROR(__xludf.DUMMYFUNCTION("""COMPUTED_VALUE"""),"saletructiep_Europe.M270.1840.giaotiep_PTATT_LD153")</f>
        <v>saletructiep_Europe.M270.1840.giaotiep_PTATT_LD153</v>
      </c>
      <c r="T631" s="107" t="str">
        <f>IFERROR(__xludf.DUMMYFUNCTION("""COMPUTED_VALUE"""),"https://patadovietnam.edu.vn/tienganhgiaotiep_hn/?utm_source=Facebook&amp;utm_medium=CVS&amp;utm_term=NEW_Europe_1840_none_180724&amp;utm_content=saletructiep_Europe.M270.1840.giaotiep_PTATT_LD153&amp;utm_campaign=Europe.giaotiep.M270_16917_CVS_NamNH_180724")</f>
        <v>https://patadovietnam.edu.vn/tienganhgiaotiep_hn/?utm_source=Facebook&amp;utm_medium=CVS&amp;utm_term=NEW_Europe_1840_none_180724&amp;utm_content=saletructiep_Europe.M270.1840.giaotiep_PTATT_LD153&amp;utm_campaign=Europe.giaotiep.M270_16917_CVS_NamNH_180724</v>
      </c>
      <c r="U631" s="110" t="s">
        <v>5905</v>
      </c>
    </row>
    <row r="632">
      <c r="A632" s="72">
        <v>45491.0</v>
      </c>
      <c r="B632" s="75" t="s">
        <v>1134</v>
      </c>
      <c r="C632" s="67" t="str">
        <f>IFERROR(__xludf.DUMMYFUNCTION("""COMPUTED_VALUE"""),"LD153")</f>
        <v>LD153</v>
      </c>
      <c r="D632" s="55" t="s">
        <v>42</v>
      </c>
      <c r="E632" s="55" t="s">
        <v>79</v>
      </c>
      <c r="F632" s="55" t="s">
        <v>174</v>
      </c>
      <c r="G632" s="55">
        <v>1840.0</v>
      </c>
      <c r="H632" s="55" t="s">
        <v>1137</v>
      </c>
      <c r="I632" s="115" t="s">
        <v>5907</v>
      </c>
      <c r="J632" s="55" t="s">
        <v>5908</v>
      </c>
      <c r="K632" s="55" t="s">
        <v>61</v>
      </c>
      <c r="L632" s="55">
        <v>16917.0</v>
      </c>
      <c r="M632" s="55" t="s">
        <v>78</v>
      </c>
      <c r="N632" s="55" t="s">
        <v>79</v>
      </c>
      <c r="O632" s="55" t="s">
        <v>224</v>
      </c>
      <c r="P632" s="55" t="s">
        <v>110</v>
      </c>
      <c r="Q632" s="67" t="str">
        <f>IFERROR(__xludf.DUMMYFUNCTION("""COMPUTED_VALUE"""),"Philippines.giaotiep.M269_16917_MES_NamNH_180724")</f>
        <v>Philippines.giaotiep.M269_16917_MES_NamNH_180724</v>
      </c>
      <c r="R632" s="67" t="str">
        <f>IFERROR(__xludf.DUMMYFUNCTION("""COMPUTED_VALUE"""),"NEW_Philippines_1840_none_180724")</f>
        <v>NEW_Philippines_1840_none_180724</v>
      </c>
      <c r="S632" s="67" t="str">
        <f>IFERROR(__xludf.DUMMYFUNCTION("""COMPUTED_VALUE"""),"saletructiep_Philippines.M269.1840.giaotiep_PTATT_LD153")</f>
        <v>saletructiep_Philippines.M269.1840.giaotiep_PTATT_LD153</v>
      </c>
      <c r="T632" s="107" t="str">
        <f>IFERROR(__xludf.DUMMYFUNCTION("""COMPUTED_VALUE"""),"https://patadovietnam.edu.vn/tienganhgiaotiep_hn/?utm_source=Facebook&amp;utm_medium=MES&amp;utm_term=NEW_Philippines_1840_none_180724&amp;utm_content=saletructiep_Philippines.M269.1840.giaotiep_PTATT_LD153&amp;utm_campaign=Philippines.giaotiep.M269_16917_MES_NamNH_18072"&amp;"4")</f>
        <v>https://patadovietnam.edu.vn/tienganhgiaotiep_hn/?utm_source=Facebook&amp;utm_medium=MES&amp;utm_term=NEW_Philippines_1840_none_180724&amp;utm_content=saletructiep_Philippines.M269.1840.giaotiep_PTATT_LD153&amp;utm_campaign=Philippines.giaotiep.M269_16917_MES_NamNH_180724</v>
      </c>
      <c r="U632" s="110" t="s">
        <v>5912</v>
      </c>
    </row>
    <row r="633">
      <c r="A633" s="72">
        <v>45491.0</v>
      </c>
      <c r="B633" s="75" t="s">
        <v>1134</v>
      </c>
      <c r="C633" s="67" t="str">
        <f>IFERROR(__xludf.DUMMYFUNCTION("""COMPUTED_VALUE"""),"LD153")</f>
        <v>LD153</v>
      </c>
      <c r="D633" s="55" t="s">
        <v>42</v>
      </c>
      <c r="E633" s="55" t="s">
        <v>79</v>
      </c>
      <c r="F633" s="55" t="s">
        <v>625</v>
      </c>
      <c r="G633" s="55">
        <v>1840.0</v>
      </c>
      <c r="H633" s="55" t="s">
        <v>1137</v>
      </c>
      <c r="I633" s="115" t="s">
        <v>5915</v>
      </c>
      <c r="J633" s="55" t="s">
        <v>5916</v>
      </c>
      <c r="K633" s="55" t="s">
        <v>61</v>
      </c>
      <c r="L633" s="55">
        <v>16917.0</v>
      </c>
      <c r="M633" s="55" t="s">
        <v>78</v>
      </c>
      <c r="N633" s="55" t="s">
        <v>79</v>
      </c>
      <c r="O633" s="55" t="s">
        <v>224</v>
      </c>
      <c r="P633" s="55" t="s">
        <v>110</v>
      </c>
      <c r="Q633" s="67" t="str">
        <f>IFERROR(__xludf.DUMMYFUNCTION("""COMPUTED_VALUE"""),"KoreaSouth.giaotiep.M269_16917_MES_NamNH_180724")</f>
        <v>KoreaSouth.giaotiep.M269_16917_MES_NamNH_180724</v>
      </c>
      <c r="R633" s="67" t="str">
        <f>IFERROR(__xludf.DUMMYFUNCTION("""COMPUTED_VALUE"""),"NEW_KoreaSouth_1840_none_180724")</f>
        <v>NEW_KoreaSouth_1840_none_180724</v>
      </c>
      <c r="S633" s="67" t="str">
        <f>IFERROR(__xludf.DUMMYFUNCTION("""COMPUTED_VALUE"""),"saletructiep_KoreaSouth.M269.1840.giaotiep_PTATT_LD153")</f>
        <v>saletructiep_KoreaSouth.M269.1840.giaotiep_PTATT_LD153</v>
      </c>
      <c r="T633" s="107" t="str">
        <f>IFERROR(__xludf.DUMMYFUNCTION("""COMPUTED_VALUE"""),"https://patadovietnam.edu.vn/tienganhgiaotiep_hn/?utm_source=Facebook&amp;utm_medium=MES&amp;utm_term=NEW_KoreaSouth_1840_none_180724&amp;utm_content=saletructiep_KoreaSouth.M269.1840.giaotiep_PTATT_LD153&amp;utm_campaign=KoreaSouth.giaotiep.M269_16917_MES_NamNH_180724")</f>
        <v>https://patadovietnam.edu.vn/tienganhgiaotiep_hn/?utm_source=Facebook&amp;utm_medium=MES&amp;utm_term=NEW_KoreaSouth_1840_none_180724&amp;utm_content=saletructiep_KoreaSouth.M269.1840.giaotiep_PTATT_LD153&amp;utm_campaign=KoreaSouth.giaotiep.M269_16917_MES_NamNH_180724</v>
      </c>
      <c r="U633" s="110" t="s">
        <v>5920</v>
      </c>
    </row>
    <row r="634">
      <c r="A634" s="72">
        <v>45491.0</v>
      </c>
      <c r="B634" s="75" t="s">
        <v>3903</v>
      </c>
      <c r="C634" s="67" t="str">
        <f>IFERROR(__xludf.DUMMYFUNCTION("""COMPUTED_VALUE"""),"LD224")</f>
        <v>LD224</v>
      </c>
      <c r="D634" s="55" t="s">
        <v>42</v>
      </c>
      <c r="E634" s="55" t="s">
        <v>79</v>
      </c>
      <c r="F634" s="55" t="s">
        <v>46</v>
      </c>
      <c r="G634" s="55">
        <v>2035.0</v>
      </c>
      <c r="H634" s="55" t="s">
        <v>1137</v>
      </c>
      <c r="I634" s="115" t="s">
        <v>5921</v>
      </c>
      <c r="J634" s="55" t="s">
        <v>5922</v>
      </c>
      <c r="K634" s="55" t="s">
        <v>61</v>
      </c>
      <c r="L634" s="55">
        <v>16917.0</v>
      </c>
      <c r="M634" s="55" t="s">
        <v>78</v>
      </c>
      <c r="N634" s="55" t="s">
        <v>79</v>
      </c>
      <c r="O634" s="55" t="s">
        <v>224</v>
      </c>
      <c r="P634" s="55" t="s">
        <v>110</v>
      </c>
      <c r="Q634" s="67" t="str">
        <f>IFERROR(__xludf.DUMMYFUNCTION("""COMPUTED_VALUE"""),"HN.Congso.MB36_16917_MES_NamNH_180724")</f>
        <v>HN.Congso.MB36_16917_MES_NamNH_180724</v>
      </c>
      <c r="R634" s="67" t="str">
        <f>IFERROR(__xludf.DUMMYFUNCTION("""COMPUTED_VALUE"""),"NEW_HN_2035_none_180724")</f>
        <v>NEW_HN_2035_none_180724</v>
      </c>
      <c r="S634" s="67" t="str">
        <f>IFERROR(__xludf.DUMMYFUNCTION("""COMPUTED_VALUE"""),"saletructiep_HN.MB36.1840.giaotiep_PTATT_LD224")</f>
        <v>saletructiep_HN.MB36.1840.giaotiep_PTATT_LD224</v>
      </c>
      <c r="T634" s="107" t="str">
        <f>IFERROR(__xludf.DUMMYFUNCTION("""COMPUTED_VALUE"""),"https://patadovietnam.edu.vn/tienganhdoanhnghiep_hn/?utm_source=Facebook&amp;utm_medium=MES&amp;utm_term=NEW_HN_2035_none_180724&amp;utm_content=saletructiep_HN.MB36.1840.giaotiep_PTATT_LD224&amp;utm_campaign=HN.Congso.MB36_16917_MES_NamNH_180724")</f>
        <v>https://patadovietnam.edu.vn/tienganhdoanhnghiep_hn/?utm_source=Facebook&amp;utm_medium=MES&amp;utm_term=NEW_HN_2035_none_180724&amp;utm_content=saletructiep_HN.MB36.1840.giaotiep_PTATT_LD224&amp;utm_campaign=HN.Congso.MB36_16917_MES_NamNH_180724</v>
      </c>
      <c r="U634" s="110" t="s">
        <v>5928</v>
      </c>
    </row>
    <row r="635">
      <c r="A635" s="72">
        <v>45491.0</v>
      </c>
      <c r="B635" s="75" t="s">
        <v>3903</v>
      </c>
      <c r="C635" s="67" t="str">
        <f>IFERROR(__xludf.DUMMYFUNCTION("""COMPUTED_VALUE"""),"LD224")</f>
        <v>LD224</v>
      </c>
      <c r="D635" s="55" t="s">
        <v>42</v>
      </c>
      <c r="E635" s="55" t="s">
        <v>79</v>
      </c>
      <c r="F635" s="55" t="s">
        <v>3032</v>
      </c>
      <c r="G635" s="55">
        <v>2035.0</v>
      </c>
      <c r="H635" s="55" t="s">
        <v>1137</v>
      </c>
      <c r="I635" s="115" t="s">
        <v>5930</v>
      </c>
      <c r="J635" s="55" t="s">
        <v>5931</v>
      </c>
      <c r="K635" s="55" t="s">
        <v>61</v>
      </c>
      <c r="L635" s="55">
        <v>16917.0</v>
      </c>
      <c r="M635" s="55" t="s">
        <v>78</v>
      </c>
      <c r="N635" s="55" t="s">
        <v>79</v>
      </c>
      <c r="O635" s="55" t="s">
        <v>224</v>
      </c>
      <c r="P635" s="55" t="s">
        <v>110</v>
      </c>
      <c r="Q635" s="67" t="str">
        <f>IFERROR(__xludf.DUMMYFUNCTION("""COMPUTED_VALUE"""),"HCM.Congso.MB36_16917_MES_NamNH_180724")</f>
        <v>HCM.Congso.MB36_16917_MES_NamNH_180724</v>
      </c>
      <c r="R635" s="67" t="str">
        <f>IFERROR(__xludf.DUMMYFUNCTION("""COMPUTED_VALUE"""),"NEW_HCM_2035_none_180724")</f>
        <v>NEW_HCM_2035_none_180724</v>
      </c>
      <c r="S635" s="67" t="str">
        <f>IFERROR(__xludf.DUMMYFUNCTION("""COMPUTED_VALUE"""),"saletructiep_HCM.MB36.1840.giaotiep_PTATT_LD224")</f>
        <v>saletructiep_HCM.MB36.1840.giaotiep_PTATT_LD224</v>
      </c>
      <c r="T635" s="107" t="str">
        <f>IFERROR(__xludf.DUMMYFUNCTION("""COMPUTED_VALUE"""),"https://patadovietnam.edu.vn/tienganhdoanhnghiep_hn/?utm_source=Facebook&amp;utm_medium=MES&amp;utm_term=NEW_HCM_2035_none_180724&amp;utm_content=saletructiep_HCM.MB36.1840.giaotiep_PTATT_LD224&amp;utm_campaign=HCM.Congso.MB36_16917_MES_NamNH_180724")</f>
        <v>https://patadovietnam.edu.vn/tienganhdoanhnghiep_hn/?utm_source=Facebook&amp;utm_medium=MES&amp;utm_term=NEW_HCM_2035_none_180724&amp;utm_content=saletructiep_HCM.MB36.1840.giaotiep_PTATT_LD224&amp;utm_campaign=HCM.Congso.MB36_16917_MES_NamNH_180724</v>
      </c>
      <c r="U635" s="110" t="s">
        <v>5936</v>
      </c>
    </row>
    <row r="636">
      <c r="A636" s="72">
        <v>45491.0</v>
      </c>
      <c r="B636" s="75" t="s">
        <v>3903</v>
      </c>
      <c r="C636" s="67" t="str">
        <f>IFERROR(__xludf.DUMMYFUNCTION("""COMPUTED_VALUE"""),"LD224")</f>
        <v>LD224</v>
      </c>
      <c r="D636" s="55" t="s">
        <v>42</v>
      </c>
      <c r="E636" s="55" t="s">
        <v>79</v>
      </c>
      <c r="F636" s="55" t="s">
        <v>46</v>
      </c>
      <c r="G636" s="55">
        <v>2035.0</v>
      </c>
      <c r="H636" s="55" t="s">
        <v>1137</v>
      </c>
      <c r="I636" s="115" t="s">
        <v>5940</v>
      </c>
      <c r="J636" s="55" t="s">
        <v>5941</v>
      </c>
      <c r="K636" s="55" t="s">
        <v>61</v>
      </c>
      <c r="L636" s="55">
        <v>16917.0</v>
      </c>
      <c r="M636" s="55" t="s">
        <v>78</v>
      </c>
      <c r="N636" s="55" t="s">
        <v>79</v>
      </c>
      <c r="O636" s="55" t="s">
        <v>224</v>
      </c>
      <c r="P636" s="55" t="s">
        <v>110</v>
      </c>
      <c r="Q636" s="67" t="str">
        <f>IFERROR(__xludf.DUMMYFUNCTION("""COMPUTED_VALUE"""),"HN.Congso.MB37_16917_MES_NamNH_180724")</f>
        <v>HN.Congso.MB37_16917_MES_NamNH_180724</v>
      </c>
      <c r="R636" s="67" t="str">
        <f>IFERROR(__xludf.DUMMYFUNCTION("""COMPUTED_VALUE"""),"NEW_HN_2035_none_180724")</f>
        <v>NEW_HN_2035_none_180724</v>
      </c>
      <c r="S636" s="67" t="str">
        <f>IFERROR(__xludf.DUMMYFUNCTION("""COMPUTED_VALUE"""),"saletructiep_HN.MB37.1840.giaotiep_PTATT_LD224")</f>
        <v>saletructiep_HN.MB37.1840.giaotiep_PTATT_LD224</v>
      </c>
      <c r="T636" s="107" t="str">
        <f>IFERROR(__xludf.DUMMYFUNCTION("""COMPUTED_VALUE"""),"https://patadovietnam.edu.vn/tienganhdoanhnghiep_hn/?utm_source=Facebook&amp;utm_medium=MES&amp;utm_term=NEW_HN_2035_none_180724&amp;utm_content=saletructiep_HN.MB37.1840.giaotiep_PTATT_LD224&amp;utm_campaign=HN.Congso.MB37_16917_MES_NamNH_180724")</f>
        <v>https://patadovietnam.edu.vn/tienganhdoanhnghiep_hn/?utm_source=Facebook&amp;utm_medium=MES&amp;utm_term=NEW_HN_2035_none_180724&amp;utm_content=saletructiep_HN.MB37.1840.giaotiep_PTATT_LD224&amp;utm_campaign=HN.Congso.MB37_16917_MES_NamNH_180724</v>
      </c>
      <c r="U636" s="110" t="s">
        <v>5946</v>
      </c>
    </row>
    <row r="637">
      <c r="A637" s="72">
        <v>45491.0</v>
      </c>
      <c r="B637" s="75" t="s">
        <v>3903</v>
      </c>
      <c r="C637" s="67" t="str">
        <f>IFERROR(__xludf.DUMMYFUNCTION("""COMPUTED_VALUE"""),"LD224")</f>
        <v>LD224</v>
      </c>
      <c r="D637" s="55" t="s">
        <v>42</v>
      </c>
      <c r="E637" s="55" t="s">
        <v>79</v>
      </c>
      <c r="F637" s="55" t="s">
        <v>3032</v>
      </c>
      <c r="G637" s="55">
        <v>2035.0</v>
      </c>
      <c r="H637" s="55" t="s">
        <v>1137</v>
      </c>
      <c r="I637" s="115" t="s">
        <v>5948</v>
      </c>
      <c r="J637" s="55" t="s">
        <v>5949</v>
      </c>
      <c r="K637" s="55" t="s">
        <v>61</v>
      </c>
      <c r="L637" s="55">
        <v>16917.0</v>
      </c>
      <c r="M637" s="55" t="s">
        <v>78</v>
      </c>
      <c r="N637" s="55" t="s">
        <v>79</v>
      </c>
      <c r="O637" s="55" t="s">
        <v>224</v>
      </c>
      <c r="P637" s="55" t="s">
        <v>110</v>
      </c>
      <c r="Q637" s="67" t="str">
        <f>IFERROR(__xludf.DUMMYFUNCTION("""COMPUTED_VALUE"""),"HCM.Congso.MB37_16917_MES_NamNH_180724")</f>
        <v>HCM.Congso.MB37_16917_MES_NamNH_180724</v>
      </c>
      <c r="R637" s="67" t="str">
        <f>IFERROR(__xludf.DUMMYFUNCTION("""COMPUTED_VALUE"""),"NEW_HCM_2035_none_180724")</f>
        <v>NEW_HCM_2035_none_180724</v>
      </c>
      <c r="S637" s="67" t="str">
        <f>IFERROR(__xludf.DUMMYFUNCTION("""COMPUTED_VALUE"""),"saletructiep_HCM.MB37.1840.giaotiep_PTATT_LD224")</f>
        <v>saletructiep_HCM.MB37.1840.giaotiep_PTATT_LD224</v>
      </c>
      <c r="T637" s="107" t="str">
        <f>IFERROR(__xludf.DUMMYFUNCTION("""COMPUTED_VALUE"""),"https://patadovietnam.edu.vn/tienganhdoanhnghiep_hn/?utm_source=Facebook&amp;utm_medium=MES&amp;utm_term=NEW_HCM_2035_none_180724&amp;utm_content=saletructiep_HCM.MB37.1840.giaotiep_PTATT_LD224&amp;utm_campaign=HCM.Congso.MB37_16917_MES_NamNH_180724")</f>
        <v>https://patadovietnam.edu.vn/tienganhdoanhnghiep_hn/?utm_source=Facebook&amp;utm_medium=MES&amp;utm_term=NEW_HCM_2035_none_180724&amp;utm_content=saletructiep_HCM.MB37.1840.giaotiep_PTATT_LD224&amp;utm_campaign=HCM.Congso.MB37_16917_MES_NamNH_180724</v>
      </c>
      <c r="U637" s="110" t="s">
        <v>5954</v>
      </c>
    </row>
    <row r="638">
      <c r="A638" s="72">
        <v>45491.0</v>
      </c>
      <c r="B638" s="75" t="s">
        <v>3903</v>
      </c>
      <c r="C638" s="67" t="str">
        <f>IFERROR(__xludf.DUMMYFUNCTION("""COMPUTED_VALUE"""),"LD224")</f>
        <v>LD224</v>
      </c>
      <c r="D638" s="55" t="s">
        <v>42</v>
      </c>
      <c r="E638" s="55" t="s">
        <v>79</v>
      </c>
      <c r="F638" s="55" t="s">
        <v>46</v>
      </c>
      <c r="G638" s="55">
        <v>2035.0</v>
      </c>
      <c r="H638" s="55" t="s">
        <v>1137</v>
      </c>
      <c r="I638" s="115" t="s">
        <v>5955</v>
      </c>
      <c r="J638" s="55" t="s">
        <v>5956</v>
      </c>
      <c r="K638" s="55" t="s">
        <v>61</v>
      </c>
      <c r="L638" s="55">
        <v>16917.0</v>
      </c>
      <c r="M638" s="55" t="s">
        <v>78</v>
      </c>
      <c r="N638" s="55" t="s">
        <v>79</v>
      </c>
      <c r="O638" s="55" t="s">
        <v>224</v>
      </c>
      <c r="P638" s="55" t="s">
        <v>110</v>
      </c>
      <c r="Q638" s="67" t="str">
        <f>IFERROR(__xludf.DUMMYFUNCTION("""COMPUTED_VALUE"""),"HN.Congso.MB38_16917_MES_NamNH_180724")</f>
        <v>HN.Congso.MB38_16917_MES_NamNH_180724</v>
      </c>
      <c r="R638" s="67" t="str">
        <f>IFERROR(__xludf.DUMMYFUNCTION("""COMPUTED_VALUE"""),"NEW_HN_2035_none_180724")</f>
        <v>NEW_HN_2035_none_180724</v>
      </c>
      <c r="S638" s="67" t="str">
        <f>IFERROR(__xludf.DUMMYFUNCTION("""COMPUTED_VALUE"""),"saletructiep_HN.MB38.1840.giaotiep_PTATT_LD224")</f>
        <v>saletructiep_HN.MB38.1840.giaotiep_PTATT_LD224</v>
      </c>
      <c r="T638" s="107" t="str">
        <f>IFERROR(__xludf.DUMMYFUNCTION("""COMPUTED_VALUE"""),"https://patadovietnam.edu.vn/tienganhdoanhnghiep_hn/?utm_source=Facebook&amp;utm_medium=MES&amp;utm_term=NEW_HN_2035_none_180724&amp;utm_content=saletructiep_HN.MB38.1840.giaotiep_PTATT_LD224&amp;utm_campaign=HN.Congso.MB38_16917_MES_NamNH_180724")</f>
        <v>https://patadovietnam.edu.vn/tienganhdoanhnghiep_hn/?utm_source=Facebook&amp;utm_medium=MES&amp;utm_term=NEW_HN_2035_none_180724&amp;utm_content=saletructiep_HN.MB38.1840.giaotiep_PTATT_LD224&amp;utm_campaign=HN.Congso.MB38_16917_MES_NamNH_180724</v>
      </c>
      <c r="U638" s="110" t="s">
        <v>5963</v>
      </c>
    </row>
    <row r="639">
      <c r="A639" s="72">
        <v>45491.0</v>
      </c>
      <c r="B639" s="75" t="s">
        <v>3903</v>
      </c>
      <c r="C639" s="67" t="str">
        <f>IFERROR(__xludf.DUMMYFUNCTION("""COMPUTED_VALUE"""),"LD224")</f>
        <v>LD224</v>
      </c>
      <c r="D639" s="55" t="s">
        <v>42</v>
      </c>
      <c r="E639" s="55" t="s">
        <v>79</v>
      </c>
      <c r="F639" s="55" t="s">
        <v>3032</v>
      </c>
      <c r="G639" s="55">
        <v>2035.0</v>
      </c>
      <c r="H639" s="55" t="s">
        <v>1137</v>
      </c>
      <c r="I639" s="115" t="s">
        <v>5964</v>
      </c>
      <c r="J639" s="55" t="s">
        <v>5965</v>
      </c>
      <c r="K639" s="55" t="s">
        <v>61</v>
      </c>
      <c r="L639" s="55">
        <v>16917.0</v>
      </c>
      <c r="M639" s="55" t="s">
        <v>78</v>
      </c>
      <c r="N639" s="55" t="s">
        <v>79</v>
      </c>
      <c r="O639" s="55" t="s">
        <v>224</v>
      </c>
      <c r="P639" s="55" t="s">
        <v>110</v>
      </c>
      <c r="Q639" s="67" t="str">
        <f>IFERROR(__xludf.DUMMYFUNCTION("""COMPUTED_VALUE"""),"HCM.Congso.MB38_16917_MES_NamNH_180724")</f>
        <v>HCM.Congso.MB38_16917_MES_NamNH_180724</v>
      </c>
      <c r="R639" s="67" t="str">
        <f>IFERROR(__xludf.DUMMYFUNCTION("""COMPUTED_VALUE"""),"NEW_HCM_2035_none_180724")</f>
        <v>NEW_HCM_2035_none_180724</v>
      </c>
      <c r="S639" s="67" t="str">
        <f>IFERROR(__xludf.DUMMYFUNCTION("""COMPUTED_VALUE"""),"saletructiep_HCM.MB38.1840.giaotiep_PTATT_LD224")</f>
        <v>saletructiep_HCM.MB38.1840.giaotiep_PTATT_LD224</v>
      </c>
      <c r="T639" s="107" t="str">
        <f>IFERROR(__xludf.DUMMYFUNCTION("""COMPUTED_VALUE"""),"https://patadovietnam.edu.vn/tienganhdoanhnghiep_hn/?utm_source=Facebook&amp;utm_medium=MES&amp;utm_term=NEW_HCM_2035_none_180724&amp;utm_content=saletructiep_HCM.MB38.1840.giaotiep_PTATT_LD224&amp;utm_campaign=HCM.Congso.MB38_16917_MES_NamNH_180724")</f>
        <v>https://patadovietnam.edu.vn/tienganhdoanhnghiep_hn/?utm_source=Facebook&amp;utm_medium=MES&amp;utm_term=NEW_HCM_2035_none_180724&amp;utm_content=saletructiep_HCM.MB38.1840.giaotiep_PTATT_LD224&amp;utm_campaign=HCM.Congso.MB38_16917_MES_NamNH_180724</v>
      </c>
      <c r="U639" s="110" t="s">
        <v>5967</v>
      </c>
    </row>
    <row r="640">
      <c r="A640" s="72">
        <v>45496.0</v>
      </c>
      <c r="B640" s="75" t="s">
        <v>3903</v>
      </c>
      <c r="C640" s="67" t="str">
        <f>IFERROR(__xludf.DUMMYFUNCTION("""COMPUTED_VALUE"""),"LD224")</f>
        <v>LD224</v>
      </c>
      <c r="D640" s="55" t="s">
        <v>42</v>
      </c>
      <c r="E640" s="55" t="s">
        <v>79</v>
      </c>
      <c r="F640" s="55" t="s">
        <v>46</v>
      </c>
      <c r="G640" s="55">
        <v>2535.0</v>
      </c>
      <c r="H640" s="55" t="s">
        <v>1137</v>
      </c>
      <c r="I640" s="115" t="s">
        <v>5970</v>
      </c>
      <c r="J640" s="55" t="s">
        <v>5971</v>
      </c>
      <c r="K640" s="55" t="s">
        <v>61</v>
      </c>
      <c r="L640" s="55">
        <v>16917.0</v>
      </c>
      <c r="M640" s="55" t="s">
        <v>78</v>
      </c>
      <c r="N640" s="55" t="s">
        <v>79</v>
      </c>
      <c r="O640" s="55" t="s">
        <v>224</v>
      </c>
      <c r="P640" s="55" t="s">
        <v>110</v>
      </c>
      <c r="Q640" s="67" t="str">
        <f>IFERROR(__xludf.DUMMYFUNCTION("""COMPUTED_VALUE"""),"HN.Congso.MB43_16917_MES_NamNH_230724")</f>
        <v>HN.Congso.MB43_16917_MES_NamNH_230724</v>
      </c>
      <c r="R640" s="67" t="str">
        <f>IFERROR(__xludf.DUMMYFUNCTION("""COMPUTED_VALUE"""),"NEW_HN_2535_none_230724")</f>
        <v>NEW_HN_2535_none_230724</v>
      </c>
      <c r="S640" s="67" t="str">
        <f>IFERROR(__xludf.DUMMYFUNCTION("""COMPUTED_VALUE"""),"saletructiep_HN.MB43.1840.giaotiep_PTATT_LD224")</f>
        <v>saletructiep_HN.MB43.1840.giaotiep_PTATT_LD224</v>
      </c>
      <c r="T640" s="107" t="str">
        <f>IFERROR(__xludf.DUMMYFUNCTION("""COMPUTED_VALUE"""),"https://patadovietnam.edu.vn/tienganhdoanhnghiep_hn/?utm_source=Facebook&amp;utm_medium=MES&amp;utm_term=NEW_HN_2535_none_230724&amp;utm_content=saletructiep_HN.MB43.1840.giaotiep_PTATT_LD224&amp;utm_campaign=HN.Congso.MB43_16917_MES_NamNH_230724")</f>
        <v>https://patadovietnam.edu.vn/tienganhdoanhnghiep_hn/?utm_source=Facebook&amp;utm_medium=MES&amp;utm_term=NEW_HN_2535_none_230724&amp;utm_content=saletructiep_HN.MB43.1840.giaotiep_PTATT_LD224&amp;utm_campaign=HN.Congso.MB43_16917_MES_NamNH_230724</v>
      </c>
      <c r="U640" s="110" t="s">
        <v>5973</v>
      </c>
    </row>
    <row r="641">
      <c r="A641" s="72">
        <v>45496.0</v>
      </c>
      <c r="B641" s="75" t="s">
        <v>3903</v>
      </c>
      <c r="C641" s="67" t="str">
        <f>IFERROR(__xludf.DUMMYFUNCTION("""COMPUTED_VALUE"""),"LD224")</f>
        <v>LD224</v>
      </c>
      <c r="D641" s="55" t="s">
        <v>42</v>
      </c>
      <c r="E641" s="55" t="s">
        <v>79</v>
      </c>
      <c r="F641" s="55" t="s">
        <v>3032</v>
      </c>
      <c r="G641" s="55">
        <v>2535.0</v>
      </c>
      <c r="H641" s="55" t="s">
        <v>1137</v>
      </c>
      <c r="I641" s="115" t="s">
        <v>5976</v>
      </c>
      <c r="J641" s="55" t="s">
        <v>5977</v>
      </c>
      <c r="K641" s="55" t="s">
        <v>61</v>
      </c>
      <c r="L641" s="55">
        <v>16917.0</v>
      </c>
      <c r="M641" s="55" t="s">
        <v>78</v>
      </c>
      <c r="N641" s="55" t="s">
        <v>79</v>
      </c>
      <c r="O641" s="55" t="s">
        <v>224</v>
      </c>
      <c r="P641" s="55" t="s">
        <v>110</v>
      </c>
      <c r="Q641" s="67" t="str">
        <f>IFERROR(__xludf.DUMMYFUNCTION("""COMPUTED_VALUE"""),"HCM.Congso.MB43_16917_MES_NamNH_230724")</f>
        <v>HCM.Congso.MB43_16917_MES_NamNH_230724</v>
      </c>
      <c r="R641" s="67" t="str">
        <f>IFERROR(__xludf.DUMMYFUNCTION("""COMPUTED_VALUE"""),"NEW_HCM_2535_none_230724")</f>
        <v>NEW_HCM_2535_none_230724</v>
      </c>
      <c r="S641" s="67" t="str">
        <f>IFERROR(__xludf.DUMMYFUNCTION("""COMPUTED_VALUE"""),"saletructiep_HCM.MB43.1840.giaotiep_PTATT_LD224")</f>
        <v>saletructiep_HCM.MB43.1840.giaotiep_PTATT_LD224</v>
      </c>
      <c r="T641" s="107" t="str">
        <f>IFERROR(__xludf.DUMMYFUNCTION("""COMPUTED_VALUE"""),"https://patadovietnam.edu.vn/tienganhdoanhnghiep_hn/?utm_source=Facebook&amp;utm_medium=MES&amp;utm_term=NEW_HCM_2535_none_230724&amp;utm_content=saletructiep_HCM.MB43.1840.giaotiep_PTATT_LD224&amp;utm_campaign=HCM.Congso.MB43_16917_MES_NamNH_230724")</f>
        <v>https://patadovietnam.edu.vn/tienganhdoanhnghiep_hn/?utm_source=Facebook&amp;utm_medium=MES&amp;utm_term=NEW_HCM_2535_none_230724&amp;utm_content=saletructiep_HCM.MB43.1840.giaotiep_PTATT_LD224&amp;utm_campaign=HCM.Congso.MB43_16917_MES_NamNH_230724</v>
      </c>
      <c r="U641" s="110" t="s">
        <v>5981</v>
      </c>
    </row>
    <row r="642">
      <c r="A642" s="72">
        <v>45498.0</v>
      </c>
      <c r="B642" s="75" t="s">
        <v>5983</v>
      </c>
      <c r="C642" s="67" t="str">
        <f>IFERROR(__xludf.DUMMYFUNCTION("""COMPUTED_VALUE"""),"LD230")</f>
        <v>LD230</v>
      </c>
      <c r="D642" s="55" t="s">
        <v>42</v>
      </c>
      <c r="E642" s="55" t="s">
        <v>69</v>
      </c>
      <c r="F642" s="55" t="s">
        <v>199</v>
      </c>
      <c r="G642" s="55">
        <v>2025.0</v>
      </c>
      <c r="H642" s="55" t="s">
        <v>1137</v>
      </c>
      <c r="I642" s="115" t="s">
        <v>5986</v>
      </c>
      <c r="J642" s="55" t="s">
        <v>5987</v>
      </c>
      <c r="K642" s="55" t="s">
        <v>61</v>
      </c>
      <c r="L642" s="55">
        <v>16917.0</v>
      </c>
      <c r="M642" s="55" t="s">
        <v>78</v>
      </c>
      <c r="N642" s="55" t="s">
        <v>69</v>
      </c>
      <c r="O642" s="55" t="s">
        <v>224</v>
      </c>
      <c r="P642" s="55" t="s">
        <v>110</v>
      </c>
      <c r="Q642" s="67" t="str">
        <f>IFERROR(__xludf.DUMMYFUNCTION("""COMPUTED_VALUE"""),"Vietnam.Congso.MB43_16917_CVS_NamNH_250724")</f>
        <v>Vietnam.Congso.MB43_16917_CVS_NamNH_250724</v>
      </c>
      <c r="R642" s="67" t="str">
        <f>IFERROR(__xludf.DUMMYFUNCTION("""COMPUTED_VALUE"""),"NEW_Vietnam_2025_none_250724")</f>
        <v>NEW_Vietnam_2025_none_250724</v>
      </c>
      <c r="S642" s="67" t="str">
        <f>IFERROR(__xludf.DUMMYFUNCTION("""COMPUTED_VALUE"""),"saletructiep_Vietnam.MB43.1840.Congso_PTATT_LD230")</f>
        <v>saletructiep_Vietnam.MB43.1840.Congso_PTATT_LD230</v>
      </c>
      <c r="T642" s="107" t="str">
        <f>IFERROR(__xludf.DUMMYFUNCTION("""COMPUTED_VALUE"""),"https://patadovietnam.edu.vn/vqmm_be/?utm_source=Facebook&amp;utm_medium=CVS&amp;utm_term=NEW_Vietnam_2025_none_250724&amp;utm_content=saletructiep_Vietnam.MB43.1840.Congso_PTATT_LD230&amp;utm_campaign=Vietnam.Congso.MB43_16917_CVS_NamNH_250724")</f>
        <v>https://patadovietnam.edu.vn/vqmm_be/?utm_source=Facebook&amp;utm_medium=CVS&amp;utm_term=NEW_Vietnam_2025_none_250724&amp;utm_content=saletructiep_Vietnam.MB43.1840.Congso_PTATT_LD230&amp;utm_campaign=Vietnam.Congso.MB43_16917_CVS_NamNH_250724</v>
      </c>
      <c r="U642" s="110" t="s">
        <v>5991</v>
      </c>
    </row>
    <row r="643">
      <c r="A643" s="72">
        <v>45499.0</v>
      </c>
      <c r="B643" s="75" t="s">
        <v>5983</v>
      </c>
      <c r="C643" s="67" t="str">
        <f>IFERROR(__xludf.DUMMYFUNCTION("""COMPUTED_VALUE"""),"LD230")</f>
        <v>LD230</v>
      </c>
      <c r="D643" s="55" t="s">
        <v>42</v>
      </c>
      <c r="E643" s="55" t="s">
        <v>69</v>
      </c>
      <c r="F643" s="55" t="s">
        <v>199</v>
      </c>
      <c r="G643" s="55">
        <v>2532.0</v>
      </c>
      <c r="H643" s="55" t="s">
        <v>1137</v>
      </c>
      <c r="I643" s="115" t="s">
        <v>5986</v>
      </c>
      <c r="J643" s="55" t="s">
        <v>5987</v>
      </c>
      <c r="K643" s="55" t="s">
        <v>61</v>
      </c>
      <c r="L643" s="55">
        <v>16917.0</v>
      </c>
      <c r="M643" s="55" t="s">
        <v>78</v>
      </c>
      <c r="N643" s="55" t="s">
        <v>69</v>
      </c>
      <c r="O643" s="55" t="s">
        <v>224</v>
      </c>
      <c r="P643" s="55" t="s">
        <v>110</v>
      </c>
      <c r="Q643" s="67" t="str">
        <f>IFERROR(__xludf.DUMMYFUNCTION("""COMPUTED_VALUE"""),"Vietnam.Congso.MB43_16917_CVS_NamNH_260724")</f>
        <v>Vietnam.Congso.MB43_16917_CVS_NamNH_260724</v>
      </c>
      <c r="R643" s="67" t="str">
        <f>IFERROR(__xludf.DUMMYFUNCTION("""COMPUTED_VALUE"""),"NEW_Vietnam_2532_none_260724")</f>
        <v>NEW_Vietnam_2532_none_260724</v>
      </c>
      <c r="S643" s="67" t="str">
        <f>IFERROR(__xludf.DUMMYFUNCTION("""COMPUTED_VALUE"""),"saletructiep_Vietnam.MB43.1840.Congso_PTATT_LD230")</f>
        <v>saletructiep_Vietnam.MB43.1840.Congso_PTATT_LD230</v>
      </c>
      <c r="T643" s="107" t="str">
        <f>IFERROR(__xludf.DUMMYFUNCTION("""COMPUTED_VALUE"""),"https://patadovietnam.edu.vn/vqmm_be/?utm_source=Facebook&amp;utm_medium=CVS&amp;utm_term=NEW_Vietnam_2532_none_260724&amp;utm_content=saletructiep_Vietnam.MB43.1840.Congso_PTATT_LD230&amp;utm_campaign=Vietnam.Congso.MB43_16917_CVS_NamNH_260724")</f>
        <v>https://patadovietnam.edu.vn/vqmm_be/?utm_source=Facebook&amp;utm_medium=CVS&amp;utm_term=NEW_Vietnam_2532_none_260724&amp;utm_content=saletructiep_Vietnam.MB43.1840.Congso_PTATT_LD230&amp;utm_campaign=Vietnam.Congso.MB43_16917_CVS_NamNH_260724</v>
      </c>
      <c r="U643" s="110" t="s">
        <v>5994</v>
      </c>
    </row>
    <row r="644">
      <c r="A644" s="72">
        <v>45515.0</v>
      </c>
      <c r="B644" s="75" t="s">
        <v>1245</v>
      </c>
      <c r="C644" s="67" t="str">
        <f>IFERROR(__xludf.DUMMYFUNCTION("""COMPUTED_VALUE"""),"LD161")</f>
        <v>LD161</v>
      </c>
      <c r="D644" s="55" t="s">
        <v>42</v>
      </c>
      <c r="E644" s="55" t="s">
        <v>79</v>
      </c>
      <c r="F644" s="55" t="s">
        <v>107</v>
      </c>
      <c r="G644" s="55">
        <v>1840.0</v>
      </c>
      <c r="H644" s="55" t="s">
        <v>1137</v>
      </c>
      <c r="I644" s="115" t="s">
        <v>5997</v>
      </c>
      <c r="J644" s="55" t="s">
        <v>5998</v>
      </c>
      <c r="K644" s="55" t="s">
        <v>61</v>
      </c>
      <c r="L644" s="55">
        <v>16917.0</v>
      </c>
      <c r="M644" s="55" t="s">
        <v>78</v>
      </c>
      <c r="N644" s="55" t="s">
        <v>79</v>
      </c>
      <c r="O644" s="55" t="s">
        <v>224</v>
      </c>
      <c r="P644" s="55" t="s">
        <v>110</v>
      </c>
      <c r="Q644" s="67" t="str">
        <f>IFERROR(__xludf.DUMMYFUNCTION("""COMPUTED_VALUE"""),"UnitedStates.giaotiep.M272_16917_MES_NamNH_110824")</f>
        <v>UnitedStates.giaotiep.M272_16917_MES_NamNH_110824</v>
      </c>
      <c r="R644" s="67" t="str">
        <f>IFERROR(__xludf.DUMMYFUNCTION("""COMPUTED_VALUE"""),"NEW_UnitedStates_1840_none_110824")</f>
        <v>NEW_UnitedStates_1840_none_110824</v>
      </c>
      <c r="S644" s="67" t="str">
        <f>IFERROR(__xludf.DUMMYFUNCTION("""COMPUTED_VALUE"""),"saletructiep_UnitedStates.M272.1840.giaotiep_PTATT_LD161")</f>
        <v>saletructiep_UnitedStates.M272.1840.giaotiep_PTATT_LD161</v>
      </c>
      <c r="T644" s="107" t="str">
        <f>IFERROR(__xludf.DUMMYFUNCTION("""COMPUTED_VALUE"""),"https://patadovietnam.edu.vn/gtusa1_nhn/?utm_source=Facebook&amp;utm_medium=MES&amp;utm_term=NEW_UnitedStates_1840_none_110824&amp;utm_content=saletructiep_UnitedStates.M272.1840.giaotiep_PTATT_LD161&amp;utm_campaign=UnitedStates.giaotiep.M272_16917_MES_NamNH_110824")</f>
        <v>https://patadovietnam.edu.vn/gtusa1_nhn/?utm_source=Facebook&amp;utm_medium=MES&amp;utm_term=NEW_UnitedStates_1840_none_110824&amp;utm_content=saletructiep_UnitedStates.M272.1840.giaotiep_PTATT_LD161&amp;utm_campaign=UnitedStates.giaotiep.M272_16917_MES_NamNH_110824</v>
      </c>
      <c r="U644" s="110" t="s">
        <v>6002</v>
      </c>
    </row>
    <row r="645">
      <c r="A645" s="72">
        <v>45515.0</v>
      </c>
      <c r="B645" s="75" t="s">
        <v>1245</v>
      </c>
      <c r="C645" s="67" t="str">
        <f>IFERROR(__xludf.DUMMYFUNCTION("""COMPUTED_VALUE"""),"LD161")</f>
        <v>LD161</v>
      </c>
      <c r="D645" s="55" t="s">
        <v>42</v>
      </c>
      <c r="E645" s="55" t="s">
        <v>79</v>
      </c>
      <c r="F645" s="55" t="s">
        <v>107</v>
      </c>
      <c r="G645" s="55">
        <v>1840.0</v>
      </c>
      <c r="H645" s="55" t="s">
        <v>1137</v>
      </c>
      <c r="I645" s="115" t="s">
        <v>6006</v>
      </c>
      <c r="J645" s="55" t="s">
        <v>6007</v>
      </c>
      <c r="K645" s="55" t="s">
        <v>61</v>
      </c>
      <c r="L645" s="55">
        <v>16917.0</v>
      </c>
      <c r="M645" s="55" t="s">
        <v>78</v>
      </c>
      <c r="N645" s="55" t="s">
        <v>79</v>
      </c>
      <c r="O645" s="55" t="s">
        <v>224</v>
      </c>
      <c r="P645" s="55" t="s">
        <v>110</v>
      </c>
      <c r="Q645" s="67" t="str">
        <f>IFERROR(__xludf.DUMMYFUNCTION("""COMPUTED_VALUE"""),"UnitedStates.giaotiep.M271_16917_MES_NamNH_110824")</f>
        <v>UnitedStates.giaotiep.M271_16917_MES_NamNH_110824</v>
      </c>
      <c r="R645" s="67" t="str">
        <f>IFERROR(__xludf.DUMMYFUNCTION("""COMPUTED_VALUE"""),"NEW_UnitedStates_1840_none_110824")</f>
        <v>NEW_UnitedStates_1840_none_110824</v>
      </c>
      <c r="S645" s="67" t="str">
        <f>IFERROR(__xludf.DUMMYFUNCTION("""COMPUTED_VALUE"""),"saletructiep_UnitedStates.M271.1840.giaotiep_PTATT_LD161")</f>
        <v>saletructiep_UnitedStates.M271.1840.giaotiep_PTATT_LD161</v>
      </c>
      <c r="T645" s="107" t="str">
        <f>IFERROR(__xludf.DUMMYFUNCTION("""COMPUTED_VALUE"""),"https://patadovietnam.edu.vn/gtusa1_nhn/?utm_source=Facebook&amp;utm_medium=MES&amp;utm_term=NEW_UnitedStates_1840_none_110824&amp;utm_content=saletructiep_UnitedStates.M271.1840.giaotiep_PTATT_LD161&amp;utm_campaign=UnitedStates.giaotiep.M271_16917_MES_NamNH_110824")</f>
        <v>https://patadovietnam.edu.vn/gtusa1_nhn/?utm_source=Facebook&amp;utm_medium=MES&amp;utm_term=NEW_UnitedStates_1840_none_110824&amp;utm_content=saletructiep_UnitedStates.M271.1840.giaotiep_PTATT_LD161&amp;utm_campaign=UnitedStates.giaotiep.M271_16917_MES_NamNH_110824</v>
      </c>
      <c r="U645" s="110" t="s">
        <v>6011</v>
      </c>
    </row>
    <row r="646">
      <c r="A646" s="72">
        <v>45515.0</v>
      </c>
      <c r="B646" s="75" t="s">
        <v>1134</v>
      </c>
      <c r="C646" s="67" t="str">
        <f>IFERROR(__xludf.DUMMYFUNCTION("""COMPUTED_VALUE"""),"LD153")</f>
        <v>LD153</v>
      </c>
      <c r="D646" s="55" t="s">
        <v>42</v>
      </c>
      <c r="E646" s="55" t="s">
        <v>69</v>
      </c>
      <c r="F646" s="55" t="s">
        <v>133</v>
      </c>
      <c r="G646" s="55">
        <v>1840.0</v>
      </c>
      <c r="H646" s="55" t="s">
        <v>1137</v>
      </c>
      <c r="I646" s="115" t="s">
        <v>6012</v>
      </c>
      <c r="J646" s="55" t="s">
        <v>6014</v>
      </c>
      <c r="K646" s="55" t="s">
        <v>61</v>
      </c>
      <c r="L646" s="55">
        <v>16917.0</v>
      </c>
      <c r="M646" s="55" t="s">
        <v>78</v>
      </c>
      <c r="N646" s="55" t="s">
        <v>69</v>
      </c>
      <c r="O646" s="55" t="s">
        <v>224</v>
      </c>
      <c r="P646" s="55" t="s">
        <v>110</v>
      </c>
      <c r="Q646" s="67" t="str">
        <f>IFERROR(__xludf.DUMMYFUNCTION("""COMPUTED_VALUE"""),"Japan.giaotiep.M271_16917_CVS_NamNH_110824")</f>
        <v>Japan.giaotiep.M271_16917_CVS_NamNH_110824</v>
      </c>
      <c r="R646" s="67" t="str">
        <f>IFERROR(__xludf.DUMMYFUNCTION("""COMPUTED_VALUE"""),"NEW_Japan_1840_none_110824")</f>
        <v>NEW_Japan_1840_none_110824</v>
      </c>
      <c r="S646" s="67" t="str">
        <f>IFERROR(__xludf.DUMMYFUNCTION("""COMPUTED_VALUE"""),"saletructiep_Japan.M271.1840.giaotiep_PTATT_LD153")</f>
        <v>saletructiep_Japan.M271.1840.giaotiep_PTATT_LD153</v>
      </c>
      <c r="T646" s="107" t="str">
        <f>IFERROR(__xludf.DUMMYFUNCTION("""COMPUTED_VALUE"""),"https://patadovietnam.edu.vn/tienganhgiaotiep_hn/?utm_source=Facebook&amp;utm_medium=CVS&amp;utm_term=NEW_Japan_1840_none_110824&amp;utm_content=saletructiep_Japan.M271.1840.giaotiep_PTATT_LD153&amp;utm_campaign=Japan.giaotiep.M271_16917_CVS_NamNH_110824")</f>
        <v>https://patadovietnam.edu.vn/tienganhgiaotiep_hn/?utm_source=Facebook&amp;utm_medium=CVS&amp;utm_term=NEW_Japan_1840_none_110824&amp;utm_content=saletructiep_Japan.M271.1840.giaotiep_PTATT_LD153&amp;utm_campaign=Japan.giaotiep.M271_16917_CVS_NamNH_110824</v>
      </c>
      <c r="U646" s="110" t="s">
        <v>6019</v>
      </c>
    </row>
    <row r="647">
      <c r="A647" s="72">
        <v>45515.0</v>
      </c>
      <c r="B647" s="75" t="s">
        <v>1134</v>
      </c>
      <c r="C647" s="67" t="str">
        <f>IFERROR(__xludf.DUMMYFUNCTION("""COMPUTED_VALUE"""),"LD153")</f>
        <v>LD153</v>
      </c>
      <c r="D647" s="55" t="s">
        <v>42</v>
      </c>
      <c r="E647" s="55" t="s">
        <v>79</v>
      </c>
      <c r="F647" s="55" t="s">
        <v>625</v>
      </c>
      <c r="G647" s="55">
        <v>1840.0</v>
      </c>
      <c r="H647" s="55" t="s">
        <v>1137</v>
      </c>
      <c r="I647" s="115" t="s">
        <v>6020</v>
      </c>
      <c r="J647" s="55" t="s">
        <v>6021</v>
      </c>
      <c r="K647" s="55" t="s">
        <v>61</v>
      </c>
      <c r="L647" s="55">
        <v>16917.0</v>
      </c>
      <c r="M647" s="55" t="s">
        <v>78</v>
      </c>
      <c r="N647" s="55" t="s">
        <v>79</v>
      </c>
      <c r="O647" s="55" t="s">
        <v>224</v>
      </c>
      <c r="P647" s="55" t="s">
        <v>110</v>
      </c>
      <c r="Q647" s="67" t="str">
        <f>IFERROR(__xludf.DUMMYFUNCTION("""COMPUTED_VALUE"""),"KoreaSouth.giaotiep.M271_16917_MES_NamNH_110824")</f>
        <v>KoreaSouth.giaotiep.M271_16917_MES_NamNH_110824</v>
      </c>
      <c r="R647" s="67" t="str">
        <f>IFERROR(__xludf.DUMMYFUNCTION("""COMPUTED_VALUE"""),"NEW_KoreaSouth_1840_none_110824")</f>
        <v>NEW_KoreaSouth_1840_none_110824</v>
      </c>
      <c r="S647" s="67" t="str">
        <f>IFERROR(__xludf.DUMMYFUNCTION("""COMPUTED_VALUE"""),"saletructiep_KoreaSouth.M271.1840.giaotiep_PTATT_LD153")</f>
        <v>saletructiep_KoreaSouth.M271.1840.giaotiep_PTATT_LD153</v>
      </c>
      <c r="T647" s="107" t="str">
        <f>IFERROR(__xludf.DUMMYFUNCTION("""COMPUTED_VALUE"""),"https://patadovietnam.edu.vn/tienganhgiaotiep_hn/?utm_source=Facebook&amp;utm_medium=MES&amp;utm_term=NEW_KoreaSouth_1840_none_110824&amp;utm_content=saletructiep_KoreaSouth.M271.1840.giaotiep_PTATT_LD153&amp;utm_campaign=KoreaSouth.giaotiep.M271_16917_MES_NamNH_110824")</f>
        <v>https://patadovietnam.edu.vn/tienganhgiaotiep_hn/?utm_source=Facebook&amp;utm_medium=MES&amp;utm_term=NEW_KoreaSouth_1840_none_110824&amp;utm_content=saletructiep_KoreaSouth.M271.1840.giaotiep_PTATT_LD153&amp;utm_campaign=KoreaSouth.giaotiep.M271_16917_MES_NamNH_110824</v>
      </c>
      <c r="U647" s="110" t="s">
        <v>6023</v>
      </c>
    </row>
    <row r="648">
      <c r="A648" s="72">
        <v>45515.0</v>
      </c>
      <c r="B648" s="75" t="s">
        <v>1134</v>
      </c>
      <c r="C648" s="67" t="str">
        <f>IFERROR(__xludf.DUMMYFUNCTION("""COMPUTED_VALUE"""),"LD153")</f>
        <v>LD153</v>
      </c>
      <c r="D648" s="55" t="s">
        <v>42</v>
      </c>
      <c r="E648" s="55" t="s">
        <v>79</v>
      </c>
      <c r="F648" s="55" t="s">
        <v>174</v>
      </c>
      <c r="G648" s="55">
        <v>1840.0</v>
      </c>
      <c r="H648" s="55" t="s">
        <v>1137</v>
      </c>
      <c r="I648" s="115" t="s">
        <v>6026</v>
      </c>
      <c r="J648" s="55" t="s">
        <v>6027</v>
      </c>
      <c r="K648" s="55" t="s">
        <v>61</v>
      </c>
      <c r="L648" s="55">
        <v>16917.0</v>
      </c>
      <c r="M648" s="55" t="s">
        <v>78</v>
      </c>
      <c r="N648" s="55" t="s">
        <v>79</v>
      </c>
      <c r="O648" s="55" t="s">
        <v>224</v>
      </c>
      <c r="P648" s="55" t="s">
        <v>110</v>
      </c>
      <c r="Q648" s="67" t="str">
        <f>IFERROR(__xludf.DUMMYFUNCTION("""COMPUTED_VALUE"""),"Philippines.giaotiep.M271_16917_MES_NamNH_110824")</f>
        <v>Philippines.giaotiep.M271_16917_MES_NamNH_110824</v>
      </c>
      <c r="R648" s="67" t="str">
        <f>IFERROR(__xludf.DUMMYFUNCTION("""COMPUTED_VALUE"""),"NEW_Philippines_1840_none_110824")</f>
        <v>NEW_Philippines_1840_none_110824</v>
      </c>
      <c r="S648" s="67" t="str">
        <f>IFERROR(__xludf.DUMMYFUNCTION("""COMPUTED_VALUE"""),"saletructiep_Philippines.M271.1840.giaotiep_PTATT_LD153")</f>
        <v>saletructiep_Philippines.M271.1840.giaotiep_PTATT_LD153</v>
      </c>
      <c r="T648" s="107" t="str">
        <f>IFERROR(__xludf.DUMMYFUNCTION("""COMPUTED_VALUE"""),"https://patadovietnam.edu.vn/tienganhgiaotiep_hn/?utm_source=Facebook&amp;utm_medium=MES&amp;utm_term=NEW_Philippines_1840_none_110824&amp;utm_content=saletructiep_Philippines.M271.1840.giaotiep_PTATT_LD153&amp;utm_campaign=Philippines.giaotiep.M271_16917_MES_NamNH_11082"&amp;"4")</f>
        <v>https://patadovietnam.edu.vn/tienganhgiaotiep_hn/?utm_source=Facebook&amp;utm_medium=MES&amp;utm_term=NEW_Philippines_1840_none_110824&amp;utm_content=saletructiep_Philippines.M271.1840.giaotiep_PTATT_LD153&amp;utm_campaign=Philippines.giaotiep.M271_16917_MES_NamNH_110824</v>
      </c>
      <c r="U648" s="110" t="s">
        <v>6030</v>
      </c>
    </row>
    <row r="649">
      <c r="A649" s="72">
        <v>45515.0</v>
      </c>
      <c r="B649" s="60" t="s">
        <v>1134</v>
      </c>
      <c r="C649" s="67" t="str">
        <f>IFERROR(__xludf.DUMMYFUNCTION("""COMPUTED_VALUE"""),"LD153")</f>
        <v>LD153</v>
      </c>
      <c r="D649" s="55" t="s">
        <v>42</v>
      </c>
      <c r="E649" s="55" t="s">
        <v>69</v>
      </c>
      <c r="F649" s="55" t="s">
        <v>674</v>
      </c>
      <c r="G649" s="55">
        <v>1840.0</v>
      </c>
      <c r="H649" s="55" t="s">
        <v>1137</v>
      </c>
      <c r="I649" s="115" t="s">
        <v>6031</v>
      </c>
      <c r="J649" s="55" t="s">
        <v>6032</v>
      </c>
      <c r="K649" s="55" t="s">
        <v>61</v>
      </c>
      <c r="L649" s="55">
        <v>16917.0</v>
      </c>
      <c r="M649" s="55" t="s">
        <v>78</v>
      </c>
      <c r="N649" s="55" t="s">
        <v>69</v>
      </c>
      <c r="O649" s="55" t="s">
        <v>224</v>
      </c>
      <c r="P649" s="55" t="s">
        <v>110</v>
      </c>
      <c r="Q649" s="67" t="str">
        <f>IFERROR(__xludf.DUMMYFUNCTION("""COMPUTED_VALUE"""),"Europe.giaotiep.M271_16917_CVS_NamNH_110824")</f>
        <v>Europe.giaotiep.M271_16917_CVS_NamNH_110824</v>
      </c>
      <c r="R649" s="67" t="str">
        <f>IFERROR(__xludf.DUMMYFUNCTION("""COMPUTED_VALUE"""),"NEW_Europe_1840_none_110824")</f>
        <v>NEW_Europe_1840_none_110824</v>
      </c>
      <c r="S649" s="67" t="str">
        <f>IFERROR(__xludf.DUMMYFUNCTION("""COMPUTED_VALUE"""),"saletructiep_Europe.M271.1840.giaotiep_PTATT_LD153")</f>
        <v>saletructiep_Europe.M271.1840.giaotiep_PTATT_LD153</v>
      </c>
      <c r="T649" s="107" t="str">
        <f>IFERROR(__xludf.DUMMYFUNCTION("""COMPUTED_VALUE"""),"https://patadovietnam.edu.vn/tienganhgiaotiep_hn/?utm_source=Facebook&amp;utm_medium=CVS&amp;utm_term=NEW_Europe_1840_none_110824&amp;utm_content=saletructiep_Europe.M271.1840.giaotiep_PTATT_LD153&amp;utm_campaign=Europe.giaotiep.M271_16917_CVS_NamNH_110824")</f>
        <v>https://patadovietnam.edu.vn/tienganhgiaotiep_hn/?utm_source=Facebook&amp;utm_medium=CVS&amp;utm_term=NEW_Europe_1840_none_110824&amp;utm_content=saletructiep_Europe.M271.1840.giaotiep_PTATT_LD153&amp;utm_campaign=Europe.giaotiep.M271_16917_CVS_NamNH_110824</v>
      </c>
      <c r="U649" s="110" t="s">
        <v>6035</v>
      </c>
    </row>
    <row r="650">
      <c r="A650" s="72">
        <v>45515.0</v>
      </c>
      <c r="B650" s="75" t="s">
        <v>6037</v>
      </c>
      <c r="C650" s="67" t="str">
        <f>IFERROR(__xludf.DUMMYFUNCTION("""COMPUTED_VALUE"""),"LD231")</f>
        <v>LD231</v>
      </c>
      <c r="D650" s="55" t="s">
        <v>42</v>
      </c>
      <c r="E650" s="55" t="s">
        <v>69</v>
      </c>
      <c r="F650" s="55" t="s">
        <v>199</v>
      </c>
      <c r="G650" s="55">
        <v>2030.0</v>
      </c>
      <c r="H650" s="55" t="s">
        <v>1137</v>
      </c>
      <c r="I650" s="115" t="s">
        <v>6042</v>
      </c>
      <c r="J650" s="55" t="s">
        <v>6043</v>
      </c>
      <c r="K650" s="55" t="s">
        <v>61</v>
      </c>
      <c r="L650" s="55">
        <v>16917.0</v>
      </c>
      <c r="M650" s="55" t="s">
        <v>78</v>
      </c>
      <c r="N650" s="55" t="s">
        <v>69</v>
      </c>
      <c r="O650" s="55" t="s">
        <v>224</v>
      </c>
      <c r="P650" s="55" t="s">
        <v>110</v>
      </c>
      <c r="Q650" s="67" t="str">
        <f>IFERROR(__xludf.DUMMYFUNCTION("""COMPUTED_VALUE"""),"Vietnam.Congso.MB47_16917_CVS_NamNH_110824")</f>
        <v>Vietnam.Congso.MB47_16917_CVS_NamNH_110824</v>
      </c>
      <c r="R650" s="67" t="str">
        <f>IFERROR(__xludf.DUMMYFUNCTION("""COMPUTED_VALUE"""),"NEW_Vietnam_2030_none_110824")</f>
        <v>NEW_Vietnam_2030_none_110824</v>
      </c>
      <c r="S650" s="67" t="str">
        <f>IFERROR(__xludf.DUMMYFUNCTION("""COMPUTED_VALUE"""),"saletructiep_Vietnam.MB47.1840.Congso_PTATT_LD231")</f>
        <v>saletructiep_Vietnam.MB47.1840.Congso_PTATT_LD231</v>
      </c>
      <c r="T650" s="107" t="str">
        <f>IFERROR(__xludf.DUMMYFUNCTION("""COMPUTED_VALUE"""),"https://patadovietnam.edu.vn/patadoxlead/?utm_source=Facebook&amp;utm_medium=CVS&amp;utm_term=NEW_Vietnam_2030_none_110824&amp;utm_content=saletructiep_Vietnam.MB47.1840.Congso_PTATT_LD231&amp;utm_campaign=Vietnam.Congso.MB47_16917_CVS_NamNH_110824")</f>
        <v>https://patadovietnam.edu.vn/patadoxlead/?utm_source=Facebook&amp;utm_medium=CVS&amp;utm_term=NEW_Vietnam_2030_none_110824&amp;utm_content=saletructiep_Vietnam.MB47.1840.Congso_PTATT_LD231&amp;utm_campaign=Vietnam.Congso.MB47_16917_CVS_NamNH_110824</v>
      </c>
      <c r="U650" s="110" t="s">
        <v>6045</v>
      </c>
    </row>
    <row r="651">
      <c r="A651" s="72">
        <v>45515.0</v>
      </c>
      <c r="B651" s="75" t="s">
        <v>6037</v>
      </c>
      <c r="C651" s="67" t="str">
        <f>IFERROR(__xludf.DUMMYFUNCTION("""COMPUTED_VALUE"""),"LD231")</f>
        <v>LD231</v>
      </c>
      <c r="D651" s="55" t="s">
        <v>42</v>
      </c>
      <c r="E651" s="55" t="s">
        <v>69</v>
      </c>
      <c r="F651" s="55" t="s">
        <v>199</v>
      </c>
      <c r="G651" s="55">
        <v>2030.0</v>
      </c>
      <c r="H651" s="55" t="s">
        <v>1137</v>
      </c>
      <c r="I651" s="115" t="s">
        <v>6047</v>
      </c>
      <c r="J651" s="55" t="s">
        <v>6048</v>
      </c>
      <c r="K651" s="55" t="s">
        <v>61</v>
      </c>
      <c r="L651" s="55">
        <v>16917.0</v>
      </c>
      <c r="M651" s="55" t="s">
        <v>78</v>
      </c>
      <c r="N651" s="55" t="s">
        <v>69</v>
      </c>
      <c r="O651" s="55" t="s">
        <v>224</v>
      </c>
      <c r="P651" s="55" t="s">
        <v>110</v>
      </c>
      <c r="Q651" s="67" t="str">
        <f>IFERROR(__xludf.DUMMYFUNCTION("""COMPUTED_VALUE"""),"Vietnam.Congso.MB100_16917_CVS_NamNH_110824")</f>
        <v>Vietnam.Congso.MB100_16917_CVS_NamNH_110824</v>
      </c>
      <c r="R651" s="67" t="str">
        <f>IFERROR(__xludf.DUMMYFUNCTION("""COMPUTED_VALUE"""),"NEW_Vietnam_2030_none_110824")</f>
        <v>NEW_Vietnam_2030_none_110824</v>
      </c>
      <c r="S651" s="67" t="str">
        <f>IFERROR(__xludf.DUMMYFUNCTION("""COMPUTED_VALUE"""),"saletructiep_Vietnam.MB100.1840.Congso_PTATT_LD231")</f>
        <v>saletructiep_Vietnam.MB100.1840.Congso_PTATT_LD231</v>
      </c>
      <c r="T651" s="107" t="str">
        <f>IFERROR(__xludf.DUMMYFUNCTION("""COMPUTED_VALUE"""),"https://patadovietnam.edu.vn/patadoxlead/?utm_source=Facebook&amp;utm_medium=CVS&amp;utm_term=NEW_Vietnam_2030_none_110824&amp;utm_content=saletructiep_Vietnam.MB100.1840.Congso_PTATT_LD231&amp;utm_campaign=Vietnam.Congso.MB100_16917_CVS_NamNH_110824")</f>
        <v>https://patadovietnam.edu.vn/patadoxlead/?utm_source=Facebook&amp;utm_medium=CVS&amp;utm_term=NEW_Vietnam_2030_none_110824&amp;utm_content=saletructiep_Vietnam.MB100.1840.Congso_PTATT_LD231&amp;utm_campaign=Vietnam.Congso.MB100_16917_CVS_NamNH_110824</v>
      </c>
      <c r="U651" s="110" t="s">
        <v>6051</v>
      </c>
    </row>
    <row r="652">
      <c r="A652" s="72">
        <v>45518.0</v>
      </c>
      <c r="B652" s="75" t="s">
        <v>6037</v>
      </c>
      <c r="C652" s="67" t="str">
        <f>IFERROR(__xludf.DUMMYFUNCTION("""COMPUTED_VALUE"""),"LD231")</f>
        <v>LD231</v>
      </c>
      <c r="D652" s="55" t="s">
        <v>42</v>
      </c>
      <c r="E652" s="55" t="s">
        <v>79</v>
      </c>
      <c r="F652" s="55" t="s">
        <v>199</v>
      </c>
      <c r="G652" s="55">
        <v>2035.0</v>
      </c>
      <c r="H652" s="55" t="s">
        <v>1137</v>
      </c>
      <c r="I652" s="115" t="s">
        <v>6054</v>
      </c>
      <c r="J652" s="55" t="s">
        <v>6055</v>
      </c>
      <c r="K652" s="55" t="s">
        <v>61</v>
      </c>
      <c r="L652" s="55">
        <v>16917.0</v>
      </c>
      <c r="M652" s="55" t="s">
        <v>78</v>
      </c>
      <c r="N652" s="55" t="s">
        <v>79</v>
      </c>
      <c r="O652" s="55" t="s">
        <v>224</v>
      </c>
      <c r="P652" s="55" t="s">
        <v>110</v>
      </c>
      <c r="Q652" s="67" t="str">
        <f>IFERROR(__xludf.DUMMYFUNCTION("""COMPUTED_VALUE"""),"Vietnam.Congso.MB49_16917_MES_NamNH_140824")</f>
        <v>Vietnam.Congso.MB49_16917_MES_NamNH_140824</v>
      </c>
      <c r="R652" s="67" t="str">
        <f>IFERROR(__xludf.DUMMYFUNCTION("""COMPUTED_VALUE"""),"NEW_Vietnam_2035_none_140824")</f>
        <v>NEW_Vietnam_2035_none_140824</v>
      </c>
      <c r="S652" s="67" t="str">
        <f>IFERROR(__xludf.DUMMYFUNCTION("""COMPUTED_VALUE"""),"saletructiep_Vietnam.MB49.1840.congso_PTATT_LD231")</f>
        <v>saletructiep_Vietnam.MB49.1840.congso_PTATT_LD231</v>
      </c>
      <c r="T652" s="107" t="str">
        <f>IFERROR(__xludf.DUMMYFUNCTION("""COMPUTED_VALUE"""),"https://patadovietnam.edu.vn/patadoxlead/?utm_source=Facebook&amp;utm_medium=MES&amp;utm_term=NEW_Vietnam_2035_none_140824&amp;utm_content=saletructiep_Vietnam.MB49.1840.congso_PTATT_LD231&amp;utm_campaign=Vietnam.Congso.MB49_16917_MES_NamNH_140824")</f>
        <v>https://patadovietnam.edu.vn/patadoxlead/?utm_source=Facebook&amp;utm_medium=MES&amp;utm_term=NEW_Vietnam_2035_none_140824&amp;utm_content=saletructiep_Vietnam.MB49.1840.congso_PTATT_LD231&amp;utm_campaign=Vietnam.Congso.MB49_16917_MES_NamNH_140824</v>
      </c>
      <c r="U652" s="110" t="s">
        <v>6057</v>
      </c>
    </row>
    <row r="653">
      <c r="A653" s="72">
        <v>45518.0</v>
      </c>
      <c r="B653" s="75" t="s">
        <v>6058</v>
      </c>
      <c r="C653" s="67" t="str">
        <f>IFERROR(__xludf.DUMMYFUNCTION("""COMPUTED_VALUE"""),"LD232")</f>
        <v>LD232</v>
      </c>
      <c r="D653" s="55" t="s">
        <v>42</v>
      </c>
      <c r="E653" s="55" t="s">
        <v>79</v>
      </c>
      <c r="F653" s="55" t="s">
        <v>199</v>
      </c>
      <c r="G653" s="55">
        <v>2035.0</v>
      </c>
      <c r="H653" s="55" t="s">
        <v>1137</v>
      </c>
      <c r="I653" s="115" t="s">
        <v>6061</v>
      </c>
      <c r="J653" s="55" t="s">
        <v>6062</v>
      </c>
      <c r="K653" s="55" t="s">
        <v>61</v>
      </c>
      <c r="L653" s="55">
        <v>16917.0</v>
      </c>
      <c r="M653" s="55" t="s">
        <v>78</v>
      </c>
      <c r="N653" s="55" t="s">
        <v>79</v>
      </c>
      <c r="O653" s="55" t="s">
        <v>224</v>
      </c>
      <c r="P653" s="55" t="s">
        <v>110</v>
      </c>
      <c r="Q653" s="67" t="str">
        <f>IFERROR(__xludf.DUMMYFUNCTION("""COMPUTED_VALUE"""),"Vietnam.Congso.MB1000_16917_MES_NamNH_140824")</f>
        <v>Vietnam.Congso.MB1000_16917_MES_NamNH_140824</v>
      </c>
      <c r="R653" s="67" t="str">
        <f>IFERROR(__xludf.DUMMYFUNCTION("""COMPUTED_VALUE"""),"NEW_Vietnam_2035_none_140824")</f>
        <v>NEW_Vietnam_2035_none_140824</v>
      </c>
      <c r="S653" s="67" t="str">
        <f>IFERROR(__xludf.DUMMYFUNCTION("""COMPUTED_VALUE"""),"saletructiep_Vietnam.MB1000.1840.congso_PTATT_LD232")</f>
        <v>saletructiep_Vietnam.MB1000.1840.congso_PTATT_LD232</v>
      </c>
      <c r="T653" s="107" t="str">
        <f>IFERROR(__xludf.DUMMYFUNCTION("""COMPUTED_VALUE"""),"https://docs.google.com/forms/d/1zaOdpSo0gx4FjBK5SGbcqd3eeGvvZUTUst3QjANn3qI/edit/?utm_source=Facebook&amp;utm_medium=MES&amp;utm_term=NEW_Vietnam_2035_none_140824&amp;utm_content=saletructiep_Vietnam.MB1000.1840.congso_PTATT_LD232&amp;utm_campaign=Vietnam.Congso.MB1000_"&amp;"16917_MES_NamNH_140824")</f>
        <v>https://docs.google.com/forms/d/1zaOdpSo0gx4FjBK5SGbcqd3eeGvvZUTUst3QjANn3qI/edit/?utm_source=Facebook&amp;utm_medium=MES&amp;utm_term=NEW_Vietnam_2035_none_140824&amp;utm_content=saletructiep_Vietnam.MB1000.1840.congso_PTATT_LD232&amp;utm_campaign=Vietnam.Congso.MB1000_16917_MES_NamNH_140824</v>
      </c>
      <c r="U653" s="110" t="s">
        <v>6066</v>
      </c>
    </row>
    <row r="654">
      <c r="A654" s="72">
        <v>45524.0</v>
      </c>
      <c r="B654" s="75" t="s">
        <v>6037</v>
      </c>
      <c r="C654" s="67" t="str">
        <f>IFERROR(__xludf.DUMMYFUNCTION("""COMPUTED_VALUE"""),"LD231")</f>
        <v>LD231</v>
      </c>
      <c r="D654" s="55" t="s">
        <v>42</v>
      </c>
      <c r="E654" s="55" t="s">
        <v>79</v>
      </c>
      <c r="F654" s="55" t="s">
        <v>199</v>
      </c>
      <c r="G654" s="55">
        <v>2035.0</v>
      </c>
      <c r="H654" s="55" t="s">
        <v>1137</v>
      </c>
      <c r="I654" s="115" t="s">
        <v>6068</v>
      </c>
      <c r="J654" s="55" t="s">
        <v>6069</v>
      </c>
      <c r="K654" s="55" t="s">
        <v>61</v>
      </c>
      <c r="L654" s="55">
        <v>16917.0</v>
      </c>
      <c r="M654" s="55" t="s">
        <v>78</v>
      </c>
      <c r="N654" s="55" t="s">
        <v>79</v>
      </c>
      <c r="O654" s="55" t="s">
        <v>224</v>
      </c>
      <c r="P654" s="55" t="s">
        <v>110</v>
      </c>
      <c r="Q654" s="67" t="str">
        <f>IFERROR(__xludf.DUMMYFUNCTION("""COMPUTED_VALUE"""),"Vietnam.Congso.MB48_16917_MES_NamNH_200824")</f>
        <v>Vietnam.Congso.MB48_16917_MES_NamNH_200824</v>
      </c>
      <c r="R654" s="67" t="str">
        <f>IFERROR(__xludf.DUMMYFUNCTION("""COMPUTED_VALUE"""),"NEW_Vietnam_2035_none_200824")</f>
        <v>NEW_Vietnam_2035_none_200824</v>
      </c>
      <c r="S654" s="67" t="str">
        <f>IFERROR(__xludf.DUMMYFUNCTION("""COMPUTED_VALUE"""),"saletructiep_Vietnam.MB48.1840.congso_PTATT_LD231")</f>
        <v>saletructiep_Vietnam.MB48.1840.congso_PTATT_LD231</v>
      </c>
      <c r="T654" s="107" t="str">
        <f>IFERROR(__xludf.DUMMYFUNCTION("""COMPUTED_VALUE"""),"https://patadovietnam.edu.vn/patadoxlead/?utm_source=Facebook&amp;utm_medium=MES&amp;utm_term=NEW_Vietnam_2035_none_200824&amp;utm_content=saletructiep_Vietnam.MB48.1840.congso_PTATT_LD231&amp;utm_campaign=Vietnam.Congso.MB48_16917_MES_NamNH_200824")</f>
        <v>https://patadovietnam.edu.vn/patadoxlead/?utm_source=Facebook&amp;utm_medium=MES&amp;utm_term=NEW_Vietnam_2035_none_200824&amp;utm_content=saletructiep_Vietnam.MB48.1840.congso_PTATT_LD231&amp;utm_campaign=Vietnam.Congso.MB48_16917_MES_NamNH_200824</v>
      </c>
      <c r="U654" s="110" t="s">
        <v>6070</v>
      </c>
    </row>
    <row r="655">
      <c r="A655" s="72">
        <v>45524.0</v>
      </c>
      <c r="B655" s="75" t="s">
        <v>6037</v>
      </c>
      <c r="C655" s="67" t="str">
        <f>IFERROR(__xludf.DUMMYFUNCTION("""COMPUTED_VALUE"""),"LD231")</f>
        <v>LD231</v>
      </c>
      <c r="D655" s="55" t="s">
        <v>42</v>
      </c>
      <c r="E655" s="55" t="s">
        <v>79</v>
      </c>
      <c r="F655" s="55" t="s">
        <v>199</v>
      </c>
      <c r="G655" s="55">
        <v>2035.0</v>
      </c>
      <c r="H655" s="55" t="s">
        <v>1137</v>
      </c>
      <c r="I655" s="115" t="s">
        <v>6071</v>
      </c>
      <c r="J655" s="55" t="s">
        <v>6072</v>
      </c>
      <c r="K655" s="55" t="s">
        <v>61</v>
      </c>
      <c r="L655" s="55">
        <v>16917.0</v>
      </c>
      <c r="M655" s="55" t="s">
        <v>78</v>
      </c>
      <c r="N655" s="55" t="s">
        <v>79</v>
      </c>
      <c r="O655" s="55" t="s">
        <v>224</v>
      </c>
      <c r="P655" s="55" t="s">
        <v>110</v>
      </c>
      <c r="Q655" s="67" t="str">
        <f>IFERROR(__xludf.DUMMYFUNCTION("""COMPUTED_VALUE"""),"Vietnam.Congso.MB51_16917_MES_NamNH_200824")</f>
        <v>Vietnam.Congso.MB51_16917_MES_NamNH_200824</v>
      </c>
      <c r="R655" s="67" t="str">
        <f>IFERROR(__xludf.DUMMYFUNCTION("""COMPUTED_VALUE"""),"NEW_Vietnam_2035_none_200824")</f>
        <v>NEW_Vietnam_2035_none_200824</v>
      </c>
      <c r="S655" s="67" t="str">
        <f>IFERROR(__xludf.DUMMYFUNCTION("""COMPUTED_VALUE"""),"saletructiep_Vietnam.MB51.1840.congso_PTATT_LD231")</f>
        <v>saletructiep_Vietnam.MB51.1840.congso_PTATT_LD231</v>
      </c>
      <c r="T655" s="107" t="str">
        <f>IFERROR(__xludf.DUMMYFUNCTION("""COMPUTED_VALUE"""),"https://patadovietnam.edu.vn/patadoxlead/?utm_source=Facebook&amp;utm_medium=MES&amp;utm_term=NEW_Vietnam_2035_none_200824&amp;utm_content=saletructiep_Vietnam.MB51.1840.congso_PTATT_LD231&amp;utm_campaign=Vietnam.Congso.MB51_16917_MES_NamNH_200824")</f>
        <v>https://patadovietnam.edu.vn/patadoxlead/?utm_source=Facebook&amp;utm_medium=MES&amp;utm_term=NEW_Vietnam_2035_none_200824&amp;utm_content=saletructiep_Vietnam.MB51.1840.congso_PTATT_LD231&amp;utm_campaign=Vietnam.Congso.MB51_16917_MES_NamNH_200824</v>
      </c>
      <c r="U655" s="110" t="s">
        <v>6075</v>
      </c>
    </row>
    <row r="656">
      <c r="A656" s="72">
        <v>45524.0</v>
      </c>
      <c r="B656" s="75" t="s">
        <v>6037</v>
      </c>
      <c r="C656" s="67" t="str">
        <f>IFERROR(__xludf.DUMMYFUNCTION("""COMPUTED_VALUE"""),"LD231")</f>
        <v>LD231</v>
      </c>
      <c r="D656" s="55" t="s">
        <v>42</v>
      </c>
      <c r="E656" s="55" t="s">
        <v>79</v>
      </c>
      <c r="F656" s="55" t="s">
        <v>199</v>
      </c>
      <c r="G656" s="55">
        <v>2035.0</v>
      </c>
      <c r="H656" s="55" t="s">
        <v>1137</v>
      </c>
      <c r="I656" s="115" t="s">
        <v>6077</v>
      </c>
      <c r="J656" s="55" t="s">
        <v>6078</v>
      </c>
      <c r="K656" s="55" t="s">
        <v>61</v>
      </c>
      <c r="L656" s="55">
        <v>16917.0</v>
      </c>
      <c r="M656" s="55" t="s">
        <v>78</v>
      </c>
      <c r="N656" s="55" t="s">
        <v>79</v>
      </c>
      <c r="O656" s="55" t="s">
        <v>224</v>
      </c>
      <c r="P656" s="55" t="s">
        <v>110</v>
      </c>
      <c r="Q656" s="67" t="str">
        <f>IFERROR(__xludf.DUMMYFUNCTION("""COMPUTED_VALUE"""),"Vietnam.Congso.MB52_16917_MES_NamNH_200824")</f>
        <v>Vietnam.Congso.MB52_16917_MES_NamNH_200824</v>
      </c>
      <c r="R656" s="67" t="str">
        <f>IFERROR(__xludf.DUMMYFUNCTION("""COMPUTED_VALUE"""),"NEW_Vietnam_2035_none_200824")</f>
        <v>NEW_Vietnam_2035_none_200824</v>
      </c>
      <c r="S656" s="67" t="str">
        <f>IFERROR(__xludf.DUMMYFUNCTION("""COMPUTED_VALUE"""),"saletructiep_Vietnam.MB52.1840.congso_PTATT_LD231")</f>
        <v>saletructiep_Vietnam.MB52.1840.congso_PTATT_LD231</v>
      </c>
      <c r="T656" s="107" t="str">
        <f>IFERROR(__xludf.DUMMYFUNCTION("""COMPUTED_VALUE"""),"https://patadovietnam.edu.vn/patadoxlead/?utm_source=Facebook&amp;utm_medium=MES&amp;utm_term=NEW_Vietnam_2035_none_200824&amp;utm_content=saletructiep_Vietnam.MB52.1840.congso_PTATT_LD231&amp;utm_campaign=Vietnam.Congso.MB52_16917_MES_NamNH_200824")</f>
        <v>https://patadovietnam.edu.vn/patadoxlead/?utm_source=Facebook&amp;utm_medium=MES&amp;utm_term=NEW_Vietnam_2035_none_200824&amp;utm_content=saletructiep_Vietnam.MB52.1840.congso_PTATT_LD231&amp;utm_campaign=Vietnam.Congso.MB52_16917_MES_NamNH_200824</v>
      </c>
      <c r="U656" s="110" t="s">
        <v>6079</v>
      </c>
    </row>
    <row r="657">
      <c r="A657" s="72">
        <v>45524.0</v>
      </c>
      <c r="B657" s="75" t="s">
        <v>6037</v>
      </c>
      <c r="C657" s="67" t="str">
        <f>IFERROR(__xludf.DUMMYFUNCTION("""COMPUTED_VALUE"""),"LD231")</f>
        <v>LD231</v>
      </c>
      <c r="D657" s="55" t="s">
        <v>42</v>
      </c>
      <c r="E657" s="55" t="s">
        <v>79</v>
      </c>
      <c r="F657" s="55" t="s">
        <v>199</v>
      </c>
      <c r="G657" s="55">
        <v>2035.0</v>
      </c>
      <c r="H657" s="55" t="s">
        <v>1137</v>
      </c>
      <c r="I657" s="115" t="s">
        <v>6081</v>
      </c>
      <c r="J657" s="55" t="s">
        <v>6078</v>
      </c>
      <c r="K657" s="55" t="s">
        <v>61</v>
      </c>
      <c r="L657" s="55">
        <v>16917.0</v>
      </c>
      <c r="M657" s="55" t="s">
        <v>78</v>
      </c>
      <c r="N657" s="55" t="s">
        <v>79</v>
      </c>
      <c r="O657" s="55" t="s">
        <v>224</v>
      </c>
      <c r="P657" s="55" t="s">
        <v>110</v>
      </c>
      <c r="Q657" s="67" t="str">
        <f>IFERROR(__xludf.DUMMYFUNCTION("""COMPUTED_VALUE"""),"Vietnam.Congso.MB53_16917_MES_NamNH_200824")</f>
        <v>Vietnam.Congso.MB53_16917_MES_NamNH_200824</v>
      </c>
      <c r="R657" s="67" t="str">
        <f>IFERROR(__xludf.DUMMYFUNCTION("""COMPUTED_VALUE"""),"NEW_Vietnam_2035_none_200824")</f>
        <v>NEW_Vietnam_2035_none_200824</v>
      </c>
      <c r="S657" s="67" t="str">
        <f>IFERROR(__xludf.DUMMYFUNCTION("""COMPUTED_VALUE"""),"saletructiep_Vietnam.MB52.1840.congso_PTATT_LD231")</f>
        <v>saletructiep_Vietnam.MB52.1840.congso_PTATT_LD231</v>
      </c>
      <c r="T657" s="107" t="str">
        <f>IFERROR(__xludf.DUMMYFUNCTION("""COMPUTED_VALUE"""),"https://patadovietnam.edu.vn/patadoxlead/?utm_source=Facebook&amp;utm_medium=MES&amp;utm_term=NEW_Vietnam_2035_none_200824&amp;utm_content=saletructiep_Vietnam.MB52.1840.congso_PTATT_LD231&amp;utm_campaign=Vietnam.Congso.MB53_16917_MES_NamNH_200824")</f>
        <v>https://patadovietnam.edu.vn/patadoxlead/?utm_source=Facebook&amp;utm_medium=MES&amp;utm_term=NEW_Vietnam_2035_none_200824&amp;utm_content=saletructiep_Vietnam.MB52.1840.congso_PTATT_LD231&amp;utm_campaign=Vietnam.Congso.MB53_16917_MES_NamNH_200824</v>
      </c>
      <c r="U657" s="111" t="s">
        <v>6086</v>
      </c>
    </row>
    <row r="658">
      <c r="A658" s="72">
        <v>45526.0</v>
      </c>
      <c r="B658" s="75" t="s">
        <v>1245</v>
      </c>
      <c r="C658" s="67" t="str">
        <f>IFERROR(__xludf.DUMMYFUNCTION("""COMPUTED_VALUE"""),"LD161")</f>
        <v>LD161</v>
      </c>
      <c r="D658" s="55" t="s">
        <v>42</v>
      </c>
      <c r="E658" s="55" t="s">
        <v>79</v>
      </c>
      <c r="F658" s="55" t="s">
        <v>107</v>
      </c>
      <c r="G658" s="55">
        <v>1840.0</v>
      </c>
      <c r="H658" s="55" t="s">
        <v>1137</v>
      </c>
      <c r="I658" s="115" t="s">
        <v>6087</v>
      </c>
      <c r="J658" s="55" t="s">
        <v>6088</v>
      </c>
      <c r="K658" s="55" t="s">
        <v>61</v>
      </c>
      <c r="L658" s="55">
        <v>16917.0</v>
      </c>
      <c r="M658" s="55" t="s">
        <v>78</v>
      </c>
      <c r="N658" s="55" t="s">
        <v>79</v>
      </c>
      <c r="O658" s="55" t="s">
        <v>224</v>
      </c>
      <c r="P658" s="55" t="s">
        <v>110</v>
      </c>
      <c r="Q658" s="67" t="str">
        <f>IFERROR(__xludf.DUMMYFUNCTION("""COMPUTED_VALUE"""),"UnitedStates.giaotiep.M276_16917_MES_NamNH_220824")</f>
        <v>UnitedStates.giaotiep.M276_16917_MES_NamNH_220824</v>
      </c>
      <c r="R658" s="67" t="str">
        <f>IFERROR(__xludf.DUMMYFUNCTION("""COMPUTED_VALUE"""),"NEW_UnitedStates_1840_none_220824")</f>
        <v>NEW_UnitedStates_1840_none_220824</v>
      </c>
      <c r="S658" s="67" t="str">
        <f>IFERROR(__xludf.DUMMYFUNCTION("""COMPUTED_VALUE"""),"saletructiep_UnitedStates.M276.1840.giaotiep_PTATT_LD161")</f>
        <v>saletructiep_UnitedStates.M276.1840.giaotiep_PTATT_LD161</v>
      </c>
      <c r="T658" s="107" t="str">
        <f>IFERROR(__xludf.DUMMYFUNCTION("""COMPUTED_VALUE"""),"https://patadovietnam.edu.vn/gtusa1_nhn/?utm_source=Facebook&amp;utm_medium=MES&amp;utm_term=NEW_UnitedStates_1840_none_220824&amp;utm_content=saletructiep_UnitedStates.M276.1840.giaotiep_PTATT_LD161&amp;utm_campaign=UnitedStates.giaotiep.M276_16917_MES_NamNH_220824")</f>
        <v>https://patadovietnam.edu.vn/gtusa1_nhn/?utm_source=Facebook&amp;utm_medium=MES&amp;utm_term=NEW_UnitedStates_1840_none_220824&amp;utm_content=saletructiep_UnitedStates.M276.1840.giaotiep_PTATT_LD161&amp;utm_campaign=UnitedStates.giaotiep.M276_16917_MES_NamNH_220824</v>
      </c>
      <c r="U658" s="110" t="s">
        <v>6094</v>
      </c>
    </row>
    <row r="659">
      <c r="A659" s="72">
        <v>45526.0</v>
      </c>
      <c r="B659" s="75" t="s">
        <v>1134</v>
      </c>
      <c r="C659" s="67" t="str">
        <f>IFERROR(__xludf.DUMMYFUNCTION("""COMPUTED_VALUE"""),"LD153")</f>
        <v>LD153</v>
      </c>
      <c r="D659" s="55" t="s">
        <v>42</v>
      </c>
      <c r="E659" s="55" t="s">
        <v>69</v>
      </c>
      <c r="F659" s="55" t="s">
        <v>674</v>
      </c>
      <c r="G659" s="55">
        <v>1840.0</v>
      </c>
      <c r="H659" s="55" t="s">
        <v>1137</v>
      </c>
      <c r="I659" s="115" t="s">
        <v>6097</v>
      </c>
      <c r="J659" s="55" t="s">
        <v>6098</v>
      </c>
      <c r="K659" s="55" t="s">
        <v>61</v>
      </c>
      <c r="L659" s="55">
        <v>16917.0</v>
      </c>
      <c r="M659" s="55" t="s">
        <v>78</v>
      </c>
      <c r="N659" s="55" t="s">
        <v>69</v>
      </c>
      <c r="O659" s="55" t="s">
        <v>224</v>
      </c>
      <c r="P659" s="55" t="s">
        <v>110</v>
      </c>
      <c r="Q659" s="67" t="str">
        <f>IFERROR(__xludf.DUMMYFUNCTION("""COMPUTED_VALUE"""),"Europe.giaotiep.M276_16917_CVS_NamNH_220824")</f>
        <v>Europe.giaotiep.M276_16917_CVS_NamNH_220824</v>
      </c>
      <c r="R659" s="67" t="str">
        <f>IFERROR(__xludf.DUMMYFUNCTION("""COMPUTED_VALUE"""),"NEW_Europe_1840_none_220824")</f>
        <v>NEW_Europe_1840_none_220824</v>
      </c>
      <c r="S659" s="67" t="str">
        <f>IFERROR(__xludf.DUMMYFUNCTION("""COMPUTED_VALUE"""),"saletructiep_Europe.M276.1840.giaotiep_PTATT_LD153")</f>
        <v>saletructiep_Europe.M276.1840.giaotiep_PTATT_LD153</v>
      </c>
      <c r="T659" s="107" t="str">
        <f>IFERROR(__xludf.DUMMYFUNCTION("""COMPUTED_VALUE"""),"https://patadovietnam.edu.vn/tienganhgiaotiep_hn/?utm_source=Facebook&amp;utm_medium=CVS&amp;utm_term=NEW_Europe_1840_none_220824&amp;utm_content=saletructiep_Europe.M276.1840.giaotiep_PTATT_LD153&amp;utm_campaign=Europe.giaotiep.M276_16917_CVS_NamNH_220824")</f>
        <v>https://patadovietnam.edu.vn/tienganhgiaotiep_hn/?utm_source=Facebook&amp;utm_medium=CVS&amp;utm_term=NEW_Europe_1840_none_220824&amp;utm_content=saletructiep_Europe.M276.1840.giaotiep_PTATT_LD153&amp;utm_campaign=Europe.giaotiep.M276_16917_CVS_NamNH_220824</v>
      </c>
      <c r="U659" s="110" t="s">
        <v>6103</v>
      </c>
    </row>
    <row r="660">
      <c r="A660" s="72">
        <v>45526.0</v>
      </c>
      <c r="B660" s="75" t="s">
        <v>1229</v>
      </c>
      <c r="C660" s="67" t="str">
        <f>IFERROR(__xludf.DUMMYFUNCTION("""COMPUTED_VALUE"""),"LD164")</f>
        <v>LD164</v>
      </c>
      <c r="D660" s="55" t="s">
        <v>42</v>
      </c>
      <c r="E660" s="55" t="s">
        <v>69</v>
      </c>
      <c r="F660" s="55" t="s">
        <v>133</v>
      </c>
      <c r="G660" s="55">
        <v>1840.0</v>
      </c>
      <c r="H660" s="55" t="s">
        <v>1137</v>
      </c>
      <c r="I660" s="115" t="s">
        <v>6106</v>
      </c>
      <c r="J660" s="55" t="s">
        <v>6107</v>
      </c>
      <c r="K660" s="55" t="s">
        <v>61</v>
      </c>
      <c r="L660" s="55">
        <v>16917.0</v>
      </c>
      <c r="M660" s="55" t="s">
        <v>78</v>
      </c>
      <c r="N660" s="55" t="s">
        <v>69</v>
      </c>
      <c r="O660" s="55" t="s">
        <v>224</v>
      </c>
      <c r="P660" s="55" t="s">
        <v>110</v>
      </c>
      <c r="Q660" s="67" t="str">
        <f>IFERROR(__xludf.DUMMYFUNCTION("""COMPUTED_VALUE"""),"Japan.giaotiep.M276_16917_CVS_NamNH_220824")</f>
        <v>Japan.giaotiep.M276_16917_CVS_NamNH_220824</v>
      </c>
      <c r="R660" s="67" t="str">
        <f>IFERROR(__xludf.DUMMYFUNCTION("""COMPUTED_VALUE"""),"NEW_Japan_1840_none_220824")</f>
        <v>NEW_Japan_1840_none_220824</v>
      </c>
      <c r="S660" s="67" t="str">
        <f>IFERROR(__xludf.DUMMYFUNCTION("""COMPUTED_VALUE"""),"saletructiep_Japan.M276.1840.giaotiep_PTATT_LD164")</f>
        <v>saletructiep_Japan.M276.1840.giaotiep_PTATT_LD164</v>
      </c>
      <c r="T660" s="107" t="str">
        <f>IFERROR(__xludf.DUMMYFUNCTION("""COMPUTED_VALUE"""),"https://patadovietnam.edu.vn/gtjapan_nhn3/?utm_source=Facebook&amp;utm_medium=CVS&amp;utm_term=NEW_Japan_1840_none_220824&amp;utm_content=saletructiep_Japan.M276.1840.giaotiep_PTATT_LD164&amp;utm_campaign=Japan.giaotiep.M276_16917_CVS_NamNH_220824")</f>
        <v>https://patadovietnam.edu.vn/gtjapan_nhn3/?utm_source=Facebook&amp;utm_medium=CVS&amp;utm_term=NEW_Japan_1840_none_220824&amp;utm_content=saletructiep_Japan.M276.1840.giaotiep_PTATT_LD164&amp;utm_campaign=Japan.giaotiep.M276_16917_CVS_NamNH_220824</v>
      </c>
      <c r="U660" s="110" t="s">
        <v>6112</v>
      </c>
    </row>
    <row r="661">
      <c r="A661" s="72">
        <v>45526.0</v>
      </c>
      <c r="B661" s="75" t="s">
        <v>1134</v>
      </c>
      <c r="C661" s="67" t="str">
        <f>IFERROR(__xludf.DUMMYFUNCTION("""COMPUTED_VALUE"""),"LD153")</f>
        <v>LD153</v>
      </c>
      <c r="D661" s="55" t="s">
        <v>42</v>
      </c>
      <c r="E661" s="55" t="s">
        <v>79</v>
      </c>
      <c r="F661" s="55" t="s">
        <v>539</v>
      </c>
      <c r="G661" s="55">
        <v>1840.0</v>
      </c>
      <c r="H661" s="55" t="s">
        <v>1137</v>
      </c>
      <c r="I661" s="115" t="s">
        <v>6113</v>
      </c>
      <c r="J661" s="55" t="s">
        <v>6114</v>
      </c>
      <c r="K661" s="55" t="s">
        <v>61</v>
      </c>
      <c r="L661" s="55">
        <v>16917.0</v>
      </c>
      <c r="M661" s="55" t="s">
        <v>78</v>
      </c>
      <c r="N661" s="55" t="s">
        <v>79</v>
      </c>
      <c r="O661" s="55" t="s">
        <v>224</v>
      </c>
      <c r="P661" s="55" t="s">
        <v>110</v>
      </c>
      <c r="Q661" s="67" t="str">
        <f>IFERROR(__xludf.DUMMYFUNCTION("""COMPUTED_VALUE"""),"ALL.giaotiep.M276_16917_MES_NamNH_220824")</f>
        <v>ALL.giaotiep.M276_16917_MES_NamNH_220824</v>
      </c>
      <c r="R661" s="67" t="str">
        <f>IFERROR(__xludf.DUMMYFUNCTION("""COMPUTED_VALUE"""),"NEW_ALL_1840_none_220824")</f>
        <v>NEW_ALL_1840_none_220824</v>
      </c>
      <c r="S661" s="67" t="str">
        <f>IFERROR(__xludf.DUMMYFUNCTION("""COMPUTED_VALUE"""),"saletructiep_ALL.M276.1840.giaotiep_PTATT_LD153")</f>
        <v>saletructiep_ALL.M276.1840.giaotiep_PTATT_LD153</v>
      </c>
      <c r="T661" s="107" t="str">
        <f>IFERROR(__xludf.DUMMYFUNCTION("""COMPUTED_VALUE"""),"https://patadovietnam.edu.vn/tienganhgiaotiep_hn/?utm_source=Facebook&amp;utm_medium=MES&amp;utm_term=NEW_ALL_1840_none_220824&amp;utm_content=saletructiep_ALL.M276.1840.giaotiep_PTATT_LD153&amp;utm_campaign=ALL.giaotiep.M276_16917_MES_NamNH_220824")</f>
        <v>https://patadovietnam.edu.vn/tienganhgiaotiep_hn/?utm_source=Facebook&amp;utm_medium=MES&amp;utm_term=NEW_ALL_1840_none_220824&amp;utm_content=saletructiep_ALL.M276.1840.giaotiep_PTATT_LD153&amp;utm_campaign=ALL.giaotiep.M276_16917_MES_NamNH_220824</v>
      </c>
      <c r="U661" s="110" t="s">
        <v>6118</v>
      </c>
    </row>
    <row r="662">
      <c r="A662" s="72">
        <v>45526.0</v>
      </c>
      <c r="B662" s="75" t="s">
        <v>1245</v>
      </c>
      <c r="C662" s="67" t="str">
        <f>IFERROR(__xludf.DUMMYFUNCTION("""COMPUTED_VALUE"""),"LD161")</f>
        <v>LD161</v>
      </c>
      <c r="D662" s="55" t="s">
        <v>42</v>
      </c>
      <c r="E662" s="55" t="s">
        <v>79</v>
      </c>
      <c r="F662" s="55" t="s">
        <v>107</v>
      </c>
      <c r="G662" s="55">
        <v>1840.0</v>
      </c>
      <c r="H662" s="55" t="s">
        <v>1137</v>
      </c>
      <c r="I662" s="115" t="s">
        <v>6119</v>
      </c>
      <c r="J662" s="55" t="s">
        <v>6120</v>
      </c>
      <c r="K662" s="55" t="s">
        <v>61</v>
      </c>
      <c r="L662" s="55">
        <v>16917.0</v>
      </c>
      <c r="M662" s="55" t="s">
        <v>78</v>
      </c>
      <c r="N662" s="55" t="s">
        <v>79</v>
      </c>
      <c r="O662" s="55" t="s">
        <v>224</v>
      </c>
      <c r="P662" s="55" t="s">
        <v>110</v>
      </c>
      <c r="Q662" s="67" t="str">
        <f>IFERROR(__xludf.DUMMYFUNCTION("""COMPUTED_VALUE"""),"UnitedStates.giaotiep.M268_16917_MES_NamNH_220824")</f>
        <v>UnitedStates.giaotiep.M268_16917_MES_NamNH_220824</v>
      </c>
      <c r="R662" s="67" t="str">
        <f>IFERROR(__xludf.DUMMYFUNCTION("""COMPUTED_VALUE"""),"NEW_UnitedStates_1840_none_220824")</f>
        <v>NEW_UnitedStates_1840_none_220824</v>
      </c>
      <c r="S662" s="67" t="str">
        <f>IFERROR(__xludf.DUMMYFUNCTION("""COMPUTED_VALUE"""),"saletructiep_UnitedStates.M268.1840.giaotiep_PTATT_LD161")</f>
        <v>saletructiep_UnitedStates.M268.1840.giaotiep_PTATT_LD161</v>
      </c>
      <c r="T662" s="107" t="str">
        <f>IFERROR(__xludf.DUMMYFUNCTION("""COMPUTED_VALUE"""),"https://patadovietnam.edu.vn/gtusa1_nhn/?utm_source=Facebook&amp;utm_medium=MES&amp;utm_term=NEW_UnitedStates_1840_none_220824&amp;utm_content=saletructiep_UnitedStates.M268.1840.giaotiep_PTATT_LD161&amp;utm_campaign=UnitedStates.giaotiep.M268_16917_MES_NamNH_220824")</f>
        <v>https://patadovietnam.edu.vn/gtusa1_nhn/?utm_source=Facebook&amp;utm_medium=MES&amp;utm_term=NEW_UnitedStates_1840_none_220824&amp;utm_content=saletructiep_UnitedStates.M268.1840.giaotiep_PTATT_LD161&amp;utm_campaign=UnitedStates.giaotiep.M268_16917_MES_NamNH_220824</v>
      </c>
      <c r="U662" s="110" t="s">
        <v>6122</v>
      </c>
    </row>
    <row r="663">
      <c r="A663" s="72">
        <v>45526.0</v>
      </c>
      <c r="B663" s="75" t="s">
        <v>1134</v>
      </c>
      <c r="C663" s="67" t="str">
        <f>IFERROR(__xludf.DUMMYFUNCTION("""COMPUTED_VALUE"""),"LD153")</f>
        <v>LD153</v>
      </c>
      <c r="D663" s="55" t="s">
        <v>42</v>
      </c>
      <c r="E663" s="55" t="s">
        <v>69</v>
      </c>
      <c r="F663" s="55" t="s">
        <v>674</v>
      </c>
      <c r="G663" s="55">
        <v>1840.0</v>
      </c>
      <c r="H663" s="55" t="s">
        <v>1137</v>
      </c>
      <c r="I663" s="115" t="s">
        <v>6123</v>
      </c>
      <c r="J663" s="55" t="s">
        <v>6124</v>
      </c>
      <c r="K663" s="55" t="s">
        <v>61</v>
      </c>
      <c r="L663" s="55">
        <v>16917.0</v>
      </c>
      <c r="M663" s="55" t="s">
        <v>78</v>
      </c>
      <c r="N663" s="55" t="s">
        <v>69</v>
      </c>
      <c r="O663" s="55" t="s">
        <v>224</v>
      </c>
      <c r="P663" s="55" t="s">
        <v>110</v>
      </c>
      <c r="Q663" s="67" t="str">
        <f>IFERROR(__xludf.DUMMYFUNCTION("""COMPUTED_VALUE"""),"Europe.giaotiep.M268_16917_CVS_NamNH_220824")</f>
        <v>Europe.giaotiep.M268_16917_CVS_NamNH_220824</v>
      </c>
      <c r="R663" s="67" t="str">
        <f>IFERROR(__xludf.DUMMYFUNCTION("""COMPUTED_VALUE"""),"NEW_Europe_1840_none_220824")</f>
        <v>NEW_Europe_1840_none_220824</v>
      </c>
      <c r="S663" s="67" t="str">
        <f>IFERROR(__xludf.DUMMYFUNCTION("""COMPUTED_VALUE"""),"saletructiep_Europe.M268.1840.giaotiep_PTATT_LD153")</f>
        <v>saletructiep_Europe.M268.1840.giaotiep_PTATT_LD153</v>
      </c>
      <c r="T663" s="107" t="str">
        <f>IFERROR(__xludf.DUMMYFUNCTION("""COMPUTED_VALUE"""),"https://patadovietnam.edu.vn/tienganhgiaotiep_hn/?utm_source=Facebook&amp;utm_medium=CVS&amp;utm_term=NEW_Europe_1840_none_220824&amp;utm_content=saletructiep_Europe.M268.1840.giaotiep_PTATT_LD153&amp;utm_campaign=Europe.giaotiep.M268_16917_CVS_NamNH_220824")</f>
        <v>https://patadovietnam.edu.vn/tienganhgiaotiep_hn/?utm_source=Facebook&amp;utm_medium=CVS&amp;utm_term=NEW_Europe_1840_none_220824&amp;utm_content=saletructiep_Europe.M268.1840.giaotiep_PTATT_LD153&amp;utm_campaign=Europe.giaotiep.M268_16917_CVS_NamNH_220824</v>
      </c>
      <c r="U663" s="110" t="s">
        <v>6125</v>
      </c>
    </row>
    <row r="664">
      <c r="A664" s="72">
        <v>45526.0</v>
      </c>
      <c r="B664" s="75" t="s">
        <v>1229</v>
      </c>
      <c r="C664" s="67" t="str">
        <f>IFERROR(__xludf.DUMMYFUNCTION("""COMPUTED_VALUE"""),"LD164")</f>
        <v>LD164</v>
      </c>
      <c r="D664" s="55" t="s">
        <v>42</v>
      </c>
      <c r="E664" s="55" t="s">
        <v>69</v>
      </c>
      <c r="F664" s="55" t="s">
        <v>133</v>
      </c>
      <c r="G664" s="55">
        <v>1840.0</v>
      </c>
      <c r="H664" s="55" t="s">
        <v>1137</v>
      </c>
      <c r="I664" s="115" t="s">
        <v>6126</v>
      </c>
      <c r="J664" s="55" t="s">
        <v>6127</v>
      </c>
      <c r="K664" s="55" t="s">
        <v>61</v>
      </c>
      <c r="L664" s="55">
        <v>16917.0</v>
      </c>
      <c r="M664" s="55" t="s">
        <v>78</v>
      </c>
      <c r="N664" s="55" t="s">
        <v>69</v>
      </c>
      <c r="O664" s="55" t="s">
        <v>224</v>
      </c>
      <c r="P664" s="55" t="s">
        <v>110</v>
      </c>
      <c r="Q664" s="67" t="str">
        <f>IFERROR(__xludf.DUMMYFUNCTION("""COMPUTED_VALUE"""),"Japan.giaotiep.M268_16917_CVS_NamNH_220824")</f>
        <v>Japan.giaotiep.M268_16917_CVS_NamNH_220824</v>
      </c>
      <c r="R664" s="67" t="str">
        <f>IFERROR(__xludf.DUMMYFUNCTION("""COMPUTED_VALUE"""),"NEW_Japan_1840_none_220824")</f>
        <v>NEW_Japan_1840_none_220824</v>
      </c>
      <c r="S664" s="67" t="str">
        <f>IFERROR(__xludf.DUMMYFUNCTION("""COMPUTED_VALUE"""),"saletructiep_Japan.M268.1840.giaotiep_PTATT_LD164")</f>
        <v>saletructiep_Japan.M268.1840.giaotiep_PTATT_LD164</v>
      </c>
      <c r="T664" s="107" t="str">
        <f>IFERROR(__xludf.DUMMYFUNCTION("""COMPUTED_VALUE"""),"https://patadovietnam.edu.vn/gtjapan_nhn3/?utm_source=Facebook&amp;utm_medium=CVS&amp;utm_term=NEW_Japan_1840_none_220824&amp;utm_content=saletructiep_Japan.M268.1840.giaotiep_PTATT_LD164&amp;utm_campaign=Japan.giaotiep.M268_16917_CVS_NamNH_220824")</f>
        <v>https://patadovietnam.edu.vn/gtjapan_nhn3/?utm_source=Facebook&amp;utm_medium=CVS&amp;utm_term=NEW_Japan_1840_none_220824&amp;utm_content=saletructiep_Japan.M268.1840.giaotiep_PTATT_LD164&amp;utm_campaign=Japan.giaotiep.M268_16917_CVS_NamNH_220824</v>
      </c>
      <c r="U664" s="110" t="s">
        <v>6130</v>
      </c>
    </row>
    <row r="665">
      <c r="A665" s="72">
        <v>45526.0</v>
      </c>
      <c r="B665" s="75" t="s">
        <v>1134</v>
      </c>
      <c r="C665" s="67" t="str">
        <f>IFERROR(__xludf.DUMMYFUNCTION("""COMPUTED_VALUE"""),"LD153")</f>
        <v>LD153</v>
      </c>
      <c r="D665" s="55" t="s">
        <v>42</v>
      </c>
      <c r="E665" s="55" t="s">
        <v>79</v>
      </c>
      <c r="F665" s="55" t="s">
        <v>539</v>
      </c>
      <c r="G665" s="55">
        <v>1840.0</v>
      </c>
      <c r="H665" s="55" t="s">
        <v>1137</v>
      </c>
      <c r="I665" s="115" t="s">
        <v>6132</v>
      </c>
      <c r="J665" s="55" t="s">
        <v>6133</v>
      </c>
      <c r="K665" s="55" t="s">
        <v>61</v>
      </c>
      <c r="L665" s="55">
        <v>16917.0</v>
      </c>
      <c r="M665" s="55" t="s">
        <v>78</v>
      </c>
      <c r="N665" s="55" t="s">
        <v>79</v>
      </c>
      <c r="O665" s="55" t="s">
        <v>224</v>
      </c>
      <c r="P665" s="55" t="s">
        <v>110</v>
      </c>
      <c r="Q665" s="67" t="str">
        <f>IFERROR(__xludf.DUMMYFUNCTION("""COMPUTED_VALUE"""),"ALL.giaotiep.M268_16917_MES_NamNH_220824")</f>
        <v>ALL.giaotiep.M268_16917_MES_NamNH_220824</v>
      </c>
      <c r="R665" s="67" t="str">
        <f>IFERROR(__xludf.DUMMYFUNCTION("""COMPUTED_VALUE"""),"NEW_ALL_1840_none_220824")</f>
        <v>NEW_ALL_1840_none_220824</v>
      </c>
      <c r="S665" s="67" t="str">
        <f>IFERROR(__xludf.DUMMYFUNCTION("""COMPUTED_VALUE"""),"saletructiep_ALL.M268.1840.giaotiep_PTATT_LD153")</f>
        <v>saletructiep_ALL.M268.1840.giaotiep_PTATT_LD153</v>
      </c>
      <c r="T665" s="107" t="str">
        <f>IFERROR(__xludf.DUMMYFUNCTION("""COMPUTED_VALUE"""),"https://patadovietnam.edu.vn/tienganhgiaotiep_hn/?utm_source=Facebook&amp;utm_medium=MES&amp;utm_term=NEW_ALL_1840_none_220824&amp;utm_content=saletructiep_ALL.M268.1840.giaotiep_PTATT_LD153&amp;utm_campaign=ALL.giaotiep.M268_16917_MES_NamNH_220824")</f>
        <v>https://patadovietnam.edu.vn/tienganhgiaotiep_hn/?utm_source=Facebook&amp;utm_medium=MES&amp;utm_term=NEW_ALL_1840_none_220824&amp;utm_content=saletructiep_ALL.M268.1840.giaotiep_PTATT_LD153&amp;utm_campaign=ALL.giaotiep.M268_16917_MES_NamNH_220824</v>
      </c>
      <c r="U665" s="110" t="s">
        <v>6136</v>
      </c>
    </row>
    <row r="666">
      <c r="A666" s="72">
        <v>45526.0</v>
      </c>
      <c r="B666" s="75" t="s">
        <v>6037</v>
      </c>
      <c r="C666" s="67" t="str">
        <f>IFERROR(__xludf.DUMMYFUNCTION("""COMPUTED_VALUE"""),"LD231")</f>
        <v>LD231</v>
      </c>
      <c r="D666" s="55" t="s">
        <v>42</v>
      </c>
      <c r="E666" s="55" t="s">
        <v>79</v>
      </c>
      <c r="F666" s="55" t="s">
        <v>199</v>
      </c>
      <c r="G666" s="55">
        <v>2035.0</v>
      </c>
      <c r="H666" s="55" t="s">
        <v>1137</v>
      </c>
      <c r="I666" s="115" t="s">
        <v>6137</v>
      </c>
      <c r="J666" s="55" t="s">
        <v>6138</v>
      </c>
      <c r="K666" s="55" t="s">
        <v>61</v>
      </c>
      <c r="L666" s="55">
        <v>16917.0</v>
      </c>
      <c r="M666" s="55" t="s">
        <v>78</v>
      </c>
      <c r="N666" s="55" t="s">
        <v>79</v>
      </c>
      <c r="O666" s="55" t="s">
        <v>224</v>
      </c>
      <c r="P666" s="55" t="s">
        <v>110</v>
      </c>
      <c r="Q666" s="67" t="str">
        <f>IFERROR(__xludf.DUMMYFUNCTION("""COMPUTED_VALUE"""),"Vietnam.Congso.MB57_16917_MES_NamNH_220824")</f>
        <v>Vietnam.Congso.MB57_16917_MES_NamNH_220824</v>
      </c>
      <c r="R666" s="67" t="str">
        <f>IFERROR(__xludf.DUMMYFUNCTION("""COMPUTED_VALUE"""),"NEW_Vietnam_2035_none_220824")</f>
        <v>NEW_Vietnam_2035_none_220824</v>
      </c>
      <c r="S666" s="67" t="str">
        <f>IFERROR(__xludf.DUMMYFUNCTION("""COMPUTED_VALUE"""),"saletructiep_Vietnam.MB57.1840.congso_PTATT_LD231")</f>
        <v>saletructiep_Vietnam.MB57.1840.congso_PTATT_LD231</v>
      </c>
      <c r="T666" s="107" t="str">
        <f>IFERROR(__xludf.DUMMYFUNCTION("""COMPUTED_VALUE"""),"https://patadovietnam.edu.vn/patadoxlead/?utm_source=Facebook&amp;utm_medium=MES&amp;utm_term=NEW_Vietnam_2035_none_220824&amp;utm_content=saletructiep_Vietnam.MB57.1840.congso_PTATT_LD231&amp;utm_campaign=Vietnam.Congso.MB57_16917_MES_NamNH_220824")</f>
        <v>https://patadovietnam.edu.vn/patadoxlead/?utm_source=Facebook&amp;utm_medium=MES&amp;utm_term=NEW_Vietnam_2035_none_220824&amp;utm_content=saletructiep_Vietnam.MB57.1840.congso_PTATT_LD231&amp;utm_campaign=Vietnam.Congso.MB57_16917_MES_NamNH_220824</v>
      </c>
      <c r="U666" s="110" t="s">
        <v>6142</v>
      </c>
    </row>
    <row r="667">
      <c r="A667" s="72">
        <v>45526.0</v>
      </c>
      <c r="B667" s="75" t="s">
        <v>6037</v>
      </c>
      <c r="C667" s="67" t="str">
        <f>IFERROR(__xludf.DUMMYFUNCTION("""COMPUTED_VALUE"""),"LD231")</f>
        <v>LD231</v>
      </c>
      <c r="D667" s="55" t="s">
        <v>42</v>
      </c>
      <c r="E667" s="55" t="s">
        <v>79</v>
      </c>
      <c r="F667" s="55" t="s">
        <v>199</v>
      </c>
      <c r="G667" s="55">
        <v>2035.0</v>
      </c>
      <c r="H667" s="55" t="s">
        <v>1137</v>
      </c>
      <c r="I667" s="115" t="s">
        <v>5810</v>
      </c>
      <c r="J667" s="55" t="s">
        <v>6143</v>
      </c>
      <c r="K667" s="55" t="s">
        <v>61</v>
      </c>
      <c r="L667" s="55">
        <v>16917.0</v>
      </c>
      <c r="M667" s="55" t="s">
        <v>78</v>
      </c>
      <c r="N667" s="55" t="s">
        <v>79</v>
      </c>
      <c r="O667" s="55" t="s">
        <v>224</v>
      </c>
      <c r="P667" s="55" t="s">
        <v>110</v>
      </c>
      <c r="Q667" s="67" t="str">
        <f>IFERROR(__xludf.DUMMYFUNCTION("""COMPUTED_VALUE"""),"Vietnam.Congso.MB24_16917_MES_NamNH_220824")</f>
        <v>Vietnam.Congso.MB24_16917_MES_NamNH_220824</v>
      </c>
      <c r="R667" s="67" t="str">
        <f>IFERROR(__xludf.DUMMYFUNCTION("""COMPUTED_VALUE"""),"NEW_Vietnam_2035_none_220824")</f>
        <v>NEW_Vietnam_2035_none_220824</v>
      </c>
      <c r="S667" s="67" t="str">
        <f>IFERROR(__xludf.DUMMYFUNCTION("""COMPUTED_VALUE"""),"saletructiep_Vietnam.MB24.1840.congso_PTATT_LD231")</f>
        <v>saletructiep_Vietnam.MB24.1840.congso_PTATT_LD231</v>
      </c>
      <c r="T667" s="107" t="str">
        <f>IFERROR(__xludf.DUMMYFUNCTION("""COMPUTED_VALUE"""),"https://patadovietnam.edu.vn/patadoxlead/?utm_source=Facebook&amp;utm_medium=MES&amp;utm_term=NEW_Vietnam_2035_none_220824&amp;utm_content=saletructiep_Vietnam.MB24.1840.congso_PTATT_LD231&amp;utm_campaign=Vietnam.Congso.MB24_16917_MES_NamNH_220824")</f>
        <v>https://patadovietnam.edu.vn/patadoxlead/?utm_source=Facebook&amp;utm_medium=MES&amp;utm_term=NEW_Vietnam_2035_none_220824&amp;utm_content=saletructiep_Vietnam.MB24.1840.congso_PTATT_LD231&amp;utm_campaign=Vietnam.Congso.MB24_16917_MES_NamNH_220824</v>
      </c>
      <c r="U667" s="110" t="s">
        <v>5814</v>
      </c>
    </row>
    <row r="668">
      <c r="A668" s="72">
        <v>45544.0</v>
      </c>
      <c r="B668" s="75" t="s">
        <v>3857</v>
      </c>
      <c r="C668" s="67" t="str">
        <f>IFERROR(__xludf.DUMMYFUNCTION("""COMPUTED_VALUE"""),"LD221")</f>
        <v>LD221</v>
      </c>
      <c r="D668" s="55" t="s">
        <v>42</v>
      </c>
      <c r="E668" s="55" t="s">
        <v>69</v>
      </c>
      <c r="F668" s="55" t="s">
        <v>133</v>
      </c>
      <c r="G668" s="55">
        <v>1840.0</v>
      </c>
      <c r="H668" s="55" t="s">
        <v>1137</v>
      </c>
      <c r="I668" s="115" t="s">
        <v>6145</v>
      </c>
      <c r="J668" s="55" t="s">
        <v>6146</v>
      </c>
      <c r="K668" s="55" t="s">
        <v>61</v>
      </c>
      <c r="L668" s="55">
        <v>16917.0</v>
      </c>
      <c r="M668" s="55" t="s">
        <v>78</v>
      </c>
      <c r="N668" s="55" t="s">
        <v>69</v>
      </c>
      <c r="O668" s="55" t="s">
        <v>224</v>
      </c>
      <c r="P668" s="55" t="s">
        <v>110</v>
      </c>
      <c r="Q668" s="67" t="str">
        <f>IFERROR(__xludf.DUMMYFUNCTION("""COMPUTED_VALUE"""),"Japan.giaotiep.qcpatado2_16917_CVS_NamNH_090924")</f>
        <v>Japan.giaotiep.qcpatado2_16917_CVS_NamNH_090924</v>
      </c>
      <c r="R668" s="67" t="str">
        <f>IFERROR(__xludf.DUMMYFUNCTION("""COMPUTED_VALUE"""),"NEW_Japan_1840_none_090924")</f>
        <v>NEW_Japan_1840_none_090924</v>
      </c>
      <c r="S668" s="67" t="str">
        <f>IFERROR(__xludf.DUMMYFUNCTION("""COMPUTED_VALUE"""),"saletructiep_Japan.qcpatado2.1840.giaotiep_PTATT_LD221")</f>
        <v>saletructiep_Japan.qcpatado2.1840.giaotiep_PTATT_LD221</v>
      </c>
      <c r="T668" s="107" t="str">
        <f>IFERROR(__xludf.DUMMYFUNCTION("""COMPUTED_VALUE"""),"https://patadovietnam.edu.vn/japan_hn/?utm_source=Facebook&amp;utm_medium=CVS&amp;utm_term=NEW_Japan_1840_none_090924&amp;utm_content=saletructiep_Japan.qcpatado2.1840.giaotiep_PTATT_LD221&amp;utm_campaign=Japan.giaotiep.qcpatado2_16917_CVS_NamNH_090924")</f>
        <v>https://patadovietnam.edu.vn/japan_hn/?utm_source=Facebook&amp;utm_medium=CVS&amp;utm_term=NEW_Japan_1840_none_090924&amp;utm_content=saletructiep_Japan.qcpatado2.1840.giaotiep_PTATT_LD221&amp;utm_campaign=Japan.giaotiep.qcpatado2_16917_CVS_NamNH_090924</v>
      </c>
      <c r="U668" s="110" t="s">
        <v>6149</v>
      </c>
    </row>
    <row r="669">
      <c r="A669" s="72">
        <v>45526.0</v>
      </c>
      <c r="B669" s="75" t="s">
        <v>1134</v>
      </c>
      <c r="C669" s="67" t="str">
        <f>IFERROR(__xludf.DUMMYFUNCTION("""COMPUTED_VALUE"""),"LD153")</f>
        <v>LD153</v>
      </c>
      <c r="D669" s="55" t="s">
        <v>42</v>
      </c>
      <c r="E669" s="55" t="s">
        <v>69</v>
      </c>
      <c r="F669" s="55" t="s">
        <v>674</v>
      </c>
      <c r="G669" s="55">
        <v>1840.0</v>
      </c>
      <c r="H669" s="55" t="s">
        <v>1137</v>
      </c>
      <c r="I669" s="115" t="s">
        <v>6151</v>
      </c>
      <c r="J669" s="55" t="s">
        <v>6152</v>
      </c>
      <c r="K669" s="55" t="s">
        <v>61</v>
      </c>
      <c r="L669" s="55">
        <v>16917.0</v>
      </c>
      <c r="M669" s="55" t="s">
        <v>78</v>
      </c>
      <c r="N669" s="55" t="s">
        <v>69</v>
      </c>
      <c r="O669" s="55" t="s">
        <v>224</v>
      </c>
      <c r="P669" s="55" t="s">
        <v>110</v>
      </c>
      <c r="Q669" s="67" t="str">
        <f>IFERROR(__xludf.DUMMYFUNCTION("""COMPUTED_VALUE"""),"Europe.giaotiep.M277_16917_CVS_NamNH_220824")</f>
        <v>Europe.giaotiep.M277_16917_CVS_NamNH_220824</v>
      </c>
      <c r="R669" s="67" t="str">
        <f>IFERROR(__xludf.DUMMYFUNCTION("""COMPUTED_VALUE"""),"NEW_Europe_1840_none_220824")</f>
        <v>NEW_Europe_1840_none_220824</v>
      </c>
      <c r="S669" s="67" t="str">
        <f>IFERROR(__xludf.DUMMYFUNCTION("""COMPUTED_VALUE"""),"saletructiep_Europe.M277.1840.giaotiep_PTATT_LD153")</f>
        <v>saletructiep_Europe.M277.1840.giaotiep_PTATT_LD153</v>
      </c>
      <c r="T669" s="107" t="str">
        <f>IFERROR(__xludf.DUMMYFUNCTION("""COMPUTED_VALUE"""),"https://patadovietnam.edu.vn/tienganhgiaotiep_hn/?utm_source=Facebook&amp;utm_medium=CVS&amp;utm_term=NEW_Europe_1840_none_220824&amp;utm_content=saletructiep_Europe.M277.1840.giaotiep_PTATT_LD153&amp;utm_campaign=Europe.giaotiep.M277_16917_CVS_NamNH_220824")</f>
        <v>https://patadovietnam.edu.vn/tienganhgiaotiep_hn/?utm_source=Facebook&amp;utm_medium=CVS&amp;utm_term=NEW_Europe_1840_none_220824&amp;utm_content=saletructiep_Europe.M277.1840.giaotiep_PTATT_LD153&amp;utm_campaign=Europe.giaotiep.M277_16917_CVS_NamNH_220824</v>
      </c>
      <c r="U669" s="110" t="s">
        <v>6156</v>
      </c>
    </row>
    <row r="670">
      <c r="A670" s="72">
        <v>45526.0</v>
      </c>
      <c r="B670" s="75" t="s">
        <v>1134</v>
      </c>
      <c r="C670" s="67" t="str">
        <f>IFERROR(__xludf.DUMMYFUNCTION("""COMPUTED_VALUE"""),"LD153")</f>
        <v>LD153</v>
      </c>
      <c r="D670" s="55" t="s">
        <v>42</v>
      </c>
      <c r="E670" s="55" t="s">
        <v>69</v>
      </c>
      <c r="F670" s="55" t="s">
        <v>674</v>
      </c>
      <c r="G670" s="55">
        <v>1840.0</v>
      </c>
      <c r="H670" s="55" t="s">
        <v>1137</v>
      </c>
      <c r="I670" s="115" t="s">
        <v>6157</v>
      </c>
      <c r="J670" s="55" t="s">
        <v>6158</v>
      </c>
      <c r="K670" s="55" t="s">
        <v>61</v>
      </c>
      <c r="L670" s="55">
        <v>16917.0</v>
      </c>
      <c r="M670" s="55" t="s">
        <v>78</v>
      </c>
      <c r="N670" s="55" t="s">
        <v>69</v>
      </c>
      <c r="O670" s="55" t="s">
        <v>224</v>
      </c>
      <c r="P670" s="55" t="s">
        <v>110</v>
      </c>
      <c r="Q670" s="67" t="str">
        <f>IFERROR(__xludf.DUMMYFUNCTION("""COMPUTED_VALUE"""),"Europe.giaotiep.qcpatado2_16917_CVS_NamNH_220824")</f>
        <v>Europe.giaotiep.qcpatado2_16917_CVS_NamNH_220824</v>
      </c>
      <c r="R670" s="67" t="str">
        <f>IFERROR(__xludf.DUMMYFUNCTION("""COMPUTED_VALUE"""),"NEW_Europe_1840_none_220824")</f>
        <v>NEW_Europe_1840_none_220824</v>
      </c>
      <c r="S670" s="67" t="str">
        <f>IFERROR(__xludf.DUMMYFUNCTION("""COMPUTED_VALUE"""),"saletructiep_Europe.qcpatado2.1840.giaotiep_PTATT_LD153")</f>
        <v>saletructiep_Europe.qcpatado2.1840.giaotiep_PTATT_LD153</v>
      </c>
      <c r="T670" s="107" t="str">
        <f>IFERROR(__xludf.DUMMYFUNCTION("""COMPUTED_VALUE"""),"https://patadovietnam.edu.vn/tienganhgiaotiep_hn/?utm_source=Facebook&amp;utm_medium=CVS&amp;utm_term=NEW_Europe_1840_none_220824&amp;utm_content=saletructiep_Europe.qcpatado2.1840.giaotiep_PTATT_LD153&amp;utm_campaign=Europe.giaotiep.qcpatado2_16917_CVS_NamNH_220824")</f>
        <v>https://patadovietnam.edu.vn/tienganhgiaotiep_hn/?utm_source=Facebook&amp;utm_medium=CVS&amp;utm_term=NEW_Europe_1840_none_220824&amp;utm_content=saletructiep_Europe.qcpatado2.1840.giaotiep_PTATT_LD153&amp;utm_campaign=Europe.giaotiep.qcpatado2_16917_CVS_NamNH_220824</v>
      </c>
      <c r="U670" s="110" t="s">
        <v>6161</v>
      </c>
    </row>
    <row r="671">
      <c r="A671" s="72">
        <v>45544.0</v>
      </c>
      <c r="B671" s="75" t="s">
        <v>1134</v>
      </c>
      <c r="C671" s="67" t="str">
        <f>IFERROR(__xludf.DUMMYFUNCTION("""COMPUTED_VALUE"""),"LD153")</f>
        <v>LD153</v>
      </c>
      <c r="D671" s="55" t="s">
        <v>42</v>
      </c>
      <c r="E671" s="55" t="s">
        <v>79</v>
      </c>
      <c r="F671" s="55" t="s">
        <v>174</v>
      </c>
      <c r="G671" s="55">
        <v>1840.0</v>
      </c>
      <c r="H671" s="55" t="s">
        <v>1137</v>
      </c>
      <c r="I671" s="115" t="s">
        <v>6162</v>
      </c>
      <c r="J671" s="55" t="s">
        <v>6163</v>
      </c>
      <c r="K671" s="55" t="s">
        <v>61</v>
      </c>
      <c r="L671" s="55">
        <v>16917.0</v>
      </c>
      <c r="M671" s="55" t="s">
        <v>78</v>
      </c>
      <c r="N671" s="55" t="s">
        <v>79</v>
      </c>
      <c r="O671" s="55" t="s">
        <v>224</v>
      </c>
      <c r="P671" s="55" t="s">
        <v>110</v>
      </c>
      <c r="Q671" s="67" t="str">
        <f>IFERROR(__xludf.DUMMYFUNCTION("""COMPUTED_VALUE"""),"Philippines.giaotiep.PTKOC1_16917_MES_NamNH_090924")</f>
        <v>Philippines.giaotiep.PTKOC1_16917_MES_NamNH_090924</v>
      </c>
      <c r="R671" s="67" t="str">
        <f>IFERROR(__xludf.DUMMYFUNCTION("""COMPUTED_VALUE"""),"NEW_Philippines_1840_none_090924")</f>
        <v>NEW_Philippines_1840_none_090924</v>
      </c>
      <c r="S671" s="67" t="str">
        <f>IFERROR(__xludf.DUMMYFUNCTION("""COMPUTED_VALUE"""),"saletructiep_Philippines.PTKOC1.1840.giaotiep_PTATT_LD153")</f>
        <v>saletructiep_Philippines.PTKOC1.1840.giaotiep_PTATT_LD153</v>
      </c>
      <c r="T671" s="107" t="str">
        <f>IFERROR(__xludf.DUMMYFUNCTION("""COMPUTED_VALUE"""),"https://patadovietnam.edu.vn/tienganhgiaotiep_hn/?utm_source=Facebook&amp;utm_medium=MES&amp;utm_term=NEW_Philippines_1840_none_090924&amp;utm_content=saletructiep_Philippines.PTKOC1.1840.giaotiep_PTATT_LD153&amp;utm_campaign=Philippines.giaotiep.PTKOC1_16917_MES_NamNH_0"&amp;"90924")</f>
        <v>https://patadovietnam.edu.vn/tienganhgiaotiep_hn/?utm_source=Facebook&amp;utm_medium=MES&amp;utm_term=NEW_Philippines_1840_none_090924&amp;utm_content=saletructiep_Philippines.PTKOC1.1840.giaotiep_PTATT_LD153&amp;utm_campaign=Philippines.giaotiep.PTKOC1_16917_MES_NamNH_090924</v>
      </c>
      <c r="U671" s="110" t="s">
        <v>6166</v>
      </c>
    </row>
    <row r="672">
      <c r="A672" s="72">
        <v>45544.0</v>
      </c>
      <c r="B672" s="75" t="s">
        <v>1134</v>
      </c>
      <c r="C672" s="67" t="str">
        <f>IFERROR(__xludf.DUMMYFUNCTION("""COMPUTED_VALUE"""),"LD153")</f>
        <v>LD153</v>
      </c>
      <c r="D672" s="55" t="s">
        <v>42</v>
      </c>
      <c r="E672" s="55" t="s">
        <v>79</v>
      </c>
      <c r="F672" s="55" t="s">
        <v>539</v>
      </c>
      <c r="G672" s="55">
        <v>1840.0</v>
      </c>
      <c r="H672" s="55" t="s">
        <v>1137</v>
      </c>
      <c r="I672" s="115" t="s">
        <v>6168</v>
      </c>
      <c r="J672" s="55" t="s">
        <v>6169</v>
      </c>
      <c r="K672" s="55" t="s">
        <v>61</v>
      </c>
      <c r="L672" s="55">
        <v>16917.0</v>
      </c>
      <c r="M672" s="55" t="s">
        <v>78</v>
      </c>
      <c r="N672" s="55" t="s">
        <v>79</v>
      </c>
      <c r="O672" s="55" t="s">
        <v>224</v>
      </c>
      <c r="P672" s="55" t="s">
        <v>110</v>
      </c>
      <c r="Q672" s="67" t="str">
        <f>IFERROR(__xludf.DUMMYFUNCTION("""COMPUTED_VALUE"""),"ALL.giaotiep.CTT_16917_MES_NamNH_090924")</f>
        <v>ALL.giaotiep.CTT_16917_MES_NamNH_090924</v>
      </c>
      <c r="R672" s="67" t="str">
        <f>IFERROR(__xludf.DUMMYFUNCTION("""COMPUTED_VALUE"""),"NEW_ALL_1840_none_090924")</f>
        <v>NEW_ALL_1840_none_090924</v>
      </c>
      <c r="S672" s="67" t="str">
        <f>IFERROR(__xludf.DUMMYFUNCTION("""COMPUTED_VALUE"""),"saletructiep_ALL.CTT.1840.giaotiep_PTATT_LD153")</f>
        <v>saletructiep_ALL.CTT.1840.giaotiep_PTATT_LD153</v>
      </c>
      <c r="T672" s="107" t="str">
        <f>IFERROR(__xludf.DUMMYFUNCTION("""COMPUTED_VALUE"""),"https://patadovietnam.edu.vn/tienganhgiaotiep_hn/?utm_source=Facebook&amp;utm_medium=MES&amp;utm_term=NEW_ALL_1840_none_090924&amp;utm_content=saletructiep_ALL.CTT.1840.giaotiep_PTATT_LD153&amp;utm_campaign=ALL.giaotiep.CTT_16917_MES_NamNH_090924")</f>
        <v>https://patadovietnam.edu.vn/tienganhgiaotiep_hn/?utm_source=Facebook&amp;utm_medium=MES&amp;utm_term=NEW_ALL_1840_none_090924&amp;utm_content=saletructiep_ALL.CTT.1840.giaotiep_PTATT_LD153&amp;utm_campaign=ALL.giaotiep.CTT_16917_MES_NamNH_090924</v>
      </c>
      <c r="U672" s="110" t="s">
        <v>6173</v>
      </c>
    </row>
    <row r="673">
      <c r="A673" s="72">
        <v>45547.0</v>
      </c>
      <c r="B673" s="75" t="s">
        <v>1134</v>
      </c>
      <c r="C673" s="67" t="str">
        <f>IFERROR(__xludf.DUMMYFUNCTION("""COMPUTED_VALUE"""),"LD153")</f>
        <v>LD153</v>
      </c>
      <c r="D673" s="55" t="s">
        <v>42</v>
      </c>
      <c r="E673" s="55" t="s">
        <v>69</v>
      </c>
      <c r="F673" s="55" t="s">
        <v>674</v>
      </c>
      <c r="G673" s="55">
        <v>1840.0</v>
      </c>
      <c r="H673" s="55" t="s">
        <v>1137</v>
      </c>
      <c r="I673" s="115" t="s">
        <v>6177</v>
      </c>
      <c r="J673" s="55" t="s">
        <v>6178</v>
      </c>
      <c r="K673" s="55" t="s">
        <v>61</v>
      </c>
      <c r="L673" s="55">
        <v>16917.0</v>
      </c>
      <c r="M673" s="55" t="s">
        <v>78</v>
      </c>
      <c r="N673" s="55" t="s">
        <v>69</v>
      </c>
      <c r="O673" s="55" t="s">
        <v>224</v>
      </c>
      <c r="P673" s="55" t="s">
        <v>110</v>
      </c>
      <c r="Q673" s="67" t="str">
        <f>IFERROR(__xludf.DUMMYFUNCTION("""COMPUTED_VALUE"""),"Europe.giaotiep.M271.1_16917_CVS_NamNH_120924")</f>
        <v>Europe.giaotiep.M271.1_16917_CVS_NamNH_120924</v>
      </c>
      <c r="R673" s="67" t="str">
        <f>IFERROR(__xludf.DUMMYFUNCTION("""COMPUTED_VALUE"""),"NEW_Europe_1840_none_120924")</f>
        <v>NEW_Europe_1840_none_120924</v>
      </c>
      <c r="S673" s="67" t="str">
        <f>IFERROR(__xludf.DUMMYFUNCTION("""COMPUTED_VALUE"""),"saletructiep_Europe.M271.1.1840.giaotiep_PTATT_LD153")</f>
        <v>saletructiep_Europe.M271.1.1840.giaotiep_PTATT_LD153</v>
      </c>
      <c r="T673" s="107" t="str">
        <f>IFERROR(__xludf.DUMMYFUNCTION("""COMPUTED_VALUE"""),"https://patadovietnam.edu.vn/tienganhgiaotiep_hn/?utm_source=Facebook&amp;utm_medium=CVS&amp;utm_term=NEW_Europe_1840_none_120924&amp;utm_content=saletructiep_Europe.M271.1.1840.giaotiep_PTATT_LD153&amp;utm_campaign=Europe.giaotiep.M271.1_16917_CVS_NamNH_120924")</f>
        <v>https://patadovietnam.edu.vn/tienganhgiaotiep_hn/?utm_source=Facebook&amp;utm_medium=CVS&amp;utm_term=NEW_Europe_1840_none_120924&amp;utm_content=saletructiep_Europe.M271.1.1840.giaotiep_PTATT_LD153&amp;utm_campaign=Europe.giaotiep.M271.1_16917_CVS_NamNH_120924</v>
      </c>
      <c r="U673" s="110" t="s">
        <v>6185</v>
      </c>
    </row>
    <row r="674">
      <c r="A674" s="72">
        <v>45547.0</v>
      </c>
      <c r="B674" s="75" t="s">
        <v>1134</v>
      </c>
      <c r="C674" s="67" t="str">
        <f>IFERROR(__xludf.DUMMYFUNCTION("""COMPUTED_VALUE"""),"LD153")</f>
        <v>LD153</v>
      </c>
      <c r="D674" s="55" t="s">
        <v>42</v>
      </c>
      <c r="E674" s="55" t="s">
        <v>69</v>
      </c>
      <c r="F674" s="55" t="s">
        <v>674</v>
      </c>
      <c r="G674" s="55">
        <v>1840.0</v>
      </c>
      <c r="H674" s="55" t="s">
        <v>1137</v>
      </c>
      <c r="I674" s="115" t="s">
        <v>6187</v>
      </c>
      <c r="J674" s="55" t="s">
        <v>6188</v>
      </c>
      <c r="K674" s="55" t="s">
        <v>61</v>
      </c>
      <c r="L674" s="55">
        <v>16917.0</v>
      </c>
      <c r="M674" s="55" t="s">
        <v>78</v>
      </c>
      <c r="N674" s="55" t="s">
        <v>69</v>
      </c>
      <c r="O674" s="55" t="s">
        <v>224</v>
      </c>
      <c r="P674" s="55" t="s">
        <v>110</v>
      </c>
      <c r="Q674" s="67" t="str">
        <f>IFERROR(__xludf.DUMMYFUNCTION("""COMPUTED_VALUE"""),"Europe.giaotiep.tienganhgiaotiep1_16917_CVS_NamNH_120924")</f>
        <v>Europe.giaotiep.tienganhgiaotiep1_16917_CVS_NamNH_120924</v>
      </c>
      <c r="R674" s="67" t="str">
        <f>IFERROR(__xludf.DUMMYFUNCTION("""COMPUTED_VALUE"""),"NEW_Europe_1840_none_120924")</f>
        <v>NEW_Europe_1840_none_120924</v>
      </c>
      <c r="S674" s="67" t="str">
        <f>IFERROR(__xludf.DUMMYFUNCTION("""COMPUTED_VALUE"""),"saletructiep_Europe.tienganhgiaotiep1.1840.giaotiep_PTATT_LD153")</f>
        <v>saletructiep_Europe.tienganhgiaotiep1.1840.giaotiep_PTATT_LD153</v>
      </c>
      <c r="T674" s="107" t="str">
        <f>IFERROR(__xludf.DUMMYFUNCTION("""COMPUTED_VALUE"""),"https://patadovietnam.edu.vn/tienganhgiaotiep_hn/?utm_source=Facebook&amp;utm_medium=CVS&amp;utm_term=NEW_Europe_1840_none_120924&amp;utm_content=saletructiep_Europe.tienganhgiaotiep1.1840.giaotiep_PTATT_LD153&amp;utm_campaign=Europe.giaotiep.tienganhgiaotiep1_16917_CVS_"&amp;"NamNH_120924")</f>
        <v>https://patadovietnam.edu.vn/tienganhgiaotiep_hn/?utm_source=Facebook&amp;utm_medium=CVS&amp;utm_term=NEW_Europe_1840_none_120924&amp;utm_content=saletructiep_Europe.tienganhgiaotiep1.1840.giaotiep_PTATT_LD153&amp;utm_campaign=Europe.giaotiep.tienganhgiaotiep1_16917_CVS_NamNH_120924</v>
      </c>
      <c r="U674" s="110" t="s">
        <v>6194</v>
      </c>
    </row>
    <row r="675">
      <c r="A675" s="72">
        <v>45547.0</v>
      </c>
      <c r="B675" s="75" t="s">
        <v>1134</v>
      </c>
      <c r="C675" s="67" t="str">
        <f>IFERROR(__xludf.DUMMYFUNCTION("""COMPUTED_VALUE"""),"LD153")</f>
        <v>LD153</v>
      </c>
      <c r="D675" s="55" t="s">
        <v>42</v>
      </c>
      <c r="E675" s="55" t="s">
        <v>79</v>
      </c>
      <c r="F675" s="55" t="s">
        <v>174</v>
      </c>
      <c r="G675" s="55">
        <v>1840.0</v>
      </c>
      <c r="H675" s="55" t="s">
        <v>1137</v>
      </c>
      <c r="I675" s="115" t="s">
        <v>6195</v>
      </c>
      <c r="J675" s="55" t="s">
        <v>6196</v>
      </c>
      <c r="K675" s="55" t="s">
        <v>61</v>
      </c>
      <c r="L675" s="55">
        <v>16917.0</v>
      </c>
      <c r="M675" s="55" t="s">
        <v>78</v>
      </c>
      <c r="N675" s="55" t="s">
        <v>79</v>
      </c>
      <c r="O675" s="55" t="s">
        <v>224</v>
      </c>
      <c r="P675" s="55" t="s">
        <v>110</v>
      </c>
      <c r="Q675" s="67" t="str">
        <f>IFERROR(__xludf.DUMMYFUNCTION("""COMPUTED_VALUE"""),"Philippines.giaotiep.tienganhgiaotiep2_16917_MES_NamNH_120924")</f>
        <v>Philippines.giaotiep.tienganhgiaotiep2_16917_MES_NamNH_120924</v>
      </c>
      <c r="R675" s="67" t="str">
        <f>IFERROR(__xludf.DUMMYFUNCTION("""COMPUTED_VALUE"""),"NEW_Philippines_1840_none_120924")</f>
        <v>NEW_Philippines_1840_none_120924</v>
      </c>
      <c r="S675" s="67" t="str">
        <f>IFERROR(__xludf.DUMMYFUNCTION("""COMPUTED_VALUE"""),"saletructiep_Philippines.tienganhgiaotiep2.1840.giaotiep_PTATT_LD153")</f>
        <v>saletructiep_Philippines.tienganhgiaotiep2.1840.giaotiep_PTATT_LD153</v>
      </c>
      <c r="T675" s="107" t="str">
        <f>IFERROR(__xludf.DUMMYFUNCTION("""COMPUTED_VALUE"""),"https://patadovietnam.edu.vn/tienganhgiaotiep_hn/?utm_source=Facebook&amp;utm_medium=MES&amp;utm_term=NEW_Philippines_1840_none_120924&amp;utm_content=saletructiep_Philippines.tienganhgiaotiep2.1840.giaotiep_PTATT_LD153&amp;utm_campaign=Philippines.giaotiep.tienganhgiaot"&amp;"iep2_16917_MES_NamNH_120924")</f>
        <v>https://patadovietnam.edu.vn/tienganhgiaotiep_hn/?utm_source=Facebook&amp;utm_medium=MES&amp;utm_term=NEW_Philippines_1840_none_120924&amp;utm_content=saletructiep_Philippines.tienganhgiaotiep2.1840.giaotiep_PTATT_LD153&amp;utm_campaign=Philippines.giaotiep.tienganhgiaotiep2_16917_MES_NamNH_120924</v>
      </c>
      <c r="U675" s="110" t="s">
        <v>6201</v>
      </c>
    </row>
    <row r="676">
      <c r="A676" s="72">
        <v>45550.0</v>
      </c>
      <c r="B676" s="75" t="s">
        <v>1134</v>
      </c>
      <c r="C676" s="67" t="str">
        <f>IFERROR(__xludf.DUMMYFUNCTION("""COMPUTED_VALUE"""),"LD153")</f>
        <v>LD153</v>
      </c>
      <c r="D676" s="55" t="s">
        <v>42</v>
      </c>
      <c r="E676" s="55" t="s">
        <v>79</v>
      </c>
      <c r="F676" s="55" t="s">
        <v>625</v>
      </c>
      <c r="G676" s="55">
        <v>1840.0</v>
      </c>
      <c r="H676" s="55" t="s">
        <v>1137</v>
      </c>
      <c r="I676" s="115" t="s">
        <v>6204</v>
      </c>
      <c r="J676" s="55" t="s">
        <v>6205</v>
      </c>
      <c r="K676" s="55" t="s">
        <v>61</v>
      </c>
      <c r="L676" s="55">
        <v>16917.0</v>
      </c>
      <c r="M676" s="55" t="s">
        <v>78</v>
      </c>
      <c r="N676" s="55" t="s">
        <v>79</v>
      </c>
      <c r="O676" s="55" t="s">
        <v>224</v>
      </c>
      <c r="P676" s="55" t="s">
        <v>110</v>
      </c>
      <c r="Q676" s="67" t="str">
        <f>IFERROR(__xludf.DUMMYFUNCTION("""COMPUTED_VALUE"""),"KoreaSouth.giaotiep.M278_16917_MES_NamNH_150924")</f>
        <v>KoreaSouth.giaotiep.M278_16917_MES_NamNH_150924</v>
      </c>
      <c r="R676" s="67" t="str">
        <f>IFERROR(__xludf.DUMMYFUNCTION("""COMPUTED_VALUE"""),"NEW_KoreaSouth_1840_none_150924")</f>
        <v>NEW_KoreaSouth_1840_none_150924</v>
      </c>
      <c r="S676" s="67" t="str">
        <f>IFERROR(__xludf.DUMMYFUNCTION("""COMPUTED_VALUE"""),"saletructiep_KoreaSouth.M278.1840.giaotiep_PTATT_LD153")</f>
        <v>saletructiep_KoreaSouth.M278.1840.giaotiep_PTATT_LD153</v>
      </c>
      <c r="T676" s="107" t="str">
        <f>IFERROR(__xludf.DUMMYFUNCTION("""COMPUTED_VALUE"""),"https://patadovietnam.edu.vn/tienganhgiaotiep_hn/?utm_source=Facebook&amp;utm_medium=MES&amp;utm_term=NEW_KoreaSouth_1840_none_150924&amp;utm_content=saletructiep_KoreaSouth.M278.1840.giaotiep_PTATT_LD153&amp;utm_campaign=KoreaSouth.giaotiep.M278_16917_MES_NamNH_150924")</f>
        <v>https://patadovietnam.edu.vn/tienganhgiaotiep_hn/?utm_source=Facebook&amp;utm_medium=MES&amp;utm_term=NEW_KoreaSouth_1840_none_150924&amp;utm_content=saletructiep_KoreaSouth.M278.1840.giaotiep_PTATT_LD153&amp;utm_campaign=KoreaSouth.giaotiep.M278_16917_MES_NamNH_150924</v>
      </c>
      <c r="U676" s="110" t="s">
        <v>6210</v>
      </c>
    </row>
    <row r="677">
      <c r="A677" s="72">
        <v>45552.0</v>
      </c>
      <c r="B677" s="75" t="s">
        <v>1245</v>
      </c>
      <c r="C677" s="67" t="str">
        <f>IFERROR(__xludf.DUMMYFUNCTION("""COMPUTED_VALUE"""),"LD161")</f>
        <v>LD161</v>
      </c>
      <c r="D677" s="55" t="s">
        <v>42</v>
      </c>
      <c r="E677" s="55" t="s">
        <v>79</v>
      </c>
      <c r="F677" s="55" t="s">
        <v>107</v>
      </c>
      <c r="G677" s="55">
        <v>1840.0</v>
      </c>
      <c r="H677" s="55" t="s">
        <v>1137</v>
      </c>
      <c r="I677" s="115" t="s">
        <v>6213</v>
      </c>
      <c r="J677" s="55" t="s">
        <v>6214</v>
      </c>
      <c r="K677" s="55" t="s">
        <v>61</v>
      </c>
      <c r="L677" s="55">
        <v>16917.0</v>
      </c>
      <c r="M677" s="55" t="s">
        <v>78</v>
      </c>
      <c r="N677" s="55" t="s">
        <v>79</v>
      </c>
      <c r="O677" s="55" t="s">
        <v>224</v>
      </c>
      <c r="P677" s="55" t="s">
        <v>110</v>
      </c>
      <c r="Q677" s="67" t="str">
        <f>IFERROR(__xludf.DUMMYFUNCTION("""COMPUTED_VALUE"""),"UnitedStates.giaotiep.M278_16917_MES_NamNH_170924")</f>
        <v>UnitedStates.giaotiep.M278_16917_MES_NamNH_170924</v>
      </c>
      <c r="R677" s="67" t="str">
        <f>IFERROR(__xludf.DUMMYFUNCTION("""COMPUTED_VALUE"""),"NEW_UnitedStates_1840_none_170924")</f>
        <v>NEW_UnitedStates_1840_none_170924</v>
      </c>
      <c r="S677" s="67" t="str">
        <f>IFERROR(__xludf.DUMMYFUNCTION("""COMPUTED_VALUE"""),"saletructiep_UnitedStates.M278.1840.giaotiep_PTATT_LD161")</f>
        <v>saletructiep_UnitedStates.M278.1840.giaotiep_PTATT_LD161</v>
      </c>
      <c r="T677" s="107" t="str">
        <f>IFERROR(__xludf.DUMMYFUNCTION("""COMPUTED_VALUE"""),"https://patadovietnam.edu.vn/gtusa1_nhn/?utm_source=Facebook&amp;utm_medium=MES&amp;utm_term=NEW_UnitedStates_1840_none_170924&amp;utm_content=saletructiep_UnitedStates.M278.1840.giaotiep_PTATT_LD161&amp;utm_campaign=UnitedStates.giaotiep.M278_16917_MES_NamNH_170924")</f>
        <v>https://patadovietnam.edu.vn/gtusa1_nhn/?utm_source=Facebook&amp;utm_medium=MES&amp;utm_term=NEW_UnitedStates_1840_none_170924&amp;utm_content=saletructiep_UnitedStates.M278.1840.giaotiep_PTATT_LD161&amp;utm_campaign=UnitedStates.giaotiep.M278_16917_MES_NamNH_170924</v>
      </c>
      <c r="U677" s="118"/>
    </row>
    <row r="678">
      <c r="A678" s="72">
        <v>45552.0</v>
      </c>
      <c r="B678" s="75" t="s">
        <v>1245</v>
      </c>
      <c r="C678" s="67" t="str">
        <f>IFERROR(__xludf.DUMMYFUNCTION("""COMPUTED_VALUE"""),"LD161")</f>
        <v>LD161</v>
      </c>
      <c r="D678" s="55" t="s">
        <v>42</v>
      </c>
      <c r="E678" s="55" t="s">
        <v>79</v>
      </c>
      <c r="F678" s="55" t="s">
        <v>107</v>
      </c>
      <c r="G678" s="55">
        <v>1840.0</v>
      </c>
      <c r="H678" s="55" t="s">
        <v>1137</v>
      </c>
      <c r="I678" s="115" t="s">
        <v>6006</v>
      </c>
      <c r="J678" s="55" t="s">
        <v>6007</v>
      </c>
      <c r="K678" s="55" t="s">
        <v>61</v>
      </c>
      <c r="L678" s="55">
        <v>16917.0</v>
      </c>
      <c r="M678" s="55" t="s">
        <v>78</v>
      </c>
      <c r="N678" s="55" t="s">
        <v>79</v>
      </c>
      <c r="O678" s="55" t="s">
        <v>224</v>
      </c>
      <c r="P678" s="55" t="s">
        <v>110</v>
      </c>
      <c r="Q678" s="67" t="str">
        <f>IFERROR(__xludf.DUMMYFUNCTION("""COMPUTED_VALUE"""),"UnitedStates.giaotiep.M271_16917_MES_NamNH_170924")</f>
        <v>UnitedStates.giaotiep.M271_16917_MES_NamNH_170924</v>
      </c>
      <c r="R678" s="67" t="str">
        <f>IFERROR(__xludf.DUMMYFUNCTION("""COMPUTED_VALUE"""),"NEW_UnitedStates_1840_none_170924")</f>
        <v>NEW_UnitedStates_1840_none_170924</v>
      </c>
      <c r="S678" s="67" t="str">
        <f>IFERROR(__xludf.DUMMYFUNCTION("""COMPUTED_VALUE"""),"saletructiep_UnitedStates.M271.1840.giaotiep_PTATT_LD161")</f>
        <v>saletructiep_UnitedStates.M271.1840.giaotiep_PTATT_LD161</v>
      </c>
      <c r="T678" s="107" t="str">
        <f>IFERROR(__xludf.DUMMYFUNCTION("""COMPUTED_VALUE"""),"https://patadovietnam.edu.vn/gtusa1_nhn/?utm_source=Facebook&amp;utm_medium=MES&amp;utm_term=NEW_UnitedStates_1840_none_170924&amp;utm_content=saletructiep_UnitedStates.M271.1840.giaotiep_PTATT_LD161&amp;utm_campaign=UnitedStates.giaotiep.M271_16917_MES_NamNH_170924")</f>
        <v>https://patadovietnam.edu.vn/gtusa1_nhn/?utm_source=Facebook&amp;utm_medium=MES&amp;utm_term=NEW_UnitedStates_1840_none_170924&amp;utm_content=saletructiep_UnitedStates.M271.1840.giaotiep_PTATT_LD161&amp;utm_campaign=UnitedStates.giaotiep.M271_16917_MES_NamNH_170924</v>
      </c>
      <c r="U678" s="110" t="s">
        <v>6222</v>
      </c>
    </row>
    <row r="679">
      <c r="A679" s="72">
        <v>45556.0</v>
      </c>
      <c r="B679" s="75" t="s">
        <v>1134</v>
      </c>
      <c r="C679" s="67" t="str">
        <f>IFERROR(__xludf.DUMMYFUNCTION("""COMPUTED_VALUE"""),"LD153")</f>
        <v>LD153</v>
      </c>
      <c r="D679" s="55" t="s">
        <v>42</v>
      </c>
      <c r="E679" s="55" t="s">
        <v>79</v>
      </c>
      <c r="F679" s="55" t="s">
        <v>539</v>
      </c>
      <c r="G679" s="55">
        <v>1840.0</v>
      </c>
      <c r="H679" s="55" t="s">
        <v>1137</v>
      </c>
      <c r="I679" s="115" t="s">
        <v>6226</v>
      </c>
      <c r="J679" s="55" t="s">
        <v>6227</v>
      </c>
      <c r="K679" s="55" t="s">
        <v>61</v>
      </c>
      <c r="L679" s="55">
        <v>16917.0</v>
      </c>
      <c r="M679" s="55" t="s">
        <v>78</v>
      </c>
      <c r="N679" s="55" t="s">
        <v>79</v>
      </c>
      <c r="O679" s="55" t="s">
        <v>224</v>
      </c>
      <c r="P679" s="55" t="s">
        <v>110</v>
      </c>
      <c r="Q679" s="67" t="str">
        <f>IFERROR(__xludf.DUMMYFUNCTION("""COMPUTED_VALUE"""),"ALL.giaotiep.CTT1_16917_MES_NamNH_210924")</f>
        <v>ALL.giaotiep.CTT1_16917_MES_NamNH_210924</v>
      </c>
      <c r="R679" s="67" t="str">
        <f>IFERROR(__xludf.DUMMYFUNCTION("""COMPUTED_VALUE"""),"NEW_ALL_1840_none_210924")</f>
        <v>NEW_ALL_1840_none_210924</v>
      </c>
      <c r="S679" s="67" t="str">
        <f>IFERROR(__xludf.DUMMYFUNCTION("""COMPUTED_VALUE"""),"saletructiep_ALL.CTT1.1840.giaotiep_PTATT_LD153")</f>
        <v>saletructiep_ALL.CTT1.1840.giaotiep_PTATT_LD153</v>
      </c>
      <c r="T679" s="107" t="str">
        <f>IFERROR(__xludf.DUMMYFUNCTION("""COMPUTED_VALUE"""),"https://patadovietnam.edu.vn/tienganhgiaotiep_hn/?utm_source=Facebook&amp;utm_medium=MES&amp;utm_term=NEW_ALL_1840_none_210924&amp;utm_content=saletructiep_ALL.CTT1.1840.giaotiep_PTATT_LD153&amp;utm_campaign=ALL.giaotiep.CTT1_16917_MES_NamNH_210924")</f>
        <v>https://patadovietnam.edu.vn/tienganhgiaotiep_hn/?utm_source=Facebook&amp;utm_medium=MES&amp;utm_term=NEW_ALL_1840_none_210924&amp;utm_content=saletructiep_ALL.CTT1.1840.giaotiep_PTATT_LD153&amp;utm_campaign=ALL.giaotiep.CTT1_16917_MES_NamNH_210924</v>
      </c>
      <c r="U679" s="118"/>
    </row>
    <row r="680">
      <c r="A680" s="72">
        <v>45556.0</v>
      </c>
      <c r="B680" s="75" t="s">
        <v>1134</v>
      </c>
      <c r="C680" s="67" t="str">
        <f>IFERROR(__xludf.DUMMYFUNCTION("""COMPUTED_VALUE"""),"LD153")</f>
        <v>LD153</v>
      </c>
      <c r="D680" s="55" t="s">
        <v>42</v>
      </c>
      <c r="E680" s="55" t="s">
        <v>79</v>
      </c>
      <c r="F680" s="55" t="s">
        <v>539</v>
      </c>
      <c r="G680" s="55">
        <v>1840.0</v>
      </c>
      <c r="H680" s="55" t="s">
        <v>1137</v>
      </c>
      <c r="I680" s="115" t="s">
        <v>6233</v>
      </c>
      <c r="J680" s="55" t="s">
        <v>6234</v>
      </c>
      <c r="K680" s="55" t="s">
        <v>61</v>
      </c>
      <c r="L680" s="55">
        <v>16917.0</v>
      </c>
      <c r="M680" s="55" t="s">
        <v>78</v>
      </c>
      <c r="N680" s="55" t="s">
        <v>79</v>
      </c>
      <c r="O680" s="55" t="s">
        <v>224</v>
      </c>
      <c r="P680" s="55" t="s">
        <v>110</v>
      </c>
      <c r="Q680" s="67" t="str">
        <f>IFERROR(__xludf.DUMMYFUNCTION("""COMPUTED_VALUE"""),"ALL.giaotiep.CTT2_16917_MES_NamNH_210924")</f>
        <v>ALL.giaotiep.CTT2_16917_MES_NamNH_210924</v>
      </c>
      <c r="R680" s="67" t="str">
        <f>IFERROR(__xludf.DUMMYFUNCTION("""COMPUTED_VALUE"""),"NEW_ALL_1840_none_210924")</f>
        <v>NEW_ALL_1840_none_210924</v>
      </c>
      <c r="S680" s="67" t="str">
        <f>IFERROR(__xludf.DUMMYFUNCTION("""COMPUTED_VALUE"""),"saletructiep_ALL.CTT2.1840.giaotiep_PTATT_LD153")</f>
        <v>saletructiep_ALL.CTT2.1840.giaotiep_PTATT_LD153</v>
      </c>
      <c r="T680" s="107" t="str">
        <f>IFERROR(__xludf.DUMMYFUNCTION("""COMPUTED_VALUE"""),"https://patadovietnam.edu.vn/tienganhgiaotiep_hn/?utm_source=Facebook&amp;utm_medium=MES&amp;utm_term=NEW_ALL_1840_none_210924&amp;utm_content=saletructiep_ALL.CTT2.1840.giaotiep_PTATT_LD153&amp;utm_campaign=ALL.giaotiep.CTT2_16917_MES_NamNH_210924")</f>
        <v>https://patadovietnam.edu.vn/tienganhgiaotiep_hn/?utm_source=Facebook&amp;utm_medium=MES&amp;utm_term=NEW_ALL_1840_none_210924&amp;utm_content=saletructiep_ALL.CTT2.1840.giaotiep_PTATT_LD153&amp;utm_campaign=ALL.giaotiep.CTT2_16917_MES_NamNH_210924</v>
      </c>
      <c r="U680" s="118"/>
    </row>
    <row r="681">
      <c r="A681" s="72">
        <v>45556.0</v>
      </c>
      <c r="B681" s="75" t="s">
        <v>1134</v>
      </c>
      <c r="C681" s="67" t="str">
        <f>IFERROR(__xludf.DUMMYFUNCTION("""COMPUTED_VALUE"""),"LD153")</f>
        <v>LD153</v>
      </c>
      <c r="D681" s="55" t="s">
        <v>42</v>
      </c>
      <c r="E681" s="55" t="s">
        <v>79</v>
      </c>
      <c r="F681" s="55" t="s">
        <v>539</v>
      </c>
      <c r="G681" s="55">
        <v>1840.0</v>
      </c>
      <c r="H681" s="55" t="s">
        <v>1137</v>
      </c>
      <c r="I681" s="115" t="s">
        <v>6241</v>
      </c>
      <c r="J681" s="55" t="s">
        <v>6242</v>
      </c>
      <c r="K681" s="55" t="s">
        <v>61</v>
      </c>
      <c r="L681" s="55">
        <v>16917.0</v>
      </c>
      <c r="M681" s="55" t="s">
        <v>78</v>
      </c>
      <c r="N681" s="55" t="s">
        <v>79</v>
      </c>
      <c r="O681" s="55" t="s">
        <v>224</v>
      </c>
      <c r="P681" s="55" t="s">
        <v>110</v>
      </c>
      <c r="Q681" s="67" t="str">
        <f>IFERROR(__xludf.DUMMYFUNCTION("""COMPUTED_VALUE"""),"ALL.giaotiep.CTT3_16917_MES_NamNH_210924")</f>
        <v>ALL.giaotiep.CTT3_16917_MES_NamNH_210924</v>
      </c>
      <c r="R681" s="67" t="str">
        <f>IFERROR(__xludf.DUMMYFUNCTION("""COMPUTED_VALUE"""),"NEW_ALL_1840_none_210924")</f>
        <v>NEW_ALL_1840_none_210924</v>
      </c>
      <c r="S681" s="67" t="str">
        <f>IFERROR(__xludf.DUMMYFUNCTION("""COMPUTED_VALUE"""),"saletructiep_ALL.CTT3.1840.giaotiep_PTATT_LD153")</f>
        <v>saletructiep_ALL.CTT3.1840.giaotiep_PTATT_LD153</v>
      </c>
      <c r="T681" s="107" t="str">
        <f>IFERROR(__xludf.DUMMYFUNCTION("""COMPUTED_VALUE"""),"https://patadovietnam.edu.vn/tienganhgiaotiep_hn/?utm_source=Facebook&amp;utm_medium=MES&amp;utm_term=NEW_ALL_1840_none_210924&amp;utm_content=saletructiep_ALL.CTT3.1840.giaotiep_PTATT_LD153&amp;utm_campaign=ALL.giaotiep.CTT3_16917_MES_NamNH_210924")</f>
        <v>https://patadovietnam.edu.vn/tienganhgiaotiep_hn/?utm_source=Facebook&amp;utm_medium=MES&amp;utm_term=NEW_ALL_1840_none_210924&amp;utm_content=saletructiep_ALL.CTT3.1840.giaotiep_PTATT_LD153&amp;utm_campaign=ALL.giaotiep.CTT3_16917_MES_NamNH_210924</v>
      </c>
      <c r="U681" s="118"/>
    </row>
    <row r="682">
      <c r="A682" s="72">
        <v>45560.0</v>
      </c>
      <c r="B682" s="75" t="s">
        <v>1229</v>
      </c>
      <c r="C682" s="67" t="str">
        <f>IFERROR(__xludf.DUMMYFUNCTION("""COMPUTED_VALUE"""),"LD164")</f>
        <v>LD164</v>
      </c>
      <c r="D682" s="55" t="s">
        <v>42</v>
      </c>
      <c r="E682" s="55" t="s">
        <v>69</v>
      </c>
      <c r="F682" s="55" t="s">
        <v>133</v>
      </c>
      <c r="G682" s="55">
        <v>1840.0</v>
      </c>
      <c r="H682" s="55" t="s">
        <v>1137</v>
      </c>
      <c r="I682" s="115" t="s">
        <v>1997</v>
      </c>
      <c r="J682" s="55" t="s">
        <v>5835</v>
      </c>
      <c r="K682" s="55" t="s">
        <v>61</v>
      </c>
      <c r="L682" s="55">
        <v>16917.0</v>
      </c>
      <c r="M682" s="55" t="s">
        <v>78</v>
      </c>
      <c r="N682" s="55" t="s">
        <v>69</v>
      </c>
      <c r="O682" s="55" t="s">
        <v>224</v>
      </c>
      <c r="P682" s="55" t="s">
        <v>110</v>
      </c>
      <c r="Q682" s="67" t="str">
        <f>IFERROR(__xludf.DUMMYFUNCTION("""COMPUTED_VALUE"""),"Japan.giaotiep.M264_16917_CVS_NamNH_250924")</f>
        <v>Japan.giaotiep.M264_16917_CVS_NamNH_250924</v>
      </c>
      <c r="R682" s="67" t="str">
        <f>IFERROR(__xludf.DUMMYFUNCTION("""COMPUTED_VALUE"""),"NEW_Japan_1840_none_250924")</f>
        <v>NEW_Japan_1840_none_250924</v>
      </c>
      <c r="S682" s="67" t="str">
        <f>IFERROR(__xludf.DUMMYFUNCTION("""COMPUTED_VALUE"""),"saletructiep_Japan.M264.1840.giaotiep_PTATT_LD164")</f>
        <v>saletructiep_Japan.M264.1840.giaotiep_PTATT_LD164</v>
      </c>
      <c r="T682" s="107" t="str">
        <f>IFERROR(__xludf.DUMMYFUNCTION("""COMPUTED_VALUE"""),"https://patadovietnam.edu.vn/gtjapan_nhn3/?utm_source=Facebook&amp;utm_medium=CVS&amp;utm_term=NEW_Japan_1840_none_250924&amp;utm_content=saletructiep_Japan.M264.1840.giaotiep_PTATT_LD164&amp;utm_campaign=Japan.giaotiep.M264_16917_CVS_NamNH_250924")</f>
        <v>https://patadovietnam.edu.vn/gtjapan_nhn3/?utm_source=Facebook&amp;utm_medium=CVS&amp;utm_term=NEW_Japan_1840_none_250924&amp;utm_content=saletructiep_Japan.M264.1840.giaotiep_PTATT_LD164&amp;utm_campaign=Japan.giaotiep.M264_16917_CVS_NamNH_250924</v>
      </c>
      <c r="U682" s="118"/>
    </row>
    <row r="683">
      <c r="A683" s="72">
        <v>45560.0</v>
      </c>
      <c r="B683" s="75" t="s">
        <v>1229</v>
      </c>
      <c r="C683" s="67" t="str">
        <f>IFERROR(__xludf.DUMMYFUNCTION("""COMPUTED_VALUE"""),"LD164")</f>
        <v>LD164</v>
      </c>
      <c r="D683" s="55" t="s">
        <v>42</v>
      </c>
      <c r="E683" s="55" t="s">
        <v>69</v>
      </c>
      <c r="F683" s="55" t="s">
        <v>133</v>
      </c>
      <c r="G683" s="55">
        <v>1840.0</v>
      </c>
      <c r="H683" s="55" t="s">
        <v>1137</v>
      </c>
      <c r="I683" s="115" t="s">
        <v>5885</v>
      </c>
      <c r="J683" s="55" t="s">
        <v>5886</v>
      </c>
      <c r="K683" s="55" t="s">
        <v>61</v>
      </c>
      <c r="L683" s="55">
        <v>16917.0</v>
      </c>
      <c r="M683" s="55" t="s">
        <v>78</v>
      </c>
      <c r="N683" s="55" t="s">
        <v>69</v>
      </c>
      <c r="O683" s="55" t="s">
        <v>224</v>
      </c>
      <c r="P683" s="55" t="s">
        <v>110</v>
      </c>
      <c r="Q683" s="67" t="str">
        <f>IFERROR(__xludf.DUMMYFUNCTION("""COMPUTED_VALUE"""),"Japan.giaotiep.M269_16917_CVS_NamNH_250924")</f>
        <v>Japan.giaotiep.M269_16917_CVS_NamNH_250924</v>
      </c>
      <c r="R683" s="67" t="str">
        <f>IFERROR(__xludf.DUMMYFUNCTION("""COMPUTED_VALUE"""),"NEW_Japan_1840_none_250924")</f>
        <v>NEW_Japan_1840_none_250924</v>
      </c>
      <c r="S683" s="67" t="str">
        <f>IFERROR(__xludf.DUMMYFUNCTION("""COMPUTED_VALUE"""),"saletructiep_Japan.M269.1840.giaotiep_PTATT_LD164")</f>
        <v>saletructiep_Japan.M269.1840.giaotiep_PTATT_LD164</v>
      </c>
      <c r="T683" s="107" t="str">
        <f>IFERROR(__xludf.DUMMYFUNCTION("""COMPUTED_VALUE"""),"https://patadovietnam.edu.vn/gtjapan_nhn3/?utm_source=Facebook&amp;utm_medium=CVS&amp;utm_term=NEW_Japan_1840_none_250924&amp;utm_content=saletructiep_Japan.M269.1840.giaotiep_PTATT_LD164&amp;utm_campaign=Japan.giaotiep.M269_16917_CVS_NamNH_250924")</f>
        <v>https://patadovietnam.edu.vn/gtjapan_nhn3/?utm_source=Facebook&amp;utm_medium=CVS&amp;utm_term=NEW_Japan_1840_none_250924&amp;utm_content=saletructiep_Japan.M269.1840.giaotiep_PTATT_LD164&amp;utm_campaign=Japan.giaotiep.M269_16917_CVS_NamNH_250924</v>
      </c>
      <c r="U683" s="118"/>
    </row>
    <row r="684">
      <c r="A684" s="72">
        <v>45560.0</v>
      </c>
      <c r="B684" s="75" t="s">
        <v>1229</v>
      </c>
      <c r="C684" s="67" t="str">
        <f>IFERROR(__xludf.DUMMYFUNCTION("""COMPUTED_VALUE"""),"LD164")</f>
        <v>LD164</v>
      </c>
      <c r="D684" s="55" t="s">
        <v>42</v>
      </c>
      <c r="E684" s="55" t="s">
        <v>69</v>
      </c>
      <c r="F684" s="55" t="s">
        <v>133</v>
      </c>
      <c r="G684" s="55">
        <v>1840.0</v>
      </c>
      <c r="H684" s="55" t="s">
        <v>1137</v>
      </c>
      <c r="I684" s="115" t="s">
        <v>5156</v>
      </c>
      <c r="J684" s="55" t="s">
        <v>5157</v>
      </c>
      <c r="K684" s="55" t="s">
        <v>61</v>
      </c>
      <c r="L684" s="55">
        <v>16917.0</v>
      </c>
      <c r="M684" s="55" t="s">
        <v>78</v>
      </c>
      <c r="N684" s="55" t="s">
        <v>69</v>
      </c>
      <c r="O684" s="55" t="s">
        <v>224</v>
      </c>
      <c r="P684" s="55" t="s">
        <v>110</v>
      </c>
      <c r="Q684" s="67" t="str">
        <f>IFERROR(__xludf.DUMMYFUNCTION("""COMPUTED_VALUE"""),"Japan.giaotiep.M236_16917_CVS_NamNH_250924")</f>
        <v>Japan.giaotiep.M236_16917_CVS_NamNH_250924</v>
      </c>
      <c r="R684" s="67" t="str">
        <f>IFERROR(__xludf.DUMMYFUNCTION("""COMPUTED_VALUE"""),"NEW_Japan_1840_none_250924")</f>
        <v>NEW_Japan_1840_none_250924</v>
      </c>
      <c r="S684" s="67" t="str">
        <f>IFERROR(__xludf.DUMMYFUNCTION("""COMPUTED_VALUE"""),"saletructiep_Japan.M236.1840.giaotiep_PTATT_LD164")</f>
        <v>saletructiep_Japan.M236.1840.giaotiep_PTATT_LD164</v>
      </c>
      <c r="T684" s="107" t="str">
        <f>IFERROR(__xludf.DUMMYFUNCTION("""COMPUTED_VALUE"""),"https://patadovietnam.edu.vn/gtjapan_nhn3/?utm_source=Facebook&amp;utm_medium=CVS&amp;utm_term=NEW_Japan_1840_none_250924&amp;utm_content=saletructiep_Japan.M236.1840.giaotiep_PTATT_LD164&amp;utm_campaign=Japan.giaotiep.M236_16917_CVS_NamNH_250924")</f>
        <v>https://patadovietnam.edu.vn/gtjapan_nhn3/?utm_source=Facebook&amp;utm_medium=CVS&amp;utm_term=NEW_Japan_1840_none_250924&amp;utm_content=saletructiep_Japan.M236.1840.giaotiep_PTATT_LD164&amp;utm_campaign=Japan.giaotiep.M236_16917_CVS_NamNH_250924</v>
      </c>
      <c r="U684" s="118"/>
    </row>
    <row r="685">
      <c r="A685" s="72">
        <v>45560.0</v>
      </c>
      <c r="B685" s="60" t="s">
        <v>1229</v>
      </c>
      <c r="C685" s="67" t="str">
        <f>IFERROR(__xludf.DUMMYFUNCTION("""COMPUTED_VALUE"""),"LD164")</f>
        <v>LD164</v>
      </c>
      <c r="D685" s="55" t="s">
        <v>42</v>
      </c>
      <c r="E685" s="55" t="s">
        <v>69</v>
      </c>
      <c r="F685" s="55" t="s">
        <v>133</v>
      </c>
      <c r="G685" s="55">
        <v>1840.0</v>
      </c>
      <c r="H685" s="55" t="s">
        <v>1137</v>
      </c>
      <c r="I685" s="115" t="s">
        <v>5635</v>
      </c>
      <c r="J685" s="55" t="s">
        <v>5636</v>
      </c>
      <c r="K685" s="55" t="s">
        <v>61</v>
      </c>
      <c r="L685" s="55">
        <v>16917.0</v>
      </c>
      <c r="M685" s="55" t="s">
        <v>78</v>
      </c>
      <c r="N685" s="55" t="s">
        <v>69</v>
      </c>
      <c r="O685" s="55" t="s">
        <v>224</v>
      </c>
      <c r="P685" s="55" t="s">
        <v>110</v>
      </c>
      <c r="Q685" s="67" t="str">
        <f>IFERROR(__xludf.DUMMYFUNCTION("""COMPUTED_VALUE"""),"Japan.giaotiep.M254_16917_CVS_NamNH_250924")</f>
        <v>Japan.giaotiep.M254_16917_CVS_NamNH_250924</v>
      </c>
      <c r="R685" s="67" t="str">
        <f>IFERROR(__xludf.DUMMYFUNCTION("""COMPUTED_VALUE"""),"NEW_Japan_1840_none_250924")</f>
        <v>NEW_Japan_1840_none_250924</v>
      </c>
      <c r="S685" s="67" t="str">
        <f>IFERROR(__xludf.DUMMYFUNCTION("""COMPUTED_VALUE"""),"saletructiep_Japan.M254.1840.giaotiep_PTATT_LD164")</f>
        <v>saletructiep_Japan.M254.1840.giaotiep_PTATT_LD164</v>
      </c>
      <c r="T685" s="107" t="str">
        <f>IFERROR(__xludf.DUMMYFUNCTION("""COMPUTED_VALUE"""),"https://patadovietnam.edu.vn/gtjapan_nhn3/?utm_source=Facebook&amp;utm_medium=CVS&amp;utm_term=NEW_Japan_1840_none_250924&amp;utm_content=saletructiep_Japan.M254.1840.giaotiep_PTATT_LD164&amp;utm_campaign=Japan.giaotiep.M254_16917_CVS_NamNH_250924")</f>
        <v>https://patadovietnam.edu.vn/gtjapan_nhn3/?utm_source=Facebook&amp;utm_medium=CVS&amp;utm_term=NEW_Japan_1840_none_250924&amp;utm_content=saletructiep_Japan.M254.1840.giaotiep_PTATT_LD164&amp;utm_campaign=Japan.giaotiep.M254_16917_CVS_NamNH_250924</v>
      </c>
      <c r="U685" s="118"/>
    </row>
    <row r="686">
      <c r="A686" s="72">
        <v>45567.0</v>
      </c>
      <c r="B686" s="75" t="s">
        <v>1134</v>
      </c>
      <c r="C686" s="67" t="str">
        <f>IFERROR(__xludf.DUMMYFUNCTION("""COMPUTED_VALUE"""),"LD153")</f>
        <v>LD153</v>
      </c>
      <c r="D686" s="55" t="s">
        <v>42</v>
      </c>
      <c r="E686" s="55" t="s">
        <v>69</v>
      </c>
      <c r="F686" s="55" t="s">
        <v>674</v>
      </c>
      <c r="G686" s="55">
        <v>1840.0</v>
      </c>
      <c r="H686" s="55" t="s">
        <v>1137</v>
      </c>
      <c r="I686" s="115" t="s">
        <v>6264</v>
      </c>
      <c r="J686" s="55" t="s">
        <v>6265</v>
      </c>
      <c r="K686" s="55" t="s">
        <v>61</v>
      </c>
      <c r="L686" s="55">
        <v>16917.0</v>
      </c>
      <c r="M686" s="55" t="s">
        <v>78</v>
      </c>
      <c r="N686" s="55" t="s">
        <v>69</v>
      </c>
      <c r="O686" s="55" t="s">
        <v>224</v>
      </c>
      <c r="P686" s="55" t="s">
        <v>110</v>
      </c>
      <c r="Q686" s="67" t="str">
        <f>IFERROR(__xludf.DUMMYFUNCTION("""COMPUTED_VALUE"""),"Europe.giaotiep.M279_16917_CVS_NamNH_021024")</f>
        <v>Europe.giaotiep.M279_16917_CVS_NamNH_021024</v>
      </c>
      <c r="R686" s="67" t="str">
        <f>IFERROR(__xludf.DUMMYFUNCTION("""COMPUTED_VALUE"""),"NEW_Europe_1840_none_021024")</f>
        <v>NEW_Europe_1840_none_021024</v>
      </c>
      <c r="S686" s="67" t="str">
        <f>IFERROR(__xludf.DUMMYFUNCTION("""COMPUTED_VALUE"""),"saletructiep_Europe.M279.1840.giaotiep_PTATT_LD153")</f>
        <v>saletructiep_Europe.M279.1840.giaotiep_PTATT_LD153</v>
      </c>
      <c r="T686" s="107" t="str">
        <f>IFERROR(__xludf.DUMMYFUNCTION("""COMPUTED_VALUE"""),"https://patadovietnam.edu.vn/tienganhgiaotiep_hn/?utm_source=Facebook&amp;utm_medium=CVS&amp;utm_term=NEW_Europe_1840_none_021024&amp;utm_content=saletructiep_Europe.M279.1840.giaotiep_PTATT_LD153&amp;utm_campaign=Europe.giaotiep.M279_16917_CVS_NamNH_021024")</f>
        <v>https://patadovietnam.edu.vn/tienganhgiaotiep_hn/?utm_source=Facebook&amp;utm_medium=CVS&amp;utm_term=NEW_Europe_1840_none_021024&amp;utm_content=saletructiep_Europe.M279.1840.giaotiep_PTATT_LD153&amp;utm_campaign=Europe.giaotiep.M279_16917_CVS_NamNH_021024</v>
      </c>
      <c r="U686" s="118"/>
    </row>
    <row r="687">
      <c r="A687" s="72">
        <v>45567.0</v>
      </c>
      <c r="B687" s="75" t="s">
        <v>1134</v>
      </c>
      <c r="C687" s="67" t="str">
        <f>IFERROR(__xludf.DUMMYFUNCTION("""COMPUTED_VALUE"""),"LD153")</f>
        <v>LD153</v>
      </c>
      <c r="D687" s="55" t="s">
        <v>42</v>
      </c>
      <c r="E687" s="55" t="s">
        <v>69</v>
      </c>
      <c r="F687" s="55" t="s">
        <v>674</v>
      </c>
      <c r="G687" s="55">
        <v>1840.0</v>
      </c>
      <c r="H687" s="55" t="s">
        <v>1137</v>
      </c>
      <c r="I687" s="115" t="s">
        <v>6271</v>
      </c>
      <c r="J687" s="55" t="s">
        <v>6272</v>
      </c>
      <c r="K687" s="55" t="s">
        <v>61</v>
      </c>
      <c r="L687" s="55">
        <v>16917.0</v>
      </c>
      <c r="M687" s="55" t="s">
        <v>78</v>
      </c>
      <c r="N687" s="55" t="s">
        <v>69</v>
      </c>
      <c r="O687" s="55" t="s">
        <v>224</v>
      </c>
      <c r="P687" s="55" t="s">
        <v>110</v>
      </c>
      <c r="Q687" s="67" t="str">
        <f>IFERROR(__xludf.DUMMYFUNCTION("""COMPUTED_VALUE"""),"Europe.giaotiep.M280_16917_CVS_NamNH_021024")</f>
        <v>Europe.giaotiep.M280_16917_CVS_NamNH_021024</v>
      </c>
      <c r="R687" s="67" t="str">
        <f>IFERROR(__xludf.DUMMYFUNCTION("""COMPUTED_VALUE"""),"NEW_Europe_1840_none_021024")</f>
        <v>NEW_Europe_1840_none_021024</v>
      </c>
      <c r="S687" s="67" t="str">
        <f>IFERROR(__xludf.DUMMYFUNCTION("""COMPUTED_VALUE"""),"saletructiep_Europe.M280.1840.giaotiep_PTATT_LD153")</f>
        <v>saletructiep_Europe.M280.1840.giaotiep_PTATT_LD153</v>
      </c>
      <c r="T687" s="107" t="str">
        <f>IFERROR(__xludf.DUMMYFUNCTION("""COMPUTED_VALUE"""),"https://patadovietnam.edu.vn/tienganhgiaotiep_hn/?utm_source=Facebook&amp;utm_medium=CVS&amp;utm_term=NEW_Europe_1840_none_021024&amp;utm_content=saletructiep_Europe.M280.1840.giaotiep_PTATT_LD153&amp;utm_campaign=Europe.giaotiep.M280_16917_CVS_NamNH_021024")</f>
        <v>https://patadovietnam.edu.vn/tienganhgiaotiep_hn/?utm_source=Facebook&amp;utm_medium=CVS&amp;utm_term=NEW_Europe_1840_none_021024&amp;utm_content=saletructiep_Europe.M280.1840.giaotiep_PTATT_LD153&amp;utm_campaign=Europe.giaotiep.M280_16917_CVS_NamNH_021024</v>
      </c>
      <c r="U687" s="118"/>
    </row>
    <row r="688">
      <c r="A688" s="72">
        <v>45567.0</v>
      </c>
      <c r="B688" s="75" t="s">
        <v>1229</v>
      </c>
      <c r="C688" s="67" t="str">
        <f>IFERROR(__xludf.DUMMYFUNCTION("""COMPUTED_VALUE"""),"LD164")</f>
        <v>LD164</v>
      </c>
      <c r="D688" s="55" t="s">
        <v>42</v>
      </c>
      <c r="E688" s="55" t="s">
        <v>69</v>
      </c>
      <c r="F688" s="55" t="s">
        <v>133</v>
      </c>
      <c r="G688" s="55">
        <v>1840.0</v>
      </c>
      <c r="H688" s="55" t="s">
        <v>1137</v>
      </c>
      <c r="I688" s="115" t="s">
        <v>6278</v>
      </c>
      <c r="J688" s="55" t="s">
        <v>6279</v>
      </c>
      <c r="K688" s="55" t="s">
        <v>61</v>
      </c>
      <c r="L688" s="55">
        <v>16917.0</v>
      </c>
      <c r="M688" s="55" t="s">
        <v>78</v>
      </c>
      <c r="N688" s="55" t="s">
        <v>69</v>
      </c>
      <c r="O688" s="55" t="s">
        <v>224</v>
      </c>
      <c r="P688" s="55" t="s">
        <v>110</v>
      </c>
      <c r="Q688" s="67" t="str">
        <f>IFERROR(__xludf.DUMMYFUNCTION("""COMPUTED_VALUE"""),"Japan.giaotiep.M279_16917_CVS_NamNH_021024")</f>
        <v>Japan.giaotiep.M279_16917_CVS_NamNH_021024</v>
      </c>
      <c r="R688" s="67" t="str">
        <f>IFERROR(__xludf.DUMMYFUNCTION("""COMPUTED_VALUE"""),"NEW_Japan_1840_none_021024")</f>
        <v>NEW_Japan_1840_none_021024</v>
      </c>
      <c r="S688" s="67" t="str">
        <f>IFERROR(__xludf.DUMMYFUNCTION("""COMPUTED_VALUE"""),"saletructiep_Japan.M279.1840.giaotiep_PTATT_LD164")</f>
        <v>saletructiep_Japan.M279.1840.giaotiep_PTATT_LD164</v>
      </c>
      <c r="T688" s="107" t="str">
        <f>IFERROR(__xludf.DUMMYFUNCTION("""COMPUTED_VALUE"""),"https://patadovietnam.edu.vn/gtjapan_nhn3/?utm_source=Facebook&amp;utm_medium=CVS&amp;utm_term=NEW_Japan_1840_none_021024&amp;utm_content=saletructiep_Japan.M279.1840.giaotiep_PTATT_LD164&amp;utm_campaign=Japan.giaotiep.M279_16917_CVS_NamNH_021024")</f>
        <v>https://patadovietnam.edu.vn/gtjapan_nhn3/?utm_source=Facebook&amp;utm_medium=CVS&amp;utm_term=NEW_Japan_1840_none_021024&amp;utm_content=saletructiep_Japan.M279.1840.giaotiep_PTATT_LD164&amp;utm_campaign=Japan.giaotiep.M279_16917_CVS_NamNH_021024</v>
      </c>
      <c r="U688" s="118"/>
    </row>
    <row r="689">
      <c r="A689" s="72">
        <v>45567.0</v>
      </c>
      <c r="B689" s="75" t="s">
        <v>1229</v>
      </c>
      <c r="C689" s="67" t="str">
        <f>IFERROR(__xludf.DUMMYFUNCTION("""COMPUTED_VALUE"""),"LD164")</f>
        <v>LD164</v>
      </c>
      <c r="D689" s="55" t="s">
        <v>42</v>
      </c>
      <c r="E689" s="55" t="s">
        <v>69</v>
      </c>
      <c r="F689" s="55" t="s">
        <v>133</v>
      </c>
      <c r="G689" s="55">
        <v>1840.0</v>
      </c>
      <c r="H689" s="55" t="s">
        <v>1137</v>
      </c>
      <c r="I689" s="115" t="s">
        <v>6286</v>
      </c>
      <c r="J689" s="55" t="s">
        <v>6287</v>
      </c>
      <c r="K689" s="55" t="s">
        <v>61</v>
      </c>
      <c r="L689" s="55">
        <v>16917.0</v>
      </c>
      <c r="M689" s="55" t="s">
        <v>78</v>
      </c>
      <c r="N689" s="55" t="s">
        <v>69</v>
      </c>
      <c r="O689" s="55" t="s">
        <v>224</v>
      </c>
      <c r="P689" s="55" t="s">
        <v>110</v>
      </c>
      <c r="Q689" s="67" t="str">
        <f>IFERROR(__xludf.DUMMYFUNCTION("""COMPUTED_VALUE"""),"Japan.giaotiep.M280_16917_CVS_NamNH_021024")</f>
        <v>Japan.giaotiep.M280_16917_CVS_NamNH_021024</v>
      </c>
      <c r="R689" s="67" t="str">
        <f>IFERROR(__xludf.DUMMYFUNCTION("""COMPUTED_VALUE"""),"NEW_Japan_1840_none_021024")</f>
        <v>NEW_Japan_1840_none_021024</v>
      </c>
      <c r="S689" s="67" t="str">
        <f>IFERROR(__xludf.DUMMYFUNCTION("""COMPUTED_VALUE"""),"saletructiep_Japan.M280.1840.giaotiep_PTATT_LD164")</f>
        <v>saletructiep_Japan.M280.1840.giaotiep_PTATT_LD164</v>
      </c>
      <c r="T689" s="107" t="str">
        <f>IFERROR(__xludf.DUMMYFUNCTION("""COMPUTED_VALUE"""),"https://patadovietnam.edu.vn/gtjapan_nhn3/?utm_source=Facebook&amp;utm_medium=CVS&amp;utm_term=NEW_Japan_1840_none_021024&amp;utm_content=saletructiep_Japan.M280.1840.giaotiep_PTATT_LD164&amp;utm_campaign=Japan.giaotiep.M280_16917_CVS_NamNH_021024")</f>
        <v>https://patadovietnam.edu.vn/gtjapan_nhn3/?utm_source=Facebook&amp;utm_medium=CVS&amp;utm_term=NEW_Japan_1840_none_021024&amp;utm_content=saletructiep_Japan.M280.1840.giaotiep_PTATT_LD164&amp;utm_campaign=Japan.giaotiep.M280_16917_CVS_NamNH_021024</v>
      </c>
      <c r="U689" s="118"/>
    </row>
    <row r="690">
      <c r="A690" s="72">
        <v>45567.0</v>
      </c>
      <c r="B690" s="75" t="s">
        <v>1245</v>
      </c>
      <c r="C690" s="67" t="str">
        <f>IFERROR(__xludf.DUMMYFUNCTION("""COMPUTED_VALUE"""),"LD161")</f>
        <v>LD161</v>
      </c>
      <c r="D690" s="55" t="s">
        <v>42</v>
      </c>
      <c r="E690" s="55" t="s">
        <v>79</v>
      </c>
      <c r="F690" s="55" t="s">
        <v>107</v>
      </c>
      <c r="G690" s="55">
        <v>1840.0</v>
      </c>
      <c r="H690" s="55" t="s">
        <v>1137</v>
      </c>
      <c r="I690" s="115" t="s">
        <v>6293</v>
      </c>
      <c r="J690" s="55" t="s">
        <v>6294</v>
      </c>
      <c r="K690" s="55" t="s">
        <v>61</v>
      </c>
      <c r="L690" s="55">
        <v>16917.0</v>
      </c>
      <c r="M690" s="55" t="s">
        <v>78</v>
      </c>
      <c r="N690" s="55" t="s">
        <v>79</v>
      </c>
      <c r="O690" s="55" t="s">
        <v>224</v>
      </c>
      <c r="P690" s="55" t="s">
        <v>110</v>
      </c>
      <c r="Q690" s="67" t="str">
        <f>IFERROR(__xludf.DUMMYFUNCTION("""COMPUTED_VALUE"""),"UnitedStates.giaotiep.M279_16917_MES_NamNH_021024")</f>
        <v>UnitedStates.giaotiep.M279_16917_MES_NamNH_021024</v>
      </c>
      <c r="R690" s="67" t="str">
        <f>IFERROR(__xludf.DUMMYFUNCTION("""COMPUTED_VALUE"""),"NEW_UnitedStates_1840_none_021024")</f>
        <v>NEW_UnitedStates_1840_none_021024</v>
      </c>
      <c r="S690" s="67" t="str">
        <f>IFERROR(__xludf.DUMMYFUNCTION("""COMPUTED_VALUE"""),"saletructiep_UnitedStates.M279.1840.giaotiep_PTATT_LD161")</f>
        <v>saletructiep_UnitedStates.M279.1840.giaotiep_PTATT_LD161</v>
      </c>
      <c r="T690" s="107" t="str">
        <f>IFERROR(__xludf.DUMMYFUNCTION("""COMPUTED_VALUE"""),"https://patadovietnam.edu.vn/gtusa1_nhn/?utm_source=Facebook&amp;utm_medium=MES&amp;utm_term=NEW_UnitedStates_1840_none_021024&amp;utm_content=saletructiep_UnitedStates.M279.1840.giaotiep_PTATT_LD161&amp;utm_campaign=UnitedStates.giaotiep.M279_16917_MES_NamNH_021024")</f>
        <v>https://patadovietnam.edu.vn/gtusa1_nhn/?utm_source=Facebook&amp;utm_medium=MES&amp;utm_term=NEW_UnitedStates_1840_none_021024&amp;utm_content=saletructiep_UnitedStates.M279.1840.giaotiep_PTATT_LD161&amp;utm_campaign=UnitedStates.giaotiep.M279_16917_MES_NamNH_021024</v>
      </c>
      <c r="U690" s="118"/>
    </row>
    <row r="691">
      <c r="A691" s="72">
        <v>45567.0</v>
      </c>
      <c r="B691" s="75" t="s">
        <v>1245</v>
      </c>
      <c r="C691" s="67" t="str">
        <f>IFERROR(__xludf.DUMMYFUNCTION("""COMPUTED_VALUE"""),"LD161")</f>
        <v>LD161</v>
      </c>
      <c r="D691" s="55" t="s">
        <v>42</v>
      </c>
      <c r="E691" s="55" t="s">
        <v>79</v>
      </c>
      <c r="F691" s="55" t="s">
        <v>107</v>
      </c>
      <c r="G691" s="55">
        <v>1840.0</v>
      </c>
      <c r="H691" s="55" t="s">
        <v>1137</v>
      </c>
      <c r="I691" s="115" t="s">
        <v>6300</v>
      </c>
      <c r="J691" s="55" t="s">
        <v>6301</v>
      </c>
      <c r="K691" s="55" t="s">
        <v>61</v>
      </c>
      <c r="L691" s="55">
        <v>16917.0</v>
      </c>
      <c r="M691" s="55" t="s">
        <v>78</v>
      </c>
      <c r="N691" s="55" t="s">
        <v>79</v>
      </c>
      <c r="O691" s="55" t="s">
        <v>224</v>
      </c>
      <c r="P691" s="55" t="s">
        <v>110</v>
      </c>
      <c r="Q691" s="67" t="str">
        <f>IFERROR(__xludf.DUMMYFUNCTION("""COMPUTED_VALUE"""),"UnitedStates.giaotiep.M280_16917_MES_NamNH_021024")</f>
        <v>UnitedStates.giaotiep.M280_16917_MES_NamNH_021024</v>
      </c>
      <c r="R691" s="67" t="str">
        <f>IFERROR(__xludf.DUMMYFUNCTION("""COMPUTED_VALUE"""),"NEW_UnitedStates_1840_none_021024")</f>
        <v>NEW_UnitedStates_1840_none_021024</v>
      </c>
      <c r="S691" s="67" t="str">
        <f>IFERROR(__xludf.DUMMYFUNCTION("""COMPUTED_VALUE"""),"saletructiep_UnitedStates.M280.1840.giaotiep_PTATT_LD161")</f>
        <v>saletructiep_UnitedStates.M280.1840.giaotiep_PTATT_LD161</v>
      </c>
      <c r="T691" s="107" t="str">
        <f>IFERROR(__xludf.DUMMYFUNCTION("""COMPUTED_VALUE"""),"https://patadovietnam.edu.vn/gtusa1_nhn/?utm_source=Facebook&amp;utm_medium=MES&amp;utm_term=NEW_UnitedStates_1840_none_021024&amp;utm_content=saletructiep_UnitedStates.M280.1840.giaotiep_PTATT_LD161&amp;utm_campaign=UnitedStates.giaotiep.M280_16917_MES_NamNH_021024")</f>
        <v>https://patadovietnam.edu.vn/gtusa1_nhn/?utm_source=Facebook&amp;utm_medium=MES&amp;utm_term=NEW_UnitedStates_1840_none_021024&amp;utm_content=saletructiep_UnitedStates.M280.1840.giaotiep_PTATT_LD161&amp;utm_campaign=UnitedStates.giaotiep.M280_16917_MES_NamNH_021024</v>
      </c>
      <c r="U691" s="118"/>
    </row>
    <row r="692">
      <c r="A692" s="72">
        <v>45567.0</v>
      </c>
      <c r="B692" s="75" t="s">
        <v>1134</v>
      </c>
      <c r="C692" s="67" t="str">
        <f>IFERROR(__xludf.DUMMYFUNCTION("""COMPUTED_VALUE"""),"LD153")</f>
        <v>LD153</v>
      </c>
      <c r="D692" s="55" t="s">
        <v>42</v>
      </c>
      <c r="E692" s="55" t="s">
        <v>79</v>
      </c>
      <c r="F692" s="55" t="s">
        <v>625</v>
      </c>
      <c r="G692" s="55">
        <v>1840.0</v>
      </c>
      <c r="H692" s="55" t="s">
        <v>1137</v>
      </c>
      <c r="I692" s="115" t="s">
        <v>6309</v>
      </c>
      <c r="J692" s="55" t="s">
        <v>6310</v>
      </c>
      <c r="K692" s="55" t="s">
        <v>61</v>
      </c>
      <c r="L692" s="55">
        <v>16917.0</v>
      </c>
      <c r="M692" s="55" t="s">
        <v>78</v>
      </c>
      <c r="N692" s="55" t="s">
        <v>79</v>
      </c>
      <c r="O692" s="55" t="s">
        <v>224</v>
      </c>
      <c r="P692" s="55" t="s">
        <v>110</v>
      </c>
      <c r="Q692" s="67" t="str">
        <f>IFERROR(__xludf.DUMMYFUNCTION("""COMPUTED_VALUE"""),"KoreaSouth.giaotiep.M279_16917_MES_NamNH_021024")</f>
        <v>KoreaSouth.giaotiep.M279_16917_MES_NamNH_021024</v>
      </c>
      <c r="R692" s="67" t="str">
        <f>IFERROR(__xludf.DUMMYFUNCTION("""COMPUTED_VALUE"""),"NEW_KoreaSouth_1840_none_021024")</f>
        <v>NEW_KoreaSouth_1840_none_021024</v>
      </c>
      <c r="S692" s="67" t="str">
        <f>IFERROR(__xludf.DUMMYFUNCTION("""COMPUTED_VALUE"""),"saletructiep_KoreaSouth.M279.1840.giaotiep_PTATT_LD153")</f>
        <v>saletructiep_KoreaSouth.M279.1840.giaotiep_PTATT_LD153</v>
      </c>
      <c r="T692" s="107" t="str">
        <f>IFERROR(__xludf.DUMMYFUNCTION("""COMPUTED_VALUE"""),"https://patadovietnam.edu.vn/tienganhgiaotiep_hn/?utm_source=Facebook&amp;utm_medium=MES&amp;utm_term=NEW_KoreaSouth_1840_none_021024&amp;utm_content=saletructiep_KoreaSouth.M279.1840.giaotiep_PTATT_LD153&amp;utm_campaign=KoreaSouth.giaotiep.M279_16917_MES_NamNH_021024")</f>
        <v>https://patadovietnam.edu.vn/tienganhgiaotiep_hn/?utm_source=Facebook&amp;utm_medium=MES&amp;utm_term=NEW_KoreaSouth_1840_none_021024&amp;utm_content=saletructiep_KoreaSouth.M279.1840.giaotiep_PTATT_LD153&amp;utm_campaign=KoreaSouth.giaotiep.M279_16917_MES_NamNH_021024</v>
      </c>
      <c r="U692" s="118"/>
    </row>
    <row r="693">
      <c r="A693" s="72">
        <v>45567.0</v>
      </c>
      <c r="B693" s="75" t="s">
        <v>1134</v>
      </c>
      <c r="C693" s="67" t="str">
        <f>IFERROR(__xludf.DUMMYFUNCTION("""COMPUTED_VALUE"""),"LD153")</f>
        <v>LD153</v>
      </c>
      <c r="D693" s="55" t="s">
        <v>42</v>
      </c>
      <c r="E693" s="55" t="s">
        <v>79</v>
      </c>
      <c r="F693" s="55" t="s">
        <v>625</v>
      </c>
      <c r="G693" s="55">
        <v>1840.0</v>
      </c>
      <c r="H693" s="55" t="s">
        <v>1137</v>
      </c>
      <c r="I693" s="115" t="s">
        <v>6315</v>
      </c>
      <c r="J693" s="55" t="s">
        <v>6316</v>
      </c>
      <c r="K693" s="55" t="s">
        <v>61</v>
      </c>
      <c r="L693" s="55">
        <v>16917.0</v>
      </c>
      <c r="M693" s="55" t="s">
        <v>78</v>
      </c>
      <c r="N693" s="55" t="s">
        <v>79</v>
      </c>
      <c r="O693" s="55" t="s">
        <v>224</v>
      </c>
      <c r="P693" s="55" t="s">
        <v>110</v>
      </c>
      <c r="Q693" s="67" t="str">
        <f>IFERROR(__xludf.DUMMYFUNCTION("""COMPUTED_VALUE"""),"KoreaSouth.giaotiep.M280_16917_MES_NamNH_021024")</f>
        <v>KoreaSouth.giaotiep.M280_16917_MES_NamNH_021024</v>
      </c>
      <c r="R693" s="67" t="str">
        <f>IFERROR(__xludf.DUMMYFUNCTION("""COMPUTED_VALUE"""),"NEW_KoreaSouth_1840_none_021024")</f>
        <v>NEW_KoreaSouth_1840_none_021024</v>
      </c>
      <c r="S693" s="67" t="str">
        <f>IFERROR(__xludf.DUMMYFUNCTION("""COMPUTED_VALUE"""),"saletructiep_KoreaSouth.M280.1840.giaotiep_PTATT_LD153")</f>
        <v>saletructiep_KoreaSouth.M280.1840.giaotiep_PTATT_LD153</v>
      </c>
      <c r="T693" s="107" t="str">
        <f>IFERROR(__xludf.DUMMYFUNCTION("""COMPUTED_VALUE"""),"https://patadovietnam.edu.vn/tienganhgiaotiep_hn/?utm_source=Facebook&amp;utm_medium=MES&amp;utm_term=NEW_KoreaSouth_1840_none_021024&amp;utm_content=saletructiep_KoreaSouth.M280.1840.giaotiep_PTATT_LD153&amp;utm_campaign=KoreaSouth.giaotiep.M280_16917_MES_NamNH_021024")</f>
        <v>https://patadovietnam.edu.vn/tienganhgiaotiep_hn/?utm_source=Facebook&amp;utm_medium=MES&amp;utm_term=NEW_KoreaSouth_1840_none_021024&amp;utm_content=saletructiep_KoreaSouth.M280.1840.giaotiep_PTATT_LD153&amp;utm_campaign=KoreaSouth.giaotiep.M280_16917_MES_NamNH_021024</v>
      </c>
      <c r="U693" s="118"/>
    </row>
    <row r="694">
      <c r="A694" s="72">
        <v>45567.0</v>
      </c>
      <c r="B694" s="75" t="s">
        <v>1134</v>
      </c>
      <c r="C694" s="67" t="str">
        <f>IFERROR(__xludf.DUMMYFUNCTION("""COMPUTED_VALUE"""),"LD153")</f>
        <v>LD153</v>
      </c>
      <c r="D694" s="55" t="s">
        <v>42</v>
      </c>
      <c r="E694" s="55" t="s">
        <v>79</v>
      </c>
      <c r="F694" s="55" t="s">
        <v>164</v>
      </c>
      <c r="G694" s="55">
        <v>1840.0</v>
      </c>
      <c r="H694" s="55" t="s">
        <v>1137</v>
      </c>
      <c r="I694" s="115" t="s">
        <v>6321</v>
      </c>
      <c r="J694" s="55" t="s">
        <v>6322</v>
      </c>
      <c r="K694" s="55" t="s">
        <v>61</v>
      </c>
      <c r="L694" s="55">
        <v>16917.0</v>
      </c>
      <c r="M694" s="55" t="s">
        <v>78</v>
      </c>
      <c r="N694" s="55" t="s">
        <v>79</v>
      </c>
      <c r="O694" s="55" t="s">
        <v>224</v>
      </c>
      <c r="P694" s="55" t="s">
        <v>110</v>
      </c>
      <c r="Q694" s="67" t="str">
        <f>IFERROR(__xludf.DUMMYFUNCTION("""COMPUTED_VALUE"""),"Taiwan.giaotiep.M279_16917_MES_NamNH_021024")</f>
        <v>Taiwan.giaotiep.M279_16917_MES_NamNH_021024</v>
      </c>
      <c r="R694" s="67" t="str">
        <f>IFERROR(__xludf.DUMMYFUNCTION("""COMPUTED_VALUE"""),"NEW_Taiwan_1840_none_021024")</f>
        <v>NEW_Taiwan_1840_none_021024</v>
      </c>
      <c r="S694" s="67" t="str">
        <f>IFERROR(__xludf.DUMMYFUNCTION("""COMPUTED_VALUE"""),"saletructiep_Taiwan.M279.1840.giaotiep_PTATT_LD153")</f>
        <v>saletructiep_Taiwan.M279.1840.giaotiep_PTATT_LD153</v>
      </c>
      <c r="T694" s="107" t="str">
        <f>IFERROR(__xludf.DUMMYFUNCTION("""COMPUTED_VALUE"""),"https://patadovietnam.edu.vn/tienganhgiaotiep_hn/?utm_source=Facebook&amp;utm_medium=MES&amp;utm_term=NEW_Taiwan_1840_none_021024&amp;utm_content=saletructiep_Taiwan.M279.1840.giaotiep_PTATT_LD153&amp;utm_campaign=Taiwan.giaotiep.M279_16917_MES_NamNH_021024")</f>
        <v>https://patadovietnam.edu.vn/tienganhgiaotiep_hn/?utm_source=Facebook&amp;utm_medium=MES&amp;utm_term=NEW_Taiwan_1840_none_021024&amp;utm_content=saletructiep_Taiwan.M279.1840.giaotiep_PTATT_LD153&amp;utm_campaign=Taiwan.giaotiep.M279_16917_MES_NamNH_021024</v>
      </c>
      <c r="U694" s="118"/>
    </row>
    <row r="695">
      <c r="A695" s="72">
        <v>45567.0</v>
      </c>
      <c r="B695" s="75" t="s">
        <v>1134</v>
      </c>
      <c r="C695" s="67" t="str">
        <f>IFERROR(__xludf.DUMMYFUNCTION("""COMPUTED_VALUE"""),"LD153")</f>
        <v>LD153</v>
      </c>
      <c r="D695" s="55" t="s">
        <v>42</v>
      </c>
      <c r="E695" s="55" t="s">
        <v>79</v>
      </c>
      <c r="F695" s="55" t="s">
        <v>164</v>
      </c>
      <c r="G695" s="55">
        <v>1840.0</v>
      </c>
      <c r="H695" s="55" t="s">
        <v>1137</v>
      </c>
      <c r="I695" s="115" t="s">
        <v>6328</v>
      </c>
      <c r="J695" s="55" t="s">
        <v>6329</v>
      </c>
      <c r="K695" s="55" t="s">
        <v>61</v>
      </c>
      <c r="L695" s="55">
        <v>16917.0</v>
      </c>
      <c r="M695" s="55" t="s">
        <v>78</v>
      </c>
      <c r="N695" s="55" t="s">
        <v>79</v>
      </c>
      <c r="O695" s="55" t="s">
        <v>224</v>
      </c>
      <c r="P695" s="55" t="s">
        <v>110</v>
      </c>
      <c r="Q695" s="67" t="str">
        <f>IFERROR(__xludf.DUMMYFUNCTION("""COMPUTED_VALUE"""),"Taiwan.giaotiep.M280_16917_MES_NamNH_021024")</f>
        <v>Taiwan.giaotiep.M280_16917_MES_NamNH_021024</v>
      </c>
      <c r="R695" s="67" t="str">
        <f>IFERROR(__xludf.DUMMYFUNCTION("""COMPUTED_VALUE"""),"NEW_Taiwan_1840_none_021024")</f>
        <v>NEW_Taiwan_1840_none_021024</v>
      </c>
      <c r="S695" s="67" t="str">
        <f>IFERROR(__xludf.DUMMYFUNCTION("""COMPUTED_VALUE"""),"saletructiep_Taiwan.M280.1840.giaotiep_PTATT_LD153")</f>
        <v>saletructiep_Taiwan.M280.1840.giaotiep_PTATT_LD153</v>
      </c>
      <c r="T695" s="107" t="str">
        <f>IFERROR(__xludf.DUMMYFUNCTION("""COMPUTED_VALUE"""),"https://patadovietnam.edu.vn/tienganhgiaotiep_hn/?utm_source=Facebook&amp;utm_medium=MES&amp;utm_term=NEW_Taiwan_1840_none_021024&amp;utm_content=saletructiep_Taiwan.M280.1840.giaotiep_PTATT_LD153&amp;utm_campaign=Taiwan.giaotiep.M280_16917_MES_NamNH_021024")</f>
        <v>https://patadovietnam.edu.vn/tienganhgiaotiep_hn/?utm_source=Facebook&amp;utm_medium=MES&amp;utm_term=NEW_Taiwan_1840_none_021024&amp;utm_content=saletructiep_Taiwan.M280.1840.giaotiep_PTATT_LD153&amp;utm_campaign=Taiwan.giaotiep.M280_16917_MES_NamNH_021024</v>
      </c>
      <c r="U695" s="118"/>
    </row>
    <row r="696">
      <c r="A696" s="72">
        <v>45567.0</v>
      </c>
      <c r="B696" s="75" t="s">
        <v>1134</v>
      </c>
      <c r="C696" s="67" t="str">
        <f>IFERROR(__xludf.DUMMYFUNCTION("""COMPUTED_VALUE"""),"LD153")</f>
        <v>LD153</v>
      </c>
      <c r="D696" s="55" t="s">
        <v>42</v>
      </c>
      <c r="E696" s="55" t="s">
        <v>79</v>
      </c>
      <c r="F696" s="55" t="s">
        <v>129</v>
      </c>
      <c r="G696" s="55">
        <v>1840.0</v>
      </c>
      <c r="H696" s="55" t="s">
        <v>1137</v>
      </c>
      <c r="I696" s="115" t="s">
        <v>6334</v>
      </c>
      <c r="J696" s="55" t="s">
        <v>6335</v>
      </c>
      <c r="K696" s="55" t="s">
        <v>61</v>
      </c>
      <c r="L696" s="55">
        <v>16917.0</v>
      </c>
      <c r="M696" s="55" t="s">
        <v>78</v>
      </c>
      <c r="N696" s="55" t="s">
        <v>79</v>
      </c>
      <c r="O696" s="55" t="s">
        <v>224</v>
      </c>
      <c r="P696" s="55" t="s">
        <v>110</v>
      </c>
      <c r="Q696" s="67" t="str">
        <f>IFERROR(__xludf.DUMMYFUNCTION("""COMPUTED_VALUE"""),"Australia.giaotiep.M279_16917_MES_NamNH_021024")</f>
        <v>Australia.giaotiep.M279_16917_MES_NamNH_021024</v>
      </c>
      <c r="R696" s="67" t="str">
        <f>IFERROR(__xludf.DUMMYFUNCTION("""COMPUTED_VALUE"""),"NEW_Australia_1840_none_021024")</f>
        <v>NEW_Australia_1840_none_021024</v>
      </c>
      <c r="S696" s="67" t="str">
        <f>IFERROR(__xludf.DUMMYFUNCTION("""COMPUTED_VALUE"""),"saletructiep_Australia.M279.1840.giaotiep_PTATT_LD153")</f>
        <v>saletructiep_Australia.M279.1840.giaotiep_PTATT_LD153</v>
      </c>
      <c r="T696" s="107" t="str">
        <f>IFERROR(__xludf.DUMMYFUNCTION("""COMPUTED_VALUE"""),"https://patadovietnam.edu.vn/tienganhgiaotiep_hn/?utm_source=Facebook&amp;utm_medium=MES&amp;utm_term=NEW_Australia_1840_none_021024&amp;utm_content=saletructiep_Australia.M279.1840.giaotiep_PTATT_LD153&amp;utm_campaign=Australia.giaotiep.M279_16917_MES_NamNH_021024")</f>
        <v>https://patadovietnam.edu.vn/tienganhgiaotiep_hn/?utm_source=Facebook&amp;utm_medium=MES&amp;utm_term=NEW_Australia_1840_none_021024&amp;utm_content=saletructiep_Australia.M279.1840.giaotiep_PTATT_LD153&amp;utm_campaign=Australia.giaotiep.M279_16917_MES_NamNH_021024</v>
      </c>
      <c r="U696" s="118"/>
    </row>
    <row r="697">
      <c r="A697" s="72">
        <v>45567.0</v>
      </c>
      <c r="B697" s="75" t="s">
        <v>1134</v>
      </c>
      <c r="C697" s="67" t="str">
        <f>IFERROR(__xludf.DUMMYFUNCTION("""COMPUTED_VALUE"""),"LD153")</f>
        <v>LD153</v>
      </c>
      <c r="D697" s="55" t="s">
        <v>42</v>
      </c>
      <c r="E697" s="55" t="s">
        <v>79</v>
      </c>
      <c r="F697" s="55" t="s">
        <v>129</v>
      </c>
      <c r="G697" s="55">
        <v>1840.0</v>
      </c>
      <c r="H697" s="55" t="s">
        <v>1137</v>
      </c>
      <c r="I697" s="115" t="s">
        <v>6340</v>
      </c>
      <c r="J697" s="55" t="s">
        <v>6341</v>
      </c>
      <c r="K697" s="55" t="s">
        <v>61</v>
      </c>
      <c r="L697" s="55">
        <v>16917.0</v>
      </c>
      <c r="M697" s="55" t="s">
        <v>78</v>
      </c>
      <c r="N697" s="55" t="s">
        <v>79</v>
      </c>
      <c r="O697" s="55" t="s">
        <v>224</v>
      </c>
      <c r="P697" s="55" t="s">
        <v>110</v>
      </c>
      <c r="Q697" s="67" t="str">
        <f>IFERROR(__xludf.DUMMYFUNCTION("""COMPUTED_VALUE"""),"Australia.giaotiep.M280_16917_MES_NamNH_021024")</f>
        <v>Australia.giaotiep.M280_16917_MES_NamNH_021024</v>
      </c>
      <c r="R697" s="67" t="str">
        <f>IFERROR(__xludf.DUMMYFUNCTION("""COMPUTED_VALUE"""),"NEW_Australia_1840_none_021024")</f>
        <v>NEW_Australia_1840_none_021024</v>
      </c>
      <c r="S697" s="67" t="str">
        <f>IFERROR(__xludf.DUMMYFUNCTION("""COMPUTED_VALUE"""),"saletructiep_Australia.M280.1840.giaotiep_PTATT_LD153")</f>
        <v>saletructiep_Australia.M280.1840.giaotiep_PTATT_LD153</v>
      </c>
      <c r="T697" s="107" t="str">
        <f>IFERROR(__xludf.DUMMYFUNCTION("""COMPUTED_VALUE"""),"https://patadovietnam.edu.vn/tienganhgiaotiep_hn/?utm_source=Facebook&amp;utm_medium=MES&amp;utm_term=NEW_Australia_1840_none_021024&amp;utm_content=saletructiep_Australia.M280.1840.giaotiep_PTATT_LD153&amp;utm_campaign=Australia.giaotiep.M280_16917_MES_NamNH_021024")</f>
        <v>https://patadovietnam.edu.vn/tienganhgiaotiep_hn/?utm_source=Facebook&amp;utm_medium=MES&amp;utm_term=NEW_Australia_1840_none_021024&amp;utm_content=saletructiep_Australia.M280.1840.giaotiep_PTATT_LD153&amp;utm_campaign=Australia.giaotiep.M280_16917_MES_NamNH_021024</v>
      </c>
      <c r="U697" s="118"/>
    </row>
    <row r="698">
      <c r="A698" s="72">
        <v>45572.0</v>
      </c>
      <c r="B698" s="75" t="s">
        <v>1134</v>
      </c>
      <c r="C698" s="67" t="str">
        <f>IFERROR(__xludf.DUMMYFUNCTION("""COMPUTED_VALUE"""),"LD153")</f>
        <v>LD153</v>
      </c>
      <c r="D698" s="55" t="s">
        <v>42</v>
      </c>
      <c r="E698" s="55" t="s">
        <v>69</v>
      </c>
      <c r="F698" s="55" t="s">
        <v>674</v>
      </c>
      <c r="G698" s="55">
        <v>1840.0</v>
      </c>
      <c r="H698" s="55" t="s">
        <v>1137</v>
      </c>
      <c r="I698" s="115" t="s">
        <v>6345</v>
      </c>
      <c r="J698" s="55" t="s">
        <v>6347</v>
      </c>
      <c r="K698" s="55" t="s">
        <v>61</v>
      </c>
      <c r="L698" s="55">
        <v>16917.0</v>
      </c>
      <c r="M698" s="55" t="s">
        <v>78</v>
      </c>
      <c r="N698" s="55" t="s">
        <v>69</v>
      </c>
      <c r="O698" s="55" t="s">
        <v>224</v>
      </c>
      <c r="P698" s="55" t="s">
        <v>110</v>
      </c>
      <c r="Q698" s="67" t="str">
        <f>IFERROR(__xludf.DUMMYFUNCTION("""COMPUTED_VALUE"""),"Europe.giaotiep.M281_16917_CVS_NamNH_071024")</f>
        <v>Europe.giaotiep.M281_16917_CVS_NamNH_071024</v>
      </c>
      <c r="R698" s="67" t="str">
        <f>IFERROR(__xludf.DUMMYFUNCTION("""COMPUTED_VALUE"""),"NEW_Europe_1840_none_071024")</f>
        <v>NEW_Europe_1840_none_071024</v>
      </c>
      <c r="S698" s="67" t="str">
        <f>IFERROR(__xludf.DUMMYFUNCTION("""COMPUTED_VALUE"""),"saletructiep_Europe.M281.1840.giaotiep_PTATT_LD153")</f>
        <v>saletructiep_Europe.M281.1840.giaotiep_PTATT_LD153</v>
      </c>
      <c r="T698" s="107" t="str">
        <f>IFERROR(__xludf.DUMMYFUNCTION("""COMPUTED_VALUE"""),"https://patadovietnam.edu.vn/tienganhgiaotiep_hn/?utm_source=Facebook&amp;utm_medium=CVS&amp;utm_term=NEW_Europe_1840_none_071024&amp;utm_content=saletructiep_Europe.M281.1840.giaotiep_PTATT_LD153&amp;utm_campaign=Europe.giaotiep.M281_16917_CVS_NamNH_071024")</f>
        <v>https://patadovietnam.edu.vn/tienganhgiaotiep_hn/?utm_source=Facebook&amp;utm_medium=CVS&amp;utm_term=NEW_Europe_1840_none_071024&amp;utm_content=saletructiep_Europe.M281.1840.giaotiep_PTATT_LD153&amp;utm_campaign=Europe.giaotiep.M281_16917_CVS_NamNH_071024</v>
      </c>
      <c r="U698" s="118"/>
    </row>
    <row r="699">
      <c r="A699" s="72">
        <v>45572.0</v>
      </c>
      <c r="B699" s="75" t="s">
        <v>1245</v>
      </c>
      <c r="C699" s="67" t="str">
        <f>IFERROR(__xludf.DUMMYFUNCTION("""COMPUTED_VALUE"""),"LD161")</f>
        <v>LD161</v>
      </c>
      <c r="D699" s="55" t="s">
        <v>42</v>
      </c>
      <c r="E699" s="55" t="s">
        <v>79</v>
      </c>
      <c r="F699" s="55" t="s">
        <v>107</v>
      </c>
      <c r="G699" s="55">
        <v>1840.0</v>
      </c>
      <c r="H699" s="55" t="s">
        <v>1137</v>
      </c>
      <c r="I699" s="115" t="s">
        <v>6353</v>
      </c>
      <c r="J699" s="55" t="s">
        <v>6354</v>
      </c>
      <c r="K699" s="55" t="s">
        <v>61</v>
      </c>
      <c r="L699" s="55">
        <v>16917.0</v>
      </c>
      <c r="M699" s="55" t="s">
        <v>78</v>
      </c>
      <c r="N699" s="55" t="s">
        <v>79</v>
      </c>
      <c r="O699" s="55" t="s">
        <v>224</v>
      </c>
      <c r="P699" s="55" t="s">
        <v>110</v>
      </c>
      <c r="Q699" s="67" t="str">
        <f>IFERROR(__xludf.DUMMYFUNCTION("""COMPUTED_VALUE"""),"UnitedStates.giaotiep.M281_16917_MES_NamNH_071024")</f>
        <v>UnitedStates.giaotiep.M281_16917_MES_NamNH_071024</v>
      </c>
      <c r="R699" s="67" t="str">
        <f>IFERROR(__xludf.DUMMYFUNCTION("""COMPUTED_VALUE"""),"NEW_UnitedStates_1840_none_071024")</f>
        <v>NEW_UnitedStates_1840_none_071024</v>
      </c>
      <c r="S699" s="67" t="str">
        <f>IFERROR(__xludf.DUMMYFUNCTION("""COMPUTED_VALUE"""),"saletructiep_UnitedStates.M281.1840.giaotiep_PTATT_LD161")</f>
        <v>saletructiep_UnitedStates.M281.1840.giaotiep_PTATT_LD161</v>
      </c>
      <c r="T699" s="107" t="str">
        <f>IFERROR(__xludf.DUMMYFUNCTION("""COMPUTED_VALUE"""),"https://patadovietnam.edu.vn/gtusa1_nhn/?utm_source=Facebook&amp;utm_medium=MES&amp;utm_term=NEW_UnitedStates_1840_none_071024&amp;utm_content=saletructiep_UnitedStates.M281.1840.giaotiep_PTATT_LD161&amp;utm_campaign=UnitedStates.giaotiep.M281_16917_MES_NamNH_071024")</f>
        <v>https://patadovietnam.edu.vn/gtusa1_nhn/?utm_source=Facebook&amp;utm_medium=MES&amp;utm_term=NEW_UnitedStates_1840_none_071024&amp;utm_content=saletructiep_UnitedStates.M281.1840.giaotiep_PTATT_LD161&amp;utm_campaign=UnitedStates.giaotiep.M281_16917_MES_NamNH_071024</v>
      </c>
      <c r="U699" s="118"/>
    </row>
    <row r="700">
      <c r="A700" s="72">
        <v>45572.0</v>
      </c>
      <c r="B700" s="75" t="s">
        <v>1229</v>
      </c>
      <c r="C700" s="67" t="str">
        <f>IFERROR(__xludf.DUMMYFUNCTION("""COMPUTED_VALUE"""),"LD164")</f>
        <v>LD164</v>
      </c>
      <c r="D700" s="55" t="s">
        <v>42</v>
      </c>
      <c r="E700" s="55" t="s">
        <v>69</v>
      </c>
      <c r="F700" s="55" t="s">
        <v>133</v>
      </c>
      <c r="G700" s="55">
        <v>1840.0</v>
      </c>
      <c r="H700" s="55" t="s">
        <v>1137</v>
      </c>
      <c r="I700" s="115" t="s">
        <v>6361</v>
      </c>
      <c r="J700" s="55" t="s">
        <v>6362</v>
      </c>
      <c r="K700" s="55" t="s">
        <v>61</v>
      </c>
      <c r="L700" s="55">
        <v>16917.0</v>
      </c>
      <c r="M700" s="55" t="s">
        <v>78</v>
      </c>
      <c r="N700" s="55" t="s">
        <v>69</v>
      </c>
      <c r="O700" s="55" t="s">
        <v>224</v>
      </c>
      <c r="P700" s="55" t="s">
        <v>110</v>
      </c>
      <c r="Q700" s="67" t="str">
        <f>IFERROR(__xludf.DUMMYFUNCTION("""COMPUTED_VALUE"""),"Japan.giaotiep.M281_16917_CVS_NamNH_071024")</f>
        <v>Japan.giaotiep.M281_16917_CVS_NamNH_071024</v>
      </c>
      <c r="R700" s="67" t="str">
        <f>IFERROR(__xludf.DUMMYFUNCTION("""COMPUTED_VALUE"""),"NEW_Japan_1840_none_071024")</f>
        <v>NEW_Japan_1840_none_071024</v>
      </c>
      <c r="S700" s="67" t="str">
        <f>IFERROR(__xludf.DUMMYFUNCTION("""COMPUTED_VALUE"""),"saletructiep_Japan.M281.1840.giaotiep_PTATT_LD164")</f>
        <v>saletructiep_Japan.M281.1840.giaotiep_PTATT_LD164</v>
      </c>
      <c r="T700" s="107" t="str">
        <f>IFERROR(__xludf.DUMMYFUNCTION("""COMPUTED_VALUE"""),"https://patadovietnam.edu.vn/gtjapan_nhn3/?utm_source=Facebook&amp;utm_medium=CVS&amp;utm_term=NEW_Japan_1840_none_071024&amp;utm_content=saletructiep_Japan.M281.1840.giaotiep_PTATT_LD164&amp;utm_campaign=Japan.giaotiep.M281_16917_CVS_NamNH_071024")</f>
        <v>https://patadovietnam.edu.vn/gtjapan_nhn3/?utm_source=Facebook&amp;utm_medium=CVS&amp;utm_term=NEW_Japan_1840_none_071024&amp;utm_content=saletructiep_Japan.M281.1840.giaotiep_PTATT_LD164&amp;utm_campaign=Japan.giaotiep.M281_16917_CVS_NamNH_071024</v>
      </c>
      <c r="U700" s="118"/>
    </row>
    <row r="701">
      <c r="A701" s="72">
        <v>45579.0</v>
      </c>
      <c r="B701" s="75" t="s">
        <v>1134</v>
      </c>
      <c r="C701" s="67" t="str">
        <f>IFERROR(__xludf.DUMMYFUNCTION("""COMPUTED_VALUE"""),"LD153")</f>
        <v>LD153</v>
      </c>
      <c r="D701" s="55" t="s">
        <v>42</v>
      </c>
      <c r="E701" s="55" t="s">
        <v>69</v>
      </c>
      <c r="F701" s="55" t="s">
        <v>674</v>
      </c>
      <c r="G701" s="55">
        <v>1840.0</v>
      </c>
      <c r="H701" s="55" t="s">
        <v>1137</v>
      </c>
      <c r="I701" s="115" t="s">
        <v>6368</v>
      </c>
      <c r="J701" s="55" t="s">
        <v>6369</v>
      </c>
      <c r="K701" s="55" t="s">
        <v>61</v>
      </c>
      <c r="L701" s="55">
        <v>16917.0</v>
      </c>
      <c r="M701" s="55" t="s">
        <v>78</v>
      </c>
      <c r="N701" s="55" t="s">
        <v>69</v>
      </c>
      <c r="O701" s="55" t="s">
        <v>224</v>
      </c>
      <c r="P701" s="55" t="s">
        <v>110</v>
      </c>
      <c r="Q701" s="67" t="str">
        <f>IFERROR(__xludf.DUMMYFUNCTION("""COMPUTED_VALUE"""),"Europe.giaotiep.M283_16917_CVS_NamNH_141024")</f>
        <v>Europe.giaotiep.M283_16917_CVS_NamNH_141024</v>
      </c>
      <c r="R701" s="67" t="str">
        <f>IFERROR(__xludf.DUMMYFUNCTION("""COMPUTED_VALUE"""),"NEW_Europe_1840_none_141024")</f>
        <v>NEW_Europe_1840_none_141024</v>
      </c>
      <c r="S701" s="67" t="str">
        <f>IFERROR(__xludf.DUMMYFUNCTION("""COMPUTED_VALUE"""),"saletructiep_Europe.M283.1840.giaotiep_PTATT_LD153")</f>
        <v>saletructiep_Europe.M283.1840.giaotiep_PTATT_LD153</v>
      </c>
      <c r="T701" s="107" t="str">
        <f>IFERROR(__xludf.DUMMYFUNCTION("""COMPUTED_VALUE"""),"https://patadovietnam.edu.vn/tienganhgiaotiep_hn/?utm_source=Facebook&amp;utm_medium=CVS&amp;utm_term=NEW_Europe_1840_none_141024&amp;utm_content=saletructiep_Europe.M283.1840.giaotiep_PTATT_LD153&amp;utm_campaign=Europe.giaotiep.M283_16917_CVS_NamNH_141024")</f>
        <v>https://patadovietnam.edu.vn/tienganhgiaotiep_hn/?utm_source=Facebook&amp;utm_medium=CVS&amp;utm_term=NEW_Europe_1840_none_141024&amp;utm_content=saletructiep_Europe.M283.1840.giaotiep_PTATT_LD153&amp;utm_campaign=Europe.giaotiep.M283_16917_CVS_NamNH_141024</v>
      </c>
      <c r="U701" s="118"/>
    </row>
    <row r="702">
      <c r="A702" s="72">
        <v>45579.0</v>
      </c>
      <c r="B702" s="75" t="s">
        <v>1134</v>
      </c>
      <c r="C702" s="67" t="str">
        <f>IFERROR(__xludf.DUMMYFUNCTION("""COMPUTED_VALUE"""),"LD153")</f>
        <v>LD153</v>
      </c>
      <c r="D702" s="55" t="s">
        <v>42</v>
      </c>
      <c r="E702" s="55" t="s">
        <v>69</v>
      </c>
      <c r="F702" s="55" t="s">
        <v>133</v>
      </c>
      <c r="G702" s="55">
        <v>1840.0</v>
      </c>
      <c r="H702" s="55" t="s">
        <v>1137</v>
      </c>
      <c r="I702" s="115" t="s">
        <v>6373</v>
      </c>
      <c r="J702" s="55" t="s">
        <v>6375</v>
      </c>
      <c r="K702" s="55" t="s">
        <v>61</v>
      </c>
      <c r="L702" s="55">
        <v>16917.0</v>
      </c>
      <c r="M702" s="55" t="s">
        <v>78</v>
      </c>
      <c r="N702" s="55" t="s">
        <v>69</v>
      </c>
      <c r="O702" s="55" t="s">
        <v>224</v>
      </c>
      <c r="P702" s="55" t="s">
        <v>110</v>
      </c>
      <c r="Q702" s="67" t="str">
        <f>IFERROR(__xludf.DUMMYFUNCTION("""COMPUTED_VALUE"""),"Japan.giaotiep.M283_16917_CVS_NamNH_141024")</f>
        <v>Japan.giaotiep.M283_16917_CVS_NamNH_141024</v>
      </c>
      <c r="R702" s="67" t="str">
        <f>IFERROR(__xludf.DUMMYFUNCTION("""COMPUTED_VALUE"""),"NEW_Japan_1840_none_141024")</f>
        <v>NEW_Japan_1840_none_141024</v>
      </c>
      <c r="S702" s="67" t="str">
        <f>IFERROR(__xludf.DUMMYFUNCTION("""COMPUTED_VALUE"""),"saletructiep_Japan.M283.1840.giaotiep_PTATT_LD153")</f>
        <v>saletructiep_Japan.M283.1840.giaotiep_PTATT_LD153</v>
      </c>
      <c r="T702" s="107" t="str">
        <f>IFERROR(__xludf.DUMMYFUNCTION("""COMPUTED_VALUE"""),"https://patadovietnam.edu.vn/tienganhgiaotiep_hn/?utm_source=Facebook&amp;utm_medium=CVS&amp;utm_term=NEW_Japan_1840_none_141024&amp;utm_content=saletructiep_Japan.M283.1840.giaotiep_PTATT_LD153&amp;utm_campaign=Japan.giaotiep.M283_16917_CVS_NamNH_141024")</f>
        <v>https://patadovietnam.edu.vn/tienganhgiaotiep_hn/?utm_source=Facebook&amp;utm_medium=CVS&amp;utm_term=NEW_Japan_1840_none_141024&amp;utm_content=saletructiep_Japan.M283.1840.giaotiep_PTATT_LD153&amp;utm_campaign=Japan.giaotiep.M283_16917_CVS_NamNH_141024</v>
      </c>
      <c r="U702" s="118"/>
    </row>
    <row r="703">
      <c r="A703" s="72">
        <v>45579.0</v>
      </c>
      <c r="B703" s="75" t="s">
        <v>1245</v>
      </c>
      <c r="C703" s="67" t="str">
        <f>IFERROR(__xludf.DUMMYFUNCTION("""COMPUTED_VALUE"""),"LD161")</f>
        <v>LD161</v>
      </c>
      <c r="D703" s="55" t="s">
        <v>42</v>
      </c>
      <c r="E703" s="55" t="s">
        <v>79</v>
      </c>
      <c r="F703" s="55" t="s">
        <v>107</v>
      </c>
      <c r="G703" s="55">
        <v>1840.0</v>
      </c>
      <c r="H703" s="55" t="s">
        <v>1137</v>
      </c>
      <c r="I703" s="115" t="s">
        <v>6382</v>
      </c>
      <c r="J703" s="55" t="s">
        <v>6383</v>
      </c>
      <c r="K703" s="55" t="s">
        <v>61</v>
      </c>
      <c r="L703" s="55">
        <v>16917.0</v>
      </c>
      <c r="M703" s="55" t="s">
        <v>78</v>
      </c>
      <c r="N703" s="55" t="s">
        <v>79</v>
      </c>
      <c r="O703" s="55" t="s">
        <v>224</v>
      </c>
      <c r="P703" s="55" t="s">
        <v>110</v>
      </c>
      <c r="Q703" s="67" t="str">
        <f>IFERROR(__xludf.DUMMYFUNCTION("""COMPUTED_VALUE"""),"UnitedStates.giaotiep.M283_16917_MES_NamNH_141024")</f>
        <v>UnitedStates.giaotiep.M283_16917_MES_NamNH_141024</v>
      </c>
      <c r="R703" s="67" t="str">
        <f>IFERROR(__xludf.DUMMYFUNCTION("""COMPUTED_VALUE"""),"NEW_UnitedStates_1840_none_141024")</f>
        <v>NEW_UnitedStates_1840_none_141024</v>
      </c>
      <c r="S703" s="67" t="str">
        <f>IFERROR(__xludf.DUMMYFUNCTION("""COMPUTED_VALUE"""),"saletructiep_UnitedStates.M283.1840.giaotiep_PTATT_LD161")</f>
        <v>saletructiep_UnitedStates.M283.1840.giaotiep_PTATT_LD161</v>
      </c>
      <c r="T703" s="107" t="str">
        <f>IFERROR(__xludf.DUMMYFUNCTION("""COMPUTED_VALUE"""),"https://patadovietnam.edu.vn/gtusa1_nhn/?utm_source=Facebook&amp;utm_medium=MES&amp;utm_term=NEW_UnitedStates_1840_none_141024&amp;utm_content=saletructiep_UnitedStates.M283.1840.giaotiep_PTATT_LD161&amp;utm_campaign=UnitedStates.giaotiep.M283_16917_MES_NamNH_141024")</f>
        <v>https://patadovietnam.edu.vn/gtusa1_nhn/?utm_source=Facebook&amp;utm_medium=MES&amp;utm_term=NEW_UnitedStates_1840_none_141024&amp;utm_content=saletructiep_UnitedStates.M283.1840.giaotiep_PTATT_LD161&amp;utm_campaign=UnitedStates.giaotiep.M283_16917_MES_NamNH_141024</v>
      </c>
      <c r="U703" s="118"/>
    </row>
    <row r="704">
      <c r="A704" s="72">
        <v>45579.0</v>
      </c>
      <c r="B704" s="75" t="s">
        <v>1134</v>
      </c>
      <c r="C704" s="67" t="str">
        <f>IFERROR(__xludf.DUMMYFUNCTION("""COMPUTED_VALUE"""),"LD153")</f>
        <v>LD153</v>
      </c>
      <c r="D704" s="55" t="s">
        <v>42</v>
      </c>
      <c r="E704" s="55" t="s">
        <v>69</v>
      </c>
      <c r="F704" s="55" t="s">
        <v>674</v>
      </c>
      <c r="G704" s="55">
        <v>1840.0</v>
      </c>
      <c r="H704" s="55" t="s">
        <v>1137</v>
      </c>
      <c r="I704" s="115" t="s">
        <v>6388</v>
      </c>
      <c r="J704" s="55" t="s">
        <v>6389</v>
      </c>
      <c r="K704" s="55" t="s">
        <v>61</v>
      </c>
      <c r="L704" s="55">
        <v>16917.0</v>
      </c>
      <c r="M704" s="55" t="s">
        <v>78</v>
      </c>
      <c r="N704" s="55" t="s">
        <v>69</v>
      </c>
      <c r="O704" s="55" t="s">
        <v>224</v>
      </c>
      <c r="P704" s="55" t="s">
        <v>110</v>
      </c>
      <c r="Q704" s="67" t="str">
        <f>IFERROR(__xludf.DUMMYFUNCTION("""COMPUTED_VALUE"""),"Europe.giaotiep.M285_16917_CVS_NamNH_141024")</f>
        <v>Europe.giaotiep.M285_16917_CVS_NamNH_141024</v>
      </c>
      <c r="R704" s="67" t="str">
        <f>IFERROR(__xludf.DUMMYFUNCTION("""COMPUTED_VALUE"""),"NEW_Europe_1840_none_141024")</f>
        <v>NEW_Europe_1840_none_141024</v>
      </c>
      <c r="S704" s="67" t="str">
        <f>IFERROR(__xludf.DUMMYFUNCTION("""COMPUTED_VALUE"""),"saletructiep_Europe.M285.1840.giaotiep_PTATT_LD153")</f>
        <v>saletructiep_Europe.M285.1840.giaotiep_PTATT_LD153</v>
      </c>
      <c r="T704" s="107" t="str">
        <f>IFERROR(__xludf.DUMMYFUNCTION("""COMPUTED_VALUE"""),"https://patadovietnam.edu.vn/tienganhgiaotiep_hn/?utm_source=Facebook&amp;utm_medium=CVS&amp;utm_term=NEW_Europe_1840_none_141024&amp;utm_content=saletructiep_Europe.M285.1840.giaotiep_PTATT_LD153&amp;utm_campaign=Europe.giaotiep.M285_16917_CVS_NamNH_141024")</f>
        <v>https://patadovietnam.edu.vn/tienganhgiaotiep_hn/?utm_source=Facebook&amp;utm_medium=CVS&amp;utm_term=NEW_Europe_1840_none_141024&amp;utm_content=saletructiep_Europe.M285.1840.giaotiep_PTATT_LD153&amp;utm_campaign=Europe.giaotiep.M285_16917_CVS_NamNH_141024</v>
      </c>
      <c r="U704" s="118"/>
    </row>
    <row r="705">
      <c r="A705" s="72">
        <v>45579.0</v>
      </c>
      <c r="B705" s="75" t="s">
        <v>1229</v>
      </c>
      <c r="C705" s="67" t="str">
        <f>IFERROR(__xludf.DUMMYFUNCTION("""COMPUTED_VALUE"""),"LD164")</f>
        <v>LD164</v>
      </c>
      <c r="D705" s="55" t="s">
        <v>42</v>
      </c>
      <c r="E705" s="55" t="s">
        <v>69</v>
      </c>
      <c r="F705" s="55" t="s">
        <v>133</v>
      </c>
      <c r="G705" s="55">
        <v>1840.0</v>
      </c>
      <c r="H705" s="55" t="s">
        <v>1137</v>
      </c>
      <c r="I705" s="115" t="s">
        <v>6395</v>
      </c>
      <c r="J705" s="55" t="s">
        <v>6397</v>
      </c>
      <c r="K705" s="55" t="s">
        <v>61</v>
      </c>
      <c r="L705" s="55">
        <v>16917.0</v>
      </c>
      <c r="M705" s="55" t="s">
        <v>78</v>
      </c>
      <c r="N705" s="55" t="s">
        <v>69</v>
      </c>
      <c r="O705" s="55" t="s">
        <v>224</v>
      </c>
      <c r="P705" s="55" t="s">
        <v>110</v>
      </c>
      <c r="Q705" s="67" t="str">
        <f>IFERROR(__xludf.DUMMYFUNCTION("""COMPUTED_VALUE"""),"Japan.giaotiep.M285_16917_CVS_NamNH_141024")</f>
        <v>Japan.giaotiep.M285_16917_CVS_NamNH_141024</v>
      </c>
      <c r="R705" s="67" t="str">
        <f>IFERROR(__xludf.DUMMYFUNCTION("""COMPUTED_VALUE"""),"NEW_Japan_1840_none_141024")</f>
        <v>NEW_Japan_1840_none_141024</v>
      </c>
      <c r="S705" s="67" t="str">
        <f>IFERROR(__xludf.DUMMYFUNCTION("""COMPUTED_VALUE"""),"saletructiep_Japan.M285.1840.giaotiep_PTATT_LD164")</f>
        <v>saletructiep_Japan.M285.1840.giaotiep_PTATT_LD164</v>
      </c>
      <c r="T705" s="107" t="str">
        <f>IFERROR(__xludf.DUMMYFUNCTION("""COMPUTED_VALUE"""),"https://patadovietnam.edu.vn/gtjapan_nhn3/?utm_source=Facebook&amp;utm_medium=CVS&amp;utm_term=NEW_Japan_1840_none_141024&amp;utm_content=saletructiep_Japan.M285.1840.giaotiep_PTATT_LD164&amp;utm_campaign=Japan.giaotiep.M285_16917_CVS_NamNH_141024")</f>
        <v>https://patadovietnam.edu.vn/gtjapan_nhn3/?utm_source=Facebook&amp;utm_medium=CVS&amp;utm_term=NEW_Japan_1840_none_141024&amp;utm_content=saletructiep_Japan.M285.1840.giaotiep_PTATT_LD164&amp;utm_campaign=Japan.giaotiep.M285_16917_CVS_NamNH_141024</v>
      </c>
      <c r="U705" s="118"/>
    </row>
    <row r="706">
      <c r="A706" s="72">
        <v>45579.0</v>
      </c>
      <c r="B706" s="75" t="s">
        <v>1245</v>
      </c>
      <c r="C706" s="67" t="str">
        <f>IFERROR(__xludf.DUMMYFUNCTION("""COMPUTED_VALUE"""),"LD161")</f>
        <v>LD161</v>
      </c>
      <c r="D706" s="55" t="s">
        <v>42</v>
      </c>
      <c r="E706" s="55" t="s">
        <v>79</v>
      </c>
      <c r="F706" s="55" t="s">
        <v>107</v>
      </c>
      <c r="G706" s="55">
        <v>1840.0</v>
      </c>
      <c r="H706" s="55" t="s">
        <v>1137</v>
      </c>
      <c r="I706" s="115" t="s">
        <v>6403</v>
      </c>
      <c r="J706" s="55" t="s">
        <v>6404</v>
      </c>
      <c r="K706" s="55" t="s">
        <v>61</v>
      </c>
      <c r="L706" s="55">
        <v>16917.0</v>
      </c>
      <c r="M706" s="55" t="s">
        <v>78</v>
      </c>
      <c r="N706" s="55" t="s">
        <v>79</v>
      </c>
      <c r="O706" s="55" t="s">
        <v>224</v>
      </c>
      <c r="P706" s="55" t="s">
        <v>110</v>
      </c>
      <c r="Q706" s="67" t="str">
        <f>IFERROR(__xludf.DUMMYFUNCTION("""COMPUTED_VALUE"""),"UnitedStates.giaotiep.M285_16917_MES_NamNH_141024")</f>
        <v>UnitedStates.giaotiep.M285_16917_MES_NamNH_141024</v>
      </c>
      <c r="R706" s="67" t="str">
        <f>IFERROR(__xludf.DUMMYFUNCTION("""COMPUTED_VALUE"""),"NEW_UnitedStates_1840_none_141024")</f>
        <v>NEW_UnitedStates_1840_none_141024</v>
      </c>
      <c r="S706" s="67" t="str">
        <f>IFERROR(__xludf.DUMMYFUNCTION("""COMPUTED_VALUE"""),"saletructiep_UnitedStates.M285.1840.giaotiep_PTATT_LD161")</f>
        <v>saletructiep_UnitedStates.M285.1840.giaotiep_PTATT_LD161</v>
      </c>
      <c r="T706" s="107" t="str">
        <f>IFERROR(__xludf.DUMMYFUNCTION("""COMPUTED_VALUE"""),"https://patadovietnam.edu.vn/gtusa1_nhn/?utm_source=Facebook&amp;utm_medium=MES&amp;utm_term=NEW_UnitedStates_1840_none_141024&amp;utm_content=saletructiep_UnitedStates.M285.1840.giaotiep_PTATT_LD161&amp;utm_campaign=UnitedStates.giaotiep.M285_16917_MES_NamNH_141024")</f>
        <v>https://patadovietnam.edu.vn/gtusa1_nhn/?utm_source=Facebook&amp;utm_medium=MES&amp;utm_term=NEW_UnitedStates_1840_none_141024&amp;utm_content=saletructiep_UnitedStates.M285.1840.giaotiep_PTATT_LD161&amp;utm_campaign=UnitedStates.giaotiep.M285_16917_MES_NamNH_141024</v>
      </c>
      <c r="U706" s="118"/>
    </row>
    <row r="707">
      <c r="A707" s="72">
        <v>45579.0</v>
      </c>
      <c r="B707" s="75" t="s">
        <v>1134</v>
      </c>
      <c r="C707" s="67" t="str">
        <f>IFERROR(__xludf.DUMMYFUNCTION("""COMPUTED_VALUE"""),"LD153")</f>
        <v>LD153</v>
      </c>
      <c r="D707" s="55" t="s">
        <v>42</v>
      </c>
      <c r="E707" s="55" t="s">
        <v>69</v>
      </c>
      <c r="F707" s="55" t="s">
        <v>674</v>
      </c>
      <c r="G707" s="55">
        <v>1840.0</v>
      </c>
      <c r="H707" s="55" t="s">
        <v>1137</v>
      </c>
      <c r="I707" s="115" t="s">
        <v>6409</v>
      </c>
      <c r="J707" s="55" t="s">
        <v>6410</v>
      </c>
      <c r="K707" s="55" t="s">
        <v>61</v>
      </c>
      <c r="L707" s="55">
        <v>16917.0</v>
      </c>
      <c r="M707" s="55" t="s">
        <v>78</v>
      </c>
      <c r="N707" s="55" t="s">
        <v>69</v>
      </c>
      <c r="O707" s="55" t="s">
        <v>224</v>
      </c>
      <c r="P707" s="55" t="s">
        <v>110</v>
      </c>
      <c r="Q707" s="67" t="str">
        <f>IFERROR(__xludf.DUMMYFUNCTION("""COMPUTED_VALUE"""),"Europe.giaotiep.M284_16917_CVS_NamNH_141024")</f>
        <v>Europe.giaotiep.M284_16917_CVS_NamNH_141024</v>
      </c>
      <c r="R707" s="67" t="str">
        <f>IFERROR(__xludf.DUMMYFUNCTION("""COMPUTED_VALUE"""),"NEW_Europe_1840_none_141024")</f>
        <v>NEW_Europe_1840_none_141024</v>
      </c>
      <c r="S707" s="67" t="str">
        <f>IFERROR(__xludf.DUMMYFUNCTION("""COMPUTED_VALUE"""),"saletructiep_Europe.M284.1840.giaotiep_PTATT_LD153")</f>
        <v>saletructiep_Europe.M284.1840.giaotiep_PTATT_LD153</v>
      </c>
      <c r="T707" s="107" t="str">
        <f>IFERROR(__xludf.DUMMYFUNCTION("""COMPUTED_VALUE"""),"https://patadovietnam.edu.vn/tienganhgiaotiep_hn/?utm_source=Facebook&amp;utm_medium=CVS&amp;utm_term=NEW_Europe_1840_none_141024&amp;utm_content=saletructiep_Europe.M284.1840.giaotiep_PTATT_LD153&amp;utm_campaign=Europe.giaotiep.M284_16917_CVS_NamNH_141024")</f>
        <v>https://patadovietnam.edu.vn/tienganhgiaotiep_hn/?utm_source=Facebook&amp;utm_medium=CVS&amp;utm_term=NEW_Europe_1840_none_141024&amp;utm_content=saletructiep_Europe.M284.1840.giaotiep_PTATT_LD153&amp;utm_campaign=Europe.giaotiep.M284_16917_CVS_NamNH_141024</v>
      </c>
      <c r="U707" s="118"/>
    </row>
    <row r="708">
      <c r="A708" s="72">
        <v>45579.0</v>
      </c>
      <c r="B708" s="75" t="s">
        <v>1229</v>
      </c>
      <c r="C708" s="67" t="str">
        <f>IFERROR(__xludf.DUMMYFUNCTION("""COMPUTED_VALUE"""),"LD164")</f>
        <v>LD164</v>
      </c>
      <c r="D708" s="55" t="s">
        <v>42</v>
      </c>
      <c r="E708" s="55" t="s">
        <v>69</v>
      </c>
      <c r="F708" s="55" t="s">
        <v>133</v>
      </c>
      <c r="G708" s="55">
        <v>1840.0</v>
      </c>
      <c r="H708" s="55" t="s">
        <v>1137</v>
      </c>
      <c r="I708" s="115" t="s">
        <v>6414</v>
      </c>
      <c r="J708" s="55" t="s">
        <v>6415</v>
      </c>
      <c r="K708" s="55" t="s">
        <v>61</v>
      </c>
      <c r="L708" s="55">
        <v>16917.0</v>
      </c>
      <c r="M708" s="55" t="s">
        <v>78</v>
      </c>
      <c r="N708" s="55" t="s">
        <v>69</v>
      </c>
      <c r="O708" s="55" t="s">
        <v>224</v>
      </c>
      <c r="P708" s="55" t="s">
        <v>110</v>
      </c>
      <c r="Q708" s="67" t="str">
        <f>IFERROR(__xludf.DUMMYFUNCTION("""COMPUTED_VALUE"""),"Japan.giaotiep.M284_16917_CVS_NamNH_141024")</f>
        <v>Japan.giaotiep.M284_16917_CVS_NamNH_141024</v>
      </c>
      <c r="R708" s="67" t="str">
        <f>IFERROR(__xludf.DUMMYFUNCTION("""COMPUTED_VALUE"""),"NEW_Japan_1840_none_141024")</f>
        <v>NEW_Japan_1840_none_141024</v>
      </c>
      <c r="S708" s="67" t="str">
        <f>IFERROR(__xludf.DUMMYFUNCTION("""COMPUTED_VALUE"""),"saletructiep_Japan.M284.1840.giaotiep_PTATT_LD164")</f>
        <v>saletructiep_Japan.M284.1840.giaotiep_PTATT_LD164</v>
      </c>
      <c r="T708" s="107" t="str">
        <f>IFERROR(__xludf.DUMMYFUNCTION("""COMPUTED_VALUE"""),"https://patadovietnam.edu.vn/gtjapan_nhn3/?utm_source=Facebook&amp;utm_medium=CVS&amp;utm_term=NEW_Japan_1840_none_141024&amp;utm_content=saletructiep_Japan.M284.1840.giaotiep_PTATT_LD164&amp;utm_campaign=Japan.giaotiep.M284_16917_CVS_NamNH_141024")</f>
        <v>https://patadovietnam.edu.vn/gtjapan_nhn3/?utm_source=Facebook&amp;utm_medium=CVS&amp;utm_term=NEW_Japan_1840_none_141024&amp;utm_content=saletructiep_Japan.M284.1840.giaotiep_PTATT_LD164&amp;utm_campaign=Japan.giaotiep.M284_16917_CVS_NamNH_141024</v>
      </c>
      <c r="U708" s="118"/>
    </row>
    <row r="709">
      <c r="A709" s="72">
        <v>45579.0</v>
      </c>
      <c r="B709" s="75" t="s">
        <v>1245</v>
      </c>
      <c r="C709" s="67" t="str">
        <f>IFERROR(__xludf.DUMMYFUNCTION("""COMPUTED_VALUE"""),"LD161")</f>
        <v>LD161</v>
      </c>
      <c r="D709" s="55" t="s">
        <v>42</v>
      </c>
      <c r="E709" s="55" t="s">
        <v>79</v>
      </c>
      <c r="F709" s="55" t="s">
        <v>107</v>
      </c>
      <c r="G709" s="55">
        <v>1840.0</v>
      </c>
      <c r="H709" s="55" t="s">
        <v>1137</v>
      </c>
      <c r="I709" s="115" t="s">
        <v>6418</v>
      </c>
      <c r="J709" s="55" t="s">
        <v>6419</v>
      </c>
      <c r="K709" s="55" t="s">
        <v>61</v>
      </c>
      <c r="L709" s="55">
        <v>16917.0</v>
      </c>
      <c r="M709" s="55" t="s">
        <v>78</v>
      </c>
      <c r="N709" s="55" t="s">
        <v>79</v>
      </c>
      <c r="O709" s="55" t="s">
        <v>224</v>
      </c>
      <c r="P709" s="55" t="s">
        <v>110</v>
      </c>
      <c r="Q709" s="67" t="str">
        <f>IFERROR(__xludf.DUMMYFUNCTION("""COMPUTED_VALUE"""),"UnitedStates.giaotiep.M284_16917_MES_NamNH_141024")</f>
        <v>UnitedStates.giaotiep.M284_16917_MES_NamNH_141024</v>
      </c>
      <c r="R709" s="67" t="str">
        <f>IFERROR(__xludf.DUMMYFUNCTION("""COMPUTED_VALUE"""),"NEW_UnitedStates_1840_none_141024")</f>
        <v>NEW_UnitedStates_1840_none_141024</v>
      </c>
      <c r="S709" s="67" t="str">
        <f>IFERROR(__xludf.DUMMYFUNCTION("""COMPUTED_VALUE"""),"saletructiep_UnitedStates.M284.1840.giaotiep_PTATT_LD161")</f>
        <v>saletructiep_UnitedStates.M284.1840.giaotiep_PTATT_LD161</v>
      </c>
      <c r="T709" s="107" t="str">
        <f>IFERROR(__xludf.DUMMYFUNCTION("""COMPUTED_VALUE"""),"https://patadovietnam.edu.vn/gtusa1_nhn/?utm_source=Facebook&amp;utm_medium=MES&amp;utm_term=NEW_UnitedStates_1840_none_141024&amp;utm_content=saletructiep_UnitedStates.M284.1840.giaotiep_PTATT_LD161&amp;utm_campaign=UnitedStates.giaotiep.M284_16917_MES_NamNH_141024")</f>
        <v>https://patadovietnam.edu.vn/gtusa1_nhn/?utm_source=Facebook&amp;utm_medium=MES&amp;utm_term=NEW_UnitedStates_1840_none_141024&amp;utm_content=saletructiep_UnitedStates.M284.1840.giaotiep_PTATT_LD161&amp;utm_campaign=UnitedStates.giaotiep.M284_16917_MES_NamNH_141024</v>
      </c>
      <c r="U709" s="118"/>
    </row>
    <row r="710">
      <c r="A710" s="72">
        <v>45579.0</v>
      </c>
      <c r="B710" s="75" t="s">
        <v>1134</v>
      </c>
      <c r="C710" s="67" t="str">
        <f>IFERROR(__xludf.DUMMYFUNCTION("""COMPUTED_VALUE"""),"LD153")</f>
        <v>LD153</v>
      </c>
      <c r="D710" s="55" t="s">
        <v>42</v>
      </c>
      <c r="E710" s="55" t="s">
        <v>79</v>
      </c>
      <c r="F710" s="55" t="s">
        <v>539</v>
      </c>
      <c r="G710" s="55">
        <v>1840.0</v>
      </c>
      <c r="H710" s="55" t="s">
        <v>1137</v>
      </c>
      <c r="I710" s="115" t="s">
        <v>6422</v>
      </c>
      <c r="J710" s="55" t="s">
        <v>6423</v>
      </c>
      <c r="K710" s="55" t="s">
        <v>61</v>
      </c>
      <c r="L710" s="55">
        <v>16917.0</v>
      </c>
      <c r="M710" s="55" t="s">
        <v>78</v>
      </c>
      <c r="N710" s="55" t="s">
        <v>79</v>
      </c>
      <c r="O710" s="55" t="s">
        <v>224</v>
      </c>
      <c r="P710" s="55" t="s">
        <v>110</v>
      </c>
      <c r="Q710" s="67" t="str">
        <f>IFERROR(__xludf.DUMMYFUNCTION("""COMPUTED_VALUE"""),"ALL.giaotiep.M283_16917_MES_NamNH_141024")</f>
        <v>ALL.giaotiep.M283_16917_MES_NamNH_141024</v>
      </c>
      <c r="R710" s="67" t="str">
        <f>IFERROR(__xludf.DUMMYFUNCTION("""COMPUTED_VALUE"""),"NEW_ALL_1840_none_141024")</f>
        <v>NEW_ALL_1840_none_141024</v>
      </c>
      <c r="S710" s="67" t="str">
        <f>IFERROR(__xludf.DUMMYFUNCTION("""COMPUTED_VALUE"""),"saletructiep_ALL.M283.1840.giaotiep_PTATT_LD153")</f>
        <v>saletructiep_ALL.M283.1840.giaotiep_PTATT_LD153</v>
      </c>
      <c r="T710" s="107" t="str">
        <f>IFERROR(__xludf.DUMMYFUNCTION("""COMPUTED_VALUE"""),"https://patadovietnam.edu.vn/tienganhgiaotiep_hn/?utm_source=Facebook&amp;utm_medium=MES&amp;utm_term=NEW_ALL_1840_none_141024&amp;utm_content=saletructiep_ALL.M283.1840.giaotiep_PTATT_LD153&amp;utm_campaign=ALL.giaotiep.M283_16917_MES_NamNH_141024")</f>
        <v>https://patadovietnam.edu.vn/tienganhgiaotiep_hn/?utm_source=Facebook&amp;utm_medium=MES&amp;utm_term=NEW_ALL_1840_none_141024&amp;utm_content=saletructiep_ALL.M283.1840.giaotiep_PTATT_LD153&amp;utm_campaign=ALL.giaotiep.M283_16917_MES_NamNH_141024</v>
      </c>
      <c r="U710" s="118"/>
    </row>
    <row r="711">
      <c r="A711" s="72">
        <v>45579.0</v>
      </c>
      <c r="B711" s="75" t="s">
        <v>1134</v>
      </c>
      <c r="C711" s="67" t="str">
        <f>IFERROR(__xludf.DUMMYFUNCTION("""COMPUTED_VALUE"""),"LD153")</f>
        <v>LD153</v>
      </c>
      <c r="D711" s="55" t="s">
        <v>42</v>
      </c>
      <c r="E711" s="55" t="s">
        <v>79</v>
      </c>
      <c r="F711" s="55" t="s">
        <v>539</v>
      </c>
      <c r="G711" s="55">
        <v>1840.0</v>
      </c>
      <c r="H711" s="55" t="s">
        <v>1137</v>
      </c>
      <c r="I711" s="115" t="s">
        <v>6430</v>
      </c>
      <c r="J711" s="55" t="s">
        <v>6431</v>
      </c>
      <c r="K711" s="55" t="s">
        <v>61</v>
      </c>
      <c r="L711" s="55">
        <v>16917.0</v>
      </c>
      <c r="M711" s="55" t="s">
        <v>78</v>
      </c>
      <c r="N711" s="55" t="s">
        <v>79</v>
      </c>
      <c r="O711" s="55" t="s">
        <v>224</v>
      </c>
      <c r="P711" s="55" t="s">
        <v>110</v>
      </c>
      <c r="Q711" s="67" t="str">
        <f>IFERROR(__xludf.DUMMYFUNCTION("""COMPUTED_VALUE"""),"ALL.giaotiep.M284_16917_MES_NamNH_141024")</f>
        <v>ALL.giaotiep.M284_16917_MES_NamNH_141024</v>
      </c>
      <c r="R711" s="67" t="str">
        <f>IFERROR(__xludf.DUMMYFUNCTION("""COMPUTED_VALUE"""),"NEW_ALL_1840_none_141024")</f>
        <v>NEW_ALL_1840_none_141024</v>
      </c>
      <c r="S711" s="67" t="str">
        <f>IFERROR(__xludf.DUMMYFUNCTION("""COMPUTED_VALUE"""),"saletructiep_ALL.M284.1840.giaotiep_PTATT_LD153")</f>
        <v>saletructiep_ALL.M284.1840.giaotiep_PTATT_LD153</v>
      </c>
      <c r="T711" s="107" t="str">
        <f>IFERROR(__xludf.DUMMYFUNCTION("""COMPUTED_VALUE"""),"https://patadovietnam.edu.vn/tienganhgiaotiep_hn/?utm_source=Facebook&amp;utm_medium=MES&amp;utm_term=NEW_ALL_1840_none_141024&amp;utm_content=saletructiep_ALL.M284.1840.giaotiep_PTATT_LD153&amp;utm_campaign=ALL.giaotiep.M284_16917_MES_NamNH_141024")</f>
        <v>https://patadovietnam.edu.vn/tienganhgiaotiep_hn/?utm_source=Facebook&amp;utm_medium=MES&amp;utm_term=NEW_ALL_1840_none_141024&amp;utm_content=saletructiep_ALL.M284.1840.giaotiep_PTATT_LD153&amp;utm_campaign=ALL.giaotiep.M284_16917_MES_NamNH_141024</v>
      </c>
      <c r="U711" s="118"/>
    </row>
    <row r="712">
      <c r="A712" s="72">
        <v>45579.0</v>
      </c>
      <c r="B712" s="75" t="s">
        <v>1134</v>
      </c>
      <c r="C712" s="67" t="str">
        <f>IFERROR(__xludf.DUMMYFUNCTION("""COMPUTED_VALUE"""),"LD153")</f>
        <v>LD153</v>
      </c>
      <c r="D712" s="55" t="s">
        <v>42</v>
      </c>
      <c r="E712" s="55" t="s">
        <v>69</v>
      </c>
      <c r="F712" s="55" t="s">
        <v>539</v>
      </c>
      <c r="G712" s="55">
        <v>1840.0</v>
      </c>
      <c r="H712" s="55" t="s">
        <v>1137</v>
      </c>
      <c r="I712" s="115" t="s">
        <v>6434</v>
      </c>
      <c r="J712" s="55" t="s">
        <v>6435</v>
      </c>
      <c r="K712" s="55" t="s">
        <v>61</v>
      </c>
      <c r="L712" s="55">
        <v>16917.0</v>
      </c>
      <c r="M712" s="55" t="s">
        <v>78</v>
      </c>
      <c r="N712" s="55" t="s">
        <v>69</v>
      </c>
      <c r="O712" s="55" t="s">
        <v>224</v>
      </c>
      <c r="P712" s="55" t="s">
        <v>110</v>
      </c>
      <c r="Q712" s="67" t="str">
        <f>IFERROR(__xludf.DUMMYFUNCTION("""COMPUTED_VALUE"""),"ALL.giaotiep.M285_16917_CVS_NamNH_141024")</f>
        <v>ALL.giaotiep.M285_16917_CVS_NamNH_141024</v>
      </c>
      <c r="R712" s="67" t="str">
        <f>IFERROR(__xludf.DUMMYFUNCTION("""COMPUTED_VALUE"""),"NEW_ALL_1840_none_141024")</f>
        <v>NEW_ALL_1840_none_141024</v>
      </c>
      <c r="S712" s="67" t="str">
        <f>IFERROR(__xludf.DUMMYFUNCTION("""COMPUTED_VALUE"""),"saletructiep_ALL.M285.1840.giaotiep_PTATT_LD153")</f>
        <v>saletructiep_ALL.M285.1840.giaotiep_PTATT_LD153</v>
      </c>
      <c r="T712" s="107" t="str">
        <f>IFERROR(__xludf.DUMMYFUNCTION("""COMPUTED_VALUE"""),"https://patadovietnam.edu.vn/tienganhgiaotiep_hn/?utm_source=Facebook&amp;utm_medium=CVS&amp;utm_term=NEW_ALL_1840_none_141024&amp;utm_content=saletructiep_ALL.M285.1840.giaotiep_PTATT_LD153&amp;utm_campaign=ALL.giaotiep.M285_16917_CVS_NamNH_141024")</f>
        <v>https://patadovietnam.edu.vn/tienganhgiaotiep_hn/?utm_source=Facebook&amp;utm_medium=CVS&amp;utm_term=NEW_ALL_1840_none_141024&amp;utm_content=saletructiep_ALL.M285.1840.giaotiep_PTATT_LD153&amp;utm_campaign=ALL.giaotiep.M285_16917_CVS_NamNH_141024</v>
      </c>
      <c r="U712" s="118"/>
    </row>
    <row r="713">
      <c r="A713" s="72">
        <v>45583.0</v>
      </c>
      <c r="B713" s="75" t="s">
        <v>1229</v>
      </c>
      <c r="C713" s="67" t="str">
        <f>IFERROR(__xludf.DUMMYFUNCTION("""COMPUTED_VALUE"""),"LD164")</f>
        <v>LD164</v>
      </c>
      <c r="D713" s="55" t="s">
        <v>42</v>
      </c>
      <c r="E713" s="55" t="s">
        <v>69</v>
      </c>
      <c r="F713" s="55" t="s">
        <v>133</v>
      </c>
      <c r="G713" s="55">
        <v>1840.0</v>
      </c>
      <c r="H713" s="55" t="s">
        <v>1137</v>
      </c>
      <c r="I713" s="115" t="s">
        <v>6441</v>
      </c>
      <c r="J713" s="55" t="s">
        <v>6442</v>
      </c>
      <c r="K713" s="55" t="s">
        <v>61</v>
      </c>
      <c r="L713" s="55">
        <v>16917.0</v>
      </c>
      <c r="M713" s="55" t="s">
        <v>78</v>
      </c>
      <c r="N713" s="55" t="s">
        <v>69</v>
      </c>
      <c r="O713" s="55" t="s">
        <v>224</v>
      </c>
      <c r="P713" s="55" t="s">
        <v>110</v>
      </c>
      <c r="Q713" s="67" t="str">
        <f>IFERROR(__xludf.DUMMYFUNCTION("""COMPUTED_VALUE"""),"Japan.giaotiep.M289_16917_CVS_NamNH_181024")</f>
        <v>Japan.giaotiep.M289_16917_CVS_NamNH_181024</v>
      </c>
      <c r="R713" s="67" t="str">
        <f>IFERROR(__xludf.DUMMYFUNCTION("""COMPUTED_VALUE"""),"NEW_Japan_1840_none_181024")</f>
        <v>NEW_Japan_1840_none_181024</v>
      </c>
      <c r="S713" s="67" t="str">
        <f>IFERROR(__xludf.DUMMYFUNCTION("""COMPUTED_VALUE"""),"saletructiep_Japan.M289.1840.giaotiep_PTATT_LD164")</f>
        <v>saletructiep_Japan.M289.1840.giaotiep_PTATT_LD164</v>
      </c>
      <c r="T713" s="107" t="str">
        <f>IFERROR(__xludf.DUMMYFUNCTION("""COMPUTED_VALUE"""),"https://patadovietnam.edu.vn/gtjapan_nhn3/?utm_source=Facebook&amp;utm_medium=CVS&amp;utm_term=NEW_Japan_1840_none_181024&amp;utm_content=saletructiep_Japan.M289.1840.giaotiep_PTATT_LD164&amp;utm_campaign=Japan.giaotiep.M289_16917_CVS_NamNH_181024")</f>
        <v>https://patadovietnam.edu.vn/gtjapan_nhn3/?utm_source=Facebook&amp;utm_medium=CVS&amp;utm_term=NEW_Japan_1840_none_181024&amp;utm_content=saletructiep_Japan.M289.1840.giaotiep_PTATT_LD164&amp;utm_campaign=Japan.giaotiep.M289_16917_CVS_NamNH_181024</v>
      </c>
      <c r="U713" s="118"/>
    </row>
    <row r="714" hidden="1">
      <c r="A714" s="72">
        <v>45600.0</v>
      </c>
      <c r="B714" s="75" t="s">
        <v>6448</v>
      </c>
      <c r="C714" s="67" t="str">
        <f>IFERROR(__xludf.DUMMYFUNCTION("""COMPUTED_VALUE"""),"LD236")</f>
        <v>LD236</v>
      </c>
      <c r="D714" s="55" t="s">
        <v>42</v>
      </c>
      <c r="E714" s="55" t="s">
        <v>69</v>
      </c>
      <c r="F714" s="55" t="s">
        <v>133</v>
      </c>
      <c r="G714" s="55">
        <v>1840.0</v>
      </c>
      <c r="H714" s="55" t="s">
        <v>1137</v>
      </c>
      <c r="I714" s="115" t="s">
        <v>6452</v>
      </c>
      <c r="J714" s="55" t="s">
        <v>6442</v>
      </c>
      <c r="K714" s="55" t="s">
        <v>61</v>
      </c>
      <c r="L714" s="55">
        <v>16917.0</v>
      </c>
      <c r="M714" s="55" t="s">
        <v>78</v>
      </c>
      <c r="N714" s="55" t="s">
        <v>69</v>
      </c>
      <c r="O714" s="55" t="s">
        <v>224</v>
      </c>
      <c r="P714" s="55" t="s">
        <v>110</v>
      </c>
      <c r="Q714" s="67" t="str">
        <f>IFERROR(__xludf.DUMMYFUNCTION("""COMPUTED_VALUE"""),"Japan.giaotiep.M290_16917_CVS_NamNH_041124")</f>
        <v>Japan.giaotiep.M290_16917_CVS_NamNH_041124</v>
      </c>
      <c r="R714" s="67" t="str">
        <f>IFERROR(__xludf.DUMMYFUNCTION("""COMPUTED_VALUE"""),"NEW_Japan_1840_none_041124")</f>
        <v>NEW_Japan_1840_none_041124</v>
      </c>
      <c r="S714" s="67" t="str">
        <f>IFERROR(__xludf.DUMMYFUNCTION("""COMPUTED_VALUE"""),"saletructiep_Japan.M289.1840.giaotiep_PTATT_LD236")</f>
        <v>saletructiep_Japan.M289.1840.giaotiep_PTATT_LD236</v>
      </c>
      <c r="T714" s="107" t="str">
        <f>IFERROR(__xludf.DUMMYFUNCTION("""COMPUTED_VALUE"""),"https://duhocpatado.edu.vn/tienganhgiaotiep_hn/?utm_source=Facebook&amp;utm_medium=CVS&amp;utm_term=NEW_Japan_1840_none_041124&amp;utm_content=saletructiep_Japan.M289.1840.giaotiep_PTATT_LD236&amp;utm_campaign=Japan.giaotiep.M290_16917_CVS_NamNH_041124")</f>
        <v>https://duhocpatado.edu.vn/tienganhgiaotiep_hn/?utm_source=Facebook&amp;utm_medium=CVS&amp;utm_term=NEW_Japan_1840_none_041124&amp;utm_content=saletructiep_Japan.M289.1840.giaotiep_PTATT_LD236&amp;utm_campaign=Japan.giaotiep.M290_16917_CVS_NamNH_041124</v>
      </c>
      <c r="U714" s="118"/>
    </row>
    <row r="715" hidden="1">
      <c r="A715" s="72">
        <v>45600.0</v>
      </c>
      <c r="B715" s="75" t="s">
        <v>6448</v>
      </c>
      <c r="C715" s="67" t="str">
        <f>IFERROR(__xludf.DUMMYFUNCTION("""COMPUTED_VALUE"""),"LD236")</f>
        <v>LD236</v>
      </c>
      <c r="D715" s="55" t="s">
        <v>42</v>
      </c>
      <c r="E715" s="55" t="s">
        <v>69</v>
      </c>
      <c r="F715" s="55" t="s">
        <v>133</v>
      </c>
      <c r="G715" s="55">
        <v>1840.0</v>
      </c>
      <c r="H715" s="55" t="s">
        <v>1137</v>
      </c>
      <c r="I715" s="115" t="s">
        <v>6459</v>
      </c>
      <c r="J715" s="55" t="s">
        <v>6442</v>
      </c>
      <c r="K715" s="55" t="s">
        <v>61</v>
      </c>
      <c r="L715" s="55">
        <v>16917.0</v>
      </c>
      <c r="M715" s="55" t="s">
        <v>78</v>
      </c>
      <c r="N715" s="55" t="s">
        <v>69</v>
      </c>
      <c r="O715" s="55" t="s">
        <v>224</v>
      </c>
      <c r="P715" s="55" t="s">
        <v>110</v>
      </c>
      <c r="Q715" s="67" t="str">
        <f>IFERROR(__xludf.DUMMYFUNCTION("""COMPUTED_VALUE"""),"Japan.giaotiep.M291_16917_CVS_NamNH_041124")</f>
        <v>Japan.giaotiep.M291_16917_CVS_NamNH_041124</v>
      </c>
      <c r="R715" s="67" t="str">
        <f>IFERROR(__xludf.DUMMYFUNCTION("""COMPUTED_VALUE"""),"NEW_Japan_1840_none_041124")</f>
        <v>NEW_Japan_1840_none_041124</v>
      </c>
      <c r="S715" s="67" t="str">
        <f>IFERROR(__xludf.DUMMYFUNCTION("""COMPUTED_VALUE"""),"saletructiep_Japan.M289.1840.giaotiep_PTATT_LD236")</f>
        <v>saletructiep_Japan.M289.1840.giaotiep_PTATT_LD236</v>
      </c>
      <c r="T715" s="107" t="str">
        <f>IFERROR(__xludf.DUMMYFUNCTION("""COMPUTED_VALUE"""),"https://duhocpatado.edu.vn/tienganhgiaotiep_hn/?utm_source=Facebook&amp;utm_medium=CVS&amp;utm_term=NEW_Japan_1840_none_041124&amp;utm_content=saletructiep_Japan.M289.1840.giaotiep_PTATT_LD236&amp;utm_campaign=Japan.giaotiep.M291_16917_CVS_NamNH_041124")</f>
        <v>https://duhocpatado.edu.vn/tienganhgiaotiep_hn/?utm_source=Facebook&amp;utm_medium=CVS&amp;utm_term=NEW_Japan_1840_none_041124&amp;utm_content=saletructiep_Japan.M289.1840.giaotiep_PTATT_LD236&amp;utm_campaign=Japan.giaotiep.M291_16917_CVS_NamNH_041124</v>
      </c>
      <c r="U715" s="118"/>
    </row>
    <row r="716" hidden="1">
      <c r="A716" s="72">
        <v>45600.0</v>
      </c>
      <c r="B716" s="75" t="s">
        <v>6448</v>
      </c>
      <c r="C716" s="67" t="str">
        <f>IFERROR(__xludf.DUMMYFUNCTION("""COMPUTED_VALUE"""),"LD236")</f>
        <v>LD236</v>
      </c>
      <c r="D716" s="55" t="s">
        <v>42</v>
      </c>
      <c r="E716" s="55" t="s">
        <v>69</v>
      </c>
      <c r="F716" s="55" t="s">
        <v>133</v>
      </c>
      <c r="G716" s="55">
        <v>1840.0</v>
      </c>
      <c r="H716" s="55" t="s">
        <v>1137</v>
      </c>
      <c r="I716" s="115" t="s">
        <v>6467</v>
      </c>
      <c r="J716" s="55" t="s">
        <v>6442</v>
      </c>
      <c r="K716" s="55" t="s">
        <v>61</v>
      </c>
      <c r="L716" s="55">
        <v>16917.0</v>
      </c>
      <c r="M716" s="55" t="s">
        <v>78</v>
      </c>
      <c r="N716" s="55" t="s">
        <v>69</v>
      </c>
      <c r="O716" s="55" t="s">
        <v>224</v>
      </c>
      <c r="P716" s="55" t="s">
        <v>110</v>
      </c>
      <c r="Q716" s="67" t="str">
        <f>IFERROR(__xludf.DUMMYFUNCTION("""COMPUTED_VALUE"""),"Japan.giaotiep.M292_16917_CVS_NamNH_041124")</f>
        <v>Japan.giaotiep.M292_16917_CVS_NamNH_041124</v>
      </c>
      <c r="R716" s="67" t="str">
        <f>IFERROR(__xludf.DUMMYFUNCTION("""COMPUTED_VALUE"""),"NEW_Japan_1840_none_041124")</f>
        <v>NEW_Japan_1840_none_041124</v>
      </c>
      <c r="S716" s="67" t="str">
        <f>IFERROR(__xludf.DUMMYFUNCTION("""COMPUTED_VALUE"""),"saletructiep_Japan.M289.1840.giaotiep_PTATT_LD236")</f>
        <v>saletructiep_Japan.M289.1840.giaotiep_PTATT_LD236</v>
      </c>
      <c r="T716" s="107" t="str">
        <f>IFERROR(__xludf.DUMMYFUNCTION("""COMPUTED_VALUE"""),"https://duhocpatado.edu.vn/tienganhgiaotiep_hn/?utm_source=Facebook&amp;utm_medium=CVS&amp;utm_term=NEW_Japan_1840_none_041124&amp;utm_content=saletructiep_Japan.M289.1840.giaotiep_PTATT_LD236&amp;utm_campaign=Japan.giaotiep.M292_16917_CVS_NamNH_041124")</f>
        <v>https://duhocpatado.edu.vn/tienganhgiaotiep_hn/?utm_source=Facebook&amp;utm_medium=CVS&amp;utm_term=NEW_Japan_1840_none_041124&amp;utm_content=saletructiep_Japan.M289.1840.giaotiep_PTATT_LD236&amp;utm_campaign=Japan.giaotiep.M292_16917_CVS_NamNH_041124</v>
      </c>
      <c r="U716" s="118"/>
    </row>
    <row r="717" hidden="1">
      <c r="A717" s="72">
        <v>45600.0</v>
      </c>
      <c r="B717" s="75" t="s">
        <v>6448</v>
      </c>
      <c r="C717" s="67" t="str">
        <f>IFERROR(__xludf.DUMMYFUNCTION("""COMPUTED_VALUE"""),"LD236")</f>
        <v>LD236</v>
      </c>
      <c r="D717" s="55" t="s">
        <v>42</v>
      </c>
      <c r="E717" s="55" t="s">
        <v>69</v>
      </c>
      <c r="F717" s="55" t="s">
        <v>133</v>
      </c>
      <c r="G717" s="55">
        <v>1840.0</v>
      </c>
      <c r="H717" s="55" t="s">
        <v>1137</v>
      </c>
      <c r="I717" s="115" t="s">
        <v>6471</v>
      </c>
      <c r="J717" s="55" t="s">
        <v>6442</v>
      </c>
      <c r="K717" s="55" t="s">
        <v>61</v>
      </c>
      <c r="L717" s="55">
        <v>16917.0</v>
      </c>
      <c r="M717" s="55" t="s">
        <v>78</v>
      </c>
      <c r="N717" s="55" t="s">
        <v>69</v>
      </c>
      <c r="O717" s="55" t="s">
        <v>224</v>
      </c>
      <c r="P717" s="55" t="s">
        <v>110</v>
      </c>
      <c r="Q717" s="67" t="str">
        <f>IFERROR(__xludf.DUMMYFUNCTION("""COMPUTED_VALUE"""),"Japan.giaotiep.M293_16917_CVS_NamNH_041124")</f>
        <v>Japan.giaotiep.M293_16917_CVS_NamNH_041124</v>
      </c>
      <c r="R717" s="67" t="str">
        <f>IFERROR(__xludf.DUMMYFUNCTION("""COMPUTED_VALUE"""),"NEW_Japan_1840_none_041124")</f>
        <v>NEW_Japan_1840_none_041124</v>
      </c>
      <c r="S717" s="67" t="str">
        <f>IFERROR(__xludf.DUMMYFUNCTION("""COMPUTED_VALUE"""),"saletructiep_Japan.M289.1840.giaotiep_PTATT_LD236")</f>
        <v>saletructiep_Japan.M289.1840.giaotiep_PTATT_LD236</v>
      </c>
      <c r="T717" s="107" t="str">
        <f>IFERROR(__xludf.DUMMYFUNCTION("""COMPUTED_VALUE"""),"https://duhocpatado.edu.vn/tienganhgiaotiep_hn/?utm_source=Facebook&amp;utm_medium=CVS&amp;utm_term=NEW_Japan_1840_none_041124&amp;utm_content=saletructiep_Japan.M289.1840.giaotiep_PTATT_LD236&amp;utm_campaign=Japan.giaotiep.M293_16917_CVS_NamNH_041124")</f>
        <v>https://duhocpatado.edu.vn/tienganhgiaotiep_hn/?utm_source=Facebook&amp;utm_medium=CVS&amp;utm_term=NEW_Japan_1840_none_041124&amp;utm_content=saletructiep_Japan.M289.1840.giaotiep_PTATT_LD236&amp;utm_campaign=Japan.giaotiep.M293_16917_CVS_NamNH_041124</v>
      </c>
      <c r="U717" s="118"/>
    </row>
    <row r="718" hidden="1">
      <c r="A718" s="72">
        <v>45600.0</v>
      </c>
      <c r="B718" s="75" t="s">
        <v>6448</v>
      </c>
      <c r="C718" s="67" t="str">
        <f>IFERROR(__xludf.DUMMYFUNCTION("""COMPUTED_VALUE"""),"LD236")</f>
        <v>LD236</v>
      </c>
      <c r="D718" s="55" t="s">
        <v>42</v>
      </c>
      <c r="E718" s="55" t="s">
        <v>69</v>
      </c>
      <c r="F718" s="55" t="s">
        <v>133</v>
      </c>
      <c r="G718" s="55">
        <v>1840.0</v>
      </c>
      <c r="H718" s="55" t="s">
        <v>1137</v>
      </c>
      <c r="I718" s="115" t="s">
        <v>6477</v>
      </c>
      <c r="J718" s="55" t="s">
        <v>6442</v>
      </c>
      <c r="K718" s="55" t="s">
        <v>61</v>
      </c>
      <c r="L718" s="55">
        <v>16917.0</v>
      </c>
      <c r="M718" s="55" t="s">
        <v>78</v>
      </c>
      <c r="N718" s="55" t="s">
        <v>69</v>
      </c>
      <c r="O718" s="55" t="s">
        <v>224</v>
      </c>
      <c r="P718" s="55" t="s">
        <v>110</v>
      </c>
      <c r="Q718" s="67" t="str">
        <f>IFERROR(__xludf.DUMMYFUNCTION("""COMPUTED_VALUE"""),"Japan.giaotiep.M294_16917_CVS_NamNH_041124")</f>
        <v>Japan.giaotiep.M294_16917_CVS_NamNH_041124</v>
      </c>
      <c r="R718" s="67" t="str">
        <f>IFERROR(__xludf.DUMMYFUNCTION("""COMPUTED_VALUE"""),"NEW_Japan_1840_none_041124")</f>
        <v>NEW_Japan_1840_none_041124</v>
      </c>
      <c r="S718" s="67" t="str">
        <f>IFERROR(__xludf.DUMMYFUNCTION("""COMPUTED_VALUE"""),"saletructiep_Japan.M289.1840.giaotiep_PTATT_LD236")</f>
        <v>saletructiep_Japan.M289.1840.giaotiep_PTATT_LD236</v>
      </c>
      <c r="T718" s="107" t="str">
        <f>IFERROR(__xludf.DUMMYFUNCTION("""COMPUTED_VALUE"""),"https://duhocpatado.edu.vn/tienganhgiaotiep_hn/?utm_source=Facebook&amp;utm_medium=CVS&amp;utm_term=NEW_Japan_1840_none_041124&amp;utm_content=saletructiep_Japan.M289.1840.giaotiep_PTATT_LD236&amp;utm_campaign=Japan.giaotiep.M294_16917_CVS_NamNH_041124")</f>
        <v>https://duhocpatado.edu.vn/tienganhgiaotiep_hn/?utm_source=Facebook&amp;utm_medium=CVS&amp;utm_term=NEW_Japan_1840_none_041124&amp;utm_content=saletructiep_Japan.M289.1840.giaotiep_PTATT_LD236&amp;utm_campaign=Japan.giaotiep.M294_16917_CVS_NamNH_041124</v>
      </c>
      <c r="U718" s="118"/>
    </row>
    <row r="719" hidden="1">
      <c r="A719" s="72">
        <v>45600.0</v>
      </c>
      <c r="B719" s="75" t="s">
        <v>6448</v>
      </c>
      <c r="C719" s="67" t="str">
        <f>IFERROR(__xludf.DUMMYFUNCTION("""COMPUTED_VALUE"""),"LD236")</f>
        <v>LD236</v>
      </c>
      <c r="D719" s="55" t="s">
        <v>42</v>
      </c>
      <c r="E719" s="55" t="s">
        <v>69</v>
      </c>
      <c r="F719" s="55" t="s">
        <v>133</v>
      </c>
      <c r="G719" s="55">
        <v>1840.0</v>
      </c>
      <c r="H719" s="55" t="s">
        <v>1137</v>
      </c>
      <c r="I719" s="115" t="s">
        <v>6482</v>
      </c>
      <c r="J719" s="55" t="s">
        <v>6442</v>
      </c>
      <c r="K719" s="55" t="s">
        <v>61</v>
      </c>
      <c r="L719" s="55">
        <v>16917.0</v>
      </c>
      <c r="M719" s="55" t="s">
        <v>78</v>
      </c>
      <c r="N719" s="55" t="s">
        <v>69</v>
      </c>
      <c r="O719" s="55" t="s">
        <v>224</v>
      </c>
      <c r="P719" s="55" t="s">
        <v>110</v>
      </c>
      <c r="Q719" s="67" t="str">
        <f>IFERROR(__xludf.DUMMYFUNCTION("""COMPUTED_VALUE"""),"Japan.giaotiep.M295_16917_CVS_NamNH_041124")</f>
        <v>Japan.giaotiep.M295_16917_CVS_NamNH_041124</v>
      </c>
      <c r="R719" s="67" t="str">
        <f>IFERROR(__xludf.DUMMYFUNCTION("""COMPUTED_VALUE"""),"NEW_Japan_1840_none_041124")</f>
        <v>NEW_Japan_1840_none_041124</v>
      </c>
      <c r="S719" s="67" t="str">
        <f>IFERROR(__xludf.DUMMYFUNCTION("""COMPUTED_VALUE"""),"saletructiep_Japan.M289.1840.giaotiep_PTATT_LD236")</f>
        <v>saletructiep_Japan.M289.1840.giaotiep_PTATT_LD236</v>
      </c>
      <c r="T719" s="107" t="str">
        <f>IFERROR(__xludf.DUMMYFUNCTION("""COMPUTED_VALUE"""),"https://duhocpatado.edu.vn/tienganhgiaotiep_hn/?utm_source=Facebook&amp;utm_medium=CVS&amp;utm_term=NEW_Japan_1840_none_041124&amp;utm_content=saletructiep_Japan.M289.1840.giaotiep_PTATT_LD236&amp;utm_campaign=Japan.giaotiep.M295_16917_CVS_NamNH_041124")</f>
        <v>https://duhocpatado.edu.vn/tienganhgiaotiep_hn/?utm_source=Facebook&amp;utm_medium=CVS&amp;utm_term=NEW_Japan_1840_none_041124&amp;utm_content=saletructiep_Japan.M289.1840.giaotiep_PTATT_LD236&amp;utm_campaign=Japan.giaotiep.M295_16917_CVS_NamNH_041124</v>
      </c>
      <c r="U719" s="118"/>
    </row>
    <row r="720" hidden="1">
      <c r="A720" s="72">
        <v>45600.0</v>
      </c>
      <c r="B720" s="75" t="s">
        <v>6486</v>
      </c>
      <c r="C720" s="67" t="str">
        <f>IFERROR(__xludf.DUMMYFUNCTION("""COMPUTED_VALUE"""),"LD234")</f>
        <v>LD234</v>
      </c>
      <c r="D720" s="55" t="s">
        <v>42</v>
      </c>
      <c r="E720" s="55" t="s">
        <v>69</v>
      </c>
      <c r="F720" s="55" t="s">
        <v>133</v>
      </c>
      <c r="G720" s="55">
        <v>1840.0</v>
      </c>
      <c r="H720" s="55" t="s">
        <v>1137</v>
      </c>
      <c r="I720" s="115" t="s">
        <v>6491</v>
      </c>
      <c r="J720" s="55" t="s">
        <v>6442</v>
      </c>
      <c r="K720" s="55" t="s">
        <v>61</v>
      </c>
      <c r="L720" s="55">
        <v>16917.0</v>
      </c>
      <c r="M720" s="55" t="s">
        <v>78</v>
      </c>
      <c r="N720" s="55" t="s">
        <v>69</v>
      </c>
      <c r="O720" s="55" t="s">
        <v>224</v>
      </c>
      <c r="P720" s="55" t="s">
        <v>110</v>
      </c>
      <c r="Q720" s="67" t="str">
        <f>IFERROR(__xludf.DUMMYFUNCTION("""COMPUTED_VALUE"""),"Japan.giaotiep.M296_16917_CVS_NamNH_041124")</f>
        <v>Japan.giaotiep.M296_16917_CVS_NamNH_041124</v>
      </c>
      <c r="R720" s="67" t="str">
        <f>IFERROR(__xludf.DUMMYFUNCTION("""COMPUTED_VALUE"""),"NEW_Japan_1840_none_041124")</f>
        <v>NEW_Japan_1840_none_041124</v>
      </c>
      <c r="S720" s="67" t="str">
        <f>IFERROR(__xludf.DUMMYFUNCTION("""COMPUTED_VALUE"""),"saletructiep_Japan.M289.1840.giaotiep_PTATT_LD234")</f>
        <v>saletructiep_Japan.M289.1840.giaotiep_PTATT_LD234</v>
      </c>
      <c r="T720" s="107" t="str">
        <f>IFERROR(__xludf.DUMMYFUNCTION("""COMPUTED_VALUE"""),"https://duhocpatado.edu.vn/gtjapan_nhn3/?utm_source=Facebook&amp;utm_medium=CVS&amp;utm_term=NEW_Japan_1840_none_041124&amp;utm_content=saletructiep_Japan.M289.1840.giaotiep_PTATT_LD234&amp;utm_campaign=Japan.giaotiep.M296_16917_CVS_NamNH_041124")</f>
        <v>https://duhocpatado.edu.vn/gtjapan_nhn3/?utm_source=Facebook&amp;utm_medium=CVS&amp;utm_term=NEW_Japan_1840_none_041124&amp;utm_content=saletructiep_Japan.M289.1840.giaotiep_PTATT_LD234&amp;utm_campaign=Japan.giaotiep.M296_16917_CVS_NamNH_041124</v>
      </c>
      <c r="U720" s="118"/>
    </row>
    <row r="721" hidden="1">
      <c r="A721" s="72">
        <v>45600.0</v>
      </c>
      <c r="B721" s="60" t="s">
        <v>6486</v>
      </c>
      <c r="C721" s="67" t="str">
        <f>IFERROR(__xludf.DUMMYFUNCTION("""COMPUTED_VALUE"""),"LD234")</f>
        <v>LD234</v>
      </c>
      <c r="D721" s="55" t="s">
        <v>42</v>
      </c>
      <c r="E721" s="55" t="s">
        <v>69</v>
      </c>
      <c r="F721" s="55" t="s">
        <v>133</v>
      </c>
      <c r="G721" s="55">
        <v>1840.0</v>
      </c>
      <c r="H721" s="55" t="s">
        <v>1137</v>
      </c>
      <c r="I721" s="115" t="s">
        <v>6498</v>
      </c>
      <c r="J721" s="55" t="s">
        <v>6442</v>
      </c>
      <c r="K721" s="55" t="s">
        <v>61</v>
      </c>
      <c r="L721" s="55">
        <v>16917.0</v>
      </c>
      <c r="M721" s="55" t="s">
        <v>78</v>
      </c>
      <c r="N721" s="55" t="s">
        <v>69</v>
      </c>
      <c r="O721" s="55" t="s">
        <v>224</v>
      </c>
      <c r="P721" s="55" t="s">
        <v>110</v>
      </c>
      <c r="Q721" s="67" t="str">
        <f>IFERROR(__xludf.DUMMYFUNCTION("""COMPUTED_VALUE"""),"Japan.giaotiep.M297_16917_CVS_NamNH_041124")</f>
        <v>Japan.giaotiep.M297_16917_CVS_NamNH_041124</v>
      </c>
      <c r="R721" s="67" t="str">
        <f>IFERROR(__xludf.DUMMYFUNCTION("""COMPUTED_VALUE"""),"NEW_Japan_1840_none_041124")</f>
        <v>NEW_Japan_1840_none_041124</v>
      </c>
      <c r="S721" s="67" t="str">
        <f>IFERROR(__xludf.DUMMYFUNCTION("""COMPUTED_VALUE"""),"saletructiep_Japan.M289.1840.giaotiep_PTATT_LD234")</f>
        <v>saletructiep_Japan.M289.1840.giaotiep_PTATT_LD234</v>
      </c>
      <c r="T721" s="107" t="str">
        <f>IFERROR(__xludf.DUMMYFUNCTION("""COMPUTED_VALUE"""),"https://duhocpatado.edu.vn/gtjapan_nhn3/?utm_source=Facebook&amp;utm_medium=CVS&amp;utm_term=NEW_Japan_1840_none_041124&amp;utm_content=saletructiep_Japan.M289.1840.giaotiep_PTATT_LD234&amp;utm_campaign=Japan.giaotiep.M297_16917_CVS_NamNH_041124")</f>
        <v>https://duhocpatado.edu.vn/gtjapan_nhn3/?utm_source=Facebook&amp;utm_medium=CVS&amp;utm_term=NEW_Japan_1840_none_041124&amp;utm_content=saletructiep_Japan.M289.1840.giaotiep_PTATT_LD234&amp;utm_campaign=Japan.giaotiep.M297_16917_CVS_NamNH_041124</v>
      </c>
      <c r="U721" s="118"/>
    </row>
    <row r="722" hidden="1">
      <c r="A722" s="72">
        <v>45600.0</v>
      </c>
      <c r="B722" s="75" t="s">
        <v>6486</v>
      </c>
      <c r="C722" s="67" t="str">
        <f>IFERROR(__xludf.DUMMYFUNCTION("""COMPUTED_VALUE"""),"LD234")</f>
        <v>LD234</v>
      </c>
      <c r="D722" s="55" t="s">
        <v>42</v>
      </c>
      <c r="E722" s="55" t="s">
        <v>69</v>
      </c>
      <c r="F722" s="55" t="s">
        <v>133</v>
      </c>
      <c r="G722" s="55">
        <v>1840.0</v>
      </c>
      <c r="H722" s="55" t="s">
        <v>1137</v>
      </c>
      <c r="I722" s="115" t="s">
        <v>6505</v>
      </c>
      <c r="J722" s="55" t="s">
        <v>6442</v>
      </c>
      <c r="K722" s="55" t="s">
        <v>61</v>
      </c>
      <c r="L722" s="55">
        <v>16917.0</v>
      </c>
      <c r="M722" s="55" t="s">
        <v>78</v>
      </c>
      <c r="N722" s="55" t="s">
        <v>69</v>
      </c>
      <c r="O722" s="55" t="s">
        <v>224</v>
      </c>
      <c r="P722" s="55" t="s">
        <v>110</v>
      </c>
      <c r="Q722" s="67" t="str">
        <f>IFERROR(__xludf.DUMMYFUNCTION("""COMPUTED_VALUE"""),"Japan.giaotiep.M298_16917_CVS_NamNH_041124")</f>
        <v>Japan.giaotiep.M298_16917_CVS_NamNH_041124</v>
      </c>
      <c r="R722" s="67" t="str">
        <f>IFERROR(__xludf.DUMMYFUNCTION("""COMPUTED_VALUE"""),"NEW_Japan_1840_none_041124")</f>
        <v>NEW_Japan_1840_none_041124</v>
      </c>
      <c r="S722" s="67" t="str">
        <f>IFERROR(__xludf.DUMMYFUNCTION("""COMPUTED_VALUE"""),"saletructiep_Japan.M289.1840.giaotiep_PTATT_LD234")</f>
        <v>saletructiep_Japan.M289.1840.giaotiep_PTATT_LD234</v>
      </c>
      <c r="T722" s="107" t="str">
        <f>IFERROR(__xludf.DUMMYFUNCTION("""COMPUTED_VALUE"""),"https://duhocpatado.edu.vn/gtjapan_nhn3/?utm_source=Facebook&amp;utm_medium=CVS&amp;utm_term=NEW_Japan_1840_none_041124&amp;utm_content=saletructiep_Japan.M289.1840.giaotiep_PTATT_LD234&amp;utm_campaign=Japan.giaotiep.M298_16917_CVS_NamNH_041124")</f>
        <v>https://duhocpatado.edu.vn/gtjapan_nhn3/?utm_source=Facebook&amp;utm_medium=CVS&amp;utm_term=NEW_Japan_1840_none_041124&amp;utm_content=saletructiep_Japan.M289.1840.giaotiep_PTATT_LD234&amp;utm_campaign=Japan.giaotiep.M298_16917_CVS_NamNH_041124</v>
      </c>
      <c r="U722" s="118"/>
    </row>
    <row r="723">
      <c r="A723" s="72">
        <v>45602.0</v>
      </c>
      <c r="B723" s="75" t="s">
        <v>1229</v>
      </c>
      <c r="C723" s="67" t="str">
        <f>IFERROR(__xludf.DUMMYFUNCTION("""COMPUTED_VALUE"""),"LD164")</f>
        <v>LD164</v>
      </c>
      <c r="D723" s="55" t="s">
        <v>42</v>
      </c>
      <c r="E723" s="55" t="s">
        <v>69</v>
      </c>
      <c r="F723" s="55" t="s">
        <v>133</v>
      </c>
      <c r="G723" s="55">
        <v>1840.0</v>
      </c>
      <c r="H723" s="55" t="s">
        <v>1137</v>
      </c>
      <c r="I723" s="115" t="s">
        <v>6510</v>
      </c>
      <c r="J723" s="55" t="s">
        <v>6511</v>
      </c>
      <c r="K723" s="55" t="s">
        <v>61</v>
      </c>
      <c r="L723" s="55">
        <v>16917.0</v>
      </c>
      <c r="M723" s="55" t="s">
        <v>78</v>
      </c>
      <c r="N723" s="55" t="s">
        <v>69</v>
      </c>
      <c r="O723" s="55" t="s">
        <v>224</v>
      </c>
      <c r="P723" s="55" t="s">
        <v>110</v>
      </c>
      <c r="Q723" s="67" t="str">
        <f>IFERROR(__xludf.DUMMYFUNCTION("""COMPUTED_VALUE"""),"Japan.giaotiep.M300_16917_CVS_NamNH_061124")</f>
        <v>Japan.giaotiep.M300_16917_CVS_NamNH_061124</v>
      </c>
      <c r="R723" s="67" t="str">
        <f>IFERROR(__xludf.DUMMYFUNCTION("""COMPUTED_VALUE"""),"NEW_Japan_1840_none_061124")</f>
        <v>NEW_Japan_1840_none_061124</v>
      </c>
      <c r="S723" s="67" t="str">
        <f>IFERROR(__xludf.DUMMYFUNCTION("""COMPUTED_VALUE"""),"saletructiep_Japan.M300.1840.giaotiep_PTATT_LD164")</f>
        <v>saletructiep_Japan.M300.1840.giaotiep_PTATT_LD164</v>
      </c>
      <c r="T723" s="107" t="str">
        <f>IFERROR(__xludf.DUMMYFUNCTION("""COMPUTED_VALUE"""),"https://patadovietnam.edu.vn/gtjapan_nhn3/?utm_source=Facebook&amp;utm_medium=CVS&amp;utm_term=NEW_Japan_1840_none_061124&amp;utm_content=saletructiep_Japan.M300.1840.giaotiep_PTATT_LD164&amp;utm_campaign=Japan.giaotiep.M300_16917_CVS_NamNH_061124")</f>
        <v>https://patadovietnam.edu.vn/gtjapan_nhn3/?utm_source=Facebook&amp;utm_medium=CVS&amp;utm_term=NEW_Japan_1840_none_061124&amp;utm_content=saletructiep_Japan.M300.1840.giaotiep_PTATT_LD164&amp;utm_campaign=Japan.giaotiep.M300_16917_CVS_NamNH_061124</v>
      </c>
      <c r="U723" s="118"/>
    </row>
    <row r="724">
      <c r="A724" s="72">
        <v>45602.0</v>
      </c>
      <c r="B724" s="75" t="s">
        <v>1134</v>
      </c>
      <c r="C724" s="67" t="str">
        <f>IFERROR(__xludf.DUMMYFUNCTION("""COMPUTED_VALUE"""),"LD153")</f>
        <v>LD153</v>
      </c>
      <c r="D724" s="55" t="s">
        <v>42</v>
      </c>
      <c r="E724" s="55" t="s">
        <v>69</v>
      </c>
      <c r="F724" s="55" t="s">
        <v>674</v>
      </c>
      <c r="G724" s="55">
        <v>1840.0</v>
      </c>
      <c r="H724" s="55" t="s">
        <v>1137</v>
      </c>
      <c r="I724" s="115" t="s">
        <v>6515</v>
      </c>
      <c r="J724" s="55" t="s">
        <v>6516</v>
      </c>
      <c r="K724" s="55" t="s">
        <v>61</v>
      </c>
      <c r="L724" s="55">
        <v>16917.0</v>
      </c>
      <c r="M724" s="55" t="s">
        <v>78</v>
      </c>
      <c r="N724" s="55" t="s">
        <v>69</v>
      </c>
      <c r="O724" s="55" t="s">
        <v>224</v>
      </c>
      <c r="P724" s="55" t="s">
        <v>110</v>
      </c>
      <c r="Q724" s="67" t="str">
        <f>IFERROR(__xludf.DUMMYFUNCTION("""COMPUTED_VALUE"""),"Europe.giaotiep.M300_16917_CVS_NamNH_061124")</f>
        <v>Europe.giaotiep.M300_16917_CVS_NamNH_061124</v>
      </c>
      <c r="R724" s="67" t="str">
        <f>IFERROR(__xludf.DUMMYFUNCTION("""COMPUTED_VALUE"""),"NEW_Europe_1840_none_061124")</f>
        <v>NEW_Europe_1840_none_061124</v>
      </c>
      <c r="S724" s="67" t="str">
        <f>IFERROR(__xludf.DUMMYFUNCTION("""COMPUTED_VALUE"""),"saletructiep_Europe.M300.1840.giaotiep_PTATT_LD153")</f>
        <v>saletructiep_Europe.M300.1840.giaotiep_PTATT_LD153</v>
      </c>
      <c r="T724" s="107" t="str">
        <f>IFERROR(__xludf.DUMMYFUNCTION("""COMPUTED_VALUE"""),"https://patadovietnam.edu.vn/tienganhgiaotiep_hn/?utm_source=Facebook&amp;utm_medium=CVS&amp;utm_term=NEW_Europe_1840_none_061124&amp;utm_content=saletructiep_Europe.M300.1840.giaotiep_PTATT_LD153&amp;utm_campaign=Europe.giaotiep.M300_16917_CVS_NamNH_061124")</f>
        <v>https://patadovietnam.edu.vn/tienganhgiaotiep_hn/?utm_source=Facebook&amp;utm_medium=CVS&amp;utm_term=NEW_Europe_1840_none_061124&amp;utm_content=saletructiep_Europe.M300.1840.giaotiep_PTATT_LD153&amp;utm_campaign=Europe.giaotiep.M300_16917_CVS_NamNH_061124</v>
      </c>
      <c r="U724" s="110" t="s">
        <v>6520</v>
      </c>
    </row>
    <row r="725">
      <c r="A725" s="72">
        <v>45602.0</v>
      </c>
      <c r="B725" s="75" t="s">
        <v>1134</v>
      </c>
      <c r="C725" s="67" t="str">
        <f>IFERROR(__xludf.DUMMYFUNCTION("""COMPUTED_VALUE"""),"LD153")</f>
        <v>LD153</v>
      </c>
      <c r="D725" s="55" t="s">
        <v>42</v>
      </c>
      <c r="E725" s="55" t="s">
        <v>79</v>
      </c>
      <c r="F725" s="55" t="s">
        <v>129</v>
      </c>
      <c r="G725" s="55">
        <v>1840.0</v>
      </c>
      <c r="H725" s="55" t="s">
        <v>1137</v>
      </c>
      <c r="I725" s="115" t="s">
        <v>6095</v>
      </c>
      <c r="J725" s="55" t="s">
        <v>6096</v>
      </c>
      <c r="K725" s="55" t="s">
        <v>61</v>
      </c>
      <c r="L725" s="55">
        <v>16917.0</v>
      </c>
      <c r="M725" s="55" t="s">
        <v>78</v>
      </c>
      <c r="N725" s="55" t="s">
        <v>79</v>
      </c>
      <c r="O725" s="55" t="s">
        <v>224</v>
      </c>
      <c r="P725" s="55" t="s">
        <v>110</v>
      </c>
      <c r="Q725" s="67" t="str">
        <f>IFERROR(__xludf.DUMMYFUNCTION("""COMPUTED_VALUE"""),"Australia.giaotiep.M300_16917_MES_NamNH_061124")</f>
        <v>Australia.giaotiep.M300_16917_MES_NamNH_061124</v>
      </c>
      <c r="R725" s="67" t="str">
        <f>IFERROR(__xludf.DUMMYFUNCTION("""COMPUTED_VALUE"""),"NEW_Australia_1840_none_061124")</f>
        <v>NEW_Australia_1840_none_061124</v>
      </c>
      <c r="S725" s="67" t="str">
        <f>IFERROR(__xludf.DUMMYFUNCTION("""COMPUTED_VALUE"""),"saletructiep_Australia.M300.1840.giaotiep_PTATT_LD153")</f>
        <v>saletructiep_Australia.M300.1840.giaotiep_PTATT_LD153</v>
      </c>
      <c r="T725" s="107" t="str">
        <f>IFERROR(__xludf.DUMMYFUNCTION("""COMPUTED_VALUE"""),"https://patadovietnam.edu.vn/tienganhgiaotiep_hn/?utm_source=Facebook&amp;utm_medium=MES&amp;utm_term=NEW_Australia_1840_none_061124&amp;utm_content=saletructiep_Australia.M300.1840.giaotiep_PTATT_LD153&amp;utm_campaign=Australia.giaotiep.M300_16917_MES_NamNH_061124")</f>
        <v>https://patadovietnam.edu.vn/tienganhgiaotiep_hn/?utm_source=Facebook&amp;utm_medium=MES&amp;utm_term=NEW_Australia_1840_none_061124&amp;utm_content=saletructiep_Australia.M300.1840.giaotiep_PTATT_LD153&amp;utm_campaign=Australia.giaotiep.M300_16917_MES_NamNH_061124</v>
      </c>
      <c r="U725" s="118"/>
    </row>
    <row r="726">
      <c r="A726" s="72">
        <v>45602.0</v>
      </c>
      <c r="B726" s="75" t="s">
        <v>1245</v>
      </c>
      <c r="C726" s="67" t="str">
        <f>IFERROR(__xludf.DUMMYFUNCTION("""COMPUTED_VALUE"""),"LD161")</f>
        <v>LD161</v>
      </c>
      <c r="D726" s="55" t="s">
        <v>42</v>
      </c>
      <c r="E726" s="55" t="s">
        <v>79</v>
      </c>
      <c r="F726" s="55" t="s">
        <v>107</v>
      </c>
      <c r="G726" s="55">
        <v>1840.0</v>
      </c>
      <c r="H726" s="55" t="s">
        <v>1137</v>
      </c>
      <c r="I726" s="115" t="s">
        <v>6524</v>
      </c>
      <c r="J726" s="55" t="s">
        <v>6525</v>
      </c>
      <c r="K726" s="55" t="s">
        <v>61</v>
      </c>
      <c r="L726" s="55">
        <v>16917.0</v>
      </c>
      <c r="M726" s="55" t="s">
        <v>78</v>
      </c>
      <c r="N726" s="55" t="s">
        <v>79</v>
      </c>
      <c r="O726" s="55" t="s">
        <v>224</v>
      </c>
      <c r="P726" s="55" t="s">
        <v>110</v>
      </c>
      <c r="Q726" s="67" t="str">
        <f>IFERROR(__xludf.DUMMYFUNCTION("""COMPUTED_VALUE"""),"UnitedStates.giaotiep.M300_16917_MES_NamNH_061124")</f>
        <v>UnitedStates.giaotiep.M300_16917_MES_NamNH_061124</v>
      </c>
      <c r="R726" s="67" t="str">
        <f>IFERROR(__xludf.DUMMYFUNCTION("""COMPUTED_VALUE"""),"NEW_UnitedStates_1840_none_061124")</f>
        <v>NEW_UnitedStates_1840_none_061124</v>
      </c>
      <c r="S726" s="67" t="str">
        <f>IFERROR(__xludf.DUMMYFUNCTION("""COMPUTED_VALUE"""),"saletructiep_UnitedStates.M300.1840.giaotiep_PTATT_LD161")</f>
        <v>saletructiep_UnitedStates.M300.1840.giaotiep_PTATT_LD161</v>
      </c>
      <c r="T726" s="107" t="str">
        <f>IFERROR(__xludf.DUMMYFUNCTION("""COMPUTED_VALUE"""),"https://patadovietnam.edu.vn/gtusa1_nhn/?utm_source=Facebook&amp;utm_medium=MES&amp;utm_term=NEW_UnitedStates_1840_none_061124&amp;utm_content=saletructiep_UnitedStates.M300.1840.giaotiep_PTATT_LD161&amp;utm_campaign=UnitedStates.giaotiep.M300_16917_MES_NamNH_061124")</f>
        <v>https://patadovietnam.edu.vn/gtusa1_nhn/?utm_source=Facebook&amp;utm_medium=MES&amp;utm_term=NEW_UnitedStates_1840_none_061124&amp;utm_content=saletructiep_UnitedStates.M300.1840.giaotiep_PTATT_LD161&amp;utm_campaign=UnitedStates.giaotiep.M300_16917_MES_NamNH_061124</v>
      </c>
      <c r="U726" s="118"/>
    </row>
    <row r="727">
      <c r="A727" s="72">
        <v>45602.0</v>
      </c>
      <c r="B727" s="75" t="s">
        <v>1134</v>
      </c>
      <c r="C727" s="67" t="str">
        <f>IFERROR(__xludf.DUMMYFUNCTION("""COMPUTED_VALUE"""),"LD153")</f>
        <v>LD153</v>
      </c>
      <c r="D727" s="55" t="s">
        <v>42</v>
      </c>
      <c r="E727" s="55" t="s">
        <v>79</v>
      </c>
      <c r="F727" s="55" t="s">
        <v>164</v>
      </c>
      <c r="G727" s="55">
        <v>1840.0</v>
      </c>
      <c r="H727" s="55" t="s">
        <v>1137</v>
      </c>
      <c r="I727" s="115" t="s">
        <v>6529</v>
      </c>
      <c r="J727" s="55" t="s">
        <v>6530</v>
      </c>
      <c r="K727" s="55" t="s">
        <v>61</v>
      </c>
      <c r="L727" s="55">
        <v>16917.0</v>
      </c>
      <c r="M727" s="55" t="s">
        <v>78</v>
      </c>
      <c r="N727" s="55" t="s">
        <v>79</v>
      </c>
      <c r="O727" s="55" t="s">
        <v>224</v>
      </c>
      <c r="P727" s="55" t="s">
        <v>110</v>
      </c>
      <c r="Q727" s="67" t="str">
        <f>IFERROR(__xludf.DUMMYFUNCTION("""COMPUTED_VALUE"""),"Taiwan.giaotiep.M300_16917_MES_NamNH_061124")</f>
        <v>Taiwan.giaotiep.M300_16917_MES_NamNH_061124</v>
      </c>
      <c r="R727" s="67" t="str">
        <f>IFERROR(__xludf.DUMMYFUNCTION("""COMPUTED_VALUE"""),"NEW_Taiwan_1840_none_061124")</f>
        <v>NEW_Taiwan_1840_none_061124</v>
      </c>
      <c r="S727" s="67" t="str">
        <f>IFERROR(__xludf.DUMMYFUNCTION("""COMPUTED_VALUE"""),"saletructiep_Taiwan.M300.1840.giaotiep_PTATT_LD153")</f>
        <v>saletructiep_Taiwan.M300.1840.giaotiep_PTATT_LD153</v>
      </c>
      <c r="T727" s="107" t="str">
        <f>IFERROR(__xludf.DUMMYFUNCTION("""COMPUTED_VALUE"""),"https://patadovietnam.edu.vn/tienganhgiaotiep_hn/?utm_source=Facebook&amp;utm_medium=MES&amp;utm_term=NEW_Taiwan_1840_none_061124&amp;utm_content=saletructiep_Taiwan.M300.1840.giaotiep_PTATT_LD153&amp;utm_campaign=Taiwan.giaotiep.M300_16917_MES_NamNH_061124")</f>
        <v>https://patadovietnam.edu.vn/tienganhgiaotiep_hn/?utm_source=Facebook&amp;utm_medium=MES&amp;utm_term=NEW_Taiwan_1840_none_061124&amp;utm_content=saletructiep_Taiwan.M300.1840.giaotiep_PTATT_LD153&amp;utm_campaign=Taiwan.giaotiep.M300_16917_MES_NamNH_061124</v>
      </c>
      <c r="U727" s="118"/>
    </row>
    <row r="728">
      <c r="A728" s="72">
        <v>45602.0</v>
      </c>
      <c r="B728" s="75" t="s">
        <v>1245</v>
      </c>
      <c r="C728" s="67" t="str">
        <f>IFERROR(__xludf.DUMMYFUNCTION("""COMPUTED_VALUE"""),"LD161")</f>
        <v>LD161</v>
      </c>
      <c r="D728" s="55" t="s">
        <v>42</v>
      </c>
      <c r="E728" s="55" t="s">
        <v>79</v>
      </c>
      <c r="F728" s="55" t="s">
        <v>107</v>
      </c>
      <c r="G728" s="55">
        <v>1840.0</v>
      </c>
      <c r="H728" s="55" t="s">
        <v>1137</v>
      </c>
      <c r="I728" s="115" t="s">
        <v>6532</v>
      </c>
      <c r="J728" s="55" t="s">
        <v>6533</v>
      </c>
      <c r="K728" s="55" t="s">
        <v>61</v>
      </c>
      <c r="L728" s="55">
        <v>16917.0</v>
      </c>
      <c r="M728" s="55" t="s">
        <v>78</v>
      </c>
      <c r="N728" s="55" t="s">
        <v>79</v>
      </c>
      <c r="O728" s="55" t="s">
        <v>224</v>
      </c>
      <c r="P728" s="55" t="s">
        <v>110</v>
      </c>
      <c r="Q728" s="67" t="str">
        <f>IFERROR(__xludf.DUMMYFUNCTION("""COMPUTED_VALUE"""),"UnitedStates.giaotiep.M295_16917_MES_NamNH_061124")</f>
        <v>UnitedStates.giaotiep.M295_16917_MES_NamNH_061124</v>
      </c>
      <c r="R728" s="67" t="str">
        <f>IFERROR(__xludf.DUMMYFUNCTION("""COMPUTED_VALUE"""),"NEW_UnitedStates_1840_none_061124")</f>
        <v>NEW_UnitedStates_1840_none_061124</v>
      </c>
      <c r="S728" s="67" t="str">
        <f>IFERROR(__xludf.DUMMYFUNCTION("""COMPUTED_VALUE"""),"saletructiep_UnitedStates.M295.1840.giaotiep_PTATT_LD161")</f>
        <v>saletructiep_UnitedStates.M295.1840.giaotiep_PTATT_LD161</v>
      </c>
      <c r="T728" s="107" t="str">
        <f>IFERROR(__xludf.DUMMYFUNCTION("""COMPUTED_VALUE"""),"https://patadovietnam.edu.vn/gtusa1_nhn/?utm_source=Facebook&amp;utm_medium=MES&amp;utm_term=NEW_UnitedStates_1840_none_061124&amp;utm_content=saletructiep_UnitedStates.M295.1840.giaotiep_PTATT_LD161&amp;utm_campaign=UnitedStates.giaotiep.M295_16917_MES_NamNH_061124")</f>
        <v>https://patadovietnam.edu.vn/gtusa1_nhn/?utm_source=Facebook&amp;utm_medium=MES&amp;utm_term=NEW_UnitedStates_1840_none_061124&amp;utm_content=saletructiep_UnitedStates.M295.1840.giaotiep_PTATT_LD161&amp;utm_campaign=UnitedStates.giaotiep.M295_16917_MES_NamNH_061124</v>
      </c>
      <c r="U728" s="118"/>
    </row>
    <row r="729">
      <c r="A729" s="72">
        <v>45602.0</v>
      </c>
      <c r="B729" s="75" t="s">
        <v>1134</v>
      </c>
      <c r="C729" s="67" t="str">
        <f>IFERROR(__xludf.DUMMYFUNCTION("""COMPUTED_VALUE"""),"LD153")</f>
        <v>LD153</v>
      </c>
      <c r="D729" s="55" t="s">
        <v>42</v>
      </c>
      <c r="E729" s="55" t="s">
        <v>69</v>
      </c>
      <c r="F729" s="55" t="s">
        <v>133</v>
      </c>
      <c r="G729" s="55">
        <v>1840.0</v>
      </c>
      <c r="H729" s="55" t="s">
        <v>1137</v>
      </c>
      <c r="I729" s="115" t="s">
        <v>6482</v>
      </c>
      <c r="J729" s="55" t="s">
        <v>6537</v>
      </c>
      <c r="K729" s="55" t="s">
        <v>61</v>
      </c>
      <c r="L729" s="55">
        <v>16917.0</v>
      </c>
      <c r="M729" s="55" t="s">
        <v>78</v>
      </c>
      <c r="N729" s="55" t="s">
        <v>69</v>
      </c>
      <c r="O729" s="55" t="s">
        <v>224</v>
      </c>
      <c r="P729" s="55" t="s">
        <v>110</v>
      </c>
      <c r="Q729" s="67" t="str">
        <f>IFERROR(__xludf.DUMMYFUNCTION("""COMPUTED_VALUE"""),"Japan.giaotiep.M295_16917_CVS_NamNH_061124")</f>
        <v>Japan.giaotiep.M295_16917_CVS_NamNH_061124</v>
      </c>
      <c r="R729" s="67" t="str">
        <f>IFERROR(__xludf.DUMMYFUNCTION("""COMPUTED_VALUE"""),"NEW_Japan_1840_none_061124")</f>
        <v>NEW_Japan_1840_none_061124</v>
      </c>
      <c r="S729" s="67" t="str">
        <f>IFERROR(__xludf.DUMMYFUNCTION("""COMPUTED_VALUE"""),"saletructiep_Japan.M295.1840.giaotiep_PTATT_LD153")</f>
        <v>saletructiep_Japan.M295.1840.giaotiep_PTATT_LD153</v>
      </c>
      <c r="T729" s="107" t="str">
        <f>IFERROR(__xludf.DUMMYFUNCTION("""COMPUTED_VALUE"""),"https://patadovietnam.edu.vn/tienganhgiaotiep_hn/?utm_source=Facebook&amp;utm_medium=CVS&amp;utm_term=NEW_Japan_1840_none_061124&amp;utm_content=saletructiep_Japan.M295.1840.giaotiep_PTATT_LD153&amp;utm_campaign=Japan.giaotiep.M295_16917_CVS_NamNH_061124")</f>
        <v>https://patadovietnam.edu.vn/tienganhgiaotiep_hn/?utm_source=Facebook&amp;utm_medium=CVS&amp;utm_term=NEW_Japan_1840_none_061124&amp;utm_content=saletructiep_Japan.M295.1840.giaotiep_PTATT_LD153&amp;utm_campaign=Japan.giaotiep.M295_16917_CVS_NamNH_061124</v>
      </c>
      <c r="U729" s="118"/>
    </row>
    <row r="730">
      <c r="A730" s="72">
        <v>45602.0</v>
      </c>
      <c r="B730" s="75" t="s">
        <v>1134</v>
      </c>
      <c r="C730" s="67" t="str">
        <f>IFERROR(__xludf.DUMMYFUNCTION("""COMPUTED_VALUE"""),"LD153")</f>
        <v>LD153</v>
      </c>
      <c r="D730" s="55" t="s">
        <v>42</v>
      </c>
      <c r="E730" s="55" t="s">
        <v>69</v>
      </c>
      <c r="F730" s="55" t="s">
        <v>674</v>
      </c>
      <c r="G730" s="55">
        <v>1840.0</v>
      </c>
      <c r="H730" s="55" t="s">
        <v>1137</v>
      </c>
      <c r="I730" s="115" t="s">
        <v>6541</v>
      </c>
      <c r="J730" s="55" t="s">
        <v>6542</v>
      </c>
      <c r="K730" s="55" t="s">
        <v>61</v>
      </c>
      <c r="L730" s="55">
        <v>16917.0</v>
      </c>
      <c r="M730" s="55" t="s">
        <v>78</v>
      </c>
      <c r="N730" s="55" t="s">
        <v>69</v>
      </c>
      <c r="O730" s="55" t="s">
        <v>224</v>
      </c>
      <c r="P730" s="55" t="s">
        <v>110</v>
      </c>
      <c r="Q730" s="67" t="str">
        <f>IFERROR(__xludf.DUMMYFUNCTION("""COMPUTED_VALUE"""),"Europe.giaotiep.M295_16917_CVS_NamNH_061124")</f>
        <v>Europe.giaotiep.M295_16917_CVS_NamNH_061124</v>
      </c>
      <c r="R730" s="67" t="str">
        <f>IFERROR(__xludf.DUMMYFUNCTION("""COMPUTED_VALUE"""),"NEW_Europe_1840_none_061124")</f>
        <v>NEW_Europe_1840_none_061124</v>
      </c>
      <c r="S730" s="67" t="str">
        <f>IFERROR(__xludf.DUMMYFUNCTION("""COMPUTED_VALUE"""),"saletructiep_Europe.M295.1840.giaotiep_PTATT_LD153")</f>
        <v>saletructiep_Europe.M295.1840.giaotiep_PTATT_LD153</v>
      </c>
      <c r="T730" s="107" t="str">
        <f>IFERROR(__xludf.DUMMYFUNCTION("""COMPUTED_VALUE"""),"https://patadovietnam.edu.vn/tienganhgiaotiep_hn/?utm_source=Facebook&amp;utm_medium=CVS&amp;utm_term=NEW_Europe_1840_none_061124&amp;utm_content=saletructiep_Europe.M295.1840.giaotiep_PTATT_LD153&amp;utm_campaign=Europe.giaotiep.M295_16917_CVS_NamNH_061124")</f>
        <v>https://patadovietnam.edu.vn/tienganhgiaotiep_hn/?utm_source=Facebook&amp;utm_medium=CVS&amp;utm_term=NEW_Europe_1840_none_061124&amp;utm_content=saletructiep_Europe.M295.1840.giaotiep_PTATT_LD153&amp;utm_campaign=Europe.giaotiep.M295_16917_CVS_NamNH_061124</v>
      </c>
      <c r="U730" s="118"/>
    </row>
    <row r="731">
      <c r="A731" s="72">
        <v>45602.0</v>
      </c>
      <c r="B731" s="75" t="s">
        <v>1245</v>
      </c>
      <c r="C731" s="67" t="str">
        <f>IFERROR(__xludf.DUMMYFUNCTION("""COMPUTED_VALUE"""),"LD161")</f>
        <v>LD161</v>
      </c>
      <c r="D731" s="55" t="s">
        <v>42</v>
      </c>
      <c r="E731" s="55" t="s">
        <v>79</v>
      </c>
      <c r="F731" s="55" t="s">
        <v>107</v>
      </c>
      <c r="G731" s="55">
        <v>1840.0</v>
      </c>
      <c r="H731" s="55" t="s">
        <v>1137</v>
      </c>
      <c r="I731" s="115" t="s">
        <v>6546</v>
      </c>
      <c r="J731" s="55" t="s">
        <v>6547</v>
      </c>
      <c r="K731" s="55" t="s">
        <v>61</v>
      </c>
      <c r="L731" s="55">
        <v>16917.0</v>
      </c>
      <c r="M731" s="55" t="s">
        <v>78</v>
      </c>
      <c r="N731" s="55" t="s">
        <v>79</v>
      </c>
      <c r="O731" s="55" t="s">
        <v>224</v>
      </c>
      <c r="P731" s="55" t="s">
        <v>110</v>
      </c>
      <c r="Q731" s="67" t="str">
        <f>IFERROR(__xludf.DUMMYFUNCTION("""COMPUTED_VALUE"""),"UnitedStates.giaotiep.M296_16917_MES_NamNH_061124")</f>
        <v>UnitedStates.giaotiep.M296_16917_MES_NamNH_061124</v>
      </c>
      <c r="R731" s="67" t="str">
        <f>IFERROR(__xludf.DUMMYFUNCTION("""COMPUTED_VALUE"""),"NEW_UnitedStates_1840_none_061124")</f>
        <v>NEW_UnitedStates_1840_none_061124</v>
      </c>
      <c r="S731" s="67" t="str">
        <f>IFERROR(__xludf.DUMMYFUNCTION("""COMPUTED_VALUE"""),"saletructiep_UnitedStates.M296.1840.giaotiep_PTATT_LD161")</f>
        <v>saletructiep_UnitedStates.M296.1840.giaotiep_PTATT_LD161</v>
      </c>
      <c r="T731" s="107" t="str">
        <f>IFERROR(__xludf.DUMMYFUNCTION("""COMPUTED_VALUE"""),"https://patadovietnam.edu.vn/gtusa1_nhn/?utm_source=Facebook&amp;utm_medium=MES&amp;utm_term=NEW_UnitedStates_1840_none_061124&amp;utm_content=saletructiep_UnitedStates.M296.1840.giaotiep_PTATT_LD161&amp;utm_campaign=UnitedStates.giaotiep.M296_16917_MES_NamNH_061124")</f>
        <v>https://patadovietnam.edu.vn/gtusa1_nhn/?utm_source=Facebook&amp;utm_medium=MES&amp;utm_term=NEW_UnitedStates_1840_none_061124&amp;utm_content=saletructiep_UnitedStates.M296.1840.giaotiep_PTATT_LD161&amp;utm_campaign=UnitedStates.giaotiep.M296_16917_MES_NamNH_061124</v>
      </c>
      <c r="U731" s="118"/>
    </row>
    <row r="732">
      <c r="A732" s="72">
        <v>45602.0</v>
      </c>
      <c r="B732" s="75" t="s">
        <v>1134</v>
      </c>
      <c r="C732" s="67" t="str">
        <f>IFERROR(__xludf.DUMMYFUNCTION("""COMPUTED_VALUE"""),"LD153")</f>
        <v>LD153</v>
      </c>
      <c r="D732" s="55" t="s">
        <v>42</v>
      </c>
      <c r="E732" s="55" t="s">
        <v>69</v>
      </c>
      <c r="F732" s="55" t="s">
        <v>674</v>
      </c>
      <c r="G732" s="55">
        <v>1840.0</v>
      </c>
      <c r="H732" s="55" t="s">
        <v>1137</v>
      </c>
      <c r="I732" s="115" t="s">
        <v>6550</v>
      </c>
      <c r="J732" s="55" t="s">
        <v>6551</v>
      </c>
      <c r="K732" s="55" t="s">
        <v>61</v>
      </c>
      <c r="L732" s="55">
        <v>16917.0</v>
      </c>
      <c r="M732" s="55" t="s">
        <v>78</v>
      </c>
      <c r="N732" s="55" t="s">
        <v>69</v>
      </c>
      <c r="O732" s="55" t="s">
        <v>224</v>
      </c>
      <c r="P732" s="55" t="s">
        <v>110</v>
      </c>
      <c r="Q732" s="67" t="str">
        <f>IFERROR(__xludf.DUMMYFUNCTION("""COMPUTED_VALUE"""),"Europe.giaotiep.M296_16917_CVS_NamNH_061124")</f>
        <v>Europe.giaotiep.M296_16917_CVS_NamNH_061124</v>
      </c>
      <c r="R732" s="67" t="str">
        <f>IFERROR(__xludf.DUMMYFUNCTION("""COMPUTED_VALUE"""),"NEW_Europe_1840_none_061124")</f>
        <v>NEW_Europe_1840_none_061124</v>
      </c>
      <c r="S732" s="67" t="str">
        <f>IFERROR(__xludf.DUMMYFUNCTION("""COMPUTED_VALUE"""),"saletructiep_Europe.M296.1840.giaotiep_PTATT_LD153")</f>
        <v>saletructiep_Europe.M296.1840.giaotiep_PTATT_LD153</v>
      </c>
      <c r="T732" s="107" t="str">
        <f>IFERROR(__xludf.DUMMYFUNCTION("""COMPUTED_VALUE"""),"https://patadovietnam.edu.vn/tienganhgiaotiep_hn/?utm_source=Facebook&amp;utm_medium=CVS&amp;utm_term=NEW_Europe_1840_none_061124&amp;utm_content=saletructiep_Europe.M296.1840.giaotiep_PTATT_LD153&amp;utm_campaign=Europe.giaotiep.M296_16917_CVS_NamNH_061124")</f>
        <v>https://patadovietnam.edu.vn/tienganhgiaotiep_hn/?utm_source=Facebook&amp;utm_medium=CVS&amp;utm_term=NEW_Europe_1840_none_061124&amp;utm_content=saletructiep_Europe.M296.1840.giaotiep_PTATT_LD153&amp;utm_campaign=Europe.giaotiep.M296_16917_CVS_NamNH_061124</v>
      </c>
      <c r="U732" s="118"/>
    </row>
    <row r="733">
      <c r="A733" s="72">
        <v>45602.0</v>
      </c>
      <c r="B733" s="75" t="s">
        <v>1229</v>
      </c>
      <c r="C733" s="67" t="str">
        <f>IFERROR(__xludf.DUMMYFUNCTION("""COMPUTED_VALUE"""),"LD164")</f>
        <v>LD164</v>
      </c>
      <c r="D733" s="55" t="s">
        <v>42</v>
      </c>
      <c r="E733" s="55" t="s">
        <v>69</v>
      </c>
      <c r="F733" s="55" t="s">
        <v>133</v>
      </c>
      <c r="G733" s="55">
        <v>1840.0</v>
      </c>
      <c r="H733" s="55" t="s">
        <v>1137</v>
      </c>
      <c r="I733" s="115" t="s">
        <v>6491</v>
      </c>
      <c r="J733" s="55" t="s">
        <v>6554</v>
      </c>
      <c r="K733" s="55" t="s">
        <v>61</v>
      </c>
      <c r="L733" s="55">
        <v>16917.0</v>
      </c>
      <c r="M733" s="55" t="s">
        <v>78</v>
      </c>
      <c r="N733" s="55" t="s">
        <v>69</v>
      </c>
      <c r="O733" s="55" t="s">
        <v>224</v>
      </c>
      <c r="P733" s="55" t="s">
        <v>110</v>
      </c>
      <c r="Q733" s="67" t="str">
        <f>IFERROR(__xludf.DUMMYFUNCTION("""COMPUTED_VALUE"""),"Japan.giaotiep.M296_16917_CVS_NamNH_061124")</f>
        <v>Japan.giaotiep.M296_16917_CVS_NamNH_061124</v>
      </c>
      <c r="R733" s="67" t="str">
        <f>IFERROR(__xludf.DUMMYFUNCTION("""COMPUTED_VALUE"""),"NEW_Japan_1840_none_061124")</f>
        <v>NEW_Japan_1840_none_061124</v>
      </c>
      <c r="S733" s="67" t="str">
        <f>IFERROR(__xludf.DUMMYFUNCTION("""COMPUTED_VALUE"""),"saletructiep_Japan.M296.1840.giaotiep_PTATT_LD164")</f>
        <v>saletructiep_Japan.M296.1840.giaotiep_PTATT_LD164</v>
      </c>
      <c r="T733" s="107" t="str">
        <f>IFERROR(__xludf.DUMMYFUNCTION("""COMPUTED_VALUE"""),"https://patadovietnam.edu.vn/gtjapan_nhn3/?utm_source=Facebook&amp;utm_medium=CVS&amp;utm_term=NEW_Japan_1840_none_061124&amp;utm_content=saletructiep_Japan.M296.1840.giaotiep_PTATT_LD164&amp;utm_campaign=Japan.giaotiep.M296_16917_CVS_NamNH_061124")</f>
        <v>https://patadovietnam.edu.vn/gtjapan_nhn3/?utm_source=Facebook&amp;utm_medium=CVS&amp;utm_term=NEW_Japan_1840_none_061124&amp;utm_content=saletructiep_Japan.M296.1840.giaotiep_PTATT_LD164&amp;utm_campaign=Japan.giaotiep.M296_16917_CVS_NamNH_061124</v>
      </c>
      <c r="U733" s="118"/>
    </row>
    <row r="734">
      <c r="A734" s="72">
        <v>45602.0</v>
      </c>
      <c r="B734" s="60" t="s">
        <v>1134</v>
      </c>
      <c r="C734" s="67" t="str">
        <f>IFERROR(__xludf.DUMMYFUNCTION("""COMPUTED_VALUE"""),"LD153")</f>
        <v>LD153</v>
      </c>
      <c r="D734" s="55" t="s">
        <v>42</v>
      </c>
      <c r="E734" s="55" t="s">
        <v>69</v>
      </c>
      <c r="F734" s="55" t="s">
        <v>674</v>
      </c>
      <c r="G734" s="55">
        <v>1840.0</v>
      </c>
      <c r="H734" s="55" t="s">
        <v>1137</v>
      </c>
      <c r="I734" s="115" t="s">
        <v>6557</v>
      </c>
      <c r="J734" s="55" t="s">
        <v>6558</v>
      </c>
      <c r="K734" s="55" t="s">
        <v>61</v>
      </c>
      <c r="L734" s="55">
        <v>16917.0</v>
      </c>
      <c r="M734" s="55" t="s">
        <v>78</v>
      </c>
      <c r="N734" s="55" t="s">
        <v>69</v>
      </c>
      <c r="O734" s="55" t="s">
        <v>224</v>
      </c>
      <c r="P734" s="55" t="s">
        <v>110</v>
      </c>
      <c r="Q734" s="67" t="str">
        <f>IFERROR(__xludf.DUMMYFUNCTION("""COMPUTED_VALUE"""),"Europe.giaotiep.M306_16917_CVS_NamNH_061124")</f>
        <v>Europe.giaotiep.M306_16917_CVS_NamNH_061124</v>
      </c>
      <c r="R734" s="67" t="str">
        <f>IFERROR(__xludf.DUMMYFUNCTION("""COMPUTED_VALUE"""),"NEW_Europe_1840_none_061124")</f>
        <v>NEW_Europe_1840_none_061124</v>
      </c>
      <c r="S734" s="67" t="str">
        <f>IFERROR(__xludf.DUMMYFUNCTION("""COMPUTED_VALUE"""),"saletructiep_Europe.M306.1840.giaotiep_PTATT_LD153")</f>
        <v>saletructiep_Europe.M306.1840.giaotiep_PTATT_LD153</v>
      </c>
      <c r="T734" s="107" t="str">
        <f>IFERROR(__xludf.DUMMYFUNCTION("""COMPUTED_VALUE"""),"https://patadovietnam.edu.vn/tienganhgiaotiep_hn/?utm_source=Facebook&amp;utm_medium=CVS&amp;utm_term=NEW_Europe_1840_none_061124&amp;utm_content=saletructiep_Europe.M306.1840.giaotiep_PTATT_LD153&amp;utm_campaign=Europe.giaotiep.M306_16917_CVS_NamNH_061124")</f>
        <v>https://patadovietnam.edu.vn/tienganhgiaotiep_hn/?utm_source=Facebook&amp;utm_medium=CVS&amp;utm_term=NEW_Europe_1840_none_061124&amp;utm_content=saletructiep_Europe.M306.1840.giaotiep_PTATT_LD153&amp;utm_campaign=Europe.giaotiep.M306_16917_CVS_NamNH_061124</v>
      </c>
      <c r="U734" s="118"/>
    </row>
    <row r="735">
      <c r="A735" s="72">
        <v>45602.0</v>
      </c>
      <c r="B735" s="75" t="s">
        <v>1229</v>
      </c>
      <c r="C735" s="67" t="str">
        <f>IFERROR(__xludf.DUMMYFUNCTION("""COMPUTED_VALUE"""),"LD164")</f>
        <v>LD164</v>
      </c>
      <c r="D735" s="55" t="s">
        <v>42</v>
      </c>
      <c r="E735" s="55" t="s">
        <v>69</v>
      </c>
      <c r="F735" s="55" t="s">
        <v>133</v>
      </c>
      <c r="G735" s="55">
        <v>1840.0</v>
      </c>
      <c r="H735" s="55" t="s">
        <v>1137</v>
      </c>
      <c r="I735" s="115" t="s">
        <v>6559</v>
      </c>
      <c r="J735" s="55" t="s">
        <v>6560</v>
      </c>
      <c r="K735" s="55" t="s">
        <v>61</v>
      </c>
      <c r="L735" s="55">
        <v>16917.0</v>
      </c>
      <c r="M735" s="55" t="s">
        <v>78</v>
      </c>
      <c r="N735" s="55" t="s">
        <v>69</v>
      </c>
      <c r="O735" s="55" t="s">
        <v>224</v>
      </c>
      <c r="P735" s="55" t="s">
        <v>110</v>
      </c>
      <c r="Q735" s="67" t="str">
        <f>IFERROR(__xludf.DUMMYFUNCTION("""COMPUTED_VALUE"""),"Japan.giaotiep.M306_16917_CVS_NamNH_061124")</f>
        <v>Japan.giaotiep.M306_16917_CVS_NamNH_061124</v>
      </c>
      <c r="R735" s="67" t="str">
        <f>IFERROR(__xludf.DUMMYFUNCTION("""COMPUTED_VALUE"""),"NEW_Japan_1840_none_061124")</f>
        <v>NEW_Japan_1840_none_061124</v>
      </c>
      <c r="S735" s="67" t="str">
        <f>IFERROR(__xludf.DUMMYFUNCTION("""COMPUTED_VALUE"""),"saletructiep_Japan.M306.1840.giaotiep_PTATT_LD164")</f>
        <v>saletructiep_Japan.M306.1840.giaotiep_PTATT_LD164</v>
      </c>
      <c r="T735" s="107" t="str">
        <f>IFERROR(__xludf.DUMMYFUNCTION("""COMPUTED_VALUE"""),"https://patadovietnam.edu.vn/gtjapan_nhn3/?utm_source=Facebook&amp;utm_medium=CVS&amp;utm_term=NEW_Japan_1840_none_061124&amp;utm_content=saletructiep_Japan.M306.1840.giaotiep_PTATT_LD164&amp;utm_campaign=Japan.giaotiep.M306_16917_CVS_NamNH_061124")</f>
        <v>https://patadovietnam.edu.vn/gtjapan_nhn3/?utm_source=Facebook&amp;utm_medium=CVS&amp;utm_term=NEW_Japan_1840_none_061124&amp;utm_content=saletructiep_Japan.M306.1840.giaotiep_PTATT_LD164&amp;utm_campaign=Japan.giaotiep.M306_16917_CVS_NamNH_061124</v>
      </c>
      <c r="U735" s="118"/>
    </row>
    <row r="736">
      <c r="A736" s="72">
        <v>45602.0</v>
      </c>
      <c r="B736" s="75" t="s">
        <v>1245</v>
      </c>
      <c r="C736" s="67" t="str">
        <f>IFERROR(__xludf.DUMMYFUNCTION("""COMPUTED_VALUE"""),"LD161")</f>
        <v>LD161</v>
      </c>
      <c r="D736" s="55" t="s">
        <v>42</v>
      </c>
      <c r="E736" s="55" t="s">
        <v>79</v>
      </c>
      <c r="F736" s="55" t="s">
        <v>107</v>
      </c>
      <c r="G736" s="55">
        <v>1840.0</v>
      </c>
      <c r="H736" s="55" t="s">
        <v>1137</v>
      </c>
      <c r="I736" s="115" t="s">
        <v>6561</v>
      </c>
      <c r="J736" s="55" t="s">
        <v>6562</v>
      </c>
      <c r="K736" s="55" t="s">
        <v>61</v>
      </c>
      <c r="L736" s="55">
        <v>16917.0</v>
      </c>
      <c r="M736" s="55" t="s">
        <v>78</v>
      </c>
      <c r="N736" s="55" t="s">
        <v>79</v>
      </c>
      <c r="O736" s="55" t="s">
        <v>224</v>
      </c>
      <c r="P736" s="55" t="s">
        <v>110</v>
      </c>
      <c r="Q736" s="67" t="str">
        <f>IFERROR(__xludf.DUMMYFUNCTION("""COMPUTED_VALUE"""),"UnitedStates.giaotiep.M306_16917_MES_NamNH_061124")</f>
        <v>UnitedStates.giaotiep.M306_16917_MES_NamNH_061124</v>
      </c>
      <c r="R736" s="67" t="str">
        <f>IFERROR(__xludf.DUMMYFUNCTION("""COMPUTED_VALUE"""),"NEW_UnitedStates_1840_none_061124")</f>
        <v>NEW_UnitedStates_1840_none_061124</v>
      </c>
      <c r="S736" s="67" t="str">
        <f>IFERROR(__xludf.DUMMYFUNCTION("""COMPUTED_VALUE"""),"saletructiep_UnitedStates.M306.1840.giaotiep_PTATT_LD161")</f>
        <v>saletructiep_UnitedStates.M306.1840.giaotiep_PTATT_LD161</v>
      </c>
      <c r="T736" s="107" t="str">
        <f>IFERROR(__xludf.DUMMYFUNCTION("""COMPUTED_VALUE"""),"https://patadovietnam.edu.vn/gtusa1_nhn/?utm_source=Facebook&amp;utm_medium=MES&amp;utm_term=NEW_UnitedStates_1840_none_061124&amp;utm_content=saletructiep_UnitedStates.M306.1840.giaotiep_PTATT_LD161&amp;utm_campaign=UnitedStates.giaotiep.M306_16917_MES_NamNH_061124")</f>
        <v>https://patadovietnam.edu.vn/gtusa1_nhn/?utm_source=Facebook&amp;utm_medium=MES&amp;utm_term=NEW_UnitedStates_1840_none_061124&amp;utm_content=saletructiep_UnitedStates.M306.1840.giaotiep_PTATT_LD161&amp;utm_campaign=UnitedStates.giaotiep.M306_16917_MES_NamNH_061124</v>
      </c>
      <c r="U736" s="118"/>
    </row>
    <row r="737">
      <c r="A737" s="72">
        <v>45610.0</v>
      </c>
      <c r="B737" s="75" t="s">
        <v>1245</v>
      </c>
      <c r="C737" s="67" t="str">
        <f>IFERROR(__xludf.DUMMYFUNCTION("""COMPUTED_VALUE"""),"LD161")</f>
        <v>LD161</v>
      </c>
      <c r="D737" s="55" t="s">
        <v>42</v>
      </c>
      <c r="E737" s="55" t="s">
        <v>79</v>
      </c>
      <c r="F737" s="55" t="s">
        <v>107</v>
      </c>
      <c r="G737" s="55">
        <v>1840.0</v>
      </c>
      <c r="H737" s="55" t="s">
        <v>1137</v>
      </c>
      <c r="I737" s="115" t="s">
        <v>6563</v>
      </c>
      <c r="J737" s="55" t="s">
        <v>6564</v>
      </c>
      <c r="K737" s="55" t="s">
        <v>61</v>
      </c>
      <c r="L737" s="55">
        <v>16917.0</v>
      </c>
      <c r="M737" s="55" t="s">
        <v>78</v>
      </c>
      <c r="N737" s="55" t="s">
        <v>79</v>
      </c>
      <c r="O737" s="55" t="s">
        <v>224</v>
      </c>
      <c r="P737" s="55" t="s">
        <v>110</v>
      </c>
      <c r="Q737" s="67" t="str">
        <f>IFERROR(__xludf.DUMMYFUNCTION("""COMPUTED_VALUE"""),"UnitedStates.giaotiep.M312_16917_MES_NamNH_141124")</f>
        <v>UnitedStates.giaotiep.M312_16917_MES_NamNH_141124</v>
      </c>
      <c r="R737" s="67" t="str">
        <f>IFERROR(__xludf.DUMMYFUNCTION("""COMPUTED_VALUE"""),"NEW_UnitedStates_1840_none_141124")</f>
        <v>NEW_UnitedStates_1840_none_141124</v>
      </c>
      <c r="S737" s="67" t="str">
        <f>IFERROR(__xludf.DUMMYFUNCTION("""COMPUTED_VALUE"""),"saletructiep_UnitedStates.M312.1840.giaotiep_PTATT_LD161")</f>
        <v>saletructiep_UnitedStates.M312.1840.giaotiep_PTATT_LD161</v>
      </c>
      <c r="T737" s="107" t="str">
        <f>IFERROR(__xludf.DUMMYFUNCTION("""COMPUTED_VALUE"""),"https://patadovietnam.edu.vn/gtusa1_nhn/?utm_source=Facebook&amp;utm_medium=MES&amp;utm_term=NEW_UnitedStates_1840_none_141124&amp;utm_content=saletructiep_UnitedStates.M312.1840.giaotiep_PTATT_LD161&amp;utm_campaign=UnitedStates.giaotiep.M312_16917_MES_NamNH_141124")</f>
        <v>https://patadovietnam.edu.vn/gtusa1_nhn/?utm_source=Facebook&amp;utm_medium=MES&amp;utm_term=NEW_UnitedStates_1840_none_141124&amp;utm_content=saletructiep_UnitedStates.M312.1840.giaotiep_PTATT_LD161&amp;utm_campaign=UnitedStates.giaotiep.M312_16917_MES_NamNH_141124</v>
      </c>
      <c r="U737" s="118"/>
    </row>
    <row r="738">
      <c r="A738" s="72">
        <v>45610.0</v>
      </c>
      <c r="B738" s="75" t="s">
        <v>1134</v>
      </c>
      <c r="C738" s="67" t="str">
        <f>IFERROR(__xludf.DUMMYFUNCTION("""COMPUTED_VALUE"""),"LD153")</f>
        <v>LD153</v>
      </c>
      <c r="D738" s="55" t="s">
        <v>42</v>
      </c>
      <c r="E738" s="55" t="s">
        <v>69</v>
      </c>
      <c r="F738" s="55" t="s">
        <v>674</v>
      </c>
      <c r="G738" s="55">
        <v>1840.0</v>
      </c>
      <c r="H738" s="55" t="s">
        <v>1137</v>
      </c>
      <c r="I738" s="115" t="s">
        <v>6565</v>
      </c>
      <c r="J738" s="55" t="s">
        <v>6566</v>
      </c>
      <c r="K738" s="55" t="s">
        <v>61</v>
      </c>
      <c r="L738" s="55">
        <v>16917.0</v>
      </c>
      <c r="M738" s="55" t="s">
        <v>78</v>
      </c>
      <c r="N738" s="55" t="s">
        <v>69</v>
      </c>
      <c r="O738" s="55" t="s">
        <v>224</v>
      </c>
      <c r="P738" s="55" t="s">
        <v>110</v>
      </c>
      <c r="Q738" s="67" t="str">
        <f>IFERROR(__xludf.DUMMYFUNCTION("""COMPUTED_VALUE"""),"Europe.giaotiep.M312_16917_CVS_NamNH_141124")</f>
        <v>Europe.giaotiep.M312_16917_CVS_NamNH_141124</v>
      </c>
      <c r="R738" s="67" t="str">
        <f>IFERROR(__xludf.DUMMYFUNCTION("""COMPUTED_VALUE"""),"NEW_Europe_1840_none_141124")</f>
        <v>NEW_Europe_1840_none_141124</v>
      </c>
      <c r="S738" s="67" t="str">
        <f>IFERROR(__xludf.DUMMYFUNCTION("""COMPUTED_VALUE"""),"saletructiep_Europe.M312.1840.giaotiep_PTATT_LD153")</f>
        <v>saletructiep_Europe.M312.1840.giaotiep_PTATT_LD153</v>
      </c>
      <c r="T738" s="107" t="str">
        <f>IFERROR(__xludf.DUMMYFUNCTION("""COMPUTED_VALUE"""),"https://patadovietnam.edu.vn/tienganhgiaotiep_hn/?utm_source=Facebook&amp;utm_medium=CVS&amp;utm_term=NEW_Europe_1840_none_141124&amp;utm_content=saletructiep_Europe.M312.1840.giaotiep_PTATT_LD153&amp;utm_campaign=Europe.giaotiep.M312_16917_CVS_NamNH_141124")</f>
        <v>https://patadovietnam.edu.vn/tienganhgiaotiep_hn/?utm_source=Facebook&amp;utm_medium=CVS&amp;utm_term=NEW_Europe_1840_none_141124&amp;utm_content=saletructiep_Europe.M312.1840.giaotiep_PTATT_LD153&amp;utm_campaign=Europe.giaotiep.M312_16917_CVS_NamNH_141124</v>
      </c>
      <c r="U738" s="118"/>
    </row>
    <row r="739">
      <c r="A739" s="72">
        <v>45610.0</v>
      </c>
      <c r="B739" s="75" t="s">
        <v>1229</v>
      </c>
      <c r="C739" s="67" t="str">
        <f>IFERROR(__xludf.DUMMYFUNCTION("""COMPUTED_VALUE"""),"LD164")</f>
        <v>LD164</v>
      </c>
      <c r="D739" s="55" t="s">
        <v>42</v>
      </c>
      <c r="E739" s="55" t="s">
        <v>69</v>
      </c>
      <c r="F739" s="55" t="s">
        <v>133</v>
      </c>
      <c r="G739" s="55">
        <v>1840.0</v>
      </c>
      <c r="H739" s="55" t="s">
        <v>1137</v>
      </c>
      <c r="I739" s="115" t="s">
        <v>6567</v>
      </c>
      <c r="J739" s="55" t="s">
        <v>6568</v>
      </c>
      <c r="K739" s="55" t="s">
        <v>61</v>
      </c>
      <c r="L739" s="55">
        <v>16917.0</v>
      </c>
      <c r="M739" s="55" t="s">
        <v>78</v>
      </c>
      <c r="N739" s="55" t="s">
        <v>69</v>
      </c>
      <c r="O739" s="55" t="s">
        <v>224</v>
      </c>
      <c r="P739" s="55" t="s">
        <v>110</v>
      </c>
      <c r="Q739" s="67" t="str">
        <f>IFERROR(__xludf.DUMMYFUNCTION("""COMPUTED_VALUE"""),"Japan.giaotiep.M312_16917_CVS_NamNH_141124")</f>
        <v>Japan.giaotiep.M312_16917_CVS_NamNH_141124</v>
      </c>
      <c r="R739" s="67" t="str">
        <f>IFERROR(__xludf.DUMMYFUNCTION("""COMPUTED_VALUE"""),"NEW_Japan_1840_none_141124")</f>
        <v>NEW_Japan_1840_none_141124</v>
      </c>
      <c r="S739" s="67" t="str">
        <f>IFERROR(__xludf.DUMMYFUNCTION("""COMPUTED_VALUE"""),"saletructiep_Japan.M312.1840.giaotiep_PTATT_LD164")</f>
        <v>saletructiep_Japan.M312.1840.giaotiep_PTATT_LD164</v>
      </c>
      <c r="T739" s="107" t="str">
        <f>IFERROR(__xludf.DUMMYFUNCTION("""COMPUTED_VALUE"""),"https://patadovietnam.edu.vn/gtjapan_nhn3/?utm_source=Facebook&amp;utm_medium=CVS&amp;utm_term=NEW_Japan_1840_none_141124&amp;utm_content=saletructiep_Japan.M312.1840.giaotiep_PTATT_LD164&amp;utm_campaign=Japan.giaotiep.M312_16917_CVS_NamNH_141124")</f>
        <v>https://patadovietnam.edu.vn/gtjapan_nhn3/?utm_source=Facebook&amp;utm_medium=CVS&amp;utm_term=NEW_Japan_1840_none_141124&amp;utm_content=saletructiep_Japan.M312.1840.giaotiep_PTATT_LD164&amp;utm_campaign=Japan.giaotiep.M312_16917_CVS_NamNH_141124</v>
      </c>
      <c r="U739" s="118"/>
    </row>
    <row r="740">
      <c r="A740" s="72">
        <v>45610.0</v>
      </c>
      <c r="B740" s="75" t="s">
        <v>1245</v>
      </c>
      <c r="C740" s="67" t="str">
        <f>IFERROR(__xludf.DUMMYFUNCTION("""COMPUTED_VALUE"""),"LD161")</f>
        <v>LD161</v>
      </c>
      <c r="D740" s="55" t="s">
        <v>42</v>
      </c>
      <c r="E740" s="55" t="s">
        <v>79</v>
      </c>
      <c r="F740" s="55" t="s">
        <v>107</v>
      </c>
      <c r="G740" s="55">
        <v>1840.0</v>
      </c>
      <c r="H740" s="55" t="s">
        <v>1137</v>
      </c>
      <c r="I740" s="115" t="s">
        <v>6569</v>
      </c>
      <c r="J740" s="55" t="s">
        <v>6570</v>
      </c>
      <c r="K740" s="55" t="s">
        <v>61</v>
      </c>
      <c r="L740" s="55">
        <v>16917.0</v>
      </c>
      <c r="M740" s="55" t="s">
        <v>78</v>
      </c>
      <c r="N740" s="55" t="s">
        <v>79</v>
      </c>
      <c r="O740" s="55" t="s">
        <v>224</v>
      </c>
      <c r="P740" s="55" t="s">
        <v>110</v>
      </c>
      <c r="Q740" s="67" t="str">
        <f>IFERROR(__xludf.DUMMYFUNCTION("""COMPUTED_VALUE"""),"UnitedStates.giaotiep.M311_16917_MES_NamNH_141124")</f>
        <v>UnitedStates.giaotiep.M311_16917_MES_NamNH_141124</v>
      </c>
      <c r="R740" s="67" t="str">
        <f>IFERROR(__xludf.DUMMYFUNCTION("""COMPUTED_VALUE"""),"NEW_UnitedStates_1840_none_141124")</f>
        <v>NEW_UnitedStates_1840_none_141124</v>
      </c>
      <c r="S740" s="67" t="str">
        <f>IFERROR(__xludf.DUMMYFUNCTION("""COMPUTED_VALUE"""),"saletructiep_UnitedStates.M311.1840.giaotiep_PTATT_LD161")</f>
        <v>saletructiep_UnitedStates.M311.1840.giaotiep_PTATT_LD161</v>
      </c>
      <c r="T740" s="107" t="str">
        <f>IFERROR(__xludf.DUMMYFUNCTION("""COMPUTED_VALUE"""),"https://patadovietnam.edu.vn/gtusa1_nhn/?utm_source=Facebook&amp;utm_medium=MES&amp;utm_term=NEW_UnitedStates_1840_none_141124&amp;utm_content=saletructiep_UnitedStates.M311.1840.giaotiep_PTATT_LD161&amp;utm_campaign=UnitedStates.giaotiep.M311_16917_MES_NamNH_141124")</f>
        <v>https://patadovietnam.edu.vn/gtusa1_nhn/?utm_source=Facebook&amp;utm_medium=MES&amp;utm_term=NEW_UnitedStates_1840_none_141124&amp;utm_content=saletructiep_UnitedStates.M311.1840.giaotiep_PTATT_LD161&amp;utm_campaign=UnitedStates.giaotiep.M311_16917_MES_NamNH_141124</v>
      </c>
      <c r="U740" s="118"/>
    </row>
    <row r="741">
      <c r="A741" s="72">
        <v>45610.0</v>
      </c>
      <c r="B741" s="75" t="s">
        <v>1134</v>
      </c>
      <c r="C741" s="67" t="str">
        <f>IFERROR(__xludf.DUMMYFUNCTION("""COMPUTED_VALUE"""),"LD153")</f>
        <v>LD153</v>
      </c>
      <c r="D741" s="55" t="s">
        <v>42</v>
      </c>
      <c r="E741" s="55" t="s">
        <v>69</v>
      </c>
      <c r="F741" s="55" t="s">
        <v>674</v>
      </c>
      <c r="G741" s="55">
        <v>1840.0</v>
      </c>
      <c r="H741" s="55" t="s">
        <v>1137</v>
      </c>
      <c r="I741" s="115" t="s">
        <v>6571</v>
      </c>
      <c r="J741" s="55" t="s">
        <v>6572</v>
      </c>
      <c r="K741" s="55" t="s">
        <v>61</v>
      </c>
      <c r="L741" s="55">
        <v>16917.0</v>
      </c>
      <c r="M741" s="55" t="s">
        <v>78</v>
      </c>
      <c r="N741" s="55" t="s">
        <v>69</v>
      </c>
      <c r="O741" s="55" t="s">
        <v>224</v>
      </c>
      <c r="P741" s="55" t="s">
        <v>110</v>
      </c>
      <c r="Q741" s="67" t="str">
        <f>IFERROR(__xludf.DUMMYFUNCTION("""COMPUTED_VALUE"""),"Europe.giaotiep.M311_16917_CVS_NamNH_141124")</f>
        <v>Europe.giaotiep.M311_16917_CVS_NamNH_141124</v>
      </c>
      <c r="R741" s="67" t="str">
        <f>IFERROR(__xludf.DUMMYFUNCTION("""COMPUTED_VALUE"""),"NEW_Europe_1840_none_141124")</f>
        <v>NEW_Europe_1840_none_141124</v>
      </c>
      <c r="S741" s="67" t="str">
        <f>IFERROR(__xludf.DUMMYFUNCTION("""COMPUTED_VALUE"""),"saletructiep_Europe.M311.1840.giaotiep_PTATT_LD153")</f>
        <v>saletructiep_Europe.M311.1840.giaotiep_PTATT_LD153</v>
      </c>
      <c r="T741" s="107" t="str">
        <f>IFERROR(__xludf.DUMMYFUNCTION("""COMPUTED_VALUE"""),"https://patadovietnam.edu.vn/tienganhgiaotiep_hn/?utm_source=Facebook&amp;utm_medium=CVS&amp;utm_term=NEW_Europe_1840_none_141124&amp;utm_content=saletructiep_Europe.M311.1840.giaotiep_PTATT_LD153&amp;utm_campaign=Europe.giaotiep.M311_16917_CVS_NamNH_141124")</f>
        <v>https://patadovietnam.edu.vn/tienganhgiaotiep_hn/?utm_source=Facebook&amp;utm_medium=CVS&amp;utm_term=NEW_Europe_1840_none_141124&amp;utm_content=saletructiep_Europe.M311.1840.giaotiep_PTATT_LD153&amp;utm_campaign=Europe.giaotiep.M311_16917_CVS_NamNH_141124</v>
      </c>
      <c r="U741" s="118"/>
    </row>
    <row r="742">
      <c r="A742" s="72">
        <v>45610.0</v>
      </c>
      <c r="B742" s="75" t="s">
        <v>1229</v>
      </c>
      <c r="C742" s="67" t="str">
        <f>IFERROR(__xludf.DUMMYFUNCTION("""COMPUTED_VALUE"""),"LD164")</f>
        <v>LD164</v>
      </c>
      <c r="D742" s="55" t="s">
        <v>42</v>
      </c>
      <c r="E742" s="55" t="s">
        <v>69</v>
      </c>
      <c r="F742" s="55" t="s">
        <v>133</v>
      </c>
      <c r="G742" s="55">
        <v>1840.0</v>
      </c>
      <c r="H742" s="55" t="s">
        <v>1137</v>
      </c>
      <c r="I742" s="115" t="s">
        <v>6573</v>
      </c>
      <c r="J742" s="55" t="s">
        <v>6574</v>
      </c>
      <c r="K742" s="55" t="s">
        <v>61</v>
      </c>
      <c r="L742" s="55">
        <v>16917.0</v>
      </c>
      <c r="M742" s="55" t="s">
        <v>78</v>
      </c>
      <c r="N742" s="55" t="s">
        <v>69</v>
      </c>
      <c r="O742" s="55" t="s">
        <v>224</v>
      </c>
      <c r="P742" s="55" t="s">
        <v>110</v>
      </c>
      <c r="Q742" s="67" t="str">
        <f>IFERROR(__xludf.DUMMYFUNCTION("""COMPUTED_VALUE"""),"Japan.giaotiep.M311_16917_CVS_NamNH_141124")</f>
        <v>Japan.giaotiep.M311_16917_CVS_NamNH_141124</v>
      </c>
      <c r="R742" s="67" t="str">
        <f>IFERROR(__xludf.DUMMYFUNCTION("""COMPUTED_VALUE"""),"NEW_Japan_1840_none_141124")</f>
        <v>NEW_Japan_1840_none_141124</v>
      </c>
      <c r="S742" s="67" t="str">
        <f>IFERROR(__xludf.DUMMYFUNCTION("""COMPUTED_VALUE"""),"saletructiep_Japan.M311.1840.giaotiep_PTATT_LD164")</f>
        <v>saletructiep_Japan.M311.1840.giaotiep_PTATT_LD164</v>
      </c>
      <c r="T742" s="107" t="str">
        <f>IFERROR(__xludf.DUMMYFUNCTION("""COMPUTED_VALUE"""),"https://patadovietnam.edu.vn/gtjapan_nhn3/?utm_source=Facebook&amp;utm_medium=CVS&amp;utm_term=NEW_Japan_1840_none_141124&amp;utm_content=saletructiep_Japan.M311.1840.giaotiep_PTATT_LD164&amp;utm_campaign=Japan.giaotiep.M311_16917_CVS_NamNH_141124")</f>
        <v>https://patadovietnam.edu.vn/gtjapan_nhn3/?utm_source=Facebook&amp;utm_medium=CVS&amp;utm_term=NEW_Japan_1840_none_141124&amp;utm_content=saletructiep_Japan.M311.1840.giaotiep_PTATT_LD164&amp;utm_campaign=Japan.giaotiep.M311_16917_CVS_NamNH_141124</v>
      </c>
      <c r="U742" s="118"/>
    </row>
    <row r="743">
      <c r="A743" s="72">
        <v>45616.0</v>
      </c>
      <c r="B743" s="75" t="s">
        <v>1245</v>
      </c>
      <c r="C743" s="67" t="str">
        <f>IFERROR(__xludf.DUMMYFUNCTION("""COMPUTED_VALUE"""),"LD161")</f>
        <v>LD161</v>
      </c>
      <c r="D743" s="55" t="s">
        <v>42</v>
      </c>
      <c r="E743" s="55" t="s">
        <v>79</v>
      </c>
      <c r="F743" s="55" t="s">
        <v>107</v>
      </c>
      <c r="G743" s="55">
        <v>1840.0</v>
      </c>
      <c r="H743" s="55" t="s">
        <v>1137</v>
      </c>
      <c r="I743" s="115" t="s">
        <v>6575</v>
      </c>
      <c r="J743" s="55" t="s">
        <v>6576</v>
      </c>
      <c r="K743" s="55" t="s">
        <v>61</v>
      </c>
      <c r="L743" s="55">
        <v>16917.0</v>
      </c>
      <c r="M743" s="55" t="s">
        <v>78</v>
      </c>
      <c r="N743" s="55" t="s">
        <v>79</v>
      </c>
      <c r="O743" s="55" t="s">
        <v>224</v>
      </c>
      <c r="P743" s="55" t="s">
        <v>110</v>
      </c>
      <c r="Q743" s="67" t="str">
        <f>IFERROR(__xludf.DUMMYFUNCTION("""COMPUTED_VALUE"""),"UnitedStates.giaotiep.M314_16917_MES_NamNH_201124")</f>
        <v>UnitedStates.giaotiep.M314_16917_MES_NamNH_201124</v>
      </c>
      <c r="R743" s="67" t="str">
        <f>IFERROR(__xludf.DUMMYFUNCTION("""COMPUTED_VALUE"""),"NEW_UnitedStates_1840_none_201124")</f>
        <v>NEW_UnitedStates_1840_none_201124</v>
      </c>
      <c r="S743" s="67" t="str">
        <f>IFERROR(__xludf.DUMMYFUNCTION("""COMPUTED_VALUE"""),"saletructiep_UnitedStates.M314.1840.giaotiep_PTATT_LD161")</f>
        <v>saletructiep_UnitedStates.M314.1840.giaotiep_PTATT_LD161</v>
      </c>
      <c r="T743" s="107" t="str">
        <f>IFERROR(__xludf.DUMMYFUNCTION("""COMPUTED_VALUE"""),"https://patadovietnam.edu.vn/gtusa1_nhn/?utm_source=Facebook&amp;utm_medium=MES&amp;utm_term=NEW_UnitedStates_1840_none_201124&amp;utm_content=saletructiep_UnitedStates.M314.1840.giaotiep_PTATT_LD161&amp;utm_campaign=UnitedStates.giaotiep.M314_16917_MES_NamNH_201124")</f>
        <v>https://patadovietnam.edu.vn/gtusa1_nhn/?utm_source=Facebook&amp;utm_medium=MES&amp;utm_term=NEW_UnitedStates_1840_none_201124&amp;utm_content=saletructiep_UnitedStates.M314.1840.giaotiep_PTATT_LD161&amp;utm_campaign=UnitedStates.giaotiep.M314_16917_MES_NamNH_201124</v>
      </c>
      <c r="U743" s="118"/>
    </row>
    <row r="744">
      <c r="A744" s="72">
        <v>45616.0</v>
      </c>
      <c r="B744" s="75" t="s">
        <v>1229</v>
      </c>
      <c r="C744" s="67" t="str">
        <f>IFERROR(__xludf.DUMMYFUNCTION("""COMPUTED_VALUE"""),"LD164")</f>
        <v>LD164</v>
      </c>
      <c r="D744" s="55" t="s">
        <v>42</v>
      </c>
      <c r="E744" s="55" t="s">
        <v>69</v>
      </c>
      <c r="F744" s="55" t="s">
        <v>133</v>
      </c>
      <c r="G744" s="55">
        <v>1840.0</v>
      </c>
      <c r="H744" s="55" t="s">
        <v>1137</v>
      </c>
      <c r="I744" s="115" t="s">
        <v>6577</v>
      </c>
      <c r="J744" s="55" t="s">
        <v>6578</v>
      </c>
      <c r="K744" s="55" t="s">
        <v>61</v>
      </c>
      <c r="L744" s="55">
        <v>16917.0</v>
      </c>
      <c r="M744" s="55" t="s">
        <v>78</v>
      </c>
      <c r="N744" s="55" t="s">
        <v>69</v>
      </c>
      <c r="O744" s="55" t="s">
        <v>224</v>
      </c>
      <c r="P744" s="55" t="s">
        <v>110</v>
      </c>
      <c r="Q744" s="67" t="str">
        <f>IFERROR(__xludf.DUMMYFUNCTION("""COMPUTED_VALUE"""),"Japan.giaotiep.M314_16917_CVS_NamNH_201124")</f>
        <v>Japan.giaotiep.M314_16917_CVS_NamNH_201124</v>
      </c>
      <c r="R744" s="67" t="str">
        <f>IFERROR(__xludf.DUMMYFUNCTION("""COMPUTED_VALUE"""),"NEW_Japan_1840_none_201124")</f>
        <v>NEW_Japan_1840_none_201124</v>
      </c>
      <c r="S744" s="67" t="str">
        <f>IFERROR(__xludf.DUMMYFUNCTION("""COMPUTED_VALUE"""),"saletructiep_Japan.M314.1840.giaotiep_PTATT_LD164")</f>
        <v>saletructiep_Japan.M314.1840.giaotiep_PTATT_LD164</v>
      </c>
      <c r="T744" s="107" t="str">
        <f>IFERROR(__xludf.DUMMYFUNCTION("""COMPUTED_VALUE"""),"https://patadovietnam.edu.vn/gtjapan_nhn3/?utm_source=Facebook&amp;utm_medium=CVS&amp;utm_term=NEW_Japan_1840_none_201124&amp;utm_content=saletructiep_Japan.M314.1840.giaotiep_PTATT_LD164&amp;utm_campaign=Japan.giaotiep.M314_16917_CVS_NamNH_201124")</f>
        <v>https://patadovietnam.edu.vn/gtjapan_nhn3/?utm_source=Facebook&amp;utm_medium=CVS&amp;utm_term=NEW_Japan_1840_none_201124&amp;utm_content=saletructiep_Japan.M314.1840.giaotiep_PTATT_LD164&amp;utm_campaign=Japan.giaotiep.M314_16917_CVS_NamNH_201124</v>
      </c>
      <c r="U744" s="118"/>
    </row>
    <row r="745">
      <c r="A745" s="72">
        <v>45616.0</v>
      </c>
      <c r="B745" s="75" t="s">
        <v>1134</v>
      </c>
      <c r="C745" s="67" t="str">
        <f>IFERROR(__xludf.DUMMYFUNCTION("""COMPUTED_VALUE"""),"LD153")</f>
        <v>LD153</v>
      </c>
      <c r="D745" s="55" t="s">
        <v>42</v>
      </c>
      <c r="E745" s="55" t="s">
        <v>69</v>
      </c>
      <c r="F745" s="55" t="s">
        <v>674</v>
      </c>
      <c r="G745" s="55">
        <v>1840.0</v>
      </c>
      <c r="H745" s="55" t="s">
        <v>1137</v>
      </c>
      <c r="I745" s="115" t="s">
        <v>6579</v>
      </c>
      <c r="J745" s="55" t="s">
        <v>6580</v>
      </c>
      <c r="K745" s="55" t="s">
        <v>61</v>
      </c>
      <c r="L745" s="55">
        <v>16917.0</v>
      </c>
      <c r="M745" s="55" t="s">
        <v>78</v>
      </c>
      <c r="N745" s="55" t="s">
        <v>69</v>
      </c>
      <c r="O745" s="55" t="s">
        <v>224</v>
      </c>
      <c r="P745" s="55" t="s">
        <v>110</v>
      </c>
      <c r="Q745" s="67" t="str">
        <f>IFERROR(__xludf.DUMMYFUNCTION("""COMPUTED_VALUE"""),"Europe.giaotiep.M314_16917_CVS_NamNH_201124")</f>
        <v>Europe.giaotiep.M314_16917_CVS_NamNH_201124</v>
      </c>
      <c r="R745" s="67" t="str">
        <f>IFERROR(__xludf.DUMMYFUNCTION("""COMPUTED_VALUE"""),"NEW_Europe_1840_none_201124")</f>
        <v>NEW_Europe_1840_none_201124</v>
      </c>
      <c r="S745" s="67" t="str">
        <f>IFERROR(__xludf.DUMMYFUNCTION("""COMPUTED_VALUE"""),"saletructiep_Europe.M314.1840.giaotiep_PTATT_LD153")</f>
        <v>saletructiep_Europe.M314.1840.giaotiep_PTATT_LD153</v>
      </c>
      <c r="T745" s="107" t="str">
        <f>IFERROR(__xludf.DUMMYFUNCTION("""COMPUTED_VALUE"""),"https://patadovietnam.edu.vn/tienganhgiaotiep_hn/?utm_source=Facebook&amp;utm_medium=CVS&amp;utm_term=NEW_Europe_1840_none_201124&amp;utm_content=saletructiep_Europe.M314.1840.giaotiep_PTATT_LD153&amp;utm_campaign=Europe.giaotiep.M314_16917_CVS_NamNH_201124")</f>
        <v>https://patadovietnam.edu.vn/tienganhgiaotiep_hn/?utm_source=Facebook&amp;utm_medium=CVS&amp;utm_term=NEW_Europe_1840_none_201124&amp;utm_content=saletructiep_Europe.M314.1840.giaotiep_PTATT_LD153&amp;utm_campaign=Europe.giaotiep.M314_16917_CVS_NamNH_201124</v>
      </c>
      <c r="U745" s="118"/>
    </row>
    <row r="746">
      <c r="A746" s="72">
        <v>45616.0</v>
      </c>
      <c r="B746" s="75" t="s">
        <v>1245</v>
      </c>
      <c r="C746" s="67" t="str">
        <f>IFERROR(__xludf.DUMMYFUNCTION("""COMPUTED_VALUE"""),"LD161")</f>
        <v>LD161</v>
      </c>
      <c r="D746" s="55" t="s">
        <v>42</v>
      </c>
      <c r="E746" s="55" t="s">
        <v>79</v>
      </c>
      <c r="F746" s="55" t="s">
        <v>107</v>
      </c>
      <c r="G746" s="55">
        <v>1840.0</v>
      </c>
      <c r="H746" s="55" t="s">
        <v>1137</v>
      </c>
      <c r="I746" s="115" t="s">
        <v>6581</v>
      </c>
      <c r="J746" s="55" t="s">
        <v>6582</v>
      </c>
      <c r="K746" s="55" t="s">
        <v>61</v>
      </c>
      <c r="L746" s="55">
        <v>16917.0</v>
      </c>
      <c r="M746" s="55" t="s">
        <v>78</v>
      </c>
      <c r="N746" s="55" t="s">
        <v>79</v>
      </c>
      <c r="O746" s="55" t="s">
        <v>224</v>
      </c>
      <c r="P746" s="55" t="s">
        <v>110</v>
      </c>
      <c r="Q746" s="67" t="str">
        <f>IFERROR(__xludf.DUMMYFUNCTION("""COMPUTED_VALUE"""),"UnitedStates.giaotiep.M309_16917_MES_NamNH_201124")</f>
        <v>UnitedStates.giaotiep.M309_16917_MES_NamNH_201124</v>
      </c>
      <c r="R746" s="67" t="str">
        <f>IFERROR(__xludf.DUMMYFUNCTION("""COMPUTED_VALUE"""),"NEW_UnitedStates_1840_none_201124")</f>
        <v>NEW_UnitedStates_1840_none_201124</v>
      </c>
      <c r="S746" s="67" t="str">
        <f>IFERROR(__xludf.DUMMYFUNCTION("""COMPUTED_VALUE"""),"saletructiep_UnitedStates.M309.1840.giaotiep_PTATT_LD161")</f>
        <v>saletructiep_UnitedStates.M309.1840.giaotiep_PTATT_LD161</v>
      </c>
      <c r="T746" s="107" t="str">
        <f>IFERROR(__xludf.DUMMYFUNCTION("""COMPUTED_VALUE"""),"https://patadovietnam.edu.vn/gtusa1_nhn/?utm_source=Facebook&amp;utm_medium=MES&amp;utm_term=NEW_UnitedStates_1840_none_201124&amp;utm_content=saletructiep_UnitedStates.M309.1840.giaotiep_PTATT_LD161&amp;utm_campaign=UnitedStates.giaotiep.M309_16917_MES_NamNH_201124")</f>
        <v>https://patadovietnam.edu.vn/gtusa1_nhn/?utm_source=Facebook&amp;utm_medium=MES&amp;utm_term=NEW_UnitedStates_1840_none_201124&amp;utm_content=saletructiep_UnitedStates.M309.1840.giaotiep_PTATT_LD161&amp;utm_campaign=UnitedStates.giaotiep.M309_16917_MES_NamNH_201124</v>
      </c>
      <c r="U746" s="118"/>
    </row>
    <row r="747">
      <c r="A747" s="72">
        <v>45616.0</v>
      </c>
      <c r="B747" s="75" t="s">
        <v>1229</v>
      </c>
      <c r="C747" s="67" t="str">
        <f>IFERROR(__xludf.DUMMYFUNCTION("""COMPUTED_VALUE"""),"LD164")</f>
        <v>LD164</v>
      </c>
      <c r="D747" s="55" t="s">
        <v>42</v>
      </c>
      <c r="E747" s="55" t="s">
        <v>69</v>
      </c>
      <c r="F747" s="55" t="s">
        <v>133</v>
      </c>
      <c r="G747" s="55">
        <v>1840.0</v>
      </c>
      <c r="H747" s="55" t="s">
        <v>1137</v>
      </c>
      <c r="I747" s="115" t="s">
        <v>6583</v>
      </c>
      <c r="J747" s="55" t="s">
        <v>6584</v>
      </c>
      <c r="K747" s="55" t="s">
        <v>61</v>
      </c>
      <c r="L747" s="55">
        <v>16917.0</v>
      </c>
      <c r="M747" s="55" t="s">
        <v>78</v>
      </c>
      <c r="N747" s="55" t="s">
        <v>69</v>
      </c>
      <c r="O747" s="55" t="s">
        <v>224</v>
      </c>
      <c r="P747" s="55" t="s">
        <v>110</v>
      </c>
      <c r="Q747" s="67" t="str">
        <f>IFERROR(__xludf.DUMMYFUNCTION("""COMPUTED_VALUE"""),"Japan.giaotiep.M309_16917_CVS_NamNH_201124")</f>
        <v>Japan.giaotiep.M309_16917_CVS_NamNH_201124</v>
      </c>
      <c r="R747" s="67" t="str">
        <f>IFERROR(__xludf.DUMMYFUNCTION("""COMPUTED_VALUE"""),"NEW_Japan_1840_none_201124")</f>
        <v>NEW_Japan_1840_none_201124</v>
      </c>
      <c r="S747" s="67" t="str">
        <f>IFERROR(__xludf.DUMMYFUNCTION("""COMPUTED_VALUE"""),"saletructiep_Japan.M309.1840.giaotiep_PTATT_LD164")</f>
        <v>saletructiep_Japan.M309.1840.giaotiep_PTATT_LD164</v>
      </c>
      <c r="T747" s="107" t="str">
        <f>IFERROR(__xludf.DUMMYFUNCTION("""COMPUTED_VALUE"""),"https://patadovietnam.edu.vn/gtjapan_nhn3/?utm_source=Facebook&amp;utm_medium=CVS&amp;utm_term=NEW_Japan_1840_none_201124&amp;utm_content=saletructiep_Japan.M309.1840.giaotiep_PTATT_LD164&amp;utm_campaign=Japan.giaotiep.M309_16917_CVS_NamNH_201124")</f>
        <v>https://patadovietnam.edu.vn/gtjapan_nhn3/?utm_source=Facebook&amp;utm_medium=CVS&amp;utm_term=NEW_Japan_1840_none_201124&amp;utm_content=saletructiep_Japan.M309.1840.giaotiep_PTATT_LD164&amp;utm_campaign=Japan.giaotiep.M309_16917_CVS_NamNH_201124</v>
      </c>
      <c r="U747" s="118"/>
    </row>
    <row r="748">
      <c r="A748" s="72">
        <v>45616.0</v>
      </c>
      <c r="B748" s="75" t="s">
        <v>1134</v>
      </c>
      <c r="C748" s="67" t="str">
        <f>IFERROR(__xludf.DUMMYFUNCTION("""COMPUTED_VALUE"""),"LD153")</f>
        <v>LD153</v>
      </c>
      <c r="D748" s="55" t="s">
        <v>42</v>
      </c>
      <c r="E748" s="55" t="s">
        <v>69</v>
      </c>
      <c r="F748" s="55" t="s">
        <v>674</v>
      </c>
      <c r="G748" s="55">
        <v>1840.0</v>
      </c>
      <c r="H748" s="55" t="s">
        <v>1137</v>
      </c>
      <c r="I748" s="115" t="s">
        <v>6585</v>
      </c>
      <c r="J748" s="55" t="s">
        <v>6586</v>
      </c>
      <c r="K748" s="55" t="s">
        <v>61</v>
      </c>
      <c r="L748" s="55">
        <v>16917.0</v>
      </c>
      <c r="M748" s="55" t="s">
        <v>78</v>
      </c>
      <c r="N748" s="55" t="s">
        <v>69</v>
      </c>
      <c r="O748" s="55" t="s">
        <v>224</v>
      </c>
      <c r="P748" s="55" t="s">
        <v>110</v>
      </c>
      <c r="Q748" s="67" t="str">
        <f>IFERROR(__xludf.DUMMYFUNCTION("""COMPUTED_VALUE"""),"Europe.giaotiep.M309_16917_CVS_NamNH_201124")</f>
        <v>Europe.giaotiep.M309_16917_CVS_NamNH_201124</v>
      </c>
      <c r="R748" s="67" t="str">
        <f>IFERROR(__xludf.DUMMYFUNCTION("""COMPUTED_VALUE"""),"NEW_Europe_1840_none_201124")</f>
        <v>NEW_Europe_1840_none_201124</v>
      </c>
      <c r="S748" s="67" t="str">
        <f>IFERROR(__xludf.DUMMYFUNCTION("""COMPUTED_VALUE"""),"saletructiep_Europe.M309.1840.giaotiep_PTATT_LD153")</f>
        <v>saletructiep_Europe.M309.1840.giaotiep_PTATT_LD153</v>
      </c>
      <c r="T748" s="107" t="str">
        <f>IFERROR(__xludf.DUMMYFUNCTION("""COMPUTED_VALUE"""),"https://patadovietnam.edu.vn/tienganhgiaotiep_hn/?utm_source=Facebook&amp;utm_medium=CVS&amp;utm_term=NEW_Europe_1840_none_201124&amp;utm_content=saletructiep_Europe.M309.1840.giaotiep_PTATT_LD153&amp;utm_campaign=Europe.giaotiep.M309_16917_CVS_NamNH_201124")</f>
        <v>https://patadovietnam.edu.vn/tienganhgiaotiep_hn/?utm_source=Facebook&amp;utm_medium=CVS&amp;utm_term=NEW_Europe_1840_none_201124&amp;utm_content=saletructiep_Europe.M309.1840.giaotiep_PTATT_LD153&amp;utm_campaign=Europe.giaotiep.M309_16917_CVS_NamNH_201124</v>
      </c>
      <c r="U748" s="118"/>
    </row>
    <row r="749">
      <c r="A749" s="72">
        <v>45616.0</v>
      </c>
      <c r="B749" s="75" t="s">
        <v>1229</v>
      </c>
      <c r="C749" s="67" t="str">
        <f>IFERROR(__xludf.DUMMYFUNCTION("""COMPUTED_VALUE"""),"LD164")</f>
        <v>LD164</v>
      </c>
      <c r="D749" s="55" t="s">
        <v>42</v>
      </c>
      <c r="E749" s="55" t="s">
        <v>69</v>
      </c>
      <c r="F749" s="55" t="s">
        <v>133</v>
      </c>
      <c r="G749" s="55">
        <v>1840.0</v>
      </c>
      <c r="H749" s="55" t="s">
        <v>1137</v>
      </c>
      <c r="I749" s="115" t="s">
        <v>6587</v>
      </c>
      <c r="J749" s="55" t="s">
        <v>6588</v>
      </c>
      <c r="K749" s="55" t="s">
        <v>61</v>
      </c>
      <c r="L749" s="55">
        <v>16917.0</v>
      </c>
      <c r="M749" s="55" t="s">
        <v>78</v>
      </c>
      <c r="N749" s="55" t="s">
        <v>69</v>
      </c>
      <c r="O749" s="55" t="s">
        <v>224</v>
      </c>
      <c r="P749" s="55" t="s">
        <v>110</v>
      </c>
      <c r="Q749" s="67" t="str">
        <f>IFERROR(__xludf.DUMMYFUNCTION("""COMPUTED_VALUE"""),"Japan.giaotiep.M310_16917_CVS_NamNH_201124")</f>
        <v>Japan.giaotiep.M310_16917_CVS_NamNH_201124</v>
      </c>
      <c r="R749" s="67" t="str">
        <f>IFERROR(__xludf.DUMMYFUNCTION("""COMPUTED_VALUE"""),"NEW_Japan_1840_none_201124")</f>
        <v>NEW_Japan_1840_none_201124</v>
      </c>
      <c r="S749" s="67" t="str">
        <f>IFERROR(__xludf.DUMMYFUNCTION("""COMPUTED_VALUE"""),"saletructiep_Japan.M310.1840.giaotiep_PTATT_LD164")</f>
        <v>saletructiep_Japan.M310.1840.giaotiep_PTATT_LD164</v>
      </c>
      <c r="T749" s="107" t="str">
        <f>IFERROR(__xludf.DUMMYFUNCTION("""COMPUTED_VALUE"""),"https://patadovietnam.edu.vn/gtjapan_nhn3/?utm_source=Facebook&amp;utm_medium=CVS&amp;utm_term=NEW_Japan_1840_none_201124&amp;utm_content=saletructiep_Japan.M310.1840.giaotiep_PTATT_LD164&amp;utm_campaign=Japan.giaotiep.M310_16917_CVS_NamNH_201124")</f>
        <v>https://patadovietnam.edu.vn/gtjapan_nhn3/?utm_source=Facebook&amp;utm_medium=CVS&amp;utm_term=NEW_Japan_1840_none_201124&amp;utm_content=saletructiep_Japan.M310.1840.giaotiep_PTATT_LD164&amp;utm_campaign=Japan.giaotiep.M310_16917_CVS_NamNH_201124</v>
      </c>
      <c r="U749" s="118"/>
    </row>
    <row r="750">
      <c r="A750" s="72">
        <v>45616.0</v>
      </c>
      <c r="B750" s="75" t="s">
        <v>1134</v>
      </c>
      <c r="C750" s="67" t="str">
        <f>IFERROR(__xludf.DUMMYFUNCTION("""COMPUTED_VALUE"""),"LD153")</f>
        <v>LD153</v>
      </c>
      <c r="D750" s="55" t="s">
        <v>42</v>
      </c>
      <c r="E750" s="55" t="s">
        <v>69</v>
      </c>
      <c r="F750" s="55" t="s">
        <v>674</v>
      </c>
      <c r="G750" s="55">
        <v>1840.0</v>
      </c>
      <c r="H750" s="55" t="s">
        <v>1137</v>
      </c>
      <c r="I750" s="115" t="s">
        <v>6589</v>
      </c>
      <c r="J750" s="55" t="s">
        <v>6590</v>
      </c>
      <c r="K750" s="55" t="s">
        <v>61</v>
      </c>
      <c r="L750" s="55">
        <v>16917.0</v>
      </c>
      <c r="M750" s="55" t="s">
        <v>78</v>
      </c>
      <c r="N750" s="55" t="s">
        <v>69</v>
      </c>
      <c r="O750" s="55" t="s">
        <v>224</v>
      </c>
      <c r="P750" s="55" t="s">
        <v>110</v>
      </c>
      <c r="Q750" s="67" t="str">
        <f>IFERROR(__xludf.DUMMYFUNCTION("""COMPUTED_VALUE"""),"Europe.giaotiep.M310_16917_CVS_NamNH_201124")</f>
        <v>Europe.giaotiep.M310_16917_CVS_NamNH_201124</v>
      </c>
      <c r="R750" s="67" t="str">
        <f>IFERROR(__xludf.DUMMYFUNCTION("""COMPUTED_VALUE"""),"NEW_Europe_1840_none_201124")</f>
        <v>NEW_Europe_1840_none_201124</v>
      </c>
      <c r="S750" s="67" t="str">
        <f>IFERROR(__xludf.DUMMYFUNCTION("""COMPUTED_VALUE"""),"saletructiep_Europe.M310.1840.giaotiep_PTATT_LD153")</f>
        <v>saletructiep_Europe.M310.1840.giaotiep_PTATT_LD153</v>
      </c>
      <c r="T750" s="107" t="str">
        <f>IFERROR(__xludf.DUMMYFUNCTION("""COMPUTED_VALUE"""),"https://patadovietnam.edu.vn/tienganhgiaotiep_hn/?utm_source=Facebook&amp;utm_medium=CVS&amp;utm_term=NEW_Europe_1840_none_201124&amp;utm_content=saletructiep_Europe.M310.1840.giaotiep_PTATT_LD153&amp;utm_campaign=Europe.giaotiep.M310_16917_CVS_NamNH_201124")</f>
        <v>https://patadovietnam.edu.vn/tienganhgiaotiep_hn/?utm_source=Facebook&amp;utm_medium=CVS&amp;utm_term=NEW_Europe_1840_none_201124&amp;utm_content=saletructiep_Europe.M310.1840.giaotiep_PTATT_LD153&amp;utm_campaign=Europe.giaotiep.M310_16917_CVS_NamNH_201124</v>
      </c>
      <c r="U750" s="118"/>
    </row>
    <row r="751">
      <c r="A751" s="72">
        <v>45616.0</v>
      </c>
      <c r="B751" s="75" t="s">
        <v>1134</v>
      </c>
      <c r="C751" s="67" t="str">
        <f>IFERROR(__xludf.DUMMYFUNCTION("""COMPUTED_VALUE"""),"LD153")</f>
        <v>LD153</v>
      </c>
      <c r="D751" s="55" t="s">
        <v>42</v>
      </c>
      <c r="E751" s="55" t="s">
        <v>79</v>
      </c>
      <c r="F751" s="55" t="s">
        <v>539</v>
      </c>
      <c r="G751" s="55">
        <v>1840.0</v>
      </c>
      <c r="H751" s="55" t="s">
        <v>1137</v>
      </c>
      <c r="I751" s="115" t="s">
        <v>6591</v>
      </c>
      <c r="J751" s="55" t="s">
        <v>6592</v>
      </c>
      <c r="K751" s="55" t="s">
        <v>61</v>
      </c>
      <c r="L751" s="55">
        <v>16917.0</v>
      </c>
      <c r="M751" s="55" t="s">
        <v>78</v>
      </c>
      <c r="N751" s="55" t="s">
        <v>79</v>
      </c>
      <c r="O751" s="55" t="s">
        <v>224</v>
      </c>
      <c r="P751" s="55" t="s">
        <v>110</v>
      </c>
      <c r="Q751" s="67" t="str">
        <f>IFERROR(__xludf.DUMMYFUNCTION("""COMPUTED_VALUE"""),"ALL.giaotiep.M314_16917_MES_NamNH_201124")</f>
        <v>ALL.giaotiep.M314_16917_MES_NamNH_201124</v>
      </c>
      <c r="R751" s="67" t="str">
        <f>IFERROR(__xludf.DUMMYFUNCTION("""COMPUTED_VALUE"""),"NEW_ALL_1840_none_201124")</f>
        <v>NEW_ALL_1840_none_201124</v>
      </c>
      <c r="S751" s="67" t="str">
        <f>IFERROR(__xludf.DUMMYFUNCTION("""COMPUTED_VALUE"""),"saletructiep_ALL.M314.1840.giaotiep_PTATT_LD153")</f>
        <v>saletructiep_ALL.M314.1840.giaotiep_PTATT_LD153</v>
      </c>
      <c r="T751" s="107" t="str">
        <f>IFERROR(__xludf.DUMMYFUNCTION("""COMPUTED_VALUE"""),"https://patadovietnam.edu.vn/tienganhgiaotiep_hn/?utm_source=Facebook&amp;utm_medium=MES&amp;utm_term=NEW_ALL_1840_none_201124&amp;utm_content=saletructiep_ALL.M314.1840.giaotiep_PTATT_LD153&amp;utm_campaign=ALL.giaotiep.M314_16917_MES_NamNH_201124")</f>
        <v>https://patadovietnam.edu.vn/tienganhgiaotiep_hn/?utm_source=Facebook&amp;utm_medium=MES&amp;utm_term=NEW_ALL_1840_none_201124&amp;utm_content=saletructiep_ALL.M314.1840.giaotiep_PTATT_LD153&amp;utm_campaign=ALL.giaotiep.M314_16917_MES_NamNH_201124</v>
      </c>
      <c r="U751" s="118"/>
    </row>
    <row r="752">
      <c r="A752" s="72">
        <v>45616.0</v>
      </c>
      <c r="B752" s="75" t="s">
        <v>1134</v>
      </c>
      <c r="C752" s="67" t="str">
        <f>IFERROR(__xludf.DUMMYFUNCTION("""COMPUTED_VALUE"""),"LD153")</f>
        <v>LD153</v>
      </c>
      <c r="D752" s="55" t="s">
        <v>42</v>
      </c>
      <c r="E752" s="55" t="s">
        <v>79</v>
      </c>
      <c r="F752" s="55" t="s">
        <v>539</v>
      </c>
      <c r="G752" s="55">
        <v>1840.0</v>
      </c>
      <c r="H752" s="55" t="s">
        <v>1137</v>
      </c>
      <c r="I752" s="115" t="s">
        <v>6593</v>
      </c>
      <c r="J752" s="55" t="s">
        <v>6594</v>
      </c>
      <c r="K752" s="55" t="s">
        <v>61</v>
      </c>
      <c r="L752" s="55">
        <v>16917.0</v>
      </c>
      <c r="M752" s="55" t="s">
        <v>78</v>
      </c>
      <c r="N752" s="55" t="s">
        <v>79</v>
      </c>
      <c r="O752" s="55" t="s">
        <v>224</v>
      </c>
      <c r="P752" s="55" t="s">
        <v>110</v>
      </c>
      <c r="Q752" s="67" t="str">
        <f>IFERROR(__xludf.DUMMYFUNCTION("""COMPUTED_VALUE"""),"ALL.giaotiep.M309_16917_MES_NamNH_201124")</f>
        <v>ALL.giaotiep.M309_16917_MES_NamNH_201124</v>
      </c>
      <c r="R752" s="67" t="str">
        <f>IFERROR(__xludf.DUMMYFUNCTION("""COMPUTED_VALUE"""),"NEW_ALL_1840_none_201124")</f>
        <v>NEW_ALL_1840_none_201124</v>
      </c>
      <c r="S752" s="67" t="str">
        <f>IFERROR(__xludf.DUMMYFUNCTION("""COMPUTED_VALUE"""),"saletructiep_ALL.M309.1840.giaotiep_PTATT_LD153")</f>
        <v>saletructiep_ALL.M309.1840.giaotiep_PTATT_LD153</v>
      </c>
      <c r="T752" s="107" t="str">
        <f>IFERROR(__xludf.DUMMYFUNCTION("""COMPUTED_VALUE"""),"https://patadovietnam.edu.vn/tienganhgiaotiep_hn/?utm_source=Facebook&amp;utm_medium=MES&amp;utm_term=NEW_ALL_1840_none_201124&amp;utm_content=saletructiep_ALL.M309.1840.giaotiep_PTATT_LD153&amp;utm_campaign=ALL.giaotiep.M309_16917_MES_NamNH_201124")</f>
        <v>https://patadovietnam.edu.vn/tienganhgiaotiep_hn/?utm_source=Facebook&amp;utm_medium=MES&amp;utm_term=NEW_ALL_1840_none_201124&amp;utm_content=saletructiep_ALL.M309.1840.giaotiep_PTATT_LD153&amp;utm_campaign=ALL.giaotiep.M309_16917_MES_NamNH_201124</v>
      </c>
      <c r="U752" s="118"/>
    </row>
    <row r="753">
      <c r="A753" s="72">
        <v>45616.0</v>
      </c>
      <c r="B753" s="75" t="s">
        <v>1134</v>
      </c>
      <c r="C753" s="67" t="str">
        <f>IFERROR(__xludf.DUMMYFUNCTION("""COMPUTED_VALUE"""),"LD153")</f>
        <v>LD153</v>
      </c>
      <c r="D753" s="55" t="s">
        <v>42</v>
      </c>
      <c r="E753" s="55" t="s">
        <v>79</v>
      </c>
      <c r="F753" s="55" t="s">
        <v>539</v>
      </c>
      <c r="G753" s="55">
        <v>1840.0</v>
      </c>
      <c r="H753" s="55" t="s">
        <v>1137</v>
      </c>
      <c r="I753" s="115" t="s">
        <v>6595</v>
      </c>
      <c r="J753" s="55" t="s">
        <v>6596</v>
      </c>
      <c r="K753" s="55" t="s">
        <v>61</v>
      </c>
      <c r="L753" s="55">
        <v>16917.0</v>
      </c>
      <c r="M753" s="55" t="s">
        <v>78</v>
      </c>
      <c r="N753" s="55" t="s">
        <v>79</v>
      </c>
      <c r="O753" s="55" t="s">
        <v>224</v>
      </c>
      <c r="P753" s="55" t="s">
        <v>110</v>
      </c>
      <c r="Q753" s="67" t="str">
        <f>IFERROR(__xludf.DUMMYFUNCTION("""COMPUTED_VALUE"""),"ALL.giaotiep.M310_16917_MES_NamNH_201124")</f>
        <v>ALL.giaotiep.M310_16917_MES_NamNH_201124</v>
      </c>
      <c r="R753" s="67" t="str">
        <f>IFERROR(__xludf.DUMMYFUNCTION("""COMPUTED_VALUE"""),"NEW_ALL_1840_none_201124")</f>
        <v>NEW_ALL_1840_none_201124</v>
      </c>
      <c r="S753" s="67" t="str">
        <f>IFERROR(__xludf.DUMMYFUNCTION("""COMPUTED_VALUE"""),"saletructiep_ALL.M310.1840.giaotiep_PTATT_LD153")</f>
        <v>saletructiep_ALL.M310.1840.giaotiep_PTATT_LD153</v>
      </c>
      <c r="T753" s="107" t="str">
        <f>IFERROR(__xludf.DUMMYFUNCTION("""COMPUTED_VALUE"""),"https://patadovietnam.edu.vn/tienganhgiaotiep_hn/?utm_source=Facebook&amp;utm_medium=MES&amp;utm_term=NEW_ALL_1840_none_201124&amp;utm_content=saletructiep_ALL.M310.1840.giaotiep_PTATT_LD153&amp;utm_campaign=ALL.giaotiep.M310_16917_MES_NamNH_201124")</f>
        <v>https://patadovietnam.edu.vn/tienganhgiaotiep_hn/?utm_source=Facebook&amp;utm_medium=MES&amp;utm_term=NEW_ALL_1840_none_201124&amp;utm_content=saletructiep_ALL.M310.1840.giaotiep_PTATT_LD153&amp;utm_campaign=ALL.giaotiep.M310_16917_MES_NamNH_201124</v>
      </c>
      <c r="U753" s="118"/>
    </row>
    <row r="754">
      <c r="A754" s="72">
        <v>45616.0</v>
      </c>
      <c r="B754" s="75" t="s">
        <v>1134</v>
      </c>
      <c r="C754" s="67" t="str">
        <f>IFERROR(__xludf.DUMMYFUNCTION("""COMPUTED_VALUE"""),"LD153")</f>
        <v>LD153</v>
      </c>
      <c r="D754" s="55" t="s">
        <v>42</v>
      </c>
      <c r="E754" s="55" t="s">
        <v>69</v>
      </c>
      <c r="F754" s="55" t="s">
        <v>674</v>
      </c>
      <c r="G754" s="55">
        <v>1840.0</v>
      </c>
      <c r="H754" s="55" t="s">
        <v>1137</v>
      </c>
      <c r="I754" s="115" t="s">
        <v>6597</v>
      </c>
      <c r="J754" s="55" t="s">
        <v>6598</v>
      </c>
      <c r="K754" s="55" t="s">
        <v>61</v>
      </c>
      <c r="L754" s="55">
        <v>16917.0</v>
      </c>
      <c r="M754" s="55" t="s">
        <v>78</v>
      </c>
      <c r="N754" s="55" t="s">
        <v>69</v>
      </c>
      <c r="O754" s="55" t="s">
        <v>224</v>
      </c>
      <c r="P754" s="55" t="s">
        <v>110</v>
      </c>
      <c r="Q754" s="67" t="str">
        <f>IFERROR(__xludf.DUMMYFUNCTION("""COMPUTED_VALUE"""),"Europe.giaotiep.M320_16917_CVS_NamNH_201124")</f>
        <v>Europe.giaotiep.M320_16917_CVS_NamNH_201124</v>
      </c>
      <c r="R754" s="67" t="str">
        <f>IFERROR(__xludf.DUMMYFUNCTION("""COMPUTED_VALUE"""),"NEW_Europe_1840_none_201124")</f>
        <v>NEW_Europe_1840_none_201124</v>
      </c>
      <c r="S754" s="67" t="str">
        <f>IFERROR(__xludf.DUMMYFUNCTION("""COMPUTED_VALUE"""),"saletructiep_Europe.M320.1840.giaotiep_PTATT_LD153")</f>
        <v>saletructiep_Europe.M320.1840.giaotiep_PTATT_LD153</v>
      </c>
      <c r="T754" s="107" t="str">
        <f>IFERROR(__xludf.DUMMYFUNCTION("""COMPUTED_VALUE"""),"https://patadovietnam.edu.vn/tienganhgiaotiep_hn/?utm_source=Facebook&amp;utm_medium=CVS&amp;utm_term=NEW_Europe_1840_none_201124&amp;utm_content=saletructiep_Europe.M320.1840.giaotiep_PTATT_LD153&amp;utm_campaign=Europe.giaotiep.M320_16917_CVS_NamNH_201124")</f>
        <v>https://patadovietnam.edu.vn/tienganhgiaotiep_hn/?utm_source=Facebook&amp;utm_medium=CVS&amp;utm_term=NEW_Europe_1840_none_201124&amp;utm_content=saletructiep_Europe.M320.1840.giaotiep_PTATT_LD153&amp;utm_campaign=Europe.giaotiep.M320_16917_CVS_NamNH_201124</v>
      </c>
      <c r="U754" s="118"/>
    </row>
    <row r="755">
      <c r="A755" s="72">
        <v>45616.0</v>
      </c>
      <c r="B755" s="75" t="s">
        <v>1229</v>
      </c>
      <c r="C755" s="67" t="str">
        <f>IFERROR(__xludf.DUMMYFUNCTION("""COMPUTED_VALUE"""),"LD164")</f>
        <v>LD164</v>
      </c>
      <c r="D755" s="55" t="s">
        <v>42</v>
      </c>
      <c r="E755" s="55" t="s">
        <v>69</v>
      </c>
      <c r="F755" s="55" t="s">
        <v>133</v>
      </c>
      <c r="G755" s="55">
        <v>1840.0</v>
      </c>
      <c r="H755" s="55" t="s">
        <v>1137</v>
      </c>
      <c r="I755" s="115" t="s">
        <v>6599</v>
      </c>
      <c r="J755" s="55" t="s">
        <v>6600</v>
      </c>
      <c r="K755" s="55" t="s">
        <v>61</v>
      </c>
      <c r="L755" s="55">
        <v>16917.0</v>
      </c>
      <c r="M755" s="55" t="s">
        <v>78</v>
      </c>
      <c r="N755" s="55" t="s">
        <v>69</v>
      </c>
      <c r="O755" s="55" t="s">
        <v>224</v>
      </c>
      <c r="P755" s="55" t="s">
        <v>110</v>
      </c>
      <c r="Q755" s="67" t="str">
        <f>IFERROR(__xludf.DUMMYFUNCTION("""COMPUTED_VALUE"""),"Japan.giaotiep.M320_16917_CVS_NamNH_201124")</f>
        <v>Japan.giaotiep.M320_16917_CVS_NamNH_201124</v>
      </c>
      <c r="R755" s="67" t="str">
        <f>IFERROR(__xludf.DUMMYFUNCTION("""COMPUTED_VALUE"""),"NEW_Japan_1840_none_201124")</f>
        <v>NEW_Japan_1840_none_201124</v>
      </c>
      <c r="S755" s="67" t="str">
        <f>IFERROR(__xludf.DUMMYFUNCTION("""COMPUTED_VALUE"""),"saletructiep_Japan.M320.1840.giaotiep_PTATT_LD164")</f>
        <v>saletructiep_Japan.M320.1840.giaotiep_PTATT_LD164</v>
      </c>
      <c r="T755" s="107" t="str">
        <f>IFERROR(__xludf.DUMMYFUNCTION("""COMPUTED_VALUE"""),"https://patadovietnam.edu.vn/gtjapan_nhn3/?utm_source=Facebook&amp;utm_medium=CVS&amp;utm_term=NEW_Japan_1840_none_201124&amp;utm_content=saletructiep_Japan.M320.1840.giaotiep_PTATT_LD164&amp;utm_campaign=Japan.giaotiep.M320_16917_CVS_NamNH_201124")</f>
        <v>https://patadovietnam.edu.vn/gtjapan_nhn3/?utm_source=Facebook&amp;utm_medium=CVS&amp;utm_term=NEW_Japan_1840_none_201124&amp;utm_content=saletructiep_Japan.M320.1840.giaotiep_PTATT_LD164&amp;utm_campaign=Japan.giaotiep.M320_16917_CVS_NamNH_201124</v>
      </c>
      <c r="U755" s="118"/>
    </row>
    <row r="756">
      <c r="A756" s="72">
        <v>45616.0</v>
      </c>
      <c r="B756" s="75" t="s">
        <v>1245</v>
      </c>
      <c r="C756" s="67" t="str">
        <f>IFERROR(__xludf.DUMMYFUNCTION("""COMPUTED_VALUE"""),"LD161")</f>
        <v>LD161</v>
      </c>
      <c r="D756" s="55" t="s">
        <v>42</v>
      </c>
      <c r="E756" s="55" t="s">
        <v>79</v>
      </c>
      <c r="F756" s="55" t="s">
        <v>107</v>
      </c>
      <c r="G756" s="55">
        <v>1840.0</v>
      </c>
      <c r="H756" s="55" t="s">
        <v>1137</v>
      </c>
      <c r="I756" s="115" t="s">
        <v>6601</v>
      </c>
      <c r="J756" s="55" t="s">
        <v>6602</v>
      </c>
      <c r="K756" s="55" t="s">
        <v>61</v>
      </c>
      <c r="L756" s="55">
        <v>16917.0</v>
      </c>
      <c r="M756" s="55" t="s">
        <v>78</v>
      </c>
      <c r="N756" s="55" t="s">
        <v>79</v>
      </c>
      <c r="O756" s="55" t="s">
        <v>224</v>
      </c>
      <c r="P756" s="55" t="s">
        <v>110</v>
      </c>
      <c r="Q756" s="67" t="str">
        <f>IFERROR(__xludf.DUMMYFUNCTION("""COMPUTED_VALUE"""),"UnitedStates.giaotiep.M320_16917_MES_NamNH_201124")</f>
        <v>UnitedStates.giaotiep.M320_16917_MES_NamNH_201124</v>
      </c>
      <c r="R756" s="67" t="str">
        <f>IFERROR(__xludf.DUMMYFUNCTION("""COMPUTED_VALUE"""),"NEW_UnitedStates_1840_none_201124")</f>
        <v>NEW_UnitedStates_1840_none_201124</v>
      </c>
      <c r="S756" s="67" t="str">
        <f>IFERROR(__xludf.DUMMYFUNCTION("""COMPUTED_VALUE"""),"saletructiep_UnitedStates.M320.1840.giaotiep_PTATT_LD161")</f>
        <v>saletructiep_UnitedStates.M320.1840.giaotiep_PTATT_LD161</v>
      </c>
      <c r="T756" s="107" t="str">
        <f>IFERROR(__xludf.DUMMYFUNCTION("""COMPUTED_VALUE"""),"https://patadovietnam.edu.vn/gtusa1_nhn/?utm_source=Facebook&amp;utm_medium=MES&amp;utm_term=NEW_UnitedStates_1840_none_201124&amp;utm_content=saletructiep_UnitedStates.M320.1840.giaotiep_PTATT_LD161&amp;utm_campaign=UnitedStates.giaotiep.M320_16917_MES_NamNH_201124")</f>
        <v>https://patadovietnam.edu.vn/gtusa1_nhn/?utm_source=Facebook&amp;utm_medium=MES&amp;utm_term=NEW_UnitedStates_1840_none_201124&amp;utm_content=saletructiep_UnitedStates.M320.1840.giaotiep_PTATT_LD161&amp;utm_campaign=UnitedStates.giaotiep.M320_16917_MES_NamNH_201124</v>
      </c>
      <c r="U756" s="118"/>
    </row>
    <row r="757">
      <c r="A757" s="72">
        <v>45628.0</v>
      </c>
      <c r="B757" s="75" t="s">
        <v>1134</v>
      </c>
      <c r="C757" s="67" t="str">
        <f>IFERROR(__xludf.DUMMYFUNCTION("""COMPUTED_VALUE"""),"LD153")</f>
        <v>LD153</v>
      </c>
      <c r="D757" s="55" t="s">
        <v>42</v>
      </c>
      <c r="E757" s="55" t="s">
        <v>69</v>
      </c>
      <c r="F757" s="55" t="s">
        <v>674</v>
      </c>
      <c r="G757" s="55">
        <v>1840.0</v>
      </c>
      <c r="H757" s="55" t="s">
        <v>1137</v>
      </c>
      <c r="I757" s="115" t="s">
        <v>6603</v>
      </c>
      <c r="J757" s="55" t="s">
        <v>6604</v>
      </c>
      <c r="K757" s="55" t="s">
        <v>61</v>
      </c>
      <c r="L757" s="55">
        <v>16917.0</v>
      </c>
      <c r="M757" s="55" t="s">
        <v>78</v>
      </c>
      <c r="N757" s="55" t="s">
        <v>69</v>
      </c>
      <c r="O757" s="55" t="s">
        <v>224</v>
      </c>
      <c r="P757" s="55" t="s">
        <v>110</v>
      </c>
      <c r="Q757" s="67" t="str">
        <f>IFERROR(__xludf.DUMMYFUNCTION("""COMPUTED_VALUE"""),"Europe.giaotiep.M331_16917_CVS_NamNH_021224")</f>
        <v>Europe.giaotiep.M331_16917_CVS_NamNH_021224</v>
      </c>
      <c r="R757" s="67" t="str">
        <f>IFERROR(__xludf.DUMMYFUNCTION("""COMPUTED_VALUE"""),"NEW_Europe_1840_none_021224")</f>
        <v>NEW_Europe_1840_none_021224</v>
      </c>
      <c r="S757" s="67" t="str">
        <f>IFERROR(__xludf.DUMMYFUNCTION("""COMPUTED_VALUE"""),"saletructiep_Europe.M331.1840.giaotiep_PTATT_LD153")</f>
        <v>saletructiep_Europe.M331.1840.giaotiep_PTATT_LD153</v>
      </c>
      <c r="T757" s="107" t="str">
        <f>IFERROR(__xludf.DUMMYFUNCTION("""COMPUTED_VALUE"""),"https://patadovietnam.edu.vn/tienganhgiaotiep_hn/?utm_source=Facebook&amp;utm_medium=CVS&amp;utm_term=NEW_Europe_1840_none_021224&amp;utm_content=saletructiep_Europe.M331.1840.giaotiep_PTATT_LD153&amp;utm_campaign=Europe.giaotiep.M331_16917_CVS_NamNH_021224")</f>
        <v>https://patadovietnam.edu.vn/tienganhgiaotiep_hn/?utm_source=Facebook&amp;utm_medium=CVS&amp;utm_term=NEW_Europe_1840_none_021224&amp;utm_content=saletructiep_Europe.M331.1840.giaotiep_PTATT_LD153&amp;utm_campaign=Europe.giaotiep.M331_16917_CVS_NamNH_021224</v>
      </c>
      <c r="U757" s="118"/>
    </row>
    <row r="758">
      <c r="A758" s="72">
        <v>45628.0</v>
      </c>
      <c r="B758" s="75" t="s">
        <v>1229</v>
      </c>
      <c r="C758" s="67" t="str">
        <f>IFERROR(__xludf.DUMMYFUNCTION("""COMPUTED_VALUE"""),"LD164")</f>
        <v>LD164</v>
      </c>
      <c r="D758" s="55" t="s">
        <v>42</v>
      </c>
      <c r="E758" s="55" t="s">
        <v>69</v>
      </c>
      <c r="F758" s="55" t="s">
        <v>133</v>
      </c>
      <c r="G758" s="55">
        <v>1840.0</v>
      </c>
      <c r="H758" s="55" t="s">
        <v>1137</v>
      </c>
      <c r="I758" s="115" t="s">
        <v>1285</v>
      </c>
      <c r="J758" s="55" t="s">
        <v>6605</v>
      </c>
      <c r="K758" s="55" t="s">
        <v>61</v>
      </c>
      <c r="L758" s="55">
        <v>16917.0</v>
      </c>
      <c r="M758" s="55" t="s">
        <v>78</v>
      </c>
      <c r="N758" s="55" t="s">
        <v>69</v>
      </c>
      <c r="O758" s="55" t="s">
        <v>224</v>
      </c>
      <c r="P758" s="55" t="s">
        <v>110</v>
      </c>
      <c r="Q758" s="67" t="str">
        <f>IFERROR(__xludf.DUMMYFUNCTION("""COMPUTED_VALUE"""),"Japan.giaotiep.M331_16917_CVS_NamNH_021224")</f>
        <v>Japan.giaotiep.M331_16917_CVS_NamNH_021224</v>
      </c>
      <c r="R758" s="67" t="str">
        <f>IFERROR(__xludf.DUMMYFUNCTION("""COMPUTED_VALUE"""),"NEW_Japan_1840_none_021224")</f>
        <v>NEW_Japan_1840_none_021224</v>
      </c>
      <c r="S758" s="67" t="str">
        <f>IFERROR(__xludf.DUMMYFUNCTION("""COMPUTED_VALUE"""),"saletructiep_Japan.M331.1840.giaotiep_PTATT_LD164")</f>
        <v>saletructiep_Japan.M331.1840.giaotiep_PTATT_LD164</v>
      </c>
      <c r="T758" s="107" t="str">
        <f>IFERROR(__xludf.DUMMYFUNCTION("""COMPUTED_VALUE"""),"https://patadovietnam.edu.vn/gtjapan_nhn3/?utm_source=Facebook&amp;utm_medium=CVS&amp;utm_term=NEW_Japan_1840_none_021224&amp;utm_content=saletructiep_Japan.M331.1840.giaotiep_PTATT_LD164&amp;utm_campaign=Japan.giaotiep.M331_16917_CVS_NamNH_021224")</f>
        <v>https://patadovietnam.edu.vn/gtjapan_nhn3/?utm_source=Facebook&amp;utm_medium=CVS&amp;utm_term=NEW_Japan_1840_none_021224&amp;utm_content=saletructiep_Japan.M331.1840.giaotiep_PTATT_LD164&amp;utm_campaign=Japan.giaotiep.M331_16917_CVS_NamNH_021224</v>
      </c>
      <c r="U758" s="118"/>
    </row>
    <row r="759">
      <c r="A759" s="72">
        <v>45628.0</v>
      </c>
      <c r="B759" s="75" t="s">
        <v>1245</v>
      </c>
      <c r="C759" s="67" t="str">
        <f>IFERROR(__xludf.DUMMYFUNCTION("""COMPUTED_VALUE"""),"LD161")</f>
        <v>LD161</v>
      </c>
      <c r="D759" s="55" t="s">
        <v>42</v>
      </c>
      <c r="E759" s="55" t="s">
        <v>79</v>
      </c>
      <c r="F759" s="55" t="s">
        <v>107</v>
      </c>
      <c r="G759" s="55">
        <v>1840.0</v>
      </c>
      <c r="H759" s="55" t="s">
        <v>1137</v>
      </c>
      <c r="I759" s="115" t="s">
        <v>6606</v>
      </c>
      <c r="J759" s="55" t="s">
        <v>6607</v>
      </c>
      <c r="K759" s="55" t="s">
        <v>61</v>
      </c>
      <c r="L759" s="55">
        <v>16917.0</v>
      </c>
      <c r="M759" s="55" t="s">
        <v>78</v>
      </c>
      <c r="N759" s="55" t="s">
        <v>79</v>
      </c>
      <c r="O759" s="55" t="s">
        <v>224</v>
      </c>
      <c r="P759" s="55" t="s">
        <v>110</v>
      </c>
      <c r="Q759" s="67" t="str">
        <f>IFERROR(__xludf.DUMMYFUNCTION("""COMPUTED_VALUE"""),"UnitedStates.giaotiep.M331_16917_MES_NamNH_021224")</f>
        <v>UnitedStates.giaotiep.M331_16917_MES_NamNH_021224</v>
      </c>
      <c r="R759" s="67" t="str">
        <f>IFERROR(__xludf.DUMMYFUNCTION("""COMPUTED_VALUE"""),"NEW_UnitedStates_1840_none_021224")</f>
        <v>NEW_UnitedStates_1840_none_021224</v>
      </c>
      <c r="S759" s="67" t="str">
        <f>IFERROR(__xludf.DUMMYFUNCTION("""COMPUTED_VALUE"""),"saletructiep_UnitedStates.M331.1840.giaotiep_PTATT_LD161")</f>
        <v>saletructiep_UnitedStates.M331.1840.giaotiep_PTATT_LD161</v>
      </c>
      <c r="T759" s="107" t="str">
        <f>IFERROR(__xludf.DUMMYFUNCTION("""COMPUTED_VALUE"""),"https://patadovietnam.edu.vn/gtusa1_nhn/?utm_source=Facebook&amp;utm_medium=MES&amp;utm_term=NEW_UnitedStates_1840_none_021224&amp;utm_content=saletructiep_UnitedStates.M331.1840.giaotiep_PTATT_LD161&amp;utm_campaign=UnitedStates.giaotiep.M331_16917_MES_NamNH_021224")</f>
        <v>https://patadovietnam.edu.vn/gtusa1_nhn/?utm_source=Facebook&amp;utm_medium=MES&amp;utm_term=NEW_UnitedStates_1840_none_021224&amp;utm_content=saletructiep_UnitedStates.M331.1840.giaotiep_PTATT_LD161&amp;utm_campaign=UnitedStates.giaotiep.M331_16917_MES_NamNH_021224</v>
      </c>
      <c r="U759" s="118"/>
    </row>
    <row r="760">
      <c r="A760" s="72">
        <v>45628.0</v>
      </c>
      <c r="B760" s="75" t="s">
        <v>1134</v>
      </c>
      <c r="C760" s="67" t="str">
        <f>IFERROR(__xludf.DUMMYFUNCTION("""COMPUTED_VALUE"""),"LD153")</f>
        <v>LD153</v>
      </c>
      <c r="D760" s="55" t="s">
        <v>42</v>
      </c>
      <c r="E760" s="55" t="s">
        <v>69</v>
      </c>
      <c r="F760" s="55" t="s">
        <v>674</v>
      </c>
      <c r="G760" s="55">
        <v>1840.0</v>
      </c>
      <c r="H760" s="55" t="s">
        <v>1137</v>
      </c>
      <c r="I760" s="115" t="s">
        <v>6608</v>
      </c>
      <c r="J760" s="55" t="s">
        <v>6609</v>
      </c>
      <c r="K760" s="55" t="s">
        <v>61</v>
      </c>
      <c r="L760" s="55">
        <v>16917.0</v>
      </c>
      <c r="M760" s="55" t="s">
        <v>78</v>
      </c>
      <c r="N760" s="55" t="s">
        <v>69</v>
      </c>
      <c r="O760" s="55" t="s">
        <v>224</v>
      </c>
      <c r="P760" s="55" t="s">
        <v>110</v>
      </c>
      <c r="Q760" s="67" t="str">
        <f>IFERROR(__xludf.DUMMYFUNCTION("""COMPUTED_VALUE"""),"Europe.giaotiep.M332_16917_CVS_NamNH_021224")</f>
        <v>Europe.giaotiep.M332_16917_CVS_NamNH_021224</v>
      </c>
      <c r="R760" s="67" t="str">
        <f>IFERROR(__xludf.DUMMYFUNCTION("""COMPUTED_VALUE"""),"NEW_Europe_1840_none_021224")</f>
        <v>NEW_Europe_1840_none_021224</v>
      </c>
      <c r="S760" s="67" t="str">
        <f>IFERROR(__xludf.DUMMYFUNCTION("""COMPUTED_VALUE"""),"saletructiep_Europe.M332.1840.giaotiep_PTATT_LD153")</f>
        <v>saletructiep_Europe.M332.1840.giaotiep_PTATT_LD153</v>
      </c>
      <c r="T760" s="107" t="str">
        <f>IFERROR(__xludf.DUMMYFUNCTION("""COMPUTED_VALUE"""),"https://patadovietnam.edu.vn/tienganhgiaotiep_hn/?utm_source=Facebook&amp;utm_medium=CVS&amp;utm_term=NEW_Europe_1840_none_021224&amp;utm_content=saletructiep_Europe.M332.1840.giaotiep_PTATT_LD153&amp;utm_campaign=Europe.giaotiep.M332_16917_CVS_NamNH_021224")</f>
        <v>https://patadovietnam.edu.vn/tienganhgiaotiep_hn/?utm_source=Facebook&amp;utm_medium=CVS&amp;utm_term=NEW_Europe_1840_none_021224&amp;utm_content=saletructiep_Europe.M332.1840.giaotiep_PTATT_LD153&amp;utm_campaign=Europe.giaotiep.M332_16917_CVS_NamNH_021224</v>
      </c>
      <c r="U760" s="118"/>
    </row>
    <row r="761">
      <c r="A761" s="72">
        <v>45628.0</v>
      </c>
      <c r="B761" s="75" t="s">
        <v>1229</v>
      </c>
      <c r="C761" s="67" t="str">
        <f>IFERROR(__xludf.DUMMYFUNCTION("""COMPUTED_VALUE"""),"LD164")</f>
        <v>LD164</v>
      </c>
      <c r="D761" s="55" t="s">
        <v>42</v>
      </c>
      <c r="E761" s="55" t="s">
        <v>69</v>
      </c>
      <c r="F761" s="55" t="s">
        <v>133</v>
      </c>
      <c r="G761" s="55">
        <v>1840.0</v>
      </c>
      <c r="H761" s="55" t="s">
        <v>1137</v>
      </c>
      <c r="I761" s="115" t="s">
        <v>6610</v>
      </c>
      <c r="J761" s="55" t="s">
        <v>6611</v>
      </c>
      <c r="K761" s="55" t="s">
        <v>61</v>
      </c>
      <c r="L761" s="55">
        <v>16917.0</v>
      </c>
      <c r="M761" s="55" t="s">
        <v>78</v>
      </c>
      <c r="N761" s="55" t="s">
        <v>69</v>
      </c>
      <c r="O761" s="55" t="s">
        <v>224</v>
      </c>
      <c r="P761" s="55" t="s">
        <v>110</v>
      </c>
      <c r="Q761" s="67" t="str">
        <f>IFERROR(__xludf.DUMMYFUNCTION("""COMPUTED_VALUE"""),"Japan.giaotiep.M332_16917_CVS_NamNH_021224")</f>
        <v>Japan.giaotiep.M332_16917_CVS_NamNH_021224</v>
      </c>
      <c r="R761" s="67" t="str">
        <f>IFERROR(__xludf.DUMMYFUNCTION("""COMPUTED_VALUE"""),"NEW_Japan_1840_none_021224")</f>
        <v>NEW_Japan_1840_none_021224</v>
      </c>
      <c r="S761" s="67" t="str">
        <f>IFERROR(__xludf.DUMMYFUNCTION("""COMPUTED_VALUE"""),"saletructiep_Japan.M332.1840.giaotiep_PTATT_LD164")</f>
        <v>saletructiep_Japan.M332.1840.giaotiep_PTATT_LD164</v>
      </c>
      <c r="T761" s="107" t="str">
        <f>IFERROR(__xludf.DUMMYFUNCTION("""COMPUTED_VALUE"""),"https://patadovietnam.edu.vn/gtjapan_nhn3/?utm_source=Facebook&amp;utm_medium=CVS&amp;utm_term=NEW_Japan_1840_none_021224&amp;utm_content=saletructiep_Japan.M332.1840.giaotiep_PTATT_LD164&amp;utm_campaign=Japan.giaotiep.M332_16917_CVS_NamNH_021224")</f>
        <v>https://patadovietnam.edu.vn/gtjapan_nhn3/?utm_source=Facebook&amp;utm_medium=CVS&amp;utm_term=NEW_Japan_1840_none_021224&amp;utm_content=saletructiep_Japan.M332.1840.giaotiep_PTATT_LD164&amp;utm_campaign=Japan.giaotiep.M332_16917_CVS_NamNH_021224</v>
      </c>
      <c r="U761" s="118"/>
    </row>
    <row r="762">
      <c r="A762" s="72">
        <v>45628.0</v>
      </c>
      <c r="B762" s="75" t="s">
        <v>1245</v>
      </c>
      <c r="C762" s="67" t="str">
        <f>IFERROR(__xludf.DUMMYFUNCTION("""COMPUTED_VALUE"""),"LD161")</f>
        <v>LD161</v>
      </c>
      <c r="D762" s="55" t="s">
        <v>42</v>
      </c>
      <c r="E762" s="55" t="s">
        <v>79</v>
      </c>
      <c r="F762" s="55" t="s">
        <v>107</v>
      </c>
      <c r="G762" s="55">
        <v>1840.0</v>
      </c>
      <c r="H762" s="55" t="s">
        <v>1137</v>
      </c>
      <c r="I762" s="115" t="s">
        <v>1380</v>
      </c>
      <c r="J762" s="55" t="s">
        <v>6612</v>
      </c>
      <c r="K762" s="55" t="s">
        <v>61</v>
      </c>
      <c r="L762" s="55">
        <v>16917.0</v>
      </c>
      <c r="M762" s="55" t="s">
        <v>78</v>
      </c>
      <c r="N762" s="55" t="s">
        <v>79</v>
      </c>
      <c r="O762" s="55" t="s">
        <v>224</v>
      </c>
      <c r="P762" s="55" t="s">
        <v>110</v>
      </c>
      <c r="Q762" s="67" t="str">
        <f>IFERROR(__xludf.DUMMYFUNCTION("""COMPUTED_VALUE"""),"UnitedStates.giaotiep.M332_16917_MES_NamNH_021224")</f>
        <v>UnitedStates.giaotiep.M332_16917_MES_NamNH_021224</v>
      </c>
      <c r="R762" s="67" t="str">
        <f>IFERROR(__xludf.DUMMYFUNCTION("""COMPUTED_VALUE"""),"NEW_UnitedStates_1840_none_021224")</f>
        <v>NEW_UnitedStates_1840_none_021224</v>
      </c>
      <c r="S762" s="67" t="str">
        <f>IFERROR(__xludf.DUMMYFUNCTION("""COMPUTED_VALUE"""),"saletructiep_UnitedStates.M332.1840.giaotiep_PTATT_LD161")</f>
        <v>saletructiep_UnitedStates.M332.1840.giaotiep_PTATT_LD161</v>
      </c>
      <c r="T762" s="107" t="str">
        <f>IFERROR(__xludf.DUMMYFUNCTION("""COMPUTED_VALUE"""),"https://patadovietnam.edu.vn/gtusa1_nhn/?utm_source=Facebook&amp;utm_medium=MES&amp;utm_term=NEW_UnitedStates_1840_none_021224&amp;utm_content=saletructiep_UnitedStates.M332.1840.giaotiep_PTATT_LD161&amp;utm_campaign=UnitedStates.giaotiep.M332_16917_MES_NamNH_021224")</f>
        <v>https://patadovietnam.edu.vn/gtusa1_nhn/?utm_source=Facebook&amp;utm_medium=MES&amp;utm_term=NEW_UnitedStates_1840_none_021224&amp;utm_content=saletructiep_UnitedStates.M332.1840.giaotiep_PTATT_LD161&amp;utm_campaign=UnitedStates.giaotiep.M332_16917_MES_NamNH_021224</v>
      </c>
      <c r="U762" s="118"/>
    </row>
    <row r="763">
      <c r="A763" s="72">
        <v>45628.0</v>
      </c>
      <c r="B763" s="75" t="s">
        <v>1134</v>
      </c>
      <c r="C763" s="67" t="str">
        <f>IFERROR(__xludf.DUMMYFUNCTION("""COMPUTED_VALUE"""),"LD153")</f>
        <v>LD153</v>
      </c>
      <c r="D763" s="55" t="s">
        <v>42</v>
      </c>
      <c r="E763" s="55" t="s">
        <v>69</v>
      </c>
      <c r="F763" s="55" t="s">
        <v>674</v>
      </c>
      <c r="G763" s="55">
        <v>1840.0</v>
      </c>
      <c r="H763" s="55" t="s">
        <v>1137</v>
      </c>
      <c r="I763" s="115" t="s">
        <v>6613</v>
      </c>
      <c r="J763" s="55" t="s">
        <v>6614</v>
      </c>
      <c r="K763" s="55" t="s">
        <v>61</v>
      </c>
      <c r="L763" s="55">
        <v>16917.0</v>
      </c>
      <c r="M763" s="55" t="s">
        <v>78</v>
      </c>
      <c r="N763" s="55" t="s">
        <v>69</v>
      </c>
      <c r="O763" s="55" t="s">
        <v>224</v>
      </c>
      <c r="P763" s="55" t="s">
        <v>110</v>
      </c>
      <c r="Q763" s="67" t="str">
        <f>IFERROR(__xludf.DUMMYFUNCTION("""COMPUTED_VALUE"""),"Europe.giaotiep.M333_16917_CVS_NamNH_021224")</f>
        <v>Europe.giaotiep.M333_16917_CVS_NamNH_021224</v>
      </c>
      <c r="R763" s="67" t="str">
        <f>IFERROR(__xludf.DUMMYFUNCTION("""COMPUTED_VALUE"""),"NEW_Europe_1840_none_021224")</f>
        <v>NEW_Europe_1840_none_021224</v>
      </c>
      <c r="S763" s="67" t="str">
        <f>IFERROR(__xludf.DUMMYFUNCTION("""COMPUTED_VALUE"""),"saletructiep_Europe.M333.1840.giaotiep_PTATT_LD153")</f>
        <v>saletructiep_Europe.M333.1840.giaotiep_PTATT_LD153</v>
      </c>
      <c r="T763" s="107" t="str">
        <f>IFERROR(__xludf.DUMMYFUNCTION("""COMPUTED_VALUE"""),"https://patadovietnam.edu.vn/tienganhgiaotiep_hn/?utm_source=Facebook&amp;utm_medium=CVS&amp;utm_term=NEW_Europe_1840_none_021224&amp;utm_content=saletructiep_Europe.M333.1840.giaotiep_PTATT_LD153&amp;utm_campaign=Europe.giaotiep.M333_16917_CVS_NamNH_021224")</f>
        <v>https://patadovietnam.edu.vn/tienganhgiaotiep_hn/?utm_source=Facebook&amp;utm_medium=CVS&amp;utm_term=NEW_Europe_1840_none_021224&amp;utm_content=saletructiep_Europe.M333.1840.giaotiep_PTATT_LD153&amp;utm_campaign=Europe.giaotiep.M333_16917_CVS_NamNH_021224</v>
      </c>
      <c r="U763" s="118"/>
    </row>
    <row r="764">
      <c r="A764" s="72">
        <v>45628.0</v>
      </c>
      <c r="B764" s="75" t="s">
        <v>1229</v>
      </c>
      <c r="C764" s="67" t="str">
        <f>IFERROR(__xludf.DUMMYFUNCTION("""COMPUTED_VALUE"""),"LD164")</f>
        <v>LD164</v>
      </c>
      <c r="D764" s="55" t="s">
        <v>42</v>
      </c>
      <c r="E764" s="55" t="s">
        <v>69</v>
      </c>
      <c r="F764" s="55" t="s">
        <v>133</v>
      </c>
      <c r="G764" s="55">
        <v>1840.0</v>
      </c>
      <c r="H764" s="55" t="s">
        <v>1137</v>
      </c>
      <c r="I764" s="115" t="s">
        <v>6615</v>
      </c>
      <c r="J764" s="55" t="s">
        <v>6616</v>
      </c>
      <c r="K764" s="55" t="s">
        <v>61</v>
      </c>
      <c r="L764" s="55">
        <v>16917.0</v>
      </c>
      <c r="M764" s="55" t="s">
        <v>78</v>
      </c>
      <c r="N764" s="55" t="s">
        <v>69</v>
      </c>
      <c r="O764" s="55" t="s">
        <v>224</v>
      </c>
      <c r="P764" s="55" t="s">
        <v>110</v>
      </c>
      <c r="Q764" s="67" t="str">
        <f>IFERROR(__xludf.DUMMYFUNCTION("""COMPUTED_VALUE"""),"Japan.giaotiep.M333_16917_CVS_NamNH_021224")</f>
        <v>Japan.giaotiep.M333_16917_CVS_NamNH_021224</v>
      </c>
      <c r="R764" s="67" t="str">
        <f>IFERROR(__xludf.DUMMYFUNCTION("""COMPUTED_VALUE"""),"NEW_Japan_1840_none_021224")</f>
        <v>NEW_Japan_1840_none_021224</v>
      </c>
      <c r="S764" s="67" t="str">
        <f>IFERROR(__xludf.DUMMYFUNCTION("""COMPUTED_VALUE"""),"saletructiep_Japan.M333.1840.giaotiep_PTATT_LD164")</f>
        <v>saletructiep_Japan.M333.1840.giaotiep_PTATT_LD164</v>
      </c>
      <c r="T764" s="107" t="str">
        <f>IFERROR(__xludf.DUMMYFUNCTION("""COMPUTED_VALUE"""),"https://patadovietnam.edu.vn/gtjapan_nhn3/?utm_source=Facebook&amp;utm_medium=CVS&amp;utm_term=NEW_Japan_1840_none_021224&amp;utm_content=saletructiep_Japan.M333.1840.giaotiep_PTATT_LD164&amp;utm_campaign=Japan.giaotiep.M333_16917_CVS_NamNH_021224")</f>
        <v>https://patadovietnam.edu.vn/gtjapan_nhn3/?utm_source=Facebook&amp;utm_medium=CVS&amp;utm_term=NEW_Japan_1840_none_021224&amp;utm_content=saletructiep_Japan.M333.1840.giaotiep_PTATT_LD164&amp;utm_campaign=Japan.giaotiep.M333_16917_CVS_NamNH_021224</v>
      </c>
      <c r="U764" s="118"/>
    </row>
    <row r="765">
      <c r="A765" s="72">
        <v>45628.0</v>
      </c>
      <c r="B765" s="75" t="s">
        <v>1245</v>
      </c>
      <c r="C765" s="67" t="str">
        <f>IFERROR(__xludf.DUMMYFUNCTION("""COMPUTED_VALUE"""),"LD161")</f>
        <v>LD161</v>
      </c>
      <c r="D765" s="55" t="s">
        <v>42</v>
      </c>
      <c r="E765" s="55" t="s">
        <v>79</v>
      </c>
      <c r="F765" s="55" t="s">
        <v>107</v>
      </c>
      <c r="G765" s="55">
        <v>1840.0</v>
      </c>
      <c r="H765" s="55" t="s">
        <v>1137</v>
      </c>
      <c r="I765" s="115" t="s">
        <v>6617</v>
      </c>
      <c r="J765" s="55" t="s">
        <v>6618</v>
      </c>
      <c r="K765" s="55" t="s">
        <v>61</v>
      </c>
      <c r="L765" s="55">
        <v>16917.0</v>
      </c>
      <c r="M765" s="55" t="s">
        <v>78</v>
      </c>
      <c r="N765" s="55" t="s">
        <v>79</v>
      </c>
      <c r="O765" s="55" t="s">
        <v>224</v>
      </c>
      <c r="P765" s="55" t="s">
        <v>110</v>
      </c>
      <c r="Q765" s="67" t="str">
        <f>IFERROR(__xludf.DUMMYFUNCTION("""COMPUTED_VALUE"""),"UnitedStates.giaotiep.M333_16917_MES_NamNH_021224")</f>
        <v>UnitedStates.giaotiep.M333_16917_MES_NamNH_021224</v>
      </c>
      <c r="R765" s="67" t="str">
        <f>IFERROR(__xludf.DUMMYFUNCTION("""COMPUTED_VALUE"""),"NEW_UnitedStates_1840_none_021224")</f>
        <v>NEW_UnitedStates_1840_none_021224</v>
      </c>
      <c r="S765" s="67" t="str">
        <f>IFERROR(__xludf.DUMMYFUNCTION("""COMPUTED_VALUE"""),"saletructiep_UnitedStates.M333.1840.giaotiep_PTATT_LD161")</f>
        <v>saletructiep_UnitedStates.M333.1840.giaotiep_PTATT_LD161</v>
      </c>
      <c r="T765" s="107" t="str">
        <f>IFERROR(__xludf.DUMMYFUNCTION("""COMPUTED_VALUE"""),"https://patadovietnam.edu.vn/gtusa1_nhn/?utm_source=Facebook&amp;utm_medium=MES&amp;utm_term=NEW_UnitedStates_1840_none_021224&amp;utm_content=saletructiep_UnitedStates.M333.1840.giaotiep_PTATT_LD161&amp;utm_campaign=UnitedStates.giaotiep.M333_16917_MES_NamNH_021224")</f>
        <v>https://patadovietnam.edu.vn/gtusa1_nhn/?utm_source=Facebook&amp;utm_medium=MES&amp;utm_term=NEW_UnitedStates_1840_none_021224&amp;utm_content=saletructiep_UnitedStates.M333.1840.giaotiep_PTATT_LD161&amp;utm_campaign=UnitedStates.giaotiep.M333_16917_MES_NamNH_021224</v>
      </c>
      <c r="U765" s="118"/>
    </row>
    <row r="766">
      <c r="A766" s="72">
        <v>45628.0</v>
      </c>
      <c r="B766" s="75" t="s">
        <v>1134</v>
      </c>
      <c r="C766" s="67" t="str">
        <f>IFERROR(__xludf.DUMMYFUNCTION("""COMPUTED_VALUE"""),"LD153")</f>
        <v>LD153</v>
      </c>
      <c r="D766" s="55" t="s">
        <v>42</v>
      </c>
      <c r="E766" s="55" t="s">
        <v>69</v>
      </c>
      <c r="F766" s="55" t="s">
        <v>674</v>
      </c>
      <c r="G766" s="55">
        <v>1840.0</v>
      </c>
      <c r="H766" s="55" t="s">
        <v>1137</v>
      </c>
      <c r="I766" s="115" t="s">
        <v>6619</v>
      </c>
      <c r="J766" s="55" t="s">
        <v>6620</v>
      </c>
      <c r="K766" s="55" t="s">
        <v>61</v>
      </c>
      <c r="L766" s="55">
        <v>16917.0</v>
      </c>
      <c r="M766" s="55" t="s">
        <v>78</v>
      </c>
      <c r="N766" s="55" t="s">
        <v>69</v>
      </c>
      <c r="O766" s="55" t="s">
        <v>224</v>
      </c>
      <c r="P766" s="55" t="s">
        <v>110</v>
      </c>
      <c r="Q766" s="67" t="str">
        <f>IFERROR(__xludf.DUMMYFUNCTION("""COMPUTED_VALUE"""),"Europe.giaotiep.M324_16917_CVS_NamNH_021224")</f>
        <v>Europe.giaotiep.M324_16917_CVS_NamNH_021224</v>
      </c>
      <c r="R766" s="67" t="str">
        <f>IFERROR(__xludf.DUMMYFUNCTION("""COMPUTED_VALUE"""),"NEW_Europe_1840_none_021224")</f>
        <v>NEW_Europe_1840_none_021224</v>
      </c>
      <c r="S766" s="67" t="str">
        <f>IFERROR(__xludf.DUMMYFUNCTION("""COMPUTED_VALUE"""),"saletructiep_Europe.M324.1840.giaotiep_PTATT_LD153")</f>
        <v>saletructiep_Europe.M324.1840.giaotiep_PTATT_LD153</v>
      </c>
      <c r="T766" s="107" t="str">
        <f>IFERROR(__xludf.DUMMYFUNCTION("""COMPUTED_VALUE"""),"https://patadovietnam.edu.vn/tienganhgiaotiep_hn/?utm_source=Facebook&amp;utm_medium=CVS&amp;utm_term=NEW_Europe_1840_none_021224&amp;utm_content=saletructiep_Europe.M324.1840.giaotiep_PTATT_LD153&amp;utm_campaign=Europe.giaotiep.M324_16917_CVS_NamNH_021224")</f>
        <v>https://patadovietnam.edu.vn/tienganhgiaotiep_hn/?utm_source=Facebook&amp;utm_medium=CVS&amp;utm_term=NEW_Europe_1840_none_021224&amp;utm_content=saletructiep_Europe.M324.1840.giaotiep_PTATT_LD153&amp;utm_campaign=Europe.giaotiep.M324_16917_CVS_NamNH_021224</v>
      </c>
      <c r="U766" s="118"/>
    </row>
    <row r="767">
      <c r="A767" s="72">
        <v>45628.0</v>
      </c>
      <c r="B767" s="75" t="s">
        <v>1229</v>
      </c>
      <c r="C767" s="67" t="str">
        <f>IFERROR(__xludf.DUMMYFUNCTION("""COMPUTED_VALUE"""),"LD164")</f>
        <v>LD164</v>
      </c>
      <c r="D767" s="55" t="s">
        <v>42</v>
      </c>
      <c r="E767" s="55" t="s">
        <v>69</v>
      </c>
      <c r="F767" s="55" t="s">
        <v>133</v>
      </c>
      <c r="G767" s="55">
        <v>1840.0</v>
      </c>
      <c r="H767" s="55" t="s">
        <v>1137</v>
      </c>
      <c r="I767" s="115" t="s">
        <v>6621</v>
      </c>
      <c r="J767" s="55" t="s">
        <v>6622</v>
      </c>
      <c r="K767" s="55" t="s">
        <v>61</v>
      </c>
      <c r="L767" s="55">
        <v>16917.0</v>
      </c>
      <c r="M767" s="55" t="s">
        <v>78</v>
      </c>
      <c r="N767" s="55" t="s">
        <v>69</v>
      </c>
      <c r="O767" s="55" t="s">
        <v>224</v>
      </c>
      <c r="P767" s="55" t="s">
        <v>110</v>
      </c>
      <c r="Q767" s="67" t="str">
        <f>IFERROR(__xludf.DUMMYFUNCTION("""COMPUTED_VALUE"""),"Japan.giaotiep.M324_16917_CVS_NamNH_021224")</f>
        <v>Japan.giaotiep.M324_16917_CVS_NamNH_021224</v>
      </c>
      <c r="R767" s="67" t="str">
        <f>IFERROR(__xludf.DUMMYFUNCTION("""COMPUTED_VALUE"""),"NEW_Japan_1840_none_021224")</f>
        <v>NEW_Japan_1840_none_021224</v>
      </c>
      <c r="S767" s="67" t="str">
        <f>IFERROR(__xludf.DUMMYFUNCTION("""COMPUTED_VALUE"""),"saletructiep_Japan.M324.1840.giaotiep_PTATT_LD164")</f>
        <v>saletructiep_Japan.M324.1840.giaotiep_PTATT_LD164</v>
      </c>
      <c r="T767" s="107" t="str">
        <f>IFERROR(__xludf.DUMMYFUNCTION("""COMPUTED_VALUE"""),"https://patadovietnam.edu.vn/gtjapan_nhn3/?utm_source=Facebook&amp;utm_medium=CVS&amp;utm_term=NEW_Japan_1840_none_021224&amp;utm_content=saletructiep_Japan.M324.1840.giaotiep_PTATT_LD164&amp;utm_campaign=Japan.giaotiep.M324_16917_CVS_NamNH_021224")</f>
        <v>https://patadovietnam.edu.vn/gtjapan_nhn3/?utm_source=Facebook&amp;utm_medium=CVS&amp;utm_term=NEW_Japan_1840_none_021224&amp;utm_content=saletructiep_Japan.M324.1840.giaotiep_PTATT_LD164&amp;utm_campaign=Japan.giaotiep.M324_16917_CVS_NamNH_021224</v>
      </c>
      <c r="U767" s="118"/>
    </row>
    <row r="768">
      <c r="A768" s="72">
        <v>45628.0</v>
      </c>
      <c r="B768" s="75" t="s">
        <v>1134</v>
      </c>
      <c r="C768" s="67" t="str">
        <f>IFERROR(__xludf.DUMMYFUNCTION("""COMPUTED_VALUE"""),"LD153")</f>
        <v>LD153</v>
      </c>
      <c r="D768" s="55" t="s">
        <v>42</v>
      </c>
      <c r="E768" s="55" t="s">
        <v>79</v>
      </c>
      <c r="F768" s="55" t="s">
        <v>625</v>
      </c>
      <c r="G768" s="55">
        <v>1840.0</v>
      </c>
      <c r="H768" s="55" t="s">
        <v>1137</v>
      </c>
      <c r="I768" s="115" t="s">
        <v>6623</v>
      </c>
      <c r="J768" s="55" t="s">
        <v>6624</v>
      </c>
      <c r="K768" s="55" t="s">
        <v>61</v>
      </c>
      <c r="L768" s="55">
        <v>16917.0</v>
      </c>
      <c r="M768" s="55" t="s">
        <v>78</v>
      </c>
      <c r="N768" s="55" t="s">
        <v>79</v>
      </c>
      <c r="O768" s="55" t="s">
        <v>224</v>
      </c>
      <c r="P768" s="55" t="s">
        <v>110</v>
      </c>
      <c r="Q768" s="67" t="str">
        <f>IFERROR(__xludf.DUMMYFUNCTION("""COMPUTED_VALUE"""),"KoreaSouth.giaotiep.M324_16917_MES_NamNH_021224")</f>
        <v>KoreaSouth.giaotiep.M324_16917_MES_NamNH_021224</v>
      </c>
      <c r="R768" s="67" t="str">
        <f>IFERROR(__xludf.DUMMYFUNCTION("""COMPUTED_VALUE"""),"NEW_KoreaSouth_1840_none_021224")</f>
        <v>NEW_KoreaSouth_1840_none_021224</v>
      </c>
      <c r="S768" s="67" t="str">
        <f>IFERROR(__xludf.DUMMYFUNCTION("""COMPUTED_VALUE"""),"saletructiep_KoreaSouth.M324.1840.giaotiep_PTATT_LD153")</f>
        <v>saletructiep_KoreaSouth.M324.1840.giaotiep_PTATT_LD153</v>
      </c>
      <c r="T768" s="107" t="str">
        <f>IFERROR(__xludf.DUMMYFUNCTION("""COMPUTED_VALUE"""),"https://patadovietnam.edu.vn/tienganhgiaotiep_hn/?utm_source=Facebook&amp;utm_medium=MES&amp;utm_term=NEW_KoreaSouth_1840_none_021224&amp;utm_content=saletructiep_KoreaSouth.M324.1840.giaotiep_PTATT_LD153&amp;utm_campaign=KoreaSouth.giaotiep.M324_16917_MES_NamNH_021224")</f>
        <v>https://patadovietnam.edu.vn/tienganhgiaotiep_hn/?utm_source=Facebook&amp;utm_medium=MES&amp;utm_term=NEW_KoreaSouth_1840_none_021224&amp;utm_content=saletructiep_KoreaSouth.M324.1840.giaotiep_PTATT_LD153&amp;utm_campaign=KoreaSouth.giaotiep.M324_16917_MES_NamNH_021224</v>
      </c>
      <c r="U768" s="118"/>
    </row>
    <row r="769">
      <c r="A769" s="72">
        <v>45628.0</v>
      </c>
      <c r="B769" s="60" t="s">
        <v>1134</v>
      </c>
      <c r="C769" s="67" t="str">
        <f>IFERROR(__xludf.DUMMYFUNCTION("""COMPUTED_VALUE"""),"LD153")</f>
        <v>LD153</v>
      </c>
      <c r="D769" s="55" t="s">
        <v>42</v>
      </c>
      <c r="E769" s="55" t="s">
        <v>79</v>
      </c>
      <c r="F769" s="55" t="s">
        <v>174</v>
      </c>
      <c r="G769" s="55">
        <v>1840.0</v>
      </c>
      <c r="H769" s="55" t="s">
        <v>1137</v>
      </c>
      <c r="I769" s="115" t="s">
        <v>6625</v>
      </c>
      <c r="J769" s="55" t="s">
        <v>6626</v>
      </c>
      <c r="K769" s="55" t="s">
        <v>61</v>
      </c>
      <c r="L769" s="55">
        <v>16917.0</v>
      </c>
      <c r="M769" s="55" t="s">
        <v>78</v>
      </c>
      <c r="N769" s="55" t="s">
        <v>79</v>
      </c>
      <c r="O769" s="55" t="s">
        <v>224</v>
      </c>
      <c r="P769" s="55" t="s">
        <v>110</v>
      </c>
      <c r="Q769" s="67" t="str">
        <f>IFERROR(__xludf.DUMMYFUNCTION("""COMPUTED_VALUE"""),"Philippines.giaotiep.M324_16917_MES_NamNH_021224")</f>
        <v>Philippines.giaotiep.M324_16917_MES_NamNH_021224</v>
      </c>
      <c r="R769" s="67" t="str">
        <f>IFERROR(__xludf.DUMMYFUNCTION("""COMPUTED_VALUE"""),"NEW_Philippines_1840_none_021224")</f>
        <v>NEW_Philippines_1840_none_021224</v>
      </c>
      <c r="S769" s="67" t="str">
        <f>IFERROR(__xludf.DUMMYFUNCTION("""COMPUTED_VALUE"""),"saletructiep_Philippines.M324.1840.giaotiep_PTATT_LD153")</f>
        <v>saletructiep_Philippines.M324.1840.giaotiep_PTATT_LD153</v>
      </c>
      <c r="T769" s="107" t="str">
        <f>IFERROR(__xludf.DUMMYFUNCTION("""COMPUTED_VALUE"""),"https://patadovietnam.edu.vn/tienganhgiaotiep_hn/?utm_source=Facebook&amp;utm_medium=MES&amp;utm_term=NEW_Philippines_1840_none_021224&amp;utm_content=saletructiep_Philippines.M324.1840.giaotiep_PTATT_LD153&amp;utm_campaign=Philippines.giaotiep.M324_16917_MES_NamNH_02122"&amp;"4")</f>
        <v>https://patadovietnam.edu.vn/tienganhgiaotiep_hn/?utm_source=Facebook&amp;utm_medium=MES&amp;utm_term=NEW_Philippines_1840_none_021224&amp;utm_content=saletructiep_Philippines.M324.1840.giaotiep_PTATT_LD153&amp;utm_campaign=Philippines.giaotiep.M324_16917_MES_NamNH_021224</v>
      </c>
      <c r="U769" s="118"/>
    </row>
    <row r="770">
      <c r="A770" s="72">
        <v>45628.0</v>
      </c>
      <c r="B770" s="75" t="s">
        <v>1134</v>
      </c>
      <c r="C770" s="67" t="str">
        <f>IFERROR(__xludf.DUMMYFUNCTION("""COMPUTED_VALUE"""),"LD153")</f>
        <v>LD153</v>
      </c>
      <c r="D770" s="55" t="s">
        <v>42</v>
      </c>
      <c r="E770" s="55" t="s">
        <v>79</v>
      </c>
      <c r="F770" s="55" t="s">
        <v>164</v>
      </c>
      <c r="G770" s="55">
        <v>1840.0</v>
      </c>
      <c r="H770" s="55" t="s">
        <v>1137</v>
      </c>
      <c r="I770" s="115" t="s">
        <v>6627</v>
      </c>
      <c r="J770" s="55" t="s">
        <v>6628</v>
      </c>
      <c r="K770" s="55" t="s">
        <v>61</v>
      </c>
      <c r="L770" s="55">
        <v>16917.0</v>
      </c>
      <c r="M770" s="55" t="s">
        <v>78</v>
      </c>
      <c r="N770" s="55" t="s">
        <v>79</v>
      </c>
      <c r="O770" s="55" t="s">
        <v>224</v>
      </c>
      <c r="P770" s="55" t="s">
        <v>110</v>
      </c>
      <c r="Q770" s="67" t="str">
        <f>IFERROR(__xludf.DUMMYFUNCTION("""COMPUTED_VALUE"""),"Taiwan.giaotiep.M324_16917_MES_NamNH_021224")</f>
        <v>Taiwan.giaotiep.M324_16917_MES_NamNH_021224</v>
      </c>
      <c r="R770" s="67" t="str">
        <f>IFERROR(__xludf.DUMMYFUNCTION("""COMPUTED_VALUE"""),"NEW_Taiwan_1840_none_021224")</f>
        <v>NEW_Taiwan_1840_none_021224</v>
      </c>
      <c r="S770" s="67" t="str">
        <f>IFERROR(__xludf.DUMMYFUNCTION("""COMPUTED_VALUE"""),"saletructiep_Taiwan.M324.1840.giaotiep_PTATT_LD153")</f>
        <v>saletructiep_Taiwan.M324.1840.giaotiep_PTATT_LD153</v>
      </c>
      <c r="T770" s="107" t="str">
        <f>IFERROR(__xludf.DUMMYFUNCTION("""COMPUTED_VALUE"""),"https://patadovietnam.edu.vn/tienganhgiaotiep_hn/?utm_source=Facebook&amp;utm_medium=MES&amp;utm_term=NEW_Taiwan_1840_none_021224&amp;utm_content=saletructiep_Taiwan.M324.1840.giaotiep_PTATT_LD153&amp;utm_campaign=Taiwan.giaotiep.M324_16917_MES_NamNH_021224")</f>
        <v>https://patadovietnam.edu.vn/tienganhgiaotiep_hn/?utm_source=Facebook&amp;utm_medium=MES&amp;utm_term=NEW_Taiwan_1840_none_021224&amp;utm_content=saletructiep_Taiwan.M324.1840.giaotiep_PTATT_LD153&amp;utm_campaign=Taiwan.giaotiep.M324_16917_MES_NamNH_021224</v>
      </c>
      <c r="U770" s="118"/>
    </row>
    <row r="771">
      <c r="A771" s="72">
        <v>45628.0</v>
      </c>
      <c r="B771" s="75" t="s">
        <v>1134</v>
      </c>
      <c r="C771" s="67" t="str">
        <f>IFERROR(__xludf.DUMMYFUNCTION("""COMPUTED_VALUE"""),"LD153")</f>
        <v>LD153</v>
      </c>
      <c r="D771" s="55" t="s">
        <v>42</v>
      </c>
      <c r="E771" s="55" t="s">
        <v>79</v>
      </c>
      <c r="F771" s="55" t="s">
        <v>625</v>
      </c>
      <c r="G771" s="55">
        <v>1840.0</v>
      </c>
      <c r="H771" s="55" t="s">
        <v>1137</v>
      </c>
      <c r="I771" s="115" t="s">
        <v>6629</v>
      </c>
      <c r="J771" s="55" t="s">
        <v>6630</v>
      </c>
      <c r="K771" s="55" t="s">
        <v>61</v>
      </c>
      <c r="L771" s="55">
        <v>16917.0</v>
      </c>
      <c r="M771" s="55" t="s">
        <v>78</v>
      </c>
      <c r="N771" s="55" t="s">
        <v>79</v>
      </c>
      <c r="O771" s="55" t="s">
        <v>224</v>
      </c>
      <c r="P771" s="55" t="s">
        <v>110</v>
      </c>
      <c r="Q771" s="67" t="str">
        <f>IFERROR(__xludf.DUMMYFUNCTION("""COMPUTED_VALUE"""),"KoreaSouth.giaotiep.M331_16917_MES_NamNH_021224")</f>
        <v>KoreaSouth.giaotiep.M331_16917_MES_NamNH_021224</v>
      </c>
      <c r="R771" s="67" t="str">
        <f>IFERROR(__xludf.DUMMYFUNCTION("""COMPUTED_VALUE"""),"NEW_KoreaSouth_1840_none_021224")</f>
        <v>NEW_KoreaSouth_1840_none_021224</v>
      </c>
      <c r="S771" s="67" t="str">
        <f>IFERROR(__xludf.DUMMYFUNCTION("""COMPUTED_VALUE"""),"saletructiep_KoreaSouth.M331.1840.giaotiep_PTATT_LD153")</f>
        <v>saletructiep_KoreaSouth.M331.1840.giaotiep_PTATT_LD153</v>
      </c>
      <c r="T771" s="107" t="str">
        <f>IFERROR(__xludf.DUMMYFUNCTION("""COMPUTED_VALUE"""),"https://patadovietnam.edu.vn/tienganhgiaotiep_hn/?utm_source=Facebook&amp;utm_medium=MES&amp;utm_term=NEW_KoreaSouth_1840_none_021224&amp;utm_content=saletructiep_KoreaSouth.M331.1840.giaotiep_PTATT_LD153&amp;utm_campaign=KoreaSouth.giaotiep.M331_16917_MES_NamNH_021224")</f>
        <v>https://patadovietnam.edu.vn/tienganhgiaotiep_hn/?utm_source=Facebook&amp;utm_medium=MES&amp;utm_term=NEW_KoreaSouth_1840_none_021224&amp;utm_content=saletructiep_KoreaSouth.M331.1840.giaotiep_PTATT_LD153&amp;utm_campaign=KoreaSouth.giaotiep.M331_16917_MES_NamNH_021224</v>
      </c>
      <c r="U771" s="118"/>
    </row>
    <row r="772">
      <c r="A772" s="72">
        <v>45628.0</v>
      </c>
      <c r="B772" s="60" t="s">
        <v>1134</v>
      </c>
      <c r="C772" s="67" t="str">
        <f>IFERROR(__xludf.DUMMYFUNCTION("""COMPUTED_VALUE"""),"LD153")</f>
        <v>LD153</v>
      </c>
      <c r="D772" s="55" t="s">
        <v>42</v>
      </c>
      <c r="E772" s="55" t="s">
        <v>79</v>
      </c>
      <c r="F772" s="55" t="s">
        <v>174</v>
      </c>
      <c r="G772" s="55">
        <v>1840.0</v>
      </c>
      <c r="H772" s="55" t="s">
        <v>1137</v>
      </c>
      <c r="I772" s="115" t="s">
        <v>6631</v>
      </c>
      <c r="J772" s="55" t="s">
        <v>6632</v>
      </c>
      <c r="K772" s="55" t="s">
        <v>61</v>
      </c>
      <c r="L772" s="55">
        <v>16917.0</v>
      </c>
      <c r="M772" s="55" t="s">
        <v>78</v>
      </c>
      <c r="N772" s="55" t="s">
        <v>79</v>
      </c>
      <c r="O772" s="55" t="s">
        <v>224</v>
      </c>
      <c r="P772" s="55" t="s">
        <v>110</v>
      </c>
      <c r="Q772" s="67" t="str">
        <f>IFERROR(__xludf.DUMMYFUNCTION("""COMPUTED_VALUE"""),"Philippines.giaotiep.M331_16917_MES_NamNH_021224")</f>
        <v>Philippines.giaotiep.M331_16917_MES_NamNH_021224</v>
      </c>
      <c r="R772" s="67" t="str">
        <f>IFERROR(__xludf.DUMMYFUNCTION("""COMPUTED_VALUE"""),"NEW_Philippines_1840_none_021224")</f>
        <v>NEW_Philippines_1840_none_021224</v>
      </c>
      <c r="S772" s="67" t="str">
        <f>IFERROR(__xludf.DUMMYFUNCTION("""COMPUTED_VALUE"""),"saletructiep_Philippines.M331.1840.giaotiep_PTATT_LD153")</f>
        <v>saletructiep_Philippines.M331.1840.giaotiep_PTATT_LD153</v>
      </c>
      <c r="T772" s="107" t="str">
        <f>IFERROR(__xludf.DUMMYFUNCTION("""COMPUTED_VALUE"""),"https://patadovietnam.edu.vn/tienganhgiaotiep_hn/?utm_source=Facebook&amp;utm_medium=MES&amp;utm_term=NEW_Philippines_1840_none_021224&amp;utm_content=saletructiep_Philippines.M331.1840.giaotiep_PTATT_LD153&amp;utm_campaign=Philippines.giaotiep.M331_16917_MES_NamNH_02122"&amp;"4")</f>
        <v>https://patadovietnam.edu.vn/tienganhgiaotiep_hn/?utm_source=Facebook&amp;utm_medium=MES&amp;utm_term=NEW_Philippines_1840_none_021224&amp;utm_content=saletructiep_Philippines.M331.1840.giaotiep_PTATT_LD153&amp;utm_campaign=Philippines.giaotiep.M331_16917_MES_NamNH_021224</v>
      </c>
      <c r="U772" s="118"/>
    </row>
    <row r="773">
      <c r="A773" s="72">
        <v>45628.0</v>
      </c>
      <c r="B773" s="75" t="s">
        <v>1134</v>
      </c>
      <c r="C773" s="67" t="str">
        <f>IFERROR(__xludf.DUMMYFUNCTION("""COMPUTED_VALUE"""),"LD153")</f>
        <v>LD153</v>
      </c>
      <c r="D773" s="55" t="s">
        <v>42</v>
      </c>
      <c r="E773" s="55" t="s">
        <v>79</v>
      </c>
      <c r="F773" s="55" t="s">
        <v>164</v>
      </c>
      <c r="G773" s="55">
        <v>1840.0</v>
      </c>
      <c r="H773" s="55" t="s">
        <v>1137</v>
      </c>
      <c r="I773" s="115" t="s">
        <v>6633</v>
      </c>
      <c r="J773" s="55" t="s">
        <v>6634</v>
      </c>
      <c r="K773" s="55" t="s">
        <v>61</v>
      </c>
      <c r="L773" s="55">
        <v>16917.0</v>
      </c>
      <c r="M773" s="55" t="s">
        <v>78</v>
      </c>
      <c r="N773" s="55" t="s">
        <v>79</v>
      </c>
      <c r="O773" s="55" t="s">
        <v>224</v>
      </c>
      <c r="P773" s="55" t="s">
        <v>110</v>
      </c>
      <c r="Q773" s="67" t="str">
        <f>IFERROR(__xludf.DUMMYFUNCTION("""COMPUTED_VALUE"""),"Taiwan.giaotiep.M331_16917_MES_NamNH_021224")</f>
        <v>Taiwan.giaotiep.M331_16917_MES_NamNH_021224</v>
      </c>
      <c r="R773" s="67" t="str">
        <f>IFERROR(__xludf.DUMMYFUNCTION("""COMPUTED_VALUE"""),"NEW_Taiwan_1840_none_021224")</f>
        <v>NEW_Taiwan_1840_none_021224</v>
      </c>
      <c r="S773" s="67" t="str">
        <f>IFERROR(__xludf.DUMMYFUNCTION("""COMPUTED_VALUE"""),"saletructiep_Taiwan.M331.1840.giaotiep_PTATT_LD153")</f>
        <v>saletructiep_Taiwan.M331.1840.giaotiep_PTATT_LD153</v>
      </c>
      <c r="T773" s="107" t="str">
        <f>IFERROR(__xludf.DUMMYFUNCTION("""COMPUTED_VALUE"""),"https://patadovietnam.edu.vn/tienganhgiaotiep_hn/?utm_source=Facebook&amp;utm_medium=MES&amp;utm_term=NEW_Taiwan_1840_none_021224&amp;utm_content=saletructiep_Taiwan.M331.1840.giaotiep_PTATT_LD153&amp;utm_campaign=Taiwan.giaotiep.M331_16917_MES_NamNH_021224")</f>
        <v>https://patadovietnam.edu.vn/tienganhgiaotiep_hn/?utm_source=Facebook&amp;utm_medium=MES&amp;utm_term=NEW_Taiwan_1840_none_021224&amp;utm_content=saletructiep_Taiwan.M331.1840.giaotiep_PTATT_LD153&amp;utm_campaign=Taiwan.giaotiep.M331_16917_MES_NamNH_021224</v>
      </c>
      <c r="U773" s="118"/>
    </row>
    <row r="774">
      <c r="A774" s="72">
        <v>45628.0</v>
      </c>
      <c r="B774" s="75" t="s">
        <v>1245</v>
      </c>
      <c r="C774" s="67" t="str">
        <f>IFERROR(__xludf.DUMMYFUNCTION("""COMPUTED_VALUE"""),"LD161")</f>
        <v>LD161</v>
      </c>
      <c r="D774" s="55" t="s">
        <v>42</v>
      </c>
      <c r="E774" s="55" t="s">
        <v>79</v>
      </c>
      <c r="F774" s="55" t="s">
        <v>107</v>
      </c>
      <c r="G774" s="55">
        <v>2050.0</v>
      </c>
      <c r="H774" s="55" t="s">
        <v>1137</v>
      </c>
      <c r="I774" s="115" t="s">
        <v>6635</v>
      </c>
      <c r="J774" s="55" t="s">
        <v>6636</v>
      </c>
      <c r="K774" s="55" t="s">
        <v>61</v>
      </c>
      <c r="L774" s="55">
        <v>16917.0</v>
      </c>
      <c r="M774" s="55" t="s">
        <v>78</v>
      </c>
      <c r="N774" s="55" t="s">
        <v>79</v>
      </c>
      <c r="O774" s="55" t="s">
        <v>224</v>
      </c>
      <c r="P774" s="55" t="s">
        <v>110</v>
      </c>
      <c r="Q774" s="67" t="str">
        <f>IFERROR(__xludf.DUMMYFUNCTION("""COMPUTED_VALUE"""),"UnitedStates.giaotiep.M336_16917_MES_NamNH_021224")</f>
        <v>UnitedStates.giaotiep.M336_16917_MES_NamNH_021224</v>
      </c>
      <c r="R774" s="67" t="str">
        <f>IFERROR(__xludf.DUMMYFUNCTION("""COMPUTED_VALUE"""),"NEW_UnitedStates_2050_none_021224")</f>
        <v>NEW_UnitedStates_2050_none_021224</v>
      </c>
      <c r="S774" s="67" t="str">
        <f>IFERROR(__xludf.DUMMYFUNCTION("""COMPUTED_VALUE"""),"saletructiep_UnitedStates.M336.1840.giaotiep_PTATT_LD161")</f>
        <v>saletructiep_UnitedStates.M336.1840.giaotiep_PTATT_LD161</v>
      </c>
      <c r="T774" s="107" t="str">
        <f>IFERROR(__xludf.DUMMYFUNCTION("""COMPUTED_VALUE"""),"https://patadovietnam.edu.vn/gtusa1_nhn/?utm_source=Facebook&amp;utm_medium=MES&amp;utm_term=NEW_UnitedStates_2050_none_021224&amp;utm_content=saletructiep_UnitedStates.M336.1840.giaotiep_PTATT_LD161&amp;utm_campaign=UnitedStates.giaotiep.M336_16917_MES_NamNH_021224")</f>
        <v>https://patadovietnam.edu.vn/gtusa1_nhn/?utm_source=Facebook&amp;utm_medium=MES&amp;utm_term=NEW_UnitedStates_2050_none_021224&amp;utm_content=saletructiep_UnitedStates.M336.1840.giaotiep_PTATT_LD161&amp;utm_campaign=UnitedStates.giaotiep.M336_16917_MES_NamNH_021224</v>
      </c>
      <c r="U774" s="118"/>
    </row>
    <row r="775">
      <c r="A775" s="72">
        <v>45632.0</v>
      </c>
      <c r="B775" s="75" t="s">
        <v>1134</v>
      </c>
      <c r="C775" s="67" t="str">
        <f>IFERROR(__xludf.DUMMYFUNCTION("""COMPUTED_VALUE"""),"LD153")</f>
        <v>LD153</v>
      </c>
      <c r="D775" s="55" t="s">
        <v>42</v>
      </c>
      <c r="E775" s="55" t="s">
        <v>69</v>
      </c>
      <c r="F775" s="55" t="s">
        <v>674</v>
      </c>
      <c r="G775" s="55">
        <v>1840.0</v>
      </c>
      <c r="H775" s="55" t="s">
        <v>1137</v>
      </c>
      <c r="I775" s="115" t="s">
        <v>6637</v>
      </c>
      <c r="J775" s="55" t="s">
        <v>6638</v>
      </c>
      <c r="K775" s="55" t="s">
        <v>61</v>
      </c>
      <c r="L775" s="55">
        <v>16917.0</v>
      </c>
      <c r="M775" s="55" t="s">
        <v>78</v>
      </c>
      <c r="N775" s="55" t="s">
        <v>69</v>
      </c>
      <c r="O775" s="55" t="s">
        <v>224</v>
      </c>
      <c r="P775" s="55" t="s">
        <v>110</v>
      </c>
      <c r="Q775" s="67" t="str">
        <f>IFERROR(__xludf.DUMMYFUNCTION("""COMPUTED_VALUE"""),"Europe.giaotiep.M336_16917_CVS_NamNH_061224")</f>
        <v>Europe.giaotiep.M336_16917_CVS_NamNH_061224</v>
      </c>
      <c r="R775" s="67" t="str">
        <f>IFERROR(__xludf.DUMMYFUNCTION("""COMPUTED_VALUE"""),"NEW_Europe_1840_none_061224")</f>
        <v>NEW_Europe_1840_none_061224</v>
      </c>
      <c r="S775" s="67" t="str">
        <f>IFERROR(__xludf.DUMMYFUNCTION("""COMPUTED_VALUE"""),"saletructiep_Europe.M336.1840.giaotiep_PTATT_LD153")</f>
        <v>saletructiep_Europe.M336.1840.giaotiep_PTATT_LD153</v>
      </c>
      <c r="T775" s="107" t="str">
        <f>IFERROR(__xludf.DUMMYFUNCTION("""COMPUTED_VALUE"""),"https://patadovietnam.edu.vn/tienganhgiaotiep_hn/?utm_source=Facebook&amp;utm_medium=CVS&amp;utm_term=NEW_Europe_1840_none_061224&amp;utm_content=saletructiep_Europe.M336.1840.giaotiep_PTATT_LD153&amp;utm_campaign=Europe.giaotiep.M336_16917_CVS_NamNH_061224")</f>
        <v>https://patadovietnam.edu.vn/tienganhgiaotiep_hn/?utm_source=Facebook&amp;utm_medium=CVS&amp;utm_term=NEW_Europe_1840_none_061224&amp;utm_content=saletructiep_Europe.M336.1840.giaotiep_PTATT_LD153&amp;utm_campaign=Europe.giaotiep.M336_16917_CVS_NamNH_061224</v>
      </c>
      <c r="U775" s="118"/>
    </row>
    <row r="776">
      <c r="A776" s="72">
        <v>45632.0</v>
      </c>
      <c r="B776" s="75" t="s">
        <v>1229</v>
      </c>
      <c r="C776" s="67" t="str">
        <f>IFERROR(__xludf.DUMMYFUNCTION("""COMPUTED_VALUE"""),"LD164")</f>
        <v>LD164</v>
      </c>
      <c r="D776" s="55" t="s">
        <v>42</v>
      </c>
      <c r="E776" s="55" t="s">
        <v>69</v>
      </c>
      <c r="F776" s="55" t="s">
        <v>133</v>
      </c>
      <c r="G776" s="55">
        <v>1840.0</v>
      </c>
      <c r="H776" s="55" t="s">
        <v>1137</v>
      </c>
      <c r="I776" s="115" t="s">
        <v>6639</v>
      </c>
      <c r="J776" s="55" t="s">
        <v>6640</v>
      </c>
      <c r="K776" s="55" t="s">
        <v>61</v>
      </c>
      <c r="L776" s="55">
        <v>16917.0</v>
      </c>
      <c r="M776" s="55" t="s">
        <v>78</v>
      </c>
      <c r="N776" s="55" t="s">
        <v>69</v>
      </c>
      <c r="O776" s="55" t="s">
        <v>224</v>
      </c>
      <c r="P776" s="55" t="s">
        <v>110</v>
      </c>
      <c r="Q776" s="67" t="str">
        <f>IFERROR(__xludf.DUMMYFUNCTION("""COMPUTED_VALUE"""),"Japan.giaotiep.M336_16917_CVS_NamNH_061224")</f>
        <v>Japan.giaotiep.M336_16917_CVS_NamNH_061224</v>
      </c>
      <c r="R776" s="67" t="str">
        <f>IFERROR(__xludf.DUMMYFUNCTION("""COMPUTED_VALUE"""),"NEW_Japan_1840_none_061224")</f>
        <v>NEW_Japan_1840_none_061224</v>
      </c>
      <c r="S776" s="67" t="str">
        <f>IFERROR(__xludf.DUMMYFUNCTION("""COMPUTED_VALUE"""),"saletructiep_Japan.M336.1840.giaotiep_PTATT_LD164")</f>
        <v>saletructiep_Japan.M336.1840.giaotiep_PTATT_LD164</v>
      </c>
      <c r="T776" s="107" t="str">
        <f>IFERROR(__xludf.DUMMYFUNCTION("""COMPUTED_VALUE"""),"https://patadovietnam.edu.vn/gtjapan_nhn3/?utm_source=Facebook&amp;utm_medium=CVS&amp;utm_term=NEW_Japan_1840_none_061224&amp;utm_content=saletructiep_Japan.M336.1840.giaotiep_PTATT_LD164&amp;utm_campaign=Japan.giaotiep.M336_16917_CVS_NamNH_061224")</f>
        <v>https://patadovietnam.edu.vn/gtjapan_nhn3/?utm_source=Facebook&amp;utm_medium=CVS&amp;utm_term=NEW_Japan_1840_none_061224&amp;utm_content=saletructiep_Japan.M336.1840.giaotiep_PTATT_LD164&amp;utm_campaign=Japan.giaotiep.M336_16917_CVS_NamNH_061224</v>
      </c>
      <c r="U776" s="118"/>
    </row>
    <row r="777">
      <c r="A777" s="72">
        <v>45632.0</v>
      </c>
      <c r="B777" s="75" t="s">
        <v>1134</v>
      </c>
      <c r="C777" s="67" t="str">
        <f>IFERROR(__xludf.DUMMYFUNCTION("""COMPUTED_VALUE"""),"LD153")</f>
        <v>LD153</v>
      </c>
      <c r="D777" s="55" t="s">
        <v>42</v>
      </c>
      <c r="E777" s="55" t="s">
        <v>79</v>
      </c>
      <c r="F777" s="55" t="s">
        <v>174</v>
      </c>
      <c r="G777" s="55">
        <v>1840.0</v>
      </c>
      <c r="H777" s="55" t="s">
        <v>1137</v>
      </c>
      <c r="I777" s="115" t="s">
        <v>6641</v>
      </c>
      <c r="J777" s="55" t="s">
        <v>6642</v>
      </c>
      <c r="K777" s="55" t="s">
        <v>61</v>
      </c>
      <c r="L777" s="55">
        <v>16917.0</v>
      </c>
      <c r="M777" s="55" t="s">
        <v>78</v>
      </c>
      <c r="N777" s="55" t="s">
        <v>79</v>
      </c>
      <c r="O777" s="55" t="s">
        <v>224</v>
      </c>
      <c r="P777" s="55" t="s">
        <v>110</v>
      </c>
      <c r="Q777" s="67" t="str">
        <f>IFERROR(__xludf.DUMMYFUNCTION("""COMPUTED_VALUE"""),"Philippines.giaotiep.M336_16917_MES_NamNH_061224")</f>
        <v>Philippines.giaotiep.M336_16917_MES_NamNH_061224</v>
      </c>
      <c r="R777" s="67" t="str">
        <f>IFERROR(__xludf.DUMMYFUNCTION("""COMPUTED_VALUE"""),"NEW_Philippines_1840_none_061224")</f>
        <v>NEW_Philippines_1840_none_061224</v>
      </c>
      <c r="S777" s="67" t="str">
        <f>IFERROR(__xludf.DUMMYFUNCTION("""COMPUTED_VALUE"""),"saletructiep_Philippines.M336.1840.giaotiep_PTATT_LD153")</f>
        <v>saletructiep_Philippines.M336.1840.giaotiep_PTATT_LD153</v>
      </c>
      <c r="T777" s="107" t="str">
        <f>IFERROR(__xludf.DUMMYFUNCTION("""COMPUTED_VALUE"""),"https://patadovietnam.edu.vn/tienganhgiaotiep_hn/?utm_source=Facebook&amp;utm_medium=MES&amp;utm_term=NEW_Philippines_1840_none_061224&amp;utm_content=saletructiep_Philippines.M336.1840.giaotiep_PTATT_LD153&amp;utm_campaign=Philippines.giaotiep.M336_16917_MES_NamNH_06122"&amp;"4")</f>
        <v>https://patadovietnam.edu.vn/tienganhgiaotiep_hn/?utm_source=Facebook&amp;utm_medium=MES&amp;utm_term=NEW_Philippines_1840_none_061224&amp;utm_content=saletructiep_Philippines.M336.1840.giaotiep_PTATT_LD153&amp;utm_campaign=Philippines.giaotiep.M336_16917_MES_NamNH_061224</v>
      </c>
      <c r="U777" s="118"/>
    </row>
    <row r="778">
      <c r="A778" s="72">
        <v>45635.0</v>
      </c>
      <c r="B778" s="75" t="s">
        <v>1245</v>
      </c>
      <c r="C778" s="67" t="str">
        <f>IFERROR(__xludf.DUMMYFUNCTION("""COMPUTED_VALUE"""),"LD161")</f>
        <v>LD161</v>
      </c>
      <c r="D778" s="55" t="s">
        <v>42</v>
      </c>
      <c r="E778" s="55" t="s">
        <v>79</v>
      </c>
      <c r="F778" s="55" t="s">
        <v>107</v>
      </c>
      <c r="G778" s="55">
        <v>2050.0</v>
      </c>
      <c r="H778" s="55" t="s">
        <v>1137</v>
      </c>
      <c r="I778" s="115" t="s">
        <v>6643</v>
      </c>
      <c r="J778" s="55" t="s">
        <v>6644</v>
      </c>
      <c r="K778" s="55" t="s">
        <v>61</v>
      </c>
      <c r="L778" s="55">
        <v>16917.0</v>
      </c>
      <c r="M778" s="55" t="s">
        <v>78</v>
      </c>
      <c r="N778" s="55" t="s">
        <v>79</v>
      </c>
      <c r="O778" s="55" t="s">
        <v>224</v>
      </c>
      <c r="P778" s="55" t="s">
        <v>110</v>
      </c>
      <c r="Q778" s="67" t="str">
        <f>IFERROR(__xludf.DUMMYFUNCTION("""COMPUTED_VALUE"""),"UnitedStates.giaotiep.M339_16917_MES_NamNH_091224")</f>
        <v>UnitedStates.giaotiep.M339_16917_MES_NamNH_091224</v>
      </c>
      <c r="R778" s="67" t="str">
        <f>IFERROR(__xludf.DUMMYFUNCTION("""COMPUTED_VALUE"""),"NEW_UnitedStates_2050_none_091224")</f>
        <v>NEW_UnitedStates_2050_none_091224</v>
      </c>
      <c r="S778" s="67" t="str">
        <f>IFERROR(__xludf.DUMMYFUNCTION("""COMPUTED_VALUE"""),"saletructiep_UnitedStates.M339.1840.giaotiep_PTATT_LD161")</f>
        <v>saletructiep_UnitedStates.M339.1840.giaotiep_PTATT_LD161</v>
      </c>
      <c r="T778" s="107" t="str">
        <f>IFERROR(__xludf.DUMMYFUNCTION("""COMPUTED_VALUE"""),"https://patadovietnam.edu.vn/gtusa1_nhn/?utm_source=Facebook&amp;utm_medium=MES&amp;utm_term=NEW_UnitedStates_2050_none_091224&amp;utm_content=saletructiep_UnitedStates.M339.1840.giaotiep_PTATT_LD161&amp;utm_campaign=UnitedStates.giaotiep.M339_16917_MES_NamNH_091224")</f>
        <v>https://patadovietnam.edu.vn/gtusa1_nhn/?utm_source=Facebook&amp;utm_medium=MES&amp;utm_term=NEW_UnitedStates_2050_none_091224&amp;utm_content=saletructiep_UnitedStates.M339.1840.giaotiep_PTATT_LD161&amp;utm_campaign=UnitedStates.giaotiep.M339_16917_MES_NamNH_091224</v>
      </c>
      <c r="U778" s="118"/>
    </row>
    <row r="779">
      <c r="A779" s="72">
        <v>45632.0</v>
      </c>
      <c r="B779" s="75" t="s">
        <v>1134</v>
      </c>
      <c r="C779" s="67" t="str">
        <f>IFERROR(__xludf.DUMMYFUNCTION("""COMPUTED_VALUE"""),"LD153")</f>
        <v>LD153</v>
      </c>
      <c r="D779" s="55" t="s">
        <v>42</v>
      </c>
      <c r="E779" s="55" t="s">
        <v>69</v>
      </c>
      <c r="F779" s="55" t="s">
        <v>674</v>
      </c>
      <c r="G779" s="55">
        <v>1840.0</v>
      </c>
      <c r="H779" s="55" t="s">
        <v>1137</v>
      </c>
      <c r="I779" s="115" t="s">
        <v>6645</v>
      </c>
      <c r="J779" s="55" t="s">
        <v>6646</v>
      </c>
      <c r="K779" s="55" t="s">
        <v>61</v>
      </c>
      <c r="L779" s="55">
        <v>16917.0</v>
      </c>
      <c r="M779" s="55" t="s">
        <v>78</v>
      </c>
      <c r="N779" s="55" t="s">
        <v>69</v>
      </c>
      <c r="O779" s="55" t="s">
        <v>224</v>
      </c>
      <c r="P779" s="55" t="s">
        <v>110</v>
      </c>
      <c r="Q779" s="67" t="str">
        <f>IFERROR(__xludf.DUMMYFUNCTION("""COMPUTED_VALUE"""),"Europe.giaotiep.M339_16917_CVS_NamNH_061224")</f>
        <v>Europe.giaotiep.M339_16917_CVS_NamNH_061224</v>
      </c>
      <c r="R779" s="67" t="str">
        <f>IFERROR(__xludf.DUMMYFUNCTION("""COMPUTED_VALUE"""),"NEW_Europe_1840_none_061224")</f>
        <v>NEW_Europe_1840_none_061224</v>
      </c>
      <c r="S779" s="67" t="str">
        <f>IFERROR(__xludf.DUMMYFUNCTION("""COMPUTED_VALUE"""),"saletructiep_Europe.M339.1840.giaotiep_PTATT_LD153")</f>
        <v>saletructiep_Europe.M339.1840.giaotiep_PTATT_LD153</v>
      </c>
      <c r="T779" s="107" t="str">
        <f>IFERROR(__xludf.DUMMYFUNCTION("""COMPUTED_VALUE"""),"https://patadovietnam.edu.vn/tienganhgiaotiep_hn/?utm_source=Facebook&amp;utm_medium=CVS&amp;utm_term=NEW_Europe_1840_none_061224&amp;utm_content=saletructiep_Europe.M339.1840.giaotiep_PTATT_LD153&amp;utm_campaign=Europe.giaotiep.M339_16917_CVS_NamNH_061224")</f>
        <v>https://patadovietnam.edu.vn/tienganhgiaotiep_hn/?utm_source=Facebook&amp;utm_medium=CVS&amp;utm_term=NEW_Europe_1840_none_061224&amp;utm_content=saletructiep_Europe.M339.1840.giaotiep_PTATT_LD153&amp;utm_campaign=Europe.giaotiep.M339_16917_CVS_NamNH_061224</v>
      </c>
      <c r="U779" s="118"/>
    </row>
    <row r="780">
      <c r="A780" s="72">
        <v>45635.0</v>
      </c>
      <c r="B780" s="75" t="s">
        <v>1229</v>
      </c>
      <c r="C780" s="67" t="str">
        <f>IFERROR(__xludf.DUMMYFUNCTION("""COMPUTED_VALUE"""),"LD164")</f>
        <v>LD164</v>
      </c>
      <c r="D780" s="55" t="s">
        <v>42</v>
      </c>
      <c r="E780" s="55" t="s">
        <v>69</v>
      </c>
      <c r="F780" s="55" t="s">
        <v>133</v>
      </c>
      <c r="G780" s="55">
        <v>1840.0</v>
      </c>
      <c r="H780" s="55" t="s">
        <v>1137</v>
      </c>
      <c r="I780" s="115" t="s">
        <v>6647</v>
      </c>
      <c r="J780" s="55" t="s">
        <v>6648</v>
      </c>
      <c r="K780" s="55" t="s">
        <v>61</v>
      </c>
      <c r="L780" s="55">
        <v>16917.0</v>
      </c>
      <c r="M780" s="55" t="s">
        <v>78</v>
      </c>
      <c r="N780" s="55" t="s">
        <v>69</v>
      </c>
      <c r="O780" s="55" t="s">
        <v>224</v>
      </c>
      <c r="P780" s="55" t="s">
        <v>110</v>
      </c>
      <c r="Q780" s="67" t="str">
        <f>IFERROR(__xludf.DUMMYFUNCTION("""COMPUTED_VALUE"""),"Japan.giaotiep.M339_16917_CVS_NamNH_091224")</f>
        <v>Japan.giaotiep.M339_16917_CVS_NamNH_091224</v>
      </c>
      <c r="R780" s="67" t="str">
        <f>IFERROR(__xludf.DUMMYFUNCTION("""COMPUTED_VALUE"""),"NEW_Japan_1840_none_091224")</f>
        <v>NEW_Japan_1840_none_091224</v>
      </c>
      <c r="S780" s="67" t="str">
        <f>IFERROR(__xludf.DUMMYFUNCTION("""COMPUTED_VALUE"""),"saletructiep_Japan.M339.1840.giaotiep_PTATT_LD164")</f>
        <v>saletructiep_Japan.M339.1840.giaotiep_PTATT_LD164</v>
      </c>
      <c r="T780" s="107" t="str">
        <f>IFERROR(__xludf.DUMMYFUNCTION("""COMPUTED_VALUE"""),"https://patadovietnam.edu.vn/gtjapan_nhn3/?utm_source=Facebook&amp;utm_medium=CVS&amp;utm_term=NEW_Japan_1840_none_091224&amp;utm_content=saletructiep_Japan.M339.1840.giaotiep_PTATT_LD164&amp;utm_campaign=Japan.giaotiep.M339_16917_CVS_NamNH_091224")</f>
        <v>https://patadovietnam.edu.vn/gtjapan_nhn3/?utm_source=Facebook&amp;utm_medium=CVS&amp;utm_term=NEW_Japan_1840_none_091224&amp;utm_content=saletructiep_Japan.M339.1840.giaotiep_PTATT_LD164&amp;utm_campaign=Japan.giaotiep.M339_16917_CVS_NamNH_091224</v>
      </c>
      <c r="U780" s="118"/>
    </row>
    <row r="781">
      <c r="A781" s="72">
        <v>45635.0</v>
      </c>
      <c r="B781" s="75" t="s">
        <v>1229</v>
      </c>
      <c r="C781" s="67" t="str">
        <f>IFERROR(__xludf.DUMMYFUNCTION("""COMPUTED_VALUE"""),"LD164")</f>
        <v>LD164</v>
      </c>
      <c r="D781" s="55" t="s">
        <v>42</v>
      </c>
      <c r="E781" s="55" t="s">
        <v>69</v>
      </c>
      <c r="F781" s="55" t="s">
        <v>133</v>
      </c>
      <c r="G781" s="55">
        <v>1840.0</v>
      </c>
      <c r="H781" s="55" t="s">
        <v>1137</v>
      </c>
      <c r="I781" s="115" t="s">
        <v>6649</v>
      </c>
      <c r="J781" s="55" t="s">
        <v>6650</v>
      </c>
      <c r="K781" s="55" t="s">
        <v>61</v>
      </c>
      <c r="L781" s="55">
        <v>16917.0</v>
      </c>
      <c r="M781" s="55" t="s">
        <v>78</v>
      </c>
      <c r="N781" s="55" t="s">
        <v>69</v>
      </c>
      <c r="O781" s="55" t="s">
        <v>224</v>
      </c>
      <c r="P781" s="55" t="s">
        <v>110</v>
      </c>
      <c r="Q781" s="67" t="str">
        <f>IFERROR(__xludf.DUMMYFUNCTION("""COMPUTED_VALUE"""),"Japan.giaotiep.M340_16917_CVS_NamNH_091224")</f>
        <v>Japan.giaotiep.M340_16917_CVS_NamNH_091224</v>
      </c>
      <c r="R781" s="67" t="str">
        <f>IFERROR(__xludf.DUMMYFUNCTION("""COMPUTED_VALUE"""),"NEW_Japan_1840_none_091224")</f>
        <v>NEW_Japan_1840_none_091224</v>
      </c>
      <c r="S781" s="67" t="str">
        <f>IFERROR(__xludf.DUMMYFUNCTION("""COMPUTED_VALUE"""),"saletructiep_Japan.M340.1840.giaotiep_PTATT_LD164")</f>
        <v>saletructiep_Japan.M340.1840.giaotiep_PTATT_LD164</v>
      </c>
      <c r="T781" s="107" t="str">
        <f>IFERROR(__xludf.DUMMYFUNCTION("""COMPUTED_VALUE"""),"https://patadovietnam.edu.vn/gtjapan_nhn3/?utm_source=Facebook&amp;utm_medium=CVS&amp;utm_term=NEW_Japan_1840_none_091224&amp;utm_content=saletructiep_Japan.M340.1840.giaotiep_PTATT_LD164&amp;utm_campaign=Japan.giaotiep.M340_16917_CVS_NamNH_091224")</f>
        <v>https://patadovietnam.edu.vn/gtjapan_nhn3/?utm_source=Facebook&amp;utm_medium=CVS&amp;utm_term=NEW_Japan_1840_none_091224&amp;utm_content=saletructiep_Japan.M340.1840.giaotiep_PTATT_LD164&amp;utm_campaign=Japan.giaotiep.M340_16917_CVS_NamNH_091224</v>
      </c>
      <c r="U781" s="118"/>
    </row>
    <row r="782">
      <c r="A782" s="72">
        <v>45635.0</v>
      </c>
      <c r="B782" s="75" t="s">
        <v>1134</v>
      </c>
      <c r="C782" s="67" t="str">
        <f>IFERROR(__xludf.DUMMYFUNCTION("""COMPUTED_VALUE"""),"LD153")</f>
        <v>LD153</v>
      </c>
      <c r="D782" s="55" t="s">
        <v>42</v>
      </c>
      <c r="E782" s="55" t="s">
        <v>69</v>
      </c>
      <c r="F782" s="55" t="s">
        <v>674</v>
      </c>
      <c r="G782" s="55">
        <v>1840.0</v>
      </c>
      <c r="H782" s="55" t="s">
        <v>1137</v>
      </c>
      <c r="I782" s="115" t="s">
        <v>6651</v>
      </c>
      <c r="J782" s="55" t="s">
        <v>6652</v>
      </c>
      <c r="K782" s="55" t="s">
        <v>61</v>
      </c>
      <c r="L782" s="55">
        <v>16917.0</v>
      </c>
      <c r="M782" s="55" t="s">
        <v>78</v>
      </c>
      <c r="N782" s="55" t="s">
        <v>69</v>
      </c>
      <c r="O782" s="55" t="s">
        <v>224</v>
      </c>
      <c r="P782" s="55" t="s">
        <v>110</v>
      </c>
      <c r="Q782" s="67" t="str">
        <f>IFERROR(__xludf.DUMMYFUNCTION("""COMPUTED_VALUE"""),"Europe.giaotiep.M340_16917_CVS_NamNH_091224")</f>
        <v>Europe.giaotiep.M340_16917_CVS_NamNH_091224</v>
      </c>
      <c r="R782" s="67" t="str">
        <f>IFERROR(__xludf.DUMMYFUNCTION("""COMPUTED_VALUE"""),"NEW_Europe_1840_none_091224")</f>
        <v>NEW_Europe_1840_none_091224</v>
      </c>
      <c r="S782" s="67" t="str">
        <f>IFERROR(__xludf.DUMMYFUNCTION("""COMPUTED_VALUE"""),"saletructiep_Europe.M340.1840.giaotiep_PTATT_LD153")</f>
        <v>saletructiep_Europe.M340.1840.giaotiep_PTATT_LD153</v>
      </c>
      <c r="T782" s="107" t="str">
        <f>IFERROR(__xludf.DUMMYFUNCTION("""COMPUTED_VALUE"""),"https://patadovietnam.edu.vn/tienganhgiaotiep_hn/?utm_source=Facebook&amp;utm_medium=CVS&amp;utm_term=NEW_Europe_1840_none_091224&amp;utm_content=saletructiep_Europe.M340.1840.giaotiep_PTATT_LD153&amp;utm_campaign=Europe.giaotiep.M340_16917_CVS_NamNH_091224")</f>
        <v>https://patadovietnam.edu.vn/tienganhgiaotiep_hn/?utm_source=Facebook&amp;utm_medium=CVS&amp;utm_term=NEW_Europe_1840_none_091224&amp;utm_content=saletructiep_Europe.M340.1840.giaotiep_PTATT_LD153&amp;utm_campaign=Europe.giaotiep.M340_16917_CVS_NamNH_091224</v>
      </c>
      <c r="U782" s="118"/>
    </row>
    <row r="783">
      <c r="A783" s="72">
        <v>45635.0</v>
      </c>
      <c r="B783" s="75" t="s">
        <v>1134</v>
      </c>
      <c r="C783" s="67" t="str">
        <f>IFERROR(__xludf.DUMMYFUNCTION("""COMPUTED_VALUE"""),"LD153")</f>
        <v>LD153</v>
      </c>
      <c r="D783" s="55" t="s">
        <v>42</v>
      </c>
      <c r="E783" s="55" t="s">
        <v>79</v>
      </c>
      <c r="F783" s="55" t="s">
        <v>164</v>
      </c>
      <c r="G783" s="55">
        <v>1840.0</v>
      </c>
      <c r="H783" s="55" t="s">
        <v>1137</v>
      </c>
      <c r="I783" s="115" t="s">
        <v>6654</v>
      </c>
      <c r="J783" s="55" t="s">
        <v>6655</v>
      </c>
      <c r="K783" s="55" t="s">
        <v>61</v>
      </c>
      <c r="L783" s="55">
        <v>16917.0</v>
      </c>
      <c r="M783" s="55" t="s">
        <v>78</v>
      </c>
      <c r="N783" s="55" t="s">
        <v>79</v>
      </c>
      <c r="O783" s="55" t="s">
        <v>224</v>
      </c>
      <c r="P783" s="55" t="s">
        <v>110</v>
      </c>
      <c r="Q783" s="67" t="str">
        <f>IFERROR(__xludf.DUMMYFUNCTION("""COMPUTED_VALUE"""),"Taiwan.giaotiep.M340_16917_MES_NamNH_091224")</f>
        <v>Taiwan.giaotiep.M340_16917_MES_NamNH_091224</v>
      </c>
      <c r="R783" s="67" t="str">
        <f>IFERROR(__xludf.DUMMYFUNCTION("""COMPUTED_VALUE"""),"NEW_Taiwan_1840_none_091224")</f>
        <v>NEW_Taiwan_1840_none_091224</v>
      </c>
      <c r="S783" s="67" t="str">
        <f>IFERROR(__xludf.DUMMYFUNCTION("""COMPUTED_VALUE"""),"saletructiep_Taiwan.M340.1840.giaotiep_PTATT_LD153")</f>
        <v>saletructiep_Taiwan.M340.1840.giaotiep_PTATT_LD153</v>
      </c>
      <c r="T783" s="107" t="str">
        <f>IFERROR(__xludf.DUMMYFUNCTION("""COMPUTED_VALUE"""),"https://patadovietnam.edu.vn/tienganhgiaotiep_hn/?utm_source=Facebook&amp;utm_medium=MES&amp;utm_term=NEW_Taiwan_1840_none_091224&amp;utm_content=saletructiep_Taiwan.M340.1840.giaotiep_PTATT_LD153&amp;utm_campaign=Taiwan.giaotiep.M340_16917_MES_NamNH_091224")</f>
        <v>https://patadovietnam.edu.vn/tienganhgiaotiep_hn/?utm_source=Facebook&amp;utm_medium=MES&amp;utm_term=NEW_Taiwan_1840_none_091224&amp;utm_content=saletructiep_Taiwan.M340.1840.giaotiep_PTATT_LD153&amp;utm_campaign=Taiwan.giaotiep.M340_16917_MES_NamNH_091224</v>
      </c>
      <c r="U783" s="118"/>
    </row>
    <row r="784">
      <c r="A784" s="72">
        <v>45635.0</v>
      </c>
      <c r="B784" s="75" t="s">
        <v>1134</v>
      </c>
      <c r="C784" s="67" t="str">
        <f>IFERROR(__xludf.DUMMYFUNCTION("""COMPUTED_VALUE"""),"LD153")</f>
        <v>LD153</v>
      </c>
      <c r="D784" s="55" t="s">
        <v>42</v>
      </c>
      <c r="E784" s="55" t="s">
        <v>79</v>
      </c>
      <c r="F784" s="55" t="s">
        <v>174</v>
      </c>
      <c r="G784" s="55">
        <v>1840.0</v>
      </c>
      <c r="H784" s="55" t="s">
        <v>1137</v>
      </c>
      <c r="I784" s="115" t="s">
        <v>6657</v>
      </c>
      <c r="J784" s="55" t="s">
        <v>6658</v>
      </c>
      <c r="K784" s="55" t="s">
        <v>61</v>
      </c>
      <c r="L784" s="55">
        <v>16917.0</v>
      </c>
      <c r="M784" s="55" t="s">
        <v>78</v>
      </c>
      <c r="N784" s="55" t="s">
        <v>79</v>
      </c>
      <c r="O784" s="55" t="s">
        <v>224</v>
      </c>
      <c r="P784" s="55" t="s">
        <v>110</v>
      </c>
      <c r="Q784" s="67" t="str">
        <f>IFERROR(__xludf.DUMMYFUNCTION("""COMPUTED_VALUE"""),"Philippines.giaotiep.M340_16917_MES_NamNH_091224")</f>
        <v>Philippines.giaotiep.M340_16917_MES_NamNH_091224</v>
      </c>
      <c r="R784" s="67" t="str">
        <f>IFERROR(__xludf.DUMMYFUNCTION("""COMPUTED_VALUE"""),"NEW_Philippines_1840_none_091224")</f>
        <v>NEW_Philippines_1840_none_091224</v>
      </c>
      <c r="S784" s="67" t="str">
        <f>IFERROR(__xludf.DUMMYFUNCTION("""COMPUTED_VALUE"""),"saletructiep_Philippines.M340.1840.giaotiep_PTATT_LD153")</f>
        <v>saletructiep_Philippines.M340.1840.giaotiep_PTATT_LD153</v>
      </c>
      <c r="T784" s="107" t="str">
        <f>IFERROR(__xludf.DUMMYFUNCTION("""COMPUTED_VALUE"""),"https://patadovietnam.edu.vn/tienganhgiaotiep_hn/?utm_source=Facebook&amp;utm_medium=MES&amp;utm_term=NEW_Philippines_1840_none_091224&amp;utm_content=saletructiep_Philippines.M340.1840.giaotiep_PTATT_LD153&amp;utm_campaign=Philippines.giaotiep.M340_16917_MES_NamNH_09122"&amp;"4")</f>
        <v>https://patadovietnam.edu.vn/tienganhgiaotiep_hn/?utm_source=Facebook&amp;utm_medium=MES&amp;utm_term=NEW_Philippines_1840_none_091224&amp;utm_content=saletructiep_Philippines.M340.1840.giaotiep_PTATT_LD153&amp;utm_campaign=Philippines.giaotiep.M340_16917_MES_NamNH_091224</v>
      </c>
      <c r="U784" s="118"/>
    </row>
    <row r="785">
      <c r="A785" s="72">
        <v>45635.0</v>
      </c>
      <c r="B785" s="75" t="s">
        <v>1134</v>
      </c>
      <c r="C785" s="67" t="str">
        <f>IFERROR(__xludf.DUMMYFUNCTION("""COMPUTED_VALUE"""),"LD153")</f>
        <v>LD153</v>
      </c>
      <c r="D785" s="55" t="s">
        <v>42</v>
      </c>
      <c r="E785" s="55" t="s">
        <v>79</v>
      </c>
      <c r="F785" s="55" t="s">
        <v>625</v>
      </c>
      <c r="G785" s="55">
        <v>1840.0</v>
      </c>
      <c r="H785" s="55" t="s">
        <v>1137</v>
      </c>
      <c r="I785" s="115" t="s">
        <v>6663</v>
      </c>
      <c r="J785" s="55" t="s">
        <v>6664</v>
      </c>
      <c r="K785" s="55" t="s">
        <v>61</v>
      </c>
      <c r="L785" s="55">
        <v>16917.0</v>
      </c>
      <c r="M785" s="55" t="s">
        <v>78</v>
      </c>
      <c r="N785" s="55" t="s">
        <v>79</v>
      </c>
      <c r="O785" s="55" t="s">
        <v>224</v>
      </c>
      <c r="P785" s="55" t="s">
        <v>110</v>
      </c>
      <c r="Q785" s="67" t="str">
        <f>IFERROR(__xludf.DUMMYFUNCTION("""COMPUTED_VALUE"""),"KoreaSouth.giaotiep.M340_16917_MES_NamNH_091224")</f>
        <v>KoreaSouth.giaotiep.M340_16917_MES_NamNH_091224</v>
      </c>
      <c r="R785" s="67" t="str">
        <f>IFERROR(__xludf.DUMMYFUNCTION("""COMPUTED_VALUE"""),"NEW_KoreaSouth_1840_none_091224")</f>
        <v>NEW_KoreaSouth_1840_none_091224</v>
      </c>
      <c r="S785" s="67" t="str">
        <f>IFERROR(__xludf.DUMMYFUNCTION("""COMPUTED_VALUE"""),"saletructiep_KoreaSouth.M340.1840.giaotiep_PTATT_LD153")</f>
        <v>saletructiep_KoreaSouth.M340.1840.giaotiep_PTATT_LD153</v>
      </c>
      <c r="T785" s="107" t="str">
        <f>IFERROR(__xludf.DUMMYFUNCTION("""COMPUTED_VALUE"""),"https://patadovietnam.edu.vn/tienganhgiaotiep_hn/?utm_source=Facebook&amp;utm_medium=MES&amp;utm_term=NEW_KoreaSouth_1840_none_091224&amp;utm_content=saletructiep_KoreaSouth.M340.1840.giaotiep_PTATT_LD153&amp;utm_campaign=KoreaSouth.giaotiep.M340_16917_MES_NamNH_091224")</f>
        <v>https://patadovietnam.edu.vn/tienganhgiaotiep_hn/?utm_source=Facebook&amp;utm_medium=MES&amp;utm_term=NEW_KoreaSouth_1840_none_091224&amp;utm_content=saletructiep_KoreaSouth.M340.1840.giaotiep_PTATT_LD153&amp;utm_campaign=KoreaSouth.giaotiep.M340_16917_MES_NamNH_091224</v>
      </c>
      <c r="U785" s="118"/>
    </row>
    <row r="786">
      <c r="A786" s="72">
        <v>45635.0</v>
      </c>
      <c r="B786" s="75" t="s">
        <v>1229</v>
      </c>
      <c r="C786" s="67" t="str">
        <f>IFERROR(__xludf.DUMMYFUNCTION("""COMPUTED_VALUE"""),"LD164")</f>
        <v>LD164</v>
      </c>
      <c r="D786" s="55" t="s">
        <v>42</v>
      </c>
      <c r="E786" s="55" t="s">
        <v>69</v>
      </c>
      <c r="F786" s="55" t="s">
        <v>133</v>
      </c>
      <c r="G786" s="55">
        <v>1840.0</v>
      </c>
      <c r="H786" s="55" t="s">
        <v>1137</v>
      </c>
      <c r="I786" s="115" t="s">
        <v>6667</v>
      </c>
      <c r="J786" s="55" t="s">
        <v>6668</v>
      </c>
      <c r="K786" s="55" t="s">
        <v>61</v>
      </c>
      <c r="L786" s="55">
        <v>16917.0</v>
      </c>
      <c r="M786" s="55" t="s">
        <v>78</v>
      </c>
      <c r="N786" s="55" t="s">
        <v>69</v>
      </c>
      <c r="O786" s="55" t="s">
        <v>224</v>
      </c>
      <c r="P786" s="55" t="s">
        <v>110</v>
      </c>
      <c r="Q786" s="67" t="str">
        <f>IFERROR(__xludf.DUMMYFUNCTION("""COMPUTED_VALUE"""),"Japan.giaotiep.M347_16917_CVS_NamNH_091224")</f>
        <v>Japan.giaotiep.M347_16917_CVS_NamNH_091224</v>
      </c>
      <c r="R786" s="67" t="str">
        <f>IFERROR(__xludf.DUMMYFUNCTION("""COMPUTED_VALUE"""),"NEW_Japan_1840_none_091224")</f>
        <v>NEW_Japan_1840_none_091224</v>
      </c>
      <c r="S786" s="67" t="str">
        <f>IFERROR(__xludf.DUMMYFUNCTION("""COMPUTED_VALUE"""),"saletructiep_Japan.M347.1840.giaotiep_PTATT_LD164")</f>
        <v>saletructiep_Japan.M347.1840.giaotiep_PTATT_LD164</v>
      </c>
      <c r="T786" s="107" t="str">
        <f>IFERROR(__xludf.DUMMYFUNCTION("""COMPUTED_VALUE"""),"https://patadovietnam.edu.vn/gtjapan_nhn3/?utm_source=Facebook&amp;utm_medium=CVS&amp;utm_term=NEW_Japan_1840_none_091224&amp;utm_content=saletructiep_Japan.M347.1840.giaotiep_PTATT_LD164&amp;utm_campaign=Japan.giaotiep.M347_16917_CVS_NamNH_091224")</f>
        <v>https://patadovietnam.edu.vn/gtjapan_nhn3/?utm_source=Facebook&amp;utm_medium=CVS&amp;utm_term=NEW_Japan_1840_none_091224&amp;utm_content=saletructiep_Japan.M347.1840.giaotiep_PTATT_LD164&amp;utm_campaign=Japan.giaotiep.M347_16917_CVS_NamNH_091224</v>
      </c>
      <c r="U786" s="118"/>
    </row>
    <row r="787">
      <c r="A787" s="72">
        <v>45644.0</v>
      </c>
      <c r="B787" s="75" t="s">
        <v>1134</v>
      </c>
      <c r="C787" s="67" t="str">
        <f>IFERROR(__xludf.DUMMYFUNCTION("""COMPUTED_VALUE"""),"LD153")</f>
        <v>LD153</v>
      </c>
      <c r="D787" s="55" t="s">
        <v>42</v>
      </c>
      <c r="E787" s="55" t="s">
        <v>69</v>
      </c>
      <c r="F787" s="55" t="s">
        <v>674</v>
      </c>
      <c r="G787" s="55">
        <v>1840.0</v>
      </c>
      <c r="H787" s="55" t="s">
        <v>1137</v>
      </c>
      <c r="I787" s="115" t="s">
        <v>6670</v>
      </c>
      <c r="J787" s="55" t="s">
        <v>6672</v>
      </c>
      <c r="K787" s="55" t="s">
        <v>61</v>
      </c>
      <c r="L787" s="55">
        <v>16917.0</v>
      </c>
      <c r="M787" s="55" t="s">
        <v>78</v>
      </c>
      <c r="N787" s="55" t="s">
        <v>69</v>
      </c>
      <c r="O787" s="55" t="s">
        <v>224</v>
      </c>
      <c r="P787" s="55" t="s">
        <v>110</v>
      </c>
      <c r="Q787" s="67" t="str">
        <f>IFERROR(__xludf.DUMMYFUNCTION("""COMPUTED_VALUE"""),"Europe.giaotiep.M347_16917_CVS_NamNH_181224")</f>
        <v>Europe.giaotiep.M347_16917_CVS_NamNH_181224</v>
      </c>
      <c r="R787" s="67" t="str">
        <f>IFERROR(__xludf.DUMMYFUNCTION("""COMPUTED_VALUE"""),"NEW_Europe_1840_none_181224")</f>
        <v>NEW_Europe_1840_none_181224</v>
      </c>
      <c r="S787" s="67" t="str">
        <f>IFERROR(__xludf.DUMMYFUNCTION("""COMPUTED_VALUE"""),"saletructiep_Europe.M347.1840.giaotiep_PTATT_LD153")</f>
        <v>saletructiep_Europe.M347.1840.giaotiep_PTATT_LD153</v>
      </c>
      <c r="T787" s="107" t="str">
        <f>IFERROR(__xludf.DUMMYFUNCTION("""COMPUTED_VALUE"""),"https://patadovietnam.edu.vn/tienganhgiaotiep_hn/?utm_source=Facebook&amp;utm_medium=CVS&amp;utm_term=NEW_Europe_1840_none_181224&amp;utm_content=saletructiep_Europe.M347.1840.giaotiep_PTATT_LD153&amp;utm_campaign=Europe.giaotiep.M347_16917_CVS_NamNH_181224")</f>
        <v>https://patadovietnam.edu.vn/tienganhgiaotiep_hn/?utm_source=Facebook&amp;utm_medium=CVS&amp;utm_term=NEW_Europe_1840_none_181224&amp;utm_content=saletructiep_Europe.M347.1840.giaotiep_PTATT_LD153&amp;utm_campaign=Europe.giaotiep.M347_16917_CVS_NamNH_181224</v>
      </c>
      <c r="U787" s="118"/>
    </row>
    <row r="788">
      <c r="A788" s="72">
        <v>45644.0</v>
      </c>
      <c r="B788" s="75" t="s">
        <v>1134</v>
      </c>
      <c r="C788" s="67" t="str">
        <f>IFERROR(__xludf.DUMMYFUNCTION("""COMPUTED_VALUE"""),"LD153")</f>
        <v>LD153</v>
      </c>
      <c r="D788" s="55" t="s">
        <v>42</v>
      </c>
      <c r="E788" s="55" t="s">
        <v>79</v>
      </c>
      <c r="F788" s="55" t="s">
        <v>539</v>
      </c>
      <c r="G788" s="55">
        <v>1840.0</v>
      </c>
      <c r="H788" s="55" t="s">
        <v>1137</v>
      </c>
      <c r="I788" s="115" t="s">
        <v>6674</v>
      </c>
      <c r="J788" s="55" t="s">
        <v>6675</v>
      </c>
      <c r="K788" s="55" t="s">
        <v>61</v>
      </c>
      <c r="L788" s="55">
        <v>16917.0</v>
      </c>
      <c r="M788" s="55" t="s">
        <v>78</v>
      </c>
      <c r="N788" s="55" t="s">
        <v>79</v>
      </c>
      <c r="O788" s="55" t="s">
        <v>224</v>
      </c>
      <c r="P788" s="55" t="s">
        <v>110</v>
      </c>
      <c r="Q788" s="67" t="str">
        <f>IFERROR(__xludf.DUMMYFUNCTION("""COMPUTED_VALUE"""),"ALL.giaotiep.M347_16917_MES_NamNH_181224")</f>
        <v>ALL.giaotiep.M347_16917_MES_NamNH_181224</v>
      </c>
      <c r="R788" s="67" t="str">
        <f>IFERROR(__xludf.DUMMYFUNCTION("""COMPUTED_VALUE"""),"NEW_ALL_1840_none_181224")</f>
        <v>NEW_ALL_1840_none_181224</v>
      </c>
      <c r="S788" s="67" t="str">
        <f>IFERROR(__xludf.DUMMYFUNCTION("""COMPUTED_VALUE"""),"saletructiep_ALL.M347.1840.giaotiep_PTATT_LD153")</f>
        <v>saletructiep_ALL.M347.1840.giaotiep_PTATT_LD153</v>
      </c>
      <c r="T788" s="107" t="str">
        <f>IFERROR(__xludf.DUMMYFUNCTION("""COMPUTED_VALUE"""),"https://patadovietnam.edu.vn/tienganhgiaotiep_hn/?utm_source=Facebook&amp;utm_medium=MES&amp;utm_term=NEW_ALL_1840_none_181224&amp;utm_content=saletructiep_ALL.M347.1840.giaotiep_PTATT_LD153&amp;utm_campaign=ALL.giaotiep.M347_16917_MES_NamNH_181224")</f>
        <v>https://patadovietnam.edu.vn/tienganhgiaotiep_hn/?utm_source=Facebook&amp;utm_medium=MES&amp;utm_term=NEW_ALL_1840_none_181224&amp;utm_content=saletructiep_ALL.M347.1840.giaotiep_PTATT_LD153&amp;utm_campaign=ALL.giaotiep.M347_16917_MES_NamNH_181224</v>
      </c>
      <c r="U788" s="118"/>
    </row>
    <row r="789">
      <c r="A789" s="72">
        <v>45644.0</v>
      </c>
      <c r="B789" s="75" t="s">
        <v>1134</v>
      </c>
      <c r="C789" s="67" t="str">
        <f>IFERROR(__xludf.DUMMYFUNCTION("""COMPUTED_VALUE"""),"LD153")</f>
        <v>LD153</v>
      </c>
      <c r="D789" s="55" t="s">
        <v>42</v>
      </c>
      <c r="E789" s="55" t="s">
        <v>79</v>
      </c>
      <c r="F789" s="55" t="s">
        <v>129</v>
      </c>
      <c r="G789" s="55">
        <v>1840.0</v>
      </c>
      <c r="H789" s="55" t="s">
        <v>1137</v>
      </c>
      <c r="I789" s="115" t="s">
        <v>6678</v>
      </c>
      <c r="J789" s="55" t="s">
        <v>6679</v>
      </c>
      <c r="K789" s="55" t="s">
        <v>61</v>
      </c>
      <c r="L789" s="55">
        <v>16917.0</v>
      </c>
      <c r="M789" s="55" t="s">
        <v>78</v>
      </c>
      <c r="N789" s="55" t="s">
        <v>79</v>
      </c>
      <c r="O789" s="55" t="s">
        <v>224</v>
      </c>
      <c r="P789" s="55" t="s">
        <v>110</v>
      </c>
      <c r="Q789" s="67" t="str">
        <f>IFERROR(__xludf.DUMMYFUNCTION("""COMPUTED_VALUE"""),"Australia.giaotiep.anhsale10_16917_MES_NamNH_181224")</f>
        <v>Australia.giaotiep.anhsale10_16917_MES_NamNH_181224</v>
      </c>
      <c r="R789" s="67" t="str">
        <f>IFERROR(__xludf.DUMMYFUNCTION("""COMPUTED_VALUE"""),"NEW_Australia_1840_none_181224")</f>
        <v>NEW_Australia_1840_none_181224</v>
      </c>
      <c r="S789" s="67" t="str">
        <f>IFERROR(__xludf.DUMMYFUNCTION("""COMPUTED_VALUE"""),"saletructiep_Australia.anhsale10.1840.giaotiep_PTATT_LD153")</f>
        <v>saletructiep_Australia.anhsale10.1840.giaotiep_PTATT_LD153</v>
      </c>
      <c r="T789" s="107" t="str">
        <f>IFERROR(__xludf.DUMMYFUNCTION("""COMPUTED_VALUE"""),"https://patadovietnam.edu.vn/tienganhgiaotiep_hn/?utm_source=Facebook&amp;utm_medium=MES&amp;utm_term=NEW_Australia_1840_none_181224&amp;utm_content=saletructiep_Australia.anhsale10.1840.giaotiep_PTATT_LD153&amp;utm_campaign=Australia.giaotiep.anhsale10_16917_MES_NamNH_1"&amp;"81224")</f>
        <v>https://patadovietnam.edu.vn/tienganhgiaotiep_hn/?utm_source=Facebook&amp;utm_medium=MES&amp;utm_term=NEW_Australia_1840_none_181224&amp;utm_content=saletructiep_Australia.anhsale10.1840.giaotiep_PTATT_LD153&amp;utm_campaign=Australia.giaotiep.anhsale10_16917_MES_NamNH_181224</v>
      </c>
      <c r="U789" s="110" t="s">
        <v>6681</v>
      </c>
    </row>
    <row r="790">
      <c r="A790" s="72">
        <v>45644.0</v>
      </c>
      <c r="B790" s="75" t="s">
        <v>1134</v>
      </c>
      <c r="C790" s="67" t="str">
        <f>IFERROR(__xludf.DUMMYFUNCTION("""COMPUTED_VALUE"""),"LD153")</f>
        <v>LD153</v>
      </c>
      <c r="D790" s="55" t="s">
        <v>42</v>
      </c>
      <c r="E790" s="55" t="s">
        <v>79</v>
      </c>
      <c r="F790" s="55" t="s">
        <v>674</v>
      </c>
      <c r="G790" s="55">
        <v>1840.0</v>
      </c>
      <c r="H790" s="55" t="s">
        <v>1137</v>
      </c>
      <c r="I790" s="115" t="s">
        <v>6682</v>
      </c>
      <c r="J790" s="55" t="s">
        <v>6683</v>
      </c>
      <c r="K790" s="55" t="s">
        <v>61</v>
      </c>
      <c r="L790" s="55">
        <v>16917.0</v>
      </c>
      <c r="M790" s="55" t="s">
        <v>78</v>
      </c>
      <c r="N790" s="55" t="s">
        <v>79</v>
      </c>
      <c r="O790" s="55" t="s">
        <v>224</v>
      </c>
      <c r="P790" s="55" t="s">
        <v>110</v>
      </c>
      <c r="Q790" s="67" t="str">
        <f>IFERROR(__xludf.DUMMYFUNCTION("""COMPUTED_VALUE"""),"Europe.giaotiep.M350_16917_MES_NamNH_181224")</f>
        <v>Europe.giaotiep.M350_16917_MES_NamNH_181224</v>
      </c>
      <c r="R790" s="67" t="str">
        <f>IFERROR(__xludf.DUMMYFUNCTION("""COMPUTED_VALUE"""),"NEW_Europe_1840_none_181224")</f>
        <v>NEW_Europe_1840_none_181224</v>
      </c>
      <c r="S790" s="67" t="str">
        <f>IFERROR(__xludf.DUMMYFUNCTION("""COMPUTED_VALUE"""),"saletructiep_Europe.M350.1840.giaotiep_PTATT_LD153")</f>
        <v>saletructiep_Europe.M350.1840.giaotiep_PTATT_LD153</v>
      </c>
      <c r="T790" s="107" t="str">
        <f>IFERROR(__xludf.DUMMYFUNCTION("""COMPUTED_VALUE"""),"https://patadovietnam.edu.vn/tienganhgiaotiep_hn/?utm_source=Facebook&amp;utm_medium=MES&amp;utm_term=NEW_Europe_1840_none_181224&amp;utm_content=saletructiep_Europe.M350.1840.giaotiep_PTATT_LD153&amp;utm_campaign=Europe.giaotiep.M350_16917_MES_NamNH_181224")</f>
        <v>https://patadovietnam.edu.vn/tienganhgiaotiep_hn/?utm_source=Facebook&amp;utm_medium=MES&amp;utm_term=NEW_Europe_1840_none_181224&amp;utm_content=saletructiep_Europe.M350.1840.giaotiep_PTATT_LD153&amp;utm_campaign=Europe.giaotiep.M350_16917_MES_NamNH_181224</v>
      </c>
      <c r="U790" s="118"/>
    </row>
    <row r="791">
      <c r="A791" s="72">
        <v>45644.0</v>
      </c>
      <c r="B791" s="75" t="s">
        <v>1134</v>
      </c>
      <c r="C791" s="67" t="str">
        <f>IFERROR(__xludf.DUMMYFUNCTION("""COMPUTED_VALUE"""),"LD153")</f>
        <v>LD153</v>
      </c>
      <c r="D791" s="55" t="s">
        <v>42</v>
      </c>
      <c r="E791" s="55" t="s">
        <v>79</v>
      </c>
      <c r="F791" s="55" t="s">
        <v>674</v>
      </c>
      <c r="G791" s="55">
        <v>1840.0</v>
      </c>
      <c r="H791" s="55" t="s">
        <v>1137</v>
      </c>
      <c r="I791" s="115" t="s">
        <v>6684</v>
      </c>
      <c r="J791" s="55" t="s">
        <v>6685</v>
      </c>
      <c r="K791" s="55" t="s">
        <v>61</v>
      </c>
      <c r="L791" s="55">
        <v>16917.0</v>
      </c>
      <c r="M791" s="55" t="s">
        <v>78</v>
      </c>
      <c r="N791" s="55" t="s">
        <v>79</v>
      </c>
      <c r="O791" s="55" t="s">
        <v>224</v>
      </c>
      <c r="P791" s="55" t="s">
        <v>110</v>
      </c>
      <c r="Q791" s="67" t="str">
        <f>IFERROR(__xludf.DUMMYFUNCTION("""COMPUTED_VALUE"""),"Europe.giaotiep.M349_16917_MES_NamNH_181224")</f>
        <v>Europe.giaotiep.M349_16917_MES_NamNH_181224</v>
      </c>
      <c r="R791" s="67" t="str">
        <f>IFERROR(__xludf.DUMMYFUNCTION("""COMPUTED_VALUE"""),"NEW_Europe_1840_none_181224")</f>
        <v>NEW_Europe_1840_none_181224</v>
      </c>
      <c r="S791" s="67" t="str">
        <f>IFERROR(__xludf.DUMMYFUNCTION("""COMPUTED_VALUE"""),"saletructiep_Europe.M349.1840.giaotiep_PTATT_LD153")</f>
        <v>saletructiep_Europe.M349.1840.giaotiep_PTATT_LD153</v>
      </c>
      <c r="T791" s="107" t="str">
        <f>IFERROR(__xludf.DUMMYFUNCTION("""COMPUTED_VALUE"""),"https://patadovietnam.edu.vn/tienganhgiaotiep_hn/?utm_source=Facebook&amp;utm_medium=MES&amp;utm_term=NEW_Europe_1840_none_181224&amp;utm_content=saletructiep_Europe.M349.1840.giaotiep_PTATT_LD153&amp;utm_campaign=Europe.giaotiep.M349_16917_MES_NamNH_181224")</f>
        <v>https://patadovietnam.edu.vn/tienganhgiaotiep_hn/?utm_source=Facebook&amp;utm_medium=MES&amp;utm_term=NEW_Europe_1840_none_181224&amp;utm_content=saletructiep_Europe.M349.1840.giaotiep_PTATT_LD153&amp;utm_campaign=Europe.giaotiep.M349_16917_MES_NamNH_181224</v>
      </c>
      <c r="U791" s="118"/>
    </row>
    <row r="792">
      <c r="A792" s="72">
        <v>45650.0</v>
      </c>
      <c r="B792" s="75" t="s">
        <v>1134</v>
      </c>
      <c r="C792" s="67" t="str">
        <f>IFERROR(__xludf.DUMMYFUNCTION("""COMPUTED_VALUE"""),"LD153")</f>
        <v>LD153</v>
      </c>
      <c r="D792" s="55" t="s">
        <v>42</v>
      </c>
      <c r="E792" s="55" t="s">
        <v>69</v>
      </c>
      <c r="F792" s="55" t="s">
        <v>133</v>
      </c>
      <c r="G792" s="55">
        <v>1840.0</v>
      </c>
      <c r="H792" s="55" t="s">
        <v>1137</v>
      </c>
      <c r="I792" s="115" t="s">
        <v>6689</v>
      </c>
      <c r="J792" s="55" t="s">
        <v>6690</v>
      </c>
      <c r="K792" s="55" t="s">
        <v>61</v>
      </c>
      <c r="L792" s="55">
        <v>16917.0</v>
      </c>
      <c r="M792" s="55" t="s">
        <v>78</v>
      </c>
      <c r="N792" s="55" t="s">
        <v>69</v>
      </c>
      <c r="O792" s="55" t="s">
        <v>224</v>
      </c>
      <c r="P792" s="55" t="s">
        <v>110</v>
      </c>
      <c r="Q792" s="67" t="str">
        <f>IFERROR(__xludf.DUMMYFUNCTION("""COMPUTED_VALUE"""),"Japan.giaotiep.M355_16917_CVS_NamNH_241224")</f>
        <v>Japan.giaotiep.M355_16917_CVS_NamNH_241224</v>
      </c>
      <c r="R792" s="67" t="str">
        <f>IFERROR(__xludf.DUMMYFUNCTION("""COMPUTED_VALUE"""),"NEW_Japan_1840_none_241224")</f>
        <v>NEW_Japan_1840_none_241224</v>
      </c>
      <c r="S792" s="67" t="str">
        <f>IFERROR(__xludf.DUMMYFUNCTION("""COMPUTED_VALUE"""),"saletructiep_Japan.M355.1840.giaotiep_PTATT_LD153")</f>
        <v>saletructiep_Japan.M355.1840.giaotiep_PTATT_LD153</v>
      </c>
      <c r="T792" s="107" t="str">
        <f>IFERROR(__xludf.DUMMYFUNCTION("""COMPUTED_VALUE"""),"https://patadovietnam.edu.vn/tienganhgiaotiep_hn/?utm_source=Facebook&amp;utm_medium=CVS&amp;utm_term=NEW_Japan_1840_none_241224&amp;utm_content=saletructiep_Japan.M355.1840.giaotiep_PTATT_LD153&amp;utm_campaign=Japan.giaotiep.M355_16917_CVS_NamNH_241224")</f>
        <v>https://patadovietnam.edu.vn/tienganhgiaotiep_hn/?utm_source=Facebook&amp;utm_medium=CVS&amp;utm_term=NEW_Japan_1840_none_241224&amp;utm_content=saletructiep_Japan.M355.1840.giaotiep_PTATT_LD153&amp;utm_campaign=Japan.giaotiep.M355_16917_CVS_NamNH_241224</v>
      </c>
      <c r="U792" s="118"/>
    </row>
    <row r="793">
      <c r="A793" s="72">
        <v>45644.0</v>
      </c>
      <c r="B793" s="75" t="s">
        <v>1134</v>
      </c>
      <c r="C793" s="67" t="str">
        <f>IFERROR(__xludf.DUMMYFUNCTION("""COMPUTED_VALUE"""),"LD153")</f>
        <v>LD153</v>
      </c>
      <c r="D793" s="55" t="s">
        <v>42</v>
      </c>
      <c r="E793" s="55" t="s">
        <v>69</v>
      </c>
      <c r="F793" s="55" t="s">
        <v>674</v>
      </c>
      <c r="G793" s="55">
        <v>1840.0</v>
      </c>
      <c r="H793" s="55" t="s">
        <v>1137</v>
      </c>
      <c r="I793" s="115" t="s">
        <v>6692</v>
      </c>
      <c r="J793" s="55" t="s">
        <v>6693</v>
      </c>
      <c r="K793" s="55" t="s">
        <v>61</v>
      </c>
      <c r="L793" s="55">
        <v>16917.0</v>
      </c>
      <c r="M793" s="55" t="s">
        <v>78</v>
      </c>
      <c r="N793" s="55" t="s">
        <v>69</v>
      </c>
      <c r="O793" s="55" t="s">
        <v>224</v>
      </c>
      <c r="P793" s="55" t="s">
        <v>110</v>
      </c>
      <c r="Q793" s="67" t="str">
        <f>IFERROR(__xludf.DUMMYFUNCTION("""COMPUTED_VALUE"""),"Europe.giaotiep.M355_16917_CVS_NamNH_181224")</f>
        <v>Europe.giaotiep.M355_16917_CVS_NamNH_181224</v>
      </c>
      <c r="R793" s="67" t="str">
        <f>IFERROR(__xludf.DUMMYFUNCTION("""COMPUTED_VALUE"""),"NEW_Europe_1840_none_181224")</f>
        <v>NEW_Europe_1840_none_181224</v>
      </c>
      <c r="S793" s="67" t="str">
        <f>IFERROR(__xludf.DUMMYFUNCTION("""COMPUTED_VALUE"""),"saletructiep_Europe.M355.1840.giaotiep_PTATT_LD153")</f>
        <v>saletructiep_Europe.M355.1840.giaotiep_PTATT_LD153</v>
      </c>
      <c r="T793" s="107" t="str">
        <f>IFERROR(__xludf.DUMMYFUNCTION("""COMPUTED_VALUE"""),"https://patadovietnam.edu.vn/tienganhgiaotiep_hn/?utm_source=Facebook&amp;utm_medium=CVS&amp;utm_term=NEW_Europe_1840_none_181224&amp;utm_content=saletructiep_Europe.M355.1840.giaotiep_PTATT_LD153&amp;utm_campaign=Europe.giaotiep.M355_16917_CVS_NamNH_181224")</f>
        <v>https://patadovietnam.edu.vn/tienganhgiaotiep_hn/?utm_source=Facebook&amp;utm_medium=CVS&amp;utm_term=NEW_Europe_1840_none_181224&amp;utm_content=saletructiep_Europe.M355.1840.giaotiep_PTATT_LD153&amp;utm_campaign=Europe.giaotiep.M355_16917_CVS_NamNH_181224</v>
      </c>
      <c r="U793" s="118"/>
    </row>
    <row r="794">
      <c r="A794" s="72">
        <v>45644.0</v>
      </c>
      <c r="B794" s="75" t="s">
        <v>1245</v>
      </c>
      <c r="C794" s="67" t="str">
        <f>IFERROR(__xludf.DUMMYFUNCTION("""COMPUTED_VALUE"""),"LD161")</f>
        <v>LD161</v>
      </c>
      <c r="D794" s="55" t="s">
        <v>42</v>
      </c>
      <c r="E794" s="55" t="s">
        <v>79</v>
      </c>
      <c r="F794" s="55" t="s">
        <v>107</v>
      </c>
      <c r="G794" s="55">
        <v>2050.0</v>
      </c>
      <c r="H794" s="55" t="s">
        <v>1137</v>
      </c>
      <c r="I794" s="115" t="s">
        <v>6697</v>
      </c>
      <c r="J794" s="55" t="s">
        <v>6698</v>
      </c>
      <c r="K794" s="55" t="s">
        <v>61</v>
      </c>
      <c r="L794" s="55">
        <v>16917.0</v>
      </c>
      <c r="M794" s="55" t="s">
        <v>78</v>
      </c>
      <c r="N794" s="55" t="s">
        <v>79</v>
      </c>
      <c r="O794" s="55" t="s">
        <v>224</v>
      </c>
      <c r="P794" s="55" t="s">
        <v>110</v>
      </c>
      <c r="Q794" s="67" t="str">
        <f>IFERROR(__xludf.DUMMYFUNCTION("""COMPUTED_VALUE"""),"UnitedStates.giaotiep.M355_16917_MES_NamNH_181224")</f>
        <v>UnitedStates.giaotiep.M355_16917_MES_NamNH_181224</v>
      </c>
      <c r="R794" s="67" t="str">
        <f>IFERROR(__xludf.DUMMYFUNCTION("""COMPUTED_VALUE"""),"NEW_UnitedStates_2050_none_181224")</f>
        <v>NEW_UnitedStates_2050_none_181224</v>
      </c>
      <c r="S794" s="67" t="str">
        <f>IFERROR(__xludf.DUMMYFUNCTION("""COMPUTED_VALUE"""),"saletructiep_UnitedStates.M355.1840.giaotiep_PTATT_LD161")</f>
        <v>saletructiep_UnitedStates.M355.1840.giaotiep_PTATT_LD161</v>
      </c>
      <c r="T794" s="107" t="str">
        <f>IFERROR(__xludf.DUMMYFUNCTION("""COMPUTED_VALUE"""),"https://patadovietnam.edu.vn/gtusa1_nhn/?utm_source=Facebook&amp;utm_medium=MES&amp;utm_term=NEW_UnitedStates_2050_none_181224&amp;utm_content=saletructiep_UnitedStates.M355.1840.giaotiep_PTATT_LD161&amp;utm_campaign=UnitedStates.giaotiep.M355_16917_MES_NamNH_181224")</f>
        <v>https://patadovietnam.edu.vn/gtusa1_nhn/?utm_source=Facebook&amp;utm_medium=MES&amp;utm_term=NEW_UnitedStates_2050_none_181224&amp;utm_content=saletructiep_UnitedStates.M355.1840.giaotiep_PTATT_LD161&amp;utm_campaign=UnitedStates.giaotiep.M355_16917_MES_NamNH_181224</v>
      </c>
      <c r="U794" s="118"/>
    </row>
    <row r="795">
      <c r="A795" s="72">
        <v>45644.0</v>
      </c>
      <c r="B795" s="75" t="s">
        <v>1134</v>
      </c>
      <c r="C795" s="67" t="str">
        <f>IFERROR(__xludf.DUMMYFUNCTION("""COMPUTED_VALUE"""),"LD153")</f>
        <v>LD153</v>
      </c>
      <c r="D795" s="55" t="s">
        <v>42</v>
      </c>
      <c r="E795" s="55" t="s">
        <v>69</v>
      </c>
      <c r="F795" s="55" t="s">
        <v>674</v>
      </c>
      <c r="G795" s="55">
        <v>1840.0</v>
      </c>
      <c r="H795" s="55" t="s">
        <v>1137</v>
      </c>
      <c r="I795" s="115" t="s">
        <v>6699</v>
      </c>
      <c r="J795" s="55" t="s">
        <v>6700</v>
      </c>
      <c r="K795" s="55" t="s">
        <v>61</v>
      </c>
      <c r="L795" s="55">
        <v>16917.0</v>
      </c>
      <c r="M795" s="55" t="s">
        <v>78</v>
      </c>
      <c r="N795" s="55" t="s">
        <v>69</v>
      </c>
      <c r="O795" s="55" t="s">
        <v>224</v>
      </c>
      <c r="P795" s="55" t="s">
        <v>110</v>
      </c>
      <c r="Q795" s="67" t="str">
        <f>IFERROR(__xludf.DUMMYFUNCTION("""COMPUTED_VALUE"""),"Europe.giaotiep.M356_16917_CVS_NamNH_181224")</f>
        <v>Europe.giaotiep.M356_16917_CVS_NamNH_181224</v>
      </c>
      <c r="R795" s="67" t="str">
        <f>IFERROR(__xludf.DUMMYFUNCTION("""COMPUTED_VALUE"""),"NEW_Europe_1840_none_181224")</f>
        <v>NEW_Europe_1840_none_181224</v>
      </c>
      <c r="S795" s="67" t="str">
        <f>IFERROR(__xludf.DUMMYFUNCTION("""COMPUTED_VALUE"""),"saletructiep_Europe.M356.1840.giaotiep_PTATT_LD153")</f>
        <v>saletructiep_Europe.M356.1840.giaotiep_PTATT_LD153</v>
      </c>
      <c r="T795" s="107" t="str">
        <f>IFERROR(__xludf.DUMMYFUNCTION("""COMPUTED_VALUE"""),"https://patadovietnam.edu.vn/tienganhgiaotiep_hn/?utm_source=Facebook&amp;utm_medium=CVS&amp;utm_term=NEW_Europe_1840_none_181224&amp;utm_content=saletructiep_Europe.M356.1840.giaotiep_PTATT_LD153&amp;utm_campaign=Europe.giaotiep.M356_16917_CVS_NamNH_181224")</f>
        <v>https://patadovietnam.edu.vn/tienganhgiaotiep_hn/?utm_source=Facebook&amp;utm_medium=CVS&amp;utm_term=NEW_Europe_1840_none_181224&amp;utm_content=saletructiep_Europe.M356.1840.giaotiep_PTATT_LD153&amp;utm_campaign=Europe.giaotiep.M356_16917_CVS_NamNH_181224</v>
      </c>
      <c r="U795" s="118"/>
    </row>
    <row r="796">
      <c r="A796" s="72">
        <v>45644.0</v>
      </c>
      <c r="B796" s="75" t="s">
        <v>1245</v>
      </c>
      <c r="C796" s="67" t="str">
        <f>IFERROR(__xludf.DUMMYFUNCTION("""COMPUTED_VALUE"""),"LD161")</f>
        <v>LD161</v>
      </c>
      <c r="D796" s="55" t="s">
        <v>42</v>
      </c>
      <c r="E796" s="55" t="s">
        <v>79</v>
      </c>
      <c r="F796" s="55" t="s">
        <v>107</v>
      </c>
      <c r="G796" s="55">
        <v>2050.0</v>
      </c>
      <c r="H796" s="55" t="s">
        <v>1137</v>
      </c>
      <c r="I796" s="115" t="s">
        <v>6701</v>
      </c>
      <c r="J796" s="55" t="s">
        <v>6702</v>
      </c>
      <c r="K796" s="55" t="s">
        <v>61</v>
      </c>
      <c r="L796" s="55">
        <v>16917.0</v>
      </c>
      <c r="M796" s="55" t="s">
        <v>78</v>
      </c>
      <c r="N796" s="55" t="s">
        <v>79</v>
      </c>
      <c r="O796" s="55" t="s">
        <v>224</v>
      </c>
      <c r="P796" s="55" t="s">
        <v>110</v>
      </c>
      <c r="Q796" s="67" t="str">
        <f>IFERROR(__xludf.DUMMYFUNCTION("""COMPUTED_VALUE"""),"UnitedStates.giaotiep.M356_16917_MES_NamNH_181224")</f>
        <v>UnitedStates.giaotiep.M356_16917_MES_NamNH_181224</v>
      </c>
      <c r="R796" s="67" t="str">
        <f>IFERROR(__xludf.DUMMYFUNCTION("""COMPUTED_VALUE"""),"NEW_UnitedStates_2050_none_181224")</f>
        <v>NEW_UnitedStates_2050_none_181224</v>
      </c>
      <c r="S796" s="67" t="str">
        <f>IFERROR(__xludf.DUMMYFUNCTION("""COMPUTED_VALUE"""),"saletructiep_UnitedStates.M356.1840.giaotiep_PTATT_LD161")</f>
        <v>saletructiep_UnitedStates.M356.1840.giaotiep_PTATT_LD161</v>
      </c>
      <c r="T796" s="107" t="str">
        <f>IFERROR(__xludf.DUMMYFUNCTION("""COMPUTED_VALUE"""),"https://patadovietnam.edu.vn/gtusa1_nhn/?utm_source=Facebook&amp;utm_medium=MES&amp;utm_term=NEW_UnitedStates_2050_none_181224&amp;utm_content=saletructiep_UnitedStates.M356.1840.giaotiep_PTATT_LD161&amp;utm_campaign=UnitedStates.giaotiep.M356_16917_MES_NamNH_181224")</f>
        <v>https://patadovietnam.edu.vn/gtusa1_nhn/?utm_source=Facebook&amp;utm_medium=MES&amp;utm_term=NEW_UnitedStates_2050_none_181224&amp;utm_content=saletructiep_UnitedStates.M356.1840.giaotiep_PTATT_LD161&amp;utm_campaign=UnitedStates.giaotiep.M356_16917_MES_NamNH_181224</v>
      </c>
      <c r="U796" s="110" t="s">
        <v>6704</v>
      </c>
    </row>
    <row r="797">
      <c r="A797" s="72">
        <v>45644.0</v>
      </c>
      <c r="B797" s="75" t="s">
        <v>1229</v>
      </c>
      <c r="C797" s="67" t="str">
        <f>IFERROR(__xludf.DUMMYFUNCTION("""COMPUTED_VALUE"""),"LD164")</f>
        <v>LD164</v>
      </c>
      <c r="D797" s="55" t="s">
        <v>42</v>
      </c>
      <c r="E797" s="55" t="s">
        <v>69</v>
      </c>
      <c r="F797" s="55" t="s">
        <v>133</v>
      </c>
      <c r="G797" s="55">
        <v>1840.0</v>
      </c>
      <c r="H797" s="55" t="s">
        <v>1137</v>
      </c>
      <c r="I797" s="115" t="s">
        <v>6705</v>
      </c>
      <c r="J797" s="55" t="s">
        <v>6706</v>
      </c>
      <c r="K797" s="55" t="s">
        <v>61</v>
      </c>
      <c r="L797" s="55">
        <v>16917.0</v>
      </c>
      <c r="M797" s="55" t="s">
        <v>78</v>
      </c>
      <c r="N797" s="55" t="s">
        <v>69</v>
      </c>
      <c r="O797" s="55" t="s">
        <v>224</v>
      </c>
      <c r="P797" s="55" t="s">
        <v>110</v>
      </c>
      <c r="Q797" s="67" t="str">
        <f>IFERROR(__xludf.DUMMYFUNCTION("""COMPUTED_VALUE"""),"Japan.giaotiep.M356_16917_CVS_NamNH_181224")</f>
        <v>Japan.giaotiep.M356_16917_CVS_NamNH_181224</v>
      </c>
      <c r="R797" s="67" t="str">
        <f>IFERROR(__xludf.DUMMYFUNCTION("""COMPUTED_VALUE"""),"NEW_Japan_1840_none_181224")</f>
        <v>NEW_Japan_1840_none_181224</v>
      </c>
      <c r="S797" s="67" t="str">
        <f>IFERROR(__xludf.DUMMYFUNCTION("""COMPUTED_VALUE"""),"saletructiep_Japan.M356.1840.giaotiep_PTATT_LD164")</f>
        <v>saletructiep_Japan.M356.1840.giaotiep_PTATT_LD164</v>
      </c>
      <c r="T797" s="107" t="str">
        <f>IFERROR(__xludf.DUMMYFUNCTION("""COMPUTED_VALUE"""),"https://patadovietnam.edu.vn/gtjapan_nhn3/?utm_source=Facebook&amp;utm_medium=CVS&amp;utm_term=NEW_Japan_1840_none_181224&amp;utm_content=saletructiep_Japan.M356.1840.giaotiep_PTATT_LD164&amp;utm_campaign=Japan.giaotiep.M356_16917_CVS_NamNH_181224")</f>
        <v>https://patadovietnam.edu.vn/gtjapan_nhn3/?utm_source=Facebook&amp;utm_medium=CVS&amp;utm_term=NEW_Japan_1840_none_181224&amp;utm_content=saletructiep_Japan.M356.1840.giaotiep_PTATT_LD164&amp;utm_campaign=Japan.giaotiep.M356_16917_CVS_NamNH_181224</v>
      </c>
      <c r="U797" s="118"/>
    </row>
    <row r="798">
      <c r="A798" s="72">
        <v>45644.0</v>
      </c>
      <c r="B798" s="75" t="s">
        <v>1134</v>
      </c>
      <c r="C798" s="67" t="str">
        <f>IFERROR(__xludf.DUMMYFUNCTION("""COMPUTED_VALUE"""),"LD153")</f>
        <v>LD153</v>
      </c>
      <c r="D798" s="55" t="s">
        <v>42</v>
      </c>
      <c r="E798" s="55" t="s">
        <v>79</v>
      </c>
      <c r="F798" s="55" t="s">
        <v>625</v>
      </c>
      <c r="G798" s="55">
        <v>1840.0</v>
      </c>
      <c r="H798" s="55" t="s">
        <v>1137</v>
      </c>
      <c r="I798" s="115" t="s">
        <v>6708</v>
      </c>
      <c r="J798" s="55" t="s">
        <v>6709</v>
      </c>
      <c r="K798" s="55" t="s">
        <v>61</v>
      </c>
      <c r="L798" s="55">
        <v>16917.0</v>
      </c>
      <c r="M798" s="55" t="s">
        <v>78</v>
      </c>
      <c r="N798" s="55" t="s">
        <v>79</v>
      </c>
      <c r="O798" s="55" t="s">
        <v>224</v>
      </c>
      <c r="P798" s="55" t="s">
        <v>110</v>
      </c>
      <c r="Q798" s="67" t="str">
        <f>IFERROR(__xludf.DUMMYFUNCTION("""COMPUTED_VALUE"""),"KoreaSouth.giaotiep.M356_16917_MES_NamNH_181224")</f>
        <v>KoreaSouth.giaotiep.M356_16917_MES_NamNH_181224</v>
      </c>
      <c r="R798" s="67" t="str">
        <f>IFERROR(__xludf.DUMMYFUNCTION("""COMPUTED_VALUE"""),"NEW_KoreaSouth_1840_none_181224")</f>
        <v>NEW_KoreaSouth_1840_none_181224</v>
      </c>
      <c r="S798" s="67" t="str">
        <f>IFERROR(__xludf.DUMMYFUNCTION("""COMPUTED_VALUE"""),"saletructiep_KoreaSouth.M356.1840.giaotiep_PTATT_LD153")</f>
        <v>saletructiep_KoreaSouth.M356.1840.giaotiep_PTATT_LD153</v>
      </c>
      <c r="T798" s="107" t="str">
        <f>IFERROR(__xludf.DUMMYFUNCTION("""COMPUTED_VALUE"""),"https://patadovietnam.edu.vn/tienganhgiaotiep_hn/?utm_source=Facebook&amp;utm_medium=MES&amp;utm_term=NEW_KoreaSouth_1840_none_181224&amp;utm_content=saletructiep_KoreaSouth.M356.1840.giaotiep_PTATT_LD153&amp;utm_campaign=KoreaSouth.giaotiep.M356_16917_MES_NamNH_181224")</f>
        <v>https://patadovietnam.edu.vn/tienganhgiaotiep_hn/?utm_source=Facebook&amp;utm_medium=MES&amp;utm_term=NEW_KoreaSouth_1840_none_181224&amp;utm_content=saletructiep_KoreaSouth.M356.1840.giaotiep_PTATT_LD153&amp;utm_campaign=KoreaSouth.giaotiep.M356_16917_MES_NamNH_181224</v>
      </c>
      <c r="U798" s="118"/>
    </row>
    <row r="799">
      <c r="A799" s="72">
        <v>45644.0</v>
      </c>
      <c r="B799" s="75" t="s">
        <v>1134</v>
      </c>
      <c r="C799" s="67" t="str">
        <f>IFERROR(__xludf.DUMMYFUNCTION("""COMPUTED_VALUE"""),"LD153")</f>
        <v>LD153</v>
      </c>
      <c r="D799" s="55" t="s">
        <v>42</v>
      </c>
      <c r="E799" s="55" t="s">
        <v>79</v>
      </c>
      <c r="F799" s="55" t="s">
        <v>164</v>
      </c>
      <c r="G799" s="55">
        <v>1840.0</v>
      </c>
      <c r="H799" s="55" t="s">
        <v>1137</v>
      </c>
      <c r="I799" s="115" t="s">
        <v>6710</v>
      </c>
      <c r="J799" s="55" t="s">
        <v>6711</v>
      </c>
      <c r="K799" s="55" t="s">
        <v>61</v>
      </c>
      <c r="L799" s="55">
        <v>16917.0</v>
      </c>
      <c r="M799" s="55" t="s">
        <v>78</v>
      </c>
      <c r="N799" s="55" t="s">
        <v>79</v>
      </c>
      <c r="O799" s="55" t="s">
        <v>224</v>
      </c>
      <c r="P799" s="55" t="s">
        <v>110</v>
      </c>
      <c r="Q799" s="67" t="str">
        <f>IFERROR(__xludf.DUMMYFUNCTION("""COMPUTED_VALUE"""),"Taiwan.giaotiep.M356_16917_MES_NamNH_181224")</f>
        <v>Taiwan.giaotiep.M356_16917_MES_NamNH_181224</v>
      </c>
      <c r="R799" s="67" t="str">
        <f>IFERROR(__xludf.DUMMYFUNCTION("""COMPUTED_VALUE"""),"NEW_Taiwan_1840_none_181224")</f>
        <v>NEW_Taiwan_1840_none_181224</v>
      </c>
      <c r="S799" s="67" t="str">
        <f>IFERROR(__xludf.DUMMYFUNCTION("""COMPUTED_VALUE"""),"saletructiep_Taiwan.M356.1840.giaotiep_PTATT_LD153")</f>
        <v>saletructiep_Taiwan.M356.1840.giaotiep_PTATT_LD153</v>
      </c>
      <c r="T799" s="107" t="str">
        <f>IFERROR(__xludf.DUMMYFUNCTION("""COMPUTED_VALUE"""),"https://patadovietnam.edu.vn/tienganhgiaotiep_hn/?utm_source=Facebook&amp;utm_medium=MES&amp;utm_term=NEW_Taiwan_1840_none_181224&amp;utm_content=saletructiep_Taiwan.M356.1840.giaotiep_PTATT_LD153&amp;utm_campaign=Taiwan.giaotiep.M356_16917_MES_NamNH_181224")</f>
        <v>https://patadovietnam.edu.vn/tienganhgiaotiep_hn/?utm_source=Facebook&amp;utm_medium=MES&amp;utm_term=NEW_Taiwan_1840_none_181224&amp;utm_content=saletructiep_Taiwan.M356.1840.giaotiep_PTATT_LD153&amp;utm_campaign=Taiwan.giaotiep.M356_16917_MES_NamNH_181224</v>
      </c>
      <c r="U799" s="118"/>
    </row>
    <row r="800">
      <c r="A800" s="72">
        <v>45644.0</v>
      </c>
      <c r="B800" s="75" t="s">
        <v>1134</v>
      </c>
      <c r="C800" s="67" t="str">
        <f>IFERROR(__xludf.DUMMYFUNCTION("""COMPUTED_VALUE"""),"LD153")</f>
        <v>LD153</v>
      </c>
      <c r="D800" s="55" t="s">
        <v>42</v>
      </c>
      <c r="E800" s="55" t="s">
        <v>79</v>
      </c>
      <c r="F800" s="55" t="s">
        <v>129</v>
      </c>
      <c r="G800" s="55">
        <v>1840.0</v>
      </c>
      <c r="H800" s="55" t="s">
        <v>1137</v>
      </c>
      <c r="I800" s="115" t="s">
        <v>6714</v>
      </c>
      <c r="J800" s="55" t="s">
        <v>6716</v>
      </c>
      <c r="K800" s="55" t="s">
        <v>61</v>
      </c>
      <c r="L800" s="55">
        <v>16917.0</v>
      </c>
      <c r="M800" s="55" t="s">
        <v>78</v>
      </c>
      <c r="N800" s="55" t="s">
        <v>79</v>
      </c>
      <c r="O800" s="55" t="s">
        <v>224</v>
      </c>
      <c r="P800" s="55" t="s">
        <v>110</v>
      </c>
      <c r="Q800" s="67" t="str">
        <f>IFERROR(__xludf.DUMMYFUNCTION("""COMPUTED_VALUE"""),"Australia.giaotiep.M356_16917_MES_NamNH_181224")</f>
        <v>Australia.giaotiep.M356_16917_MES_NamNH_181224</v>
      </c>
      <c r="R800" s="67" t="str">
        <f>IFERROR(__xludf.DUMMYFUNCTION("""COMPUTED_VALUE"""),"NEW_Australia_1840_none_181224")</f>
        <v>NEW_Australia_1840_none_181224</v>
      </c>
      <c r="S800" s="67" t="str">
        <f>IFERROR(__xludf.DUMMYFUNCTION("""COMPUTED_VALUE"""),"saletructiep_Australia.M356.1840.giaotiep_PTATT_LD153")</f>
        <v>saletructiep_Australia.M356.1840.giaotiep_PTATT_LD153</v>
      </c>
      <c r="T800" s="107" t="str">
        <f>IFERROR(__xludf.DUMMYFUNCTION("""COMPUTED_VALUE"""),"https://patadovietnam.edu.vn/tienganhgiaotiep_hn/?utm_source=Facebook&amp;utm_medium=MES&amp;utm_term=NEW_Australia_1840_none_181224&amp;utm_content=saletructiep_Australia.M356.1840.giaotiep_PTATT_LD153&amp;utm_campaign=Australia.giaotiep.M356_16917_MES_NamNH_181224")</f>
        <v>https://patadovietnam.edu.vn/tienganhgiaotiep_hn/?utm_source=Facebook&amp;utm_medium=MES&amp;utm_term=NEW_Australia_1840_none_181224&amp;utm_content=saletructiep_Australia.M356.1840.giaotiep_PTATT_LD153&amp;utm_campaign=Australia.giaotiep.M356_16917_MES_NamNH_181224</v>
      </c>
      <c r="U800" s="118"/>
    </row>
    <row r="801">
      <c r="A801" s="72">
        <v>45650.0</v>
      </c>
      <c r="B801" s="75" t="s">
        <v>1134</v>
      </c>
      <c r="C801" s="67" t="str">
        <f>IFERROR(__xludf.DUMMYFUNCTION("""COMPUTED_VALUE"""),"LD153")</f>
        <v>LD153</v>
      </c>
      <c r="D801" s="55" t="s">
        <v>42</v>
      </c>
      <c r="E801" s="55" t="s">
        <v>79</v>
      </c>
      <c r="F801" s="55" t="s">
        <v>625</v>
      </c>
      <c r="G801" s="55">
        <v>1840.0</v>
      </c>
      <c r="H801" s="55" t="s">
        <v>1137</v>
      </c>
      <c r="I801" s="115" t="s">
        <v>6718</v>
      </c>
      <c r="J801" s="55" t="s">
        <v>6719</v>
      </c>
      <c r="K801" s="55" t="s">
        <v>61</v>
      </c>
      <c r="L801" s="55">
        <v>16917.0</v>
      </c>
      <c r="M801" s="55" t="s">
        <v>78</v>
      </c>
      <c r="N801" s="55" t="s">
        <v>79</v>
      </c>
      <c r="O801" s="55" t="s">
        <v>224</v>
      </c>
      <c r="P801" s="55" t="s">
        <v>110</v>
      </c>
      <c r="Q801" s="67" t="str">
        <f>IFERROR(__xludf.DUMMYFUNCTION("""COMPUTED_VALUE"""),"KoreaSouth.giaotiep.M355_16917_MES_NamNH_241224")</f>
        <v>KoreaSouth.giaotiep.M355_16917_MES_NamNH_241224</v>
      </c>
      <c r="R801" s="67" t="str">
        <f>IFERROR(__xludf.DUMMYFUNCTION("""COMPUTED_VALUE"""),"NEW_KoreaSouth_1840_none_241224")</f>
        <v>NEW_KoreaSouth_1840_none_241224</v>
      </c>
      <c r="S801" s="67" t="str">
        <f>IFERROR(__xludf.DUMMYFUNCTION("""COMPUTED_VALUE"""),"saletructiep_KoreaSouth.M355.1840.giaotiep_PTATT_LD153")</f>
        <v>saletructiep_KoreaSouth.M355.1840.giaotiep_PTATT_LD153</v>
      </c>
      <c r="T801" s="107" t="str">
        <f>IFERROR(__xludf.DUMMYFUNCTION("""COMPUTED_VALUE"""),"https://patadovietnam.edu.vn/tienganhgiaotiep_hn/?utm_source=Facebook&amp;utm_medium=MES&amp;utm_term=NEW_KoreaSouth_1840_none_241224&amp;utm_content=saletructiep_KoreaSouth.M355.1840.giaotiep_PTATT_LD153&amp;utm_campaign=KoreaSouth.giaotiep.M355_16917_MES_NamNH_241224")</f>
        <v>https://patadovietnam.edu.vn/tienganhgiaotiep_hn/?utm_source=Facebook&amp;utm_medium=MES&amp;utm_term=NEW_KoreaSouth_1840_none_241224&amp;utm_content=saletructiep_KoreaSouth.M355.1840.giaotiep_PTATT_LD153&amp;utm_campaign=KoreaSouth.giaotiep.M355_16917_MES_NamNH_241224</v>
      </c>
      <c r="U801" s="118"/>
    </row>
    <row r="802">
      <c r="A802" s="72">
        <v>45650.0</v>
      </c>
      <c r="B802" s="75" t="s">
        <v>1134</v>
      </c>
      <c r="C802" s="67" t="str">
        <f>IFERROR(__xludf.DUMMYFUNCTION("""COMPUTED_VALUE"""),"LD153")</f>
        <v>LD153</v>
      </c>
      <c r="D802" s="55" t="s">
        <v>42</v>
      </c>
      <c r="E802" s="55" t="s">
        <v>79</v>
      </c>
      <c r="F802" s="55" t="s">
        <v>164</v>
      </c>
      <c r="G802" s="55">
        <v>1840.0</v>
      </c>
      <c r="H802" s="55" t="s">
        <v>1137</v>
      </c>
      <c r="I802" s="115" t="s">
        <v>6721</v>
      </c>
      <c r="J802" s="55" t="s">
        <v>6722</v>
      </c>
      <c r="K802" s="55" t="s">
        <v>61</v>
      </c>
      <c r="L802" s="55">
        <v>16917.0</v>
      </c>
      <c r="M802" s="55" t="s">
        <v>78</v>
      </c>
      <c r="N802" s="55" t="s">
        <v>79</v>
      </c>
      <c r="O802" s="55" t="s">
        <v>224</v>
      </c>
      <c r="P802" s="55" t="s">
        <v>110</v>
      </c>
      <c r="Q802" s="67" t="str">
        <f>IFERROR(__xludf.DUMMYFUNCTION("""COMPUTED_VALUE"""),"Taiwan.giaotiep.M355_16917_MES_NamNH_241224")</f>
        <v>Taiwan.giaotiep.M355_16917_MES_NamNH_241224</v>
      </c>
      <c r="R802" s="67" t="str">
        <f>IFERROR(__xludf.DUMMYFUNCTION("""COMPUTED_VALUE"""),"NEW_Taiwan_1840_none_241224")</f>
        <v>NEW_Taiwan_1840_none_241224</v>
      </c>
      <c r="S802" s="67" t="str">
        <f>IFERROR(__xludf.DUMMYFUNCTION("""COMPUTED_VALUE"""),"saletructiep_Taiwan.M355.1840.giaotiep_PTATT_LD153")</f>
        <v>saletructiep_Taiwan.M355.1840.giaotiep_PTATT_LD153</v>
      </c>
      <c r="T802" s="107" t="str">
        <f>IFERROR(__xludf.DUMMYFUNCTION("""COMPUTED_VALUE"""),"https://patadovietnam.edu.vn/tienganhgiaotiep_hn/?utm_source=Facebook&amp;utm_medium=MES&amp;utm_term=NEW_Taiwan_1840_none_241224&amp;utm_content=saletructiep_Taiwan.M355.1840.giaotiep_PTATT_LD153&amp;utm_campaign=Taiwan.giaotiep.M355_16917_MES_NamNH_241224")</f>
        <v>https://patadovietnam.edu.vn/tienganhgiaotiep_hn/?utm_source=Facebook&amp;utm_medium=MES&amp;utm_term=NEW_Taiwan_1840_none_241224&amp;utm_content=saletructiep_Taiwan.M355.1840.giaotiep_PTATT_LD153&amp;utm_campaign=Taiwan.giaotiep.M355_16917_MES_NamNH_241224</v>
      </c>
      <c r="U802" s="118"/>
    </row>
    <row r="803">
      <c r="A803" s="72">
        <v>45650.0</v>
      </c>
      <c r="B803" s="75" t="s">
        <v>1134</v>
      </c>
      <c r="C803" s="67" t="str">
        <f>IFERROR(__xludf.DUMMYFUNCTION("""COMPUTED_VALUE"""),"LD153")</f>
        <v>LD153</v>
      </c>
      <c r="D803" s="55" t="s">
        <v>42</v>
      </c>
      <c r="E803" s="55" t="s">
        <v>79</v>
      </c>
      <c r="F803" s="55" t="s">
        <v>129</v>
      </c>
      <c r="G803" s="55">
        <v>1840.0</v>
      </c>
      <c r="H803" s="55" t="s">
        <v>1137</v>
      </c>
      <c r="I803" s="115" t="s">
        <v>6726</v>
      </c>
      <c r="J803" s="55" t="s">
        <v>6727</v>
      </c>
      <c r="K803" s="55" t="s">
        <v>61</v>
      </c>
      <c r="L803" s="55">
        <v>16917.0</v>
      </c>
      <c r="M803" s="55" t="s">
        <v>78</v>
      </c>
      <c r="N803" s="55" t="s">
        <v>79</v>
      </c>
      <c r="O803" s="55" t="s">
        <v>224</v>
      </c>
      <c r="P803" s="55" t="s">
        <v>110</v>
      </c>
      <c r="Q803" s="67" t="str">
        <f>IFERROR(__xludf.DUMMYFUNCTION("""COMPUTED_VALUE"""),"Australia.giaotiep.M355_16917_MES_NamNH_241224")</f>
        <v>Australia.giaotiep.M355_16917_MES_NamNH_241224</v>
      </c>
      <c r="R803" s="67" t="str">
        <f>IFERROR(__xludf.DUMMYFUNCTION("""COMPUTED_VALUE"""),"NEW_Australia_1840_none_241224")</f>
        <v>NEW_Australia_1840_none_241224</v>
      </c>
      <c r="S803" s="67" t="str">
        <f>IFERROR(__xludf.DUMMYFUNCTION("""COMPUTED_VALUE"""),"saletructiep_Australia.M355.1840.giaotiep_PTATT_LD153")</f>
        <v>saletructiep_Australia.M355.1840.giaotiep_PTATT_LD153</v>
      </c>
      <c r="T803" s="107" t="str">
        <f>IFERROR(__xludf.DUMMYFUNCTION("""COMPUTED_VALUE"""),"https://patadovietnam.edu.vn/tienganhgiaotiep_hn/?utm_source=Facebook&amp;utm_medium=MES&amp;utm_term=NEW_Australia_1840_none_241224&amp;utm_content=saletructiep_Australia.M355.1840.giaotiep_PTATT_LD153&amp;utm_campaign=Australia.giaotiep.M355_16917_MES_NamNH_241224")</f>
        <v>https://patadovietnam.edu.vn/tienganhgiaotiep_hn/?utm_source=Facebook&amp;utm_medium=MES&amp;utm_term=NEW_Australia_1840_none_241224&amp;utm_content=saletructiep_Australia.M355.1840.giaotiep_PTATT_LD153&amp;utm_campaign=Australia.giaotiep.M355_16917_MES_NamNH_241224</v>
      </c>
      <c r="U803" s="116"/>
    </row>
    <row r="804">
      <c r="A804" s="72">
        <v>45667.0</v>
      </c>
      <c r="B804" s="60" t="s">
        <v>1134</v>
      </c>
      <c r="C804" s="67" t="str">
        <f>IFERROR(__xludf.DUMMYFUNCTION("""COMPUTED_VALUE"""),"LD153")</f>
        <v>LD153</v>
      </c>
      <c r="D804" s="55" t="s">
        <v>42</v>
      </c>
      <c r="E804" s="55" t="s">
        <v>79</v>
      </c>
      <c r="F804" s="55" t="s">
        <v>674</v>
      </c>
      <c r="G804" s="55">
        <v>1840.0</v>
      </c>
      <c r="H804" s="55" t="s">
        <v>1137</v>
      </c>
      <c r="I804" s="115" t="s">
        <v>1679</v>
      </c>
      <c r="J804" s="55" t="s">
        <v>3790</v>
      </c>
      <c r="K804" s="55" t="s">
        <v>61</v>
      </c>
      <c r="L804" s="55">
        <v>16917.0</v>
      </c>
      <c r="M804" s="55" t="s">
        <v>78</v>
      </c>
      <c r="N804" s="55" t="s">
        <v>79</v>
      </c>
      <c r="O804" s="55" t="s">
        <v>224</v>
      </c>
      <c r="P804" s="55" t="s">
        <v>110</v>
      </c>
      <c r="Q804" s="67" t="str">
        <f>IFERROR(__xludf.DUMMYFUNCTION("""COMPUTED_VALUE"""),"Europe.giaotiep.HTKOC2_16917_MES_NamNH_100125")</f>
        <v>Europe.giaotiep.HTKOC2_16917_MES_NamNH_100125</v>
      </c>
      <c r="R804" s="67" t="str">
        <f>IFERROR(__xludf.DUMMYFUNCTION("""COMPUTED_VALUE"""),"NEW_Europe_1840_none_100125")</f>
        <v>NEW_Europe_1840_none_100125</v>
      </c>
      <c r="S804" s="67" t="str">
        <f>IFERROR(__xludf.DUMMYFUNCTION("""COMPUTED_VALUE"""),"saletructiep_Europe.HTKOC2.1840.giaotiep_PTATT_LD153")</f>
        <v>saletructiep_Europe.HTKOC2.1840.giaotiep_PTATT_LD153</v>
      </c>
      <c r="T804" s="107" t="str">
        <f>IFERROR(__xludf.DUMMYFUNCTION("""COMPUTED_VALUE"""),"https://patadovietnam.edu.vn/tienganhgiaotiep_hn/?utm_source=Facebook&amp;utm_medium=MES&amp;utm_term=NEW_Europe_1840_none_100125&amp;utm_content=saletructiep_Europe.HTKOC2.1840.giaotiep_PTATT_LD153&amp;utm_campaign=Europe.giaotiep.HTKOC2_16917_MES_NamNH_100125")</f>
        <v>https://patadovietnam.edu.vn/tienganhgiaotiep_hn/?utm_source=Facebook&amp;utm_medium=MES&amp;utm_term=NEW_Europe_1840_none_100125&amp;utm_content=saletructiep_Europe.HTKOC2.1840.giaotiep_PTATT_LD153&amp;utm_campaign=Europe.giaotiep.HTKOC2_16917_MES_NamNH_100125</v>
      </c>
      <c r="U804" s="110" t="s">
        <v>6733</v>
      </c>
    </row>
    <row r="805">
      <c r="A805" s="72">
        <v>45667.0</v>
      </c>
      <c r="B805" s="75" t="s">
        <v>1134</v>
      </c>
      <c r="C805" s="67" t="str">
        <f>IFERROR(__xludf.DUMMYFUNCTION("""COMPUTED_VALUE"""),"LD153")</f>
        <v>LD153</v>
      </c>
      <c r="D805" s="55" t="s">
        <v>42</v>
      </c>
      <c r="E805" s="55" t="s">
        <v>79</v>
      </c>
      <c r="F805" s="55" t="s">
        <v>129</v>
      </c>
      <c r="G805" s="55">
        <v>1840.0</v>
      </c>
      <c r="H805" s="55" t="s">
        <v>1137</v>
      </c>
      <c r="I805" s="115" t="s">
        <v>6734</v>
      </c>
      <c r="J805" s="55" t="s">
        <v>6735</v>
      </c>
      <c r="K805" s="55" t="s">
        <v>61</v>
      </c>
      <c r="L805" s="55">
        <v>16917.0</v>
      </c>
      <c r="M805" s="55" t="s">
        <v>78</v>
      </c>
      <c r="N805" s="55" t="s">
        <v>79</v>
      </c>
      <c r="O805" s="55" t="s">
        <v>224</v>
      </c>
      <c r="P805" s="55" t="s">
        <v>110</v>
      </c>
      <c r="Q805" s="67" t="str">
        <f>IFERROR(__xludf.DUMMYFUNCTION("""COMPUTED_VALUE"""),"Australia.giaotiep.M364_16917_MES_NamNH_100125")</f>
        <v>Australia.giaotiep.M364_16917_MES_NamNH_100125</v>
      </c>
      <c r="R805" s="67" t="str">
        <f>IFERROR(__xludf.DUMMYFUNCTION("""COMPUTED_VALUE"""),"NEW_Australia_1840_none_100125")</f>
        <v>NEW_Australia_1840_none_100125</v>
      </c>
      <c r="S805" s="67" t="str">
        <f>IFERROR(__xludf.DUMMYFUNCTION("""COMPUTED_VALUE"""),"saletructiep_Australia.M364.1840.giaotiep_PTATT_LD153")</f>
        <v>saletructiep_Australia.M364.1840.giaotiep_PTATT_LD153</v>
      </c>
      <c r="T805" s="107" t="str">
        <f>IFERROR(__xludf.DUMMYFUNCTION("""COMPUTED_VALUE"""),"https://patadovietnam.edu.vn/tienganhgiaotiep_hn/?utm_source=Facebook&amp;utm_medium=MES&amp;utm_term=NEW_Australia_1840_none_100125&amp;utm_content=saletructiep_Australia.M364.1840.giaotiep_PTATT_LD153&amp;utm_campaign=Australia.giaotiep.M364_16917_MES_NamNH_100125")</f>
        <v>https://patadovietnam.edu.vn/tienganhgiaotiep_hn/?utm_source=Facebook&amp;utm_medium=MES&amp;utm_term=NEW_Australia_1840_none_100125&amp;utm_content=saletructiep_Australia.M364.1840.giaotiep_PTATT_LD153&amp;utm_campaign=Australia.giaotiep.M364_16917_MES_NamNH_100125</v>
      </c>
      <c r="U805" s="110" t="s">
        <v>6736</v>
      </c>
    </row>
    <row r="806">
      <c r="A806" s="72">
        <v>45667.0</v>
      </c>
      <c r="B806" s="75" t="s">
        <v>1134</v>
      </c>
      <c r="C806" s="67" t="str">
        <f>IFERROR(__xludf.DUMMYFUNCTION("""COMPUTED_VALUE"""),"LD153")</f>
        <v>LD153</v>
      </c>
      <c r="D806" s="55" t="s">
        <v>42</v>
      </c>
      <c r="E806" s="55" t="s">
        <v>69</v>
      </c>
      <c r="F806" s="55" t="s">
        <v>674</v>
      </c>
      <c r="G806" s="55">
        <v>1840.0</v>
      </c>
      <c r="H806" s="55" t="s">
        <v>1137</v>
      </c>
      <c r="I806" s="115" t="s">
        <v>6737</v>
      </c>
      <c r="J806" s="55" t="s">
        <v>6738</v>
      </c>
      <c r="K806" s="55" t="s">
        <v>61</v>
      </c>
      <c r="L806" s="55">
        <v>16917.0</v>
      </c>
      <c r="M806" s="55" t="s">
        <v>78</v>
      </c>
      <c r="N806" s="55" t="s">
        <v>69</v>
      </c>
      <c r="O806" s="55" t="s">
        <v>224</v>
      </c>
      <c r="P806" s="55" t="s">
        <v>110</v>
      </c>
      <c r="Q806" s="67" t="str">
        <f>IFERROR(__xludf.DUMMYFUNCTION("""COMPUTED_VALUE"""),"Europe.giaotiep.M364_16917_CVS_NamNH_100125")</f>
        <v>Europe.giaotiep.M364_16917_CVS_NamNH_100125</v>
      </c>
      <c r="R806" s="67" t="str">
        <f>IFERROR(__xludf.DUMMYFUNCTION("""COMPUTED_VALUE"""),"NEW_Europe_1840_none_100125")</f>
        <v>NEW_Europe_1840_none_100125</v>
      </c>
      <c r="S806" s="67" t="str">
        <f>IFERROR(__xludf.DUMMYFUNCTION("""COMPUTED_VALUE"""),"saletructiep_Europe.M364.1840.giaotiep_PTATT_LD153")</f>
        <v>saletructiep_Europe.M364.1840.giaotiep_PTATT_LD153</v>
      </c>
      <c r="T806" s="107" t="str">
        <f>IFERROR(__xludf.DUMMYFUNCTION("""COMPUTED_VALUE"""),"https://patadovietnam.edu.vn/tienganhgiaotiep_hn/?utm_source=Facebook&amp;utm_medium=CVS&amp;utm_term=NEW_Europe_1840_none_100125&amp;utm_content=saletructiep_Europe.M364.1840.giaotiep_PTATT_LD153&amp;utm_campaign=Europe.giaotiep.M364_16917_CVS_NamNH_100125")</f>
        <v>https://patadovietnam.edu.vn/tienganhgiaotiep_hn/?utm_source=Facebook&amp;utm_medium=CVS&amp;utm_term=NEW_Europe_1840_none_100125&amp;utm_content=saletructiep_Europe.M364.1840.giaotiep_PTATT_LD153&amp;utm_campaign=Europe.giaotiep.M364_16917_CVS_NamNH_100125</v>
      </c>
      <c r="U806" s="110" t="s">
        <v>6739</v>
      </c>
    </row>
    <row r="807">
      <c r="A807" s="72">
        <v>45667.0</v>
      </c>
      <c r="B807" s="75" t="s">
        <v>1229</v>
      </c>
      <c r="C807" s="67" t="str">
        <f>IFERROR(__xludf.DUMMYFUNCTION("""COMPUTED_VALUE"""),"LD164")</f>
        <v>LD164</v>
      </c>
      <c r="D807" s="55" t="s">
        <v>42</v>
      </c>
      <c r="E807" s="55" t="s">
        <v>69</v>
      </c>
      <c r="F807" s="55" t="s">
        <v>133</v>
      </c>
      <c r="G807" s="55">
        <v>1840.0</v>
      </c>
      <c r="H807" s="55" t="s">
        <v>1137</v>
      </c>
      <c r="I807" s="115" t="s">
        <v>6740</v>
      </c>
      <c r="J807" s="55" t="s">
        <v>6741</v>
      </c>
      <c r="K807" s="55" t="s">
        <v>61</v>
      </c>
      <c r="L807" s="55">
        <v>16917.0</v>
      </c>
      <c r="M807" s="55" t="s">
        <v>78</v>
      </c>
      <c r="N807" s="55" t="s">
        <v>69</v>
      </c>
      <c r="O807" s="55" t="s">
        <v>224</v>
      </c>
      <c r="P807" s="55" t="s">
        <v>110</v>
      </c>
      <c r="Q807" s="67" t="str">
        <f>IFERROR(__xludf.DUMMYFUNCTION("""COMPUTED_VALUE"""),"Japan.giaotiep.M364_16917_CVS_NamNH_100125")</f>
        <v>Japan.giaotiep.M364_16917_CVS_NamNH_100125</v>
      </c>
      <c r="R807" s="67" t="str">
        <f>IFERROR(__xludf.DUMMYFUNCTION("""COMPUTED_VALUE"""),"NEW_Japan_1840_none_100125")</f>
        <v>NEW_Japan_1840_none_100125</v>
      </c>
      <c r="S807" s="67" t="str">
        <f>IFERROR(__xludf.DUMMYFUNCTION("""COMPUTED_VALUE"""),"saletructiep_Japan.M364.1840.giaotiep_PTATT_LD164")</f>
        <v>saletructiep_Japan.M364.1840.giaotiep_PTATT_LD164</v>
      </c>
      <c r="T807" s="107" t="str">
        <f>IFERROR(__xludf.DUMMYFUNCTION("""COMPUTED_VALUE"""),"https://patadovietnam.edu.vn/gtjapan_nhn3/?utm_source=Facebook&amp;utm_medium=CVS&amp;utm_term=NEW_Japan_1840_none_100125&amp;utm_content=saletructiep_Japan.M364.1840.giaotiep_PTATT_LD164&amp;utm_campaign=Japan.giaotiep.M364_16917_CVS_NamNH_100125")</f>
        <v>https://patadovietnam.edu.vn/gtjapan_nhn3/?utm_source=Facebook&amp;utm_medium=CVS&amp;utm_term=NEW_Japan_1840_none_100125&amp;utm_content=saletructiep_Japan.M364.1840.giaotiep_PTATT_LD164&amp;utm_campaign=Japan.giaotiep.M364_16917_CVS_NamNH_100125</v>
      </c>
      <c r="U807" s="110" t="s">
        <v>6742</v>
      </c>
    </row>
    <row r="808">
      <c r="A808" s="72">
        <v>45667.0</v>
      </c>
      <c r="B808" s="75" t="s">
        <v>1134</v>
      </c>
      <c r="C808" s="67" t="str">
        <f>IFERROR(__xludf.DUMMYFUNCTION("""COMPUTED_VALUE"""),"LD153")</f>
        <v>LD153</v>
      </c>
      <c r="D808" s="55" t="s">
        <v>42</v>
      </c>
      <c r="E808" s="55" t="s">
        <v>79</v>
      </c>
      <c r="F808" s="55" t="s">
        <v>625</v>
      </c>
      <c r="G808" s="55">
        <v>1840.0</v>
      </c>
      <c r="H808" s="55" t="s">
        <v>1137</v>
      </c>
      <c r="I808" s="115" t="s">
        <v>6743</v>
      </c>
      <c r="J808" s="55" t="s">
        <v>6744</v>
      </c>
      <c r="K808" s="55" t="s">
        <v>61</v>
      </c>
      <c r="L808" s="55">
        <v>16917.0</v>
      </c>
      <c r="M808" s="55" t="s">
        <v>78</v>
      </c>
      <c r="N808" s="55" t="s">
        <v>79</v>
      </c>
      <c r="O808" s="55" t="s">
        <v>224</v>
      </c>
      <c r="P808" s="55" t="s">
        <v>110</v>
      </c>
      <c r="Q808" s="67" t="str">
        <f>IFERROR(__xludf.DUMMYFUNCTION("""COMPUTED_VALUE"""),"KoreaSouth.giaotiep.M363_16917_MES_NamNH_100125")</f>
        <v>KoreaSouth.giaotiep.M363_16917_MES_NamNH_100125</v>
      </c>
      <c r="R808" s="67" t="str">
        <f>IFERROR(__xludf.DUMMYFUNCTION("""COMPUTED_VALUE"""),"NEW_KoreaSouth_1840_none_100125")</f>
        <v>NEW_KoreaSouth_1840_none_100125</v>
      </c>
      <c r="S808" s="67" t="str">
        <f>IFERROR(__xludf.DUMMYFUNCTION("""COMPUTED_VALUE"""),"saletructiep_KoreaSouth.M363.1840.giaotiep_PTATT_LD153")</f>
        <v>saletructiep_KoreaSouth.M363.1840.giaotiep_PTATT_LD153</v>
      </c>
      <c r="T808" s="107" t="str">
        <f>IFERROR(__xludf.DUMMYFUNCTION("""COMPUTED_VALUE"""),"https://patadovietnam.edu.vn/tienganhgiaotiep_hn/?utm_source=Facebook&amp;utm_medium=MES&amp;utm_term=NEW_KoreaSouth_1840_none_100125&amp;utm_content=saletructiep_KoreaSouth.M363.1840.giaotiep_PTATT_LD153&amp;utm_campaign=KoreaSouth.giaotiep.M363_16917_MES_NamNH_100125")</f>
        <v>https://patadovietnam.edu.vn/tienganhgiaotiep_hn/?utm_source=Facebook&amp;utm_medium=MES&amp;utm_term=NEW_KoreaSouth_1840_none_100125&amp;utm_content=saletructiep_KoreaSouth.M363.1840.giaotiep_PTATT_LD153&amp;utm_campaign=KoreaSouth.giaotiep.M363_16917_MES_NamNH_100125</v>
      </c>
      <c r="U808" s="110" t="s">
        <v>6745</v>
      </c>
    </row>
    <row r="809">
      <c r="A809" s="72">
        <v>45667.0</v>
      </c>
      <c r="B809" s="75" t="s">
        <v>1245</v>
      </c>
      <c r="C809" s="67" t="str">
        <f>IFERROR(__xludf.DUMMYFUNCTION("""COMPUTED_VALUE"""),"LD161")</f>
        <v>LD161</v>
      </c>
      <c r="D809" s="55" t="s">
        <v>42</v>
      </c>
      <c r="E809" s="55" t="s">
        <v>79</v>
      </c>
      <c r="F809" s="55" t="s">
        <v>107</v>
      </c>
      <c r="G809" s="55">
        <v>2050.0</v>
      </c>
      <c r="H809" s="55" t="s">
        <v>1137</v>
      </c>
      <c r="I809" s="115" t="s">
        <v>6746</v>
      </c>
      <c r="J809" s="55" t="s">
        <v>6747</v>
      </c>
      <c r="K809" s="55" t="s">
        <v>61</v>
      </c>
      <c r="L809" s="55">
        <v>16917.0</v>
      </c>
      <c r="M809" s="55" t="s">
        <v>78</v>
      </c>
      <c r="N809" s="55" t="s">
        <v>79</v>
      </c>
      <c r="O809" s="55" t="s">
        <v>224</v>
      </c>
      <c r="P809" s="55" t="s">
        <v>110</v>
      </c>
      <c r="Q809" s="67" t="str">
        <f>IFERROR(__xludf.DUMMYFUNCTION("""COMPUTED_VALUE"""),"UnitedStates.giaotiep.M364_16917_MES_NamNH_100125")</f>
        <v>UnitedStates.giaotiep.M364_16917_MES_NamNH_100125</v>
      </c>
      <c r="R809" s="67" t="str">
        <f>IFERROR(__xludf.DUMMYFUNCTION("""COMPUTED_VALUE"""),"NEW_UnitedStates_2050_none_100125")</f>
        <v>NEW_UnitedStates_2050_none_100125</v>
      </c>
      <c r="S809" s="67" t="str">
        <f>IFERROR(__xludf.DUMMYFUNCTION("""COMPUTED_VALUE"""),"saletructiep_UnitedStates.M364.1840.giaotiep_PTATT_LD161")</f>
        <v>saletructiep_UnitedStates.M364.1840.giaotiep_PTATT_LD161</v>
      </c>
      <c r="T809" s="107" t="str">
        <f>IFERROR(__xludf.DUMMYFUNCTION("""COMPUTED_VALUE"""),"https://patadovietnam.edu.vn/gtusa1_nhn/?utm_source=Facebook&amp;utm_medium=MES&amp;utm_term=NEW_UnitedStates_2050_none_100125&amp;utm_content=saletructiep_UnitedStates.M364.1840.giaotiep_PTATT_LD161&amp;utm_campaign=UnitedStates.giaotiep.M364_16917_MES_NamNH_100125")</f>
        <v>https://patadovietnam.edu.vn/gtusa1_nhn/?utm_source=Facebook&amp;utm_medium=MES&amp;utm_term=NEW_UnitedStates_2050_none_100125&amp;utm_content=saletructiep_UnitedStates.M364.1840.giaotiep_PTATT_LD161&amp;utm_campaign=UnitedStates.giaotiep.M364_16917_MES_NamNH_100125</v>
      </c>
      <c r="U809" s="110" t="s">
        <v>6748</v>
      </c>
    </row>
    <row r="810">
      <c r="A810" s="72">
        <v>45668.0</v>
      </c>
      <c r="B810" s="75" t="s">
        <v>1245</v>
      </c>
      <c r="C810" s="67" t="str">
        <f>IFERROR(__xludf.DUMMYFUNCTION("""COMPUTED_VALUE"""),"LD161")</f>
        <v>LD161</v>
      </c>
      <c r="D810" s="55" t="s">
        <v>42</v>
      </c>
      <c r="E810" s="55" t="s">
        <v>79</v>
      </c>
      <c r="F810" s="55" t="s">
        <v>107</v>
      </c>
      <c r="G810" s="55">
        <v>2050.0</v>
      </c>
      <c r="H810" s="55" t="s">
        <v>1137</v>
      </c>
      <c r="I810" s="115" t="s">
        <v>6749</v>
      </c>
      <c r="J810" s="55" t="s">
        <v>6750</v>
      </c>
      <c r="K810" s="55" t="s">
        <v>61</v>
      </c>
      <c r="L810" s="55">
        <v>16917.0</v>
      </c>
      <c r="M810" s="55" t="s">
        <v>78</v>
      </c>
      <c r="N810" s="55" t="s">
        <v>79</v>
      </c>
      <c r="O810" s="55" t="s">
        <v>224</v>
      </c>
      <c r="P810" s="55" t="s">
        <v>110</v>
      </c>
      <c r="Q810" s="67" t="str">
        <f>IFERROR(__xludf.DUMMYFUNCTION("""COMPUTED_VALUE"""),"UnitedStates.giaotiep.M307_16917_MES_NamNH_110125")</f>
        <v>UnitedStates.giaotiep.M307_16917_MES_NamNH_110125</v>
      </c>
      <c r="R810" s="67" t="str">
        <f>IFERROR(__xludf.DUMMYFUNCTION("""COMPUTED_VALUE"""),"NEW_UnitedStates_2050_none_110125")</f>
        <v>NEW_UnitedStates_2050_none_110125</v>
      </c>
      <c r="S810" s="67" t="str">
        <f>IFERROR(__xludf.DUMMYFUNCTION("""COMPUTED_VALUE"""),"saletructiep_UnitedStates.M307.1840.giaotiep_PTATT_LD161")</f>
        <v>saletructiep_UnitedStates.M307.1840.giaotiep_PTATT_LD161</v>
      </c>
      <c r="T810" s="107" t="str">
        <f>IFERROR(__xludf.DUMMYFUNCTION("""COMPUTED_VALUE"""),"https://patadovietnam.edu.vn/gtusa1_nhn/?utm_source=Facebook&amp;utm_medium=MES&amp;utm_term=NEW_UnitedStates_2050_none_110125&amp;utm_content=saletructiep_UnitedStates.M307.1840.giaotiep_PTATT_LD161&amp;utm_campaign=UnitedStates.giaotiep.M307_16917_MES_NamNH_110125")</f>
        <v>https://patadovietnam.edu.vn/gtusa1_nhn/?utm_source=Facebook&amp;utm_medium=MES&amp;utm_term=NEW_UnitedStates_2050_none_110125&amp;utm_content=saletructiep_UnitedStates.M307.1840.giaotiep_PTATT_LD161&amp;utm_campaign=UnitedStates.giaotiep.M307_16917_MES_NamNH_110125</v>
      </c>
      <c r="U810" s="116"/>
    </row>
    <row r="811">
      <c r="A811" s="72">
        <v>45668.0</v>
      </c>
      <c r="B811" s="75" t="s">
        <v>1245</v>
      </c>
      <c r="C811" s="67" t="str">
        <f>IFERROR(__xludf.DUMMYFUNCTION("""COMPUTED_VALUE"""),"LD161")</f>
        <v>LD161</v>
      </c>
      <c r="D811" s="55" t="s">
        <v>42</v>
      </c>
      <c r="E811" s="55" t="s">
        <v>79</v>
      </c>
      <c r="F811" s="55" t="s">
        <v>107</v>
      </c>
      <c r="G811" s="55">
        <v>2050.0</v>
      </c>
      <c r="H811" s="55" t="s">
        <v>1137</v>
      </c>
      <c r="I811" s="115" t="s">
        <v>6752</v>
      </c>
      <c r="J811" s="55" t="s">
        <v>6753</v>
      </c>
      <c r="K811" s="55" t="s">
        <v>61</v>
      </c>
      <c r="L811" s="55">
        <v>16917.0</v>
      </c>
      <c r="M811" s="55" t="s">
        <v>78</v>
      </c>
      <c r="N811" s="55" t="s">
        <v>79</v>
      </c>
      <c r="O811" s="55" t="s">
        <v>224</v>
      </c>
      <c r="P811" s="55" t="s">
        <v>110</v>
      </c>
      <c r="Q811" s="67" t="str">
        <f>IFERROR(__xludf.DUMMYFUNCTION("""COMPUTED_VALUE"""),"UnitedStates.giaotiep.M318_16917_MES_NamNH_110125")</f>
        <v>UnitedStates.giaotiep.M318_16917_MES_NamNH_110125</v>
      </c>
      <c r="R811" s="67" t="str">
        <f>IFERROR(__xludf.DUMMYFUNCTION("""COMPUTED_VALUE"""),"NEW_UnitedStates_2050_none_110125")</f>
        <v>NEW_UnitedStates_2050_none_110125</v>
      </c>
      <c r="S811" s="67" t="str">
        <f>IFERROR(__xludf.DUMMYFUNCTION("""COMPUTED_VALUE"""),"saletructiep_UnitedStates.M318.1840.giaotiep_PTATT_LD161")</f>
        <v>saletructiep_UnitedStates.M318.1840.giaotiep_PTATT_LD161</v>
      </c>
      <c r="T811" s="107" t="str">
        <f>IFERROR(__xludf.DUMMYFUNCTION("""COMPUTED_VALUE"""),"https://patadovietnam.edu.vn/gtusa1_nhn/?utm_source=Facebook&amp;utm_medium=MES&amp;utm_term=NEW_UnitedStates_2050_none_110125&amp;utm_content=saletructiep_UnitedStates.M318.1840.giaotiep_PTATT_LD161&amp;utm_campaign=UnitedStates.giaotiep.M318_16917_MES_NamNH_110125")</f>
        <v>https://patadovietnam.edu.vn/gtusa1_nhn/?utm_source=Facebook&amp;utm_medium=MES&amp;utm_term=NEW_UnitedStates_2050_none_110125&amp;utm_content=saletructiep_UnitedStates.M318.1840.giaotiep_PTATT_LD161&amp;utm_campaign=UnitedStates.giaotiep.M318_16917_MES_NamNH_110125</v>
      </c>
      <c r="U811" s="116"/>
    </row>
    <row r="812">
      <c r="A812" s="72">
        <v>45668.0</v>
      </c>
      <c r="B812" s="75" t="s">
        <v>1229</v>
      </c>
      <c r="C812" s="67" t="str">
        <f>IFERROR(__xludf.DUMMYFUNCTION("""COMPUTED_VALUE"""),"LD164")</f>
        <v>LD164</v>
      </c>
      <c r="D812" s="55" t="s">
        <v>42</v>
      </c>
      <c r="E812" s="55" t="s">
        <v>69</v>
      </c>
      <c r="F812" s="55" t="s">
        <v>133</v>
      </c>
      <c r="G812" s="55">
        <v>1840.0</v>
      </c>
      <c r="H812" s="55" t="s">
        <v>1137</v>
      </c>
      <c r="I812" s="115" t="s">
        <v>6755</v>
      </c>
      <c r="J812" s="55" t="s">
        <v>6756</v>
      </c>
      <c r="K812" s="55" t="s">
        <v>61</v>
      </c>
      <c r="L812" s="55">
        <v>16917.0</v>
      </c>
      <c r="M812" s="55" t="s">
        <v>78</v>
      </c>
      <c r="N812" s="55" t="s">
        <v>69</v>
      </c>
      <c r="O812" s="55" t="s">
        <v>224</v>
      </c>
      <c r="P812" s="55" t="s">
        <v>110</v>
      </c>
      <c r="Q812" s="67" t="str">
        <f>IFERROR(__xludf.DUMMYFUNCTION("""COMPUTED_VALUE"""),"Japan.giaotiep.M318_16917_CVS_NamNH_110125")</f>
        <v>Japan.giaotiep.M318_16917_CVS_NamNH_110125</v>
      </c>
      <c r="R812" s="67" t="str">
        <f>IFERROR(__xludf.DUMMYFUNCTION("""COMPUTED_VALUE"""),"NEW_Japan_1840_none_110125")</f>
        <v>NEW_Japan_1840_none_110125</v>
      </c>
      <c r="S812" s="67" t="str">
        <f>IFERROR(__xludf.DUMMYFUNCTION("""COMPUTED_VALUE"""),"saletructiep_Japan.M318.1840.giaotiep_PTATT_LD164")</f>
        <v>saletructiep_Japan.M318.1840.giaotiep_PTATT_LD164</v>
      </c>
      <c r="T812" s="107" t="str">
        <f>IFERROR(__xludf.DUMMYFUNCTION("""COMPUTED_VALUE"""),"https://patadovietnam.edu.vn/gtjapan_nhn3/?utm_source=Facebook&amp;utm_medium=CVS&amp;utm_term=NEW_Japan_1840_none_110125&amp;utm_content=saletructiep_Japan.M318.1840.giaotiep_PTATT_LD164&amp;utm_campaign=Japan.giaotiep.M318_16917_CVS_NamNH_110125")</f>
        <v>https://patadovietnam.edu.vn/gtjapan_nhn3/?utm_source=Facebook&amp;utm_medium=CVS&amp;utm_term=NEW_Japan_1840_none_110125&amp;utm_content=saletructiep_Japan.M318.1840.giaotiep_PTATT_LD164&amp;utm_campaign=Japan.giaotiep.M318_16917_CVS_NamNH_110125</v>
      </c>
      <c r="U812" s="116"/>
    </row>
    <row r="813">
      <c r="A813" s="72">
        <v>45668.0</v>
      </c>
      <c r="B813" s="75" t="s">
        <v>1229</v>
      </c>
      <c r="C813" s="67" t="str">
        <f>IFERROR(__xludf.DUMMYFUNCTION("""COMPUTED_VALUE"""),"LD164")</f>
        <v>LD164</v>
      </c>
      <c r="D813" s="55" t="s">
        <v>42</v>
      </c>
      <c r="E813" s="55" t="s">
        <v>69</v>
      </c>
      <c r="F813" s="55" t="s">
        <v>133</v>
      </c>
      <c r="G813" s="55">
        <v>1840.0</v>
      </c>
      <c r="H813" s="55" t="s">
        <v>1137</v>
      </c>
      <c r="I813" s="115" t="s">
        <v>6757</v>
      </c>
      <c r="J813" s="55" t="s">
        <v>6758</v>
      </c>
      <c r="K813" s="55" t="s">
        <v>61</v>
      </c>
      <c r="L813" s="55">
        <v>16917.0</v>
      </c>
      <c r="M813" s="55" t="s">
        <v>78</v>
      </c>
      <c r="N813" s="55" t="s">
        <v>69</v>
      </c>
      <c r="O813" s="55" t="s">
        <v>224</v>
      </c>
      <c r="P813" s="55" t="s">
        <v>110</v>
      </c>
      <c r="Q813" s="67" t="str">
        <f>IFERROR(__xludf.DUMMYFUNCTION("""COMPUTED_VALUE"""),"Japan.giaotiep.M307_16917_CVS_NamNH_110125")</f>
        <v>Japan.giaotiep.M307_16917_CVS_NamNH_110125</v>
      </c>
      <c r="R813" s="67" t="str">
        <f>IFERROR(__xludf.DUMMYFUNCTION("""COMPUTED_VALUE"""),"NEW_Japan_1840_none_110125")</f>
        <v>NEW_Japan_1840_none_110125</v>
      </c>
      <c r="S813" s="67" t="str">
        <f>IFERROR(__xludf.DUMMYFUNCTION("""COMPUTED_VALUE"""),"saletructiep_Japan.M307.1840.giaotiep_PTATT_LD164")</f>
        <v>saletructiep_Japan.M307.1840.giaotiep_PTATT_LD164</v>
      </c>
      <c r="T813" s="107" t="str">
        <f>IFERROR(__xludf.DUMMYFUNCTION("""COMPUTED_VALUE"""),"https://patadovietnam.edu.vn/gtjapan_nhn3/?utm_source=Facebook&amp;utm_medium=CVS&amp;utm_term=NEW_Japan_1840_none_110125&amp;utm_content=saletructiep_Japan.M307.1840.giaotiep_PTATT_LD164&amp;utm_campaign=Japan.giaotiep.M307_16917_CVS_NamNH_110125")</f>
        <v>https://patadovietnam.edu.vn/gtjapan_nhn3/?utm_source=Facebook&amp;utm_medium=CVS&amp;utm_term=NEW_Japan_1840_none_110125&amp;utm_content=saletructiep_Japan.M307.1840.giaotiep_PTATT_LD164&amp;utm_campaign=Japan.giaotiep.M307_16917_CVS_NamNH_110125</v>
      </c>
      <c r="U813" s="116"/>
    </row>
    <row r="814">
      <c r="A814" s="72">
        <v>45668.0</v>
      </c>
      <c r="B814" s="60" t="s">
        <v>1134</v>
      </c>
      <c r="C814" s="67" t="str">
        <f>IFERROR(__xludf.DUMMYFUNCTION("""COMPUTED_VALUE"""),"LD153")</f>
        <v>LD153</v>
      </c>
      <c r="D814" s="55" t="s">
        <v>42</v>
      </c>
      <c r="E814" s="55" t="s">
        <v>79</v>
      </c>
      <c r="F814" s="55" t="s">
        <v>625</v>
      </c>
      <c r="G814" s="55">
        <v>1840.0</v>
      </c>
      <c r="H814" s="55" t="s">
        <v>1137</v>
      </c>
      <c r="I814" s="115" t="s">
        <v>6760</v>
      </c>
      <c r="J814" s="55" t="s">
        <v>6761</v>
      </c>
      <c r="K814" s="55" t="s">
        <v>61</v>
      </c>
      <c r="L814" s="55">
        <v>16917.0</v>
      </c>
      <c r="M814" s="55" t="s">
        <v>78</v>
      </c>
      <c r="N814" s="55" t="s">
        <v>79</v>
      </c>
      <c r="O814" s="55" t="s">
        <v>224</v>
      </c>
      <c r="P814" s="55" t="s">
        <v>110</v>
      </c>
      <c r="Q814" s="67" t="str">
        <f>IFERROR(__xludf.DUMMYFUNCTION("""COMPUTED_VALUE"""),"KoreaSouth.giaotiep.M191_16917_MES_NamNH_110125")</f>
        <v>KoreaSouth.giaotiep.M191_16917_MES_NamNH_110125</v>
      </c>
      <c r="R814" s="67" t="str">
        <f>IFERROR(__xludf.DUMMYFUNCTION("""COMPUTED_VALUE"""),"NEW_KoreaSouth_1840_none_110125")</f>
        <v>NEW_KoreaSouth_1840_none_110125</v>
      </c>
      <c r="S814" s="67" t="str">
        <f>IFERROR(__xludf.DUMMYFUNCTION("""COMPUTED_VALUE"""),"saletructiep_KoreaSouth.M191.1840.giaotiep_PTATT_LD153")</f>
        <v>saletructiep_KoreaSouth.M191.1840.giaotiep_PTATT_LD153</v>
      </c>
      <c r="T814" s="107" t="str">
        <f>IFERROR(__xludf.DUMMYFUNCTION("""COMPUTED_VALUE"""),"https://patadovietnam.edu.vn/tienganhgiaotiep_hn/?utm_source=Facebook&amp;utm_medium=MES&amp;utm_term=NEW_KoreaSouth_1840_none_110125&amp;utm_content=saletructiep_KoreaSouth.M191.1840.giaotiep_PTATT_LD153&amp;utm_campaign=KoreaSouth.giaotiep.M191_16917_MES_NamNH_110125")</f>
        <v>https://patadovietnam.edu.vn/tienganhgiaotiep_hn/?utm_source=Facebook&amp;utm_medium=MES&amp;utm_term=NEW_KoreaSouth_1840_none_110125&amp;utm_content=saletructiep_KoreaSouth.M191.1840.giaotiep_PTATT_LD153&amp;utm_campaign=KoreaSouth.giaotiep.M191_16917_MES_NamNH_110125</v>
      </c>
      <c r="U814" s="116"/>
    </row>
    <row r="815">
      <c r="A815" s="72">
        <v>45668.0</v>
      </c>
      <c r="B815" s="60" t="s">
        <v>1134</v>
      </c>
      <c r="C815" s="67" t="str">
        <f>IFERROR(__xludf.DUMMYFUNCTION("""COMPUTED_VALUE"""),"LD153")</f>
        <v>LD153</v>
      </c>
      <c r="D815" s="55" t="s">
        <v>42</v>
      </c>
      <c r="E815" s="55" t="s">
        <v>69</v>
      </c>
      <c r="F815" s="55" t="s">
        <v>133</v>
      </c>
      <c r="G815" s="55">
        <v>1840.0</v>
      </c>
      <c r="H815" s="55" t="s">
        <v>1137</v>
      </c>
      <c r="I815" s="115" t="s">
        <v>6763</v>
      </c>
      <c r="J815" s="55" t="s">
        <v>6764</v>
      </c>
      <c r="K815" s="55" t="s">
        <v>61</v>
      </c>
      <c r="L815" s="55">
        <v>16917.0</v>
      </c>
      <c r="M815" s="55" t="s">
        <v>78</v>
      </c>
      <c r="N815" s="55" t="s">
        <v>69</v>
      </c>
      <c r="O815" s="55" t="s">
        <v>224</v>
      </c>
      <c r="P815" s="55" t="s">
        <v>110</v>
      </c>
      <c r="Q815" s="67" t="str">
        <f>IFERROR(__xludf.DUMMYFUNCTION("""COMPUTED_VALUE"""),"Japan.giaotiep.M368_16917_CVS_NamNH_110125")</f>
        <v>Japan.giaotiep.M368_16917_CVS_NamNH_110125</v>
      </c>
      <c r="R815" s="67" t="str">
        <f>IFERROR(__xludf.DUMMYFUNCTION("""COMPUTED_VALUE"""),"NEW_Japan_1840_none_110125")</f>
        <v>NEW_Japan_1840_none_110125</v>
      </c>
      <c r="S815" s="67" t="str">
        <f>IFERROR(__xludf.DUMMYFUNCTION("""COMPUTED_VALUE"""),"saletructiep_Japan.M368.1840.giaotiep_PTATT_LD153")</f>
        <v>saletructiep_Japan.M368.1840.giaotiep_PTATT_LD153</v>
      </c>
      <c r="T815" s="107" t="str">
        <f>IFERROR(__xludf.DUMMYFUNCTION("""COMPUTED_VALUE"""),"https://patadovietnam.edu.vn/tienganhgiaotiep_hn/?utm_source=Facebook&amp;utm_medium=CVS&amp;utm_term=NEW_Japan_1840_none_110125&amp;utm_content=saletructiep_Japan.M368.1840.giaotiep_PTATT_LD153&amp;utm_campaign=Japan.giaotiep.M368_16917_CVS_NamNH_110125")</f>
        <v>https://patadovietnam.edu.vn/tienganhgiaotiep_hn/?utm_source=Facebook&amp;utm_medium=CVS&amp;utm_term=NEW_Japan_1840_none_110125&amp;utm_content=saletructiep_Japan.M368.1840.giaotiep_PTATT_LD153&amp;utm_campaign=Japan.giaotiep.M368_16917_CVS_NamNH_110125</v>
      </c>
      <c r="U815" s="116"/>
    </row>
    <row r="816">
      <c r="A816" s="72">
        <v>45668.0</v>
      </c>
      <c r="B816" s="60" t="s">
        <v>1134</v>
      </c>
      <c r="C816" s="67" t="str">
        <f>IFERROR(__xludf.DUMMYFUNCTION("""COMPUTED_VALUE"""),"LD153")</f>
        <v>LD153</v>
      </c>
      <c r="D816" s="55" t="s">
        <v>42</v>
      </c>
      <c r="E816" s="55" t="s">
        <v>69</v>
      </c>
      <c r="F816" s="55" t="s">
        <v>674</v>
      </c>
      <c r="G816" s="55">
        <v>1840.0</v>
      </c>
      <c r="H816" s="55" t="s">
        <v>1137</v>
      </c>
      <c r="I816" s="115" t="s">
        <v>6767</v>
      </c>
      <c r="J816" s="55" t="s">
        <v>6769</v>
      </c>
      <c r="K816" s="55" t="s">
        <v>61</v>
      </c>
      <c r="L816" s="55">
        <v>16917.0</v>
      </c>
      <c r="M816" s="55" t="s">
        <v>78</v>
      </c>
      <c r="N816" s="55" t="s">
        <v>69</v>
      </c>
      <c r="O816" s="55" t="s">
        <v>224</v>
      </c>
      <c r="P816" s="55" t="s">
        <v>110</v>
      </c>
      <c r="Q816" s="67" t="str">
        <f>IFERROR(__xludf.DUMMYFUNCTION("""COMPUTED_VALUE"""),"Europe.giaotiep.M368_16917_CVS_NamNH_110125")</f>
        <v>Europe.giaotiep.M368_16917_CVS_NamNH_110125</v>
      </c>
      <c r="R816" s="67" t="str">
        <f>IFERROR(__xludf.DUMMYFUNCTION("""COMPUTED_VALUE"""),"NEW_Europe_1840_none_110125")</f>
        <v>NEW_Europe_1840_none_110125</v>
      </c>
      <c r="S816" s="67" t="str">
        <f>IFERROR(__xludf.DUMMYFUNCTION("""COMPUTED_VALUE"""),"saletructiep_Europe.M368.1840.giaotiep_PTATT_LD153")</f>
        <v>saletructiep_Europe.M368.1840.giaotiep_PTATT_LD153</v>
      </c>
      <c r="T816" s="107" t="str">
        <f>IFERROR(__xludf.DUMMYFUNCTION("""COMPUTED_VALUE"""),"https://patadovietnam.edu.vn/tienganhgiaotiep_hn/?utm_source=Facebook&amp;utm_medium=CVS&amp;utm_term=NEW_Europe_1840_none_110125&amp;utm_content=saletructiep_Europe.M368.1840.giaotiep_PTATT_LD153&amp;utm_campaign=Europe.giaotiep.M368_16917_CVS_NamNH_110125")</f>
        <v>https://patadovietnam.edu.vn/tienganhgiaotiep_hn/?utm_source=Facebook&amp;utm_medium=CVS&amp;utm_term=NEW_Europe_1840_none_110125&amp;utm_content=saletructiep_Europe.M368.1840.giaotiep_PTATT_LD153&amp;utm_campaign=Europe.giaotiep.M368_16917_CVS_NamNH_110125</v>
      </c>
      <c r="U816" s="116"/>
    </row>
    <row r="817">
      <c r="A817" s="72">
        <v>45668.0</v>
      </c>
      <c r="B817" s="60" t="s">
        <v>1245</v>
      </c>
      <c r="C817" s="67" t="str">
        <f>IFERROR(__xludf.DUMMYFUNCTION("""COMPUTED_VALUE"""),"LD161")</f>
        <v>LD161</v>
      </c>
      <c r="D817" s="55" t="s">
        <v>42</v>
      </c>
      <c r="E817" s="55" t="s">
        <v>79</v>
      </c>
      <c r="F817" s="55" t="s">
        <v>107</v>
      </c>
      <c r="G817" s="55">
        <v>2050.0</v>
      </c>
      <c r="H817" s="55" t="s">
        <v>1137</v>
      </c>
      <c r="I817" s="115" t="s">
        <v>6771</v>
      </c>
      <c r="J817" s="55" t="s">
        <v>6772</v>
      </c>
      <c r="K817" s="55" t="s">
        <v>61</v>
      </c>
      <c r="L817" s="55">
        <v>16917.0</v>
      </c>
      <c r="M817" s="55" t="s">
        <v>78</v>
      </c>
      <c r="N817" s="55" t="s">
        <v>79</v>
      </c>
      <c r="O817" s="55" t="s">
        <v>224</v>
      </c>
      <c r="P817" s="55" t="s">
        <v>110</v>
      </c>
      <c r="Q817" s="67" t="str">
        <f>IFERROR(__xludf.DUMMYFUNCTION("""COMPUTED_VALUE"""),"UnitedStates.giaotiep.M368_16917_MES_NamNH_110125")</f>
        <v>UnitedStates.giaotiep.M368_16917_MES_NamNH_110125</v>
      </c>
      <c r="R817" s="67" t="str">
        <f>IFERROR(__xludf.DUMMYFUNCTION("""COMPUTED_VALUE"""),"NEW_UnitedStates_2050_none_110125")</f>
        <v>NEW_UnitedStates_2050_none_110125</v>
      </c>
      <c r="S817" s="67" t="str">
        <f>IFERROR(__xludf.DUMMYFUNCTION("""COMPUTED_VALUE"""),"saletructiep_UnitedStates.M368.1840.giaotiep_PTATT_LD161")</f>
        <v>saletructiep_UnitedStates.M368.1840.giaotiep_PTATT_LD161</v>
      </c>
      <c r="T817" s="107" t="str">
        <f>IFERROR(__xludf.DUMMYFUNCTION("""COMPUTED_VALUE"""),"https://patadovietnam.edu.vn/gtusa1_nhn/?utm_source=Facebook&amp;utm_medium=MES&amp;utm_term=NEW_UnitedStates_2050_none_110125&amp;utm_content=saletructiep_UnitedStates.M368.1840.giaotiep_PTATT_LD161&amp;utm_campaign=UnitedStates.giaotiep.M368_16917_MES_NamNH_110125")</f>
        <v>https://patadovietnam.edu.vn/gtusa1_nhn/?utm_source=Facebook&amp;utm_medium=MES&amp;utm_term=NEW_UnitedStates_2050_none_110125&amp;utm_content=saletructiep_UnitedStates.M368.1840.giaotiep_PTATT_LD161&amp;utm_campaign=UnitedStates.giaotiep.M368_16917_MES_NamNH_110125</v>
      </c>
      <c r="U817" s="116"/>
    </row>
    <row r="818">
      <c r="A818" s="72">
        <v>45668.0</v>
      </c>
      <c r="B818" s="60" t="s">
        <v>1134</v>
      </c>
      <c r="C818" s="67" t="str">
        <f>IFERROR(__xludf.DUMMYFUNCTION("""COMPUTED_VALUE"""),"LD153")</f>
        <v>LD153</v>
      </c>
      <c r="D818" s="55" t="s">
        <v>42</v>
      </c>
      <c r="E818" s="55" t="s">
        <v>79</v>
      </c>
      <c r="F818" s="55" t="s">
        <v>625</v>
      </c>
      <c r="G818" s="55">
        <v>1840.0</v>
      </c>
      <c r="H818" s="55" t="s">
        <v>1137</v>
      </c>
      <c r="I818" s="115" t="s">
        <v>6775</v>
      </c>
      <c r="J818" s="55" t="s">
        <v>6776</v>
      </c>
      <c r="K818" s="55" t="s">
        <v>61</v>
      </c>
      <c r="L818" s="55">
        <v>16917.0</v>
      </c>
      <c r="M818" s="55" t="s">
        <v>78</v>
      </c>
      <c r="N818" s="55" t="s">
        <v>79</v>
      </c>
      <c r="O818" s="55" t="s">
        <v>224</v>
      </c>
      <c r="P818" s="55" t="s">
        <v>110</v>
      </c>
      <c r="Q818" s="67" t="str">
        <f>IFERROR(__xludf.DUMMYFUNCTION("""COMPUTED_VALUE"""),"KoreaSouth.giaotiep.M368_16917_MES_NamNH_110125")</f>
        <v>KoreaSouth.giaotiep.M368_16917_MES_NamNH_110125</v>
      </c>
      <c r="R818" s="67" t="str">
        <f>IFERROR(__xludf.DUMMYFUNCTION("""COMPUTED_VALUE"""),"NEW_KoreaSouth_1840_none_110125")</f>
        <v>NEW_KoreaSouth_1840_none_110125</v>
      </c>
      <c r="S818" s="67" t="str">
        <f>IFERROR(__xludf.DUMMYFUNCTION("""COMPUTED_VALUE"""),"saletructiep_KoreaSouth.M368.1840.giaotiep_PTATT_LD153")</f>
        <v>saletructiep_KoreaSouth.M368.1840.giaotiep_PTATT_LD153</v>
      </c>
      <c r="T818" s="107" t="str">
        <f>IFERROR(__xludf.DUMMYFUNCTION("""COMPUTED_VALUE"""),"https://patadovietnam.edu.vn/tienganhgiaotiep_hn/?utm_source=Facebook&amp;utm_medium=MES&amp;utm_term=NEW_KoreaSouth_1840_none_110125&amp;utm_content=saletructiep_KoreaSouth.M368.1840.giaotiep_PTATT_LD153&amp;utm_campaign=KoreaSouth.giaotiep.M368_16917_MES_NamNH_110125")</f>
        <v>https://patadovietnam.edu.vn/tienganhgiaotiep_hn/?utm_source=Facebook&amp;utm_medium=MES&amp;utm_term=NEW_KoreaSouth_1840_none_110125&amp;utm_content=saletructiep_KoreaSouth.M368.1840.giaotiep_PTATT_LD153&amp;utm_campaign=KoreaSouth.giaotiep.M368_16917_MES_NamNH_110125</v>
      </c>
      <c r="U818" s="116"/>
    </row>
    <row r="819">
      <c r="A819" s="72">
        <v>45668.0</v>
      </c>
      <c r="B819" s="60" t="s">
        <v>1134</v>
      </c>
      <c r="C819" s="67" t="str">
        <f>IFERROR(__xludf.DUMMYFUNCTION("""COMPUTED_VALUE"""),"LD153")</f>
        <v>LD153</v>
      </c>
      <c r="D819" s="55" t="s">
        <v>42</v>
      </c>
      <c r="E819" s="55" t="s">
        <v>79</v>
      </c>
      <c r="F819" s="55" t="s">
        <v>164</v>
      </c>
      <c r="G819" s="55">
        <v>1840.0</v>
      </c>
      <c r="H819" s="55" t="s">
        <v>1137</v>
      </c>
      <c r="I819" s="115" t="s">
        <v>6778</v>
      </c>
      <c r="J819" s="55" t="s">
        <v>6779</v>
      </c>
      <c r="K819" s="55" t="s">
        <v>61</v>
      </c>
      <c r="L819" s="55">
        <v>16917.0</v>
      </c>
      <c r="M819" s="55" t="s">
        <v>78</v>
      </c>
      <c r="N819" s="55" t="s">
        <v>79</v>
      </c>
      <c r="O819" s="55" t="s">
        <v>224</v>
      </c>
      <c r="P819" s="55" t="s">
        <v>110</v>
      </c>
      <c r="Q819" s="67" t="str">
        <f>IFERROR(__xludf.DUMMYFUNCTION("""COMPUTED_VALUE"""),"Taiwan.giaotiep.M368_16917_MES_NamNH_110125")</f>
        <v>Taiwan.giaotiep.M368_16917_MES_NamNH_110125</v>
      </c>
      <c r="R819" s="67" t="str">
        <f>IFERROR(__xludf.DUMMYFUNCTION("""COMPUTED_VALUE"""),"NEW_Taiwan_1840_none_110125")</f>
        <v>NEW_Taiwan_1840_none_110125</v>
      </c>
      <c r="S819" s="67" t="str">
        <f>IFERROR(__xludf.DUMMYFUNCTION("""COMPUTED_VALUE"""),"saletructiep_Taiwan.M368.1840.giaotiep_PTATT_LD153")</f>
        <v>saletructiep_Taiwan.M368.1840.giaotiep_PTATT_LD153</v>
      </c>
      <c r="T819" s="107" t="str">
        <f>IFERROR(__xludf.DUMMYFUNCTION("""COMPUTED_VALUE"""),"https://patadovietnam.edu.vn/tienganhgiaotiep_hn/?utm_source=Facebook&amp;utm_medium=MES&amp;utm_term=NEW_Taiwan_1840_none_110125&amp;utm_content=saletructiep_Taiwan.M368.1840.giaotiep_PTATT_LD153&amp;utm_campaign=Taiwan.giaotiep.M368_16917_MES_NamNH_110125")</f>
        <v>https://patadovietnam.edu.vn/tienganhgiaotiep_hn/?utm_source=Facebook&amp;utm_medium=MES&amp;utm_term=NEW_Taiwan_1840_none_110125&amp;utm_content=saletructiep_Taiwan.M368.1840.giaotiep_PTATT_LD153&amp;utm_campaign=Taiwan.giaotiep.M368_16917_MES_NamNH_110125</v>
      </c>
      <c r="U819" s="116"/>
    </row>
    <row r="820">
      <c r="A820" s="72">
        <v>45668.0</v>
      </c>
      <c r="B820" s="60" t="s">
        <v>1134</v>
      </c>
      <c r="C820" s="67" t="str">
        <f>IFERROR(__xludf.DUMMYFUNCTION("""COMPUTED_VALUE"""),"LD153")</f>
        <v>LD153</v>
      </c>
      <c r="D820" s="55" t="s">
        <v>42</v>
      </c>
      <c r="E820" s="55" t="s">
        <v>79</v>
      </c>
      <c r="F820" s="55" t="s">
        <v>129</v>
      </c>
      <c r="G820" s="55">
        <v>1840.0</v>
      </c>
      <c r="H820" s="55" t="s">
        <v>1137</v>
      </c>
      <c r="I820" s="115" t="s">
        <v>6780</v>
      </c>
      <c r="J820" s="55" t="s">
        <v>6781</v>
      </c>
      <c r="K820" s="55" t="s">
        <v>61</v>
      </c>
      <c r="L820" s="55">
        <v>16917.0</v>
      </c>
      <c r="M820" s="55" t="s">
        <v>78</v>
      </c>
      <c r="N820" s="55" t="s">
        <v>79</v>
      </c>
      <c r="O820" s="55" t="s">
        <v>224</v>
      </c>
      <c r="P820" s="55" t="s">
        <v>110</v>
      </c>
      <c r="Q820" s="67" t="str">
        <f>IFERROR(__xludf.DUMMYFUNCTION("""COMPUTED_VALUE"""),"Australia.giaotiep.M368_16917_MES_NamNH_110125")</f>
        <v>Australia.giaotiep.M368_16917_MES_NamNH_110125</v>
      </c>
      <c r="R820" s="67" t="str">
        <f>IFERROR(__xludf.DUMMYFUNCTION("""COMPUTED_VALUE"""),"NEW_Australia_1840_none_110125")</f>
        <v>NEW_Australia_1840_none_110125</v>
      </c>
      <c r="S820" s="67" t="str">
        <f>IFERROR(__xludf.DUMMYFUNCTION("""COMPUTED_VALUE"""),"saletructiep_Australia.M368.1840.giaotiep_PTATT_LD153")</f>
        <v>saletructiep_Australia.M368.1840.giaotiep_PTATT_LD153</v>
      </c>
      <c r="T820" s="107" t="str">
        <f>IFERROR(__xludf.DUMMYFUNCTION("""COMPUTED_VALUE"""),"https://patadovietnam.edu.vn/tienganhgiaotiep_hn/?utm_source=Facebook&amp;utm_medium=MES&amp;utm_term=NEW_Australia_1840_none_110125&amp;utm_content=saletructiep_Australia.M368.1840.giaotiep_PTATT_LD153&amp;utm_campaign=Australia.giaotiep.M368_16917_MES_NamNH_110125")</f>
        <v>https://patadovietnam.edu.vn/tienganhgiaotiep_hn/?utm_source=Facebook&amp;utm_medium=MES&amp;utm_term=NEW_Australia_1840_none_110125&amp;utm_content=saletructiep_Australia.M368.1840.giaotiep_PTATT_LD153&amp;utm_campaign=Australia.giaotiep.M368_16917_MES_NamNH_110125</v>
      </c>
      <c r="U820" s="116"/>
    </row>
    <row r="821">
      <c r="A821" s="72">
        <v>45695.0</v>
      </c>
      <c r="B821" s="60" t="s">
        <v>1134</v>
      </c>
      <c r="C821" s="67" t="str">
        <f>IFERROR(__xludf.DUMMYFUNCTION("""COMPUTED_VALUE"""),"LD153")</f>
        <v>LD153</v>
      </c>
      <c r="D821" s="55" t="s">
        <v>42</v>
      </c>
      <c r="E821" s="55" t="s">
        <v>69</v>
      </c>
      <c r="F821" s="55" t="s">
        <v>674</v>
      </c>
      <c r="G821" s="55">
        <v>1840.0</v>
      </c>
      <c r="H821" s="55" t="s">
        <v>1137</v>
      </c>
      <c r="I821" s="115" t="s">
        <v>6783</v>
      </c>
      <c r="J821" s="55" t="s">
        <v>6784</v>
      </c>
      <c r="K821" s="55" t="s">
        <v>61</v>
      </c>
      <c r="L821" s="55">
        <v>16917.0</v>
      </c>
      <c r="M821" s="55" t="s">
        <v>78</v>
      </c>
      <c r="N821" s="55" t="s">
        <v>69</v>
      </c>
      <c r="O821" s="55" t="s">
        <v>224</v>
      </c>
      <c r="P821" s="55" t="s">
        <v>110</v>
      </c>
      <c r="Q821" s="67" t="str">
        <f>IFERROR(__xludf.DUMMYFUNCTION("""COMPUTED_VALUE"""),"Europe.giaotiep.M375_16917_CVS_NamNH_070225")</f>
        <v>Europe.giaotiep.M375_16917_CVS_NamNH_070225</v>
      </c>
      <c r="R821" s="67" t="str">
        <f>IFERROR(__xludf.DUMMYFUNCTION("""COMPUTED_VALUE"""),"NEW_Europe_1840_none_070225")</f>
        <v>NEW_Europe_1840_none_070225</v>
      </c>
      <c r="S821" s="67" t="str">
        <f>IFERROR(__xludf.DUMMYFUNCTION("""COMPUTED_VALUE"""),"saletructiep_Europe.M375.1840.giaotiep_PTATT_LD153")</f>
        <v>saletructiep_Europe.M375.1840.giaotiep_PTATT_LD153</v>
      </c>
      <c r="T821" s="107" t="str">
        <f>IFERROR(__xludf.DUMMYFUNCTION("""COMPUTED_VALUE"""),"https://patadovietnam.edu.vn/tienganhgiaotiep_hn/?utm_source=Facebook&amp;utm_medium=CVS&amp;utm_term=NEW_Europe_1840_none_070225&amp;utm_content=saletructiep_Europe.M375.1840.giaotiep_PTATT_LD153&amp;utm_campaign=Europe.giaotiep.M375_16917_CVS_NamNH_070225")</f>
        <v>https://patadovietnam.edu.vn/tienganhgiaotiep_hn/?utm_source=Facebook&amp;utm_medium=CVS&amp;utm_term=NEW_Europe_1840_none_070225&amp;utm_content=saletructiep_Europe.M375.1840.giaotiep_PTATT_LD153&amp;utm_campaign=Europe.giaotiep.M375_16917_CVS_NamNH_070225</v>
      </c>
      <c r="U821" s="116"/>
    </row>
    <row r="822">
      <c r="A822" s="72">
        <v>45695.0</v>
      </c>
      <c r="B822" s="60" t="s">
        <v>1229</v>
      </c>
      <c r="C822" s="67" t="str">
        <f>IFERROR(__xludf.DUMMYFUNCTION("""COMPUTED_VALUE"""),"LD164")</f>
        <v>LD164</v>
      </c>
      <c r="D822" s="55" t="s">
        <v>42</v>
      </c>
      <c r="E822" s="55" t="s">
        <v>69</v>
      </c>
      <c r="F822" s="55" t="s">
        <v>133</v>
      </c>
      <c r="G822" s="55">
        <v>1840.0</v>
      </c>
      <c r="H822" s="55" t="s">
        <v>1137</v>
      </c>
      <c r="I822" s="115" t="s">
        <v>6786</v>
      </c>
      <c r="J822" s="55" t="s">
        <v>6787</v>
      </c>
      <c r="K822" s="55" t="s">
        <v>61</v>
      </c>
      <c r="L822" s="55">
        <v>16917.0</v>
      </c>
      <c r="M822" s="55" t="s">
        <v>78</v>
      </c>
      <c r="N822" s="55" t="s">
        <v>69</v>
      </c>
      <c r="O822" s="55" t="s">
        <v>224</v>
      </c>
      <c r="P822" s="55" t="s">
        <v>110</v>
      </c>
      <c r="Q822" s="67" t="str">
        <f>IFERROR(__xludf.DUMMYFUNCTION("""COMPUTED_VALUE"""),"Japan.giaotiep.M388_16917_CVS_NamNH_070225")</f>
        <v>Japan.giaotiep.M388_16917_CVS_NamNH_070225</v>
      </c>
      <c r="R822" s="67" t="str">
        <f>IFERROR(__xludf.DUMMYFUNCTION("""COMPUTED_VALUE"""),"NEW_Japan_1840_none_070225")</f>
        <v>NEW_Japan_1840_none_070225</v>
      </c>
      <c r="S822" s="67" t="str">
        <f>IFERROR(__xludf.DUMMYFUNCTION("""COMPUTED_VALUE"""),"saletructiep_Japan.M388.1840.giaotiep_PTATT_LD164")</f>
        <v>saletructiep_Japan.M388.1840.giaotiep_PTATT_LD164</v>
      </c>
      <c r="T822" s="107" t="str">
        <f>IFERROR(__xludf.DUMMYFUNCTION("""COMPUTED_VALUE"""),"https://patadovietnam.edu.vn/gtjapan_nhn3/?utm_source=Facebook&amp;utm_medium=CVS&amp;utm_term=NEW_Japan_1840_none_070225&amp;utm_content=saletructiep_Japan.M388.1840.giaotiep_PTATT_LD164&amp;utm_campaign=Japan.giaotiep.M388_16917_CVS_NamNH_070225")</f>
        <v>https://patadovietnam.edu.vn/gtjapan_nhn3/?utm_source=Facebook&amp;utm_medium=CVS&amp;utm_term=NEW_Japan_1840_none_070225&amp;utm_content=saletructiep_Japan.M388.1840.giaotiep_PTATT_LD164&amp;utm_campaign=Japan.giaotiep.M388_16917_CVS_NamNH_070225</v>
      </c>
      <c r="U822" s="116"/>
    </row>
    <row r="823">
      <c r="A823" s="72">
        <v>45695.0</v>
      </c>
      <c r="B823" s="60" t="s">
        <v>1245</v>
      </c>
      <c r="C823" s="67" t="str">
        <f>IFERROR(__xludf.DUMMYFUNCTION("""COMPUTED_VALUE"""),"LD161")</f>
        <v>LD161</v>
      </c>
      <c r="D823" s="55" t="s">
        <v>42</v>
      </c>
      <c r="E823" s="55" t="s">
        <v>79</v>
      </c>
      <c r="F823" s="55" t="s">
        <v>107</v>
      </c>
      <c r="G823" s="55">
        <v>2050.0</v>
      </c>
      <c r="H823" s="55" t="s">
        <v>1137</v>
      </c>
      <c r="I823" s="115" t="s">
        <v>6788</v>
      </c>
      <c r="J823" s="55" t="s">
        <v>6789</v>
      </c>
      <c r="K823" s="55" t="s">
        <v>61</v>
      </c>
      <c r="L823" s="55">
        <v>16917.0</v>
      </c>
      <c r="M823" s="55" t="s">
        <v>78</v>
      </c>
      <c r="N823" s="55" t="s">
        <v>79</v>
      </c>
      <c r="O823" s="55" t="s">
        <v>224</v>
      </c>
      <c r="P823" s="55" t="s">
        <v>110</v>
      </c>
      <c r="Q823" s="67" t="str">
        <f>IFERROR(__xludf.DUMMYFUNCTION("""COMPUTED_VALUE"""),"UnitedStates.giaotiep.M388_16917_MES_NamNH_070225")</f>
        <v>UnitedStates.giaotiep.M388_16917_MES_NamNH_070225</v>
      </c>
      <c r="R823" s="67" t="str">
        <f>IFERROR(__xludf.DUMMYFUNCTION("""COMPUTED_VALUE"""),"NEW_UnitedStates_2050_none_070225")</f>
        <v>NEW_UnitedStates_2050_none_070225</v>
      </c>
      <c r="S823" s="67" t="str">
        <f>IFERROR(__xludf.DUMMYFUNCTION("""COMPUTED_VALUE"""),"saletructiep_UnitedStates.M388.1840.giaotiep_PTATT_LD161")</f>
        <v>saletructiep_UnitedStates.M388.1840.giaotiep_PTATT_LD161</v>
      </c>
      <c r="T823" s="107" t="str">
        <f>IFERROR(__xludf.DUMMYFUNCTION("""COMPUTED_VALUE"""),"https://patadovietnam.edu.vn/gtusa1_nhn/?utm_source=Facebook&amp;utm_medium=MES&amp;utm_term=NEW_UnitedStates_2050_none_070225&amp;utm_content=saletructiep_UnitedStates.M388.1840.giaotiep_PTATT_LD161&amp;utm_campaign=UnitedStates.giaotiep.M388_16917_MES_NamNH_070225")</f>
        <v>https://patadovietnam.edu.vn/gtusa1_nhn/?utm_source=Facebook&amp;utm_medium=MES&amp;utm_term=NEW_UnitedStates_2050_none_070225&amp;utm_content=saletructiep_UnitedStates.M388.1840.giaotiep_PTATT_LD161&amp;utm_campaign=UnitedStates.giaotiep.M388_16917_MES_NamNH_070225</v>
      </c>
      <c r="U823" s="116"/>
    </row>
    <row r="824">
      <c r="A824" s="72">
        <v>45695.0</v>
      </c>
      <c r="B824" s="60" t="s">
        <v>1134</v>
      </c>
      <c r="C824" s="67" t="str">
        <f>IFERROR(__xludf.DUMMYFUNCTION("""COMPUTED_VALUE"""),"LD153")</f>
        <v>LD153</v>
      </c>
      <c r="D824" s="55" t="s">
        <v>42</v>
      </c>
      <c r="E824" s="55" t="s">
        <v>79</v>
      </c>
      <c r="F824" s="55" t="s">
        <v>625</v>
      </c>
      <c r="G824" s="55">
        <v>1840.0</v>
      </c>
      <c r="H824" s="55" t="s">
        <v>1137</v>
      </c>
      <c r="I824" s="115" t="s">
        <v>6793</v>
      </c>
      <c r="J824" s="55" t="s">
        <v>6794</v>
      </c>
      <c r="K824" s="55" t="s">
        <v>61</v>
      </c>
      <c r="L824" s="55">
        <v>16917.0</v>
      </c>
      <c r="M824" s="55" t="s">
        <v>78</v>
      </c>
      <c r="N824" s="55" t="s">
        <v>79</v>
      </c>
      <c r="O824" s="55" t="s">
        <v>224</v>
      </c>
      <c r="P824" s="55" t="s">
        <v>110</v>
      </c>
      <c r="Q824" s="67" t="str">
        <f>IFERROR(__xludf.DUMMYFUNCTION("""COMPUTED_VALUE"""),"KoreaSouth.giaotiep.M375_16917_MES_NamNH_070225")</f>
        <v>KoreaSouth.giaotiep.M375_16917_MES_NamNH_070225</v>
      </c>
      <c r="R824" s="67" t="str">
        <f>IFERROR(__xludf.DUMMYFUNCTION("""COMPUTED_VALUE"""),"NEW_KoreaSouth_1840_none_070225")</f>
        <v>NEW_KoreaSouth_1840_none_070225</v>
      </c>
      <c r="S824" s="67" t="str">
        <f>IFERROR(__xludf.DUMMYFUNCTION("""COMPUTED_VALUE"""),"saletructiep_KoreaSouth.M375.1840.giaotiep_PTATT_LD153")</f>
        <v>saletructiep_KoreaSouth.M375.1840.giaotiep_PTATT_LD153</v>
      </c>
      <c r="T824" s="107" t="str">
        <f>IFERROR(__xludf.DUMMYFUNCTION("""COMPUTED_VALUE"""),"https://patadovietnam.edu.vn/tienganhgiaotiep_hn/?utm_source=Facebook&amp;utm_medium=MES&amp;utm_term=NEW_KoreaSouth_1840_none_070225&amp;utm_content=saletructiep_KoreaSouth.M375.1840.giaotiep_PTATT_LD153&amp;utm_campaign=KoreaSouth.giaotiep.M375_16917_MES_NamNH_070225")</f>
        <v>https://patadovietnam.edu.vn/tienganhgiaotiep_hn/?utm_source=Facebook&amp;utm_medium=MES&amp;utm_term=NEW_KoreaSouth_1840_none_070225&amp;utm_content=saletructiep_KoreaSouth.M375.1840.giaotiep_PTATT_LD153&amp;utm_campaign=KoreaSouth.giaotiep.M375_16917_MES_NamNH_070225</v>
      </c>
      <c r="U824" s="116"/>
    </row>
    <row r="825">
      <c r="A825" s="72">
        <v>45695.0</v>
      </c>
      <c r="B825" s="60" t="s">
        <v>1134</v>
      </c>
      <c r="C825" s="67" t="str">
        <f>IFERROR(__xludf.DUMMYFUNCTION("""COMPUTED_VALUE"""),"LD153")</f>
        <v>LD153</v>
      </c>
      <c r="D825" s="55" t="s">
        <v>42</v>
      </c>
      <c r="E825" s="55" t="s">
        <v>69</v>
      </c>
      <c r="F825" s="55" t="s">
        <v>674</v>
      </c>
      <c r="G825" s="55">
        <v>1840.0</v>
      </c>
      <c r="H825" s="55" t="s">
        <v>1137</v>
      </c>
      <c r="I825" s="115" t="s">
        <v>6796</v>
      </c>
      <c r="J825" s="55" t="s">
        <v>6797</v>
      </c>
      <c r="K825" s="55" t="s">
        <v>61</v>
      </c>
      <c r="L825" s="55">
        <v>16917.0</v>
      </c>
      <c r="M825" s="55" t="s">
        <v>78</v>
      </c>
      <c r="N825" s="55" t="s">
        <v>69</v>
      </c>
      <c r="O825" s="55" t="s">
        <v>224</v>
      </c>
      <c r="P825" s="55" t="s">
        <v>110</v>
      </c>
      <c r="Q825" s="67" t="str">
        <f>IFERROR(__xludf.DUMMYFUNCTION("""COMPUTED_VALUE"""),"Europe.giaotiep.M388_16917_CVS_NamNH_070225")</f>
        <v>Europe.giaotiep.M388_16917_CVS_NamNH_070225</v>
      </c>
      <c r="R825" s="67" t="str">
        <f>IFERROR(__xludf.DUMMYFUNCTION("""COMPUTED_VALUE"""),"NEW_Europe_1840_none_070225")</f>
        <v>NEW_Europe_1840_none_070225</v>
      </c>
      <c r="S825" s="67" t="str">
        <f>IFERROR(__xludf.DUMMYFUNCTION("""COMPUTED_VALUE"""),"saletructiep_Europe.M388.1840.giaotiep_PTATT_LD153")</f>
        <v>saletructiep_Europe.M388.1840.giaotiep_PTATT_LD153</v>
      </c>
      <c r="T825" s="107" t="str">
        <f>IFERROR(__xludf.DUMMYFUNCTION("""COMPUTED_VALUE"""),"https://patadovietnam.edu.vn/tienganhgiaotiep_hn/?utm_source=Facebook&amp;utm_medium=CVS&amp;utm_term=NEW_Europe_1840_none_070225&amp;utm_content=saletructiep_Europe.M388.1840.giaotiep_PTATT_LD153&amp;utm_campaign=Europe.giaotiep.M388_16917_CVS_NamNH_070225")</f>
        <v>https://patadovietnam.edu.vn/tienganhgiaotiep_hn/?utm_source=Facebook&amp;utm_medium=CVS&amp;utm_term=NEW_Europe_1840_none_070225&amp;utm_content=saletructiep_Europe.M388.1840.giaotiep_PTATT_LD153&amp;utm_campaign=Europe.giaotiep.M388_16917_CVS_NamNH_070225</v>
      </c>
      <c r="U825" s="116"/>
    </row>
    <row r="826">
      <c r="A826" s="72">
        <v>45695.0</v>
      </c>
      <c r="B826" s="60" t="s">
        <v>1229</v>
      </c>
      <c r="C826" s="67" t="str">
        <f>IFERROR(__xludf.DUMMYFUNCTION("""COMPUTED_VALUE"""),"LD164")</f>
        <v>LD164</v>
      </c>
      <c r="D826" s="55" t="s">
        <v>42</v>
      </c>
      <c r="E826" s="55" t="s">
        <v>69</v>
      </c>
      <c r="F826" s="55" t="s">
        <v>133</v>
      </c>
      <c r="G826" s="55">
        <v>1840.0</v>
      </c>
      <c r="H826" s="55" t="s">
        <v>1137</v>
      </c>
      <c r="I826" s="115" t="s">
        <v>6799</v>
      </c>
      <c r="J826" s="55" t="s">
        <v>6800</v>
      </c>
      <c r="K826" s="55" t="s">
        <v>61</v>
      </c>
      <c r="L826" s="55">
        <v>16917.0</v>
      </c>
      <c r="M826" s="55" t="s">
        <v>78</v>
      </c>
      <c r="N826" s="55" t="s">
        <v>69</v>
      </c>
      <c r="O826" s="55" t="s">
        <v>224</v>
      </c>
      <c r="P826" s="55" t="s">
        <v>110</v>
      </c>
      <c r="Q826" s="67" t="str">
        <f>IFERROR(__xludf.DUMMYFUNCTION("""COMPUTED_VALUE"""),"Japan.giaotiep.M375_16917_CVS_NamNH_070225")</f>
        <v>Japan.giaotiep.M375_16917_CVS_NamNH_070225</v>
      </c>
      <c r="R826" s="67" t="str">
        <f>IFERROR(__xludf.DUMMYFUNCTION("""COMPUTED_VALUE"""),"NEW_Japan_1840_none_070225")</f>
        <v>NEW_Japan_1840_none_070225</v>
      </c>
      <c r="S826" s="67" t="str">
        <f>IFERROR(__xludf.DUMMYFUNCTION("""COMPUTED_VALUE"""),"saletructiep_Japan.M375.1840.giaotiep_PTATT_LD164")</f>
        <v>saletructiep_Japan.M375.1840.giaotiep_PTATT_LD164</v>
      </c>
      <c r="T826" s="107" t="str">
        <f>IFERROR(__xludf.DUMMYFUNCTION("""COMPUTED_VALUE"""),"https://patadovietnam.edu.vn/gtjapan_nhn3/?utm_source=Facebook&amp;utm_medium=CVS&amp;utm_term=NEW_Japan_1840_none_070225&amp;utm_content=saletructiep_Japan.M375.1840.giaotiep_PTATT_LD164&amp;utm_campaign=Japan.giaotiep.M375_16917_CVS_NamNH_070225")</f>
        <v>https://patadovietnam.edu.vn/gtjapan_nhn3/?utm_source=Facebook&amp;utm_medium=CVS&amp;utm_term=NEW_Japan_1840_none_070225&amp;utm_content=saletructiep_Japan.M375.1840.giaotiep_PTATT_LD164&amp;utm_campaign=Japan.giaotiep.M375_16917_CVS_NamNH_070225</v>
      </c>
      <c r="U826" s="116"/>
    </row>
    <row r="827">
      <c r="A827" s="72">
        <v>45703.0</v>
      </c>
      <c r="B827" s="60" t="s">
        <v>1245</v>
      </c>
      <c r="C827" s="67" t="str">
        <f>IFERROR(__xludf.DUMMYFUNCTION("""COMPUTED_VALUE"""),"LD161")</f>
        <v>LD161</v>
      </c>
      <c r="D827" s="55" t="s">
        <v>42</v>
      </c>
      <c r="E827" s="55" t="s">
        <v>79</v>
      </c>
      <c r="F827" s="55" t="s">
        <v>107</v>
      </c>
      <c r="G827" s="55">
        <v>2050.0</v>
      </c>
      <c r="H827" s="55" t="s">
        <v>1137</v>
      </c>
      <c r="I827" s="115" t="s">
        <v>6803</v>
      </c>
      <c r="J827" s="55" t="s">
        <v>6804</v>
      </c>
      <c r="K827" s="55" t="s">
        <v>61</v>
      </c>
      <c r="L827" s="55">
        <v>16917.0</v>
      </c>
      <c r="M827" s="55" t="s">
        <v>78</v>
      </c>
      <c r="N827" s="55" t="s">
        <v>79</v>
      </c>
      <c r="O827" s="55" t="s">
        <v>224</v>
      </c>
      <c r="P827" s="55" t="s">
        <v>110</v>
      </c>
      <c r="Q827" s="67" t="str">
        <f>IFERROR(__xludf.DUMMYFUNCTION("""COMPUTED_VALUE"""),"UnitedStates.giaotiep.M390_16917_MES_NamNH_150225")</f>
        <v>UnitedStates.giaotiep.M390_16917_MES_NamNH_150225</v>
      </c>
      <c r="R827" s="67" t="str">
        <f>IFERROR(__xludf.DUMMYFUNCTION("""COMPUTED_VALUE"""),"NEW_UnitedStates_2050_none_150225")</f>
        <v>NEW_UnitedStates_2050_none_150225</v>
      </c>
      <c r="S827" s="67" t="str">
        <f>IFERROR(__xludf.DUMMYFUNCTION("""COMPUTED_VALUE"""),"saletructiep_UnitedStates.M390.1840.giaotiep_PTATT_LD161")</f>
        <v>saletructiep_UnitedStates.M390.1840.giaotiep_PTATT_LD161</v>
      </c>
      <c r="T827" s="107" t="str">
        <f>IFERROR(__xludf.DUMMYFUNCTION("""COMPUTED_VALUE"""),"https://patadovietnam.edu.vn/gtusa1_nhn/?utm_source=Facebook&amp;utm_medium=MES&amp;utm_term=NEW_UnitedStates_2050_none_150225&amp;utm_content=saletructiep_UnitedStates.M390.1840.giaotiep_PTATT_LD161&amp;utm_campaign=UnitedStates.giaotiep.M390_16917_MES_NamNH_150225")</f>
        <v>https://patadovietnam.edu.vn/gtusa1_nhn/?utm_source=Facebook&amp;utm_medium=MES&amp;utm_term=NEW_UnitedStates_2050_none_150225&amp;utm_content=saletructiep_UnitedStates.M390.1840.giaotiep_PTATT_LD161&amp;utm_campaign=UnitedStates.giaotiep.M390_16917_MES_NamNH_150225</v>
      </c>
      <c r="U827" s="116"/>
    </row>
    <row r="828">
      <c r="A828" s="72">
        <v>45703.0</v>
      </c>
      <c r="B828" s="60" t="s">
        <v>1229</v>
      </c>
      <c r="C828" s="67" t="str">
        <f>IFERROR(__xludf.DUMMYFUNCTION("""COMPUTED_VALUE"""),"LD164")</f>
        <v>LD164</v>
      </c>
      <c r="D828" s="55" t="s">
        <v>42</v>
      </c>
      <c r="E828" s="55" t="s">
        <v>69</v>
      </c>
      <c r="F828" s="55" t="s">
        <v>133</v>
      </c>
      <c r="G828" s="55">
        <v>1840.0</v>
      </c>
      <c r="H828" s="55" t="s">
        <v>1137</v>
      </c>
      <c r="I828" s="115" t="s">
        <v>6806</v>
      </c>
      <c r="J828" s="55" t="s">
        <v>6807</v>
      </c>
      <c r="K828" s="55" t="s">
        <v>61</v>
      </c>
      <c r="L828" s="55">
        <v>16917.0</v>
      </c>
      <c r="M828" s="55" t="s">
        <v>78</v>
      </c>
      <c r="N828" s="55" t="s">
        <v>69</v>
      </c>
      <c r="O828" s="55" t="s">
        <v>224</v>
      </c>
      <c r="P828" s="55" t="s">
        <v>110</v>
      </c>
      <c r="Q828" s="67" t="str">
        <f>IFERROR(__xludf.DUMMYFUNCTION("""COMPUTED_VALUE"""),"Japan.giaotiep.M390_16917_CVS_NamNH_150225")</f>
        <v>Japan.giaotiep.M390_16917_CVS_NamNH_150225</v>
      </c>
      <c r="R828" s="67" t="str">
        <f>IFERROR(__xludf.DUMMYFUNCTION("""COMPUTED_VALUE"""),"NEW_Japan_1840_none_150225")</f>
        <v>NEW_Japan_1840_none_150225</v>
      </c>
      <c r="S828" s="67" t="str">
        <f>IFERROR(__xludf.DUMMYFUNCTION("""COMPUTED_VALUE"""),"saletructiep_Japan.M390.1840.giaotiep_PTATT_LD164")</f>
        <v>saletructiep_Japan.M390.1840.giaotiep_PTATT_LD164</v>
      </c>
      <c r="T828" s="107" t="str">
        <f>IFERROR(__xludf.DUMMYFUNCTION("""COMPUTED_VALUE"""),"https://patadovietnam.edu.vn/gtjapan_nhn3/?utm_source=Facebook&amp;utm_medium=CVS&amp;utm_term=NEW_Japan_1840_none_150225&amp;utm_content=saletructiep_Japan.M390.1840.giaotiep_PTATT_LD164&amp;utm_campaign=Japan.giaotiep.M390_16917_CVS_NamNH_150225")</f>
        <v>https://patadovietnam.edu.vn/gtjapan_nhn3/?utm_source=Facebook&amp;utm_medium=CVS&amp;utm_term=NEW_Japan_1840_none_150225&amp;utm_content=saletructiep_Japan.M390.1840.giaotiep_PTATT_LD164&amp;utm_campaign=Japan.giaotiep.M390_16917_CVS_NamNH_150225</v>
      </c>
      <c r="U828" s="116"/>
    </row>
    <row r="829">
      <c r="A829" s="72">
        <v>45703.0</v>
      </c>
      <c r="B829" s="60" t="s">
        <v>1229</v>
      </c>
      <c r="C829" s="67" t="str">
        <f>IFERROR(__xludf.DUMMYFUNCTION("""COMPUTED_VALUE"""),"LD164")</f>
        <v>LD164</v>
      </c>
      <c r="D829" s="55" t="s">
        <v>42</v>
      </c>
      <c r="E829" s="55" t="s">
        <v>69</v>
      </c>
      <c r="F829" s="55" t="s">
        <v>133</v>
      </c>
      <c r="G829" s="55">
        <v>1840.0</v>
      </c>
      <c r="H829" s="55" t="s">
        <v>1137</v>
      </c>
      <c r="I829" s="115" t="s">
        <v>6724</v>
      </c>
      <c r="J829" s="55" t="s">
        <v>6809</v>
      </c>
      <c r="K829" s="55" t="s">
        <v>61</v>
      </c>
      <c r="L829" s="55">
        <v>16917.0</v>
      </c>
      <c r="M829" s="55" t="s">
        <v>78</v>
      </c>
      <c r="N829" s="55" t="s">
        <v>69</v>
      </c>
      <c r="O829" s="55" t="s">
        <v>224</v>
      </c>
      <c r="P829" s="55" t="s">
        <v>110</v>
      </c>
      <c r="Q829" s="67" t="str">
        <f>IFERROR(__xludf.DUMMYFUNCTION("""COMPUTED_VALUE"""),"Japan.giaotiep.M396mot_16917_CVS_NamNH_150225")</f>
        <v>Japan.giaotiep.M396mot_16917_CVS_NamNH_150225</v>
      </c>
      <c r="R829" s="67" t="str">
        <f>IFERROR(__xludf.DUMMYFUNCTION("""COMPUTED_VALUE"""),"NEW_Japan_1840_none_150225")</f>
        <v>NEW_Japan_1840_none_150225</v>
      </c>
      <c r="S829" s="67" t="str">
        <f>IFERROR(__xludf.DUMMYFUNCTION("""COMPUTED_VALUE"""),"saletructiep_Japan.M396mot.1840.giaotiep_PTATT_LD164")</f>
        <v>saletructiep_Japan.M396mot.1840.giaotiep_PTATT_LD164</v>
      </c>
      <c r="T829" s="107" t="str">
        <f>IFERROR(__xludf.DUMMYFUNCTION("""COMPUTED_VALUE"""),"https://patadovietnam.edu.vn/gtjapan_nhn3/?utm_source=Facebook&amp;utm_medium=CVS&amp;utm_term=NEW_Japan_1840_none_150225&amp;utm_content=saletructiep_Japan.M396mot.1840.giaotiep_PTATT_LD164&amp;utm_campaign=Japan.giaotiep.M396mot_16917_CVS_NamNH_150225")</f>
        <v>https://patadovietnam.edu.vn/gtjapan_nhn3/?utm_source=Facebook&amp;utm_medium=CVS&amp;utm_term=NEW_Japan_1840_none_150225&amp;utm_content=saletructiep_Japan.M396mot.1840.giaotiep_PTATT_LD164&amp;utm_campaign=Japan.giaotiep.M396mot_16917_CVS_NamNH_150225</v>
      </c>
      <c r="U829" s="110" t="s">
        <v>6810</v>
      </c>
    </row>
    <row r="830">
      <c r="A830" s="72">
        <v>45703.0</v>
      </c>
      <c r="B830" s="60" t="s">
        <v>1229</v>
      </c>
      <c r="C830" s="67" t="str">
        <f>IFERROR(__xludf.DUMMYFUNCTION("""COMPUTED_VALUE"""),"LD164")</f>
        <v>LD164</v>
      </c>
      <c r="D830" s="55" t="s">
        <v>42</v>
      </c>
      <c r="E830" s="55" t="s">
        <v>69</v>
      </c>
      <c r="F830" s="55" t="s">
        <v>133</v>
      </c>
      <c r="G830" s="55">
        <v>1840.0</v>
      </c>
      <c r="H830" s="55" t="s">
        <v>1137</v>
      </c>
      <c r="I830" s="115" t="s">
        <v>6812</v>
      </c>
      <c r="J830" s="55" t="s">
        <v>6813</v>
      </c>
      <c r="K830" s="55" t="s">
        <v>61</v>
      </c>
      <c r="L830" s="55">
        <v>16917.0</v>
      </c>
      <c r="M830" s="55" t="s">
        <v>78</v>
      </c>
      <c r="N830" s="55" t="s">
        <v>69</v>
      </c>
      <c r="O830" s="55" t="s">
        <v>224</v>
      </c>
      <c r="P830" s="55" t="s">
        <v>110</v>
      </c>
      <c r="Q830" s="67" t="str">
        <f>IFERROR(__xludf.DUMMYFUNCTION("""COMPUTED_VALUE"""),"Japan.giaotiep.M396hai_16917_CVS_NamNH_150225")</f>
        <v>Japan.giaotiep.M396hai_16917_CVS_NamNH_150225</v>
      </c>
      <c r="R830" s="67" t="str">
        <f>IFERROR(__xludf.DUMMYFUNCTION("""COMPUTED_VALUE"""),"NEW_Japan_1840_none_150225")</f>
        <v>NEW_Japan_1840_none_150225</v>
      </c>
      <c r="S830" s="67" t="str">
        <f>IFERROR(__xludf.DUMMYFUNCTION("""COMPUTED_VALUE"""),"saletructiep_Japan.M396hai.1840.giaotiep_PTATT_LD164")</f>
        <v>saletructiep_Japan.M396hai.1840.giaotiep_PTATT_LD164</v>
      </c>
      <c r="T830" s="107" t="str">
        <f>IFERROR(__xludf.DUMMYFUNCTION("""COMPUTED_VALUE"""),"https://patadovietnam.edu.vn/gtjapan_nhn3/?utm_source=Facebook&amp;utm_medium=CVS&amp;utm_term=NEW_Japan_1840_none_150225&amp;utm_content=saletructiep_Japan.M396hai.1840.giaotiep_PTATT_LD164&amp;utm_campaign=Japan.giaotiep.M396hai_16917_CVS_NamNH_150225")</f>
        <v>https://patadovietnam.edu.vn/gtjapan_nhn3/?utm_source=Facebook&amp;utm_medium=CVS&amp;utm_term=NEW_Japan_1840_none_150225&amp;utm_content=saletructiep_Japan.M396hai.1840.giaotiep_PTATT_LD164&amp;utm_campaign=Japan.giaotiep.M396hai_16917_CVS_NamNH_150225</v>
      </c>
      <c r="U830" s="116"/>
    </row>
    <row r="831">
      <c r="A831" s="72">
        <v>45703.0</v>
      </c>
      <c r="B831" s="60" t="s">
        <v>1229</v>
      </c>
      <c r="C831" s="67" t="str">
        <f>IFERROR(__xludf.DUMMYFUNCTION("""COMPUTED_VALUE"""),"LD164")</f>
        <v>LD164</v>
      </c>
      <c r="D831" s="55" t="s">
        <v>42</v>
      </c>
      <c r="E831" s="55" t="s">
        <v>69</v>
      </c>
      <c r="F831" s="55" t="s">
        <v>133</v>
      </c>
      <c r="G831" s="55">
        <v>1840.0</v>
      </c>
      <c r="H831" s="55" t="s">
        <v>1137</v>
      </c>
      <c r="I831" s="115" t="s">
        <v>6814</v>
      </c>
      <c r="J831" s="55" t="s">
        <v>6815</v>
      </c>
      <c r="K831" s="55" t="s">
        <v>61</v>
      </c>
      <c r="L831" s="55">
        <v>16917.0</v>
      </c>
      <c r="M831" s="55" t="s">
        <v>78</v>
      </c>
      <c r="N831" s="55" t="s">
        <v>69</v>
      </c>
      <c r="O831" s="55" t="s">
        <v>224</v>
      </c>
      <c r="P831" s="55" t="s">
        <v>110</v>
      </c>
      <c r="Q831" s="67" t="str">
        <f>IFERROR(__xludf.DUMMYFUNCTION("""COMPUTED_VALUE"""),"Japan.giaotiep.M395_16917_CVS_NamNH_150225")</f>
        <v>Japan.giaotiep.M395_16917_CVS_NamNH_150225</v>
      </c>
      <c r="R831" s="67" t="str">
        <f>IFERROR(__xludf.DUMMYFUNCTION("""COMPUTED_VALUE"""),"NEW_Japan_1840_none_150225")</f>
        <v>NEW_Japan_1840_none_150225</v>
      </c>
      <c r="S831" s="67" t="str">
        <f>IFERROR(__xludf.DUMMYFUNCTION("""COMPUTED_VALUE"""),"saletructiep_Japan.M395.1840.giaotiep_PTATT_LD164")</f>
        <v>saletructiep_Japan.M395.1840.giaotiep_PTATT_LD164</v>
      </c>
      <c r="T831" s="107" t="str">
        <f>IFERROR(__xludf.DUMMYFUNCTION("""COMPUTED_VALUE"""),"https://patadovietnam.edu.vn/gtjapan_nhn3/?utm_source=Facebook&amp;utm_medium=CVS&amp;utm_term=NEW_Japan_1840_none_150225&amp;utm_content=saletructiep_Japan.M395.1840.giaotiep_PTATT_LD164&amp;utm_campaign=Japan.giaotiep.M395_16917_CVS_NamNH_150225")</f>
        <v>https://patadovietnam.edu.vn/gtjapan_nhn3/?utm_source=Facebook&amp;utm_medium=CVS&amp;utm_term=NEW_Japan_1840_none_150225&amp;utm_content=saletructiep_Japan.M395.1840.giaotiep_PTATT_LD164&amp;utm_campaign=Japan.giaotiep.M395_16917_CVS_NamNH_150225</v>
      </c>
      <c r="U831" s="116"/>
    </row>
    <row r="832">
      <c r="A832" s="72">
        <v>45703.0</v>
      </c>
      <c r="B832" s="60" t="s">
        <v>1134</v>
      </c>
      <c r="C832" s="67" t="str">
        <f>IFERROR(__xludf.DUMMYFUNCTION("""COMPUTED_VALUE"""),"LD153")</f>
        <v>LD153</v>
      </c>
      <c r="D832" s="55" t="s">
        <v>42</v>
      </c>
      <c r="E832" s="55" t="s">
        <v>69</v>
      </c>
      <c r="F832" s="55" t="s">
        <v>674</v>
      </c>
      <c r="G832" s="55">
        <v>1840.0</v>
      </c>
      <c r="H832" s="55" t="s">
        <v>1137</v>
      </c>
      <c r="I832" s="115" t="s">
        <v>6817</v>
      </c>
      <c r="J832" s="55" t="s">
        <v>6818</v>
      </c>
      <c r="K832" s="55" t="s">
        <v>61</v>
      </c>
      <c r="L832" s="55">
        <v>16917.0</v>
      </c>
      <c r="M832" s="55" t="s">
        <v>78</v>
      </c>
      <c r="N832" s="55" t="s">
        <v>69</v>
      </c>
      <c r="O832" s="55" t="s">
        <v>224</v>
      </c>
      <c r="P832" s="55" t="s">
        <v>110</v>
      </c>
      <c r="Q832" s="67" t="str">
        <f>IFERROR(__xludf.DUMMYFUNCTION("""COMPUTED_VALUE"""),"Europe.giaotiep.M390_16917_CVS_NamNH_150225")</f>
        <v>Europe.giaotiep.M390_16917_CVS_NamNH_150225</v>
      </c>
      <c r="R832" s="67" t="str">
        <f>IFERROR(__xludf.DUMMYFUNCTION("""COMPUTED_VALUE"""),"NEW_Europe_1840_none_150225")</f>
        <v>NEW_Europe_1840_none_150225</v>
      </c>
      <c r="S832" s="67" t="str">
        <f>IFERROR(__xludf.DUMMYFUNCTION("""COMPUTED_VALUE"""),"saletructiep_Europe.M390.1840.giaotiep_PTATT_LD153")</f>
        <v>saletructiep_Europe.M390.1840.giaotiep_PTATT_LD153</v>
      </c>
      <c r="T832" s="107" t="str">
        <f>IFERROR(__xludf.DUMMYFUNCTION("""COMPUTED_VALUE"""),"https://patadovietnam.edu.vn/tienganhgiaotiep_hn/?utm_source=Facebook&amp;utm_medium=CVS&amp;utm_term=NEW_Europe_1840_none_150225&amp;utm_content=saletructiep_Europe.M390.1840.giaotiep_PTATT_LD153&amp;utm_campaign=Europe.giaotiep.M390_16917_CVS_NamNH_150225")</f>
        <v>https://patadovietnam.edu.vn/tienganhgiaotiep_hn/?utm_source=Facebook&amp;utm_medium=CVS&amp;utm_term=NEW_Europe_1840_none_150225&amp;utm_content=saletructiep_Europe.M390.1840.giaotiep_PTATT_LD153&amp;utm_campaign=Europe.giaotiep.M390_16917_CVS_NamNH_150225</v>
      </c>
      <c r="U832" s="116"/>
    </row>
    <row r="833">
      <c r="A833" s="72">
        <v>45703.0</v>
      </c>
      <c r="B833" s="60" t="s">
        <v>1134</v>
      </c>
      <c r="C833" s="67" t="str">
        <f>IFERROR(__xludf.DUMMYFUNCTION("""COMPUTED_VALUE"""),"LD153")</f>
        <v>LD153</v>
      </c>
      <c r="D833" s="55" t="s">
        <v>42</v>
      </c>
      <c r="E833" s="55" t="s">
        <v>69</v>
      </c>
      <c r="F833" s="55" t="s">
        <v>674</v>
      </c>
      <c r="G833" s="55">
        <v>1840.0</v>
      </c>
      <c r="H833" s="55" t="s">
        <v>1137</v>
      </c>
      <c r="I833" s="115" t="s">
        <v>6820</v>
      </c>
      <c r="J833" s="55" t="s">
        <v>6821</v>
      </c>
      <c r="K833" s="55" t="s">
        <v>61</v>
      </c>
      <c r="L833" s="55">
        <v>16917.0</v>
      </c>
      <c r="M833" s="55" t="s">
        <v>78</v>
      </c>
      <c r="N833" s="55" t="s">
        <v>69</v>
      </c>
      <c r="O833" s="55" t="s">
        <v>224</v>
      </c>
      <c r="P833" s="55" t="s">
        <v>110</v>
      </c>
      <c r="Q833" s="67" t="str">
        <f>IFERROR(__xludf.DUMMYFUNCTION("""COMPUTED_VALUE"""),"Europe.giaotiep.M396ba_16917_CVS_NamNH_150225")</f>
        <v>Europe.giaotiep.M396ba_16917_CVS_NamNH_150225</v>
      </c>
      <c r="R833" s="67" t="str">
        <f>IFERROR(__xludf.DUMMYFUNCTION("""COMPUTED_VALUE"""),"NEW_Europe_1840_none_150225")</f>
        <v>NEW_Europe_1840_none_150225</v>
      </c>
      <c r="S833" s="67" t="str">
        <f>IFERROR(__xludf.DUMMYFUNCTION("""COMPUTED_VALUE"""),"saletructiep_Europe.M396ba.1840.giaotiep_PTATT_LD153")</f>
        <v>saletructiep_Europe.M396ba.1840.giaotiep_PTATT_LD153</v>
      </c>
      <c r="T833" s="107" t="str">
        <f>IFERROR(__xludf.DUMMYFUNCTION("""COMPUTED_VALUE"""),"https://patadovietnam.edu.vn/tienganhgiaotiep_hn/?utm_source=Facebook&amp;utm_medium=CVS&amp;utm_term=NEW_Europe_1840_none_150225&amp;utm_content=saletructiep_Europe.M396ba.1840.giaotiep_PTATT_LD153&amp;utm_campaign=Europe.giaotiep.M396ba_16917_CVS_NamNH_150225")</f>
        <v>https://patadovietnam.edu.vn/tienganhgiaotiep_hn/?utm_source=Facebook&amp;utm_medium=CVS&amp;utm_term=NEW_Europe_1840_none_150225&amp;utm_content=saletructiep_Europe.M396ba.1840.giaotiep_PTATT_LD153&amp;utm_campaign=Europe.giaotiep.M396ba_16917_CVS_NamNH_150225</v>
      </c>
      <c r="U833" s="110" t="s">
        <v>6823</v>
      </c>
    </row>
    <row r="834">
      <c r="A834" s="72">
        <v>45703.0</v>
      </c>
      <c r="B834" s="60" t="s">
        <v>1134</v>
      </c>
      <c r="C834" s="67" t="str">
        <f>IFERROR(__xludf.DUMMYFUNCTION("""COMPUTED_VALUE"""),"LD153")</f>
        <v>LD153</v>
      </c>
      <c r="D834" s="55" t="s">
        <v>42</v>
      </c>
      <c r="E834" s="55" t="s">
        <v>69</v>
      </c>
      <c r="F834" s="55" t="s">
        <v>674</v>
      </c>
      <c r="G834" s="55">
        <v>1840.0</v>
      </c>
      <c r="H834" s="55" t="s">
        <v>1137</v>
      </c>
      <c r="I834" s="115" t="s">
        <v>6825</v>
      </c>
      <c r="J834" s="55" t="s">
        <v>6826</v>
      </c>
      <c r="K834" s="55" t="s">
        <v>61</v>
      </c>
      <c r="L834" s="55">
        <v>16917.0</v>
      </c>
      <c r="M834" s="55" t="s">
        <v>78</v>
      </c>
      <c r="N834" s="55" t="s">
        <v>69</v>
      </c>
      <c r="O834" s="55" t="s">
        <v>224</v>
      </c>
      <c r="P834" s="55" t="s">
        <v>110</v>
      </c>
      <c r="Q834" s="67" t="str">
        <f>IFERROR(__xludf.DUMMYFUNCTION("""COMPUTED_VALUE"""),"Europe.giaotiep.M396bon_16917_CVS_NamNH_150225")</f>
        <v>Europe.giaotiep.M396bon_16917_CVS_NamNH_150225</v>
      </c>
      <c r="R834" s="67" t="str">
        <f>IFERROR(__xludf.DUMMYFUNCTION("""COMPUTED_VALUE"""),"NEW_Europe_1840_none_150225")</f>
        <v>NEW_Europe_1840_none_150225</v>
      </c>
      <c r="S834" s="67" t="str">
        <f>IFERROR(__xludf.DUMMYFUNCTION("""COMPUTED_VALUE"""),"saletructiep_Europe.M396bon.1840.giaotiep_PTATT_LD153")</f>
        <v>saletructiep_Europe.M396bon.1840.giaotiep_PTATT_LD153</v>
      </c>
      <c r="T834" s="107" t="str">
        <f>IFERROR(__xludf.DUMMYFUNCTION("""COMPUTED_VALUE"""),"https://patadovietnam.edu.vn/tienganhgiaotiep_hn/?utm_source=Facebook&amp;utm_medium=CVS&amp;utm_term=NEW_Europe_1840_none_150225&amp;utm_content=saletructiep_Europe.M396bon.1840.giaotiep_PTATT_LD153&amp;utm_campaign=Europe.giaotiep.M396bon_16917_CVS_NamNH_150225")</f>
        <v>https://patadovietnam.edu.vn/tienganhgiaotiep_hn/?utm_source=Facebook&amp;utm_medium=CVS&amp;utm_term=NEW_Europe_1840_none_150225&amp;utm_content=saletructiep_Europe.M396bon.1840.giaotiep_PTATT_LD153&amp;utm_campaign=Europe.giaotiep.M396bon_16917_CVS_NamNH_150225</v>
      </c>
      <c r="U834" s="116"/>
    </row>
    <row r="835">
      <c r="A835" s="72">
        <v>45703.0</v>
      </c>
      <c r="B835" s="60" t="s">
        <v>1134</v>
      </c>
      <c r="C835" s="67" t="str">
        <f>IFERROR(__xludf.DUMMYFUNCTION("""COMPUTED_VALUE"""),"LD153")</f>
        <v>LD153</v>
      </c>
      <c r="D835" s="55" t="s">
        <v>42</v>
      </c>
      <c r="E835" s="55" t="s">
        <v>72</v>
      </c>
      <c r="F835" s="55" t="s">
        <v>674</v>
      </c>
      <c r="G835" s="55">
        <v>1840.0</v>
      </c>
      <c r="H835" s="55" t="s">
        <v>1137</v>
      </c>
      <c r="I835" s="115" t="s">
        <v>6828</v>
      </c>
      <c r="J835" s="55" t="s">
        <v>6829</v>
      </c>
      <c r="K835" s="55" t="s">
        <v>61</v>
      </c>
      <c r="L835" s="55">
        <v>16917.0</v>
      </c>
      <c r="M835" s="55" t="s">
        <v>78</v>
      </c>
      <c r="N835" s="55" t="s">
        <v>69</v>
      </c>
      <c r="O835" s="55" t="s">
        <v>224</v>
      </c>
      <c r="P835" s="55" t="s">
        <v>110</v>
      </c>
      <c r="Q835" s="67" t="str">
        <f>IFERROR(__xludf.DUMMYFUNCTION("""COMPUTED_VALUE"""),"Europe.RMK.M269_16917_CVS_NamNH_150225")</f>
        <v>Europe.RMK.M269_16917_CVS_NamNH_150225</v>
      </c>
      <c r="R835" s="67" t="str">
        <f>IFERROR(__xludf.DUMMYFUNCTION("""COMPUTED_VALUE"""),"NEW_Europe_1840_none_150225")</f>
        <v>NEW_Europe_1840_none_150225</v>
      </c>
      <c r="S835" s="67" t="str">
        <f>IFERROR(__xludf.DUMMYFUNCTION("""COMPUTED_VALUE"""),"saletructiep_Europe.M269.1840.RMK_PTATT_LD153")</f>
        <v>saletructiep_Europe.M269.1840.RMK_PTATT_LD153</v>
      </c>
      <c r="T835" s="107" t="str">
        <f>IFERROR(__xludf.DUMMYFUNCTION("""COMPUTED_VALUE"""),"https://patadovietnam.edu.vn/tienganhgiaotiep_hn/?utm_source=Facebook&amp;utm_medium=RMK&amp;utm_term=NEW_Europe_1840_none_150225&amp;utm_content=saletructiep_Europe.M269.1840.RMK_PTATT_LD153&amp;utm_campaign=Europe.RMK.M269_16917_CVS_NamNH_150225")</f>
        <v>https://patadovietnam.edu.vn/tienganhgiaotiep_hn/?utm_source=Facebook&amp;utm_medium=RMK&amp;utm_term=NEW_Europe_1840_none_150225&amp;utm_content=saletructiep_Europe.M269.1840.RMK_PTATT_LD153&amp;utm_campaign=Europe.RMK.M269_16917_CVS_NamNH_150225</v>
      </c>
      <c r="U835" s="116"/>
    </row>
    <row r="836">
      <c r="A836" s="72">
        <v>45703.0</v>
      </c>
      <c r="B836" s="60" t="s">
        <v>1134</v>
      </c>
      <c r="C836" s="67" t="str">
        <f>IFERROR(__xludf.DUMMYFUNCTION("""COMPUTED_VALUE"""),"LD153")</f>
        <v>LD153</v>
      </c>
      <c r="D836" s="55" t="s">
        <v>42</v>
      </c>
      <c r="E836" s="55" t="s">
        <v>5323</v>
      </c>
      <c r="F836" s="55" t="s">
        <v>674</v>
      </c>
      <c r="G836" s="55">
        <v>1840.0</v>
      </c>
      <c r="H836" s="55" t="s">
        <v>1137</v>
      </c>
      <c r="I836" s="115" t="s">
        <v>6831</v>
      </c>
      <c r="J836" s="55" t="s">
        <v>6832</v>
      </c>
      <c r="K836" s="55" t="s">
        <v>61</v>
      </c>
      <c r="L836" s="55">
        <v>16917.0</v>
      </c>
      <c r="M836" s="55" t="s">
        <v>78</v>
      </c>
      <c r="N836" s="55" t="s">
        <v>69</v>
      </c>
      <c r="O836" s="55" t="s">
        <v>224</v>
      </c>
      <c r="P836" s="55" t="s">
        <v>110</v>
      </c>
      <c r="Q836" s="67" t="str">
        <f>IFERROR(__xludf.DUMMYFUNCTION("""COMPUTED_VALUE"""),"Europe.LAL.qcpatado1_16917_CVS_NamNH_150225")</f>
        <v>Europe.LAL.qcpatado1_16917_CVS_NamNH_150225</v>
      </c>
      <c r="R836" s="67" t="str">
        <f>IFERROR(__xludf.DUMMYFUNCTION("""COMPUTED_VALUE"""),"NEW_Europe_1840_none_150225")</f>
        <v>NEW_Europe_1840_none_150225</v>
      </c>
      <c r="S836" s="67" t="str">
        <f>IFERROR(__xludf.DUMMYFUNCTION("""COMPUTED_VALUE"""),"saletructiep_Europe.qcpatado1.1840.LAL_PTATT_LD153")</f>
        <v>saletructiep_Europe.qcpatado1.1840.LAL_PTATT_LD153</v>
      </c>
      <c r="T836" s="107" t="str">
        <f>IFERROR(__xludf.DUMMYFUNCTION("""COMPUTED_VALUE"""),"https://patadovietnam.edu.vn/tienganhgiaotiep_hn/?utm_source=Facebook&amp;utm_medium=LAL&amp;utm_term=NEW_Europe_1840_none_150225&amp;utm_content=saletructiep_Europe.qcpatado1.1840.LAL_PTATT_LD153&amp;utm_campaign=Europe.LAL.qcpatado1_16917_CVS_NamNH_150225")</f>
        <v>https://patadovietnam.edu.vn/tienganhgiaotiep_hn/?utm_source=Facebook&amp;utm_medium=LAL&amp;utm_term=NEW_Europe_1840_none_150225&amp;utm_content=saletructiep_Europe.qcpatado1.1840.LAL_PTATT_LD153&amp;utm_campaign=Europe.LAL.qcpatado1_16917_CVS_NamNH_150225</v>
      </c>
      <c r="U836" s="116"/>
    </row>
    <row r="837">
      <c r="A837" s="72">
        <v>45703.0</v>
      </c>
      <c r="B837" s="60" t="s">
        <v>1229</v>
      </c>
      <c r="C837" s="67" t="str">
        <f>IFERROR(__xludf.DUMMYFUNCTION("""COMPUTED_VALUE"""),"LD164")</f>
        <v>LD164</v>
      </c>
      <c r="D837" s="55" t="s">
        <v>42</v>
      </c>
      <c r="E837" s="55" t="s">
        <v>5323</v>
      </c>
      <c r="F837" s="55" t="s">
        <v>133</v>
      </c>
      <c r="G837" s="55">
        <v>1840.0</v>
      </c>
      <c r="H837" s="55" t="s">
        <v>1137</v>
      </c>
      <c r="I837" s="115" t="s">
        <v>6834</v>
      </c>
      <c r="J837" s="55" t="s">
        <v>6835</v>
      </c>
      <c r="K837" s="55" t="s">
        <v>61</v>
      </c>
      <c r="L837" s="55">
        <v>16917.0</v>
      </c>
      <c r="M837" s="55" t="s">
        <v>78</v>
      </c>
      <c r="N837" s="55" t="s">
        <v>69</v>
      </c>
      <c r="O837" s="55" t="s">
        <v>224</v>
      </c>
      <c r="P837" s="55" t="s">
        <v>110</v>
      </c>
      <c r="Q837" s="67" t="str">
        <f>IFERROR(__xludf.DUMMYFUNCTION("""COMPUTED_VALUE"""),"Japan.LAL.qcpatado1_16917_CVS_NamNH_150225")</f>
        <v>Japan.LAL.qcpatado1_16917_CVS_NamNH_150225</v>
      </c>
      <c r="R837" s="67" t="str">
        <f>IFERROR(__xludf.DUMMYFUNCTION("""COMPUTED_VALUE"""),"NEW_Japan_1840_none_150225")</f>
        <v>NEW_Japan_1840_none_150225</v>
      </c>
      <c r="S837" s="67" t="str">
        <f>IFERROR(__xludf.DUMMYFUNCTION("""COMPUTED_VALUE"""),"saletructiep_Japan.qcpatado1.1840.LAL_PTATT_LD164")</f>
        <v>saletructiep_Japan.qcpatado1.1840.LAL_PTATT_LD164</v>
      </c>
      <c r="T837" s="107" t="str">
        <f>IFERROR(__xludf.DUMMYFUNCTION("""COMPUTED_VALUE"""),"https://patadovietnam.edu.vn/gtjapan_nhn3/?utm_source=Facebook&amp;utm_medium=LAL&amp;utm_term=NEW_Japan_1840_none_150225&amp;utm_content=saletructiep_Japan.qcpatado1.1840.LAL_PTATT_LD164&amp;utm_campaign=Japan.LAL.qcpatado1_16917_CVS_NamNH_150225")</f>
        <v>https://patadovietnam.edu.vn/gtjapan_nhn3/?utm_source=Facebook&amp;utm_medium=LAL&amp;utm_term=NEW_Japan_1840_none_150225&amp;utm_content=saletructiep_Japan.qcpatado1.1840.LAL_PTATT_LD164&amp;utm_campaign=Japan.LAL.qcpatado1_16917_CVS_NamNH_150225</v>
      </c>
      <c r="U837" s="116"/>
    </row>
    <row r="838">
      <c r="A838" s="72">
        <v>45712.0</v>
      </c>
      <c r="B838" s="60" t="s">
        <v>1134</v>
      </c>
      <c r="C838" s="67" t="str">
        <f>IFERROR(__xludf.DUMMYFUNCTION("""COMPUTED_VALUE"""),"LD153")</f>
        <v>LD153</v>
      </c>
      <c r="D838" s="55" t="s">
        <v>42</v>
      </c>
      <c r="E838" s="55" t="s">
        <v>6837</v>
      </c>
      <c r="F838" s="55" t="s">
        <v>539</v>
      </c>
      <c r="G838" s="55">
        <v>1840.0</v>
      </c>
      <c r="H838" s="55" t="s">
        <v>1137</v>
      </c>
      <c r="I838" s="115" t="s">
        <v>6838</v>
      </c>
      <c r="J838" s="55" t="s">
        <v>6839</v>
      </c>
      <c r="K838" s="55" t="s">
        <v>61</v>
      </c>
      <c r="L838" s="55">
        <v>16917.0</v>
      </c>
      <c r="M838" s="55" t="s">
        <v>78</v>
      </c>
      <c r="N838" s="55" t="s">
        <v>69</v>
      </c>
      <c r="O838" s="55" t="s">
        <v>224</v>
      </c>
      <c r="P838" s="55" t="s">
        <v>110</v>
      </c>
      <c r="Q838" s="67" t="str">
        <f>IFERROR(__xludf.DUMMYFUNCTION("""COMPUTED_VALUE"""),"ALL.TLS.OSAKA_16917_CVS_NamNH_240225")</f>
        <v>ALL.TLS.OSAKA_16917_CVS_NamNH_240225</v>
      </c>
      <c r="R838" s="67" t="str">
        <f>IFERROR(__xludf.DUMMYFUNCTION("""COMPUTED_VALUE"""),"NEW_ALL_1840_none_240225")</f>
        <v>NEW_ALL_1840_none_240225</v>
      </c>
      <c r="S838" s="67" t="str">
        <f>IFERROR(__xludf.DUMMYFUNCTION("""COMPUTED_VALUE"""),"saletructiep_ALL.OSAKA.1840.TLS_PTATT_LD153")</f>
        <v>saletructiep_ALL.OSAKA.1840.TLS_PTATT_LD153</v>
      </c>
      <c r="T838" s="107" t="str">
        <f>IFERROR(__xludf.DUMMYFUNCTION("""COMPUTED_VALUE"""),"https://patadovietnam.edu.vn/tienganhgiaotiep_hn/?utm_source=Facebook&amp;utm_medium=TLS&amp;utm_term=NEW_ALL_1840_none_240225&amp;utm_content=saletructiep_ALL.OSAKA.1840.TLS_PTATT_LD153&amp;utm_campaign=ALL.TLS.OSAKA_16917_CVS_NamNH_240225")</f>
        <v>https://patadovietnam.edu.vn/tienganhgiaotiep_hn/?utm_source=Facebook&amp;utm_medium=TLS&amp;utm_term=NEW_ALL_1840_none_240225&amp;utm_content=saletructiep_ALL.OSAKA.1840.TLS_PTATT_LD153&amp;utm_campaign=ALL.TLS.OSAKA_16917_CVS_NamNH_240225</v>
      </c>
      <c r="U838" s="116"/>
    </row>
    <row r="839">
      <c r="A839" s="72">
        <v>45715.0</v>
      </c>
      <c r="B839" s="60" t="s">
        <v>1245</v>
      </c>
      <c r="C839" s="67" t="str">
        <f>IFERROR(__xludf.DUMMYFUNCTION("""COMPUTED_VALUE"""),"LD161")</f>
        <v>LD161</v>
      </c>
      <c r="D839" s="55" t="s">
        <v>42</v>
      </c>
      <c r="E839" s="55" t="s">
        <v>69</v>
      </c>
      <c r="F839" s="55" t="s">
        <v>107</v>
      </c>
      <c r="G839" s="55">
        <v>2050.0</v>
      </c>
      <c r="H839" s="55" t="s">
        <v>1137</v>
      </c>
      <c r="I839" s="115" t="s">
        <v>6841</v>
      </c>
      <c r="J839" s="55" t="s">
        <v>6842</v>
      </c>
      <c r="K839" s="55" t="s">
        <v>61</v>
      </c>
      <c r="L839" s="55">
        <v>16917.0</v>
      </c>
      <c r="M839" s="55" t="s">
        <v>78</v>
      </c>
      <c r="N839" s="55" t="s">
        <v>69</v>
      </c>
      <c r="O839" s="55" t="s">
        <v>224</v>
      </c>
      <c r="P839" s="55" t="s">
        <v>110</v>
      </c>
      <c r="Q839" s="67" t="str">
        <f>IFERROR(__xludf.DUMMYFUNCTION("""COMPUTED_VALUE"""),"UnitedStates.giaotiep.M396motHK_16917_CVS_NamNH_270225")</f>
        <v>UnitedStates.giaotiep.M396motHK_16917_CVS_NamNH_270225</v>
      </c>
      <c r="R839" s="67" t="str">
        <f>IFERROR(__xludf.DUMMYFUNCTION("""COMPUTED_VALUE"""),"NEW_UnitedStates_2050_none_270225")</f>
        <v>NEW_UnitedStates_2050_none_270225</v>
      </c>
      <c r="S839" s="67" t="str">
        <f>IFERROR(__xludf.DUMMYFUNCTION("""COMPUTED_VALUE"""),"saletructiep_UnitedStates.M396motHK.1840.giaotiep_PTATT_LD161")</f>
        <v>saletructiep_UnitedStates.M396motHK.1840.giaotiep_PTATT_LD161</v>
      </c>
      <c r="T839" s="107" t="str">
        <f>IFERROR(__xludf.DUMMYFUNCTION("""COMPUTED_VALUE"""),"https://patadovietnam.edu.vn/gtusa1_nhn/?utm_source=Facebook&amp;utm_medium=CVS&amp;utm_term=NEW_UnitedStates_2050_none_270225&amp;utm_content=saletructiep_UnitedStates.M396motHK.1840.giaotiep_PTATT_LD161&amp;utm_campaign=UnitedStates.giaotiep.M396motHK_16917_CVS_NamNH_2"&amp;"70225")</f>
        <v>https://patadovietnam.edu.vn/gtusa1_nhn/?utm_source=Facebook&amp;utm_medium=CVS&amp;utm_term=NEW_UnitedStates_2050_none_270225&amp;utm_content=saletructiep_UnitedStates.M396motHK.1840.giaotiep_PTATT_LD161&amp;utm_campaign=UnitedStates.giaotiep.M396motHK_16917_CVS_NamNH_270225</v>
      </c>
      <c r="U839" s="110" t="s">
        <v>6844</v>
      </c>
    </row>
    <row r="840">
      <c r="A840" s="72">
        <v>45715.0</v>
      </c>
      <c r="B840" s="60" t="s">
        <v>1245</v>
      </c>
      <c r="C840" s="67" t="str">
        <f>IFERROR(__xludf.DUMMYFUNCTION("""COMPUTED_VALUE"""),"LD161")</f>
        <v>LD161</v>
      </c>
      <c r="D840" s="55" t="s">
        <v>42</v>
      </c>
      <c r="E840" s="55" t="s">
        <v>79</v>
      </c>
      <c r="F840" s="55" t="s">
        <v>107</v>
      </c>
      <c r="G840" s="55">
        <v>2050.0</v>
      </c>
      <c r="H840" s="55" t="s">
        <v>1137</v>
      </c>
      <c r="I840" s="115" t="s">
        <v>6846</v>
      </c>
      <c r="J840" s="55" t="s">
        <v>6847</v>
      </c>
      <c r="K840" s="55" t="s">
        <v>61</v>
      </c>
      <c r="L840" s="55">
        <v>16917.0</v>
      </c>
      <c r="M840" s="55" t="s">
        <v>78</v>
      </c>
      <c r="N840" s="55" t="s">
        <v>79</v>
      </c>
      <c r="O840" s="55" t="s">
        <v>224</v>
      </c>
      <c r="P840" s="55" t="s">
        <v>110</v>
      </c>
      <c r="Q840" s="67" t="str">
        <f>IFERROR(__xludf.DUMMYFUNCTION("""COMPUTED_VALUE"""),"UnitedStates.giaotiep.M332XM236_16917_MES_NamNH_270225")</f>
        <v>UnitedStates.giaotiep.M332XM236_16917_MES_NamNH_270225</v>
      </c>
      <c r="R840" s="67" t="str">
        <f>IFERROR(__xludf.DUMMYFUNCTION("""COMPUTED_VALUE"""),"NEW_UnitedStates_2050_none_270225")</f>
        <v>NEW_UnitedStates_2050_none_270225</v>
      </c>
      <c r="S840" s="67" t="str">
        <f>IFERROR(__xludf.DUMMYFUNCTION("""COMPUTED_VALUE"""),"saletructiep_UnitedStates.M332XM236.1840.giaotiep_PTATT_LD161")</f>
        <v>saletructiep_UnitedStates.M332XM236.1840.giaotiep_PTATT_LD161</v>
      </c>
      <c r="T840" s="107" t="str">
        <f>IFERROR(__xludf.DUMMYFUNCTION("""COMPUTED_VALUE"""),"https://patadovietnam.edu.vn/gtusa1_nhn/?utm_source=Facebook&amp;utm_medium=MES&amp;utm_term=NEW_UnitedStates_2050_none_270225&amp;utm_content=saletructiep_UnitedStates.M332XM236.1840.giaotiep_PTATT_LD161&amp;utm_campaign=UnitedStates.giaotiep.M332XM236_16917_MES_NamNH_2"&amp;"70225")</f>
        <v>https://patadovietnam.edu.vn/gtusa1_nhn/?utm_source=Facebook&amp;utm_medium=MES&amp;utm_term=NEW_UnitedStates_2050_none_270225&amp;utm_content=saletructiep_UnitedStates.M332XM236.1840.giaotiep_PTATT_LD161&amp;utm_campaign=UnitedStates.giaotiep.M332XM236_16917_MES_NamNH_270225</v>
      </c>
      <c r="U840" s="110" t="s">
        <v>6849</v>
      </c>
    </row>
    <row r="841">
      <c r="A841" s="72">
        <v>45715.0</v>
      </c>
      <c r="B841" s="60" t="s">
        <v>1229</v>
      </c>
      <c r="C841" s="67" t="str">
        <f>IFERROR(__xludf.DUMMYFUNCTION("""COMPUTED_VALUE"""),"LD164")</f>
        <v>LD164</v>
      </c>
      <c r="D841" s="55" t="s">
        <v>42</v>
      </c>
      <c r="E841" s="55" t="s">
        <v>69</v>
      </c>
      <c r="F841" s="55" t="s">
        <v>133</v>
      </c>
      <c r="G841" s="55">
        <v>1840.0</v>
      </c>
      <c r="H841" s="55" t="s">
        <v>1137</v>
      </c>
      <c r="I841" s="115" t="s">
        <v>6850</v>
      </c>
      <c r="J841" s="55" t="s">
        <v>6851</v>
      </c>
      <c r="K841" s="55" t="s">
        <v>61</v>
      </c>
      <c r="L841" s="55">
        <v>16917.0</v>
      </c>
      <c r="M841" s="55" t="s">
        <v>78</v>
      </c>
      <c r="N841" s="55" t="s">
        <v>69</v>
      </c>
      <c r="O841" s="55" t="s">
        <v>224</v>
      </c>
      <c r="P841" s="55" t="s">
        <v>110</v>
      </c>
      <c r="Q841" s="67" t="str">
        <f>IFERROR(__xludf.DUMMYFUNCTION("""COMPUTED_VALUE"""),"Japan.giaotiep.M403XJH_16917_CVS_NamNH_270225")</f>
        <v>Japan.giaotiep.M403XJH_16917_CVS_NamNH_270225</v>
      </c>
      <c r="R841" s="67" t="str">
        <f>IFERROR(__xludf.DUMMYFUNCTION("""COMPUTED_VALUE"""),"NEW_Japan_1840_none_270225")</f>
        <v>NEW_Japan_1840_none_270225</v>
      </c>
      <c r="S841" s="67" t="str">
        <f>IFERROR(__xludf.DUMMYFUNCTION("""COMPUTED_VALUE"""),"saletructiep_Japan.M403XJH.1840.giaotiep_PTATT_LD164")</f>
        <v>saletructiep_Japan.M403XJH.1840.giaotiep_PTATT_LD164</v>
      </c>
      <c r="T841" s="107" t="str">
        <f>IFERROR(__xludf.DUMMYFUNCTION("""COMPUTED_VALUE"""),"https://patadovietnam.edu.vn/gtjapan_nhn3/?utm_source=Facebook&amp;utm_medium=CVS&amp;utm_term=NEW_Japan_1840_none_270225&amp;utm_content=saletructiep_Japan.M403XJH.1840.giaotiep_PTATT_LD164&amp;utm_campaign=Japan.giaotiep.M403XJH_16917_CVS_NamNH_270225")</f>
        <v>https://patadovietnam.edu.vn/gtjapan_nhn3/?utm_source=Facebook&amp;utm_medium=CVS&amp;utm_term=NEW_Japan_1840_none_270225&amp;utm_content=saletructiep_Japan.M403XJH.1840.giaotiep_PTATT_LD164&amp;utm_campaign=Japan.giaotiep.M403XJH_16917_CVS_NamNH_270225</v>
      </c>
      <c r="U841" s="110" t="s">
        <v>6852</v>
      </c>
    </row>
    <row r="842">
      <c r="A842" s="72">
        <v>45715.0</v>
      </c>
      <c r="B842" s="60" t="s">
        <v>1229</v>
      </c>
      <c r="C842" s="67" t="str">
        <f>IFERROR(__xludf.DUMMYFUNCTION("""COMPUTED_VALUE"""),"LD164")</f>
        <v>LD164</v>
      </c>
      <c r="D842" s="55" t="s">
        <v>42</v>
      </c>
      <c r="E842" s="55" t="s">
        <v>69</v>
      </c>
      <c r="F842" s="55" t="s">
        <v>133</v>
      </c>
      <c r="G842" s="55">
        <v>1840.0</v>
      </c>
      <c r="H842" s="55" t="s">
        <v>1137</v>
      </c>
      <c r="I842" s="115" t="s">
        <v>6854</v>
      </c>
      <c r="J842" s="55" t="s">
        <v>6855</v>
      </c>
      <c r="K842" s="55" t="s">
        <v>61</v>
      </c>
      <c r="L842" s="55">
        <v>16917.0</v>
      </c>
      <c r="M842" s="55" t="s">
        <v>78</v>
      </c>
      <c r="N842" s="55" t="s">
        <v>69</v>
      </c>
      <c r="O842" s="55" t="s">
        <v>224</v>
      </c>
      <c r="P842" s="55" t="s">
        <v>110</v>
      </c>
      <c r="Q842" s="67" t="str">
        <f>IFERROR(__xludf.DUMMYFUNCTION("""COMPUTED_VALUE"""),"Japan.giaotiep.anhtbxJH_16917_CVS_NamNH_270225")</f>
        <v>Japan.giaotiep.anhtbxJH_16917_CVS_NamNH_270225</v>
      </c>
      <c r="R842" s="67" t="str">
        <f>IFERROR(__xludf.DUMMYFUNCTION("""COMPUTED_VALUE"""),"NEW_Japan_1840_none_270225")</f>
        <v>NEW_Japan_1840_none_270225</v>
      </c>
      <c r="S842" s="67" t="str">
        <f>IFERROR(__xludf.DUMMYFUNCTION("""COMPUTED_VALUE"""),"saletructiep_Japan.anhtbxJH.1840.giaotiep_PTATT_LD164")</f>
        <v>saletructiep_Japan.anhtbxJH.1840.giaotiep_PTATT_LD164</v>
      </c>
      <c r="T842" s="107" t="str">
        <f>IFERROR(__xludf.DUMMYFUNCTION("""COMPUTED_VALUE"""),"https://patadovietnam.edu.vn/gtjapan_nhn3/?utm_source=Facebook&amp;utm_medium=CVS&amp;utm_term=NEW_Japan_1840_none_270225&amp;utm_content=saletructiep_Japan.anhtbxJH.1840.giaotiep_PTATT_LD164&amp;utm_campaign=Japan.giaotiep.anhtbxJH_16917_CVS_NamNH_270225")</f>
        <v>https://patadovietnam.edu.vn/gtjapan_nhn3/?utm_source=Facebook&amp;utm_medium=CVS&amp;utm_term=NEW_Japan_1840_none_270225&amp;utm_content=saletructiep_Japan.anhtbxJH.1840.giaotiep_PTATT_LD164&amp;utm_campaign=Japan.giaotiep.anhtbxJH_16917_CVS_NamNH_270225</v>
      </c>
      <c r="U842" s="110" t="s">
        <v>6857</v>
      </c>
    </row>
    <row r="843">
      <c r="A843" s="72">
        <v>45715.0</v>
      </c>
      <c r="B843" s="60" t="s">
        <v>1134</v>
      </c>
      <c r="C843" s="67" t="str">
        <f>IFERROR(__xludf.DUMMYFUNCTION("""COMPUTED_VALUE"""),"LD153")</f>
        <v>LD153</v>
      </c>
      <c r="D843" s="55" t="s">
        <v>42</v>
      </c>
      <c r="E843" s="55" t="s">
        <v>69</v>
      </c>
      <c r="F843" s="55" t="s">
        <v>674</v>
      </c>
      <c r="G843" s="55">
        <v>1840.0</v>
      </c>
      <c r="H843" s="55" t="s">
        <v>1137</v>
      </c>
      <c r="I843" s="115" t="s">
        <v>6858</v>
      </c>
      <c r="J843" s="55" t="s">
        <v>6859</v>
      </c>
      <c r="K843" s="55" t="s">
        <v>61</v>
      </c>
      <c r="L843" s="55">
        <v>16917.0</v>
      </c>
      <c r="M843" s="55" t="s">
        <v>78</v>
      </c>
      <c r="N843" s="55" t="s">
        <v>69</v>
      </c>
      <c r="O843" s="55" t="s">
        <v>224</v>
      </c>
      <c r="P843" s="55" t="s">
        <v>110</v>
      </c>
      <c r="Q843" s="67" t="str">
        <f>IFERROR(__xludf.DUMMYFUNCTION("""COMPUTED_VALUE"""),"Europe.giaotiep.M400xM241_16917_CVS_NamNH_270225")</f>
        <v>Europe.giaotiep.M400xM241_16917_CVS_NamNH_270225</v>
      </c>
      <c r="R843" s="67" t="str">
        <f>IFERROR(__xludf.DUMMYFUNCTION("""COMPUTED_VALUE"""),"NEW_Europe_1840_none_270225")</f>
        <v>NEW_Europe_1840_none_270225</v>
      </c>
      <c r="S843" s="67" t="str">
        <f>IFERROR(__xludf.DUMMYFUNCTION("""COMPUTED_VALUE"""),"saletructiep_Europe.M400xM241.1840.giaotiep_PTATT_LD153")</f>
        <v>saletructiep_Europe.M400xM241.1840.giaotiep_PTATT_LD153</v>
      </c>
      <c r="T843" s="107" t="str">
        <f>IFERROR(__xludf.DUMMYFUNCTION("""COMPUTED_VALUE"""),"https://patadovietnam.edu.vn/tienganhgiaotiep_hn/?utm_source=Facebook&amp;utm_medium=CVS&amp;utm_term=NEW_Europe_1840_none_270225&amp;utm_content=saletructiep_Europe.M400xM241.1840.giaotiep_PTATT_LD153&amp;utm_campaign=Europe.giaotiep.M400xM241_16917_CVS_NamNH_270225")</f>
        <v>https://patadovietnam.edu.vn/tienganhgiaotiep_hn/?utm_source=Facebook&amp;utm_medium=CVS&amp;utm_term=NEW_Europe_1840_none_270225&amp;utm_content=saletructiep_Europe.M400xM241.1840.giaotiep_PTATT_LD153&amp;utm_campaign=Europe.giaotiep.M400xM241_16917_CVS_NamNH_270225</v>
      </c>
      <c r="U843" s="116"/>
    </row>
    <row r="844">
      <c r="A844" s="72">
        <v>45715.0</v>
      </c>
      <c r="B844" s="60" t="s">
        <v>1134</v>
      </c>
      <c r="C844" s="67" t="str">
        <f>IFERROR(__xludf.DUMMYFUNCTION("""COMPUTED_VALUE"""),"LD153")</f>
        <v>LD153</v>
      </c>
      <c r="D844" s="55" t="s">
        <v>42</v>
      </c>
      <c r="E844" s="55" t="s">
        <v>69</v>
      </c>
      <c r="F844" s="55" t="s">
        <v>674</v>
      </c>
      <c r="G844" s="55">
        <v>1840.0</v>
      </c>
      <c r="H844" s="55" t="s">
        <v>1137</v>
      </c>
      <c r="I844" s="115" t="s">
        <v>6860</v>
      </c>
      <c r="J844" s="55" t="s">
        <v>6861</v>
      </c>
      <c r="K844" s="55" t="s">
        <v>61</v>
      </c>
      <c r="L844" s="55">
        <v>16917.0</v>
      </c>
      <c r="M844" s="55" t="s">
        <v>78</v>
      </c>
      <c r="N844" s="55" t="s">
        <v>69</v>
      </c>
      <c r="O844" s="55" t="s">
        <v>224</v>
      </c>
      <c r="P844" s="55" t="s">
        <v>110</v>
      </c>
      <c r="Q844" s="67" t="str">
        <f>IFERROR(__xludf.DUMMYFUNCTION("""COMPUTED_VALUE"""),"Europe.giaotiep.M236xJHxanhnotex_16917_CVS_NamNH_270225")</f>
        <v>Europe.giaotiep.M236xJHxanhnotex_16917_CVS_NamNH_270225</v>
      </c>
      <c r="R844" s="67" t="str">
        <f>IFERROR(__xludf.DUMMYFUNCTION("""COMPUTED_VALUE"""),"NEW_Europe_1840_none_270225")</f>
        <v>NEW_Europe_1840_none_270225</v>
      </c>
      <c r="S844" s="67" t="str">
        <f>IFERROR(__xludf.DUMMYFUNCTION("""COMPUTED_VALUE"""),"saletructiep_Europe.M236xJHxanhnote.1840.giaotiep_PTATT_LD153")</f>
        <v>saletructiep_Europe.M236xJHxanhnote.1840.giaotiep_PTATT_LD153</v>
      </c>
      <c r="T844" s="107" t="str">
        <f>IFERROR(__xludf.DUMMYFUNCTION("""COMPUTED_VALUE"""),"https://patadovietnam.edu.vn/tienganhgiaotiep_hn/?utm_source=Facebook&amp;utm_medium=CVS&amp;utm_term=NEW_Europe_1840_none_270225&amp;utm_content=saletructiep_Europe.M236xJHxanhnote.1840.giaotiep_PTATT_LD153&amp;utm_campaign=Europe.giaotiep.M236xJHxanhnotex_16917_CVS_Nam"&amp;"NH_270225")</f>
        <v>https://patadovietnam.edu.vn/tienganhgiaotiep_hn/?utm_source=Facebook&amp;utm_medium=CVS&amp;utm_term=NEW_Europe_1840_none_270225&amp;utm_content=saletructiep_Europe.M236xJHxanhnote.1840.giaotiep_PTATT_LD153&amp;utm_campaign=Europe.giaotiep.M236xJHxanhnotex_16917_CVS_NamNH_270225</v>
      </c>
      <c r="U844" s="110" t="s">
        <v>6863</v>
      </c>
    </row>
    <row r="845">
      <c r="A845" s="72">
        <v>45715.0</v>
      </c>
      <c r="B845" s="60" t="s">
        <v>1134</v>
      </c>
      <c r="C845" s="67" t="str">
        <f>IFERROR(__xludf.DUMMYFUNCTION("""COMPUTED_VALUE"""),"LD153")</f>
        <v>LD153</v>
      </c>
      <c r="D845" s="55" t="s">
        <v>42</v>
      </c>
      <c r="E845" s="55" t="s">
        <v>69</v>
      </c>
      <c r="F845" s="55" t="s">
        <v>625</v>
      </c>
      <c r="G845" s="55">
        <v>1840.0</v>
      </c>
      <c r="H845" s="55" t="s">
        <v>1137</v>
      </c>
      <c r="I845" s="115" t="s">
        <v>6865</v>
      </c>
      <c r="J845" s="55" t="s">
        <v>6866</v>
      </c>
      <c r="K845" s="55" t="s">
        <v>61</v>
      </c>
      <c r="L845" s="55">
        <v>16917.0</v>
      </c>
      <c r="M845" s="55" t="s">
        <v>78</v>
      </c>
      <c r="N845" s="55" t="s">
        <v>69</v>
      </c>
      <c r="O845" s="55" t="s">
        <v>224</v>
      </c>
      <c r="P845" s="55" t="s">
        <v>110</v>
      </c>
      <c r="Q845" s="67" t="str">
        <f>IFERROR(__xludf.DUMMYFUNCTION("""COMPUTED_VALUE"""),"KoreaSouth.giaotiep.M400xM403_16917_CVS_NamNH_270225")</f>
        <v>KoreaSouth.giaotiep.M400xM403_16917_CVS_NamNH_270225</v>
      </c>
      <c r="R845" s="67" t="str">
        <f>IFERROR(__xludf.DUMMYFUNCTION("""COMPUTED_VALUE"""),"NEW_KoreaSouth_1840_none_270225")</f>
        <v>NEW_KoreaSouth_1840_none_270225</v>
      </c>
      <c r="S845" s="67" t="str">
        <f>IFERROR(__xludf.DUMMYFUNCTION("""COMPUTED_VALUE"""),"saletructiep_KoreaSouth.M400xM403.1840.giaotiep_PTATT_LD153")</f>
        <v>saletructiep_KoreaSouth.M400xM403.1840.giaotiep_PTATT_LD153</v>
      </c>
      <c r="T845" s="107" t="str">
        <f>IFERROR(__xludf.DUMMYFUNCTION("""COMPUTED_VALUE"""),"https://patadovietnam.edu.vn/tienganhgiaotiep_hn/?utm_source=Facebook&amp;utm_medium=CVS&amp;utm_term=NEW_KoreaSouth_1840_none_270225&amp;utm_content=saletructiep_KoreaSouth.M400xM403.1840.giaotiep_PTATT_LD153&amp;utm_campaign=KoreaSouth.giaotiep.M400xM403_16917_CVS_NamN"&amp;"H_270225")</f>
        <v>https://patadovietnam.edu.vn/tienganhgiaotiep_hn/?utm_source=Facebook&amp;utm_medium=CVS&amp;utm_term=NEW_KoreaSouth_1840_none_270225&amp;utm_content=saletructiep_KoreaSouth.M400xM403.1840.giaotiep_PTATT_LD153&amp;utm_campaign=KoreaSouth.giaotiep.M400xM403_16917_CVS_NamNH_270225</v>
      </c>
      <c r="U845" s="116"/>
    </row>
    <row r="846">
      <c r="A846" s="72">
        <v>45715.0</v>
      </c>
      <c r="B846" s="60" t="s">
        <v>1134</v>
      </c>
      <c r="C846" s="67" t="str">
        <f>IFERROR(__xludf.DUMMYFUNCTION("""COMPUTED_VALUE"""),"LD153")</f>
        <v>LD153</v>
      </c>
      <c r="D846" s="55" t="s">
        <v>42</v>
      </c>
      <c r="E846" s="55" t="s">
        <v>79</v>
      </c>
      <c r="F846" s="55" t="s">
        <v>129</v>
      </c>
      <c r="G846" s="55">
        <v>1840.0</v>
      </c>
      <c r="H846" s="55" t="s">
        <v>1137</v>
      </c>
      <c r="I846" s="115" t="s">
        <v>6869</v>
      </c>
      <c r="J846" s="55" t="s">
        <v>6870</v>
      </c>
      <c r="K846" s="55" t="s">
        <v>61</v>
      </c>
      <c r="L846" s="55">
        <v>16917.0</v>
      </c>
      <c r="M846" s="55" t="s">
        <v>78</v>
      </c>
      <c r="N846" s="55" t="s">
        <v>79</v>
      </c>
      <c r="O846" s="55" t="s">
        <v>224</v>
      </c>
      <c r="P846" s="55" t="s">
        <v>110</v>
      </c>
      <c r="Q846" s="67" t="str">
        <f>IFERROR(__xludf.DUMMYFUNCTION("""COMPUTED_VALUE"""),"Australia.giaotiep.anhsale10xanhnote_16917_MES_NamNH_270225")</f>
        <v>Australia.giaotiep.anhsale10xanhnote_16917_MES_NamNH_270225</v>
      </c>
      <c r="R846" s="67" t="str">
        <f>IFERROR(__xludf.DUMMYFUNCTION("""COMPUTED_VALUE"""),"NEW_Australia_1840_none_270225")</f>
        <v>NEW_Australia_1840_none_270225</v>
      </c>
      <c r="S846" s="67" t="str">
        <f>IFERROR(__xludf.DUMMYFUNCTION("""COMPUTED_VALUE"""),"saletructiep_Australia.anhsale10xanhnote.1840.giaotiep_PTATT_LD153")</f>
        <v>saletructiep_Australia.anhsale10xanhnote.1840.giaotiep_PTATT_LD153</v>
      </c>
      <c r="T846" s="107" t="str">
        <f>IFERROR(__xludf.DUMMYFUNCTION("""COMPUTED_VALUE"""),"https://patadovietnam.edu.vn/tienganhgiaotiep_hn/?utm_source=Facebook&amp;utm_medium=MES&amp;utm_term=NEW_Australia_1840_none_270225&amp;utm_content=saletructiep_Australia.anhsale10xanhnote.1840.giaotiep_PTATT_LD153&amp;utm_campaign=Australia.giaotiep.anhsale10xanhnote_1"&amp;"6917_MES_NamNH_270225")</f>
        <v>https://patadovietnam.edu.vn/tienganhgiaotiep_hn/?utm_source=Facebook&amp;utm_medium=MES&amp;utm_term=NEW_Australia_1840_none_270225&amp;utm_content=saletructiep_Australia.anhsale10xanhnote.1840.giaotiep_PTATT_LD153&amp;utm_campaign=Australia.giaotiep.anhsale10xanhnote_16917_MES_NamNH_270225</v>
      </c>
      <c r="U846" s="110" t="s">
        <v>6872</v>
      </c>
    </row>
    <row r="847">
      <c r="A847" s="72">
        <v>45716.0</v>
      </c>
      <c r="B847" s="60" t="s">
        <v>1134</v>
      </c>
      <c r="C847" s="67" t="str">
        <f>IFERROR(__xludf.DUMMYFUNCTION("""COMPUTED_VALUE"""),"LD153")</f>
        <v>LD153</v>
      </c>
      <c r="D847" s="55" t="s">
        <v>42</v>
      </c>
      <c r="E847" s="55" t="s">
        <v>79</v>
      </c>
      <c r="F847" s="55" t="s">
        <v>539</v>
      </c>
      <c r="G847" s="55">
        <v>1840.0</v>
      </c>
      <c r="H847" s="55" t="s">
        <v>1137</v>
      </c>
      <c r="I847" s="115" t="s">
        <v>6873</v>
      </c>
      <c r="J847" s="55" t="s">
        <v>6874</v>
      </c>
      <c r="K847" s="55" t="s">
        <v>61</v>
      </c>
      <c r="L847" s="55">
        <v>16917.0</v>
      </c>
      <c r="M847" s="55" t="s">
        <v>78</v>
      </c>
      <c r="N847" s="55" t="s">
        <v>79</v>
      </c>
      <c r="O847" s="55" t="s">
        <v>224</v>
      </c>
      <c r="P847" s="55" t="s">
        <v>110</v>
      </c>
      <c r="Q847" s="67" t="str">
        <f>IFERROR(__xludf.DUMMYFUNCTION("""COMPUTED_VALUE"""),"ALL.giaotiep.anhnotexqcpatado1_16917_MES_NamNH_280225")</f>
        <v>ALL.giaotiep.anhnotexqcpatado1_16917_MES_NamNH_280225</v>
      </c>
      <c r="R847" s="67" t="str">
        <f>IFERROR(__xludf.DUMMYFUNCTION("""COMPUTED_VALUE"""),"NEW_ALL_1840_none_280225")</f>
        <v>NEW_ALL_1840_none_280225</v>
      </c>
      <c r="S847" s="67" t="str">
        <f>IFERROR(__xludf.DUMMYFUNCTION("""COMPUTED_VALUE"""),"saletructiep_ALL.anhnotexqcpatado1.1840.giaotiep_PTATT_LD153")</f>
        <v>saletructiep_ALL.anhnotexqcpatado1.1840.giaotiep_PTATT_LD153</v>
      </c>
      <c r="T847" s="107" t="str">
        <f>IFERROR(__xludf.DUMMYFUNCTION("""COMPUTED_VALUE"""),"https://patadovietnam.edu.vn/tienganhgiaotiep_hn/?utm_source=Facebook&amp;utm_medium=MES&amp;utm_term=NEW_ALL_1840_none_280225&amp;utm_content=saletructiep_ALL.anhnotexqcpatado1.1840.giaotiep_PTATT_LD153&amp;utm_campaign=ALL.giaotiep.anhnotexqcpatado1_16917_MES_NamNH_280"&amp;"225")</f>
        <v>https://patadovietnam.edu.vn/tienganhgiaotiep_hn/?utm_source=Facebook&amp;utm_medium=MES&amp;utm_term=NEW_ALL_1840_none_280225&amp;utm_content=saletructiep_ALL.anhnotexqcpatado1.1840.giaotiep_PTATT_LD153&amp;utm_campaign=ALL.giaotiep.anhnotexqcpatado1_16917_MES_NamNH_280225</v>
      </c>
      <c r="U847" s="110" t="s">
        <v>6875</v>
      </c>
    </row>
    <row r="848">
      <c r="A848" s="72">
        <v>45716.0</v>
      </c>
      <c r="B848" s="60" t="s">
        <v>1134</v>
      </c>
      <c r="C848" s="67" t="str">
        <f>IFERROR(__xludf.DUMMYFUNCTION("""COMPUTED_VALUE"""),"LD153")</f>
        <v>LD153</v>
      </c>
      <c r="D848" s="55" t="s">
        <v>42</v>
      </c>
      <c r="E848" s="55" t="s">
        <v>72</v>
      </c>
      <c r="F848" s="55" t="s">
        <v>539</v>
      </c>
      <c r="G848" s="55">
        <v>1840.0</v>
      </c>
      <c r="H848" s="55" t="s">
        <v>1137</v>
      </c>
      <c r="I848" s="115" t="s">
        <v>6876</v>
      </c>
      <c r="J848" s="55" t="s">
        <v>6877</v>
      </c>
      <c r="K848" s="55" t="s">
        <v>61</v>
      </c>
      <c r="L848" s="55">
        <v>16917.0</v>
      </c>
      <c r="M848" s="55" t="s">
        <v>78</v>
      </c>
      <c r="N848" s="55" t="s">
        <v>79</v>
      </c>
      <c r="O848" s="55" t="s">
        <v>224</v>
      </c>
      <c r="P848" s="55" t="s">
        <v>110</v>
      </c>
      <c r="Q848" s="67" t="str">
        <f>IFERROR(__xludf.DUMMYFUNCTION("""COMPUTED_VALUE"""),"ALL.giaotiep.RMK_16917_MES_NamNH_280225")</f>
        <v>ALL.giaotiep.RMK_16917_MES_NamNH_280225</v>
      </c>
      <c r="R848" s="67" t="str">
        <f>IFERROR(__xludf.DUMMYFUNCTION("""COMPUTED_VALUE"""),"NEW_ALL_1840_none_280225")</f>
        <v>NEW_ALL_1840_none_280225</v>
      </c>
      <c r="S848" s="67" t="str">
        <f>IFERROR(__xludf.DUMMYFUNCTION("""COMPUTED_VALUE"""),"saletructiep_ALL.RMK.1840.giaotiep_PTATT_LD153")</f>
        <v>saletructiep_ALL.RMK.1840.giaotiep_PTATT_LD153</v>
      </c>
      <c r="T848" s="107" t="str">
        <f>IFERROR(__xludf.DUMMYFUNCTION("""COMPUTED_VALUE"""),"https://patadovietnam.edu.vn/tienganhgiaotiep_hn/?utm_source=Facebook&amp;utm_medium=RMK&amp;utm_term=NEW_ALL_1840_none_280225&amp;utm_content=saletructiep_ALL.RMK.1840.giaotiep_PTATT_LD153&amp;utm_campaign=ALL.giaotiep.RMK_16917_MES_NamNH_280225")</f>
        <v>https://patadovietnam.edu.vn/tienganhgiaotiep_hn/?utm_source=Facebook&amp;utm_medium=RMK&amp;utm_term=NEW_ALL_1840_none_280225&amp;utm_content=saletructiep_ALL.RMK.1840.giaotiep_PTATT_LD153&amp;utm_campaign=ALL.giaotiep.RMK_16917_MES_NamNH_280225</v>
      </c>
      <c r="U848" s="116"/>
    </row>
    <row r="849">
      <c r="A849" s="72">
        <v>45694.0</v>
      </c>
      <c r="B849" s="60" t="s">
        <v>1134</v>
      </c>
      <c r="C849" s="67" t="str">
        <f>IFERROR(__xludf.DUMMYFUNCTION("""COMPUTED_VALUE"""),"LD153")</f>
        <v>LD153</v>
      </c>
      <c r="D849" s="55" t="s">
        <v>42</v>
      </c>
      <c r="E849" s="55" t="s">
        <v>5323</v>
      </c>
      <c r="F849" s="55" t="s">
        <v>674</v>
      </c>
      <c r="G849" s="55">
        <v>1840.0</v>
      </c>
      <c r="H849" s="55" t="s">
        <v>1137</v>
      </c>
      <c r="I849" s="115" t="s">
        <v>6878</v>
      </c>
      <c r="J849" s="55" t="s">
        <v>6879</v>
      </c>
      <c r="K849" s="55" t="s">
        <v>61</v>
      </c>
      <c r="L849" s="55">
        <v>16917.0</v>
      </c>
      <c r="M849" s="55" t="s">
        <v>78</v>
      </c>
      <c r="N849" s="55" t="s">
        <v>69</v>
      </c>
      <c r="O849" s="55" t="s">
        <v>224</v>
      </c>
      <c r="P849" s="55" t="s">
        <v>110</v>
      </c>
      <c r="Q849" s="67" t="str">
        <f>IFERROR(__xludf.DUMMYFUNCTION("""COMPUTED_VALUE"""),"Europe.LAL.molopchauauxanhnote_16917_CVS_NamNH_060225")</f>
        <v>Europe.LAL.molopchauauxanhnote_16917_CVS_NamNH_060225</v>
      </c>
      <c r="R849" s="67" t="str">
        <f>IFERROR(__xludf.DUMMYFUNCTION("""COMPUTED_VALUE"""),"NEW_Europe_1840_none_060225")</f>
        <v>NEW_Europe_1840_none_060225</v>
      </c>
      <c r="S849" s="67" t="str">
        <f>IFERROR(__xludf.DUMMYFUNCTION("""COMPUTED_VALUE"""),"saletructiep_Europe.molopchauauxanhnote.1840.LAL_PTATT_LD153")</f>
        <v>saletructiep_Europe.molopchauauxanhnote.1840.LAL_PTATT_LD153</v>
      </c>
      <c r="T849" s="107" t="str">
        <f>IFERROR(__xludf.DUMMYFUNCTION("""COMPUTED_VALUE"""),"https://patadovietnam.edu.vn/tienganhgiaotiep_hn/?utm_source=Facebook&amp;utm_medium=LAL&amp;utm_term=NEW_Europe_1840_none_060225&amp;utm_content=saletructiep_Europe.molopchauauxanhnote.1840.LAL_PTATT_LD153&amp;utm_campaign=Europe.LAL.molopchauauxanhnote_16917_CVS_NamNH_"&amp;"060225")</f>
        <v>https://patadovietnam.edu.vn/tienganhgiaotiep_hn/?utm_source=Facebook&amp;utm_medium=LAL&amp;utm_term=NEW_Europe_1840_none_060225&amp;utm_content=saletructiep_Europe.molopchauauxanhnote.1840.LAL_PTATT_LD153&amp;utm_campaign=Europe.LAL.molopchauauxanhnote_16917_CVS_NamNH_060225</v>
      </c>
      <c r="U849" s="116"/>
    </row>
    <row r="850">
      <c r="A850" s="72">
        <v>45694.0</v>
      </c>
      <c r="B850" s="60" t="s">
        <v>1134</v>
      </c>
      <c r="C850" s="67" t="str">
        <f>IFERROR(__xludf.DUMMYFUNCTION("""COMPUTED_VALUE"""),"LD153")</f>
        <v>LD153</v>
      </c>
      <c r="D850" s="55" t="s">
        <v>42</v>
      </c>
      <c r="E850" s="55" t="s">
        <v>5323</v>
      </c>
      <c r="F850" s="55" t="s">
        <v>674</v>
      </c>
      <c r="G850" s="55">
        <v>1840.0</v>
      </c>
      <c r="H850" s="55" t="s">
        <v>1137</v>
      </c>
      <c r="I850" s="115" t="s">
        <v>6935</v>
      </c>
      <c r="J850" s="55" t="s">
        <v>6936</v>
      </c>
      <c r="K850" s="55" t="s">
        <v>61</v>
      </c>
      <c r="L850" s="55">
        <v>16917.0</v>
      </c>
      <c r="M850" s="55" t="s">
        <v>78</v>
      </c>
      <c r="N850" s="55" t="s">
        <v>69</v>
      </c>
      <c r="O850" s="55" t="s">
        <v>224</v>
      </c>
      <c r="P850" s="55" t="s">
        <v>110</v>
      </c>
      <c r="Q850" s="67" t="str">
        <f>IFERROR(__xludf.DUMMYFUNCTION("""COMPUTED_VALUE"""),"Europe.LAL.M396baxM105C84_16917_CVS_NamNH_060225")</f>
        <v>Europe.LAL.M396baxM105C84_16917_CVS_NamNH_060225</v>
      </c>
      <c r="R850" s="67" t="str">
        <f>IFERROR(__xludf.DUMMYFUNCTION("""COMPUTED_VALUE"""),"NEW_Europe_1840_none_060225")</f>
        <v>NEW_Europe_1840_none_060225</v>
      </c>
      <c r="S850" s="67" t="str">
        <f>IFERROR(__xludf.DUMMYFUNCTION("""COMPUTED_VALUE"""),"saletructiep_Europe.M396baxM105C84.1840.LAL_PTATT_LD153")</f>
        <v>saletructiep_Europe.M396baxM105C84.1840.LAL_PTATT_LD153</v>
      </c>
      <c r="T850" s="107" t="str">
        <f>IFERROR(__xludf.DUMMYFUNCTION("""COMPUTED_VALUE"""),"https://patadovietnam.edu.vn/tienganhgiaotiep_hn/?utm_source=Facebook&amp;utm_medium=LAL&amp;utm_term=NEW_Europe_1840_none_060225&amp;utm_content=saletructiep_Europe.M396baxM105C84.1840.LAL_PTATT_LD153&amp;utm_campaign=Europe.LAL.M396baxM105C84_16917_CVS_NamNH_060225")</f>
        <v>https://patadovietnam.edu.vn/tienganhgiaotiep_hn/?utm_source=Facebook&amp;utm_medium=LAL&amp;utm_term=NEW_Europe_1840_none_060225&amp;utm_content=saletructiep_Europe.M396baxM105C84.1840.LAL_PTATT_LD153&amp;utm_campaign=Europe.LAL.M396baxM105C84_16917_CVS_NamNH_060225</v>
      </c>
      <c r="U850" s="110" t="s">
        <v>6956</v>
      </c>
    </row>
    <row r="851">
      <c r="A851" s="72">
        <v>45727.0</v>
      </c>
      <c r="B851" s="60" t="s">
        <v>1134</v>
      </c>
      <c r="C851" s="67" t="str">
        <f>IFERROR(__xludf.DUMMYFUNCTION("""COMPUTED_VALUE"""),"LD153")</f>
        <v>LD153</v>
      </c>
      <c r="D851" s="55" t="s">
        <v>42</v>
      </c>
      <c r="E851" s="55" t="s">
        <v>69</v>
      </c>
      <c r="F851" s="55" t="s">
        <v>674</v>
      </c>
      <c r="G851" s="55">
        <v>1840.0</v>
      </c>
      <c r="H851" s="55" t="s">
        <v>1137</v>
      </c>
      <c r="I851" s="115" t="s">
        <v>6963</v>
      </c>
      <c r="J851" s="55" t="s">
        <v>6964</v>
      </c>
      <c r="K851" s="55" t="s">
        <v>61</v>
      </c>
      <c r="L851" s="55">
        <v>16917.0</v>
      </c>
      <c r="M851" s="55" t="s">
        <v>78</v>
      </c>
      <c r="N851" s="55" t="s">
        <v>69</v>
      </c>
      <c r="O851" s="55" t="s">
        <v>224</v>
      </c>
      <c r="P851" s="55" t="s">
        <v>110</v>
      </c>
      <c r="Q851" s="67" t="str">
        <f>IFERROR(__xludf.DUMMYFUNCTION("""COMPUTED_VALUE"""),"Europe.giaotiep.M400xM403_16917_CVS_NamNH_110325")</f>
        <v>Europe.giaotiep.M400xM403_16917_CVS_NamNH_110325</v>
      </c>
      <c r="R851" s="67" t="str">
        <f>IFERROR(__xludf.DUMMYFUNCTION("""COMPUTED_VALUE"""),"NEW_Europe_1840_none_110325")</f>
        <v>NEW_Europe_1840_none_110325</v>
      </c>
      <c r="S851" s="67" t="str">
        <f>IFERROR(__xludf.DUMMYFUNCTION("""COMPUTED_VALUE"""),"saletructiep_Europe.M400xM403.1840.giaotiep_PTATT_LD153")</f>
        <v>saletructiep_Europe.M400xM403.1840.giaotiep_PTATT_LD153</v>
      </c>
      <c r="T851" s="107" t="str">
        <f>IFERROR(__xludf.DUMMYFUNCTION("""COMPUTED_VALUE"""),"https://patadovietnam.edu.vn/tienganhgiaotiep_hn/?utm_source=Facebook&amp;utm_medium=CVS&amp;utm_term=NEW_Europe_1840_none_110325&amp;utm_content=saletructiep_Europe.M400xM403.1840.giaotiep_PTATT_LD153&amp;utm_campaign=Europe.giaotiep.M400xM403_16917_CVS_NamNH_110325")</f>
        <v>https://patadovietnam.edu.vn/tienganhgiaotiep_hn/?utm_source=Facebook&amp;utm_medium=CVS&amp;utm_term=NEW_Europe_1840_none_110325&amp;utm_content=saletructiep_Europe.M400xM403.1840.giaotiep_PTATT_LD153&amp;utm_campaign=Europe.giaotiep.M400xM403_16917_CVS_NamNH_110325</v>
      </c>
      <c r="U851" s="110" t="s">
        <v>6965</v>
      </c>
    </row>
    <row r="852">
      <c r="A852" s="72">
        <v>45748.0</v>
      </c>
      <c r="B852" s="60" t="s">
        <v>1134</v>
      </c>
      <c r="C852" s="67" t="str">
        <f>IFERROR(__xludf.DUMMYFUNCTION("""COMPUTED_VALUE"""),"LD153")</f>
        <v>LD153</v>
      </c>
      <c r="D852" s="55" t="s">
        <v>42</v>
      </c>
      <c r="E852" s="55" t="s">
        <v>69</v>
      </c>
      <c r="F852" s="55" t="s">
        <v>674</v>
      </c>
      <c r="G852" s="55">
        <v>1840.0</v>
      </c>
      <c r="H852" s="55" t="s">
        <v>1137</v>
      </c>
      <c r="I852" s="115" t="s">
        <v>6966</v>
      </c>
      <c r="J852" s="55" t="s">
        <v>6967</v>
      </c>
      <c r="K852" s="55" t="s">
        <v>61</v>
      </c>
      <c r="L852" s="55">
        <v>16917.0</v>
      </c>
      <c r="M852" s="55" t="s">
        <v>78</v>
      </c>
      <c r="N852" s="55" t="s">
        <v>69</v>
      </c>
      <c r="O852" s="55" t="s">
        <v>224</v>
      </c>
      <c r="P852" s="55" t="s">
        <v>110</v>
      </c>
      <c r="Q852" s="67" t="str">
        <f>IFERROR(__xludf.DUMMYFUNCTION("""COMPUTED_VALUE"""),"Europe.giaotiep.M416xM417_16917_CVS_NamNH_010425")</f>
        <v>Europe.giaotiep.M416xM417_16917_CVS_NamNH_010425</v>
      </c>
      <c r="R852" s="67" t="str">
        <f>IFERROR(__xludf.DUMMYFUNCTION("""COMPUTED_VALUE"""),"NEW_Europe_1840_none_010425")</f>
        <v>NEW_Europe_1840_none_010425</v>
      </c>
      <c r="S852" s="67" t="str">
        <f>IFERROR(__xludf.DUMMYFUNCTION("""COMPUTED_VALUE"""),"saletructiep_Europe.M416xM417.1840.giaotiep_PTATT_LD153")</f>
        <v>saletructiep_Europe.M416xM417.1840.giaotiep_PTATT_LD153</v>
      </c>
      <c r="T852" s="107" t="str">
        <f>IFERROR(__xludf.DUMMYFUNCTION("""COMPUTED_VALUE"""),"https://patadovietnam.edu.vn/tienganhgiaotiep_hn/?utm_source=Facebook&amp;utm_medium=CVS&amp;utm_term=NEW_Europe_1840_none_010425&amp;utm_content=saletructiep_Europe.M416xM417.1840.giaotiep_PTATT_LD153&amp;utm_campaign=Europe.giaotiep.M416xM417_16917_CVS_NamNH_010425")</f>
        <v>https://patadovietnam.edu.vn/tienganhgiaotiep_hn/?utm_source=Facebook&amp;utm_medium=CVS&amp;utm_term=NEW_Europe_1840_none_010425&amp;utm_content=saletructiep_Europe.M416xM417.1840.giaotiep_PTATT_LD153&amp;utm_campaign=Europe.giaotiep.M416xM417_16917_CVS_NamNH_010425</v>
      </c>
      <c r="U852" s="111" t="s">
        <v>6968</v>
      </c>
    </row>
    <row r="853">
      <c r="A853" s="72">
        <v>45748.0</v>
      </c>
      <c r="B853" s="60" t="s">
        <v>1229</v>
      </c>
      <c r="C853" s="67" t="str">
        <f>IFERROR(__xludf.DUMMYFUNCTION("""COMPUTED_VALUE"""),"LD164")</f>
        <v>LD164</v>
      </c>
      <c r="D853" s="55" t="s">
        <v>42</v>
      </c>
      <c r="E853" s="55" t="s">
        <v>69</v>
      </c>
      <c r="F853" s="55" t="s">
        <v>133</v>
      </c>
      <c r="G853" s="55">
        <v>1840.0</v>
      </c>
      <c r="H853" s="55" t="s">
        <v>1137</v>
      </c>
      <c r="I853" s="115" t="s">
        <v>6969</v>
      </c>
      <c r="J853" s="55" t="s">
        <v>6970</v>
      </c>
      <c r="K853" s="55" t="s">
        <v>61</v>
      </c>
      <c r="L853" s="55">
        <v>16917.0</v>
      </c>
      <c r="M853" s="55" t="s">
        <v>78</v>
      </c>
      <c r="N853" s="55" t="s">
        <v>69</v>
      </c>
      <c r="O853" s="55" t="s">
        <v>224</v>
      </c>
      <c r="P853" s="55" t="s">
        <v>110</v>
      </c>
      <c r="Q853" s="67" t="str">
        <f>IFERROR(__xludf.DUMMYFUNCTION("""COMPUTED_VALUE"""),"Japan.giaotiep.M416xM417_16917_CVS_NamNH_010425")</f>
        <v>Japan.giaotiep.M416xM417_16917_CVS_NamNH_010425</v>
      </c>
      <c r="R853" s="67" t="str">
        <f>IFERROR(__xludf.DUMMYFUNCTION("""COMPUTED_VALUE"""),"NEW_Japan_1840_none_010425")</f>
        <v>NEW_Japan_1840_none_010425</v>
      </c>
      <c r="S853" s="67" t="str">
        <f>IFERROR(__xludf.DUMMYFUNCTION("""COMPUTED_VALUE"""),"saletructiep_Japan.M416xM417.1840.giaotiep_PTATT_LD164")</f>
        <v>saletructiep_Japan.M416xM417.1840.giaotiep_PTATT_LD164</v>
      </c>
      <c r="T853" s="107" t="str">
        <f>IFERROR(__xludf.DUMMYFUNCTION("""COMPUTED_VALUE"""),"https://patadovietnam.edu.vn/gtjapan_nhn3/?utm_source=Facebook&amp;utm_medium=CVS&amp;utm_term=NEW_Japan_1840_none_010425&amp;utm_content=saletructiep_Japan.M416xM417.1840.giaotiep_PTATT_LD164&amp;utm_campaign=Japan.giaotiep.M416xM417_16917_CVS_NamNH_010425")</f>
        <v>https://patadovietnam.edu.vn/gtjapan_nhn3/?utm_source=Facebook&amp;utm_medium=CVS&amp;utm_term=NEW_Japan_1840_none_010425&amp;utm_content=saletructiep_Japan.M416xM417.1840.giaotiep_PTATT_LD164&amp;utm_campaign=Japan.giaotiep.M416xM417_16917_CVS_NamNH_010425</v>
      </c>
      <c r="U853" s="110" t="s">
        <v>6972</v>
      </c>
    </row>
    <row r="854">
      <c r="A854" s="72">
        <v>45748.0</v>
      </c>
      <c r="B854" s="60" t="s">
        <v>1245</v>
      </c>
      <c r="C854" s="67" t="str">
        <f>IFERROR(__xludf.DUMMYFUNCTION("""COMPUTED_VALUE"""),"LD161")</f>
        <v>LD161</v>
      </c>
      <c r="D854" s="55" t="s">
        <v>42</v>
      </c>
      <c r="E854" s="55" t="s">
        <v>79</v>
      </c>
      <c r="F854" s="55" t="s">
        <v>107</v>
      </c>
      <c r="G854" s="55">
        <v>2050.0</v>
      </c>
      <c r="H854" s="55" t="s">
        <v>1137</v>
      </c>
      <c r="I854" s="115" t="s">
        <v>6974</v>
      </c>
      <c r="J854" s="55" t="s">
        <v>6975</v>
      </c>
      <c r="K854" s="55" t="s">
        <v>61</v>
      </c>
      <c r="L854" s="55">
        <v>16917.0</v>
      </c>
      <c r="M854" s="55" t="s">
        <v>78</v>
      </c>
      <c r="N854" s="55" t="s">
        <v>79</v>
      </c>
      <c r="O854" s="55" t="s">
        <v>224</v>
      </c>
      <c r="P854" s="55" t="s">
        <v>110</v>
      </c>
      <c r="Q854" s="67" t="str">
        <f>IFERROR(__xludf.DUMMYFUNCTION("""COMPUTED_VALUE"""),"UnitedStates.giaotiep.M416xM417_16917_MES_NamNH_010425")</f>
        <v>UnitedStates.giaotiep.M416xM417_16917_MES_NamNH_010425</v>
      </c>
      <c r="R854" s="67" t="str">
        <f>IFERROR(__xludf.DUMMYFUNCTION("""COMPUTED_VALUE"""),"NEW_UnitedStates_2050_none_010425")</f>
        <v>NEW_UnitedStates_2050_none_010425</v>
      </c>
      <c r="S854" s="67" t="str">
        <f>IFERROR(__xludf.DUMMYFUNCTION("""COMPUTED_VALUE"""),"saletructiep_UnitedStates.M416XM417.1840.giaotiep_PTATT_LD161")</f>
        <v>saletructiep_UnitedStates.M416XM417.1840.giaotiep_PTATT_LD161</v>
      </c>
      <c r="T854" s="107" t="str">
        <f>IFERROR(__xludf.DUMMYFUNCTION("""COMPUTED_VALUE"""),"https://patadovietnam.edu.vn/gtusa1_nhn/?utm_source=Facebook&amp;utm_medium=MES&amp;utm_term=NEW_UnitedStates_2050_none_010425&amp;utm_content=saletructiep_UnitedStates.M416XM417.1840.giaotiep_PTATT_LD161&amp;utm_campaign=UnitedStates.giaotiep.M416xM417_16917_MES_NamNH_0"&amp;"10425")</f>
        <v>https://patadovietnam.edu.vn/gtusa1_nhn/?utm_source=Facebook&amp;utm_medium=MES&amp;utm_term=NEW_UnitedStates_2050_none_010425&amp;utm_content=saletructiep_UnitedStates.M416XM417.1840.giaotiep_PTATT_LD161&amp;utm_campaign=UnitedStates.giaotiep.M416xM417_16917_MES_NamNH_010425</v>
      </c>
      <c r="U854" s="110" t="s">
        <v>6976</v>
      </c>
    </row>
    <row r="855">
      <c r="A855" s="72">
        <v>45748.0</v>
      </c>
      <c r="B855" s="60" t="s">
        <v>1134</v>
      </c>
      <c r="C855" s="67" t="str">
        <f>IFERROR(__xludf.DUMMYFUNCTION("""COMPUTED_VALUE"""),"LD153")</f>
        <v>LD153</v>
      </c>
      <c r="D855" s="55" t="s">
        <v>42</v>
      </c>
      <c r="E855" s="55" t="s">
        <v>79</v>
      </c>
      <c r="F855" s="55" t="s">
        <v>539</v>
      </c>
      <c r="G855" s="55">
        <v>1840.0</v>
      </c>
      <c r="H855" s="55" t="s">
        <v>1137</v>
      </c>
      <c r="I855" s="115" t="s">
        <v>6977</v>
      </c>
      <c r="J855" s="55" t="s">
        <v>6978</v>
      </c>
      <c r="K855" s="55" t="s">
        <v>61</v>
      </c>
      <c r="L855" s="55">
        <v>16917.0</v>
      </c>
      <c r="M855" s="55" t="s">
        <v>78</v>
      </c>
      <c r="N855" s="55" t="s">
        <v>79</v>
      </c>
      <c r="O855" s="55" t="s">
        <v>224</v>
      </c>
      <c r="P855" s="55" t="s">
        <v>110</v>
      </c>
      <c r="Q855" s="67" t="str">
        <f>IFERROR(__xludf.DUMMYFUNCTION("""COMPUTED_VALUE"""),"ALL.giaotiep.M416xM417_16917_MES_NamNH_010425")</f>
        <v>ALL.giaotiep.M416xM417_16917_MES_NamNH_010425</v>
      </c>
      <c r="R855" s="67" t="str">
        <f>IFERROR(__xludf.DUMMYFUNCTION("""COMPUTED_VALUE"""),"NEW_ALL_1840_none_010425")</f>
        <v>NEW_ALL_1840_none_010425</v>
      </c>
      <c r="S855" s="67" t="str">
        <f>IFERROR(__xludf.DUMMYFUNCTION("""COMPUTED_VALUE"""),"saletructiep_ALL.M416xM417.1840.giaotiep_PTATT_LD153")</f>
        <v>saletructiep_ALL.M416xM417.1840.giaotiep_PTATT_LD153</v>
      </c>
      <c r="T855" s="107" t="str">
        <f>IFERROR(__xludf.DUMMYFUNCTION("""COMPUTED_VALUE"""),"https://patadovietnam.edu.vn/tienganhgiaotiep_hn/?utm_source=Facebook&amp;utm_medium=MES&amp;utm_term=NEW_ALL_1840_none_010425&amp;utm_content=saletructiep_ALL.M416xM417.1840.giaotiep_PTATT_LD153&amp;utm_campaign=ALL.giaotiep.M416xM417_16917_MES_NamNH_010425")</f>
        <v>https://patadovietnam.edu.vn/tienganhgiaotiep_hn/?utm_source=Facebook&amp;utm_medium=MES&amp;utm_term=NEW_ALL_1840_none_010425&amp;utm_content=saletructiep_ALL.M416xM417.1840.giaotiep_PTATT_LD153&amp;utm_campaign=ALL.giaotiep.M416xM417_16917_MES_NamNH_010425</v>
      </c>
      <c r="U855" s="110" t="s">
        <v>6979</v>
      </c>
    </row>
    <row r="856">
      <c r="A856" s="72">
        <v>45748.0</v>
      </c>
      <c r="B856" s="60" t="s">
        <v>1134</v>
      </c>
      <c r="C856" s="67" t="str">
        <f>IFERROR(__xludf.DUMMYFUNCTION("""COMPUTED_VALUE"""),"LD153")</f>
        <v>LD153</v>
      </c>
      <c r="D856" s="55" t="s">
        <v>42</v>
      </c>
      <c r="E856" s="55" t="s">
        <v>79</v>
      </c>
      <c r="F856" s="55" t="s">
        <v>625</v>
      </c>
      <c r="G856" s="55">
        <v>1840.0</v>
      </c>
      <c r="H856" s="55" t="s">
        <v>1137</v>
      </c>
      <c r="I856" s="115" t="s">
        <v>6980</v>
      </c>
      <c r="J856" s="55" t="s">
        <v>6981</v>
      </c>
      <c r="K856" s="55" t="s">
        <v>61</v>
      </c>
      <c r="L856" s="55">
        <v>16917.0</v>
      </c>
      <c r="M856" s="55" t="s">
        <v>78</v>
      </c>
      <c r="N856" s="55" t="s">
        <v>79</v>
      </c>
      <c r="O856" s="55" t="s">
        <v>224</v>
      </c>
      <c r="P856" s="55" t="s">
        <v>110</v>
      </c>
      <c r="Q856" s="67" t="str">
        <f>IFERROR(__xludf.DUMMYFUNCTION("""COMPUTED_VALUE"""),"KoreaSouth.giaotiep.M416xM417_16917_MES_NamNH_010425")</f>
        <v>KoreaSouth.giaotiep.M416xM417_16917_MES_NamNH_010425</v>
      </c>
      <c r="R856" s="67" t="str">
        <f>IFERROR(__xludf.DUMMYFUNCTION("""COMPUTED_VALUE"""),"NEW_KoreaSouth_1840_none_010425")</f>
        <v>NEW_KoreaSouth_1840_none_010425</v>
      </c>
      <c r="S856" s="67" t="str">
        <f>IFERROR(__xludf.DUMMYFUNCTION("""COMPUTED_VALUE"""),"saletructiep_KoreaSouth.M416xM417.1840.giaotiep_PTATT_LD153")</f>
        <v>saletructiep_KoreaSouth.M416xM417.1840.giaotiep_PTATT_LD153</v>
      </c>
      <c r="T856" s="107" t="str">
        <f>IFERROR(__xludf.DUMMYFUNCTION("""COMPUTED_VALUE"""),"https://patadovietnam.edu.vn/tienganhgiaotiep_hn/?utm_source=Facebook&amp;utm_medium=MES&amp;utm_term=NEW_KoreaSouth_1840_none_010425&amp;utm_content=saletructiep_KoreaSouth.M416xM417.1840.giaotiep_PTATT_LD153&amp;utm_campaign=KoreaSouth.giaotiep.M416xM417_16917_MES_NamN"&amp;"H_010425")</f>
        <v>https://patadovietnam.edu.vn/tienganhgiaotiep_hn/?utm_source=Facebook&amp;utm_medium=MES&amp;utm_term=NEW_KoreaSouth_1840_none_010425&amp;utm_content=saletructiep_KoreaSouth.M416xM417.1840.giaotiep_PTATT_LD153&amp;utm_campaign=KoreaSouth.giaotiep.M416xM417_16917_MES_NamNH_010425</v>
      </c>
      <c r="U856" s="110" t="s">
        <v>6982</v>
      </c>
    </row>
    <row r="857">
      <c r="A857" s="72">
        <v>45748.0</v>
      </c>
      <c r="B857" s="60" t="s">
        <v>1134</v>
      </c>
      <c r="C857" s="67" t="str">
        <f>IFERROR(__xludf.DUMMYFUNCTION("""COMPUTED_VALUE"""),"LD153")</f>
        <v>LD153</v>
      </c>
      <c r="D857" s="55" t="s">
        <v>42</v>
      </c>
      <c r="E857" s="55" t="s">
        <v>69</v>
      </c>
      <c r="F857" s="55" t="s">
        <v>674</v>
      </c>
      <c r="G857" s="55">
        <v>1840.0</v>
      </c>
      <c r="H857" s="55" t="s">
        <v>1137</v>
      </c>
      <c r="I857" s="115" t="s">
        <v>6983</v>
      </c>
      <c r="J857" s="55" t="s">
        <v>6984</v>
      </c>
      <c r="K857" s="55" t="s">
        <v>61</v>
      </c>
      <c r="L857" s="55">
        <v>16917.0</v>
      </c>
      <c r="M857" s="55" t="s">
        <v>78</v>
      </c>
      <c r="N857" s="55" t="s">
        <v>69</v>
      </c>
      <c r="O857" s="55" t="s">
        <v>224</v>
      </c>
      <c r="P857" s="55" t="s">
        <v>110</v>
      </c>
      <c r="Q857" s="67" t="str">
        <f>IFERROR(__xludf.DUMMYFUNCTION("""COMPUTED_VALUE"""),"Europe.giaotiep.M415xM418_16917_CVS_NamNH_010425")</f>
        <v>Europe.giaotiep.M415xM418_16917_CVS_NamNH_010425</v>
      </c>
      <c r="R857" s="67" t="str">
        <f>IFERROR(__xludf.DUMMYFUNCTION("""COMPUTED_VALUE"""),"NEW_Europe_1840_none_010425")</f>
        <v>NEW_Europe_1840_none_010425</v>
      </c>
      <c r="S857" s="67" t="str">
        <f>IFERROR(__xludf.DUMMYFUNCTION("""COMPUTED_VALUE"""),"saletructiep_Europe.M415xM418.1840.giaotiep_PTATT_LD153")</f>
        <v>saletructiep_Europe.M415xM418.1840.giaotiep_PTATT_LD153</v>
      </c>
      <c r="T857" s="107" t="str">
        <f>IFERROR(__xludf.DUMMYFUNCTION("""COMPUTED_VALUE"""),"https://patadovietnam.edu.vn/tienganhgiaotiep_hn/?utm_source=Facebook&amp;utm_medium=CVS&amp;utm_term=NEW_Europe_1840_none_010425&amp;utm_content=saletructiep_Europe.M415xM418.1840.giaotiep_PTATT_LD153&amp;utm_campaign=Europe.giaotiep.M415xM418_16917_CVS_NamNH_010425")</f>
        <v>https://patadovietnam.edu.vn/tienganhgiaotiep_hn/?utm_source=Facebook&amp;utm_medium=CVS&amp;utm_term=NEW_Europe_1840_none_010425&amp;utm_content=saletructiep_Europe.M415xM418.1840.giaotiep_PTATT_LD153&amp;utm_campaign=Europe.giaotiep.M415xM418_16917_CVS_NamNH_010425</v>
      </c>
      <c r="U857" s="110" t="s">
        <v>6985</v>
      </c>
    </row>
    <row r="858">
      <c r="A858" s="72">
        <v>45748.0</v>
      </c>
      <c r="B858" s="60" t="s">
        <v>1229</v>
      </c>
      <c r="C858" s="67" t="str">
        <f>IFERROR(__xludf.DUMMYFUNCTION("""COMPUTED_VALUE"""),"LD164")</f>
        <v>LD164</v>
      </c>
      <c r="D858" s="55" t="s">
        <v>42</v>
      </c>
      <c r="E858" s="55" t="s">
        <v>69</v>
      </c>
      <c r="F858" s="55" t="s">
        <v>133</v>
      </c>
      <c r="G858" s="55">
        <v>1840.0</v>
      </c>
      <c r="H858" s="55" t="s">
        <v>1137</v>
      </c>
      <c r="I858" s="115" t="s">
        <v>6986</v>
      </c>
      <c r="J858" s="55" t="s">
        <v>6987</v>
      </c>
      <c r="K858" s="55" t="s">
        <v>61</v>
      </c>
      <c r="L858" s="55">
        <v>16917.0</v>
      </c>
      <c r="M858" s="55" t="s">
        <v>78</v>
      </c>
      <c r="N858" s="55" t="s">
        <v>69</v>
      </c>
      <c r="O858" s="55" t="s">
        <v>224</v>
      </c>
      <c r="P858" s="55" t="s">
        <v>110</v>
      </c>
      <c r="Q858" s="67" t="str">
        <f>IFERROR(__xludf.DUMMYFUNCTION("""COMPUTED_VALUE"""),"Japan.giaotiep.M415xM418_16917_CVS_NamNH_010425")</f>
        <v>Japan.giaotiep.M415xM418_16917_CVS_NamNH_010425</v>
      </c>
      <c r="R858" s="67" t="str">
        <f>IFERROR(__xludf.DUMMYFUNCTION("""COMPUTED_VALUE"""),"NEW_Japan_1840_none_010425")</f>
        <v>NEW_Japan_1840_none_010425</v>
      </c>
      <c r="S858" s="67" t="str">
        <f>IFERROR(__xludf.DUMMYFUNCTION("""COMPUTED_VALUE"""),"saletructiep_Japan.M415xM418.1840.giaotiep_PTATT_LD164")</f>
        <v>saletructiep_Japan.M415xM418.1840.giaotiep_PTATT_LD164</v>
      </c>
      <c r="T858" s="107" t="str">
        <f>IFERROR(__xludf.DUMMYFUNCTION("""COMPUTED_VALUE"""),"https://patadovietnam.edu.vn/gtjapan_nhn3/?utm_source=Facebook&amp;utm_medium=CVS&amp;utm_term=NEW_Japan_1840_none_010425&amp;utm_content=saletructiep_Japan.M415xM418.1840.giaotiep_PTATT_LD164&amp;utm_campaign=Japan.giaotiep.M415xM418_16917_CVS_NamNH_010425")</f>
        <v>https://patadovietnam.edu.vn/gtjapan_nhn3/?utm_source=Facebook&amp;utm_medium=CVS&amp;utm_term=NEW_Japan_1840_none_010425&amp;utm_content=saletructiep_Japan.M415xM418.1840.giaotiep_PTATT_LD164&amp;utm_campaign=Japan.giaotiep.M415xM418_16917_CVS_NamNH_010425</v>
      </c>
      <c r="U858" s="110" t="s">
        <v>6988</v>
      </c>
    </row>
    <row r="859">
      <c r="A859" s="72">
        <v>45748.0</v>
      </c>
      <c r="B859" s="60" t="s">
        <v>1134</v>
      </c>
      <c r="C859" s="67" t="str">
        <f>IFERROR(__xludf.DUMMYFUNCTION("""COMPUTED_VALUE"""),"LD153")</f>
        <v>LD153</v>
      </c>
      <c r="D859" s="55" t="s">
        <v>42</v>
      </c>
      <c r="E859" s="55" t="s">
        <v>79</v>
      </c>
      <c r="F859" s="55" t="s">
        <v>539</v>
      </c>
      <c r="G859" s="55">
        <v>1840.0</v>
      </c>
      <c r="H859" s="55" t="s">
        <v>1137</v>
      </c>
      <c r="I859" s="115" t="s">
        <v>6989</v>
      </c>
      <c r="J859" s="55" t="s">
        <v>6990</v>
      </c>
      <c r="K859" s="55" t="s">
        <v>61</v>
      </c>
      <c r="L859" s="55">
        <v>16917.0</v>
      </c>
      <c r="M859" s="55" t="s">
        <v>78</v>
      </c>
      <c r="N859" s="55" t="s">
        <v>79</v>
      </c>
      <c r="O859" s="55" t="s">
        <v>224</v>
      </c>
      <c r="P859" s="55" t="s">
        <v>110</v>
      </c>
      <c r="Q859" s="67" t="str">
        <f>IFERROR(__xludf.DUMMYFUNCTION("""COMPUTED_VALUE"""),"ALL.giaotiep.M415xM418_16917_MES_NamNH_010425")</f>
        <v>ALL.giaotiep.M415xM418_16917_MES_NamNH_010425</v>
      </c>
      <c r="R859" s="67" t="str">
        <f>IFERROR(__xludf.DUMMYFUNCTION("""COMPUTED_VALUE"""),"NEW_ALL_1840_none_010425")</f>
        <v>NEW_ALL_1840_none_010425</v>
      </c>
      <c r="S859" s="67" t="str">
        <f>IFERROR(__xludf.DUMMYFUNCTION("""COMPUTED_VALUE"""),"saletructiep_ALL.M415xM418.1840.giaotiep_PTATT_LD153")</f>
        <v>saletructiep_ALL.M415xM418.1840.giaotiep_PTATT_LD153</v>
      </c>
      <c r="T859" s="107" t="str">
        <f>IFERROR(__xludf.DUMMYFUNCTION("""COMPUTED_VALUE"""),"https://patadovietnam.edu.vn/tienganhgiaotiep_hn/?utm_source=Facebook&amp;utm_medium=MES&amp;utm_term=NEW_ALL_1840_none_010425&amp;utm_content=saletructiep_ALL.M415xM418.1840.giaotiep_PTATT_LD153&amp;utm_campaign=ALL.giaotiep.M415xM418_16917_MES_NamNH_010425")</f>
        <v>https://patadovietnam.edu.vn/tienganhgiaotiep_hn/?utm_source=Facebook&amp;utm_medium=MES&amp;utm_term=NEW_ALL_1840_none_010425&amp;utm_content=saletructiep_ALL.M415xM418.1840.giaotiep_PTATT_LD153&amp;utm_campaign=ALL.giaotiep.M415xM418_16917_MES_NamNH_010425</v>
      </c>
      <c r="U859" s="110" t="s">
        <v>6991</v>
      </c>
    </row>
    <row r="860">
      <c r="A860" s="72">
        <v>45783.0</v>
      </c>
      <c r="B860" s="60" t="s">
        <v>1134</v>
      </c>
      <c r="C860" s="67" t="str">
        <f>IFERROR(__xludf.DUMMYFUNCTION("""COMPUTED_VALUE"""),"LD153")</f>
        <v>LD153</v>
      </c>
      <c r="D860" s="55" t="s">
        <v>42</v>
      </c>
      <c r="E860" s="55" t="s">
        <v>69</v>
      </c>
      <c r="F860" s="55" t="s">
        <v>674</v>
      </c>
      <c r="G860" s="55">
        <v>1840.0</v>
      </c>
      <c r="H860" s="55" t="s">
        <v>1137</v>
      </c>
      <c r="I860" s="115" t="s">
        <v>6992</v>
      </c>
      <c r="J860" s="55" t="s">
        <v>6993</v>
      </c>
      <c r="K860" s="55" t="s">
        <v>61</v>
      </c>
      <c r="L860" s="55">
        <v>16917.0</v>
      </c>
      <c r="M860" s="55" t="s">
        <v>78</v>
      </c>
      <c r="N860" s="55" t="s">
        <v>69</v>
      </c>
      <c r="O860" s="55" t="s">
        <v>224</v>
      </c>
      <c r="P860" s="55" t="s">
        <v>110</v>
      </c>
      <c r="Q860" s="67" t="str">
        <f>IFERROR(__xludf.DUMMYFUNCTION("""COMPUTED_VALUE"""),"Europe.giaotiep.M429xM438_16917_CVS_NamNH_060525")</f>
        <v>Europe.giaotiep.M429xM438_16917_CVS_NamNH_060525</v>
      </c>
      <c r="R860" s="67" t="str">
        <f>IFERROR(__xludf.DUMMYFUNCTION("""COMPUTED_VALUE"""),"NEW_Europe_1840_none_060525")</f>
        <v>NEW_Europe_1840_none_060525</v>
      </c>
      <c r="S860" s="67" t="str">
        <f>IFERROR(__xludf.DUMMYFUNCTION("""COMPUTED_VALUE"""),"saletructiep_Europe.M429xM438.1840.giaotiep_PTATT_LD153")</f>
        <v>saletructiep_Europe.M429xM438.1840.giaotiep_PTATT_LD153</v>
      </c>
      <c r="T860" s="107" t="str">
        <f>IFERROR(__xludf.DUMMYFUNCTION("""COMPUTED_VALUE"""),"https://patadovietnam.edu.vn/tienganhgiaotiep_hn/?utm_source=Facebook&amp;utm_medium=CVS&amp;utm_term=NEW_Europe_1840_none_060525&amp;utm_content=saletructiep_Europe.M429xM438.1840.giaotiep_PTATT_LD153&amp;utm_campaign=Europe.giaotiep.M429xM438_16917_CVS_NamNH_060525")</f>
        <v>https://patadovietnam.edu.vn/tienganhgiaotiep_hn/?utm_source=Facebook&amp;utm_medium=CVS&amp;utm_term=NEW_Europe_1840_none_060525&amp;utm_content=saletructiep_Europe.M429xM438.1840.giaotiep_PTATT_LD153&amp;utm_campaign=Europe.giaotiep.M429xM438_16917_CVS_NamNH_060525</v>
      </c>
      <c r="U860" s="110" t="s">
        <v>6994</v>
      </c>
    </row>
    <row r="861">
      <c r="A861" s="72">
        <v>45783.0</v>
      </c>
      <c r="B861" s="60" t="s">
        <v>1229</v>
      </c>
      <c r="C861" s="67" t="str">
        <f>IFERROR(__xludf.DUMMYFUNCTION("""COMPUTED_VALUE"""),"LD164")</f>
        <v>LD164</v>
      </c>
      <c r="D861" s="55" t="s">
        <v>42</v>
      </c>
      <c r="E861" s="55" t="s">
        <v>69</v>
      </c>
      <c r="F861" s="55" t="s">
        <v>133</v>
      </c>
      <c r="G861" s="55">
        <v>1840.0</v>
      </c>
      <c r="H861" s="55" t="s">
        <v>1137</v>
      </c>
      <c r="I861" s="115" t="s">
        <v>6995</v>
      </c>
      <c r="J861" s="55" t="s">
        <v>6996</v>
      </c>
      <c r="K861" s="55" t="s">
        <v>61</v>
      </c>
      <c r="L861" s="55">
        <v>16918.0</v>
      </c>
      <c r="M861" s="55" t="s">
        <v>78</v>
      </c>
      <c r="N861" s="55" t="s">
        <v>69</v>
      </c>
      <c r="O861" s="55" t="s">
        <v>224</v>
      </c>
      <c r="P861" s="55" t="s">
        <v>110</v>
      </c>
      <c r="Q861" s="67" t="str">
        <f>IFERROR(__xludf.DUMMYFUNCTION("""COMPUTED_VALUE"""),"Japan.giaotiep.M430xM438_16918_CVS_NamNH_060525")</f>
        <v>Japan.giaotiep.M430xM438_16918_CVS_NamNH_060525</v>
      </c>
      <c r="R861" s="67" t="str">
        <f>IFERROR(__xludf.DUMMYFUNCTION("""COMPUTED_VALUE"""),"NEW_Japan_1840_none_060525")</f>
        <v>NEW_Japan_1840_none_060525</v>
      </c>
      <c r="S861" s="67" t="str">
        <f>IFERROR(__xludf.DUMMYFUNCTION("""COMPUTED_VALUE"""),"saletructiep_Japan.M430xM438.1840.giaotiep_PTATT_LD164")</f>
        <v>saletructiep_Japan.M430xM438.1840.giaotiep_PTATT_LD164</v>
      </c>
      <c r="T861" s="107" t="str">
        <f>IFERROR(__xludf.DUMMYFUNCTION("""COMPUTED_VALUE"""),"https://patadovietnam.edu.vn/gtjapan_nhn3/?utm_source=Facebook&amp;utm_medium=CVS&amp;utm_term=NEW_Japan_1840_none_060525&amp;utm_content=saletructiep_Japan.M430xM438.1840.giaotiep_PTATT_LD164&amp;utm_campaign=Japan.giaotiep.M430xM438_16918_CVS_NamNH_060525")</f>
        <v>https://patadovietnam.edu.vn/gtjapan_nhn3/?utm_source=Facebook&amp;utm_medium=CVS&amp;utm_term=NEW_Japan_1840_none_060525&amp;utm_content=saletructiep_Japan.M430xM438.1840.giaotiep_PTATT_LD164&amp;utm_campaign=Japan.giaotiep.M430xM438_16918_CVS_NamNH_060525</v>
      </c>
      <c r="U861" s="110" t="s">
        <v>6997</v>
      </c>
    </row>
    <row r="862">
      <c r="A862" s="72">
        <v>45783.0</v>
      </c>
      <c r="B862" s="60" t="s">
        <v>1134</v>
      </c>
      <c r="C862" s="67" t="str">
        <f>IFERROR(__xludf.DUMMYFUNCTION("""COMPUTED_VALUE"""),"LD153")</f>
        <v>LD153</v>
      </c>
      <c r="D862" s="55" t="s">
        <v>42</v>
      </c>
      <c r="E862" s="55" t="s">
        <v>79</v>
      </c>
      <c r="F862" s="55" t="s">
        <v>539</v>
      </c>
      <c r="G862" s="55">
        <v>1840.0</v>
      </c>
      <c r="H862" s="55" t="s">
        <v>1137</v>
      </c>
      <c r="I862" s="115" t="s">
        <v>6998</v>
      </c>
      <c r="J862" s="55" t="s">
        <v>6999</v>
      </c>
      <c r="K862" s="55" t="s">
        <v>61</v>
      </c>
      <c r="L862" s="55">
        <v>16917.0</v>
      </c>
      <c r="M862" s="55" t="s">
        <v>78</v>
      </c>
      <c r="N862" s="55" t="s">
        <v>79</v>
      </c>
      <c r="O862" s="55" t="s">
        <v>224</v>
      </c>
      <c r="P862" s="55" t="s">
        <v>110</v>
      </c>
      <c r="Q862" s="67" t="str">
        <f>IFERROR(__xludf.DUMMYFUNCTION("""COMPUTED_VALUE"""),"ALL.giaotiep.M440xM438_16917_MES_NamNH_060525")</f>
        <v>ALL.giaotiep.M440xM438_16917_MES_NamNH_060525</v>
      </c>
      <c r="R862" s="67" t="str">
        <f>IFERROR(__xludf.DUMMYFUNCTION("""COMPUTED_VALUE"""),"NEW_ALL_1840_none_060525")</f>
        <v>NEW_ALL_1840_none_060525</v>
      </c>
      <c r="S862" s="67" t="str">
        <f>IFERROR(__xludf.DUMMYFUNCTION("""COMPUTED_VALUE"""),"saletructiep_ALL.M438xM440.1840.giaotiep_PTATT_LD153")</f>
        <v>saletructiep_ALL.M438xM440.1840.giaotiep_PTATT_LD153</v>
      </c>
      <c r="T862" s="107" t="str">
        <f>IFERROR(__xludf.DUMMYFUNCTION("""COMPUTED_VALUE"""),"https://patadovietnam.edu.vn/tienganhgiaotiep_hn/?utm_source=Facebook&amp;utm_medium=MES&amp;utm_term=NEW_ALL_1840_none_060525&amp;utm_content=saletructiep_ALL.M438xM440.1840.giaotiep_PTATT_LD153&amp;utm_campaign=ALL.giaotiep.M440xM438_16917_MES_NamNH_060525")</f>
        <v>https://patadovietnam.edu.vn/tienganhgiaotiep_hn/?utm_source=Facebook&amp;utm_medium=MES&amp;utm_term=NEW_ALL_1840_none_060525&amp;utm_content=saletructiep_ALL.M438xM440.1840.giaotiep_PTATT_LD153&amp;utm_campaign=ALL.giaotiep.M440xM438_16917_MES_NamNH_060525</v>
      </c>
      <c r="U862" s="110" t="s">
        <v>7000</v>
      </c>
    </row>
    <row r="863">
      <c r="A863" s="72">
        <v>45783.0</v>
      </c>
      <c r="B863" s="60" t="s">
        <v>1245</v>
      </c>
      <c r="C863" s="67" t="str">
        <f>IFERROR(__xludf.DUMMYFUNCTION("""COMPUTED_VALUE"""),"LD161")</f>
        <v>LD161</v>
      </c>
      <c r="D863" s="55" t="s">
        <v>42</v>
      </c>
      <c r="E863" s="55" t="s">
        <v>79</v>
      </c>
      <c r="F863" s="55" t="s">
        <v>107</v>
      </c>
      <c r="G863" s="55">
        <v>2050.0</v>
      </c>
      <c r="H863" s="55" t="s">
        <v>1137</v>
      </c>
      <c r="I863" s="115" t="s">
        <v>7001</v>
      </c>
      <c r="J863" s="55" t="s">
        <v>7002</v>
      </c>
      <c r="K863" s="55" t="s">
        <v>61</v>
      </c>
      <c r="L863" s="55">
        <v>16917.0</v>
      </c>
      <c r="M863" s="55" t="s">
        <v>78</v>
      </c>
      <c r="N863" s="55" t="s">
        <v>79</v>
      </c>
      <c r="O863" s="55" t="s">
        <v>224</v>
      </c>
      <c r="P863" s="55" t="s">
        <v>110</v>
      </c>
      <c r="Q863" s="67" t="str">
        <f>IFERROR(__xludf.DUMMYFUNCTION("""COMPUTED_VALUE"""),"UnitedStates.giaotiep.TATTxVTSxM271_16917_MES_NamNH_060525")</f>
        <v>UnitedStates.giaotiep.TATTxVTSxM271_16917_MES_NamNH_060525</v>
      </c>
      <c r="R863" s="67" t="str">
        <f>IFERROR(__xludf.DUMMYFUNCTION("""COMPUTED_VALUE"""),"NEW_UnitedStates_2050_none_060525")</f>
        <v>NEW_UnitedStates_2050_none_060525</v>
      </c>
      <c r="S863" s="67" t="str">
        <f>IFERROR(__xludf.DUMMYFUNCTION("""COMPUTED_VALUE"""),"saletructiep_UnitedStates.TATTxVTSxM271.1840.giaotiep_PTATT_LD161")</f>
        <v>saletructiep_UnitedStates.TATTxVTSxM271.1840.giaotiep_PTATT_LD161</v>
      </c>
      <c r="T863" s="107" t="str">
        <f>IFERROR(__xludf.DUMMYFUNCTION("""COMPUTED_VALUE"""),"https://patadovietnam.edu.vn/gtusa1_nhn/?utm_source=Facebook&amp;utm_medium=MES&amp;utm_term=NEW_UnitedStates_2050_none_060525&amp;utm_content=saletructiep_UnitedStates.TATTxVTSxM271.1840.giaotiep_PTATT_LD161&amp;utm_campaign=UnitedStates.giaotiep.TATTxVTSxM271_16917_MES"&amp;"_NamNH_060525")</f>
        <v>https://patadovietnam.edu.vn/gtusa1_nhn/?utm_source=Facebook&amp;utm_medium=MES&amp;utm_term=NEW_UnitedStates_2050_none_060525&amp;utm_content=saletructiep_UnitedStates.TATTxVTSxM271.1840.giaotiep_PTATT_LD161&amp;utm_campaign=UnitedStates.giaotiep.TATTxVTSxM271_16917_MES_NamNH_060525</v>
      </c>
      <c r="U863" s="110" t="s">
        <v>7003</v>
      </c>
    </row>
    <row r="864">
      <c r="A864" s="72">
        <v>45789.0</v>
      </c>
      <c r="B864" s="60" t="s">
        <v>1134</v>
      </c>
      <c r="C864" s="67" t="str">
        <f>IFERROR(__xludf.DUMMYFUNCTION("""COMPUTED_VALUE"""),"LD153")</f>
        <v>LD153</v>
      </c>
      <c r="D864" s="55" t="s">
        <v>42</v>
      </c>
      <c r="E864" s="55" t="s">
        <v>69</v>
      </c>
      <c r="F864" s="55" t="s">
        <v>674</v>
      </c>
      <c r="G864" s="55">
        <v>1840.0</v>
      </c>
      <c r="H864" s="55" t="s">
        <v>1137</v>
      </c>
      <c r="I864" s="115" t="s">
        <v>7004</v>
      </c>
      <c r="J864" s="55" t="s">
        <v>7005</v>
      </c>
      <c r="K864" s="55" t="s">
        <v>61</v>
      </c>
      <c r="L864" s="55">
        <v>16917.0</v>
      </c>
      <c r="M864" s="55" t="s">
        <v>78</v>
      </c>
      <c r="N864" s="55" t="s">
        <v>69</v>
      </c>
      <c r="O864" s="55" t="s">
        <v>224</v>
      </c>
      <c r="P864" s="55" t="s">
        <v>110</v>
      </c>
      <c r="Q864" s="67" t="str">
        <f>IFERROR(__xludf.DUMMYFUNCTION("""COMPUTED_VALUE"""),"Europe.giaotiep.M444xM446_16917_CVS_NamNH_120525")</f>
        <v>Europe.giaotiep.M444xM446_16917_CVS_NamNH_120525</v>
      </c>
      <c r="R864" s="67" t="str">
        <f>IFERROR(__xludf.DUMMYFUNCTION("""COMPUTED_VALUE"""),"NEW_Europe_1840_none_120525")</f>
        <v>NEW_Europe_1840_none_120525</v>
      </c>
      <c r="S864" s="67" t="str">
        <f>IFERROR(__xludf.DUMMYFUNCTION("""COMPUTED_VALUE"""),"saletructiep_Europe.M444xM446.1840.giaotiep_PTATT_LD153")</f>
        <v>saletructiep_Europe.M444xM446.1840.giaotiep_PTATT_LD153</v>
      </c>
      <c r="T864" s="107" t="str">
        <f>IFERROR(__xludf.DUMMYFUNCTION("""COMPUTED_VALUE"""),"https://patadovietnam.edu.vn/tienganhgiaotiep_hn/?utm_source=Facebook&amp;utm_medium=CVS&amp;utm_term=NEW_Europe_1840_none_120525&amp;utm_content=saletructiep_Europe.M444xM446.1840.giaotiep_PTATT_LD153&amp;utm_campaign=Europe.giaotiep.M444xM446_16917_CVS_NamNH_120525")</f>
        <v>https://patadovietnam.edu.vn/tienganhgiaotiep_hn/?utm_source=Facebook&amp;utm_medium=CVS&amp;utm_term=NEW_Europe_1840_none_120525&amp;utm_content=saletructiep_Europe.M444xM446.1840.giaotiep_PTATT_LD153&amp;utm_campaign=Europe.giaotiep.M444xM446_16917_CVS_NamNH_120525</v>
      </c>
      <c r="U864" s="110" t="s">
        <v>7006</v>
      </c>
    </row>
    <row r="865">
      <c r="A865" s="72">
        <v>45789.0</v>
      </c>
      <c r="B865" s="60" t="s">
        <v>1229</v>
      </c>
      <c r="C865" s="67" t="str">
        <f>IFERROR(__xludf.DUMMYFUNCTION("""COMPUTED_VALUE"""),"LD164")</f>
        <v>LD164</v>
      </c>
      <c r="D865" s="55" t="s">
        <v>42</v>
      </c>
      <c r="E865" s="55" t="s">
        <v>69</v>
      </c>
      <c r="F865" s="55" t="s">
        <v>133</v>
      </c>
      <c r="G865" s="55">
        <v>1840.0</v>
      </c>
      <c r="H865" s="55" t="s">
        <v>1137</v>
      </c>
      <c r="I865" s="115" t="s">
        <v>7007</v>
      </c>
      <c r="J865" s="55" t="s">
        <v>7008</v>
      </c>
      <c r="K865" s="55" t="s">
        <v>61</v>
      </c>
      <c r="L865" s="55">
        <v>16917.0</v>
      </c>
      <c r="M865" s="55" t="s">
        <v>78</v>
      </c>
      <c r="N865" s="55" t="s">
        <v>69</v>
      </c>
      <c r="O865" s="55" t="s">
        <v>224</v>
      </c>
      <c r="P865" s="55" t="s">
        <v>110</v>
      </c>
      <c r="Q865" s="67" t="str">
        <f>IFERROR(__xludf.DUMMYFUNCTION("""COMPUTED_VALUE"""),"Japan.giaotiep.M444xM446_16917_CVS_NamNH_120525")</f>
        <v>Japan.giaotiep.M444xM446_16917_CVS_NamNH_120525</v>
      </c>
      <c r="R865" s="67" t="str">
        <f>IFERROR(__xludf.DUMMYFUNCTION("""COMPUTED_VALUE"""),"NEW_Japan_1840_none_120525")</f>
        <v>NEW_Japan_1840_none_120525</v>
      </c>
      <c r="S865" s="67" t="str">
        <f>IFERROR(__xludf.DUMMYFUNCTION("""COMPUTED_VALUE"""),"saletructiep_Japan.M444xM446.1840.giaotiep_PTATT_LD164")</f>
        <v>saletructiep_Japan.M444xM446.1840.giaotiep_PTATT_LD164</v>
      </c>
      <c r="T865" s="107" t="str">
        <f>IFERROR(__xludf.DUMMYFUNCTION("""COMPUTED_VALUE"""),"https://patadovietnam.edu.vn/gtjapan_nhn3/?utm_source=Facebook&amp;utm_medium=CVS&amp;utm_term=NEW_Japan_1840_none_120525&amp;utm_content=saletructiep_Japan.M444xM446.1840.giaotiep_PTATT_LD164&amp;utm_campaign=Japan.giaotiep.M444xM446_16917_CVS_NamNH_120525")</f>
        <v>https://patadovietnam.edu.vn/gtjapan_nhn3/?utm_source=Facebook&amp;utm_medium=CVS&amp;utm_term=NEW_Japan_1840_none_120525&amp;utm_content=saletructiep_Japan.M444xM446.1840.giaotiep_PTATT_LD164&amp;utm_campaign=Japan.giaotiep.M444xM446_16917_CVS_NamNH_120525</v>
      </c>
      <c r="U865" s="110" t="s">
        <v>7009</v>
      </c>
    </row>
    <row r="866">
      <c r="A866" s="72">
        <v>45789.0</v>
      </c>
      <c r="B866" s="60" t="s">
        <v>1245</v>
      </c>
      <c r="C866" s="67" t="str">
        <f>IFERROR(__xludf.DUMMYFUNCTION("""COMPUTED_VALUE"""),"LD161")</f>
        <v>LD161</v>
      </c>
      <c r="D866" s="55" t="s">
        <v>42</v>
      </c>
      <c r="E866" s="55" t="s">
        <v>79</v>
      </c>
      <c r="F866" s="55" t="s">
        <v>107</v>
      </c>
      <c r="G866" s="55">
        <v>2050.0</v>
      </c>
      <c r="H866" s="55" t="s">
        <v>1137</v>
      </c>
      <c r="I866" s="115" t="s">
        <v>7010</v>
      </c>
      <c r="J866" s="55" t="s">
        <v>7011</v>
      </c>
      <c r="K866" s="55" t="s">
        <v>61</v>
      </c>
      <c r="L866" s="55">
        <v>16917.0</v>
      </c>
      <c r="M866" s="55" t="s">
        <v>78</v>
      </c>
      <c r="N866" s="55" t="s">
        <v>79</v>
      </c>
      <c r="O866" s="55" t="s">
        <v>224</v>
      </c>
      <c r="P866" s="55" t="s">
        <v>110</v>
      </c>
      <c r="Q866" s="67" t="str">
        <f>IFERROR(__xludf.DUMMYFUNCTION("""COMPUTED_VALUE"""),"UnitedStates.giaotiep.M444xM446_16917_MES_NamNH_120525")</f>
        <v>UnitedStates.giaotiep.M444xM446_16917_MES_NamNH_120525</v>
      </c>
      <c r="R866" s="67" t="str">
        <f>IFERROR(__xludf.DUMMYFUNCTION("""COMPUTED_VALUE"""),"NEW_UnitedStates_2050_none_120525")</f>
        <v>NEW_UnitedStates_2050_none_120525</v>
      </c>
      <c r="S866" s="67" t="str">
        <f>IFERROR(__xludf.DUMMYFUNCTION("""COMPUTED_VALUE"""),"saletructiep_UnitedStates.M444xM446.1840.giaotiep_PTATT_LD161")</f>
        <v>saletructiep_UnitedStates.M444xM446.1840.giaotiep_PTATT_LD161</v>
      </c>
      <c r="T866" s="107" t="str">
        <f>IFERROR(__xludf.DUMMYFUNCTION("""COMPUTED_VALUE"""),"https://patadovietnam.edu.vn/gtusa1_nhn/?utm_source=Facebook&amp;utm_medium=MES&amp;utm_term=NEW_UnitedStates_2050_none_120525&amp;utm_content=saletructiep_UnitedStates.M444xM446.1840.giaotiep_PTATT_LD161&amp;utm_campaign=UnitedStates.giaotiep.M444xM446_16917_MES_NamNH_1"&amp;"20525")</f>
        <v>https://patadovietnam.edu.vn/gtusa1_nhn/?utm_source=Facebook&amp;utm_medium=MES&amp;utm_term=NEW_UnitedStates_2050_none_120525&amp;utm_content=saletructiep_UnitedStates.M444xM446.1840.giaotiep_PTATT_LD161&amp;utm_campaign=UnitedStates.giaotiep.M444xM446_16917_MES_NamNH_120525</v>
      </c>
      <c r="U866" s="110" t="s">
        <v>7012</v>
      </c>
    </row>
    <row r="867">
      <c r="A867" s="72">
        <v>45789.0</v>
      </c>
      <c r="B867" s="60" t="s">
        <v>1134</v>
      </c>
      <c r="C867" s="67" t="str">
        <f>IFERROR(__xludf.DUMMYFUNCTION("""COMPUTED_VALUE"""),"LD153")</f>
        <v>LD153</v>
      </c>
      <c r="D867" s="55" t="s">
        <v>42</v>
      </c>
      <c r="E867" s="55" t="s">
        <v>79</v>
      </c>
      <c r="F867" s="55" t="s">
        <v>539</v>
      </c>
      <c r="G867" s="55">
        <v>1840.0</v>
      </c>
      <c r="H867" s="55" t="s">
        <v>1137</v>
      </c>
      <c r="I867" s="115" t="s">
        <v>7013</v>
      </c>
      <c r="J867" s="55" t="s">
        <v>7014</v>
      </c>
      <c r="K867" s="55" t="s">
        <v>61</v>
      </c>
      <c r="L867" s="55">
        <v>16917.0</v>
      </c>
      <c r="M867" s="55" t="s">
        <v>78</v>
      </c>
      <c r="N867" s="55" t="s">
        <v>79</v>
      </c>
      <c r="O867" s="55" t="s">
        <v>224</v>
      </c>
      <c r="P867" s="55" t="s">
        <v>110</v>
      </c>
      <c r="Q867" s="67" t="str">
        <f>IFERROR(__xludf.DUMMYFUNCTION("""COMPUTED_VALUE"""),"ALL.giaotiep.M444xM446_16917_MES_NamNH_120525")</f>
        <v>ALL.giaotiep.M444xM446_16917_MES_NamNH_120525</v>
      </c>
      <c r="R867" s="67" t="str">
        <f>IFERROR(__xludf.DUMMYFUNCTION("""COMPUTED_VALUE"""),"NEW_ALL_1840_none_120525")</f>
        <v>NEW_ALL_1840_none_120525</v>
      </c>
      <c r="S867" s="67" t="str">
        <f>IFERROR(__xludf.DUMMYFUNCTION("""COMPUTED_VALUE"""),"saletructiep_ALL.M444xM446.1840.giaotiep_PTATT_LD153")</f>
        <v>saletructiep_ALL.M444xM446.1840.giaotiep_PTATT_LD153</v>
      </c>
      <c r="T867" s="107" t="str">
        <f>IFERROR(__xludf.DUMMYFUNCTION("""COMPUTED_VALUE"""),"https://patadovietnam.edu.vn/tienganhgiaotiep_hn/?utm_source=Facebook&amp;utm_medium=MES&amp;utm_term=NEW_ALL_1840_none_120525&amp;utm_content=saletructiep_ALL.M444xM446.1840.giaotiep_PTATT_LD153&amp;utm_campaign=ALL.giaotiep.M444xM446_16917_MES_NamNH_120525")</f>
        <v>https://patadovietnam.edu.vn/tienganhgiaotiep_hn/?utm_source=Facebook&amp;utm_medium=MES&amp;utm_term=NEW_ALL_1840_none_120525&amp;utm_content=saletructiep_ALL.M444xM446.1840.giaotiep_PTATT_LD153&amp;utm_campaign=ALL.giaotiep.M444xM446_16917_MES_NamNH_120525</v>
      </c>
      <c r="U867" s="110" t="s">
        <v>7015</v>
      </c>
    </row>
    <row r="868">
      <c r="A868" s="72">
        <v>45789.0</v>
      </c>
      <c r="B868" s="60" t="s">
        <v>1134</v>
      </c>
      <c r="C868" s="67" t="str">
        <f>IFERROR(__xludf.DUMMYFUNCTION("""COMPUTED_VALUE"""),"LD153")</f>
        <v>LD153</v>
      </c>
      <c r="D868" s="55" t="s">
        <v>42</v>
      </c>
      <c r="E868" s="55" t="s">
        <v>79</v>
      </c>
      <c r="F868" s="55" t="s">
        <v>539</v>
      </c>
      <c r="G868" s="55">
        <v>1840.0</v>
      </c>
      <c r="H868" s="55" t="s">
        <v>1137</v>
      </c>
      <c r="I868" s="115" t="s">
        <v>7017</v>
      </c>
      <c r="J868" s="55" t="s">
        <v>7018</v>
      </c>
      <c r="K868" s="55" t="s">
        <v>61</v>
      </c>
      <c r="L868" s="55">
        <v>16917.0</v>
      </c>
      <c r="M868" s="55" t="s">
        <v>78</v>
      </c>
      <c r="N868" s="55" t="s">
        <v>79</v>
      </c>
      <c r="O868" s="55" t="s">
        <v>224</v>
      </c>
      <c r="P868" s="55" t="s">
        <v>110</v>
      </c>
      <c r="Q868" s="67" t="str">
        <f>IFERROR(__xludf.DUMMYFUNCTION("""COMPUTED_VALUE"""),"ALL.giaotiep.M444xM446mot_16917_MES_NamNH_120525")</f>
        <v>ALL.giaotiep.M444xM446mot_16917_MES_NamNH_120525</v>
      </c>
      <c r="R868" s="67" t="str">
        <f>IFERROR(__xludf.DUMMYFUNCTION("""COMPUTED_VALUE"""),"NEW_ALL_1840_none_120525")</f>
        <v>NEW_ALL_1840_none_120525</v>
      </c>
      <c r="S868" s="67" t="str">
        <f>IFERROR(__xludf.DUMMYFUNCTION("""COMPUTED_VALUE"""),"saletructiep_ALL.M444xM446mot.1840.giaotiep_PTATT_LD153")</f>
        <v>saletructiep_ALL.M444xM446mot.1840.giaotiep_PTATT_LD153</v>
      </c>
      <c r="T868" s="107" t="str">
        <f>IFERROR(__xludf.DUMMYFUNCTION("""COMPUTED_VALUE"""),"https://patadovietnam.edu.vn/tienganhgiaotiep_hn/?utm_source=Facebook&amp;utm_medium=MES&amp;utm_term=NEW_ALL_1840_none_120525&amp;utm_content=saletructiep_ALL.M444xM446mot.1840.giaotiep_PTATT_LD153&amp;utm_campaign=ALL.giaotiep.M444xM446mot_16917_MES_NamNH_120525")</f>
        <v>https://patadovietnam.edu.vn/tienganhgiaotiep_hn/?utm_source=Facebook&amp;utm_medium=MES&amp;utm_term=NEW_ALL_1840_none_120525&amp;utm_content=saletructiep_ALL.M444xM446mot.1840.giaotiep_PTATT_LD153&amp;utm_campaign=ALL.giaotiep.M444xM446mot_16917_MES_NamNH_120525</v>
      </c>
      <c r="U868" s="110" t="s">
        <v>7019</v>
      </c>
    </row>
    <row r="869">
      <c r="A869" s="72">
        <v>45789.0</v>
      </c>
      <c r="B869" s="60" t="s">
        <v>1134</v>
      </c>
      <c r="C869" s="67" t="str">
        <f>IFERROR(__xludf.DUMMYFUNCTION("""COMPUTED_VALUE"""),"LD153")</f>
        <v>LD153</v>
      </c>
      <c r="D869" s="55" t="s">
        <v>42</v>
      </c>
      <c r="E869" s="55" t="s">
        <v>79</v>
      </c>
      <c r="F869" s="55" t="s">
        <v>539</v>
      </c>
      <c r="G869" s="55">
        <v>1840.0</v>
      </c>
      <c r="H869" s="55" t="s">
        <v>1137</v>
      </c>
      <c r="I869" s="115" t="s">
        <v>7020</v>
      </c>
      <c r="J869" s="55" t="s">
        <v>7021</v>
      </c>
      <c r="K869" s="55" t="s">
        <v>61</v>
      </c>
      <c r="L869" s="55">
        <v>16917.0</v>
      </c>
      <c r="M869" s="55" t="s">
        <v>78</v>
      </c>
      <c r="N869" s="55" t="s">
        <v>79</v>
      </c>
      <c r="O869" s="55" t="s">
        <v>224</v>
      </c>
      <c r="P869" s="55" t="s">
        <v>110</v>
      </c>
      <c r="Q869" s="67" t="str">
        <f>IFERROR(__xludf.DUMMYFUNCTION("""COMPUTED_VALUE"""),"ALL.giaotiep.M445_16917_MES_NamNH_120525")</f>
        <v>ALL.giaotiep.M445_16917_MES_NamNH_120525</v>
      </c>
      <c r="R869" s="67" t="str">
        <f>IFERROR(__xludf.DUMMYFUNCTION("""COMPUTED_VALUE"""),"NEW_ALL_1840_none_120525")</f>
        <v>NEW_ALL_1840_none_120525</v>
      </c>
      <c r="S869" s="67" t="str">
        <f>IFERROR(__xludf.DUMMYFUNCTION("""COMPUTED_VALUE"""),"saletructiep_ALL.M445.1840.giaotiep_PTATT_LD153")</f>
        <v>saletructiep_ALL.M445.1840.giaotiep_PTATT_LD153</v>
      </c>
      <c r="T869" s="107" t="str">
        <f>IFERROR(__xludf.DUMMYFUNCTION("""COMPUTED_VALUE"""),"https://patadovietnam.edu.vn/tienganhgiaotiep_hn/?utm_source=Facebook&amp;utm_medium=MES&amp;utm_term=NEW_ALL_1840_none_120525&amp;utm_content=saletructiep_ALL.M445.1840.giaotiep_PTATT_LD153&amp;utm_campaign=ALL.giaotiep.M445_16917_MES_NamNH_120525")</f>
        <v>https://patadovietnam.edu.vn/tienganhgiaotiep_hn/?utm_source=Facebook&amp;utm_medium=MES&amp;utm_term=NEW_ALL_1840_none_120525&amp;utm_content=saletructiep_ALL.M445.1840.giaotiep_PTATT_LD153&amp;utm_campaign=ALL.giaotiep.M445_16917_MES_NamNH_120525</v>
      </c>
      <c r="U869" s="110" t="s">
        <v>7022</v>
      </c>
    </row>
    <row r="870">
      <c r="A870" s="72">
        <v>45793.0</v>
      </c>
      <c r="B870" s="60" t="s">
        <v>1134</v>
      </c>
      <c r="C870" s="67" t="str">
        <f>IFERROR(__xludf.DUMMYFUNCTION("""COMPUTED_VALUE"""),"LD153")</f>
        <v>LD153</v>
      </c>
      <c r="D870" s="55" t="s">
        <v>42</v>
      </c>
      <c r="E870" s="55" t="s">
        <v>79</v>
      </c>
      <c r="F870" s="55" t="s">
        <v>539</v>
      </c>
      <c r="G870" s="55">
        <v>1840.0</v>
      </c>
      <c r="H870" s="55" t="s">
        <v>1137</v>
      </c>
      <c r="I870" s="115" t="s">
        <v>7023</v>
      </c>
      <c r="J870" s="55" t="s">
        <v>7024</v>
      </c>
      <c r="K870" s="55" t="s">
        <v>61</v>
      </c>
      <c r="L870" s="55">
        <v>16917.0</v>
      </c>
      <c r="M870" s="55" t="s">
        <v>78</v>
      </c>
      <c r="N870" s="55" t="s">
        <v>79</v>
      </c>
      <c r="O870" s="55" t="s">
        <v>224</v>
      </c>
      <c r="P870" s="55" t="s">
        <v>110</v>
      </c>
      <c r="Q870" s="67" t="str">
        <f>IFERROR(__xludf.DUMMYFUNCTION("""COMPUTED_VALUE"""),"ALL.giaotiep.anhnotexpcpatado2_16917_MES_NamNH_160525")</f>
        <v>ALL.giaotiep.anhnotexpcpatado2_16917_MES_NamNH_160525</v>
      </c>
      <c r="R870" s="67" t="str">
        <f>IFERROR(__xludf.DUMMYFUNCTION("""COMPUTED_VALUE"""),"NEW_ALL_1840_none_160525")</f>
        <v>NEW_ALL_1840_none_160525</v>
      </c>
      <c r="S870" s="67" t="str">
        <f>IFERROR(__xludf.DUMMYFUNCTION("""COMPUTED_VALUE"""),"saletructiep_ALL.anhnotexqcpatado2.1840.giaotiep_PTATT_LD153")</f>
        <v>saletructiep_ALL.anhnotexqcpatado2.1840.giaotiep_PTATT_LD153</v>
      </c>
      <c r="T870" s="107" t="str">
        <f>IFERROR(__xludf.DUMMYFUNCTION("""COMPUTED_VALUE"""),"https://patadovietnam.edu.vn/tienganhgiaotiep_hn/?utm_source=Facebook&amp;utm_medium=MES&amp;utm_term=NEW_ALL_1840_none_160525&amp;utm_content=saletructiep_ALL.anhnotexqcpatado2.1840.giaotiep_PTATT_LD153&amp;utm_campaign=ALL.giaotiep.anhnotexpcpatado2_16917_MES_NamNH_160"&amp;"525")</f>
        <v>https://patadovietnam.edu.vn/tienganhgiaotiep_hn/?utm_source=Facebook&amp;utm_medium=MES&amp;utm_term=NEW_ALL_1840_none_160525&amp;utm_content=saletructiep_ALL.anhnotexqcpatado2.1840.giaotiep_PTATT_LD153&amp;utm_campaign=ALL.giaotiep.anhnotexpcpatado2_16917_MES_NamNH_160525</v>
      </c>
      <c r="U870" s="110" t="s">
        <v>7025</v>
      </c>
    </row>
    <row r="871">
      <c r="A871" s="72">
        <v>45793.0</v>
      </c>
      <c r="B871" s="60" t="s">
        <v>1134</v>
      </c>
      <c r="C871" s="67" t="str">
        <f>IFERROR(__xludf.DUMMYFUNCTION("""COMPUTED_VALUE"""),"LD153")</f>
        <v>LD153</v>
      </c>
      <c r="D871" s="55" t="s">
        <v>42</v>
      </c>
      <c r="E871" s="55" t="s">
        <v>79</v>
      </c>
      <c r="F871" s="55" t="s">
        <v>539</v>
      </c>
      <c r="G871" s="55">
        <v>1840.0</v>
      </c>
      <c r="H871" s="55" t="s">
        <v>1137</v>
      </c>
      <c r="I871" s="115" t="s">
        <v>7026</v>
      </c>
      <c r="J871" s="55" t="s">
        <v>7027</v>
      </c>
      <c r="K871" s="55" t="s">
        <v>61</v>
      </c>
      <c r="L871" s="55">
        <v>16917.0</v>
      </c>
      <c r="M871" s="55" t="s">
        <v>78</v>
      </c>
      <c r="N871" s="55" t="s">
        <v>79</v>
      </c>
      <c r="O871" s="55" t="s">
        <v>224</v>
      </c>
      <c r="P871" s="55" t="s">
        <v>110</v>
      </c>
      <c r="Q871" s="67" t="str">
        <f>IFERROR(__xludf.DUMMYFUNCTION("""COMPUTED_VALUE"""),"ALL.giaotiep.M269xM236_16917_MES_NamNH_160525")</f>
        <v>ALL.giaotiep.M269xM236_16917_MES_NamNH_160525</v>
      </c>
      <c r="R871" s="67" t="str">
        <f>IFERROR(__xludf.DUMMYFUNCTION("""COMPUTED_VALUE"""),"NEW_ALL_1840_none_160525")</f>
        <v>NEW_ALL_1840_none_160525</v>
      </c>
      <c r="S871" s="67" t="str">
        <f>IFERROR(__xludf.DUMMYFUNCTION("""COMPUTED_VALUE"""),"saletructiep_ALL.M269xM236.1840.giaotiep_PTATT_LD153")</f>
        <v>saletructiep_ALL.M269xM236.1840.giaotiep_PTATT_LD153</v>
      </c>
      <c r="T871" s="107" t="str">
        <f>IFERROR(__xludf.DUMMYFUNCTION("""COMPUTED_VALUE"""),"https://patadovietnam.edu.vn/tienganhgiaotiep_hn/?utm_source=Facebook&amp;utm_medium=MES&amp;utm_term=NEW_ALL_1840_none_160525&amp;utm_content=saletructiep_ALL.M269xM236.1840.giaotiep_PTATT_LD153&amp;utm_campaign=ALL.giaotiep.M269xM236_16917_MES_NamNH_160525")</f>
        <v>https://patadovietnam.edu.vn/tienganhgiaotiep_hn/?utm_source=Facebook&amp;utm_medium=MES&amp;utm_term=NEW_ALL_1840_none_160525&amp;utm_content=saletructiep_ALL.M269xM236.1840.giaotiep_PTATT_LD153&amp;utm_campaign=ALL.giaotiep.M269xM236_16917_MES_NamNH_160525</v>
      </c>
      <c r="U871" s="110" t="s">
        <v>7028</v>
      </c>
    </row>
    <row r="872">
      <c r="A872" s="72">
        <v>45793.0</v>
      </c>
      <c r="B872" s="60" t="s">
        <v>1134</v>
      </c>
      <c r="C872" s="67" t="str">
        <f>IFERROR(__xludf.DUMMYFUNCTION("""COMPUTED_VALUE"""),"LD153")</f>
        <v>LD153</v>
      </c>
      <c r="D872" s="55" t="s">
        <v>42</v>
      </c>
      <c r="E872" s="55" t="s">
        <v>79</v>
      </c>
      <c r="F872" s="55" t="s">
        <v>539</v>
      </c>
      <c r="G872" s="55">
        <v>1840.0</v>
      </c>
      <c r="H872" s="55" t="s">
        <v>1137</v>
      </c>
      <c r="I872" s="115" t="s">
        <v>7029</v>
      </c>
      <c r="J872" s="55" t="s">
        <v>7030</v>
      </c>
      <c r="K872" s="55" t="s">
        <v>61</v>
      </c>
      <c r="L872" s="55">
        <v>16917.0</v>
      </c>
      <c r="M872" s="55" t="s">
        <v>78</v>
      </c>
      <c r="N872" s="55" t="s">
        <v>79</v>
      </c>
      <c r="O872" s="55" t="s">
        <v>224</v>
      </c>
      <c r="P872" s="55" t="s">
        <v>110</v>
      </c>
      <c r="Q872" s="67" t="str">
        <f>IFERROR(__xludf.DUMMYFUNCTION("""COMPUTED_VALUE"""),"ALL.giaotiep.M269xM236a_16917_MES_NamNH_160525")</f>
        <v>ALL.giaotiep.M269xM236a_16917_MES_NamNH_160525</v>
      </c>
      <c r="R872" s="67" t="str">
        <f>IFERROR(__xludf.DUMMYFUNCTION("""COMPUTED_VALUE"""),"NEW_ALL_1840_none_160525")</f>
        <v>NEW_ALL_1840_none_160525</v>
      </c>
      <c r="S872" s="67" t="str">
        <f>IFERROR(__xludf.DUMMYFUNCTION("""COMPUTED_VALUE"""),"saletructiep_ALL.M269xM236a.1840.giaotiep_PTATT_LD153")</f>
        <v>saletructiep_ALL.M269xM236a.1840.giaotiep_PTATT_LD153</v>
      </c>
      <c r="T872" s="107" t="str">
        <f>IFERROR(__xludf.DUMMYFUNCTION("""COMPUTED_VALUE"""),"https://patadovietnam.edu.vn/tienganhgiaotiep_hn/?utm_source=Facebook&amp;utm_medium=MES&amp;utm_term=NEW_ALL_1840_none_160525&amp;utm_content=saletructiep_ALL.M269xM236a.1840.giaotiep_PTATT_LD153&amp;utm_campaign=ALL.giaotiep.M269xM236a_16917_MES_NamNH_160525")</f>
        <v>https://patadovietnam.edu.vn/tienganhgiaotiep_hn/?utm_source=Facebook&amp;utm_medium=MES&amp;utm_term=NEW_ALL_1840_none_160525&amp;utm_content=saletructiep_ALL.M269xM236a.1840.giaotiep_PTATT_LD153&amp;utm_campaign=ALL.giaotiep.M269xM236a_16917_MES_NamNH_160525</v>
      </c>
      <c r="U872" s="110" t="s">
        <v>7031</v>
      </c>
    </row>
    <row r="873">
      <c r="A873" s="72">
        <v>45793.0</v>
      </c>
      <c r="B873" s="60" t="s">
        <v>1229</v>
      </c>
      <c r="C873" s="67" t="str">
        <f>IFERROR(__xludf.DUMMYFUNCTION("""COMPUTED_VALUE"""),"LD164")</f>
        <v>LD164</v>
      </c>
      <c r="D873" s="55" t="s">
        <v>42</v>
      </c>
      <c r="E873" s="55" t="s">
        <v>69</v>
      </c>
      <c r="F873" s="55" t="s">
        <v>133</v>
      </c>
      <c r="G873" s="55">
        <v>1840.0</v>
      </c>
      <c r="H873" s="55" t="s">
        <v>1137</v>
      </c>
      <c r="I873" s="115" t="s">
        <v>7032</v>
      </c>
      <c r="J873" s="55" t="s">
        <v>7033</v>
      </c>
      <c r="K873" s="55" t="s">
        <v>61</v>
      </c>
      <c r="L873" s="55">
        <v>16917.0</v>
      </c>
      <c r="M873" s="55" t="s">
        <v>78</v>
      </c>
      <c r="N873" s="55" t="s">
        <v>69</v>
      </c>
      <c r="O873" s="55" t="s">
        <v>224</v>
      </c>
      <c r="P873" s="55" t="s">
        <v>110</v>
      </c>
      <c r="Q873" s="67" t="str">
        <f>IFERROR(__xludf.DUMMYFUNCTION("""COMPUTED_VALUE"""),"Japan.giaotiep.anhltxanhnote_16917_CVS_NamNH_160525")</f>
        <v>Japan.giaotiep.anhltxanhnote_16917_CVS_NamNH_160525</v>
      </c>
      <c r="R873" s="67" t="str">
        <f>IFERROR(__xludf.DUMMYFUNCTION("""COMPUTED_VALUE"""),"NEW_Japan_1840_none_160525")</f>
        <v>NEW_Japan_1840_none_160525</v>
      </c>
      <c r="S873" s="67" t="str">
        <f>IFERROR(__xludf.DUMMYFUNCTION("""COMPUTED_VALUE"""),"saletructiep_Japan.anhltxanhnote.1840.giaotiep_PTATT_LD164")</f>
        <v>saletructiep_Japan.anhltxanhnote.1840.giaotiep_PTATT_LD164</v>
      </c>
      <c r="T873" s="107" t="str">
        <f>IFERROR(__xludf.DUMMYFUNCTION("""COMPUTED_VALUE"""),"https://patadovietnam.edu.vn/gtjapan_nhn3/?utm_source=Facebook&amp;utm_medium=CVS&amp;utm_term=NEW_Japan_1840_none_160525&amp;utm_content=saletructiep_Japan.anhltxanhnote.1840.giaotiep_PTATT_LD164&amp;utm_campaign=Japan.giaotiep.anhltxanhnote_16917_CVS_NamNH_160525")</f>
        <v>https://patadovietnam.edu.vn/gtjapan_nhn3/?utm_source=Facebook&amp;utm_medium=CVS&amp;utm_term=NEW_Japan_1840_none_160525&amp;utm_content=saletructiep_Japan.anhltxanhnote.1840.giaotiep_PTATT_LD164&amp;utm_campaign=Japan.giaotiep.anhltxanhnote_16917_CVS_NamNH_160525</v>
      </c>
      <c r="U873" s="110" t="s">
        <v>7034</v>
      </c>
    </row>
    <row r="874">
      <c r="A874" s="72">
        <v>45793.0</v>
      </c>
      <c r="B874" s="60" t="s">
        <v>1229</v>
      </c>
      <c r="C874" s="67" t="str">
        <f>IFERROR(__xludf.DUMMYFUNCTION("""COMPUTED_VALUE"""),"LD164")</f>
        <v>LD164</v>
      </c>
      <c r="D874" s="55" t="s">
        <v>42</v>
      </c>
      <c r="E874" s="55" t="s">
        <v>69</v>
      </c>
      <c r="F874" s="55" t="s">
        <v>133</v>
      </c>
      <c r="G874" s="55">
        <v>1840.0</v>
      </c>
      <c r="H874" s="55" t="s">
        <v>1137</v>
      </c>
      <c r="I874" s="115" t="s">
        <v>7035</v>
      </c>
      <c r="J874" s="55" t="s">
        <v>7036</v>
      </c>
      <c r="K874" s="55" t="s">
        <v>61</v>
      </c>
      <c r="L874" s="55">
        <v>16917.0</v>
      </c>
      <c r="M874" s="55" t="s">
        <v>78</v>
      </c>
      <c r="N874" s="55" t="s">
        <v>69</v>
      </c>
      <c r="O874" s="55" t="s">
        <v>224</v>
      </c>
      <c r="P874" s="55" t="s">
        <v>110</v>
      </c>
      <c r="Q874" s="67" t="str">
        <f>IFERROR(__xludf.DUMMYFUNCTION("""COMPUTED_VALUE"""),"Japan.giaotiep.HTKOC2xPTKOC_16917_CVS_NamNH_160525")</f>
        <v>Japan.giaotiep.HTKOC2xPTKOC_16917_CVS_NamNH_160525</v>
      </c>
      <c r="R874" s="67" t="str">
        <f>IFERROR(__xludf.DUMMYFUNCTION("""COMPUTED_VALUE"""),"NEW_Japan_1840_none_160525")</f>
        <v>NEW_Japan_1840_none_160525</v>
      </c>
      <c r="S874" s="67" t="str">
        <f>IFERROR(__xludf.DUMMYFUNCTION("""COMPUTED_VALUE"""),"saletructiep_Japan.HTKOC2xPTKOC.1840.giaotiep_PTATT_LD164")</f>
        <v>saletructiep_Japan.HTKOC2xPTKOC.1840.giaotiep_PTATT_LD164</v>
      </c>
      <c r="T874" s="107" t="str">
        <f>IFERROR(__xludf.DUMMYFUNCTION("""COMPUTED_VALUE"""),"https://patadovietnam.edu.vn/gtjapan_nhn3/?utm_source=Facebook&amp;utm_medium=CVS&amp;utm_term=NEW_Japan_1840_none_160525&amp;utm_content=saletructiep_Japan.HTKOC2xPTKOC.1840.giaotiep_PTATT_LD164&amp;utm_campaign=Japan.giaotiep.HTKOC2xPTKOC_16917_CVS_NamNH_160525")</f>
        <v>https://patadovietnam.edu.vn/gtjapan_nhn3/?utm_source=Facebook&amp;utm_medium=CVS&amp;utm_term=NEW_Japan_1840_none_160525&amp;utm_content=saletructiep_Japan.HTKOC2xPTKOC.1840.giaotiep_PTATT_LD164&amp;utm_campaign=Japan.giaotiep.HTKOC2xPTKOC_16917_CVS_NamNH_160525</v>
      </c>
      <c r="U874" s="110" t="s">
        <v>7043</v>
      </c>
    </row>
    <row r="875">
      <c r="A875" s="72">
        <v>45793.0</v>
      </c>
      <c r="B875" s="60" t="s">
        <v>1134</v>
      </c>
      <c r="C875" s="67" t="str">
        <f>IFERROR(__xludf.DUMMYFUNCTION("""COMPUTED_VALUE"""),"LD153")</f>
        <v>LD153</v>
      </c>
      <c r="D875" s="55" t="s">
        <v>42</v>
      </c>
      <c r="E875" s="55" t="s">
        <v>69</v>
      </c>
      <c r="F875" s="55" t="s">
        <v>674</v>
      </c>
      <c r="G875" s="55">
        <v>1840.0</v>
      </c>
      <c r="H875" s="55" t="s">
        <v>1137</v>
      </c>
      <c r="I875" s="115" t="s">
        <v>7046</v>
      </c>
      <c r="J875" s="55" t="s">
        <v>7047</v>
      </c>
      <c r="K875" s="55" t="s">
        <v>61</v>
      </c>
      <c r="L875" s="55">
        <v>16917.0</v>
      </c>
      <c r="M875" s="55" t="s">
        <v>78</v>
      </c>
      <c r="N875" s="55" t="s">
        <v>69</v>
      </c>
      <c r="O875" s="55" t="s">
        <v>224</v>
      </c>
      <c r="P875" s="55" t="s">
        <v>110</v>
      </c>
      <c r="Q875" s="67" t="str">
        <f>IFERROR(__xludf.DUMMYFUNCTION("""COMPUTED_VALUE"""),"Europe.giaotiep.HTKOC2xPTKOC_16917_CVS_NamNH_160525")</f>
        <v>Europe.giaotiep.HTKOC2xPTKOC_16917_CVS_NamNH_160525</v>
      </c>
      <c r="R875" s="67" t="str">
        <f>IFERROR(__xludf.DUMMYFUNCTION("""COMPUTED_VALUE"""),"NEW_Europe_1840_none_160525")</f>
        <v>NEW_Europe_1840_none_160525</v>
      </c>
      <c r="S875" s="67" t="str">
        <f>IFERROR(__xludf.DUMMYFUNCTION("""COMPUTED_VALUE"""),"saletructiep_Europe.HTKOC2xPTKOC.1840.giaotiep_PTATT_LD153")</f>
        <v>saletructiep_Europe.HTKOC2xPTKOC.1840.giaotiep_PTATT_LD153</v>
      </c>
      <c r="T875" s="107" t="str">
        <f>IFERROR(__xludf.DUMMYFUNCTION("""COMPUTED_VALUE"""),"https://patadovietnam.edu.vn/tienganhgiaotiep_hn/?utm_source=Facebook&amp;utm_medium=CVS&amp;utm_term=NEW_Europe_1840_none_160525&amp;utm_content=saletructiep_Europe.HTKOC2xPTKOC.1840.giaotiep_PTATT_LD153&amp;utm_campaign=Europe.giaotiep.HTKOC2xPTKOC_16917_CVS_NamNH_1605"&amp;"25")</f>
        <v>https://patadovietnam.edu.vn/tienganhgiaotiep_hn/?utm_source=Facebook&amp;utm_medium=CVS&amp;utm_term=NEW_Europe_1840_none_160525&amp;utm_content=saletructiep_Europe.HTKOC2xPTKOC.1840.giaotiep_PTATT_LD153&amp;utm_campaign=Europe.giaotiep.HTKOC2xPTKOC_16917_CVS_NamNH_160525</v>
      </c>
      <c r="U875" s="111" t="s">
        <v>7055</v>
      </c>
    </row>
    <row r="876">
      <c r="A876" s="72">
        <v>45793.0</v>
      </c>
      <c r="B876" s="60" t="s">
        <v>1134</v>
      </c>
      <c r="C876" s="67" t="str">
        <f>IFERROR(__xludf.DUMMYFUNCTION("""COMPUTED_VALUE"""),"LD153")</f>
        <v>LD153</v>
      </c>
      <c r="D876" s="55" t="s">
        <v>42</v>
      </c>
      <c r="E876" s="55" t="s">
        <v>79</v>
      </c>
      <c r="F876" s="55" t="s">
        <v>539</v>
      </c>
      <c r="G876" s="55">
        <v>1840.0</v>
      </c>
      <c r="H876" s="55" t="s">
        <v>1137</v>
      </c>
      <c r="I876" s="115" t="s">
        <v>7059</v>
      </c>
      <c r="J876" s="55" t="s">
        <v>7060</v>
      </c>
      <c r="K876" s="55" t="s">
        <v>61</v>
      </c>
      <c r="L876" s="55">
        <v>16917.0</v>
      </c>
      <c r="M876" s="55" t="s">
        <v>78</v>
      </c>
      <c r="N876" s="55" t="s">
        <v>79</v>
      </c>
      <c r="O876" s="55" t="s">
        <v>224</v>
      </c>
      <c r="P876" s="55" t="s">
        <v>110</v>
      </c>
      <c r="Q876" s="67" t="str">
        <f>IFERROR(__xludf.DUMMYFUNCTION("""COMPUTED_VALUE"""),"ALL.giaotiep.HTKOC2xPTKOC_16917_MES_NamNH_160525")</f>
        <v>ALL.giaotiep.HTKOC2xPTKOC_16917_MES_NamNH_160525</v>
      </c>
      <c r="R876" s="67" t="str">
        <f>IFERROR(__xludf.DUMMYFUNCTION("""COMPUTED_VALUE"""),"NEW_ALL_1840_none_160525")</f>
        <v>NEW_ALL_1840_none_160525</v>
      </c>
      <c r="S876" s="67" t="str">
        <f>IFERROR(__xludf.DUMMYFUNCTION("""COMPUTED_VALUE"""),"saletructiep_ALL.HTKOC2xPTKOC.1840.giaotiep_PTATT_LD153")</f>
        <v>saletructiep_ALL.HTKOC2xPTKOC.1840.giaotiep_PTATT_LD153</v>
      </c>
      <c r="T876" s="107" t="str">
        <f>IFERROR(__xludf.DUMMYFUNCTION("""COMPUTED_VALUE"""),"https://patadovietnam.edu.vn/tienganhgiaotiep_hn/?utm_source=Facebook&amp;utm_medium=MES&amp;utm_term=NEW_ALL_1840_none_160525&amp;utm_content=saletructiep_ALL.HTKOC2xPTKOC.1840.giaotiep_PTATT_LD153&amp;utm_campaign=ALL.giaotiep.HTKOC2xPTKOC_16917_MES_NamNH_160525")</f>
        <v>https://patadovietnam.edu.vn/tienganhgiaotiep_hn/?utm_source=Facebook&amp;utm_medium=MES&amp;utm_term=NEW_ALL_1840_none_160525&amp;utm_content=saletructiep_ALL.HTKOC2xPTKOC.1840.giaotiep_PTATT_LD153&amp;utm_campaign=ALL.giaotiep.HTKOC2xPTKOC_16917_MES_NamNH_160525</v>
      </c>
      <c r="U876" s="110" t="s">
        <v>7072</v>
      </c>
    </row>
    <row r="877">
      <c r="A877" s="72">
        <v>45793.0</v>
      </c>
      <c r="B877" s="60" t="s">
        <v>1134</v>
      </c>
      <c r="C877" s="67" t="str">
        <f>IFERROR(__xludf.DUMMYFUNCTION("""COMPUTED_VALUE"""),"LD153")</f>
        <v>LD153</v>
      </c>
      <c r="D877" s="55" t="s">
        <v>42</v>
      </c>
      <c r="E877" s="55" t="s">
        <v>79</v>
      </c>
      <c r="F877" s="55" t="s">
        <v>539</v>
      </c>
      <c r="G877" s="55">
        <v>1840.0</v>
      </c>
      <c r="H877" s="55" t="s">
        <v>1137</v>
      </c>
      <c r="I877" s="115" t="s">
        <v>7073</v>
      </c>
      <c r="J877" s="55" t="s">
        <v>7074</v>
      </c>
      <c r="K877" s="55" t="s">
        <v>61</v>
      </c>
      <c r="L877" s="55">
        <v>16917.0</v>
      </c>
      <c r="M877" s="55" t="s">
        <v>78</v>
      </c>
      <c r="N877" s="55" t="s">
        <v>79</v>
      </c>
      <c r="O877" s="55" t="s">
        <v>224</v>
      </c>
      <c r="P877" s="55" t="s">
        <v>110</v>
      </c>
      <c r="Q877" s="67" t="str">
        <f>IFERROR(__xludf.DUMMYFUNCTION("""COMPUTED_VALUE"""),"ALL.giaotiep.HTKOC2xPTKOCa_16917_MES_NamNH_160525")</f>
        <v>ALL.giaotiep.HTKOC2xPTKOCa_16917_MES_NamNH_160525</v>
      </c>
      <c r="R877" s="67" t="str">
        <f>IFERROR(__xludf.DUMMYFUNCTION("""COMPUTED_VALUE"""),"NEW_ALL_1840_none_160525")</f>
        <v>NEW_ALL_1840_none_160525</v>
      </c>
      <c r="S877" s="67" t="str">
        <f>IFERROR(__xludf.DUMMYFUNCTION("""COMPUTED_VALUE"""),"saletructiep_ALL.HTKOC2xPTKOCa.1840.giaotiep_PTATT_LD153")</f>
        <v>saletructiep_ALL.HTKOC2xPTKOCa.1840.giaotiep_PTATT_LD153</v>
      </c>
      <c r="T877" s="107" t="str">
        <f>IFERROR(__xludf.DUMMYFUNCTION("""COMPUTED_VALUE"""),"https://patadovietnam.edu.vn/tienganhgiaotiep_hn/?utm_source=Facebook&amp;utm_medium=MES&amp;utm_term=NEW_ALL_1840_none_160525&amp;utm_content=saletructiep_ALL.HTKOC2xPTKOCa.1840.giaotiep_PTATT_LD153&amp;utm_campaign=ALL.giaotiep.HTKOC2xPTKOCa_16917_MES_NamNH_160525")</f>
        <v>https://patadovietnam.edu.vn/tienganhgiaotiep_hn/?utm_source=Facebook&amp;utm_medium=MES&amp;utm_term=NEW_ALL_1840_none_160525&amp;utm_content=saletructiep_ALL.HTKOC2xPTKOCa.1840.giaotiep_PTATT_LD153&amp;utm_campaign=ALL.giaotiep.HTKOC2xPTKOCa_16917_MES_NamNH_160525</v>
      </c>
      <c r="U877" s="110" t="s">
        <v>7082</v>
      </c>
    </row>
    <row r="878">
      <c r="A878" s="72">
        <v>45793.0</v>
      </c>
      <c r="B878" s="60" t="s">
        <v>1245</v>
      </c>
      <c r="C878" s="67" t="str">
        <f>IFERROR(__xludf.DUMMYFUNCTION("""COMPUTED_VALUE"""),"LD161")</f>
        <v>LD161</v>
      </c>
      <c r="D878" s="55" t="s">
        <v>42</v>
      </c>
      <c r="E878" s="55" t="s">
        <v>79</v>
      </c>
      <c r="F878" s="55" t="s">
        <v>107</v>
      </c>
      <c r="G878" s="55">
        <v>2050.0</v>
      </c>
      <c r="H878" s="55" t="s">
        <v>1137</v>
      </c>
      <c r="I878" s="115" t="s">
        <v>5870</v>
      </c>
      <c r="J878" s="55" t="s">
        <v>5871</v>
      </c>
      <c r="K878" s="55" t="s">
        <v>61</v>
      </c>
      <c r="L878" s="55">
        <v>16917.0</v>
      </c>
      <c r="M878" s="55" t="s">
        <v>78</v>
      </c>
      <c r="N878" s="55" t="s">
        <v>79</v>
      </c>
      <c r="O878" s="55" t="s">
        <v>224</v>
      </c>
      <c r="P878" s="55" t="s">
        <v>110</v>
      </c>
      <c r="Q878" s="67" t="str">
        <f>IFERROR(__xludf.DUMMYFUNCTION("""COMPUTED_VALUE"""),"UnitedStates.giaotiep.M269_16917_MES_NamNH_160525")</f>
        <v>UnitedStates.giaotiep.M269_16917_MES_NamNH_160525</v>
      </c>
      <c r="R878" s="67" t="str">
        <f>IFERROR(__xludf.DUMMYFUNCTION("""COMPUTED_VALUE"""),"NEW_UnitedStates_2050_none_160525")</f>
        <v>NEW_UnitedStates_2050_none_160525</v>
      </c>
      <c r="S878" s="67" t="str">
        <f>IFERROR(__xludf.DUMMYFUNCTION("""COMPUTED_VALUE"""),"saletructiep_UnitedStates.M269.1840.giaotiep_PTATT_LD161")</f>
        <v>saletructiep_UnitedStates.M269.1840.giaotiep_PTATT_LD161</v>
      </c>
      <c r="T878" s="107" t="str">
        <f>IFERROR(__xludf.DUMMYFUNCTION("""COMPUTED_VALUE"""),"https://patadovietnam.edu.vn/gtusa1_nhn/?utm_source=Facebook&amp;utm_medium=MES&amp;utm_term=NEW_UnitedStates_2050_none_160525&amp;utm_content=saletructiep_UnitedStates.M269.1840.giaotiep_PTATT_LD161&amp;utm_campaign=UnitedStates.giaotiep.M269_16917_MES_NamNH_160525")</f>
        <v>https://patadovietnam.edu.vn/gtusa1_nhn/?utm_source=Facebook&amp;utm_medium=MES&amp;utm_term=NEW_UnitedStates_2050_none_160525&amp;utm_content=saletructiep_UnitedStates.M269.1840.giaotiep_PTATT_LD161&amp;utm_campaign=UnitedStates.giaotiep.M269_16917_MES_NamNH_160525</v>
      </c>
      <c r="U878" s="110" t="s">
        <v>7089</v>
      </c>
    </row>
    <row r="879">
      <c r="A879" s="72">
        <v>45793.0</v>
      </c>
      <c r="B879" s="60" t="s">
        <v>1245</v>
      </c>
      <c r="C879" s="67" t="str">
        <f>IFERROR(__xludf.DUMMYFUNCTION("""COMPUTED_VALUE"""),"LD161")</f>
        <v>LD161</v>
      </c>
      <c r="D879" s="55" t="s">
        <v>42</v>
      </c>
      <c r="E879" s="55" t="s">
        <v>79</v>
      </c>
      <c r="F879" s="55" t="s">
        <v>107</v>
      </c>
      <c r="G879" s="55">
        <v>2050.0</v>
      </c>
      <c r="H879" s="55" t="s">
        <v>1137</v>
      </c>
      <c r="I879" s="115" t="s">
        <v>5133</v>
      </c>
      <c r="J879" s="55" t="s">
        <v>5134</v>
      </c>
      <c r="K879" s="55" t="s">
        <v>61</v>
      </c>
      <c r="L879" s="55">
        <v>16917.0</v>
      </c>
      <c r="M879" s="55" t="s">
        <v>78</v>
      </c>
      <c r="N879" s="55" t="s">
        <v>79</v>
      </c>
      <c r="O879" s="55" t="s">
        <v>224</v>
      </c>
      <c r="P879" s="55" t="s">
        <v>110</v>
      </c>
      <c r="Q879" s="67" t="str">
        <f>IFERROR(__xludf.DUMMYFUNCTION("""COMPUTED_VALUE"""),"UnitedStates.giaotiep.M236_16917_MES_NamNH_160525")</f>
        <v>UnitedStates.giaotiep.M236_16917_MES_NamNH_160525</v>
      </c>
      <c r="R879" s="67" t="str">
        <f>IFERROR(__xludf.DUMMYFUNCTION("""COMPUTED_VALUE"""),"NEW_UnitedStates_2050_none_160525")</f>
        <v>NEW_UnitedStates_2050_none_160525</v>
      </c>
      <c r="S879" s="67" t="str">
        <f>IFERROR(__xludf.DUMMYFUNCTION("""COMPUTED_VALUE"""),"saletructiep_UnitedStates.M236.1840.giaotiep_PTATT_LD161")</f>
        <v>saletructiep_UnitedStates.M236.1840.giaotiep_PTATT_LD161</v>
      </c>
      <c r="T879" s="107" t="str">
        <f>IFERROR(__xludf.DUMMYFUNCTION("""COMPUTED_VALUE"""),"https://patadovietnam.edu.vn/gtusa1_nhn/?utm_source=Facebook&amp;utm_medium=MES&amp;utm_term=NEW_UnitedStates_2050_none_160525&amp;utm_content=saletructiep_UnitedStates.M236.1840.giaotiep_PTATT_LD161&amp;utm_campaign=UnitedStates.giaotiep.M236_16917_MES_NamNH_160525")</f>
        <v>https://patadovietnam.edu.vn/gtusa1_nhn/?utm_source=Facebook&amp;utm_medium=MES&amp;utm_term=NEW_UnitedStates_2050_none_160525&amp;utm_content=saletructiep_UnitedStates.M236.1840.giaotiep_PTATT_LD161&amp;utm_campaign=UnitedStates.giaotiep.M236_16917_MES_NamNH_160525</v>
      </c>
      <c r="U879" s="110" t="s">
        <v>7096</v>
      </c>
    </row>
    <row r="880">
      <c r="A880" s="72">
        <v>45793.0</v>
      </c>
      <c r="B880" s="60" t="s">
        <v>1245</v>
      </c>
      <c r="C880" s="67" t="str">
        <f>IFERROR(__xludf.DUMMYFUNCTION("""COMPUTED_VALUE"""),"LD161")</f>
        <v>LD161</v>
      </c>
      <c r="D880" s="55" t="s">
        <v>42</v>
      </c>
      <c r="E880" s="55" t="s">
        <v>79</v>
      </c>
      <c r="F880" s="55" t="s">
        <v>107</v>
      </c>
      <c r="G880" s="55">
        <v>2050.0</v>
      </c>
      <c r="H880" s="55" t="s">
        <v>1137</v>
      </c>
      <c r="I880" s="115" t="s">
        <v>1621</v>
      </c>
      <c r="J880" s="55" t="s">
        <v>5825</v>
      </c>
      <c r="K880" s="55" t="s">
        <v>61</v>
      </c>
      <c r="L880" s="55">
        <v>16917.0</v>
      </c>
      <c r="M880" s="55" t="s">
        <v>78</v>
      </c>
      <c r="N880" s="55" t="s">
        <v>79</v>
      </c>
      <c r="O880" s="55" t="s">
        <v>224</v>
      </c>
      <c r="P880" s="55" t="s">
        <v>110</v>
      </c>
      <c r="Q880" s="67" t="str">
        <f>IFERROR(__xludf.DUMMYFUNCTION("""COMPUTED_VALUE"""),"UnitedStates.giaotiep.M264_16917_MES_NamNH_160525")</f>
        <v>UnitedStates.giaotiep.M264_16917_MES_NamNH_160525</v>
      </c>
      <c r="R880" s="67" t="str">
        <f>IFERROR(__xludf.DUMMYFUNCTION("""COMPUTED_VALUE"""),"NEW_UnitedStates_2050_none_160525")</f>
        <v>NEW_UnitedStates_2050_none_160525</v>
      </c>
      <c r="S880" s="67" t="str">
        <f>IFERROR(__xludf.DUMMYFUNCTION("""COMPUTED_VALUE"""),"saletructiep_UnitedStates.M264.1840.giaotiep_PTATT_LD161")</f>
        <v>saletructiep_UnitedStates.M264.1840.giaotiep_PTATT_LD161</v>
      </c>
      <c r="T880" s="107" t="str">
        <f>IFERROR(__xludf.DUMMYFUNCTION("""COMPUTED_VALUE"""),"https://patadovietnam.edu.vn/gtusa1_nhn/?utm_source=Facebook&amp;utm_medium=MES&amp;utm_term=NEW_UnitedStates_2050_none_160525&amp;utm_content=saletructiep_UnitedStates.M264.1840.giaotiep_PTATT_LD161&amp;utm_campaign=UnitedStates.giaotiep.M264_16917_MES_NamNH_160525")</f>
        <v>https://patadovietnam.edu.vn/gtusa1_nhn/?utm_source=Facebook&amp;utm_medium=MES&amp;utm_term=NEW_UnitedStates_2050_none_160525&amp;utm_content=saletructiep_UnitedStates.M264.1840.giaotiep_PTATT_LD161&amp;utm_campaign=UnitedStates.giaotiep.M264_16917_MES_NamNH_160525</v>
      </c>
      <c r="U880" s="110" t="s">
        <v>7099</v>
      </c>
    </row>
    <row r="881">
      <c r="A881" s="72">
        <v>45812.0</v>
      </c>
      <c r="B881" s="60" t="s">
        <v>1134</v>
      </c>
      <c r="C881" s="67" t="str">
        <f>IFERROR(__xludf.DUMMYFUNCTION("""COMPUTED_VALUE"""),"LD153")</f>
        <v>LD153</v>
      </c>
      <c r="D881" s="55" t="s">
        <v>42</v>
      </c>
      <c r="E881" s="55" t="s">
        <v>79</v>
      </c>
      <c r="F881" s="55" t="s">
        <v>133</v>
      </c>
      <c r="G881" s="55">
        <v>2050.0</v>
      </c>
      <c r="H881" s="55" t="s">
        <v>1137</v>
      </c>
      <c r="I881" s="115" t="s">
        <v>7101</v>
      </c>
      <c r="J881" s="55" t="s">
        <v>7102</v>
      </c>
      <c r="K881" s="55" t="s">
        <v>61</v>
      </c>
      <c r="L881" s="55">
        <v>16917.0</v>
      </c>
      <c r="M881" s="55" t="s">
        <v>78</v>
      </c>
      <c r="N881" s="55" t="s">
        <v>79</v>
      </c>
      <c r="O881" s="55" t="s">
        <v>224</v>
      </c>
      <c r="P881" s="55" t="s">
        <v>110</v>
      </c>
      <c r="Q881" s="67" t="str">
        <f>IFERROR(__xludf.DUMMYFUNCTION("""COMPUTED_VALUE"""),"Japan.Career.M461_16917_MES_NamNH_040625")</f>
        <v>Japan.Career.M461_16917_MES_NamNH_040625</v>
      </c>
      <c r="R881" s="67" t="str">
        <f>IFERROR(__xludf.DUMMYFUNCTION("""COMPUTED_VALUE"""),"NEW_Japan_2050_none_040625")</f>
        <v>NEW_Japan_2050_none_040625</v>
      </c>
      <c r="S881" s="67" t="str">
        <f>IFERROR(__xludf.DUMMYFUNCTION("""COMPUTED_VALUE"""),"saletructiep_Japan.M461.1840.giaotiep_PTATT_LD153")</f>
        <v>saletructiep_Japan.M461.1840.giaotiep_PTATT_LD153</v>
      </c>
      <c r="T881" s="107" t="str">
        <f>IFERROR(__xludf.DUMMYFUNCTION("""COMPUTED_VALUE"""),"https://patadovietnam.edu.vn/tienganhgiaotiep_hn/?utm_source=Facebook&amp;utm_medium=MES&amp;utm_term=NEW_Japan_2050_none_040625&amp;utm_content=saletructiep_Japan.M461.1840.giaotiep_PTATT_LD153&amp;utm_campaign=Japan.Career.M461_16917_MES_NamNH_040625")</f>
        <v>https://patadovietnam.edu.vn/tienganhgiaotiep_hn/?utm_source=Facebook&amp;utm_medium=MES&amp;utm_term=NEW_Japan_2050_none_040625&amp;utm_content=saletructiep_Japan.M461.1840.giaotiep_PTATT_LD153&amp;utm_campaign=Japan.Career.M461_16917_MES_NamNH_040625</v>
      </c>
      <c r="U881" s="116"/>
    </row>
    <row r="882">
      <c r="A882" s="72">
        <v>45812.0</v>
      </c>
      <c r="B882" s="60" t="s">
        <v>1134</v>
      </c>
      <c r="C882" s="67" t="str">
        <f>IFERROR(__xludf.DUMMYFUNCTION("""COMPUTED_VALUE"""),"LD153")</f>
        <v>LD153</v>
      </c>
      <c r="D882" s="55" t="s">
        <v>42</v>
      </c>
      <c r="E882" s="55" t="s">
        <v>69</v>
      </c>
      <c r="F882" s="55" t="s">
        <v>674</v>
      </c>
      <c r="G882" s="55">
        <v>1840.0</v>
      </c>
      <c r="H882" s="55" t="s">
        <v>1137</v>
      </c>
      <c r="I882" s="115" t="s">
        <v>7107</v>
      </c>
      <c r="J882" s="55" t="s">
        <v>7108</v>
      </c>
      <c r="K882" s="55" t="s">
        <v>61</v>
      </c>
      <c r="L882" s="55">
        <v>16917.0</v>
      </c>
      <c r="M882" s="55" t="s">
        <v>78</v>
      </c>
      <c r="N882" s="55" t="s">
        <v>69</v>
      </c>
      <c r="O882" s="55" t="s">
        <v>224</v>
      </c>
      <c r="P882" s="55" t="s">
        <v>110</v>
      </c>
      <c r="Q882" s="67" t="str">
        <f>IFERROR(__xludf.DUMMYFUNCTION("""COMPUTED_VALUE"""),"Europe.giaotiep.M456_16917_CVS_NamNH_040625")</f>
        <v>Europe.giaotiep.M456_16917_CVS_NamNH_040625</v>
      </c>
      <c r="R882" s="67" t="str">
        <f>IFERROR(__xludf.DUMMYFUNCTION("""COMPUTED_VALUE"""),"NEW_Europe_1840_none_040625")</f>
        <v>NEW_Europe_1840_none_040625</v>
      </c>
      <c r="S882" s="67" t="str">
        <f>IFERROR(__xludf.DUMMYFUNCTION("""COMPUTED_VALUE"""),"saletructiep_Europe.M456.1840.giaotiep_PTATT_LD153")</f>
        <v>saletructiep_Europe.M456.1840.giaotiep_PTATT_LD153</v>
      </c>
      <c r="T882" s="107" t="str">
        <f>IFERROR(__xludf.DUMMYFUNCTION("""COMPUTED_VALUE"""),"https://patadovietnam.edu.vn/tienganhgiaotiep_hn/?utm_source=Facebook&amp;utm_medium=CVS&amp;utm_term=NEW_Europe_1840_none_040625&amp;utm_content=saletructiep_Europe.M456.1840.giaotiep_PTATT_LD153&amp;utm_campaign=Europe.giaotiep.M456_16917_CVS_NamNH_040625")</f>
        <v>https://patadovietnam.edu.vn/tienganhgiaotiep_hn/?utm_source=Facebook&amp;utm_medium=CVS&amp;utm_term=NEW_Europe_1840_none_040625&amp;utm_content=saletructiep_Europe.M456.1840.giaotiep_PTATT_LD153&amp;utm_campaign=Europe.giaotiep.M456_16917_CVS_NamNH_040625</v>
      </c>
      <c r="U882" s="110" t="s">
        <v>7111</v>
      </c>
    </row>
    <row r="883">
      <c r="A883" s="72">
        <v>45812.0</v>
      </c>
      <c r="B883" s="60" t="s">
        <v>1134</v>
      </c>
      <c r="C883" s="67" t="str">
        <f>IFERROR(__xludf.DUMMYFUNCTION("""COMPUTED_VALUE"""),"LD153")</f>
        <v>LD153</v>
      </c>
      <c r="D883" s="55" t="s">
        <v>42</v>
      </c>
      <c r="E883" s="55" t="s">
        <v>79</v>
      </c>
      <c r="F883" s="55" t="s">
        <v>674</v>
      </c>
      <c r="G883" s="55">
        <v>2050.0</v>
      </c>
      <c r="H883" s="55" t="s">
        <v>1137</v>
      </c>
      <c r="I883" s="115" t="s">
        <v>7114</v>
      </c>
      <c r="J883" s="55" t="s">
        <v>7115</v>
      </c>
      <c r="K883" s="55" t="s">
        <v>61</v>
      </c>
      <c r="L883" s="55">
        <v>16917.0</v>
      </c>
      <c r="M883" s="55" t="s">
        <v>78</v>
      </c>
      <c r="N883" s="55" t="s">
        <v>79</v>
      </c>
      <c r="O883" s="55" t="s">
        <v>224</v>
      </c>
      <c r="P883" s="55" t="s">
        <v>110</v>
      </c>
      <c r="Q883" s="67" t="str">
        <f>IFERROR(__xludf.DUMMYFUNCTION("""COMPUTED_VALUE"""),"Europe.Career.M461_16917_MES_NamNH_040625")</f>
        <v>Europe.Career.M461_16917_MES_NamNH_040625</v>
      </c>
      <c r="R883" s="67" t="str">
        <f>IFERROR(__xludf.DUMMYFUNCTION("""COMPUTED_VALUE"""),"NEW_Europe_2050_none_040625")</f>
        <v>NEW_Europe_2050_none_040625</v>
      </c>
      <c r="S883" s="67" t="str">
        <f>IFERROR(__xludf.DUMMYFUNCTION("""COMPUTED_VALUE"""),"saletructiep_Europe.M461.1840.giaotiep_PTATT_LD153")</f>
        <v>saletructiep_Europe.M461.1840.giaotiep_PTATT_LD153</v>
      </c>
      <c r="T883" s="107" t="str">
        <f>IFERROR(__xludf.DUMMYFUNCTION("""COMPUTED_VALUE"""),"https://patadovietnam.edu.vn/tienganhgiaotiep_hn/?utm_source=Facebook&amp;utm_medium=MES&amp;utm_term=NEW_Europe_2050_none_040625&amp;utm_content=saletructiep_Europe.M461.1840.giaotiep_PTATT_LD153&amp;utm_campaign=Europe.Career.M461_16917_MES_NamNH_040625")</f>
        <v>https://patadovietnam.edu.vn/tienganhgiaotiep_hn/?utm_source=Facebook&amp;utm_medium=MES&amp;utm_term=NEW_Europe_2050_none_040625&amp;utm_content=saletructiep_Europe.M461.1840.giaotiep_PTATT_LD153&amp;utm_campaign=Europe.Career.M461_16917_MES_NamNH_040625</v>
      </c>
      <c r="U883" s="116"/>
    </row>
    <row r="884">
      <c r="A884" s="72">
        <v>45812.0</v>
      </c>
      <c r="B884" s="60" t="s">
        <v>1134</v>
      </c>
      <c r="C884" s="67" t="str">
        <f>IFERROR(__xludf.DUMMYFUNCTION("""COMPUTED_VALUE"""),"LD153")</f>
        <v>LD153</v>
      </c>
      <c r="D884" s="55" t="s">
        <v>42</v>
      </c>
      <c r="E884" s="55" t="s">
        <v>79</v>
      </c>
      <c r="F884" s="55" t="s">
        <v>539</v>
      </c>
      <c r="G884" s="55">
        <v>2050.0</v>
      </c>
      <c r="H884" s="55" t="s">
        <v>1137</v>
      </c>
      <c r="I884" s="115" t="s">
        <v>7121</v>
      </c>
      <c r="J884" s="55" t="s">
        <v>7122</v>
      </c>
      <c r="K884" s="55" t="s">
        <v>61</v>
      </c>
      <c r="L884" s="55">
        <v>16917.0</v>
      </c>
      <c r="M884" s="55" t="s">
        <v>78</v>
      </c>
      <c r="N884" s="55" t="s">
        <v>79</v>
      </c>
      <c r="O884" s="55" t="s">
        <v>224</v>
      </c>
      <c r="P884" s="55" t="s">
        <v>110</v>
      </c>
      <c r="Q884" s="67" t="str">
        <f>IFERROR(__xludf.DUMMYFUNCTION("""COMPUTED_VALUE"""),"ALL.Career.M461_16917_MES_NamNH_040625")</f>
        <v>ALL.Career.M461_16917_MES_NamNH_040625</v>
      </c>
      <c r="R884" s="67" t="str">
        <f>IFERROR(__xludf.DUMMYFUNCTION("""COMPUTED_VALUE"""),"NEW_ALL_2050_none_040625")</f>
        <v>NEW_ALL_2050_none_040625</v>
      </c>
      <c r="S884" s="67" t="str">
        <f>IFERROR(__xludf.DUMMYFUNCTION("""COMPUTED_VALUE"""),"saletructiep_ALL.M461.1840.giaotiep_PTATT_LD153")</f>
        <v>saletructiep_ALL.M461.1840.giaotiep_PTATT_LD153</v>
      </c>
      <c r="T884" s="107" t="str">
        <f>IFERROR(__xludf.DUMMYFUNCTION("""COMPUTED_VALUE"""),"https://patadovietnam.edu.vn/tienganhgiaotiep_hn/?utm_source=Facebook&amp;utm_medium=MES&amp;utm_term=NEW_ALL_2050_none_040625&amp;utm_content=saletructiep_ALL.M461.1840.giaotiep_PTATT_LD153&amp;utm_campaign=ALL.Career.M461_16917_MES_NamNH_040625")</f>
        <v>https://patadovietnam.edu.vn/tienganhgiaotiep_hn/?utm_source=Facebook&amp;utm_medium=MES&amp;utm_term=NEW_ALL_2050_none_040625&amp;utm_content=saletructiep_ALL.M461.1840.giaotiep_PTATT_LD153&amp;utm_campaign=ALL.Career.M461_16917_MES_NamNH_040625</v>
      </c>
      <c r="U884" s="116"/>
    </row>
    <row r="885">
      <c r="A885" s="72">
        <v>45812.0</v>
      </c>
      <c r="B885" s="60" t="s">
        <v>1134</v>
      </c>
      <c r="C885" s="67" t="str">
        <f>IFERROR(__xludf.DUMMYFUNCTION("""COMPUTED_VALUE"""),"LD153")</f>
        <v>LD153</v>
      </c>
      <c r="D885" s="55" t="s">
        <v>42</v>
      </c>
      <c r="E885" s="55" t="s">
        <v>79</v>
      </c>
      <c r="F885" s="55" t="s">
        <v>133</v>
      </c>
      <c r="G885" s="55">
        <v>2050.0</v>
      </c>
      <c r="H885" s="55" t="s">
        <v>1137</v>
      </c>
      <c r="I885" s="115" t="s">
        <v>7130</v>
      </c>
      <c r="J885" s="55" t="s">
        <v>7131</v>
      </c>
      <c r="K885" s="55" t="s">
        <v>61</v>
      </c>
      <c r="L885" s="55">
        <v>16917.0</v>
      </c>
      <c r="M885" s="55" t="s">
        <v>78</v>
      </c>
      <c r="N885" s="55" t="s">
        <v>79</v>
      </c>
      <c r="O885" s="55" t="s">
        <v>224</v>
      </c>
      <c r="P885" s="55" t="s">
        <v>110</v>
      </c>
      <c r="Q885" s="67" t="str">
        <f>IFERROR(__xludf.DUMMYFUNCTION("""COMPUTED_VALUE"""),"Japan.Career.M462_16917_MES_NamNH_040625")</f>
        <v>Japan.Career.M462_16917_MES_NamNH_040625</v>
      </c>
      <c r="R885" s="67" t="str">
        <f>IFERROR(__xludf.DUMMYFUNCTION("""COMPUTED_VALUE"""),"NEW_Japan_2050_none_040625")</f>
        <v>NEW_Japan_2050_none_040625</v>
      </c>
      <c r="S885" s="67" t="str">
        <f>IFERROR(__xludf.DUMMYFUNCTION("""COMPUTED_VALUE"""),"saletructiep_Japan.M462.1840.giaotiep_PTATT_LD153")</f>
        <v>saletructiep_Japan.M462.1840.giaotiep_PTATT_LD153</v>
      </c>
      <c r="T885" s="107" t="str">
        <f>IFERROR(__xludf.DUMMYFUNCTION("""COMPUTED_VALUE"""),"https://patadovietnam.edu.vn/tienganhgiaotiep_hn/?utm_source=Facebook&amp;utm_medium=MES&amp;utm_term=NEW_Japan_2050_none_040625&amp;utm_content=saletructiep_Japan.M462.1840.giaotiep_PTATT_LD153&amp;utm_campaign=Japan.Career.M462_16917_MES_NamNH_040625")</f>
        <v>https://patadovietnam.edu.vn/tienganhgiaotiep_hn/?utm_source=Facebook&amp;utm_medium=MES&amp;utm_term=NEW_Japan_2050_none_040625&amp;utm_content=saletructiep_Japan.M462.1840.giaotiep_PTATT_LD153&amp;utm_campaign=Japan.Career.M462_16917_MES_NamNH_040625</v>
      </c>
      <c r="U885" s="116"/>
    </row>
    <row r="886">
      <c r="A886" s="72">
        <v>45812.0</v>
      </c>
      <c r="B886" s="60" t="s">
        <v>1134</v>
      </c>
      <c r="C886" s="67" t="str">
        <f>IFERROR(__xludf.DUMMYFUNCTION("""COMPUTED_VALUE"""),"LD153")</f>
        <v>LD153</v>
      </c>
      <c r="D886" s="55" t="s">
        <v>42</v>
      </c>
      <c r="E886" s="55" t="s">
        <v>79</v>
      </c>
      <c r="F886" s="55" t="s">
        <v>674</v>
      </c>
      <c r="G886" s="55">
        <v>2050.0</v>
      </c>
      <c r="H886" s="55" t="s">
        <v>1137</v>
      </c>
      <c r="I886" s="115" t="s">
        <v>7136</v>
      </c>
      <c r="J886" s="55" t="s">
        <v>7137</v>
      </c>
      <c r="K886" s="55" t="s">
        <v>61</v>
      </c>
      <c r="L886" s="55">
        <v>16917.0</v>
      </c>
      <c r="M886" s="55" t="s">
        <v>78</v>
      </c>
      <c r="N886" s="55" t="s">
        <v>79</v>
      </c>
      <c r="O886" s="55" t="s">
        <v>224</v>
      </c>
      <c r="P886" s="55" t="s">
        <v>110</v>
      </c>
      <c r="Q886" s="67" t="str">
        <f>IFERROR(__xludf.DUMMYFUNCTION("""COMPUTED_VALUE"""),"Europe.Career.M462_16917_MES_NamNH_040625")</f>
        <v>Europe.Career.M462_16917_MES_NamNH_040625</v>
      </c>
      <c r="R886" s="67" t="str">
        <f>IFERROR(__xludf.DUMMYFUNCTION("""COMPUTED_VALUE"""),"NEW_Europe_2050_none_040625")</f>
        <v>NEW_Europe_2050_none_040625</v>
      </c>
      <c r="S886" s="67" t="str">
        <f>IFERROR(__xludf.DUMMYFUNCTION("""COMPUTED_VALUE"""),"saletructiep_Europe.M462.1840.Career_PTATT_LD153")</f>
        <v>saletructiep_Europe.M462.1840.Career_PTATT_LD153</v>
      </c>
      <c r="T886" s="107" t="str">
        <f>IFERROR(__xludf.DUMMYFUNCTION("""COMPUTED_VALUE"""),"https://patadovietnam.edu.vn/tienganhgiaotiep_hn/?utm_source=Facebook&amp;utm_medium=MES&amp;utm_term=NEW_Europe_2050_none_040625&amp;utm_content=saletructiep_Europe.M462.1840.Career_PTATT_LD153&amp;utm_campaign=Europe.Career.M462_16917_MES_NamNH_040625")</f>
        <v>https://patadovietnam.edu.vn/tienganhgiaotiep_hn/?utm_source=Facebook&amp;utm_medium=MES&amp;utm_term=NEW_Europe_2050_none_040625&amp;utm_content=saletructiep_Europe.M462.1840.Career_PTATT_LD153&amp;utm_campaign=Europe.Career.M462_16917_MES_NamNH_040625</v>
      </c>
      <c r="U886" s="116"/>
    </row>
    <row r="887">
      <c r="A887" s="72">
        <v>45812.0</v>
      </c>
      <c r="B887" s="60" t="s">
        <v>1134</v>
      </c>
      <c r="C887" s="67" t="str">
        <f>IFERROR(__xludf.DUMMYFUNCTION("""COMPUTED_VALUE"""),"LD153")</f>
        <v>LD153</v>
      </c>
      <c r="D887" s="55" t="s">
        <v>42</v>
      </c>
      <c r="E887" s="55" t="s">
        <v>79</v>
      </c>
      <c r="F887" s="55" t="s">
        <v>539</v>
      </c>
      <c r="G887" s="55">
        <v>2050.0</v>
      </c>
      <c r="H887" s="55" t="s">
        <v>1137</v>
      </c>
      <c r="I887" s="115" t="s">
        <v>7143</v>
      </c>
      <c r="J887" s="55" t="s">
        <v>7145</v>
      </c>
      <c r="K887" s="55" t="s">
        <v>61</v>
      </c>
      <c r="L887" s="55">
        <v>16917.0</v>
      </c>
      <c r="M887" s="55" t="s">
        <v>78</v>
      </c>
      <c r="N887" s="55" t="s">
        <v>79</v>
      </c>
      <c r="O887" s="55" t="s">
        <v>224</v>
      </c>
      <c r="P887" s="55" t="s">
        <v>110</v>
      </c>
      <c r="Q887" s="67" t="str">
        <f>IFERROR(__xludf.DUMMYFUNCTION("""COMPUTED_VALUE"""),"ALL.Career.M462_16917_MES_NamNH_040625")</f>
        <v>ALL.Career.M462_16917_MES_NamNH_040625</v>
      </c>
      <c r="R887" s="67" t="str">
        <f>IFERROR(__xludf.DUMMYFUNCTION("""COMPUTED_VALUE"""),"NEW_ALL_2050_none_040625")</f>
        <v>NEW_ALL_2050_none_040625</v>
      </c>
      <c r="S887" s="67" t="str">
        <f>IFERROR(__xludf.DUMMYFUNCTION("""COMPUTED_VALUE"""),"saletructiep_ALL.M462.1840.Career_PTATT_LD153")</f>
        <v>saletructiep_ALL.M462.1840.Career_PTATT_LD153</v>
      </c>
      <c r="T887" s="107" t="str">
        <f>IFERROR(__xludf.DUMMYFUNCTION("""COMPUTED_VALUE"""),"https://patadovietnam.edu.vn/tienganhgiaotiep_hn/?utm_source=Facebook&amp;utm_medium=MES&amp;utm_term=NEW_ALL_2050_none_040625&amp;utm_content=saletructiep_ALL.M462.1840.Career_PTATT_LD153&amp;utm_campaign=ALL.Career.M462_16917_MES_NamNH_040625")</f>
        <v>https://patadovietnam.edu.vn/tienganhgiaotiep_hn/?utm_source=Facebook&amp;utm_medium=MES&amp;utm_term=NEW_ALL_2050_none_040625&amp;utm_content=saletructiep_ALL.M462.1840.Career_PTATT_LD153&amp;utm_campaign=ALL.Career.M462_16917_MES_NamNH_040625</v>
      </c>
      <c r="U887" s="116"/>
    </row>
    <row r="888">
      <c r="A888" s="72">
        <v>45812.0</v>
      </c>
      <c r="B888" s="60" t="s">
        <v>1134</v>
      </c>
      <c r="C888" s="67" t="str">
        <f>IFERROR(__xludf.DUMMYFUNCTION("""COMPUTED_VALUE"""),"LD153")</f>
        <v>LD153</v>
      </c>
      <c r="D888" s="55" t="s">
        <v>42</v>
      </c>
      <c r="E888" s="55" t="s">
        <v>69</v>
      </c>
      <c r="F888" s="55" t="s">
        <v>133</v>
      </c>
      <c r="G888" s="55">
        <v>1840.0</v>
      </c>
      <c r="H888" s="55" t="s">
        <v>1137</v>
      </c>
      <c r="I888" s="115" t="s">
        <v>7152</v>
      </c>
      <c r="J888" s="55" t="s">
        <v>7153</v>
      </c>
      <c r="K888" s="55" t="s">
        <v>61</v>
      </c>
      <c r="L888" s="55">
        <v>16917.0</v>
      </c>
      <c r="M888" s="55" t="s">
        <v>78</v>
      </c>
      <c r="N888" s="55" t="s">
        <v>69</v>
      </c>
      <c r="O888" s="55" t="s">
        <v>224</v>
      </c>
      <c r="P888" s="55" t="s">
        <v>110</v>
      </c>
      <c r="Q888" s="67" t="str">
        <f>IFERROR(__xludf.DUMMYFUNCTION("""COMPUTED_VALUE"""),"Japan.giaotiep.M456_16917_CVS_NamNH_040625")</f>
        <v>Japan.giaotiep.M456_16917_CVS_NamNH_040625</v>
      </c>
      <c r="R888" s="67" t="str">
        <f>IFERROR(__xludf.DUMMYFUNCTION("""COMPUTED_VALUE"""),"NEW_Japan_1840_none_040625")</f>
        <v>NEW_Japan_1840_none_040625</v>
      </c>
      <c r="S888" s="67" t="str">
        <f>IFERROR(__xludf.DUMMYFUNCTION("""COMPUTED_VALUE"""),"saletructiep_Japan.M456.1840.giaotiep_PTATT_LD153")</f>
        <v>saletructiep_Japan.M456.1840.giaotiep_PTATT_LD153</v>
      </c>
      <c r="T888" s="107" t="str">
        <f>IFERROR(__xludf.DUMMYFUNCTION("""COMPUTED_VALUE"""),"https://patadovietnam.edu.vn/tienganhgiaotiep_hn/?utm_source=Facebook&amp;utm_medium=CVS&amp;utm_term=NEW_Japan_1840_none_040625&amp;utm_content=saletructiep_Japan.M456.1840.giaotiep_PTATT_LD153&amp;utm_campaign=Japan.giaotiep.M456_16917_CVS_NamNH_040625")</f>
        <v>https://patadovietnam.edu.vn/tienganhgiaotiep_hn/?utm_source=Facebook&amp;utm_medium=CVS&amp;utm_term=NEW_Japan_1840_none_040625&amp;utm_content=saletructiep_Japan.M456.1840.giaotiep_PTATT_LD153&amp;utm_campaign=Japan.giaotiep.M456_16917_CVS_NamNH_040625</v>
      </c>
      <c r="U888" s="110" t="s">
        <v>7157</v>
      </c>
    </row>
    <row r="889">
      <c r="A889" s="72">
        <v>45812.0</v>
      </c>
      <c r="B889" s="60" t="s">
        <v>1134</v>
      </c>
      <c r="C889" s="67" t="str">
        <f>IFERROR(__xludf.DUMMYFUNCTION("""COMPUTED_VALUE"""),"LD153")</f>
        <v>LD153</v>
      </c>
      <c r="D889" s="55" t="s">
        <v>42</v>
      </c>
      <c r="E889" s="55" t="s">
        <v>79</v>
      </c>
      <c r="F889" s="55" t="s">
        <v>107</v>
      </c>
      <c r="G889" s="55">
        <v>2050.0</v>
      </c>
      <c r="H889" s="55" t="s">
        <v>1137</v>
      </c>
      <c r="I889" s="115" t="s">
        <v>7160</v>
      </c>
      <c r="J889" s="55" t="s">
        <v>7161</v>
      </c>
      <c r="K889" s="55" t="s">
        <v>61</v>
      </c>
      <c r="L889" s="55">
        <v>16917.0</v>
      </c>
      <c r="M889" s="55" t="s">
        <v>78</v>
      </c>
      <c r="N889" s="55" t="s">
        <v>79</v>
      </c>
      <c r="O889" s="55" t="s">
        <v>224</v>
      </c>
      <c r="P889" s="55" t="s">
        <v>110</v>
      </c>
      <c r="Q889" s="67" t="str">
        <f>IFERROR(__xludf.DUMMYFUNCTION("""COMPUTED_VALUE"""),"UnitedStates.giaotiep.M456_16917_MES_NamNH_040625")</f>
        <v>UnitedStates.giaotiep.M456_16917_MES_NamNH_040625</v>
      </c>
      <c r="R889" s="67" t="str">
        <f>IFERROR(__xludf.DUMMYFUNCTION("""COMPUTED_VALUE"""),"NEW_UnitedStates_2050_none_040625")</f>
        <v>NEW_UnitedStates_2050_none_040625</v>
      </c>
      <c r="S889" s="67" t="str">
        <f>IFERROR(__xludf.DUMMYFUNCTION("""COMPUTED_VALUE"""),"saletructiep_UnitedStates.M456.1840.giaotiep_PTATT_LD153")</f>
        <v>saletructiep_UnitedStates.M456.1840.giaotiep_PTATT_LD153</v>
      </c>
      <c r="T889" s="107" t="str">
        <f>IFERROR(__xludf.DUMMYFUNCTION("""COMPUTED_VALUE"""),"https://patadovietnam.edu.vn/tienganhgiaotiep_hn/?utm_source=Facebook&amp;utm_medium=MES&amp;utm_term=NEW_UnitedStates_2050_none_040625&amp;utm_content=saletructiep_UnitedStates.M456.1840.giaotiep_PTATT_LD153&amp;utm_campaign=UnitedStates.giaotiep.M456_16917_MES_NamNH_04"&amp;"0625")</f>
        <v>https://patadovietnam.edu.vn/tienganhgiaotiep_hn/?utm_source=Facebook&amp;utm_medium=MES&amp;utm_term=NEW_UnitedStates_2050_none_040625&amp;utm_content=saletructiep_UnitedStates.M456.1840.giaotiep_PTATT_LD153&amp;utm_campaign=UnitedStates.giaotiep.M456_16917_MES_NamNH_040625</v>
      </c>
      <c r="U889" s="110" t="s">
        <v>7167</v>
      </c>
    </row>
    <row r="890">
      <c r="A890" s="72">
        <v>45813.0</v>
      </c>
      <c r="B890" s="60" t="s">
        <v>1229</v>
      </c>
      <c r="C890" s="67" t="str">
        <f>IFERROR(__xludf.DUMMYFUNCTION("""COMPUTED_VALUE"""),"LD164")</f>
        <v>LD164</v>
      </c>
      <c r="D890" s="55" t="s">
        <v>42</v>
      </c>
      <c r="E890" s="55" t="s">
        <v>69</v>
      </c>
      <c r="F890" s="55" t="s">
        <v>133</v>
      </c>
      <c r="G890" s="55">
        <v>1840.0</v>
      </c>
      <c r="H890" s="55" t="s">
        <v>1137</v>
      </c>
      <c r="I890" s="115" t="s">
        <v>7171</v>
      </c>
      <c r="J890" s="55" t="s">
        <v>7172</v>
      </c>
      <c r="K890" s="55" t="s">
        <v>61</v>
      </c>
      <c r="L890" s="55">
        <v>16917.0</v>
      </c>
      <c r="M890" s="55" t="s">
        <v>78</v>
      </c>
      <c r="N890" s="55" t="s">
        <v>69</v>
      </c>
      <c r="O890" s="55" t="s">
        <v>224</v>
      </c>
      <c r="P890" s="55" t="s">
        <v>110</v>
      </c>
      <c r="Q890" s="67" t="str">
        <f>IFERROR(__xludf.DUMMYFUNCTION("""COMPUTED_VALUE"""),"Japan.giaotiep.M463_16917_CVS_NamNH_050625")</f>
        <v>Japan.giaotiep.M463_16917_CVS_NamNH_050625</v>
      </c>
      <c r="R890" s="67" t="str">
        <f>IFERROR(__xludf.DUMMYFUNCTION("""COMPUTED_VALUE"""),"NEW_Japan_1840_none_050625")</f>
        <v>NEW_Japan_1840_none_050625</v>
      </c>
      <c r="S890" s="67" t="str">
        <f>IFERROR(__xludf.DUMMYFUNCTION("""COMPUTED_VALUE"""),"saletructiep_Japan.M463.1840.giaotiep_PTATT_LD164")</f>
        <v>saletructiep_Japan.M463.1840.giaotiep_PTATT_LD164</v>
      </c>
      <c r="T890" s="107" t="str">
        <f>IFERROR(__xludf.DUMMYFUNCTION("""COMPUTED_VALUE"""),"https://patadovietnam.edu.vn/gtjapan_nhn3/?utm_source=Facebook&amp;utm_medium=CVS&amp;utm_term=NEW_Japan_1840_none_050625&amp;utm_content=saletructiep_Japan.M463.1840.giaotiep_PTATT_LD164&amp;utm_campaign=Japan.giaotiep.M463_16917_CVS_NamNH_050625")</f>
        <v>https://patadovietnam.edu.vn/gtjapan_nhn3/?utm_source=Facebook&amp;utm_medium=CVS&amp;utm_term=NEW_Japan_1840_none_050625&amp;utm_content=saletructiep_Japan.M463.1840.giaotiep_PTATT_LD164&amp;utm_campaign=Japan.giaotiep.M463_16917_CVS_NamNH_050625</v>
      </c>
      <c r="U890" s="110" t="s">
        <v>7178</v>
      </c>
    </row>
    <row r="891">
      <c r="A891" s="72">
        <v>45813.0</v>
      </c>
      <c r="B891" s="60" t="s">
        <v>1134</v>
      </c>
      <c r="C891" s="67" t="str">
        <f>IFERROR(__xludf.DUMMYFUNCTION("""COMPUTED_VALUE"""),"LD153")</f>
        <v>LD153</v>
      </c>
      <c r="D891" s="55" t="s">
        <v>42</v>
      </c>
      <c r="E891" s="55" t="s">
        <v>69</v>
      </c>
      <c r="F891" s="55" t="s">
        <v>674</v>
      </c>
      <c r="G891" s="55">
        <v>1840.0</v>
      </c>
      <c r="H891" s="55" t="s">
        <v>1137</v>
      </c>
      <c r="I891" s="115" t="s">
        <v>7179</v>
      </c>
      <c r="J891" s="55" t="s">
        <v>7180</v>
      </c>
      <c r="K891" s="55" t="s">
        <v>61</v>
      </c>
      <c r="L891" s="55">
        <v>16917.0</v>
      </c>
      <c r="M891" s="55" t="s">
        <v>78</v>
      </c>
      <c r="N891" s="55" t="s">
        <v>69</v>
      </c>
      <c r="O891" s="55" t="s">
        <v>224</v>
      </c>
      <c r="P891" s="55" t="s">
        <v>110</v>
      </c>
      <c r="Q891" s="67" t="str">
        <f>IFERROR(__xludf.DUMMYFUNCTION("""COMPUTED_VALUE"""),"Europe.giaotiep.M463_16917_CVS_NamNH_050625")</f>
        <v>Europe.giaotiep.M463_16917_CVS_NamNH_050625</v>
      </c>
      <c r="R891" s="67" t="str">
        <f>IFERROR(__xludf.DUMMYFUNCTION("""COMPUTED_VALUE"""),"NEW_Europe_1840_none_050625")</f>
        <v>NEW_Europe_1840_none_050625</v>
      </c>
      <c r="S891" s="67" t="str">
        <f>IFERROR(__xludf.DUMMYFUNCTION("""COMPUTED_VALUE"""),"saletructiep_Europe.M463.1840.giaotiep_PTATT_LD153")</f>
        <v>saletructiep_Europe.M463.1840.giaotiep_PTATT_LD153</v>
      </c>
      <c r="T891" s="107" t="str">
        <f>IFERROR(__xludf.DUMMYFUNCTION("""COMPUTED_VALUE"""),"https://patadovietnam.edu.vn/tienganhgiaotiep_hn/?utm_source=Facebook&amp;utm_medium=CVS&amp;utm_term=NEW_Europe_1840_none_050625&amp;utm_content=saletructiep_Europe.M463.1840.giaotiep_PTATT_LD153&amp;utm_campaign=Europe.giaotiep.M463_16917_CVS_NamNH_050625")</f>
        <v>https://patadovietnam.edu.vn/tienganhgiaotiep_hn/?utm_source=Facebook&amp;utm_medium=CVS&amp;utm_term=NEW_Europe_1840_none_050625&amp;utm_content=saletructiep_Europe.M463.1840.giaotiep_PTATT_LD153&amp;utm_campaign=Europe.giaotiep.M463_16917_CVS_NamNH_050625</v>
      </c>
      <c r="U891" s="111" t="s">
        <v>7185</v>
      </c>
    </row>
    <row r="892">
      <c r="A892" s="72">
        <v>45813.0</v>
      </c>
      <c r="B892" s="60" t="s">
        <v>1134</v>
      </c>
      <c r="C892" s="67" t="str">
        <f>IFERROR(__xludf.DUMMYFUNCTION("""COMPUTED_VALUE"""),"LD153")</f>
        <v>LD153</v>
      </c>
      <c r="D892" s="55" t="s">
        <v>42</v>
      </c>
      <c r="E892" s="55" t="s">
        <v>79</v>
      </c>
      <c r="F892" s="55" t="s">
        <v>164</v>
      </c>
      <c r="G892" s="55">
        <v>2050.0</v>
      </c>
      <c r="H892" s="55" t="s">
        <v>1137</v>
      </c>
      <c r="I892" s="115" t="s">
        <v>7186</v>
      </c>
      <c r="J892" s="55" t="s">
        <v>7187</v>
      </c>
      <c r="K892" s="55" t="s">
        <v>61</v>
      </c>
      <c r="L892" s="55">
        <v>16917.0</v>
      </c>
      <c r="M892" s="55" t="s">
        <v>78</v>
      </c>
      <c r="N892" s="55" t="s">
        <v>79</v>
      </c>
      <c r="O892" s="55" t="s">
        <v>224</v>
      </c>
      <c r="P892" s="55" t="s">
        <v>110</v>
      </c>
      <c r="Q892" s="67" t="str">
        <f>IFERROR(__xludf.DUMMYFUNCTION("""COMPUTED_VALUE"""),"Taiwan.giaotiep.M463_16917_MES_NamNH_050625")</f>
        <v>Taiwan.giaotiep.M463_16917_MES_NamNH_050625</v>
      </c>
      <c r="R892" s="67" t="str">
        <f>IFERROR(__xludf.DUMMYFUNCTION("""COMPUTED_VALUE"""),"NEW_Taiwan_2050_none_050625")</f>
        <v>NEW_Taiwan_2050_none_050625</v>
      </c>
      <c r="S892" s="67" t="str">
        <f>IFERROR(__xludf.DUMMYFUNCTION("""COMPUTED_VALUE"""),"saletructiep_Taiwan.M463.1840.giaotiep_PTATT_LD153")</f>
        <v>saletructiep_Taiwan.M463.1840.giaotiep_PTATT_LD153</v>
      </c>
      <c r="T892" s="107" t="str">
        <f>IFERROR(__xludf.DUMMYFUNCTION("""COMPUTED_VALUE"""),"https://patadovietnam.edu.vn/tienganhgiaotiep_hn/?utm_source=Facebook&amp;utm_medium=MES&amp;utm_term=NEW_Taiwan_2050_none_050625&amp;utm_content=saletructiep_Taiwan.M463.1840.giaotiep_PTATT_LD153&amp;utm_campaign=Taiwan.giaotiep.M463_16917_MES_NamNH_050625")</f>
        <v>https://patadovietnam.edu.vn/tienganhgiaotiep_hn/?utm_source=Facebook&amp;utm_medium=MES&amp;utm_term=NEW_Taiwan_2050_none_050625&amp;utm_content=saletructiep_Taiwan.M463.1840.giaotiep_PTATT_LD153&amp;utm_campaign=Taiwan.giaotiep.M463_16917_MES_NamNH_050625</v>
      </c>
      <c r="U892" s="110" t="s">
        <v>7190</v>
      </c>
    </row>
    <row r="893">
      <c r="A893" s="72">
        <v>45813.0</v>
      </c>
      <c r="B893" s="60" t="s">
        <v>1134</v>
      </c>
      <c r="C893" s="67" t="str">
        <f>IFERROR(__xludf.DUMMYFUNCTION("""COMPUTED_VALUE"""),"LD153")</f>
        <v>LD153</v>
      </c>
      <c r="D893" s="55" t="s">
        <v>42</v>
      </c>
      <c r="E893" s="55" t="s">
        <v>79</v>
      </c>
      <c r="F893" s="55" t="s">
        <v>625</v>
      </c>
      <c r="G893" s="55">
        <v>2050.0</v>
      </c>
      <c r="H893" s="55" t="s">
        <v>1137</v>
      </c>
      <c r="I893" s="115" t="s">
        <v>7195</v>
      </c>
      <c r="J893" s="55" t="s">
        <v>7196</v>
      </c>
      <c r="K893" s="55" t="s">
        <v>61</v>
      </c>
      <c r="L893" s="55">
        <v>16917.0</v>
      </c>
      <c r="M893" s="55" t="s">
        <v>78</v>
      </c>
      <c r="N893" s="55" t="s">
        <v>79</v>
      </c>
      <c r="O893" s="55" t="s">
        <v>224</v>
      </c>
      <c r="P893" s="55" t="s">
        <v>110</v>
      </c>
      <c r="Q893" s="67" t="str">
        <f>IFERROR(__xludf.DUMMYFUNCTION("""COMPUTED_VALUE"""),"KoreaSouth.giaotiep.M463_16917_MES_NamNH_050625")</f>
        <v>KoreaSouth.giaotiep.M463_16917_MES_NamNH_050625</v>
      </c>
      <c r="R893" s="67" t="str">
        <f>IFERROR(__xludf.DUMMYFUNCTION("""COMPUTED_VALUE"""),"NEW_KoreaSouth_2050_none_050625")</f>
        <v>NEW_KoreaSouth_2050_none_050625</v>
      </c>
      <c r="S893" s="67" t="str">
        <f>IFERROR(__xludf.DUMMYFUNCTION("""COMPUTED_VALUE"""),"saletructiep_KoreaSouth.M463.1840.giaotiep_PTATT_LD153")</f>
        <v>saletructiep_KoreaSouth.M463.1840.giaotiep_PTATT_LD153</v>
      </c>
      <c r="T893" s="107" t="str">
        <f>IFERROR(__xludf.DUMMYFUNCTION("""COMPUTED_VALUE"""),"https://patadovietnam.edu.vn/tienganhgiaotiep_hn/?utm_source=Facebook&amp;utm_medium=MES&amp;utm_term=NEW_KoreaSouth_2050_none_050625&amp;utm_content=saletructiep_KoreaSouth.M463.1840.giaotiep_PTATT_LD153&amp;utm_campaign=KoreaSouth.giaotiep.M463_16917_MES_NamNH_050625")</f>
        <v>https://patadovietnam.edu.vn/tienganhgiaotiep_hn/?utm_source=Facebook&amp;utm_medium=MES&amp;utm_term=NEW_KoreaSouth_2050_none_050625&amp;utm_content=saletructiep_KoreaSouth.M463.1840.giaotiep_PTATT_LD153&amp;utm_campaign=KoreaSouth.giaotiep.M463_16917_MES_NamNH_050625</v>
      </c>
      <c r="U893" s="110" t="s">
        <v>7200</v>
      </c>
    </row>
    <row r="894">
      <c r="A894" s="72">
        <v>45813.0</v>
      </c>
      <c r="B894" s="60" t="s">
        <v>1134</v>
      </c>
      <c r="C894" s="67" t="str">
        <f>IFERROR(__xludf.DUMMYFUNCTION("""COMPUTED_VALUE"""),"LD153")</f>
        <v>LD153</v>
      </c>
      <c r="D894" s="55" t="s">
        <v>42</v>
      </c>
      <c r="E894" s="55" t="s">
        <v>69</v>
      </c>
      <c r="F894" s="55" t="s">
        <v>674</v>
      </c>
      <c r="G894" s="55">
        <v>1840.0</v>
      </c>
      <c r="H894" s="55" t="s">
        <v>1137</v>
      </c>
      <c r="I894" s="115" t="s">
        <v>7203</v>
      </c>
      <c r="J894" s="55" t="s">
        <v>7204</v>
      </c>
      <c r="K894" s="55" t="s">
        <v>61</v>
      </c>
      <c r="L894" s="55">
        <v>16917.0</v>
      </c>
      <c r="M894" s="55" t="s">
        <v>78</v>
      </c>
      <c r="N894" s="55" t="s">
        <v>69</v>
      </c>
      <c r="O894" s="55" t="s">
        <v>224</v>
      </c>
      <c r="P894" s="55" t="s">
        <v>110</v>
      </c>
      <c r="Q894" s="67" t="str">
        <f>IFERROR(__xludf.DUMMYFUNCTION("""COMPUTED_VALUE"""),"Europe.giaotiep.M451_16917_CVS_NamNH_050625")</f>
        <v>Europe.giaotiep.M451_16917_CVS_NamNH_050625</v>
      </c>
      <c r="R894" s="67" t="str">
        <f>IFERROR(__xludf.DUMMYFUNCTION("""COMPUTED_VALUE"""),"NEW_Europe_1840_none_050625")</f>
        <v>NEW_Europe_1840_none_050625</v>
      </c>
      <c r="S894" s="67" t="str">
        <f>IFERROR(__xludf.DUMMYFUNCTION("""COMPUTED_VALUE"""),"saletructiep_Europe.M451.1840.giaotiep_PTATT_LD153")</f>
        <v>saletructiep_Europe.M451.1840.giaotiep_PTATT_LD153</v>
      </c>
      <c r="T894" s="107" t="str">
        <f>IFERROR(__xludf.DUMMYFUNCTION("""COMPUTED_VALUE"""),"https://patadovietnam.edu.vn/tienganhgiaotiep_hn/?utm_source=Facebook&amp;utm_medium=CVS&amp;utm_term=NEW_Europe_1840_none_050625&amp;utm_content=saletructiep_Europe.M451.1840.giaotiep_PTATT_LD153&amp;utm_campaign=Europe.giaotiep.M451_16917_CVS_NamNH_050625")</f>
        <v>https://patadovietnam.edu.vn/tienganhgiaotiep_hn/?utm_source=Facebook&amp;utm_medium=CVS&amp;utm_term=NEW_Europe_1840_none_050625&amp;utm_content=saletructiep_Europe.M451.1840.giaotiep_PTATT_LD153&amp;utm_campaign=Europe.giaotiep.M451_16917_CVS_NamNH_050625</v>
      </c>
      <c r="U894" s="110" t="s">
        <v>7208</v>
      </c>
    </row>
    <row r="895">
      <c r="A895" s="72">
        <v>45813.0</v>
      </c>
      <c r="B895" s="60" t="s">
        <v>1134</v>
      </c>
      <c r="C895" s="67" t="str">
        <f>IFERROR(__xludf.DUMMYFUNCTION("""COMPUTED_VALUE"""),"LD153")</f>
        <v>LD153</v>
      </c>
      <c r="D895" s="55" t="s">
        <v>42</v>
      </c>
      <c r="E895" s="55" t="s">
        <v>69</v>
      </c>
      <c r="F895" s="55" t="s">
        <v>674</v>
      </c>
      <c r="G895" s="55">
        <v>1840.0</v>
      </c>
      <c r="H895" s="55" t="s">
        <v>1137</v>
      </c>
      <c r="I895" s="115" t="s">
        <v>7215</v>
      </c>
      <c r="J895" s="55" t="s">
        <v>7216</v>
      </c>
      <c r="K895" s="55" t="s">
        <v>61</v>
      </c>
      <c r="L895" s="55">
        <v>16917.0</v>
      </c>
      <c r="M895" s="55" t="s">
        <v>78</v>
      </c>
      <c r="N895" s="55" t="s">
        <v>69</v>
      </c>
      <c r="O895" s="55" t="s">
        <v>224</v>
      </c>
      <c r="P895" s="55" t="s">
        <v>110</v>
      </c>
      <c r="Q895" s="67" t="str">
        <f>IFERROR(__xludf.DUMMYFUNCTION("""COMPUTED_VALUE"""),"Europe.giaotiep.M447_16917_CVS_NamNH_050625")</f>
        <v>Europe.giaotiep.M447_16917_CVS_NamNH_050625</v>
      </c>
      <c r="R895" s="67" t="str">
        <f>IFERROR(__xludf.DUMMYFUNCTION("""COMPUTED_VALUE"""),"NEW_Europe_1840_none_050625")</f>
        <v>NEW_Europe_1840_none_050625</v>
      </c>
      <c r="S895" s="67" t="str">
        <f>IFERROR(__xludf.DUMMYFUNCTION("""COMPUTED_VALUE"""),"saletructiep_Europe.M447.1840.giaotiep_PTATT_LD153")</f>
        <v>saletructiep_Europe.M447.1840.giaotiep_PTATT_LD153</v>
      </c>
      <c r="T895" s="107" t="str">
        <f>IFERROR(__xludf.DUMMYFUNCTION("""COMPUTED_VALUE"""),"https://patadovietnam.edu.vn/tienganhgiaotiep_hn/?utm_source=Facebook&amp;utm_medium=CVS&amp;utm_term=NEW_Europe_1840_none_050625&amp;utm_content=saletructiep_Europe.M447.1840.giaotiep_PTATT_LD153&amp;utm_campaign=Europe.giaotiep.M447_16917_CVS_NamNH_050625")</f>
        <v>https://patadovietnam.edu.vn/tienganhgiaotiep_hn/?utm_source=Facebook&amp;utm_medium=CVS&amp;utm_term=NEW_Europe_1840_none_050625&amp;utm_content=saletructiep_Europe.M447.1840.giaotiep_PTATT_LD153&amp;utm_campaign=Europe.giaotiep.M447_16917_CVS_NamNH_050625</v>
      </c>
      <c r="U895" s="110" t="s">
        <v>7221</v>
      </c>
    </row>
    <row r="896">
      <c r="A896" s="72">
        <v>45813.0</v>
      </c>
      <c r="B896" s="60" t="s">
        <v>1892</v>
      </c>
      <c r="C896" s="67" t="str">
        <f>IFERROR(__xludf.DUMMYFUNCTION("""COMPUTED_VALUE"""),"LD239")</f>
        <v>LD239</v>
      </c>
      <c r="D896" s="55" t="s">
        <v>42</v>
      </c>
      <c r="E896" s="55" t="s">
        <v>69</v>
      </c>
      <c r="F896" s="55" t="s">
        <v>133</v>
      </c>
      <c r="G896" s="55">
        <v>1840.0</v>
      </c>
      <c r="H896" s="55" t="s">
        <v>1137</v>
      </c>
      <c r="I896" s="115" t="s">
        <v>7225</v>
      </c>
      <c r="J896" s="55" t="s">
        <v>7226</v>
      </c>
      <c r="K896" s="55" t="s">
        <v>61</v>
      </c>
      <c r="L896" s="55">
        <v>16917.0</v>
      </c>
      <c r="M896" s="55" t="s">
        <v>78</v>
      </c>
      <c r="N896" s="55" t="s">
        <v>69</v>
      </c>
      <c r="O896" s="55" t="s">
        <v>224</v>
      </c>
      <c r="P896" s="55" t="s">
        <v>110</v>
      </c>
      <c r="Q896" s="67" t="str">
        <f>IFERROR(__xludf.DUMMYFUNCTION("""COMPUTED_VALUE"""),"Japan.Career.M473_16917_CVS_NamNH_050625")</f>
        <v>Japan.Career.M473_16917_CVS_NamNH_050625</v>
      </c>
      <c r="R896" s="67" t="str">
        <f>IFERROR(__xludf.DUMMYFUNCTION("""COMPUTED_VALUE"""),"NEW_Japan_1840_none_050625")</f>
        <v>NEW_Japan_1840_none_050625</v>
      </c>
      <c r="S896" s="67" t="str">
        <f>IFERROR(__xludf.DUMMYFUNCTION("""COMPUTED_VALUE"""),"saletructiep_Japan.M473.1840.Career_PTATT_LD239")</f>
        <v>saletructiep_Japan.M473.1840.Career_PTATT_LD239</v>
      </c>
      <c r="T896" s="107" t="str">
        <f>IFERROR(__xludf.DUMMYFUNCTION("""COMPUTED_VALUE"""),"https://patadovietnam.edu.vn/careereng_nhn/?utm_source=Facebook&amp;utm_medium=CVS&amp;utm_term=NEW_Japan_1840_none_050625&amp;utm_content=saletructiep_Japan.M473.1840.Career_PTATT_LD239&amp;utm_campaign=Japan.Career.M473_16917_CVS_NamNH_050625")</f>
        <v>https://patadovietnam.edu.vn/careereng_nhn/?utm_source=Facebook&amp;utm_medium=CVS&amp;utm_term=NEW_Japan_1840_none_050625&amp;utm_content=saletructiep_Japan.M473.1840.Career_PTATT_LD239&amp;utm_campaign=Japan.Career.M473_16917_CVS_NamNH_050625</v>
      </c>
      <c r="U896" s="110" t="s">
        <v>7231</v>
      </c>
    </row>
    <row r="897">
      <c r="A897" s="72">
        <v>45817.0</v>
      </c>
      <c r="B897" s="60" t="s">
        <v>1892</v>
      </c>
      <c r="C897" s="67" t="str">
        <f>IFERROR(__xludf.DUMMYFUNCTION("""COMPUTED_VALUE"""),"LD239")</f>
        <v>LD239</v>
      </c>
      <c r="D897" s="55" t="s">
        <v>42</v>
      </c>
      <c r="E897" s="55" t="s">
        <v>69</v>
      </c>
      <c r="F897" s="55" t="s">
        <v>674</v>
      </c>
      <c r="G897" s="55">
        <v>1840.0</v>
      </c>
      <c r="H897" s="55" t="s">
        <v>1137</v>
      </c>
      <c r="I897" s="115" t="s">
        <v>7234</v>
      </c>
      <c r="J897" s="55" t="s">
        <v>7235</v>
      </c>
      <c r="K897" s="55" t="s">
        <v>61</v>
      </c>
      <c r="L897" s="55">
        <v>16917.0</v>
      </c>
      <c r="M897" s="55" t="s">
        <v>78</v>
      </c>
      <c r="N897" s="55" t="s">
        <v>69</v>
      </c>
      <c r="O897" s="55" t="s">
        <v>224</v>
      </c>
      <c r="P897" s="55" t="s">
        <v>110</v>
      </c>
      <c r="Q897" s="67" t="str">
        <f>IFERROR(__xludf.DUMMYFUNCTION("""COMPUTED_VALUE"""),"Europe.Career.M473_16917_CVS_NamNH_090625")</f>
        <v>Europe.Career.M473_16917_CVS_NamNH_090625</v>
      </c>
      <c r="R897" s="67" t="str">
        <f>IFERROR(__xludf.DUMMYFUNCTION("""COMPUTED_VALUE"""),"NEW_Europe_1840_none_090625")</f>
        <v>NEW_Europe_1840_none_090625</v>
      </c>
      <c r="S897" s="67" t="str">
        <f>IFERROR(__xludf.DUMMYFUNCTION("""COMPUTED_VALUE"""),"saletructiep_Europe.M473.1840.Career_PTATT_LD239")</f>
        <v>saletructiep_Europe.M473.1840.Career_PTATT_LD239</v>
      </c>
      <c r="T897" s="107" t="str">
        <f>IFERROR(__xludf.DUMMYFUNCTION("""COMPUTED_VALUE"""),"https://patadovietnam.edu.vn/careereng_nhn/?utm_source=Facebook&amp;utm_medium=CVS&amp;utm_term=NEW_Europe_1840_none_090625&amp;utm_content=saletructiep_Europe.M473.1840.Career_PTATT_LD239&amp;utm_campaign=Europe.Career.M473_16917_CVS_NamNH_090625")</f>
        <v>https://patadovietnam.edu.vn/careereng_nhn/?utm_source=Facebook&amp;utm_medium=CVS&amp;utm_term=NEW_Europe_1840_none_090625&amp;utm_content=saletructiep_Europe.M473.1840.Career_PTATT_LD239&amp;utm_campaign=Europe.Career.M473_16917_CVS_NamNH_090625</v>
      </c>
      <c r="U897" s="110" t="s">
        <v>7239</v>
      </c>
    </row>
    <row r="898">
      <c r="A898" s="72">
        <v>45817.0</v>
      </c>
      <c r="B898" s="60" t="s">
        <v>1892</v>
      </c>
      <c r="C898" s="67" t="str">
        <f>IFERROR(__xludf.DUMMYFUNCTION("""COMPUTED_VALUE"""),"LD239")</f>
        <v>LD239</v>
      </c>
      <c r="D898" s="55" t="s">
        <v>42</v>
      </c>
      <c r="E898" s="55" t="s">
        <v>79</v>
      </c>
      <c r="F898" s="55" t="s">
        <v>539</v>
      </c>
      <c r="G898" s="55">
        <v>2050.0</v>
      </c>
      <c r="H898" s="55" t="s">
        <v>1137</v>
      </c>
      <c r="I898" s="115" t="s">
        <v>7241</v>
      </c>
      <c r="J898" s="55" t="s">
        <v>7242</v>
      </c>
      <c r="K898" s="55" t="s">
        <v>61</v>
      </c>
      <c r="L898" s="55">
        <v>16917.0</v>
      </c>
      <c r="M898" s="55" t="s">
        <v>78</v>
      </c>
      <c r="N898" s="55" t="s">
        <v>79</v>
      </c>
      <c r="O898" s="55" t="s">
        <v>224</v>
      </c>
      <c r="P898" s="55" t="s">
        <v>110</v>
      </c>
      <c r="Q898" s="67" t="str">
        <f>IFERROR(__xludf.DUMMYFUNCTION("""COMPUTED_VALUE"""),"ALL.Career.M473_16917_MES_NamNH_090625")</f>
        <v>ALL.Career.M473_16917_MES_NamNH_090625</v>
      </c>
      <c r="R898" s="67" t="str">
        <f>IFERROR(__xludf.DUMMYFUNCTION("""COMPUTED_VALUE"""),"NEW_ALL_2050_none_090625")</f>
        <v>NEW_ALL_2050_none_090625</v>
      </c>
      <c r="S898" s="67" t="str">
        <f>IFERROR(__xludf.DUMMYFUNCTION("""COMPUTED_VALUE"""),"saletructiep_ALL.M473.1840.Career_PTATT_LD239")</f>
        <v>saletructiep_ALL.M473.1840.Career_PTATT_LD239</v>
      </c>
      <c r="T898" s="107" t="str">
        <f>IFERROR(__xludf.DUMMYFUNCTION("""COMPUTED_VALUE"""),"https://patadovietnam.edu.vn/careereng_nhn/?utm_source=Facebook&amp;utm_medium=MES&amp;utm_term=NEW_ALL_2050_none_090625&amp;utm_content=saletructiep_ALL.M473.1840.Career_PTATT_LD239&amp;utm_campaign=ALL.Career.M473_16917_MES_NamNH_090625")</f>
        <v>https://patadovietnam.edu.vn/careereng_nhn/?utm_source=Facebook&amp;utm_medium=MES&amp;utm_term=NEW_ALL_2050_none_090625&amp;utm_content=saletructiep_ALL.M473.1840.Career_PTATT_LD239&amp;utm_campaign=ALL.Career.M473_16917_MES_NamNH_090625</v>
      </c>
      <c r="U898" s="110" t="s">
        <v>7252</v>
      </c>
    </row>
    <row r="899">
      <c r="A899" s="72">
        <v>45817.0</v>
      </c>
      <c r="B899" s="60" t="s">
        <v>1892</v>
      </c>
      <c r="C899" s="67" t="str">
        <f>IFERROR(__xludf.DUMMYFUNCTION("""COMPUTED_VALUE"""),"LD239")</f>
        <v>LD239</v>
      </c>
      <c r="D899" s="55" t="s">
        <v>42</v>
      </c>
      <c r="E899" s="55" t="s">
        <v>69</v>
      </c>
      <c r="F899" s="55" t="s">
        <v>133</v>
      </c>
      <c r="G899" s="55">
        <v>1840.0</v>
      </c>
      <c r="H899" s="55" t="s">
        <v>1137</v>
      </c>
      <c r="I899" s="115" t="s">
        <v>7257</v>
      </c>
      <c r="J899" s="55" t="s">
        <v>7259</v>
      </c>
      <c r="K899" s="55" t="s">
        <v>61</v>
      </c>
      <c r="L899" s="55">
        <v>16917.0</v>
      </c>
      <c r="M899" s="55" t="s">
        <v>78</v>
      </c>
      <c r="N899" s="55" t="s">
        <v>69</v>
      </c>
      <c r="O899" s="55" t="s">
        <v>224</v>
      </c>
      <c r="P899" s="55" t="s">
        <v>110</v>
      </c>
      <c r="Q899" s="67" t="str">
        <f>IFERROR(__xludf.DUMMYFUNCTION("""COMPUTED_VALUE"""),"Japan.Career.M472_16917_CVS_NamNH_090625")</f>
        <v>Japan.Career.M472_16917_CVS_NamNH_090625</v>
      </c>
      <c r="R899" s="67" t="str">
        <f>IFERROR(__xludf.DUMMYFUNCTION("""COMPUTED_VALUE"""),"NEW_Japan_1840_none_090625")</f>
        <v>NEW_Japan_1840_none_090625</v>
      </c>
      <c r="S899" s="67" t="str">
        <f>IFERROR(__xludf.DUMMYFUNCTION("""COMPUTED_VALUE"""),"saletructiep_Japan.M472.1840.Career_PTATT_LD239")</f>
        <v>saletructiep_Japan.M472.1840.Career_PTATT_LD239</v>
      </c>
      <c r="T899" s="107" t="str">
        <f>IFERROR(__xludf.DUMMYFUNCTION("""COMPUTED_VALUE"""),"https://patadovietnam.edu.vn/careereng_nhn/?utm_source=Facebook&amp;utm_medium=CVS&amp;utm_term=NEW_Japan_1840_none_090625&amp;utm_content=saletructiep_Japan.M472.1840.Career_PTATT_LD239&amp;utm_campaign=Japan.Career.M472_16917_CVS_NamNH_090625")</f>
        <v>https://patadovietnam.edu.vn/careereng_nhn/?utm_source=Facebook&amp;utm_medium=CVS&amp;utm_term=NEW_Japan_1840_none_090625&amp;utm_content=saletructiep_Japan.M472.1840.Career_PTATT_LD239&amp;utm_campaign=Japan.Career.M472_16917_CVS_NamNH_090625</v>
      </c>
      <c r="U899" s="110" t="s">
        <v>7262</v>
      </c>
    </row>
    <row r="900">
      <c r="A900" s="72">
        <v>45817.0</v>
      </c>
      <c r="B900" s="60" t="s">
        <v>1892</v>
      </c>
      <c r="C900" s="67" t="str">
        <f>IFERROR(__xludf.DUMMYFUNCTION("""COMPUTED_VALUE"""),"LD239")</f>
        <v>LD239</v>
      </c>
      <c r="D900" s="55" t="s">
        <v>42</v>
      </c>
      <c r="E900" s="55" t="s">
        <v>79</v>
      </c>
      <c r="F900" s="55" t="s">
        <v>199</v>
      </c>
      <c r="G900" s="55">
        <v>2050.0</v>
      </c>
      <c r="H900" s="55" t="s">
        <v>1137</v>
      </c>
      <c r="I900" s="115" t="s">
        <v>7265</v>
      </c>
      <c r="J900" s="55" t="s">
        <v>7266</v>
      </c>
      <c r="K900" s="55" t="s">
        <v>61</v>
      </c>
      <c r="L900" s="55">
        <v>16917.0</v>
      </c>
      <c r="M900" s="55" t="s">
        <v>78</v>
      </c>
      <c r="N900" s="55" t="s">
        <v>79</v>
      </c>
      <c r="O900" s="55" t="s">
        <v>224</v>
      </c>
      <c r="P900" s="55" t="s">
        <v>110</v>
      </c>
      <c r="Q900" s="67" t="str">
        <f>IFERROR(__xludf.DUMMYFUNCTION("""COMPUTED_VALUE"""),"Vietnam.Career.M473_16917_MES_NamNH_090625")</f>
        <v>Vietnam.Career.M473_16917_MES_NamNH_090625</v>
      </c>
      <c r="R900" s="67" t="str">
        <f>IFERROR(__xludf.DUMMYFUNCTION("""COMPUTED_VALUE"""),"NEW_Vietnam_2050_none_090625")</f>
        <v>NEW_Vietnam_2050_none_090625</v>
      </c>
      <c r="S900" s="67" t="str">
        <f>IFERROR(__xludf.DUMMYFUNCTION("""COMPUTED_VALUE"""),"saletructiep_Vietnam.M473.1840.Career_PTATT_LD239")</f>
        <v>saletructiep_Vietnam.M473.1840.Career_PTATT_LD239</v>
      </c>
      <c r="T900" s="107" t="str">
        <f>IFERROR(__xludf.DUMMYFUNCTION("""COMPUTED_VALUE"""),"https://patadovietnam.edu.vn/careereng_nhn/?utm_source=Facebook&amp;utm_medium=MES&amp;utm_term=NEW_Vietnam_2050_none_090625&amp;utm_content=saletructiep_Vietnam.M473.1840.Career_PTATT_LD239&amp;utm_campaign=Vietnam.Career.M473_16917_MES_NamNH_090625")</f>
        <v>https://patadovietnam.edu.vn/careereng_nhn/?utm_source=Facebook&amp;utm_medium=MES&amp;utm_term=NEW_Vietnam_2050_none_090625&amp;utm_content=saletructiep_Vietnam.M473.1840.Career_PTATT_LD239&amp;utm_campaign=Vietnam.Career.M473_16917_MES_NamNH_090625</v>
      </c>
      <c r="U900" s="110" t="s">
        <v>7270</v>
      </c>
    </row>
    <row r="901">
      <c r="A901" s="72">
        <v>45817.0</v>
      </c>
      <c r="B901" s="60" t="s">
        <v>1134</v>
      </c>
      <c r="C901" s="67" t="str">
        <f>IFERROR(__xludf.DUMMYFUNCTION("""COMPUTED_VALUE"""),"LD153")</f>
        <v>LD153</v>
      </c>
      <c r="D901" s="55" t="s">
        <v>42</v>
      </c>
      <c r="E901" s="55" t="s">
        <v>79</v>
      </c>
      <c r="F901" s="55" t="s">
        <v>107</v>
      </c>
      <c r="G901" s="55">
        <v>2050.0</v>
      </c>
      <c r="H901" s="55" t="s">
        <v>1137</v>
      </c>
      <c r="I901" s="115" t="s">
        <v>7273</v>
      </c>
      <c r="J901" s="55" t="s">
        <v>7274</v>
      </c>
      <c r="K901" s="55" t="s">
        <v>61</v>
      </c>
      <c r="L901" s="55">
        <v>16917.0</v>
      </c>
      <c r="M901" s="55" t="s">
        <v>78</v>
      </c>
      <c r="N901" s="55" t="s">
        <v>79</v>
      </c>
      <c r="O901" s="55" t="s">
        <v>224</v>
      </c>
      <c r="P901" s="55" t="s">
        <v>110</v>
      </c>
      <c r="Q901" s="67" t="str">
        <f>IFERROR(__xludf.DUMMYFUNCTION("""COMPUTED_VALUE"""),"UnitedStates.giaotiep.Congdongnails_16917_MES_NamNH_090625")</f>
        <v>UnitedStates.giaotiep.Congdongnails_16917_MES_NamNH_090625</v>
      </c>
      <c r="R901" s="67" t="str">
        <f>IFERROR(__xludf.DUMMYFUNCTION("""COMPUTED_VALUE"""),"NEW_UnitedStates_2050_none_090625")</f>
        <v>NEW_UnitedStates_2050_none_090625</v>
      </c>
      <c r="S901" s="67" t="str">
        <f>IFERROR(__xludf.DUMMYFUNCTION("""COMPUTED_VALUE"""),"saletructiep_UnitedStates.Congdongnails.1840.giaotiep_PTATT_LD153")</f>
        <v>saletructiep_UnitedStates.Congdongnails.1840.giaotiep_PTATT_LD153</v>
      </c>
      <c r="T901" s="107" t="str">
        <f>IFERROR(__xludf.DUMMYFUNCTION("""COMPUTED_VALUE"""),"https://patadovietnam.edu.vn/tienganhgiaotiep_hn/?utm_source=Facebook&amp;utm_medium=MES&amp;utm_term=NEW_UnitedStates_2050_none_090625&amp;utm_content=saletructiep_UnitedStates.Congdongnails.1840.giaotiep_PTATT_LD153&amp;utm_campaign=UnitedStates.giaotiep.Congdongnails_"&amp;"16917_MES_NamNH_090625")</f>
        <v>https://patadovietnam.edu.vn/tienganhgiaotiep_hn/?utm_source=Facebook&amp;utm_medium=MES&amp;utm_term=NEW_UnitedStates_2050_none_090625&amp;utm_content=saletructiep_UnitedStates.Congdongnails.1840.giaotiep_PTATT_LD153&amp;utm_campaign=UnitedStates.giaotiep.Congdongnails_16917_MES_NamNH_090625</v>
      </c>
      <c r="U901" s="116"/>
    </row>
    <row r="902">
      <c r="A902" s="72">
        <v>45827.0</v>
      </c>
      <c r="B902" s="60" t="s">
        <v>7277</v>
      </c>
      <c r="C902" s="67" t="str">
        <f>IFERROR(__xludf.DUMMYFUNCTION("""COMPUTED_VALUE"""),"LD243")</f>
        <v>LD243</v>
      </c>
      <c r="D902" s="55" t="s">
        <v>42</v>
      </c>
      <c r="E902" s="55" t="s">
        <v>69</v>
      </c>
      <c r="F902" s="55" t="s">
        <v>674</v>
      </c>
      <c r="G902" s="55">
        <v>1840.0</v>
      </c>
      <c r="H902" s="55" t="s">
        <v>1137</v>
      </c>
      <c r="I902" s="115" t="s">
        <v>7280</v>
      </c>
      <c r="J902" s="55" t="s">
        <v>7281</v>
      </c>
      <c r="K902" s="55" t="s">
        <v>61</v>
      </c>
      <c r="L902" s="55">
        <v>16917.0</v>
      </c>
      <c r="M902" s="55" t="s">
        <v>78</v>
      </c>
      <c r="N902" s="55" t="s">
        <v>69</v>
      </c>
      <c r="O902" s="55" t="s">
        <v>224</v>
      </c>
      <c r="P902" s="55" t="s">
        <v>110</v>
      </c>
      <c r="Q902" s="67" t="str">
        <f>IFERROR(__xludf.DUMMYFUNCTION("""COMPUTED_VALUE"""),"Europe.giaotiep.M479LQ_16917_CVS_NamNH_190625")</f>
        <v>Europe.giaotiep.M479LQ_16917_CVS_NamNH_190625</v>
      </c>
      <c r="R902" s="67" t="str">
        <f>IFERROR(__xludf.DUMMYFUNCTION("""COMPUTED_VALUE"""),"NEW_Europe_1840_none_190625")</f>
        <v>NEW_Europe_1840_none_190625</v>
      </c>
      <c r="S902" s="67" t="str">
        <f>IFERROR(__xludf.DUMMYFUNCTION("""COMPUTED_VALUE"""),"saletructiep_Europe.M479LQ.1840.giaotiep_PTATT_LD243")</f>
        <v>saletructiep_Europe.M479LQ.1840.giaotiep_PTATT_LD243</v>
      </c>
      <c r="T902" s="107" t="str">
        <f>IFERROR(__xludf.DUMMYFUNCTION("""COMPUTED_VALUE"""),"https://patadovietnam.edu.vn/tienganhgiaotiep1_hn/?utm_source=Facebook&amp;utm_medium=CVS&amp;utm_term=NEW_Europe_1840_none_190625&amp;utm_content=saletructiep_Europe.M479LQ.1840.giaotiep_PTATT_LD243&amp;utm_campaign=Europe.giaotiep.M479LQ_16917_CVS_NamNH_190625")</f>
        <v>https://patadovietnam.edu.vn/tienganhgiaotiep1_hn/?utm_source=Facebook&amp;utm_medium=CVS&amp;utm_term=NEW_Europe_1840_none_190625&amp;utm_content=saletructiep_Europe.M479LQ.1840.giaotiep_PTATT_LD243&amp;utm_campaign=Europe.giaotiep.M479LQ_16917_CVS_NamNH_190625</v>
      </c>
      <c r="U902" s="110" t="s">
        <v>7284</v>
      </c>
    </row>
    <row r="903">
      <c r="A903" s="72">
        <v>45827.0</v>
      </c>
      <c r="B903" s="60" t="s">
        <v>7277</v>
      </c>
      <c r="C903" s="67" t="str">
        <f>IFERROR(__xludf.DUMMYFUNCTION("""COMPUTED_VALUE"""),"LD243")</f>
        <v>LD243</v>
      </c>
      <c r="D903" s="55" t="s">
        <v>42</v>
      </c>
      <c r="E903" s="55" t="s">
        <v>69</v>
      </c>
      <c r="F903" s="55" t="s">
        <v>674</v>
      </c>
      <c r="G903" s="55">
        <v>1840.0</v>
      </c>
      <c r="H903" s="55" t="s">
        <v>1137</v>
      </c>
      <c r="I903" s="115" t="s">
        <v>7286</v>
      </c>
      <c r="J903" s="55" t="s">
        <v>7287</v>
      </c>
      <c r="K903" s="55" t="s">
        <v>61</v>
      </c>
      <c r="L903" s="55">
        <v>16917.0</v>
      </c>
      <c r="M903" s="55" t="s">
        <v>78</v>
      </c>
      <c r="N903" s="55" t="s">
        <v>69</v>
      </c>
      <c r="O903" s="55" t="s">
        <v>224</v>
      </c>
      <c r="P903" s="55" t="s">
        <v>110</v>
      </c>
      <c r="Q903" s="67" t="str">
        <f>IFERROR(__xludf.DUMMYFUNCTION("""COMPUTED_VALUE"""),"Europe.giaotiep.M480_16917_CVS_NamNH_190625")</f>
        <v>Europe.giaotiep.M480_16917_CVS_NamNH_190625</v>
      </c>
      <c r="R903" s="67" t="str">
        <f>IFERROR(__xludf.DUMMYFUNCTION("""COMPUTED_VALUE"""),"NEW_Europe_1840_none_190625")</f>
        <v>NEW_Europe_1840_none_190625</v>
      </c>
      <c r="S903" s="67" t="str">
        <f>IFERROR(__xludf.DUMMYFUNCTION("""COMPUTED_VALUE"""),"saletructiep_Europe.M480.1840.giaotiep_PTATT_LD243")</f>
        <v>saletructiep_Europe.M480.1840.giaotiep_PTATT_LD243</v>
      </c>
      <c r="T903" s="107" t="str">
        <f>IFERROR(__xludf.DUMMYFUNCTION("""COMPUTED_VALUE"""),"https://patadovietnam.edu.vn/tienganhgiaotiep1_hn/?utm_source=Facebook&amp;utm_medium=CVS&amp;utm_term=NEW_Europe_1840_none_190625&amp;utm_content=saletructiep_Europe.M480.1840.giaotiep_PTATT_LD243&amp;utm_campaign=Europe.giaotiep.M480_16917_CVS_NamNH_190625")</f>
        <v>https://patadovietnam.edu.vn/tienganhgiaotiep1_hn/?utm_source=Facebook&amp;utm_medium=CVS&amp;utm_term=NEW_Europe_1840_none_190625&amp;utm_content=saletructiep_Europe.M480.1840.giaotiep_PTATT_LD243&amp;utm_campaign=Europe.giaotiep.M480_16917_CVS_NamNH_190625</v>
      </c>
      <c r="U903" s="110" t="s">
        <v>7289</v>
      </c>
    </row>
    <row r="904">
      <c r="A904" s="72">
        <v>45827.0</v>
      </c>
      <c r="B904" s="60" t="s">
        <v>7291</v>
      </c>
      <c r="C904" s="67" t="str">
        <f>IFERROR(__xludf.DUMMYFUNCTION("""COMPUTED_VALUE"""),"LD241")</f>
        <v>LD241</v>
      </c>
      <c r="D904" s="55" t="s">
        <v>42</v>
      </c>
      <c r="E904" s="55" t="s">
        <v>69</v>
      </c>
      <c r="F904" s="55" t="s">
        <v>133</v>
      </c>
      <c r="G904" s="55">
        <v>1840.0</v>
      </c>
      <c r="H904" s="55" t="s">
        <v>1137</v>
      </c>
      <c r="I904" s="115" t="s">
        <v>7293</v>
      </c>
      <c r="J904" s="55" t="s">
        <v>7294</v>
      </c>
      <c r="K904" s="55" t="s">
        <v>61</v>
      </c>
      <c r="L904" s="55">
        <v>16917.0</v>
      </c>
      <c r="M904" s="55" t="s">
        <v>78</v>
      </c>
      <c r="N904" s="55" t="s">
        <v>69</v>
      </c>
      <c r="O904" s="55" t="s">
        <v>224</v>
      </c>
      <c r="P904" s="55" t="s">
        <v>110</v>
      </c>
      <c r="Q904" s="67" t="str">
        <f>IFERROR(__xludf.DUMMYFUNCTION("""COMPUTED_VALUE"""),"Japan.giaotiep.M479KS_16917_CVS_NamNH_190625")</f>
        <v>Japan.giaotiep.M479KS_16917_CVS_NamNH_190625</v>
      </c>
      <c r="R904" s="67" t="str">
        <f>IFERROR(__xludf.DUMMYFUNCTION("""COMPUTED_VALUE"""),"NEW_Japan_1840_none_190625")</f>
        <v>NEW_Japan_1840_none_190625</v>
      </c>
      <c r="S904" s="67" t="str">
        <f>IFERROR(__xludf.DUMMYFUNCTION("""COMPUTED_VALUE"""),"saletructiep_Japan.M479KS.1840.giaotiep_PTATT_LD241")</f>
        <v>saletructiep_Japan.M479KS.1840.giaotiep_PTATT_LD241</v>
      </c>
      <c r="T904" s="107" t="str">
        <f>IFERROR(__xludf.DUMMYFUNCTION("""COMPUTED_VALUE"""),"https://patadovietnam.edu.vn/gtjapan_nhn5/?utm_source=Facebook&amp;utm_medium=CVS&amp;utm_term=NEW_Japan_1840_none_190625&amp;utm_content=saletructiep_Japan.M479KS.1840.giaotiep_PTATT_LD241&amp;utm_campaign=Japan.giaotiep.M479KS_16917_CVS_NamNH_190625")</f>
        <v>https://patadovietnam.edu.vn/gtjapan_nhn5/?utm_source=Facebook&amp;utm_medium=CVS&amp;utm_term=NEW_Japan_1840_none_190625&amp;utm_content=saletructiep_Japan.M479KS.1840.giaotiep_PTATT_LD241&amp;utm_campaign=Japan.giaotiep.M479KS_16917_CVS_NamNH_190625</v>
      </c>
      <c r="U904" s="110" t="s">
        <v>7297</v>
      </c>
    </row>
    <row r="905">
      <c r="A905" s="72">
        <v>45827.0</v>
      </c>
      <c r="B905" s="60" t="s">
        <v>7291</v>
      </c>
      <c r="C905" s="67" t="str">
        <f>IFERROR(__xludf.DUMMYFUNCTION("""COMPUTED_VALUE"""),"LD241")</f>
        <v>LD241</v>
      </c>
      <c r="D905" s="55" t="s">
        <v>42</v>
      </c>
      <c r="E905" s="55" t="s">
        <v>69</v>
      </c>
      <c r="F905" s="55" t="s">
        <v>133</v>
      </c>
      <c r="G905" s="55">
        <v>1840.0</v>
      </c>
      <c r="H905" s="55" t="s">
        <v>1137</v>
      </c>
      <c r="I905" s="115" t="s">
        <v>7301</v>
      </c>
      <c r="J905" s="55" t="s">
        <v>7302</v>
      </c>
      <c r="K905" s="55" t="s">
        <v>61</v>
      </c>
      <c r="L905" s="55">
        <v>16917.0</v>
      </c>
      <c r="M905" s="55" t="s">
        <v>78</v>
      </c>
      <c r="N905" s="55" t="s">
        <v>69</v>
      </c>
      <c r="O905" s="55" t="s">
        <v>224</v>
      </c>
      <c r="P905" s="55" t="s">
        <v>110</v>
      </c>
      <c r="Q905" s="67" t="str">
        <f>IFERROR(__xludf.DUMMYFUNCTION("""COMPUTED_VALUE"""),"Japan.giaotiep.M480_16917_CVS_NamNH_190625")</f>
        <v>Japan.giaotiep.M480_16917_CVS_NamNH_190625</v>
      </c>
      <c r="R905" s="67" t="str">
        <f>IFERROR(__xludf.DUMMYFUNCTION("""COMPUTED_VALUE"""),"NEW_Japan_1840_none_190625")</f>
        <v>NEW_Japan_1840_none_190625</v>
      </c>
      <c r="S905" s="67" t="str">
        <f>IFERROR(__xludf.DUMMYFUNCTION("""COMPUTED_VALUE"""),"saletructiep_Japan.M480.1840.giaotiep_PTATT_LD241")</f>
        <v>saletructiep_Japan.M480.1840.giaotiep_PTATT_LD241</v>
      </c>
      <c r="T905" s="107" t="str">
        <f>IFERROR(__xludf.DUMMYFUNCTION("""COMPUTED_VALUE"""),"https://patadovietnam.edu.vn/gtjapan_nhn5/?utm_source=Facebook&amp;utm_medium=CVS&amp;utm_term=NEW_Japan_1840_none_190625&amp;utm_content=saletructiep_Japan.M480.1840.giaotiep_PTATT_LD241&amp;utm_campaign=Japan.giaotiep.M480_16917_CVS_NamNH_190625")</f>
        <v>https://patadovietnam.edu.vn/gtjapan_nhn5/?utm_source=Facebook&amp;utm_medium=CVS&amp;utm_term=NEW_Japan_1840_none_190625&amp;utm_content=saletructiep_Japan.M480.1840.giaotiep_PTATT_LD241&amp;utm_campaign=Japan.giaotiep.M480_16917_CVS_NamNH_190625</v>
      </c>
      <c r="U905" s="110" t="s">
        <v>7304</v>
      </c>
    </row>
    <row r="906">
      <c r="A906" s="72">
        <v>45827.0</v>
      </c>
      <c r="B906" s="60" t="s">
        <v>7306</v>
      </c>
      <c r="C906" s="67" t="str">
        <f>IFERROR(__xludf.DUMMYFUNCTION("""COMPUTED_VALUE"""),"LD242")</f>
        <v>LD242</v>
      </c>
      <c r="D906" s="55" t="s">
        <v>42</v>
      </c>
      <c r="E906" s="55" t="s">
        <v>79</v>
      </c>
      <c r="F906" s="55" t="s">
        <v>107</v>
      </c>
      <c r="G906" s="55">
        <v>2050.0</v>
      </c>
      <c r="H906" s="55" t="s">
        <v>1137</v>
      </c>
      <c r="I906" s="115" t="s">
        <v>7308</v>
      </c>
      <c r="J906" s="55" t="s">
        <v>7309</v>
      </c>
      <c r="K906" s="55" t="s">
        <v>61</v>
      </c>
      <c r="L906" s="55">
        <v>16917.0</v>
      </c>
      <c r="M906" s="55" t="s">
        <v>78</v>
      </c>
      <c r="N906" s="55" t="s">
        <v>79</v>
      </c>
      <c r="O906" s="55" t="s">
        <v>224</v>
      </c>
      <c r="P906" s="55" t="s">
        <v>110</v>
      </c>
      <c r="Q906" s="67" t="str">
        <f>IFERROR(__xludf.DUMMYFUNCTION("""COMPUTED_VALUE"""),"UnitedStates.giaotiep.M480_16917_MES_NamNH_190625")</f>
        <v>UnitedStates.giaotiep.M480_16917_MES_NamNH_190625</v>
      </c>
      <c r="R906" s="67" t="str">
        <f>IFERROR(__xludf.DUMMYFUNCTION("""COMPUTED_VALUE"""),"NEW_UnitedStates_2050_none_190625")</f>
        <v>NEW_UnitedStates_2050_none_190625</v>
      </c>
      <c r="S906" s="67" t="str">
        <f>IFERROR(__xludf.DUMMYFUNCTION("""COMPUTED_VALUE"""),"saletructiep_UnitedStates.M480.1840.giaotiep_PTATT_LD242")</f>
        <v>saletructiep_UnitedStates.M480.1840.giaotiep_PTATT_LD242</v>
      </c>
      <c r="T906" s="107" t="str">
        <f>IFERROR(__xludf.DUMMYFUNCTION("""COMPUTED_VALUE"""),"https://patadovietnam.edu.vn/gtusa2_nhn/?utm_source=Facebook&amp;utm_medium=MES&amp;utm_term=NEW_UnitedStates_2050_none_190625&amp;utm_content=saletructiep_UnitedStates.M480.1840.giaotiep_PTATT_LD242&amp;utm_campaign=UnitedStates.giaotiep.M480_16917_MES_NamNH_190625")</f>
        <v>https://patadovietnam.edu.vn/gtusa2_nhn/?utm_source=Facebook&amp;utm_medium=MES&amp;utm_term=NEW_UnitedStates_2050_none_190625&amp;utm_content=saletructiep_UnitedStates.M480.1840.giaotiep_PTATT_LD242&amp;utm_campaign=UnitedStates.giaotiep.M480_16917_MES_NamNH_190625</v>
      </c>
      <c r="U906" s="110" t="s">
        <v>7312</v>
      </c>
    </row>
    <row r="907">
      <c r="A907" s="72">
        <v>45827.0</v>
      </c>
      <c r="B907" s="60" t="s">
        <v>7306</v>
      </c>
      <c r="C907" s="67" t="str">
        <f>IFERROR(__xludf.DUMMYFUNCTION("""COMPUTED_VALUE"""),"LD242")</f>
        <v>LD242</v>
      </c>
      <c r="D907" s="55" t="s">
        <v>42</v>
      </c>
      <c r="E907" s="55" t="s">
        <v>79</v>
      </c>
      <c r="F907" s="55" t="s">
        <v>107</v>
      </c>
      <c r="G907" s="55">
        <v>2050.0</v>
      </c>
      <c r="H907" s="55" t="s">
        <v>1137</v>
      </c>
      <c r="I907" s="115" t="s">
        <v>7314</v>
      </c>
      <c r="J907" s="55" t="s">
        <v>7315</v>
      </c>
      <c r="K907" s="55" t="s">
        <v>61</v>
      </c>
      <c r="L907" s="55">
        <v>16917.0</v>
      </c>
      <c r="M907" s="55" t="s">
        <v>78</v>
      </c>
      <c r="N907" s="55" t="s">
        <v>79</v>
      </c>
      <c r="O907" s="55" t="s">
        <v>224</v>
      </c>
      <c r="P907" s="55" t="s">
        <v>110</v>
      </c>
      <c r="Q907" s="67" t="str">
        <f>IFERROR(__xludf.DUMMYFUNCTION("""COMPUTED_VALUE"""),"UnitedStates.giaotiep.M479NM_16917_MES_NamNH_190625")</f>
        <v>UnitedStates.giaotiep.M479NM_16917_MES_NamNH_190625</v>
      </c>
      <c r="R907" s="67" t="str">
        <f>IFERROR(__xludf.DUMMYFUNCTION("""COMPUTED_VALUE"""),"NEW_UnitedStates_2050_none_190625")</f>
        <v>NEW_UnitedStates_2050_none_190625</v>
      </c>
      <c r="S907" s="67" t="str">
        <f>IFERROR(__xludf.DUMMYFUNCTION("""COMPUTED_VALUE"""),"saletructiep_UnitedStates.M479NM.1840.giaotiep_PTATT_LD242")</f>
        <v>saletructiep_UnitedStates.M479NM.1840.giaotiep_PTATT_LD242</v>
      </c>
      <c r="T907" s="107" t="str">
        <f>IFERROR(__xludf.DUMMYFUNCTION("""COMPUTED_VALUE"""),"https://patadovietnam.edu.vn/gtusa2_nhn/?utm_source=Facebook&amp;utm_medium=MES&amp;utm_term=NEW_UnitedStates_2050_none_190625&amp;utm_content=saletructiep_UnitedStates.M479NM.1840.giaotiep_PTATT_LD242&amp;utm_campaign=UnitedStates.giaotiep.M479NM_16917_MES_NamNH_190625")</f>
        <v>https://patadovietnam.edu.vn/gtusa2_nhn/?utm_source=Facebook&amp;utm_medium=MES&amp;utm_term=NEW_UnitedStates_2050_none_190625&amp;utm_content=saletructiep_UnitedStates.M479NM.1840.giaotiep_PTATT_LD242&amp;utm_campaign=UnitedStates.giaotiep.M479NM_16917_MES_NamNH_190625</v>
      </c>
      <c r="U907" s="110" t="s">
        <v>7318</v>
      </c>
    </row>
    <row r="908">
      <c r="A908" s="72">
        <v>45832.0</v>
      </c>
      <c r="B908" s="60" t="s">
        <v>7277</v>
      </c>
      <c r="C908" s="67" t="str">
        <f>IFERROR(__xludf.DUMMYFUNCTION("""COMPUTED_VALUE"""),"LD243")</f>
        <v>LD243</v>
      </c>
      <c r="D908" s="55" t="s">
        <v>42</v>
      </c>
      <c r="E908" s="55" t="s">
        <v>69</v>
      </c>
      <c r="F908" s="55" t="s">
        <v>674</v>
      </c>
      <c r="G908" s="55">
        <v>1840.0</v>
      </c>
      <c r="H908" s="55" t="s">
        <v>1137</v>
      </c>
      <c r="I908" s="115" t="s">
        <v>7320</v>
      </c>
      <c r="J908" s="55" t="s">
        <v>7321</v>
      </c>
      <c r="K908" s="55" t="s">
        <v>61</v>
      </c>
      <c r="L908" s="55">
        <v>16917.0</v>
      </c>
      <c r="M908" s="55" t="s">
        <v>78</v>
      </c>
      <c r="N908" s="55" t="s">
        <v>69</v>
      </c>
      <c r="O908" s="55" t="s">
        <v>224</v>
      </c>
      <c r="P908" s="55" t="s">
        <v>110</v>
      </c>
      <c r="Q908" s="67" t="str">
        <f>IFERROR(__xludf.DUMMYFUNCTION("""COMPUTED_VALUE"""),"Europe.giaotiep.M478_16917_CVS_NamNH_240625")</f>
        <v>Europe.giaotiep.M478_16917_CVS_NamNH_240625</v>
      </c>
      <c r="R908" s="67" t="str">
        <f>IFERROR(__xludf.DUMMYFUNCTION("""COMPUTED_VALUE"""),"NEW_Europe_1840_none_240625")</f>
        <v>NEW_Europe_1840_none_240625</v>
      </c>
      <c r="S908" s="67" t="str">
        <f>IFERROR(__xludf.DUMMYFUNCTION("""COMPUTED_VALUE"""),"saletructiep_Europe.M478.1840.giaotiep_PTATT_LD243")</f>
        <v>saletructiep_Europe.M478.1840.giaotiep_PTATT_LD243</v>
      </c>
      <c r="T908" s="107" t="str">
        <f>IFERROR(__xludf.DUMMYFUNCTION("""COMPUTED_VALUE"""),"https://patadovietnam.edu.vn/tienganhgiaotiep1_hn/?utm_source=Facebook&amp;utm_medium=CVS&amp;utm_term=NEW_Europe_1840_none_240625&amp;utm_content=saletructiep_Europe.M478.1840.giaotiep_PTATT_LD243&amp;utm_campaign=Europe.giaotiep.M478_16917_CVS_NamNH_240625")</f>
        <v>https://patadovietnam.edu.vn/tienganhgiaotiep1_hn/?utm_source=Facebook&amp;utm_medium=CVS&amp;utm_term=NEW_Europe_1840_none_240625&amp;utm_content=saletructiep_Europe.M478.1840.giaotiep_PTATT_LD243&amp;utm_campaign=Europe.giaotiep.M478_16917_CVS_NamNH_240625</v>
      </c>
      <c r="U908" s="110" t="s">
        <v>7323</v>
      </c>
    </row>
    <row r="909">
      <c r="A909" s="72">
        <v>45832.0</v>
      </c>
      <c r="B909" s="60" t="s">
        <v>7277</v>
      </c>
      <c r="C909" s="67" t="str">
        <f>IFERROR(__xludf.DUMMYFUNCTION("""COMPUTED_VALUE"""),"LD243")</f>
        <v>LD243</v>
      </c>
      <c r="D909" s="55" t="s">
        <v>42</v>
      </c>
      <c r="E909" s="55" t="s">
        <v>69</v>
      </c>
      <c r="F909" s="55" t="s">
        <v>674</v>
      </c>
      <c r="G909" s="55">
        <v>1840.0</v>
      </c>
      <c r="H909" s="55" t="s">
        <v>1137</v>
      </c>
      <c r="I909" s="115" t="s">
        <v>7325</v>
      </c>
      <c r="J909" s="55" t="s">
        <v>7326</v>
      </c>
      <c r="K909" s="55" t="s">
        <v>61</v>
      </c>
      <c r="L909" s="55">
        <v>16917.0</v>
      </c>
      <c r="M909" s="55" t="s">
        <v>78</v>
      </c>
      <c r="N909" s="55" t="s">
        <v>69</v>
      </c>
      <c r="O909" s="55" t="s">
        <v>224</v>
      </c>
      <c r="P909" s="55" t="s">
        <v>110</v>
      </c>
      <c r="Q909" s="67" t="str">
        <f>IFERROR(__xludf.DUMMYFUNCTION("""COMPUTED_VALUE"""),"Europe.giaotiep.M482_16917_CVS_NamNH_240625")</f>
        <v>Europe.giaotiep.M482_16917_CVS_NamNH_240625</v>
      </c>
      <c r="R909" s="67" t="str">
        <f>IFERROR(__xludf.DUMMYFUNCTION("""COMPUTED_VALUE"""),"NEW_Europe_1840_none_240625")</f>
        <v>NEW_Europe_1840_none_240625</v>
      </c>
      <c r="S909" s="67" t="str">
        <f>IFERROR(__xludf.DUMMYFUNCTION("""COMPUTED_VALUE"""),"saletructiep_Europe.M482.1840.giaotiep_PTATT_LD243")</f>
        <v>saletructiep_Europe.M482.1840.giaotiep_PTATT_LD243</v>
      </c>
      <c r="T909" s="107" t="str">
        <f>IFERROR(__xludf.DUMMYFUNCTION("""COMPUTED_VALUE"""),"https://patadovietnam.edu.vn/tienganhgiaotiep1_hn/?utm_source=Facebook&amp;utm_medium=CVS&amp;utm_term=NEW_Europe_1840_none_240625&amp;utm_content=saletructiep_Europe.M482.1840.giaotiep_PTATT_LD243&amp;utm_campaign=Europe.giaotiep.M482_16917_CVS_NamNH_240625")</f>
        <v>https://patadovietnam.edu.vn/tienganhgiaotiep1_hn/?utm_source=Facebook&amp;utm_medium=CVS&amp;utm_term=NEW_Europe_1840_none_240625&amp;utm_content=saletructiep_Europe.M482.1840.giaotiep_PTATT_LD243&amp;utm_campaign=Europe.giaotiep.M482_16917_CVS_NamNH_240625</v>
      </c>
      <c r="U909" s="110" t="s">
        <v>7329</v>
      </c>
    </row>
    <row r="910">
      <c r="A910" s="72">
        <v>45832.0</v>
      </c>
      <c r="B910" s="60" t="s">
        <v>7277</v>
      </c>
      <c r="C910" s="67" t="str">
        <f>IFERROR(__xludf.DUMMYFUNCTION("""COMPUTED_VALUE"""),"LD243")</f>
        <v>LD243</v>
      </c>
      <c r="D910" s="55" t="s">
        <v>42</v>
      </c>
      <c r="E910" s="55" t="s">
        <v>79</v>
      </c>
      <c r="F910" s="55" t="s">
        <v>539</v>
      </c>
      <c r="G910" s="55">
        <v>2050.0</v>
      </c>
      <c r="H910" s="55" t="s">
        <v>1137</v>
      </c>
      <c r="I910" s="115" t="s">
        <v>7331</v>
      </c>
      <c r="J910" s="55" t="s">
        <v>7332</v>
      </c>
      <c r="K910" s="55" t="s">
        <v>61</v>
      </c>
      <c r="L910" s="55">
        <v>16917.0</v>
      </c>
      <c r="M910" s="55" t="s">
        <v>78</v>
      </c>
      <c r="N910" s="55" t="s">
        <v>79</v>
      </c>
      <c r="O910" s="55" t="s">
        <v>224</v>
      </c>
      <c r="P910" s="55" t="s">
        <v>110</v>
      </c>
      <c r="Q910" s="67" t="str">
        <f>IFERROR(__xludf.DUMMYFUNCTION("""COMPUTED_VALUE"""),"ALL.giaotiep.M482_16917_MES_NamNH_240625")</f>
        <v>ALL.giaotiep.M482_16917_MES_NamNH_240625</v>
      </c>
      <c r="R910" s="67" t="str">
        <f>IFERROR(__xludf.DUMMYFUNCTION("""COMPUTED_VALUE"""),"NEW_ALL_2050_none_240625")</f>
        <v>NEW_ALL_2050_none_240625</v>
      </c>
      <c r="S910" s="67" t="str">
        <f>IFERROR(__xludf.DUMMYFUNCTION("""COMPUTED_VALUE"""),"saletructiep_ALL.M482.1840.giaotiep_PTATT_LD243")</f>
        <v>saletructiep_ALL.M482.1840.giaotiep_PTATT_LD243</v>
      </c>
      <c r="T910" s="107" t="str">
        <f>IFERROR(__xludf.DUMMYFUNCTION("""COMPUTED_VALUE"""),"https://patadovietnam.edu.vn/tienganhgiaotiep1_hn/?utm_source=Facebook&amp;utm_medium=MES&amp;utm_term=NEW_ALL_2050_none_240625&amp;utm_content=saletructiep_ALL.M482.1840.giaotiep_PTATT_LD243&amp;utm_campaign=ALL.giaotiep.M482_16917_MES_NamNH_240625")</f>
        <v>https://patadovietnam.edu.vn/tienganhgiaotiep1_hn/?utm_source=Facebook&amp;utm_medium=MES&amp;utm_term=NEW_ALL_2050_none_240625&amp;utm_content=saletructiep_ALL.M482.1840.giaotiep_PTATT_LD243&amp;utm_campaign=ALL.giaotiep.M482_16917_MES_NamNH_240625</v>
      </c>
      <c r="U910" s="110" t="s">
        <v>7338</v>
      </c>
    </row>
    <row r="911">
      <c r="A911" s="72">
        <v>45832.0</v>
      </c>
      <c r="B911" s="60" t="s">
        <v>7306</v>
      </c>
      <c r="C911" s="67" t="str">
        <f>IFERROR(__xludf.DUMMYFUNCTION("""COMPUTED_VALUE"""),"LD242")</f>
        <v>LD242</v>
      </c>
      <c r="D911" s="55" t="s">
        <v>42</v>
      </c>
      <c r="E911" s="55" t="s">
        <v>69</v>
      </c>
      <c r="F911" s="55" t="s">
        <v>107</v>
      </c>
      <c r="G911" s="55">
        <v>2050.0</v>
      </c>
      <c r="H911" s="55" t="s">
        <v>1137</v>
      </c>
      <c r="I911" s="115" t="s">
        <v>7342</v>
      </c>
      <c r="J911" s="55" t="s">
        <v>7343</v>
      </c>
      <c r="K911" s="55" t="s">
        <v>61</v>
      </c>
      <c r="L911" s="55">
        <v>16917.0</v>
      </c>
      <c r="M911" s="55" t="s">
        <v>78</v>
      </c>
      <c r="N911" s="55" t="s">
        <v>79</v>
      </c>
      <c r="O911" s="55" t="s">
        <v>224</v>
      </c>
      <c r="P911" s="55" t="s">
        <v>110</v>
      </c>
      <c r="Q911" s="67" t="str">
        <f>IFERROR(__xludf.DUMMYFUNCTION("""COMPUTED_VALUE"""),"UnitedStates.giaotiep.M482_16917_MES_NamNH_240625")</f>
        <v>UnitedStates.giaotiep.M482_16917_MES_NamNH_240625</v>
      </c>
      <c r="R911" s="67" t="str">
        <f>IFERROR(__xludf.DUMMYFUNCTION("""COMPUTED_VALUE"""),"NEW_UnitedStates_2050_none_240625")</f>
        <v>NEW_UnitedStates_2050_none_240625</v>
      </c>
      <c r="S911" s="67" t="str">
        <f>IFERROR(__xludf.DUMMYFUNCTION("""COMPUTED_VALUE"""),"saletructiep_UnitedStates.M482.1840.giaotiep_PTATT_LD242")</f>
        <v>saletructiep_UnitedStates.M482.1840.giaotiep_PTATT_LD242</v>
      </c>
      <c r="T911" s="107" t="str">
        <f>IFERROR(__xludf.DUMMYFUNCTION("""COMPUTED_VALUE"""),"https://patadovietnam.edu.vn/gtusa2_nhn/?utm_source=Facebook&amp;utm_medium=CVS&amp;utm_term=NEW_UnitedStates_2050_none_240625&amp;utm_content=saletructiep_UnitedStates.M482.1840.giaotiep_PTATT_LD242&amp;utm_campaign=UnitedStates.giaotiep.M482_16917_MES_NamNH_240625")</f>
        <v>https://patadovietnam.edu.vn/gtusa2_nhn/?utm_source=Facebook&amp;utm_medium=CVS&amp;utm_term=NEW_UnitedStates_2050_none_240625&amp;utm_content=saletructiep_UnitedStates.M482.1840.giaotiep_PTATT_LD242&amp;utm_campaign=UnitedStates.giaotiep.M482_16917_MES_NamNH_240625</v>
      </c>
      <c r="U911" s="110" t="s">
        <v>7350</v>
      </c>
    </row>
    <row r="912">
      <c r="A912" s="72">
        <v>45832.0</v>
      </c>
      <c r="B912" s="60" t="s">
        <v>1229</v>
      </c>
      <c r="C912" s="67" t="str">
        <f>IFERROR(__xludf.DUMMYFUNCTION("""COMPUTED_VALUE"""),"LD164")</f>
        <v>LD164</v>
      </c>
      <c r="D912" s="55" t="s">
        <v>42</v>
      </c>
      <c r="E912" s="55" t="s">
        <v>69</v>
      </c>
      <c r="F912" s="55" t="s">
        <v>133</v>
      </c>
      <c r="G912" s="55">
        <v>1840.0</v>
      </c>
      <c r="H912" s="55" t="s">
        <v>1137</v>
      </c>
      <c r="I912" s="115" t="s">
        <v>7354</v>
      </c>
      <c r="J912" s="55" t="s">
        <v>7355</v>
      </c>
      <c r="K912" s="55" t="s">
        <v>61</v>
      </c>
      <c r="L912" s="55">
        <v>16917.0</v>
      </c>
      <c r="M912" s="55" t="s">
        <v>78</v>
      </c>
      <c r="N912" s="55" t="s">
        <v>69</v>
      </c>
      <c r="O912" s="55" t="s">
        <v>224</v>
      </c>
      <c r="P912" s="55" t="s">
        <v>110</v>
      </c>
      <c r="Q912" s="67" t="str">
        <f>IFERROR(__xludf.DUMMYFUNCTION("""COMPUTED_VALUE"""),"Japan.giaotiep.M488_16917_CVS_NamNH_240625")</f>
        <v>Japan.giaotiep.M488_16917_CVS_NamNH_240625</v>
      </c>
      <c r="R912" s="67" t="str">
        <f>IFERROR(__xludf.DUMMYFUNCTION("""COMPUTED_VALUE"""),"NEW_Japan_1840_none_240625")</f>
        <v>NEW_Japan_1840_none_240625</v>
      </c>
      <c r="S912" s="67" t="str">
        <f>IFERROR(__xludf.DUMMYFUNCTION("""COMPUTED_VALUE"""),"saletructiep_Japan.M488.1840.giaotiep_PTATT_LD164")</f>
        <v>saletructiep_Japan.M488.1840.giaotiep_PTATT_LD164</v>
      </c>
      <c r="T912" s="107" t="str">
        <f>IFERROR(__xludf.DUMMYFUNCTION("""COMPUTED_VALUE"""),"https://patadovietnam.edu.vn/gtjapan_nhn3/?utm_source=Facebook&amp;utm_medium=CVS&amp;utm_term=NEW_Japan_1840_none_240625&amp;utm_content=saletructiep_Japan.M488.1840.giaotiep_PTATT_LD164&amp;utm_campaign=Japan.giaotiep.M488_16917_CVS_NamNH_240625")</f>
        <v>https://patadovietnam.edu.vn/gtjapan_nhn3/?utm_source=Facebook&amp;utm_medium=CVS&amp;utm_term=NEW_Japan_1840_none_240625&amp;utm_content=saletructiep_Japan.M488.1840.giaotiep_PTATT_LD164&amp;utm_campaign=Japan.giaotiep.M488_16917_CVS_NamNH_240625</v>
      </c>
      <c r="U912" s="110" t="s">
        <v>7359</v>
      </c>
    </row>
    <row r="913">
      <c r="A913" s="72">
        <v>45840.0</v>
      </c>
      <c r="B913" s="60" t="s">
        <v>1134</v>
      </c>
      <c r="C913" s="67" t="str">
        <f>IFERROR(__xludf.DUMMYFUNCTION("""COMPUTED_VALUE"""),"LD153")</f>
        <v>LD153</v>
      </c>
      <c r="D913" s="55" t="s">
        <v>42</v>
      </c>
      <c r="E913" s="55" t="s">
        <v>69</v>
      </c>
      <c r="F913" s="55" t="s">
        <v>674</v>
      </c>
      <c r="G913" s="55">
        <v>1840.0</v>
      </c>
      <c r="H913" s="55" t="s">
        <v>1137</v>
      </c>
      <c r="I913" s="115" t="s">
        <v>7361</v>
      </c>
      <c r="J913" s="55" t="s">
        <v>7362</v>
      </c>
      <c r="K913" s="55" t="s">
        <v>61</v>
      </c>
      <c r="L913" s="55">
        <v>16917.0</v>
      </c>
      <c r="M913" s="55" t="s">
        <v>78</v>
      </c>
      <c r="N913" s="55" t="s">
        <v>69</v>
      </c>
      <c r="O913" s="55" t="s">
        <v>224</v>
      </c>
      <c r="P913" s="55" t="s">
        <v>110</v>
      </c>
      <c r="Q913" s="67" t="str">
        <f>IFERROR(__xludf.DUMMYFUNCTION("""COMPUTED_VALUE"""),"Europe.giaotiep.M488_16917_CVS_NamNH_020725")</f>
        <v>Europe.giaotiep.M488_16917_CVS_NamNH_020725</v>
      </c>
      <c r="R913" s="67" t="str">
        <f>IFERROR(__xludf.DUMMYFUNCTION("""COMPUTED_VALUE"""),"NEW_Europe_1840_none_020725")</f>
        <v>NEW_Europe_1840_none_020725</v>
      </c>
      <c r="S913" s="67" t="str">
        <f>IFERROR(__xludf.DUMMYFUNCTION("""COMPUTED_VALUE"""),"saletructiep_Europe.M488.1840.giaotiep_PTATT_LD153")</f>
        <v>saletructiep_Europe.M488.1840.giaotiep_PTATT_LD153</v>
      </c>
      <c r="T913" s="107" t="str">
        <f>IFERROR(__xludf.DUMMYFUNCTION("""COMPUTED_VALUE"""),"https://patadovietnam.edu.vn/tienganhgiaotiep_hn/?utm_source=Facebook&amp;utm_medium=CVS&amp;utm_term=NEW_Europe_1840_none_020725&amp;utm_content=saletructiep_Europe.M488.1840.giaotiep_PTATT_LD153&amp;utm_campaign=Europe.giaotiep.M488_16917_CVS_NamNH_020725")</f>
        <v>https://patadovietnam.edu.vn/tienganhgiaotiep_hn/?utm_source=Facebook&amp;utm_medium=CVS&amp;utm_term=NEW_Europe_1840_none_020725&amp;utm_content=saletructiep_Europe.M488.1840.giaotiep_PTATT_LD153&amp;utm_campaign=Europe.giaotiep.M488_16917_CVS_NamNH_020725</v>
      </c>
      <c r="U913" s="110" t="s">
        <v>7367</v>
      </c>
    </row>
    <row r="914">
      <c r="A914" s="72">
        <v>45840.0</v>
      </c>
      <c r="B914" s="60" t="s">
        <v>1134</v>
      </c>
      <c r="C914" s="67" t="str">
        <f>IFERROR(__xludf.DUMMYFUNCTION("""COMPUTED_VALUE"""),"LD153")</f>
        <v>LD153</v>
      </c>
      <c r="D914" s="55" t="s">
        <v>42</v>
      </c>
      <c r="E914" s="55" t="s">
        <v>69</v>
      </c>
      <c r="F914" s="55" t="s">
        <v>674</v>
      </c>
      <c r="G914" s="55">
        <v>1840.0</v>
      </c>
      <c r="H914" s="55" t="s">
        <v>1137</v>
      </c>
      <c r="I914" s="115" t="s">
        <v>7370</v>
      </c>
      <c r="J914" s="55" t="s">
        <v>7371</v>
      </c>
      <c r="K914" s="55" t="s">
        <v>61</v>
      </c>
      <c r="L914" s="55">
        <v>16917.0</v>
      </c>
      <c r="M914" s="55" t="s">
        <v>78</v>
      </c>
      <c r="N914" s="55" t="s">
        <v>69</v>
      </c>
      <c r="O914" s="55" t="s">
        <v>224</v>
      </c>
      <c r="P914" s="55" t="s">
        <v>110</v>
      </c>
      <c r="Q914" s="67" t="str">
        <f>IFERROR(__xludf.DUMMYFUNCTION("""COMPUTED_VALUE"""),"Europe.giaotiep.M489_16917_CVS_NamNH_020725")</f>
        <v>Europe.giaotiep.M489_16917_CVS_NamNH_020725</v>
      </c>
      <c r="R914" s="67" t="str">
        <f>IFERROR(__xludf.DUMMYFUNCTION("""COMPUTED_VALUE"""),"NEW_Europe_1840_none_020725")</f>
        <v>NEW_Europe_1840_none_020725</v>
      </c>
      <c r="S914" s="67" t="str">
        <f>IFERROR(__xludf.DUMMYFUNCTION("""COMPUTED_VALUE"""),"saletructiep_Europe.M489.1840.giaotiep_PTATT_LD153")</f>
        <v>saletructiep_Europe.M489.1840.giaotiep_PTATT_LD153</v>
      </c>
      <c r="T914" s="107" t="str">
        <f>IFERROR(__xludf.DUMMYFUNCTION("""COMPUTED_VALUE"""),"https://patadovietnam.edu.vn/tienganhgiaotiep_hn/?utm_source=Facebook&amp;utm_medium=CVS&amp;utm_term=NEW_Europe_1840_none_020725&amp;utm_content=saletructiep_Europe.M489.1840.giaotiep_PTATT_LD153&amp;utm_campaign=Europe.giaotiep.M489_16917_CVS_NamNH_020725")</f>
        <v>https://patadovietnam.edu.vn/tienganhgiaotiep_hn/?utm_source=Facebook&amp;utm_medium=CVS&amp;utm_term=NEW_Europe_1840_none_020725&amp;utm_content=saletructiep_Europe.M489.1840.giaotiep_PTATT_LD153&amp;utm_campaign=Europe.giaotiep.M489_16917_CVS_NamNH_020725</v>
      </c>
      <c r="U914" s="110" t="s">
        <v>7376</v>
      </c>
    </row>
    <row r="915">
      <c r="A915" s="72">
        <v>45840.0</v>
      </c>
      <c r="B915" s="60" t="s">
        <v>1245</v>
      </c>
      <c r="C915" s="67" t="str">
        <f>IFERROR(__xludf.DUMMYFUNCTION("""COMPUTED_VALUE"""),"LD161")</f>
        <v>LD161</v>
      </c>
      <c r="D915" s="55" t="s">
        <v>42</v>
      </c>
      <c r="E915" s="55" t="s">
        <v>79</v>
      </c>
      <c r="F915" s="55" t="s">
        <v>107</v>
      </c>
      <c r="G915" s="55">
        <v>2050.0</v>
      </c>
      <c r="H915" s="55" t="s">
        <v>1137</v>
      </c>
      <c r="I915" s="115" t="s">
        <v>7380</v>
      </c>
      <c r="J915" s="55" t="s">
        <v>7381</v>
      </c>
      <c r="K915" s="55" t="s">
        <v>61</v>
      </c>
      <c r="L915" s="55">
        <v>16917.0</v>
      </c>
      <c r="M915" s="55" t="s">
        <v>78</v>
      </c>
      <c r="N915" s="55" t="s">
        <v>79</v>
      </c>
      <c r="O915" s="55" t="s">
        <v>224</v>
      </c>
      <c r="P915" s="55" t="s">
        <v>110</v>
      </c>
      <c r="Q915" s="67" t="str">
        <f>IFERROR(__xludf.DUMMYFUNCTION("""COMPUTED_VALUE"""),"UnitedStates.giaotiep.M488xM489_16917_MES_NamNH_020725")</f>
        <v>UnitedStates.giaotiep.M488xM489_16917_MES_NamNH_020725</v>
      </c>
      <c r="R915" s="67" t="str">
        <f>IFERROR(__xludf.DUMMYFUNCTION("""COMPUTED_VALUE"""),"NEW_UnitedStates_2050_none_020725")</f>
        <v>NEW_UnitedStates_2050_none_020725</v>
      </c>
      <c r="S915" s="67" t="str">
        <f>IFERROR(__xludf.DUMMYFUNCTION("""COMPUTED_VALUE"""),"saletructiep_UnitedStates.M488xM489.1840.giaotiep_PTATT_LD161")</f>
        <v>saletructiep_UnitedStates.M488xM489.1840.giaotiep_PTATT_LD161</v>
      </c>
      <c r="T915" s="107" t="str">
        <f>IFERROR(__xludf.DUMMYFUNCTION("""COMPUTED_VALUE"""),"https://patadovietnam.edu.vn/gtusa1_nhn/?utm_source=Facebook&amp;utm_medium=MES&amp;utm_term=NEW_UnitedStates_2050_none_020725&amp;utm_content=saletructiep_UnitedStates.M488xM489.1840.giaotiep_PTATT_LD161&amp;utm_campaign=UnitedStates.giaotiep.M488xM489_16917_MES_NamNH_0"&amp;"20725")</f>
        <v>https://patadovietnam.edu.vn/gtusa1_nhn/?utm_source=Facebook&amp;utm_medium=MES&amp;utm_term=NEW_UnitedStates_2050_none_020725&amp;utm_content=saletructiep_UnitedStates.M488xM489.1840.giaotiep_PTATT_LD161&amp;utm_campaign=UnitedStates.giaotiep.M488xM489_16917_MES_NamNH_020725</v>
      </c>
      <c r="U915" s="110" t="s">
        <v>7384</v>
      </c>
    </row>
    <row r="916">
      <c r="A916" s="72">
        <v>45840.0</v>
      </c>
      <c r="B916" s="60" t="s">
        <v>1245</v>
      </c>
      <c r="C916" s="67" t="str">
        <f>IFERROR(__xludf.DUMMYFUNCTION("""COMPUTED_VALUE"""),"LD161")</f>
        <v>LD161</v>
      </c>
      <c r="D916" s="55" t="s">
        <v>42</v>
      </c>
      <c r="E916" s="55" t="s">
        <v>79</v>
      </c>
      <c r="F916" s="55" t="s">
        <v>107</v>
      </c>
      <c r="G916" s="55">
        <v>2050.0</v>
      </c>
      <c r="H916" s="55" t="s">
        <v>1137</v>
      </c>
      <c r="I916" s="115" t="s">
        <v>7387</v>
      </c>
      <c r="J916" s="55" t="s">
        <v>7388</v>
      </c>
      <c r="K916" s="55" t="s">
        <v>61</v>
      </c>
      <c r="L916" s="55">
        <v>16917.0</v>
      </c>
      <c r="M916" s="55" t="s">
        <v>78</v>
      </c>
      <c r="N916" s="55" t="s">
        <v>79</v>
      </c>
      <c r="O916" s="55" t="s">
        <v>224</v>
      </c>
      <c r="P916" s="55" t="s">
        <v>110</v>
      </c>
      <c r="Q916" s="67" t="str">
        <f>IFERROR(__xludf.DUMMYFUNCTION("""COMPUTED_VALUE"""),"UnitedStates.giaotiep.M490_16917_MES_NamNH_020725")</f>
        <v>UnitedStates.giaotiep.M490_16917_MES_NamNH_020725</v>
      </c>
      <c r="R916" s="67" t="str">
        <f>IFERROR(__xludf.DUMMYFUNCTION("""COMPUTED_VALUE"""),"NEW_UnitedStates_2050_none_020725")</f>
        <v>NEW_UnitedStates_2050_none_020725</v>
      </c>
      <c r="S916" s="67" t="str">
        <f>IFERROR(__xludf.DUMMYFUNCTION("""COMPUTED_VALUE"""),"saletructiep_UnitedStates.M490.1840.giaotiep_PTATT_LD161")</f>
        <v>saletructiep_UnitedStates.M490.1840.giaotiep_PTATT_LD161</v>
      </c>
      <c r="T916" s="107" t="str">
        <f>IFERROR(__xludf.DUMMYFUNCTION("""COMPUTED_VALUE"""),"https://patadovietnam.edu.vn/gtusa1_nhn/?utm_source=Facebook&amp;utm_medium=MES&amp;utm_term=NEW_UnitedStates_2050_none_020725&amp;utm_content=saletructiep_UnitedStates.M490.1840.giaotiep_PTATT_LD161&amp;utm_campaign=UnitedStates.giaotiep.M490_16917_MES_NamNH_020725")</f>
        <v>https://patadovietnam.edu.vn/gtusa1_nhn/?utm_source=Facebook&amp;utm_medium=MES&amp;utm_term=NEW_UnitedStates_2050_none_020725&amp;utm_content=saletructiep_UnitedStates.M490.1840.giaotiep_PTATT_LD161&amp;utm_campaign=UnitedStates.giaotiep.M490_16917_MES_NamNH_020725</v>
      </c>
      <c r="U916" s="110" t="s">
        <v>7393</v>
      </c>
    </row>
    <row r="917">
      <c r="A917" s="72">
        <v>45840.0</v>
      </c>
      <c r="B917" s="60" t="s">
        <v>1134</v>
      </c>
      <c r="C917" s="67" t="str">
        <f>IFERROR(__xludf.DUMMYFUNCTION("""COMPUTED_VALUE"""),"LD153")</f>
        <v>LD153</v>
      </c>
      <c r="D917" s="55" t="s">
        <v>42</v>
      </c>
      <c r="E917" s="55" t="s">
        <v>79</v>
      </c>
      <c r="F917" s="55" t="s">
        <v>625</v>
      </c>
      <c r="G917" s="55">
        <v>2050.0</v>
      </c>
      <c r="H917" s="55" t="s">
        <v>1137</v>
      </c>
      <c r="I917" s="115" t="s">
        <v>7395</v>
      </c>
      <c r="J917" s="55" t="s">
        <v>7396</v>
      </c>
      <c r="K917" s="55" t="s">
        <v>61</v>
      </c>
      <c r="L917" s="55">
        <v>16917.0</v>
      </c>
      <c r="M917" s="55" t="s">
        <v>78</v>
      </c>
      <c r="N917" s="55" t="s">
        <v>79</v>
      </c>
      <c r="O917" s="55" t="s">
        <v>224</v>
      </c>
      <c r="P917" s="55" t="s">
        <v>110</v>
      </c>
      <c r="Q917" s="67" t="str">
        <f>IFERROR(__xludf.DUMMYFUNCTION("""COMPUTED_VALUE"""),"KoreaSouth.giaotiep.M488xM489_16917_MES_NamNH_020725")</f>
        <v>KoreaSouth.giaotiep.M488xM489_16917_MES_NamNH_020725</v>
      </c>
      <c r="R917" s="67" t="str">
        <f>IFERROR(__xludf.DUMMYFUNCTION("""COMPUTED_VALUE"""),"NEW_KoreaSouth_2050_none_020725")</f>
        <v>NEW_KoreaSouth_2050_none_020725</v>
      </c>
      <c r="S917" s="67" t="str">
        <f>IFERROR(__xludf.DUMMYFUNCTION("""COMPUTED_VALUE"""),"saletructiep_KoreaSouth.M488xM489.1840.giaotiep_PTATT_LD153")</f>
        <v>saletructiep_KoreaSouth.M488xM489.1840.giaotiep_PTATT_LD153</v>
      </c>
      <c r="T917" s="107" t="str">
        <f>IFERROR(__xludf.DUMMYFUNCTION("""COMPUTED_VALUE"""),"https://patadovietnam.edu.vn/tienganhgiaotiep_hn/?utm_source=Facebook&amp;utm_medium=MES&amp;utm_term=NEW_KoreaSouth_2050_none_020725&amp;utm_content=saletructiep_KoreaSouth.M488xM489.1840.giaotiep_PTATT_LD153&amp;utm_campaign=KoreaSouth.giaotiep.M488xM489_16917_MES_NamN"&amp;"H_020725")</f>
        <v>https://patadovietnam.edu.vn/tienganhgiaotiep_hn/?utm_source=Facebook&amp;utm_medium=MES&amp;utm_term=NEW_KoreaSouth_2050_none_020725&amp;utm_content=saletructiep_KoreaSouth.M488xM489.1840.giaotiep_PTATT_LD153&amp;utm_campaign=KoreaSouth.giaotiep.M488xM489_16917_MES_NamNH_020725</v>
      </c>
      <c r="U917" s="110" t="s">
        <v>7397</v>
      </c>
    </row>
    <row r="918">
      <c r="A918" s="72">
        <v>45845.0</v>
      </c>
      <c r="B918" s="60" t="s">
        <v>1229</v>
      </c>
      <c r="C918" s="67" t="str">
        <f>IFERROR(__xludf.DUMMYFUNCTION("""COMPUTED_VALUE"""),"LD164")</f>
        <v>LD164</v>
      </c>
      <c r="D918" s="55" t="s">
        <v>42</v>
      </c>
      <c r="E918" s="55" t="s">
        <v>69</v>
      </c>
      <c r="F918" s="55" t="s">
        <v>133</v>
      </c>
      <c r="G918" s="55">
        <v>1840.0</v>
      </c>
      <c r="H918" s="55" t="s">
        <v>1137</v>
      </c>
      <c r="I918" s="115" t="s">
        <v>7398</v>
      </c>
      <c r="J918" s="55" t="s">
        <v>7399</v>
      </c>
      <c r="K918" s="55" t="s">
        <v>61</v>
      </c>
      <c r="L918" s="55">
        <v>16917.0</v>
      </c>
      <c r="M918" s="55" t="s">
        <v>78</v>
      </c>
      <c r="N918" s="55" t="s">
        <v>69</v>
      </c>
      <c r="O918" s="55" t="s">
        <v>224</v>
      </c>
      <c r="P918" s="55" t="s">
        <v>110</v>
      </c>
      <c r="Q918" s="67" t="str">
        <f>IFERROR(__xludf.DUMMYFUNCTION("""COMPUTED_VALUE"""),"Japan.giaotiep.M491xM492_16917_CVS_NamNH_070725")</f>
        <v>Japan.giaotiep.M491xM492_16917_CVS_NamNH_070725</v>
      </c>
      <c r="R918" s="67" t="str">
        <f>IFERROR(__xludf.DUMMYFUNCTION("""COMPUTED_VALUE"""),"NEW_Japan_1840_none_070725")</f>
        <v>NEW_Japan_1840_none_070725</v>
      </c>
      <c r="S918" s="67" t="str">
        <f>IFERROR(__xludf.DUMMYFUNCTION("""COMPUTED_VALUE"""),"saletructiep_Japan.M491xM492.1840.giaotiep_PTATT_LD164")</f>
        <v>saletructiep_Japan.M491xM492.1840.giaotiep_PTATT_LD164</v>
      </c>
      <c r="T918" s="107" t="str">
        <f>IFERROR(__xludf.DUMMYFUNCTION("""COMPUTED_VALUE"""),"https://patadovietnam.edu.vn/gtjapan_nhn3/?utm_source=Facebook&amp;utm_medium=CVS&amp;utm_term=NEW_Japan_1840_none_070725&amp;utm_content=saletructiep_Japan.M491xM492.1840.giaotiep_PTATT_LD164&amp;utm_campaign=Japan.giaotiep.M491xM492_16917_CVS_NamNH_070725")</f>
        <v>https://patadovietnam.edu.vn/gtjapan_nhn3/?utm_source=Facebook&amp;utm_medium=CVS&amp;utm_term=NEW_Japan_1840_none_070725&amp;utm_content=saletructiep_Japan.M491xM492.1840.giaotiep_PTATT_LD164&amp;utm_campaign=Japan.giaotiep.M491xM492_16917_CVS_NamNH_070725</v>
      </c>
      <c r="U918" s="110" t="s">
        <v>7400</v>
      </c>
    </row>
    <row r="919">
      <c r="A919" s="72">
        <v>45845.0</v>
      </c>
      <c r="B919" s="60" t="s">
        <v>1134</v>
      </c>
      <c r="C919" s="67" t="str">
        <f>IFERROR(__xludf.DUMMYFUNCTION("""COMPUTED_VALUE"""),"LD153")</f>
        <v>LD153</v>
      </c>
      <c r="D919" s="55" t="s">
        <v>42</v>
      </c>
      <c r="E919" s="55" t="s">
        <v>69</v>
      </c>
      <c r="F919" s="55" t="s">
        <v>674</v>
      </c>
      <c r="G919" s="55">
        <v>1840.0</v>
      </c>
      <c r="H919" s="55" t="s">
        <v>1137</v>
      </c>
      <c r="I919" s="115" t="s">
        <v>7401</v>
      </c>
      <c r="J919" s="55" t="s">
        <v>7402</v>
      </c>
      <c r="K919" s="55" t="s">
        <v>61</v>
      </c>
      <c r="L919" s="55">
        <v>16917.0</v>
      </c>
      <c r="M919" s="55" t="s">
        <v>78</v>
      </c>
      <c r="N919" s="55" t="s">
        <v>69</v>
      </c>
      <c r="O919" s="55" t="s">
        <v>224</v>
      </c>
      <c r="P919" s="55" t="s">
        <v>110</v>
      </c>
      <c r="Q919" s="67" t="str">
        <f>IFERROR(__xludf.DUMMYFUNCTION("""COMPUTED_VALUE"""),"Europe.giaotiep.M491xM492_16917_CVS_NamNH_070725")</f>
        <v>Europe.giaotiep.M491xM492_16917_CVS_NamNH_070725</v>
      </c>
      <c r="R919" s="67" t="str">
        <f>IFERROR(__xludf.DUMMYFUNCTION("""COMPUTED_VALUE"""),"NEW_Europe_1840_none_070725")</f>
        <v>NEW_Europe_1840_none_070725</v>
      </c>
      <c r="S919" s="67" t="str">
        <f>IFERROR(__xludf.DUMMYFUNCTION("""COMPUTED_VALUE"""),"saletructiep_Europe.M491xM492.1840.giaotiep_PTATT_LD153")</f>
        <v>saletructiep_Europe.M491xM492.1840.giaotiep_PTATT_LD153</v>
      </c>
      <c r="T919" s="107" t="str">
        <f>IFERROR(__xludf.DUMMYFUNCTION("""COMPUTED_VALUE"""),"https://patadovietnam.edu.vn/tienganhgiaotiep_hn/?utm_source=Facebook&amp;utm_medium=CVS&amp;utm_term=NEW_Europe_1840_none_070725&amp;utm_content=saletructiep_Europe.M491xM492.1840.giaotiep_PTATT_LD153&amp;utm_campaign=Europe.giaotiep.M491xM492_16917_CVS_NamNH_070725")</f>
        <v>https://patadovietnam.edu.vn/tienganhgiaotiep_hn/?utm_source=Facebook&amp;utm_medium=CVS&amp;utm_term=NEW_Europe_1840_none_070725&amp;utm_content=saletructiep_Europe.M491xM492.1840.giaotiep_PTATT_LD153&amp;utm_campaign=Europe.giaotiep.M491xM492_16917_CVS_NamNH_070725</v>
      </c>
      <c r="U919" s="110" t="s">
        <v>7404</v>
      </c>
    </row>
    <row r="920">
      <c r="A920" s="72">
        <v>45846.0</v>
      </c>
      <c r="B920" s="60" t="s">
        <v>1134</v>
      </c>
      <c r="C920" s="67" t="str">
        <f>IFERROR(__xludf.DUMMYFUNCTION("""COMPUTED_VALUE"""),"LD153")</f>
        <v>LD153</v>
      </c>
      <c r="D920" s="55" t="s">
        <v>42</v>
      </c>
      <c r="E920" s="55" t="s">
        <v>79</v>
      </c>
      <c r="F920" s="55" t="s">
        <v>539</v>
      </c>
      <c r="G920" s="55">
        <v>2050.0</v>
      </c>
      <c r="H920" s="55" t="s">
        <v>1137</v>
      </c>
      <c r="I920" s="115" t="s">
        <v>7411</v>
      </c>
      <c r="J920" s="55" t="s">
        <v>7412</v>
      </c>
      <c r="K920" s="55" t="s">
        <v>61</v>
      </c>
      <c r="L920" s="55">
        <v>16917.0</v>
      </c>
      <c r="M920" s="55" t="s">
        <v>78</v>
      </c>
      <c r="N920" s="55" t="s">
        <v>69</v>
      </c>
      <c r="O920" s="55" t="s">
        <v>224</v>
      </c>
      <c r="P920" s="55" t="s">
        <v>110</v>
      </c>
      <c r="Q920" s="67" t="str">
        <f>IFERROR(__xludf.DUMMYFUNCTION("""COMPUTED_VALUE"""),"ALL.giaotiep.M417_16917_CVS_NamNH_080725")</f>
        <v>ALL.giaotiep.M417_16917_CVS_NamNH_080725</v>
      </c>
      <c r="R920" s="67" t="str">
        <f>IFERROR(__xludf.DUMMYFUNCTION("""COMPUTED_VALUE"""),"NEW_ALL_2050_none_080725")</f>
        <v>NEW_ALL_2050_none_080725</v>
      </c>
      <c r="S920" s="67" t="str">
        <f>IFERROR(__xludf.DUMMYFUNCTION("""COMPUTED_VALUE"""),"saletructiep_ALL.M417.1840.giaotiep_PTATT_LD153")</f>
        <v>saletructiep_ALL.M417.1840.giaotiep_PTATT_LD153</v>
      </c>
      <c r="T920" s="107" t="str">
        <f>IFERROR(__xludf.DUMMYFUNCTION("""COMPUTED_VALUE"""),"https://patadovietnam.edu.vn/tienganhgiaotiep_hn/?utm_source=Facebook&amp;utm_medium=MES&amp;utm_term=NEW_ALL_2050_none_080725&amp;utm_content=saletructiep_ALL.M417.1840.giaotiep_PTATT_LD153&amp;utm_campaign=ALL.giaotiep.M417_16917_CVS_NamNH_080725")</f>
        <v>https://patadovietnam.edu.vn/tienganhgiaotiep_hn/?utm_source=Facebook&amp;utm_medium=MES&amp;utm_term=NEW_ALL_2050_none_080725&amp;utm_content=saletructiep_ALL.M417.1840.giaotiep_PTATT_LD153&amp;utm_campaign=ALL.giaotiep.M417_16917_CVS_NamNH_080725</v>
      </c>
      <c r="U920" s="110" t="s">
        <v>7415</v>
      </c>
    </row>
    <row r="921">
      <c r="A921" s="72">
        <v>45854.0</v>
      </c>
      <c r="B921" s="60" t="s">
        <v>1134</v>
      </c>
      <c r="C921" s="67" t="str">
        <f>IFERROR(__xludf.DUMMYFUNCTION("""COMPUTED_VALUE"""),"LD153")</f>
        <v>LD153</v>
      </c>
      <c r="D921" s="55" t="s">
        <v>42</v>
      </c>
      <c r="E921" s="55" t="s">
        <v>79</v>
      </c>
      <c r="F921" s="55" t="s">
        <v>674</v>
      </c>
      <c r="G921" s="55">
        <v>1840.0</v>
      </c>
      <c r="H921" s="55" t="s">
        <v>1137</v>
      </c>
      <c r="I921" s="115" t="s">
        <v>7401</v>
      </c>
      <c r="J921" s="55" t="s">
        <v>7402</v>
      </c>
      <c r="K921" s="55" t="s">
        <v>61</v>
      </c>
      <c r="L921" s="55">
        <v>16917.0</v>
      </c>
      <c r="M921" s="55" t="s">
        <v>78</v>
      </c>
      <c r="N921" s="55" t="s">
        <v>79</v>
      </c>
      <c r="O921" s="55" t="s">
        <v>224</v>
      </c>
      <c r="P921" s="55" t="s">
        <v>110</v>
      </c>
      <c r="Q921" s="67" t="str">
        <f>IFERROR(__xludf.DUMMYFUNCTION("""COMPUTED_VALUE"""),"Europe.giaotiep.M491xM492_16917_MES_NamNH_160725")</f>
        <v>Europe.giaotiep.M491xM492_16917_MES_NamNH_160725</v>
      </c>
      <c r="R921" s="67" t="str">
        <f>IFERROR(__xludf.DUMMYFUNCTION("""COMPUTED_VALUE"""),"NEW_Europe_1840_none_160725")</f>
        <v>NEW_Europe_1840_none_160725</v>
      </c>
      <c r="S921" s="67" t="str">
        <f>IFERROR(__xludf.DUMMYFUNCTION("""COMPUTED_VALUE"""),"saletructiep_Europe.M491xM492.1840.giaotiep_PTATT_LD153")</f>
        <v>saletructiep_Europe.M491xM492.1840.giaotiep_PTATT_LD153</v>
      </c>
      <c r="T921" s="107" t="str">
        <f>IFERROR(__xludf.DUMMYFUNCTION("""COMPUTED_VALUE"""),"https://patadovietnam.edu.vn/tienganhgiaotiep_hn/?utm_source=Facebook&amp;utm_medium=MES&amp;utm_term=NEW_Europe_1840_none_160725&amp;utm_content=saletructiep_Europe.M491xM492.1840.giaotiep_PTATT_LD153&amp;utm_campaign=Europe.giaotiep.M491xM492_16917_MES_NamNH_160725")</f>
        <v>https://patadovietnam.edu.vn/tienganhgiaotiep_hn/?utm_source=Facebook&amp;utm_medium=MES&amp;utm_term=NEW_Europe_1840_none_160725&amp;utm_content=saletructiep_Europe.M491xM492.1840.giaotiep_PTATT_LD153&amp;utm_campaign=Europe.giaotiep.M491xM492_16917_MES_NamNH_160725</v>
      </c>
      <c r="U921" s="110" t="s">
        <v>7418</v>
      </c>
    </row>
    <row r="922">
      <c r="A922" s="72">
        <v>45854.0</v>
      </c>
      <c r="B922" s="60" t="s">
        <v>1134</v>
      </c>
      <c r="C922" s="67" t="str">
        <f>IFERROR(__xludf.DUMMYFUNCTION("""COMPUTED_VALUE"""),"LD153")</f>
        <v>LD153</v>
      </c>
      <c r="D922" s="55" t="s">
        <v>42</v>
      </c>
      <c r="E922" s="55" t="s">
        <v>79</v>
      </c>
      <c r="F922" s="55" t="s">
        <v>674</v>
      </c>
      <c r="G922" s="55">
        <v>1840.0</v>
      </c>
      <c r="H922" s="55" t="s">
        <v>1137</v>
      </c>
      <c r="I922" s="115" t="s">
        <v>7420</v>
      </c>
      <c r="J922" s="55" t="s">
        <v>7421</v>
      </c>
      <c r="K922" s="55" t="s">
        <v>61</v>
      </c>
      <c r="L922" s="55">
        <v>16917.0</v>
      </c>
      <c r="M922" s="55" t="s">
        <v>78</v>
      </c>
      <c r="N922" s="55" t="s">
        <v>79</v>
      </c>
      <c r="O922" s="55" t="s">
        <v>224</v>
      </c>
      <c r="P922" s="55" t="s">
        <v>110</v>
      </c>
      <c r="Q922" s="67" t="str">
        <f>IFERROR(__xludf.DUMMYFUNCTION("""COMPUTED_VALUE"""),"Europe.giaotiep.M497xM498_16917_MES_NamNH_160725")</f>
        <v>Europe.giaotiep.M497xM498_16917_MES_NamNH_160725</v>
      </c>
      <c r="R922" s="67" t="str">
        <f>IFERROR(__xludf.DUMMYFUNCTION("""COMPUTED_VALUE"""),"NEW_Europe_1840_none_160725")</f>
        <v>NEW_Europe_1840_none_160725</v>
      </c>
      <c r="S922" s="67" t="str">
        <f>IFERROR(__xludf.DUMMYFUNCTION("""COMPUTED_VALUE"""),"saletructiep_Europe.M497xM498.1840.giaotiep_PTATT_LD153")</f>
        <v>saletructiep_Europe.M497xM498.1840.giaotiep_PTATT_LD153</v>
      </c>
      <c r="T922" s="107" t="str">
        <f>IFERROR(__xludf.DUMMYFUNCTION("""COMPUTED_VALUE"""),"https://patadovietnam.edu.vn/tienganhgiaotiep_hn/?utm_source=Facebook&amp;utm_medium=MES&amp;utm_term=NEW_Europe_1840_none_160725&amp;utm_content=saletructiep_Europe.M497xM498.1840.giaotiep_PTATT_LD153&amp;utm_campaign=Europe.giaotiep.M497xM498_16917_MES_NamNH_160725")</f>
        <v>https://patadovietnam.edu.vn/tienganhgiaotiep_hn/?utm_source=Facebook&amp;utm_medium=MES&amp;utm_term=NEW_Europe_1840_none_160725&amp;utm_content=saletructiep_Europe.M497xM498.1840.giaotiep_PTATT_LD153&amp;utm_campaign=Europe.giaotiep.M497xM498_16917_MES_NamNH_160725</v>
      </c>
      <c r="U922" s="110" t="s">
        <v>7423</v>
      </c>
    </row>
    <row r="923">
      <c r="A923" s="72">
        <v>45854.0</v>
      </c>
      <c r="B923" s="60" t="s">
        <v>1134</v>
      </c>
      <c r="C923" s="67" t="str">
        <f>IFERROR(__xludf.DUMMYFUNCTION("""COMPUTED_VALUE"""),"LD153")</f>
        <v>LD153</v>
      </c>
      <c r="D923" s="55" t="s">
        <v>42</v>
      </c>
      <c r="E923" s="55" t="s">
        <v>79</v>
      </c>
      <c r="F923" s="55" t="s">
        <v>674</v>
      </c>
      <c r="G923" s="55">
        <v>1840.0</v>
      </c>
      <c r="H923" s="55" t="s">
        <v>1137</v>
      </c>
      <c r="I923" s="115" t="s">
        <v>7425</v>
      </c>
      <c r="J923" s="55" t="s">
        <v>6861</v>
      </c>
      <c r="K923" s="55" t="s">
        <v>61</v>
      </c>
      <c r="L923" s="55">
        <v>16917.0</v>
      </c>
      <c r="M923" s="55" t="s">
        <v>78</v>
      </c>
      <c r="N923" s="55" t="s">
        <v>79</v>
      </c>
      <c r="O923" s="55" t="s">
        <v>224</v>
      </c>
      <c r="P923" s="55" t="s">
        <v>110</v>
      </c>
      <c r="Q923" s="67" t="str">
        <f>IFERROR(__xludf.DUMMYFUNCTION("""COMPUTED_VALUE"""),"Europe.giaotiep.M236xJHxanhnote_16917_MES_NamNH_160725")</f>
        <v>Europe.giaotiep.M236xJHxanhnote_16917_MES_NamNH_160725</v>
      </c>
      <c r="R923" s="67" t="str">
        <f>IFERROR(__xludf.DUMMYFUNCTION("""COMPUTED_VALUE"""),"NEW_Europe_1840_none_160725")</f>
        <v>NEW_Europe_1840_none_160725</v>
      </c>
      <c r="S923" s="67" t="str">
        <f>IFERROR(__xludf.DUMMYFUNCTION("""COMPUTED_VALUE"""),"saletructiep_Europe.M236xJHxanhnote.1840.giaotiep_PTATT_LD153")</f>
        <v>saletructiep_Europe.M236xJHxanhnote.1840.giaotiep_PTATT_LD153</v>
      </c>
      <c r="T923" s="107" t="str">
        <f>IFERROR(__xludf.DUMMYFUNCTION("""COMPUTED_VALUE"""),"https://patadovietnam.edu.vn/tienganhgiaotiep_hn/?utm_source=Facebook&amp;utm_medium=MES&amp;utm_term=NEW_Europe_1840_none_160725&amp;utm_content=saletructiep_Europe.M236xJHxanhnote.1840.giaotiep_PTATT_LD153&amp;utm_campaign=Europe.giaotiep.M236xJHxanhnote_16917_MES_NamN"&amp;"H_160725")</f>
        <v>https://patadovietnam.edu.vn/tienganhgiaotiep_hn/?utm_source=Facebook&amp;utm_medium=MES&amp;utm_term=NEW_Europe_1840_none_160725&amp;utm_content=saletructiep_Europe.M236xJHxanhnote.1840.giaotiep_PTATT_LD153&amp;utm_campaign=Europe.giaotiep.M236xJHxanhnote_16917_MES_NamNH_160725</v>
      </c>
      <c r="U923" s="110" t="s">
        <v>7428</v>
      </c>
    </row>
    <row r="924">
      <c r="A924" s="72">
        <v>45854.0</v>
      </c>
      <c r="B924" s="60" t="s">
        <v>1229</v>
      </c>
      <c r="C924" s="67" t="str">
        <f>IFERROR(__xludf.DUMMYFUNCTION("""COMPUTED_VALUE"""),"LD164")</f>
        <v>LD164</v>
      </c>
      <c r="D924" s="55" t="s">
        <v>42</v>
      </c>
      <c r="E924" s="55" t="s">
        <v>79</v>
      </c>
      <c r="F924" s="55" t="s">
        <v>133</v>
      </c>
      <c r="G924" s="55">
        <v>1840.0</v>
      </c>
      <c r="H924" s="55" t="s">
        <v>1137</v>
      </c>
      <c r="I924" s="115" t="s">
        <v>7398</v>
      </c>
      <c r="J924" s="55" t="s">
        <v>7399</v>
      </c>
      <c r="K924" s="55" t="s">
        <v>61</v>
      </c>
      <c r="L924" s="55">
        <v>16917.0</v>
      </c>
      <c r="M924" s="55" t="s">
        <v>78</v>
      </c>
      <c r="N924" s="55" t="s">
        <v>79</v>
      </c>
      <c r="O924" s="55" t="s">
        <v>224</v>
      </c>
      <c r="P924" s="55" t="s">
        <v>110</v>
      </c>
      <c r="Q924" s="67" t="str">
        <f>IFERROR(__xludf.DUMMYFUNCTION("""COMPUTED_VALUE"""),"Japan.giaotiep.M491xM492_16917_MES_NamNH_160725")</f>
        <v>Japan.giaotiep.M491xM492_16917_MES_NamNH_160725</v>
      </c>
      <c r="R924" s="67" t="str">
        <f>IFERROR(__xludf.DUMMYFUNCTION("""COMPUTED_VALUE"""),"NEW_Japan_1840_none_160725")</f>
        <v>NEW_Japan_1840_none_160725</v>
      </c>
      <c r="S924" s="67" t="str">
        <f>IFERROR(__xludf.DUMMYFUNCTION("""COMPUTED_VALUE"""),"saletructiep_Japan.M491xM492.1840.giaotiep_PTATT_LD164")</f>
        <v>saletructiep_Japan.M491xM492.1840.giaotiep_PTATT_LD164</v>
      </c>
      <c r="T924" s="107" t="str">
        <f>IFERROR(__xludf.DUMMYFUNCTION("""COMPUTED_VALUE"""),"https://patadovietnam.edu.vn/gtjapan_nhn3/?utm_source=Facebook&amp;utm_medium=MES&amp;utm_term=NEW_Japan_1840_none_160725&amp;utm_content=saletructiep_Japan.M491xM492.1840.giaotiep_PTATT_LD164&amp;utm_campaign=Japan.giaotiep.M491xM492_16917_MES_NamNH_160725")</f>
        <v>https://patadovietnam.edu.vn/gtjapan_nhn3/?utm_source=Facebook&amp;utm_medium=MES&amp;utm_term=NEW_Japan_1840_none_160725&amp;utm_content=saletructiep_Japan.M491xM492.1840.giaotiep_PTATT_LD164&amp;utm_campaign=Japan.giaotiep.M491xM492_16917_MES_NamNH_160725</v>
      </c>
      <c r="U924" s="110" t="s">
        <v>7432</v>
      </c>
    </row>
    <row r="925">
      <c r="A925" s="72">
        <v>45854.0</v>
      </c>
      <c r="B925" s="60" t="s">
        <v>1229</v>
      </c>
      <c r="C925" s="67" t="str">
        <f>IFERROR(__xludf.DUMMYFUNCTION("""COMPUTED_VALUE"""),"LD164")</f>
        <v>LD164</v>
      </c>
      <c r="D925" s="55" t="s">
        <v>42</v>
      </c>
      <c r="E925" s="55" t="s">
        <v>79</v>
      </c>
      <c r="F925" s="55" t="s">
        <v>133</v>
      </c>
      <c r="G925" s="55">
        <v>1840.0</v>
      </c>
      <c r="H925" s="55" t="s">
        <v>1137</v>
      </c>
      <c r="I925" s="115" t="s">
        <v>7433</v>
      </c>
      <c r="J925" s="55" t="s">
        <v>7434</v>
      </c>
      <c r="K925" s="55" t="s">
        <v>61</v>
      </c>
      <c r="L925" s="55">
        <v>16917.0</v>
      </c>
      <c r="M925" s="55" t="s">
        <v>78</v>
      </c>
      <c r="N925" s="55" t="s">
        <v>79</v>
      </c>
      <c r="O925" s="55" t="s">
        <v>224</v>
      </c>
      <c r="P925" s="55" t="s">
        <v>110</v>
      </c>
      <c r="Q925" s="67" t="str">
        <f>IFERROR(__xludf.DUMMYFUNCTION("""COMPUTED_VALUE"""),"Japan.giaotiep.M497xM498_16917_MES_NamNH_160725")</f>
        <v>Japan.giaotiep.M497xM498_16917_MES_NamNH_160725</v>
      </c>
      <c r="R925" s="67" t="str">
        <f>IFERROR(__xludf.DUMMYFUNCTION("""COMPUTED_VALUE"""),"NEW_Japan_1840_none_160725")</f>
        <v>NEW_Japan_1840_none_160725</v>
      </c>
      <c r="S925" s="67" t="str">
        <f>IFERROR(__xludf.DUMMYFUNCTION("""COMPUTED_VALUE"""),"saletructiep_Japan.M497xM498.1840.giaotiep_PTATT_LD164")</f>
        <v>saletructiep_Japan.M497xM498.1840.giaotiep_PTATT_LD164</v>
      </c>
      <c r="T925" s="107" t="str">
        <f>IFERROR(__xludf.DUMMYFUNCTION("""COMPUTED_VALUE"""),"https://patadovietnam.edu.vn/gtjapan_nhn3/?utm_source=Facebook&amp;utm_medium=MES&amp;utm_term=NEW_Japan_1840_none_160725&amp;utm_content=saletructiep_Japan.M497xM498.1840.giaotiep_PTATT_LD164&amp;utm_campaign=Japan.giaotiep.M497xM498_16917_MES_NamNH_160725")</f>
        <v>https://patadovietnam.edu.vn/gtjapan_nhn3/?utm_source=Facebook&amp;utm_medium=MES&amp;utm_term=NEW_Japan_1840_none_160725&amp;utm_content=saletructiep_Japan.M497xM498.1840.giaotiep_PTATT_LD164&amp;utm_campaign=Japan.giaotiep.M497xM498_16917_MES_NamNH_160725</v>
      </c>
      <c r="U925" s="110" t="s">
        <v>7437</v>
      </c>
    </row>
    <row r="926">
      <c r="A926" s="72">
        <v>45870.0</v>
      </c>
      <c r="B926" s="60" t="s">
        <v>1229</v>
      </c>
      <c r="C926" s="67" t="str">
        <f>IFERROR(__xludf.DUMMYFUNCTION("""COMPUTED_VALUE"""),"LD164")</f>
        <v>LD164</v>
      </c>
      <c r="D926" s="55" t="s">
        <v>42</v>
      </c>
      <c r="E926" s="55" t="s">
        <v>79</v>
      </c>
      <c r="F926" s="55" t="s">
        <v>133</v>
      </c>
      <c r="G926" s="55">
        <v>1840.0</v>
      </c>
      <c r="H926" s="55" t="s">
        <v>1137</v>
      </c>
      <c r="I926" s="115" t="s">
        <v>7032</v>
      </c>
      <c r="J926" s="55" t="s">
        <v>7033</v>
      </c>
      <c r="K926" s="55" t="s">
        <v>61</v>
      </c>
      <c r="L926" s="55">
        <v>16917.0</v>
      </c>
      <c r="M926" s="55" t="s">
        <v>78</v>
      </c>
      <c r="N926" s="55" t="s">
        <v>79</v>
      </c>
      <c r="O926" s="55" t="s">
        <v>224</v>
      </c>
      <c r="P926" s="55" t="s">
        <v>110</v>
      </c>
      <c r="Q926" s="67" t="str">
        <f>IFERROR(__xludf.DUMMYFUNCTION("""COMPUTED_VALUE"""),"Japan.giaotiep.anhltxanhnote_16917_MES_NamNH_010825")</f>
        <v>Japan.giaotiep.anhltxanhnote_16917_MES_NamNH_010825</v>
      </c>
      <c r="R926" s="67" t="str">
        <f>IFERROR(__xludf.DUMMYFUNCTION("""COMPUTED_VALUE"""),"NEW_Japan_1840_none_010825")</f>
        <v>NEW_Japan_1840_none_010825</v>
      </c>
      <c r="S926" s="67" t="str">
        <f>IFERROR(__xludf.DUMMYFUNCTION("""COMPUTED_VALUE"""),"saletructiep_Japan.anhltxanhnote.1840.giaotiep_PTATT_LD164")</f>
        <v>saletructiep_Japan.anhltxanhnote.1840.giaotiep_PTATT_LD164</v>
      </c>
      <c r="T926" s="107" t="str">
        <f>IFERROR(__xludf.DUMMYFUNCTION("""COMPUTED_VALUE"""),"https://patadovietnam.edu.vn/gtjapan_nhn3/?utm_source=Facebook&amp;utm_medium=MES&amp;utm_term=NEW_Japan_1840_none_010825&amp;utm_content=saletructiep_Japan.anhltxanhnote.1840.giaotiep_PTATT_LD164&amp;utm_campaign=Japan.giaotiep.anhltxanhnote_16917_MES_NamNH_010825")</f>
        <v>https://patadovietnam.edu.vn/gtjapan_nhn3/?utm_source=Facebook&amp;utm_medium=MES&amp;utm_term=NEW_Japan_1840_none_010825&amp;utm_content=saletructiep_Japan.anhltxanhnote.1840.giaotiep_PTATT_LD164&amp;utm_campaign=Japan.giaotiep.anhltxanhnote_16917_MES_NamNH_010825</v>
      </c>
      <c r="U926" s="110" t="s">
        <v>7440</v>
      </c>
    </row>
    <row r="927">
      <c r="A927" s="72">
        <v>45870.0</v>
      </c>
      <c r="B927" s="60" t="s">
        <v>1134</v>
      </c>
      <c r="C927" s="67" t="str">
        <f>IFERROR(__xludf.DUMMYFUNCTION("""COMPUTED_VALUE"""),"LD153")</f>
        <v>LD153</v>
      </c>
      <c r="D927" s="55" t="s">
        <v>42</v>
      </c>
      <c r="E927" s="55" t="s">
        <v>69</v>
      </c>
      <c r="F927" s="55" t="s">
        <v>674</v>
      </c>
      <c r="G927" s="55">
        <v>1840.0</v>
      </c>
      <c r="H927" s="55" t="s">
        <v>1137</v>
      </c>
      <c r="I927" s="115" t="s">
        <v>7442</v>
      </c>
      <c r="J927" s="55" t="s">
        <v>7443</v>
      </c>
      <c r="K927" s="55" t="s">
        <v>61</v>
      </c>
      <c r="L927" s="55">
        <v>16917.0</v>
      </c>
      <c r="M927" s="55" t="s">
        <v>78</v>
      </c>
      <c r="N927" s="55" t="s">
        <v>69</v>
      </c>
      <c r="O927" s="55" t="s">
        <v>224</v>
      </c>
      <c r="P927" s="55" t="s">
        <v>110</v>
      </c>
      <c r="Q927" s="67" t="str">
        <f>IFERROR(__xludf.DUMMYFUNCTION("""COMPUTED_VALUE"""),"Europe.giaotiep.M505xM506_16917_CVS_NamNH_010825")</f>
        <v>Europe.giaotiep.M505xM506_16917_CVS_NamNH_010825</v>
      </c>
      <c r="R927" s="67" t="str">
        <f>IFERROR(__xludf.DUMMYFUNCTION("""COMPUTED_VALUE"""),"NEW_Europe_1840_none_010825")</f>
        <v>NEW_Europe_1840_none_010825</v>
      </c>
      <c r="S927" s="67" t="str">
        <f>IFERROR(__xludf.DUMMYFUNCTION("""COMPUTED_VALUE"""),"saletructiep_Europe.M505xM506.1840.giaotiep_PTATT_LD153")</f>
        <v>saletructiep_Europe.M505xM506.1840.giaotiep_PTATT_LD153</v>
      </c>
      <c r="T927" s="107" t="str">
        <f>IFERROR(__xludf.DUMMYFUNCTION("""COMPUTED_VALUE"""),"https://patadovietnam.edu.vn/tienganhgiaotiep_hn/?utm_source=Facebook&amp;utm_medium=CVS&amp;utm_term=NEW_Europe_1840_none_010825&amp;utm_content=saletructiep_Europe.M505xM506.1840.giaotiep_PTATT_LD153&amp;utm_campaign=Europe.giaotiep.M505xM506_16917_CVS_NamNH_010825")</f>
        <v>https://patadovietnam.edu.vn/tienganhgiaotiep_hn/?utm_source=Facebook&amp;utm_medium=CVS&amp;utm_term=NEW_Europe_1840_none_010825&amp;utm_content=saletructiep_Europe.M505xM506.1840.giaotiep_PTATT_LD153&amp;utm_campaign=Europe.giaotiep.M505xM506_16917_CVS_NamNH_010825</v>
      </c>
      <c r="U927" s="110" t="s">
        <v>7446</v>
      </c>
    </row>
    <row r="928">
      <c r="A928" s="72">
        <v>45870.0</v>
      </c>
      <c r="B928" s="60" t="s">
        <v>1245</v>
      </c>
      <c r="C928" s="67" t="str">
        <f>IFERROR(__xludf.DUMMYFUNCTION("""COMPUTED_VALUE"""),"LD161")</f>
        <v>LD161</v>
      </c>
      <c r="D928" s="55" t="s">
        <v>42</v>
      </c>
      <c r="E928" s="55" t="s">
        <v>79</v>
      </c>
      <c r="F928" s="55" t="s">
        <v>107</v>
      </c>
      <c r="G928" s="55">
        <v>2050.0</v>
      </c>
      <c r="H928" s="55" t="s">
        <v>1137</v>
      </c>
      <c r="I928" s="115" t="s">
        <v>7449</v>
      </c>
      <c r="J928" s="55" t="s">
        <v>7450</v>
      </c>
      <c r="K928" s="55" t="s">
        <v>61</v>
      </c>
      <c r="L928" s="55">
        <v>16917.0</v>
      </c>
      <c r="M928" s="55" t="s">
        <v>78</v>
      </c>
      <c r="N928" s="55" t="s">
        <v>79</v>
      </c>
      <c r="O928" s="55" t="s">
        <v>224</v>
      </c>
      <c r="P928" s="55" t="s">
        <v>110</v>
      </c>
      <c r="Q928" s="67" t="str">
        <f>IFERROR(__xludf.DUMMYFUNCTION("""COMPUTED_VALUE"""),"UnitedStates.giaotiep.M505xM506_16917_MES_NamNH_010825")</f>
        <v>UnitedStates.giaotiep.M505xM506_16917_MES_NamNH_010825</v>
      </c>
      <c r="R928" s="67" t="str">
        <f>IFERROR(__xludf.DUMMYFUNCTION("""COMPUTED_VALUE"""),"NEW_UnitedStates_2050_none_010825")</f>
        <v>NEW_UnitedStates_2050_none_010825</v>
      </c>
      <c r="S928" s="67" t="str">
        <f>IFERROR(__xludf.DUMMYFUNCTION("""COMPUTED_VALUE"""),"saletructiep_UnitedStates.M505xM506.1840.giaotiep_PTATT_LD161")</f>
        <v>saletructiep_UnitedStates.M505xM506.1840.giaotiep_PTATT_LD161</v>
      </c>
      <c r="T928" s="107" t="str">
        <f>IFERROR(__xludf.DUMMYFUNCTION("""COMPUTED_VALUE"""),"https://patadovietnam.edu.vn/gtusa1_nhn/?utm_source=Facebook&amp;utm_medium=MES&amp;utm_term=NEW_UnitedStates_2050_none_010825&amp;utm_content=saletructiep_UnitedStates.M505xM506.1840.giaotiep_PTATT_LD161&amp;utm_campaign=UnitedStates.giaotiep.M505xM506_16917_MES_NamNH_0"&amp;"10825")</f>
        <v>https://patadovietnam.edu.vn/gtusa1_nhn/?utm_source=Facebook&amp;utm_medium=MES&amp;utm_term=NEW_UnitedStates_2050_none_010825&amp;utm_content=saletructiep_UnitedStates.M505xM506.1840.giaotiep_PTATT_LD161&amp;utm_campaign=UnitedStates.giaotiep.M505xM506_16917_MES_NamNH_010825</v>
      </c>
      <c r="U928" s="110" t="s">
        <v>7453</v>
      </c>
    </row>
    <row r="929">
      <c r="A929" s="72">
        <v>45870.0</v>
      </c>
      <c r="B929" s="60" t="s">
        <v>1134</v>
      </c>
      <c r="C929" s="67" t="str">
        <f>IFERROR(__xludf.DUMMYFUNCTION("""COMPUTED_VALUE"""),"LD153")</f>
        <v>LD153</v>
      </c>
      <c r="D929" s="55" t="s">
        <v>42</v>
      </c>
      <c r="E929" s="55" t="s">
        <v>79</v>
      </c>
      <c r="F929" s="55" t="s">
        <v>674</v>
      </c>
      <c r="G929" s="55">
        <v>1840.0</v>
      </c>
      <c r="H929" s="55" t="s">
        <v>1137</v>
      </c>
      <c r="I929" s="115" t="s">
        <v>7455</v>
      </c>
      <c r="J929" s="55" t="s">
        <v>7456</v>
      </c>
      <c r="K929" s="55" t="s">
        <v>61</v>
      </c>
      <c r="L929" s="55">
        <v>16917.0</v>
      </c>
      <c r="M929" s="55" t="s">
        <v>78</v>
      </c>
      <c r="N929" s="55" t="s">
        <v>79</v>
      </c>
      <c r="O929" s="55" t="s">
        <v>224</v>
      </c>
      <c r="P929" s="55" t="s">
        <v>110</v>
      </c>
      <c r="Q929" s="67" t="str">
        <f>IFERROR(__xludf.DUMMYFUNCTION("""COMPUTED_VALUE"""),"Europe.giaotiep.M504_16917_MES_NamNH_010825")</f>
        <v>Europe.giaotiep.M504_16917_MES_NamNH_010825</v>
      </c>
      <c r="R929" s="67" t="str">
        <f>IFERROR(__xludf.DUMMYFUNCTION("""COMPUTED_VALUE"""),"NEW_Europe_1840_none_010825")</f>
        <v>NEW_Europe_1840_none_010825</v>
      </c>
      <c r="S929" s="67" t="str">
        <f>IFERROR(__xludf.DUMMYFUNCTION("""COMPUTED_VALUE"""),"saletructiep_Europe.M504.1840.giaotiep_PTATT_LD153")</f>
        <v>saletructiep_Europe.M504.1840.giaotiep_PTATT_LD153</v>
      </c>
      <c r="T929" s="107" t="str">
        <f>IFERROR(__xludf.DUMMYFUNCTION("""COMPUTED_VALUE"""),"https://patadovietnam.edu.vn/tienganhgiaotiep_hn/?utm_source=Facebook&amp;utm_medium=MES&amp;utm_term=NEW_Europe_1840_none_010825&amp;utm_content=saletructiep_Europe.M504.1840.giaotiep_PTATT_LD153&amp;utm_campaign=Europe.giaotiep.M504_16917_MES_NamNH_010825")</f>
        <v>https://patadovietnam.edu.vn/tienganhgiaotiep_hn/?utm_source=Facebook&amp;utm_medium=MES&amp;utm_term=NEW_Europe_1840_none_010825&amp;utm_content=saletructiep_Europe.M504.1840.giaotiep_PTATT_LD153&amp;utm_campaign=Europe.giaotiep.M504_16917_MES_NamNH_010825</v>
      </c>
      <c r="U929" s="110" t="s">
        <v>7460</v>
      </c>
    </row>
    <row r="930">
      <c r="A930" s="72">
        <v>45870.0</v>
      </c>
      <c r="B930" s="60" t="s">
        <v>1229</v>
      </c>
      <c r="C930" s="67" t="str">
        <f>IFERROR(__xludf.DUMMYFUNCTION("""COMPUTED_VALUE"""),"LD164")</f>
        <v>LD164</v>
      </c>
      <c r="D930" s="55" t="s">
        <v>42</v>
      </c>
      <c r="E930" s="55" t="s">
        <v>69</v>
      </c>
      <c r="F930" s="55" t="s">
        <v>133</v>
      </c>
      <c r="G930" s="55">
        <v>1840.0</v>
      </c>
      <c r="H930" s="55" t="s">
        <v>1137</v>
      </c>
      <c r="I930" s="115" t="s">
        <v>7462</v>
      </c>
      <c r="J930" s="55" t="s">
        <v>7464</v>
      </c>
      <c r="K930" s="55" t="s">
        <v>61</v>
      </c>
      <c r="L930" s="55">
        <v>16917.0</v>
      </c>
      <c r="M930" s="55" t="s">
        <v>78</v>
      </c>
      <c r="N930" s="55" t="s">
        <v>69</v>
      </c>
      <c r="O930" s="55" t="s">
        <v>224</v>
      </c>
      <c r="P930" s="55" t="s">
        <v>110</v>
      </c>
      <c r="Q930" s="67" t="str">
        <f>IFERROR(__xludf.DUMMYFUNCTION("""COMPUTED_VALUE"""),"Japan.giaotiep.M505xM506_16917_CVS_NamNH_010825")</f>
        <v>Japan.giaotiep.M505xM506_16917_CVS_NamNH_010825</v>
      </c>
      <c r="R930" s="67" t="str">
        <f>IFERROR(__xludf.DUMMYFUNCTION("""COMPUTED_VALUE"""),"NEW_Japan_1840_none_010825")</f>
        <v>NEW_Japan_1840_none_010825</v>
      </c>
      <c r="S930" s="67" t="str">
        <f>IFERROR(__xludf.DUMMYFUNCTION("""COMPUTED_VALUE"""),"saletructiep_Japan.M505xM506.1840.giaotiep_PTATT_LD164")</f>
        <v>saletructiep_Japan.M505xM506.1840.giaotiep_PTATT_LD164</v>
      </c>
      <c r="T930" s="107" t="str">
        <f>IFERROR(__xludf.DUMMYFUNCTION("""COMPUTED_VALUE"""),"https://patadovietnam.edu.vn/gtjapan_nhn3/?utm_source=Facebook&amp;utm_medium=CVS&amp;utm_term=NEW_Japan_1840_none_010825&amp;utm_content=saletructiep_Japan.M505xM506.1840.giaotiep_PTATT_LD164&amp;utm_campaign=Japan.giaotiep.M505xM506_16917_CVS_NamNH_010825")</f>
        <v>https://patadovietnam.edu.vn/gtjapan_nhn3/?utm_source=Facebook&amp;utm_medium=CVS&amp;utm_term=NEW_Japan_1840_none_010825&amp;utm_content=saletructiep_Japan.M505xM506.1840.giaotiep_PTATT_LD164&amp;utm_campaign=Japan.giaotiep.M505xM506_16917_CVS_NamNH_010825</v>
      </c>
      <c r="U930" s="110" t="s">
        <v>7467</v>
      </c>
    </row>
    <row r="931">
      <c r="A931" s="72">
        <v>45870.0</v>
      </c>
      <c r="B931" s="60" t="s">
        <v>1229</v>
      </c>
      <c r="C931" s="67" t="str">
        <f>IFERROR(__xludf.DUMMYFUNCTION("""COMPUTED_VALUE"""),"LD164")</f>
        <v>LD164</v>
      </c>
      <c r="D931" s="55" t="s">
        <v>42</v>
      </c>
      <c r="E931" s="55" t="s">
        <v>79</v>
      </c>
      <c r="F931" s="55" t="s">
        <v>133</v>
      </c>
      <c r="G931" s="55">
        <v>1840.0</v>
      </c>
      <c r="H931" s="55" t="s">
        <v>1137</v>
      </c>
      <c r="I931" s="115" t="s">
        <v>7469</v>
      </c>
      <c r="J931" s="55" t="s">
        <v>7470</v>
      </c>
      <c r="K931" s="55" t="s">
        <v>61</v>
      </c>
      <c r="L931" s="55">
        <v>16917.0</v>
      </c>
      <c r="M931" s="55" t="s">
        <v>78</v>
      </c>
      <c r="N931" s="55" t="s">
        <v>79</v>
      </c>
      <c r="O931" s="55" t="s">
        <v>224</v>
      </c>
      <c r="P931" s="55" t="s">
        <v>110</v>
      </c>
      <c r="Q931" s="67" t="str">
        <f>IFERROR(__xludf.DUMMYFUNCTION("""COMPUTED_VALUE"""),"Japan.giaotiep.M504_16917_MES_NamNH_010825")</f>
        <v>Japan.giaotiep.M504_16917_MES_NamNH_010825</v>
      </c>
      <c r="R931" s="67" t="str">
        <f>IFERROR(__xludf.DUMMYFUNCTION("""COMPUTED_VALUE"""),"NEW_Japan_1840_none_010825")</f>
        <v>NEW_Japan_1840_none_010825</v>
      </c>
      <c r="S931" s="67" t="str">
        <f>IFERROR(__xludf.DUMMYFUNCTION("""COMPUTED_VALUE"""),"saletructiep_Japan.M504.1840.giaotiep_PTATT_LD164")</f>
        <v>saletructiep_Japan.M504.1840.giaotiep_PTATT_LD164</v>
      </c>
      <c r="T931" s="107" t="str">
        <f>IFERROR(__xludf.DUMMYFUNCTION("""COMPUTED_VALUE"""),"https://patadovietnam.edu.vn/gtjapan_nhn3/?utm_source=Facebook&amp;utm_medium=MES&amp;utm_term=NEW_Japan_1840_none_010825&amp;utm_content=saletructiep_Japan.M504.1840.giaotiep_PTATT_LD164&amp;utm_campaign=Japan.giaotiep.M504_16917_MES_NamNH_010825")</f>
        <v>https://patadovietnam.edu.vn/gtjapan_nhn3/?utm_source=Facebook&amp;utm_medium=MES&amp;utm_term=NEW_Japan_1840_none_010825&amp;utm_content=saletructiep_Japan.M504.1840.giaotiep_PTATT_LD164&amp;utm_campaign=Japan.giaotiep.M504_16917_MES_NamNH_010825</v>
      </c>
      <c r="U931" s="110" t="s">
        <v>7474</v>
      </c>
    </row>
    <row r="932">
      <c r="A932" s="72">
        <v>45870.0</v>
      </c>
      <c r="B932" s="60" t="s">
        <v>1134</v>
      </c>
      <c r="C932" s="67" t="str">
        <f>IFERROR(__xludf.DUMMYFUNCTION("""COMPUTED_VALUE"""),"LD153")</f>
        <v>LD153</v>
      </c>
      <c r="D932" s="55" t="s">
        <v>42</v>
      </c>
      <c r="E932" s="55" t="s">
        <v>79</v>
      </c>
      <c r="F932" s="55" t="s">
        <v>539</v>
      </c>
      <c r="G932" s="55">
        <v>1840.0</v>
      </c>
      <c r="H932" s="55" t="s">
        <v>1137</v>
      </c>
      <c r="I932" s="115" t="s">
        <v>7476</v>
      </c>
      <c r="J932" s="55" t="s">
        <v>7477</v>
      </c>
      <c r="K932" s="55" t="s">
        <v>61</v>
      </c>
      <c r="L932" s="55">
        <v>16917.0</v>
      </c>
      <c r="M932" s="55" t="s">
        <v>78</v>
      </c>
      <c r="N932" s="55" t="s">
        <v>79</v>
      </c>
      <c r="O932" s="55" t="s">
        <v>224</v>
      </c>
      <c r="P932" s="55" t="s">
        <v>110</v>
      </c>
      <c r="Q932" s="67" t="str">
        <f>IFERROR(__xludf.DUMMYFUNCTION("""COMPUTED_VALUE"""),"ALL.giaotiep.M505xM506_16917_MES_NamNH_010825")</f>
        <v>ALL.giaotiep.M505xM506_16917_MES_NamNH_010825</v>
      </c>
      <c r="R932" s="67" t="str">
        <f>IFERROR(__xludf.DUMMYFUNCTION("""COMPUTED_VALUE"""),"NEW_ALL_1840_none_010825")</f>
        <v>NEW_ALL_1840_none_010825</v>
      </c>
      <c r="S932" s="67" t="str">
        <f>IFERROR(__xludf.DUMMYFUNCTION("""COMPUTED_VALUE"""),"saletructiep_ALL.M505xM506.1840.giaotiep_PTATT_LD153")</f>
        <v>saletructiep_ALL.M505xM506.1840.giaotiep_PTATT_LD153</v>
      </c>
      <c r="T932" s="107" t="str">
        <f>IFERROR(__xludf.DUMMYFUNCTION("""COMPUTED_VALUE"""),"https://patadovietnam.edu.vn/tienganhgiaotiep_hn/?utm_source=Facebook&amp;utm_medium=MES&amp;utm_term=NEW_ALL_1840_none_010825&amp;utm_content=saletructiep_ALL.M505xM506.1840.giaotiep_PTATT_LD153&amp;utm_campaign=ALL.giaotiep.M505xM506_16917_MES_NamNH_010825")</f>
        <v>https://patadovietnam.edu.vn/tienganhgiaotiep_hn/?utm_source=Facebook&amp;utm_medium=MES&amp;utm_term=NEW_ALL_1840_none_010825&amp;utm_content=saletructiep_ALL.M505xM506.1840.giaotiep_PTATT_LD153&amp;utm_campaign=ALL.giaotiep.M505xM506_16917_MES_NamNH_010825</v>
      </c>
      <c r="U932" s="110" t="s">
        <v>7482</v>
      </c>
    </row>
    <row r="933">
      <c r="A933" s="72">
        <v>45873.0</v>
      </c>
      <c r="B933" s="60" t="s">
        <v>7483</v>
      </c>
      <c r="C933" s="67" t="str">
        <f>IFERROR(__xludf.DUMMYFUNCTION("""COMPUTED_VALUE"""),"LD246")</f>
        <v>LD246</v>
      </c>
      <c r="D933" s="55" t="s">
        <v>42</v>
      </c>
      <c r="E933" s="55" t="s">
        <v>69</v>
      </c>
      <c r="F933" s="55" t="s">
        <v>133</v>
      </c>
      <c r="G933" s="55">
        <v>1840.0</v>
      </c>
      <c r="H933" s="55" t="s">
        <v>1137</v>
      </c>
      <c r="I933" s="115" t="s">
        <v>7462</v>
      </c>
      <c r="J933" s="55" t="s">
        <v>7464</v>
      </c>
      <c r="K933" s="55" t="s">
        <v>61</v>
      </c>
      <c r="L933" s="55">
        <v>16917.0</v>
      </c>
      <c r="M933" s="55" t="s">
        <v>78</v>
      </c>
      <c r="N933" s="55" t="s">
        <v>69</v>
      </c>
      <c r="O933" s="55" t="s">
        <v>224</v>
      </c>
      <c r="P933" s="55" t="s">
        <v>110</v>
      </c>
      <c r="Q933" s="67" t="str">
        <f>IFERROR(__xludf.DUMMYFUNCTION("""COMPUTED_VALUE"""),"Japan.giaotiep.M505xM506_16917_CVS_NamNH_040825")</f>
        <v>Japan.giaotiep.M505xM506_16917_CVS_NamNH_040825</v>
      </c>
      <c r="R933" s="67" t="str">
        <f>IFERROR(__xludf.DUMMYFUNCTION("""COMPUTED_VALUE"""),"NEW_Japan_1840_none_040825")</f>
        <v>NEW_Japan_1840_none_040825</v>
      </c>
      <c r="S933" s="67" t="str">
        <f>IFERROR(__xludf.DUMMYFUNCTION("""COMPUTED_VALUE"""),"saletructiep_Japan.M505xM506.1840.giaotiep_PTATT_LD246")</f>
        <v>saletructiep_Japan.M505xM506.1840.giaotiep_PTATT_LD246</v>
      </c>
      <c r="T933" s="107" t="str">
        <f>IFERROR(__xludf.DUMMYFUNCTION("""COMPUTED_VALUE"""),"https://patadovietnam.edu.vn/gt_nhn/?utm_source=Facebook&amp;utm_medium=CVS&amp;utm_term=NEW_Japan_1840_none_040825&amp;utm_content=saletructiep_Japan.M505xM506.1840.giaotiep_PTATT_LD246&amp;utm_campaign=Japan.giaotiep.M505xM506_16917_CVS_NamNH_040825")</f>
        <v>https://patadovietnam.edu.vn/gt_nhn/?utm_source=Facebook&amp;utm_medium=CVS&amp;utm_term=NEW_Japan_1840_none_040825&amp;utm_content=saletructiep_Japan.M505xM506.1840.giaotiep_PTATT_LD246&amp;utm_campaign=Japan.giaotiep.M505xM506_16917_CVS_NamNH_040825</v>
      </c>
      <c r="U933" s="110" t="s">
        <v>7493</v>
      </c>
    </row>
    <row r="934">
      <c r="A934" s="72">
        <v>45873.0</v>
      </c>
      <c r="B934" s="60" t="s">
        <v>7483</v>
      </c>
      <c r="C934" s="67" t="str">
        <f>IFERROR(__xludf.DUMMYFUNCTION("""COMPUTED_VALUE"""),"LD246")</f>
        <v>LD246</v>
      </c>
      <c r="D934" s="55" t="s">
        <v>42</v>
      </c>
      <c r="E934" s="55" t="s">
        <v>69</v>
      </c>
      <c r="F934" s="55" t="s">
        <v>539</v>
      </c>
      <c r="G934" s="55">
        <v>1840.0</v>
      </c>
      <c r="H934" s="55" t="s">
        <v>1137</v>
      </c>
      <c r="I934" s="115" t="s">
        <v>7496</v>
      </c>
      <c r="J934" s="55" t="s">
        <v>7497</v>
      </c>
      <c r="K934" s="55" t="s">
        <v>61</v>
      </c>
      <c r="L934" s="55">
        <v>16917.0</v>
      </c>
      <c r="M934" s="55" t="s">
        <v>78</v>
      </c>
      <c r="N934" s="55" t="s">
        <v>69</v>
      </c>
      <c r="O934" s="55" t="s">
        <v>224</v>
      </c>
      <c r="P934" s="55" t="s">
        <v>110</v>
      </c>
      <c r="Q934" s="67" t="str">
        <f>IFERROR(__xludf.DUMMYFUNCTION("""COMPUTED_VALUE"""),"ALL.giaotiep.M264xM269xJHxqcpatado1_16917_CVS_NamNH_040825")</f>
        <v>ALL.giaotiep.M264xM269xJHxqcpatado1_16917_CVS_NamNH_040825</v>
      </c>
      <c r="R934" s="67" t="str">
        <f>IFERROR(__xludf.DUMMYFUNCTION("""COMPUTED_VALUE"""),"NEW_ALL_1840_none_040825")</f>
        <v>NEW_ALL_1840_none_040825</v>
      </c>
      <c r="S934" s="67" t="str">
        <f>IFERROR(__xludf.DUMMYFUNCTION("""COMPUTED_VALUE"""),"saletructiep_ALL.M264xM269xJHxqcpatado1.1840.giaotiep_PTATT_LD246")</f>
        <v>saletructiep_ALL.M264xM269xJHxqcpatado1.1840.giaotiep_PTATT_LD246</v>
      </c>
      <c r="T934" s="107" t="str">
        <f>IFERROR(__xludf.DUMMYFUNCTION("""COMPUTED_VALUE"""),"https://patadovietnam.edu.vn/gt_nhn/?utm_source=Facebook&amp;utm_medium=CVS&amp;utm_term=NEW_ALL_1840_none_040825&amp;utm_content=saletructiep_ALL.M264xM269xJHxqcpatado1.1840.giaotiep_PTATT_LD246&amp;utm_campaign=ALL.giaotiep.M264xM269xJHxqcpatado1_16917_CVS_NamNH_040825")</f>
        <v>https://patadovietnam.edu.vn/gt_nhn/?utm_source=Facebook&amp;utm_medium=CVS&amp;utm_term=NEW_ALL_1840_none_040825&amp;utm_content=saletructiep_ALL.M264xM269xJHxqcpatado1.1840.giaotiep_PTATT_LD246&amp;utm_campaign=ALL.giaotiep.M264xM269xJHxqcpatado1_16917_CVS_NamNH_040825</v>
      </c>
      <c r="U934" s="110" t="s">
        <v>7500</v>
      </c>
    </row>
    <row r="935">
      <c r="A935" s="72">
        <v>45884.0</v>
      </c>
      <c r="B935" s="60" t="s">
        <v>1134</v>
      </c>
      <c r="C935" s="67" t="str">
        <f>IFERROR(__xludf.DUMMYFUNCTION("""COMPUTED_VALUE"""),"LD153")</f>
        <v>LD153</v>
      </c>
      <c r="D935" s="55" t="s">
        <v>42</v>
      </c>
      <c r="E935" s="55" t="s">
        <v>79</v>
      </c>
      <c r="F935" s="55" t="s">
        <v>674</v>
      </c>
      <c r="G935" s="55">
        <v>1840.0</v>
      </c>
      <c r="H935" s="55" t="s">
        <v>1137</v>
      </c>
      <c r="I935" s="115" t="s">
        <v>7502</v>
      </c>
      <c r="J935" s="55" t="s">
        <v>7503</v>
      </c>
      <c r="K935" s="55" t="s">
        <v>61</v>
      </c>
      <c r="L935" s="55">
        <v>16917.0</v>
      </c>
      <c r="M935" s="55" t="s">
        <v>78</v>
      </c>
      <c r="N935" s="55" t="s">
        <v>79</v>
      </c>
      <c r="O935" s="55" t="s">
        <v>224</v>
      </c>
      <c r="P935" s="55" t="s">
        <v>110</v>
      </c>
      <c r="Q935" s="67" t="str">
        <f>IFERROR(__xludf.DUMMYFUNCTION("""COMPUTED_VALUE"""),"Europe.kids.M508xM509_16917_MES_NamNH_150825")</f>
        <v>Europe.kids.M508xM509_16917_MES_NamNH_150825</v>
      </c>
      <c r="R935" s="67" t="str">
        <f>IFERROR(__xludf.DUMMYFUNCTION("""COMPUTED_VALUE"""),"NEW_Europe_1840_none_150825")</f>
        <v>NEW_Europe_1840_none_150825</v>
      </c>
      <c r="S935" s="67" t="str">
        <f>IFERROR(__xludf.DUMMYFUNCTION("""COMPUTED_VALUE"""),"saletructiep_Europe.M508xM509.1840.kids_PTATT_LD153")</f>
        <v>saletructiep_Europe.M508xM509.1840.kids_PTATT_LD153</v>
      </c>
      <c r="T935" s="107" t="str">
        <f>IFERROR(__xludf.DUMMYFUNCTION("""COMPUTED_VALUE"""),"https://patadovietnam.edu.vn/tienganhgiaotiep_hn/?utm_source=Facebook&amp;utm_medium=MES&amp;utm_term=NEW_Europe_1840_none_150825&amp;utm_content=saletructiep_Europe.M508xM509.1840.kids_PTATT_LD153&amp;utm_campaign=Europe.kids.M508xM509_16917_MES_NamNH_150825")</f>
        <v>https://patadovietnam.edu.vn/tienganhgiaotiep_hn/?utm_source=Facebook&amp;utm_medium=MES&amp;utm_term=NEW_Europe_1840_none_150825&amp;utm_content=saletructiep_Europe.M508xM509.1840.kids_PTATT_LD153&amp;utm_campaign=Europe.kids.M508xM509_16917_MES_NamNH_150825</v>
      </c>
      <c r="U935" s="110" t="s">
        <v>7507</v>
      </c>
    </row>
    <row r="936">
      <c r="A936" s="72">
        <v>45884.0</v>
      </c>
      <c r="B936" s="60" t="s">
        <v>1134</v>
      </c>
      <c r="C936" s="67" t="str">
        <f>IFERROR(__xludf.DUMMYFUNCTION("""COMPUTED_VALUE"""),"LD153")</f>
        <v>LD153</v>
      </c>
      <c r="D936" s="55" t="s">
        <v>42</v>
      </c>
      <c r="E936" s="55" t="s">
        <v>79</v>
      </c>
      <c r="F936" s="55" t="s">
        <v>539</v>
      </c>
      <c r="G936" s="55">
        <v>1840.0</v>
      </c>
      <c r="H936" s="55" t="s">
        <v>1137</v>
      </c>
      <c r="I936" s="115" t="s">
        <v>7509</v>
      </c>
      <c r="J936" s="55" t="s">
        <v>7510</v>
      </c>
      <c r="K936" s="55" t="s">
        <v>61</v>
      </c>
      <c r="L936" s="55">
        <v>16917.0</v>
      </c>
      <c r="M936" s="55" t="s">
        <v>78</v>
      </c>
      <c r="N936" s="55" t="s">
        <v>79</v>
      </c>
      <c r="O936" s="55" t="s">
        <v>224</v>
      </c>
      <c r="P936" s="55" t="s">
        <v>110</v>
      </c>
      <c r="Q936" s="67" t="str">
        <f>IFERROR(__xludf.DUMMYFUNCTION("""COMPUTED_VALUE"""),"ALL.kids.M508xM509_16917_MES_NamNH_150825")</f>
        <v>ALL.kids.M508xM509_16917_MES_NamNH_150825</v>
      </c>
      <c r="R936" s="67" t="str">
        <f>IFERROR(__xludf.DUMMYFUNCTION("""COMPUTED_VALUE"""),"NEW_ALL_1840_none_150825")</f>
        <v>NEW_ALL_1840_none_150825</v>
      </c>
      <c r="S936" s="67" t="str">
        <f>IFERROR(__xludf.DUMMYFUNCTION("""COMPUTED_VALUE"""),"saletructiep_ALL.M508xM509.1840.giaotiep_PTATT_LD153")</f>
        <v>saletructiep_ALL.M508xM509.1840.giaotiep_PTATT_LD153</v>
      </c>
      <c r="T936" s="107" t="str">
        <f>IFERROR(__xludf.DUMMYFUNCTION("""COMPUTED_VALUE"""),"https://patadovietnam.edu.vn/tienganhgiaotiep_hn/?utm_source=Facebook&amp;utm_medium=MES&amp;utm_term=NEW_ALL_1840_none_150825&amp;utm_content=saletructiep_ALL.M508xM509.1840.giaotiep_PTATT_LD153&amp;utm_campaign=ALL.kids.M508xM509_16917_MES_NamNH_150825")</f>
        <v>https://patadovietnam.edu.vn/tienganhgiaotiep_hn/?utm_source=Facebook&amp;utm_medium=MES&amp;utm_term=NEW_ALL_1840_none_150825&amp;utm_content=saletructiep_ALL.M508xM509.1840.giaotiep_PTATT_LD153&amp;utm_campaign=ALL.kids.M508xM509_16917_MES_NamNH_150825</v>
      </c>
      <c r="U936" s="110" t="s">
        <v>7513</v>
      </c>
    </row>
    <row r="937">
      <c r="A937" s="72">
        <v>45903.0</v>
      </c>
      <c r="B937" s="60" t="s">
        <v>1134</v>
      </c>
      <c r="C937" s="67" t="str">
        <f>IFERROR(__xludf.DUMMYFUNCTION("""COMPUTED_VALUE"""),"LD153")</f>
        <v>LD153</v>
      </c>
      <c r="D937" s="55" t="s">
        <v>42</v>
      </c>
      <c r="E937" s="55" t="s">
        <v>69</v>
      </c>
      <c r="F937" s="55" t="s">
        <v>674</v>
      </c>
      <c r="G937" s="55">
        <v>1840.0</v>
      </c>
      <c r="H937" s="55" t="s">
        <v>1137</v>
      </c>
      <c r="I937" s="115" t="s">
        <v>7516</v>
      </c>
      <c r="J937" s="55" t="s">
        <v>7517</v>
      </c>
      <c r="K937" s="55" t="s">
        <v>61</v>
      </c>
      <c r="L937" s="55">
        <v>16917.0</v>
      </c>
      <c r="M937" s="55" t="s">
        <v>78</v>
      </c>
      <c r="N937" s="55" t="s">
        <v>69</v>
      </c>
      <c r="O937" s="55" t="s">
        <v>224</v>
      </c>
      <c r="P937" s="55" t="s">
        <v>110</v>
      </c>
      <c r="Q937" s="67" t="str">
        <f>IFERROR(__xludf.DUMMYFUNCTION("""COMPUTED_VALUE"""),"Europe.giaotiep.M526_16917_CVS_NamNH_030925")</f>
        <v>Europe.giaotiep.M526_16917_CVS_NamNH_030925</v>
      </c>
      <c r="R937" s="67" t="str">
        <f>IFERROR(__xludf.DUMMYFUNCTION("""COMPUTED_VALUE"""),"NEW_Europe_1840_none_030925")</f>
        <v>NEW_Europe_1840_none_030925</v>
      </c>
      <c r="S937" s="67" t="str">
        <f>IFERROR(__xludf.DUMMYFUNCTION("""COMPUTED_VALUE"""),"saletructiep_Europe.M526.1840.giaotiep_PTATT_LD153")</f>
        <v>saletructiep_Europe.M526.1840.giaotiep_PTATT_LD153</v>
      </c>
      <c r="T937" s="107" t="str">
        <f>IFERROR(__xludf.DUMMYFUNCTION("""COMPUTED_VALUE"""),"https://patadovietnam.edu.vn/tienganhgiaotiep_hn/?utm_source=Facebook&amp;utm_medium=CVS&amp;utm_term=NEW_Europe_1840_none_030925&amp;utm_content=saletructiep_Europe.M526.1840.giaotiep_PTATT_LD153&amp;utm_campaign=Europe.giaotiep.M526_16917_CVS_NamNH_030925")</f>
        <v>https://patadovietnam.edu.vn/tienganhgiaotiep_hn/?utm_source=Facebook&amp;utm_medium=CVS&amp;utm_term=NEW_Europe_1840_none_030925&amp;utm_content=saletructiep_Europe.M526.1840.giaotiep_PTATT_LD153&amp;utm_campaign=Europe.giaotiep.M526_16917_CVS_NamNH_030925</v>
      </c>
      <c r="U937" s="110" t="s">
        <v>7520</v>
      </c>
    </row>
    <row r="938">
      <c r="A938" s="72">
        <v>45903.0</v>
      </c>
      <c r="B938" s="60" t="s">
        <v>1134</v>
      </c>
      <c r="C938" s="67" t="str">
        <f>IFERROR(__xludf.DUMMYFUNCTION("""COMPUTED_VALUE"""),"LD153")</f>
        <v>LD153</v>
      </c>
      <c r="D938" s="55" t="s">
        <v>42</v>
      </c>
      <c r="E938" s="55" t="s">
        <v>69</v>
      </c>
      <c r="F938" s="55" t="s">
        <v>133</v>
      </c>
      <c r="G938" s="55">
        <v>1840.0</v>
      </c>
      <c r="H938" s="55" t="s">
        <v>1137</v>
      </c>
      <c r="I938" s="115" t="s">
        <v>7522</v>
      </c>
      <c r="J938" s="55" t="s">
        <v>7523</v>
      </c>
      <c r="K938" s="55" t="s">
        <v>61</v>
      </c>
      <c r="L938" s="55">
        <v>16917.0</v>
      </c>
      <c r="M938" s="55" t="s">
        <v>78</v>
      </c>
      <c r="N938" s="55" t="s">
        <v>69</v>
      </c>
      <c r="O938" s="55" t="s">
        <v>224</v>
      </c>
      <c r="P938" s="55" t="s">
        <v>110</v>
      </c>
      <c r="Q938" s="67" t="str">
        <f>IFERROR(__xludf.DUMMYFUNCTION("""COMPUTED_VALUE"""),"Japan.giaotiep.M526_16917_CVS_NamNH_030925")</f>
        <v>Japan.giaotiep.M526_16917_CVS_NamNH_030925</v>
      </c>
      <c r="R938" s="67" t="str">
        <f>IFERROR(__xludf.DUMMYFUNCTION("""COMPUTED_VALUE"""),"NEW_Japan_1840_none_030925")</f>
        <v>NEW_Japan_1840_none_030925</v>
      </c>
      <c r="S938" s="67" t="str">
        <f>IFERROR(__xludf.DUMMYFUNCTION("""COMPUTED_VALUE"""),"saletructiep_Japan.M526.1840.giaotiep_PTATT_LD153")</f>
        <v>saletructiep_Japan.M526.1840.giaotiep_PTATT_LD153</v>
      </c>
      <c r="T938" s="107" t="str">
        <f>IFERROR(__xludf.DUMMYFUNCTION("""COMPUTED_VALUE"""),"https://patadovietnam.edu.vn/tienganhgiaotiep_hn/?utm_source=Facebook&amp;utm_medium=CVS&amp;utm_term=NEW_Japan_1840_none_030925&amp;utm_content=saletructiep_Japan.M526.1840.giaotiep_PTATT_LD153&amp;utm_campaign=Japan.giaotiep.M526_16917_CVS_NamNH_030925")</f>
        <v>https://patadovietnam.edu.vn/tienganhgiaotiep_hn/?utm_source=Facebook&amp;utm_medium=CVS&amp;utm_term=NEW_Japan_1840_none_030925&amp;utm_content=saletructiep_Japan.M526.1840.giaotiep_PTATT_LD153&amp;utm_campaign=Japan.giaotiep.M526_16917_CVS_NamNH_030925</v>
      </c>
      <c r="U938" s="110" t="s">
        <v>7526</v>
      </c>
    </row>
    <row r="939">
      <c r="A939" s="72">
        <v>45903.0</v>
      </c>
      <c r="B939" s="60" t="s">
        <v>1134</v>
      </c>
      <c r="C939" s="67" t="str">
        <f>IFERROR(__xludf.DUMMYFUNCTION("""COMPUTED_VALUE"""),"LD153")</f>
        <v>LD153</v>
      </c>
      <c r="D939" s="55" t="s">
        <v>42</v>
      </c>
      <c r="E939" s="55" t="s">
        <v>69</v>
      </c>
      <c r="F939" s="55" t="s">
        <v>674</v>
      </c>
      <c r="G939" s="55">
        <v>1840.0</v>
      </c>
      <c r="H939" s="55" t="s">
        <v>1137</v>
      </c>
      <c r="I939" s="115" t="s">
        <v>7528</v>
      </c>
      <c r="J939" s="55" t="s">
        <v>7529</v>
      </c>
      <c r="K939" s="55" t="s">
        <v>61</v>
      </c>
      <c r="L939" s="55">
        <v>16917.0</v>
      </c>
      <c r="M939" s="55" t="s">
        <v>78</v>
      </c>
      <c r="N939" s="55" t="s">
        <v>69</v>
      </c>
      <c r="O939" s="55" t="s">
        <v>224</v>
      </c>
      <c r="P939" s="55" t="s">
        <v>110</v>
      </c>
      <c r="Q939" s="67" t="str">
        <f>IFERROR(__xludf.DUMMYFUNCTION("""COMPUTED_VALUE"""),"Europe.giaotiep.M523_16917_CVS_NamNH_030925")</f>
        <v>Europe.giaotiep.M523_16917_CVS_NamNH_030925</v>
      </c>
      <c r="R939" s="67" t="str">
        <f>IFERROR(__xludf.DUMMYFUNCTION("""COMPUTED_VALUE"""),"NEW_Europe_1840_none_030925")</f>
        <v>NEW_Europe_1840_none_030925</v>
      </c>
      <c r="S939" s="67" t="str">
        <f>IFERROR(__xludf.DUMMYFUNCTION("""COMPUTED_VALUE"""),"saletructiep_Europe.M523.1840.giaotiep_PTATT_LD153")</f>
        <v>saletructiep_Europe.M523.1840.giaotiep_PTATT_LD153</v>
      </c>
      <c r="T939" s="107" t="str">
        <f>IFERROR(__xludf.DUMMYFUNCTION("""COMPUTED_VALUE"""),"https://patadovietnam.edu.vn/tienganhgiaotiep_hn/?utm_source=Facebook&amp;utm_medium=CVS&amp;utm_term=NEW_Europe_1840_none_030925&amp;utm_content=saletructiep_Europe.M523.1840.giaotiep_PTATT_LD153&amp;utm_campaign=Europe.giaotiep.M523_16917_CVS_NamNH_030925")</f>
        <v>https://patadovietnam.edu.vn/tienganhgiaotiep_hn/?utm_source=Facebook&amp;utm_medium=CVS&amp;utm_term=NEW_Europe_1840_none_030925&amp;utm_content=saletructiep_Europe.M523.1840.giaotiep_PTATT_LD153&amp;utm_campaign=Europe.giaotiep.M523_16917_CVS_NamNH_030925</v>
      </c>
      <c r="U939" s="110" t="s">
        <v>7532</v>
      </c>
    </row>
    <row r="940">
      <c r="A940" s="72">
        <v>45904.0</v>
      </c>
      <c r="B940" s="60" t="s">
        <v>1134</v>
      </c>
      <c r="C940" s="67" t="str">
        <f>IFERROR(__xludf.DUMMYFUNCTION("""COMPUTED_VALUE"""),"LD153")</f>
        <v>LD153</v>
      </c>
      <c r="D940" s="55" t="s">
        <v>42</v>
      </c>
      <c r="E940" s="55" t="s">
        <v>69</v>
      </c>
      <c r="F940" s="55" t="s">
        <v>133</v>
      </c>
      <c r="G940" s="55">
        <v>1840.0</v>
      </c>
      <c r="H940" s="55" t="s">
        <v>1137</v>
      </c>
      <c r="I940" s="115" t="s">
        <v>7534</v>
      </c>
      <c r="J940" s="55" t="s">
        <v>7535</v>
      </c>
      <c r="K940" s="55" t="s">
        <v>61</v>
      </c>
      <c r="L940" s="55">
        <v>16917.0</v>
      </c>
      <c r="M940" s="55" t="s">
        <v>78</v>
      </c>
      <c r="N940" s="55" t="s">
        <v>69</v>
      </c>
      <c r="O940" s="55" t="s">
        <v>224</v>
      </c>
      <c r="P940" s="55" t="s">
        <v>110</v>
      </c>
      <c r="Q940" s="67" t="str">
        <f>IFERROR(__xludf.DUMMYFUNCTION("""COMPUTED_VALUE"""),"Japan.giaotiep.M523_16917_CVS_NamNH_040925")</f>
        <v>Japan.giaotiep.M523_16917_CVS_NamNH_040925</v>
      </c>
      <c r="R940" s="67" t="str">
        <f>IFERROR(__xludf.DUMMYFUNCTION("""COMPUTED_VALUE"""),"NEW_Japan_1840_none_040925")</f>
        <v>NEW_Japan_1840_none_040925</v>
      </c>
      <c r="S940" s="67" t="str">
        <f>IFERROR(__xludf.DUMMYFUNCTION("""COMPUTED_VALUE"""),"saletructiep_Japan.M523.1840.giaotiep_PTATT_LD153")</f>
        <v>saletructiep_Japan.M523.1840.giaotiep_PTATT_LD153</v>
      </c>
      <c r="T940" s="107" t="str">
        <f>IFERROR(__xludf.DUMMYFUNCTION("""COMPUTED_VALUE"""),"https://patadovietnam.edu.vn/tienganhgiaotiep_hn/?utm_source=Facebook&amp;utm_medium=CVS&amp;utm_term=NEW_Japan_1840_none_040925&amp;utm_content=saletructiep_Japan.M523.1840.giaotiep_PTATT_LD153&amp;utm_campaign=Japan.giaotiep.M523_16917_CVS_NamNH_040925")</f>
        <v>https://patadovietnam.edu.vn/tienganhgiaotiep_hn/?utm_source=Facebook&amp;utm_medium=CVS&amp;utm_term=NEW_Japan_1840_none_040925&amp;utm_content=saletructiep_Japan.M523.1840.giaotiep_PTATT_LD153&amp;utm_campaign=Japan.giaotiep.M523_16917_CVS_NamNH_040925</v>
      </c>
      <c r="U940" s="110" t="s">
        <v>7538</v>
      </c>
    </row>
    <row r="941">
      <c r="A941" s="72">
        <v>45908.0</v>
      </c>
      <c r="B941" s="60" t="s">
        <v>1245</v>
      </c>
      <c r="C941" s="67" t="str">
        <f>IFERROR(__xludf.DUMMYFUNCTION("""COMPUTED_VALUE"""),"LD161")</f>
        <v>LD161</v>
      </c>
      <c r="D941" s="55" t="s">
        <v>42</v>
      </c>
      <c r="E941" s="55" t="s">
        <v>79</v>
      </c>
      <c r="F941" s="55" t="s">
        <v>107</v>
      </c>
      <c r="G941" s="55">
        <v>2050.0</v>
      </c>
      <c r="H941" s="55" t="s">
        <v>1137</v>
      </c>
      <c r="I941" s="115" t="s">
        <v>7540</v>
      </c>
      <c r="J941" s="55" t="s">
        <v>7541</v>
      </c>
      <c r="K941" s="55" t="s">
        <v>61</v>
      </c>
      <c r="L941" s="55">
        <v>16917.0</v>
      </c>
      <c r="M941" s="55" t="s">
        <v>78</v>
      </c>
      <c r="N941" s="55" t="s">
        <v>79</v>
      </c>
      <c r="O941" s="55" t="s">
        <v>224</v>
      </c>
      <c r="P941" s="55" t="s">
        <v>110</v>
      </c>
      <c r="Q941" s="67" t="str">
        <f>IFERROR(__xludf.DUMMYFUNCTION("""COMPUTED_VALUE"""),"UnitedStates.giaotiep.M523_16917_MES_NamNH_080925")</f>
        <v>UnitedStates.giaotiep.M523_16917_MES_NamNH_080925</v>
      </c>
      <c r="R941" s="67" t="str">
        <f>IFERROR(__xludf.DUMMYFUNCTION("""COMPUTED_VALUE"""),"NEW_UnitedStates_2050_none_080925")</f>
        <v>NEW_UnitedStates_2050_none_080925</v>
      </c>
      <c r="S941" s="67" t="str">
        <f>IFERROR(__xludf.DUMMYFUNCTION("""COMPUTED_VALUE"""),"saletructiep_UnitedStates.M523.1840.giaotiep_PTATT_LD161")</f>
        <v>saletructiep_UnitedStates.M523.1840.giaotiep_PTATT_LD161</v>
      </c>
      <c r="T941" s="107" t="str">
        <f>IFERROR(__xludf.DUMMYFUNCTION("""COMPUTED_VALUE"""),"https://patadovietnam.edu.vn/gtusa1_nhn/?utm_source=Facebook&amp;utm_medium=MES&amp;utm_term=NEW_UnitedStates_2050_none_080925&amp;utm_content=saletructiep_UnitedStates.M523.1840.giaotiep_PTATT_LD161&amp;utm_campaign=UnitedStates.giaotiep.M523_16917_MES_NamNH_080925")</f>
        <v>https://patadovietnam.edu.vn/gtusa1_nhn/?utm_source=Facebook&amp;utm_medium=MES&amp;utm_term=NEW_UnitedStates_2050_none_080925&amp;utm_content=saletructiep_UnitedStates.M523.1840.giaotiep_PTATT_LD161&amp;utm_campaign=UnitedStates.giaotiep.M523_16917_MES_NamNH_080925</v>
      </c>
      <c r="U941" s="110" t="s">
        <v>7544</v>
      </c>
    </row>
    <row r="942">
      <c r="A942" s="72">
        <v>45910.0</v>
      </c>
      <c r="B942" s="112" t="s">
        <v>7546</v>
      </c>
      <c r="C942" s="67" t="str">
        <f>IFERROR(__xludf.DUMMYFUNCTION("""COMPUTED_VALUE"""),"LD248")</f>
        <v>LD248</v>
      </c>
      <c r="D942" s="55" t="s">
        <v>42</v>
      </c>
      <c r="E942" s="55" t="s">
        <v>69</v>
      </c>
      <c r="F942" s="55" t="s">
        <v>674</v>
      </c>
      <c r="G942" s="55">
        <v>1840.0</v>
      </c>
      <c r="H942" s="55" t="s">
        <v>1137</v>
      </c>
      <c r="I942" s="115" t="s">
        <v>7425</v>
      </c>
      <c r="J942" s="55" t="s">
        <v>6861</v>
      </c>
      <c r="K942" s="55" t="s">
        <v>61</v>
      </c>
      <c r="L942" s="55">
        <v>16917.0</v>
      </c>
      <c r="M942" s="55" t="s">
        <v>78</v>
      </c>
      <c r="N942" s="55" t="s">
        <v>69</v>
      </c>
      <c r="O942" s="55" t="s">
        <v>224</v>
      </c>
      <c r="P942" s="55" t="s">
        <v>110</v>
      </c>
      <c r="Q942" s="67" t="str">
        <f>IFERROR(__xludf.DUMMYFUNCTION("""COMPUTED_VALUE"""),"Europe.giaotiep.M236xJHxanhnote_16917_CVS_NamNH_100925")</f>
        <v>Europe.giaotiep.M236xJHxanhnote_16917_CVS_NamNH_100925</v>
      </c>
      <c r="R942" s="67" t="str">
        <f>IFERROR(__xludf.DUMMYFUNCTION("""COMPUTED_VALUE"""),"NEW_Europe_1840_none_100925")</f>
        <v>NEW_Europe_1840_none_100925</v>
      </c>
      <c r="S942" s="67" t="str">
        <f>IFERROR(__xludf.DUMMYFUNCTION("""COMPUTED_VALUE"""),"saletructiep_Europe.M236xJHxanhnote.1840.giaotiep_PTATT_LD248")</f>
        <v>saletructiep_Europe.M236xJHxanhnote.1840.giaotiep_PTATT_LD248</v>
      </c>
      <c r="T942" s="107" t="str">
        <f>IFERROR(__xludf.DUMMYFUNCTION("""COMPUTED_VALUE"""),"https://patadovietnam.edu.vn/gtnhn_198/?utm_source=Facebook&amp;utm_medium=CVS&amp;utm_term=NEW_Europe_1840_none_100925&amp;utm_content=saletructiep_Europe.M236xJHxanhnote.1840.giaotiep_PTATT_LD248&amp;utm_campaign=Europe.giaotiep.M236xJHxanhnote_16917_CVS_NamNH_100925")</f>
        <v>https://patadovietnam.edu.vn/gtnhn_198/?utm_source=Facebook&amp;utm_medium=CVS&amp;utm_term=NEW_Europe_1840_none_100925&amp;utm_content=saletructiep_Europe.M236xJHxanhnote.1840.giaotiep_PTATT_LD248&amp;utm_campaign=Europe.giaotiep.M236xJHxanhnote_16917_CVS_NamNH_100925</v>
      </c>
      <c r="U942" s="110" t="s">
        <v>7549</v>
      </c>
    </row>
    <row r="943">
      <c r="A943" s="72">
        <v>45910.0</v>
      </c>
      <c r="B943" s="60" t="s">
        <v>7546</v>
      </c>
      <c r="C943" s="67" t="str">
        <f>IFERROR(__xludf.DUMMYFUNCTION("""COMPUTED_VALUE"""),"LD248")</f>
        <v>LD248</v>
      </c>
      <c r="D943" s="55" t="s">
        <v>42</v>
      </c>
      <c r="E943" s="55" t="s">
        <v>69</v>
      </c>
      <c r="F943" s="55" t="s">
        <v>674</v>
      </c>
      <c r="G943" s="55">
        <v>1840.0</v>
      </c>
      <c r="H943" s="55" t="s">
        <v>1137</v>
      </c>
      <c r="I943" s="115" t="s">
        <v>2628</v>
      </c>
      <c r="J943" s="55" t="s">
        <v>7551</v>
      </c>
      <c r="K943" s="55" t="s">
        <v>61</v>
      </c>
      <c r="L943" s="55">
        <v>16917.0</v>
      </c>
      <c r="M943" s="55" t="s">
        <v>78</v>
      </c>
      <c r="N943" s="55" t="s">
        <v>69</v>
      </c>
      <c r="O943" s="55" t="s">
        <v>224</v>
      </c>
      <c r="P943" s="55" t="s">
        <v>110</v>
      </c>
      <c r="Q943" s="67" t="str">
        <f>IFERROR(__xludf.DUMMYFUNCTION("""COMPUTED_VALUE"""),"Europe.giaotiep.molopchauau_16917_CVS_NamNH_100925")</f>
        <v>Europe.giaotiep.molopchauau_16917_CVS_NamNH_100925</v>
      </c>
      <c r="R943" s="67" t="str">
        <f>IFERROR(__xludf.DUMMYFUNCTION("""COMPUTED_VALUE"""),"NEW_Europe_1840_none_100925")</f>
        <v>NEW_Europe_1840_none_100925</v>
      </c>
      <c r="S943" s="67" t="str">
        <f>IFERROR(__xludf.DUMMYFUNCTION("""COMPUTED_VALUE"""),"saletructiep_Europe.molopchauau.1840.giaotiep_PTATT_LD248")</f>
        <v>saletructiep_Europe.molopchauau.1840.giaotiep_PTATT_LD248</v>
      </c>
      <c r="T943" s="107" t="str">
        <f>IFERROR(__xludf.DUMMYFUNCTION("""COMPUTED_VALUE"""),"https://patadovietnam.edu.vn/gtnhn_198/?utm_source=Facebook&amp;utm_medium=CVS&amp;utm_term=NEW_Europe_1840_none_100925&amp;utm_content=saletructiep_Europe.molopchauau.1840.giaotiep_PTATT_LD248&amp;utm_campaign=Europe.giaotiep.molopchauau_16917_CVS_NamNH_100925")</f>
        <v>https://patadovietnam.edu.vn/gtnhn_198/?utm_source=Facebook&amp;utm_medium=CVS&amp;utm_term=NEW_Europe_1840_none_100925&amp;utm_content=saletructiep_Europe.molopchauau.1840.giaotiep_PTATT_LD248&amp;utm_campaign=Europe.giaotiep.molopchauau_16917_CVS_NamNH_100925</v>
      </c>
      <c r="U943" s="110" t="s">
        <v>7555</v>
      </c>
    </row>
    <row r="944">
      <c r="A944" s="72">
        <v>45910.0</v>
      </c>
      <c r="B944" s="60" t="s">
        <v>7546</v>
      </c>
      <c r="C944" s="67" t="str">
        <f>IFERROR(__xludf.DUMMYFUNCTION("""COMPUTED_VALUE"""),"LD248")</f>
        <v>LD248</v>
      </c>
      <c r="D944" s="55" t="s">
        <v>42</v>
      </c>
      <c r="E944" s="55" t="s">
        <v>69</v>
      </c>
      <c r="F944" s="55" t="s">
        <v>133</v>
      </c>
      <c r="G944" s="55">
        <v>1840.0</v>
      </c>
      <c r="H944" s="55" t="s">
        <v>1137</v>
      </c>
      <c r="I944" s="115" t="s">
        <v>7032</v>
      </c>
      <c r="J944" s="55" t="s">
        <v>7033</v>
      </c>
      <c r="K944" s="55" t="s">
        <v>61</v>
      </c>
      <c r="L944" s="55">
        <v>16917.0</v>
      </c>
      <c r="M944" s="55" t="s">
        <v>78</v>
      </c>
      <c r="N944" s="55" t="s">
        <v>69</v>
      </c>
      <c r="O944" s="55" t="s">
        <v>224</v>
      </c>
      <c r="P944" s="55" t="s">
        <v>110</v>
      </c>
      <c r="Q944" s="67" t="str">
        <f>IFERROR(__xludf.DUMMYFUNCTION("""COMPUTED_VALUE"""),"Japan.giaotiep.anhltxanhnote_16917_CVS_NamNH_100925")</f>
        <v>Japan.giaotiep.anhltxanhnote_16917_CVS_NamNH_100925</v>
      </c>
      <c r="R944" s="67" t="str">
        <f>IFERROR(__xludf.DUMMYFUNCTION("""COMPUTED_VALUE"""),"NEW_Japan_1840_none_100925")</f>
        <v>NEW_Japan_1840_none_100925</v>
      </c>
      <c r="S944" s="67" t="str">
        <f>IFERROR(__xludf.DUMMYFUNCTION("""COMPUTED_VALUE"""),"saletructiep_Japan.anhltxanhnote.1840.giaotiep_PTATT_LD248")</f>
        <v>saletructiep_Japan.anhltxanhnote.1840.giaotiep_PTATT_LD248</v>
      </c>
      <c r="T944" s="107" t="str">
        <f>IFERROR(__xludf.DUMMYFUNCTION("""COMPUTED_VALUE"""),"https://patadovietnam.edu.vn/gtnhn_198/?utm_source=Facebook&amp;utm_medium=CVS&amp;utm_term=NEW_Japan_1840_none_100925&amp;utm_content=saletructiep_Japan.anhltxanhnote.1840.giaotiep_PTATT_LD248&amp;utm_campaign=Japan.giaotiep.anhltxanhnote_16917_CVS_NamNH_100925")</f>
        <v>https://patadovietnam.edu.vn/gtnhn_198/?utm_source=Facebook&amp;utm_medium=CVS&amp;utm_term=NEW_Japan_1840_none_100925&amp;utm_content=saletructiep_Japan.anhltxanhnote.1840.giaotiep_PTATT_LD248&amp;utm_campaign=Japan.giaotiep.anhltxanhnote_16917_CVS_NamNH_100925</v>
      </c>
      <c r="U944" s="110" t="s">
        <v>7560</v>
      </c>
    </row>
    <row r="945">
      <c r="A945" s="72">
        <v>45910.0</v>
      </c>
      <c r="B945" s="60" t="s">
        <v>1134</v>
      </c>
      <c r="C945" s="67" t="str">
        <f>IFERROR(__xludf.DUMMYFUNCTION("""COMPUTED_VALUE"""),"LD153")</f>
        <v>LD153</v>
      </c>
      <c r="D945" s="55" t="s">
        <v>42</v>
      </c>
      <c r="E945" s="55" t="s">
        <v>69</v>
      </c>
      <c r="F945" s="55" t="s">
        <v>674</v>
      </c>
      <c r="G945" s="55">
        <v>1840.0</v>
      </c>
      <c r="H945" s="55" t="s">
        <v>1137</v>
      </c>
      <c r="I945" s="115" t="s">
        <v>5877</v>
      </c>
      <c r="J945" s="55" t="s">
        <v>5878</v>
      </c>
      <c r="K945" s="55" t="s">
        <v>61</v>
      </c>
      <c r="L945" s="55">
        <v>16917.0</v>
      </c>
      <c r="M945" s="55" t="s">
        <v>78</v>
      </c>
      <c r="N945" s="55" t="s">
        <v>69</v>
      </c>
      <c r="O945" s="55" t="s">
        <v>224</v>
      </c>
      <c r="P945" s="55" t="s">
        <v>110</v>
      </c>
      <c r="Q945" s="67" t="str">
        <f>IFERROR(__xludf.DUMMYFUNCTION("""COMPUTED_VALUE"""),"Europe.giaotiep.M269_16917_CVS_NamNH_100925")</f>
        <v>Europe.giaotiep.M269_16917_CVS_NamNH_100925</v>
      </c>
      <c r="R945" s="67" t="str">
        <f>IFERROR(__xludf.DUMMYFUNCTION("""COMPUTED_VALUE"""),"NEW_Europe_1840_none_100925")</f>
        <v>NEW_Europe_1840_none_100925</v>
      </c>
      <c r="S945" s="67" t="str">
        <f>IFERROR(__xludf.DUMMYFUNCTION("""COMPUTED_VALUE"""),"saletructiep_Europe.M269.1840.giaotiep_PTATT_LD153")</f>
        <v>saletructiep_Europe.M269.1840.giaotiep_PTATT_LD153</v>
      </c>
      <c r="T945" s="107" t="str">
        <f>IFERROR(__xludf.DUMMYFUNCTION("""COMPUTED_VALUE"""),"https://patadovietnam.edu.vn/tienganhgiaotiep_hn/?utm_source=Facebook&amp;utm_medium=CVS&amp;utm_term=NEW_Europe_1840_none_100925&amp;utm_content=saletructiep_Europe.M269.1840.giaotiep_PTATT_LD153&amp;utm_campaign=Europe.giaotiep.M269_16917_CVS_NamNH_100925")</f>
        <v>https://patadovietnam.edu.vn/tienganhgiaotiep_hn/?utm_source=Facebook&amp;utm_medium=CVS&amp;utm_term=NEW_Europe_1840_none_100925&amp;utm_content=saletructiep_Europe.M269.1840.giaotiep_PTATT_LD153&amp;utm_campaign=Europe.giaotiep.M269_16917_CVS_NamNH_100925</v>
      </c>
      <c r="U945" s="110" t="s">
        <v>7567</v>
      </c>
    </row>
    <row r="946">
      <c r="A946" s="72">
        <v>45919.0</v>
      </c>
      <c r="B946" s="60" t="s">
        <v>1134</v>
      </c>
      <c r="C946" s="67" t="str">
        <f>IFERROR(__xludf.DUMMYFUNCTION("""COMPUTED_VALUE"""),"LD153")</f>
        <v>LD153</v>
      </c>
      <c r="D946" s="55" t="s">
        <v>42</v>
      </c>
      <c r="E946" s="55" t="s">
        <v>79</v>
      </c>
      <c r="F946" s="55" t="s">
        <v>674</v>
      </c>
      <c r="G946" s="55">
        <v>1840.0</v>
      </c>
      <c r="H946" s="55" t="s">
        <v>1137</v>
      </c>
      <c r="I946" s="115" t="s">
        <v>7516</v>
      </c>
      <c r="J946" s="55" t="s">
        <v>7517</v>
      </c>
      <c r="K946" s="55" t="s">
        <v>61</v>
      </c>
      <c r="L946" s="55">
        <v>16917.0</v>
      </c>
      <c r="M946" s="55" t="s">
        <v>78</v>
      </c>
      <c r="N946" s="55" t="s">
        <v>79</v>
      </c>
      <c r="O946" s="55" t="s">
        <v>224</v>
      </c>
      <c r="P946" s="55" t="s">
        <v>110</v>
      </c>
      <c r="Q946" s="67" t="str">
        <f>IFERROR(__xludf.DUMMYFUNCTION("""COMPUTED_VALUE"""),"Europe.giaotiep.M526_16917_MES_NamNH_190925")</f>
        <v>Europe.giaotiep.M526_16917_MES_NamNH_190925</v>
      </c>
      <c r="R946" s="67" t="str">
        <f>IFERROR(__xludf.DUMMYFUNCTION("""COMPUTED_VALUE"""),"NEW_Europe_1840_none_190925")</f>
        <v>NEW_Europe_1840_none_190925</v>
      </c>
      <c r="S946" s="67" t="str">
        <f>IFERROR(__xludf.DUMMYFUNCTION("""COMPUTED_VALUE"""),"saletructiep_Europe.M526.1840.giaotiep_PTATT_LD153")</f>
        <v>saletructiep_Europe.M526.1840.giaotiep_PTATT_LD153</v>
      </c>
      <c r="T946" s="107" t="str">
        <f>IFERROR(__xludf.DUMMYFUNCTION("""COMPUTED_VALUE"""),"https://patadovietnam.edu.vn/tienganhgiaotiep_hn/?utm_source=Facebook&amp;utm_medium=MES&amp;utm_term=NEW_Europe_1840_none_190925&amp;utm_content=saletructiep_Europe.M526.1840.giaotiep_PTATT_LD153&amp;utm_campaign=Europe.giaotiep.M526_16917_MES_NamNH_190925")</f>
        <v>https://patadovietnam.edu.vn/tienganhgiaotiep_hn/?utm_source=Facebook&amp;utm_medium=MES&amp;utm_term=NEW_Europe_1840_none_190925&amp;utm_content=saletructiep_Europe.M526.1840.giaotiep_PTATT_LD153&amp;utm_campaign=Europe.giaotiep.M526_16917_MES_NamNH_190925</v>
      </c>
      <c r="U946" s="110" t="s">
        <v>7572</v>
      </c>
    </row>
    <row r="947">
      <c r="A947" s="72">
        <v>45919.0</v>
      </c>
      <c r="B947" s="60" t="s">
        <v>1134</v>
      </c>
      <c r="C947" s="67" t="str">
        <f>IFERROR(__xludf.DUMMYFUNCTION("""COMPUTED_VALUE"""),"LD153")</f>
        <v>LD153</v>
      </c>
      <c r="D947" s="55" t="s">
        <v>42</v>
      </c>
      <c r="E947" s="55" t="s">
        <v>79</v>
      </c>
      <c r="F947" s="55" t="s">
        <v>674</v>
      </c>
      <c r="G947" s="55">
        <v>1840.0</v>
      </c>
      <c r="H947" s="55" t="s">
        <v>1137</v>
      </c>
      <c r="I947" s="115" t="s">
        <v>7575</v>
      </c>
      <c r="J947" s="55" t="s">
        <v>7576</v>
      </c>
      <c r="K947" s="55" t="s">
        <v>61</v>
      </c>
      <c r="L947" s="55">
        <v>16917.0</v>
      </c>
      <c r="M947" s="55" t="s">
        <v>78</v>
      </c>
      <c r="N947" s="55" t="s">
        <v>79</v>
      </c>
      <c r="O947" s="55" t="s">
        <v>224</v>
      </c>
      <c r="P947" s="55" t="s">
        <v>110</v>
      </c>
      <c r="Q947" s="67" t="str">
        <f>IFERROR(__xludf.DUMMYFUNCTION("""COMPUTED_VALUE"""),"Europe.giaotiep.M537_16917_MES_NamNH_190925")</f>
        <v>Europe.giaotiep.M537_16917_MES_NamNH_190925</v>
      </c>
      <c r="R947" s="67" t="str">
        <f>IFERROR(__xludf.DUMMYFUNCTION("""COMPUTED_VALUE"""),"NEW_Europe_1840_none_190925")</f>
        <v>NEW_Europe_1840_none_190925</v>
      </c>
      <c r="S947" s="67" t="str">
        <f>IFERROR(__xludf.DUMMYFUNCTION("""COMPUTED_VALUE"""),"saletructiep_Europe.M537.1840.giaotiep_PTATT_LD153")</f>
        <v>saletructiep_Europe.M537.1840.giaotiep_PTATT_LD153</v>
      </c>
      <c r="T947" s="107" t="str">
        <f>IFERROR(__xludf.DUMMYFUNCTION("""COMPUTED_VALUE"""),"https://patadovietnam.edu.vn/tienganhgiaotiep_hn/?utm_source=Facebook&amp;utm_medium=MES&amp;utm_term=NEW_Europe_1840_none_190925&amp;utm_content=saletructiep_Europe.M537.1840.giaotiep_PTATT_LD153&amp;utm_campaign=Europe.giaotiep.M537_16917_MES_NamNH_190925")</f>
        <v>https://patadovietnam.edu.vn/tienganhgiaotiep_hn/?utm_source=Facebook&amp;utm_medium=MES&amp;utm_term=NEW_Europe_1840_none_190925&amp;utm_content=saletructiep_Europe.M537.1840.giaotiep_PTATT_LD153&amp;utm_campaign=Europe.giaotiep.M537_16917_MES_NamNH_190925</v>
      </c>
      <c r="U947" s="110" t="s">
        <v>7580</v>
      </c>
    </row>
    <row r="948">
      <c r="A948" s="72">
        <v>45919.0</v>
      </c>
      <c r="B948" s="60" t="s">
        <v>1134</v>
      </c>
      <c r="C948" s="67" t="str">
        <f>IFERROR(__xludf.DUMMYFUNCTION("""COMPUTED_VALUE"""),"LD153")</f>
        <v>LD153</v>
      </c>
      <c r="D948" s="55" t="s">
        <v>42</v>
      </c>
      <c r="E948" s="55" t="s">
        <v>79</v>
      </c>
      <c r="F948" s="55" t="s">
        <v>539</v>
      </c>
      <c r="G948" s="55">
        <v>1840.0</v>
      </c>
      <c r="H948" s="55" t="s">
        <v>1137</v>
      </c>
      <c r="I948" s="115" t="s">
        <v>7582</v>
      </c>
      <c r="J948" s="55" t="s">
        <v>7583</v>
      </c>
      <c r="K948" s="55" t="s">
        <v>61</v>
      </c>
      <c r="L948" s="55">
        <v>16917.0</v>
      </c>
      <c r="M948" s="55" t="s">
        <v>78</v>
      </c>
      <c r="N948" s="55" t="s">
        <v>79</v>
      </c>
      <c r="O948" s="55" t="s">
        <v>224</v>
      </c>
      <c r="P948" s="55" t="s">
        <v>110</v>
      </c>
      <c r="Q948" s="67" t="str">
        <f>IFERROR(__xludf.DUMMYFUNCTION("""COMPUTED_VALUE"""),"ALL.giaotiep.M527xM534_16917_MES_NamNH_190925")</f>
        <v>ALL.giaotiep.M527xM534_16917_MES_NamNH_190925</v>
      </c>
      <c r="R948" s="67" t="str">
        <f>IFERROR(__xludf.DUMMYFUNCTION("""COMPUTED_VALUE"""),"NEW_ALL_1840_none_190925")</f>
        <v>NEW_ALL_1840_none_190925</v>
      </c>
      <c r="S948" s="67" t="str">
        <f>IFERROR(__xludf.DUMMYFUNCTION("""COMPUTED_VALUE"""),"saletructiep_ALL.M527xM534.1840.giaotiep_PTATT_LD153")</f>
        <v>saletructiep_ALL.M527xM534.1840.giaotiep_PTATT_LD153</v>
      </c>
      <c r="T948" s="107" t="str">
        <f>IFERROR(__xludf.DUMMYFUNCTION("""COMPUTED_VALUE"""),"https://patadovietnam.edu.vn/tienganhgiaotiep_hn/?utm_source=Facebook&amp;utm_medium=MES&amp;utm_term=NEW_ALL_1840_none_190925&amp;utm_content=saletructiep_ALL.M527xM534.1840.giaotiep_PTATT_LD153&amp;utm_campaign=ALL.giaotiep.M527xM534_16917_MES_NamNH_190925")</f>
        <v>https://patadovietnam.edu.vn/tienganhgiaotiep_hn/?utm_source=Facebook&amp;utm_medium=MES&amp;utm_term=NEW_ALL_1840_none_190925&amp;utm_content=saletructiep_ALL.M527xM534.1840.giaotiep_PTATT_LD153&amp;utm_campaign=ALL.giaotiep.M527xM534_16917_MES_NamNH_190925</v>
      </c>
      <c r="U948" s="110" t="s">
        <v>7588</v>
      </c>
    </row>
    <row r="949">
      <c r="A949" s="72">
        <v>45922.0</v>
      </c>
      <c r="B949" s="60" t="s">
        <v>7590</v>
      </c>
      <c r="C949" s="67" t="str">
        <f>IFERROR(__xludf.DUMMYFUNCTION("""COMPUTED_VALUE"""),"LD250")</f>
        <v>LD250</v>
      </c>
      <c r="D949" s="55" t="s">
        <v>42</v>
      </c>
      <c r="E949" s="55" t="s">
        <v>69</v>
      </c>
      <c r="F949" s="55" t="s">
        <v>674</v>
      </c>
      <c r="G949" s="55">
        <v>1840.0</v>
      </c>
      <c r="H949" s="55" t="s">
        <v>1137</v>
      </c>
      <c r="I949" s="115" t="s">
        <v>7516</v>
      </c>
      <c r="J949" s="55" t="s">
        <v>7517</v>
      </c>
      <c r="K949" s="55" t="s">
        <v>61</v>
      </c>
      <c r="L949" s="55">
        <v>16917.0</v>
      </c>
      <c r="M949" s="55" t="s">
        <v>78</v>
      </c>
      <c r="N949" s="55" t="s">
        <v>69</v>
      </c>
      <c r="O949" s="55" t="s">
        <v>224</v>
      </c>
      <c r="P949" s="55" t="s">
        <v>110</v>
      </c>
      <c r="Q949" s="67" t="str">
        <f>IFERROR(__xludf.DUMMYFUNCTION("""COMPUTED_VALUE"""),"Europe.giaotiep.M526_16917_CVS_NamNH_220925")</f>
        <v>Europe.giaotiep.M526_16917_CVS_NamNH_220925</v>
      </c>
      <c r="R949" s="67" t="str">
        <f>IFERROR(__xludf.DUMMYFUNCTION("""COMPUTED_VALUE"""),"NEW_Europe_1840_none_220925")</f>
        <v>NEW_Europe_1840_none_220925</v>
      </c>
      <c r="S949" s="67" t="str">
        <f>IFERROR(__xludf.DUMMYFUNCTION("""COMPUTED_VALUE"""),"saletructiep_Europe.M526.1840.giaotiep_PTATT_LD250")</f>
        <v>saletructiep_Europe.M526.1840.giaotiep_PTATT_LD250</v>
      </c>
      <c r="T949" s="107" t="str">
        <f>IFERROR(__xludf.DUMMYFUNCTION("""COMPUTED_VALUE"""),"https://patadovietnam.edu.vn/gtnhn220925/?utm_source=Facebook&amp;utm_medium=CVS&amp;utm_term=NEW_Europe_1840_none_220925&amp;utm_content=saletructiep_Europe.M526.1840.giaotiep_PTATT_LD250&amp;utm_campaign=Europe.giaotiep.M526_16917_CVS_NamNH_220925")</f>
        <v>https://patadovietnam.edu.vn/gtnhn220925/?utm_source=Facebook&amp;utm_medium=CVS&amp;utm_term=NEW_Europe_1840_none_220925&amp;utm_content=saletructiep_Europe.M526.1840.giaotiep_PTATT_LD250&amp;utm_campaign=Europe.giaotiep.M526_16917_CVS_NamNH_220925</v>
      </c>
      <c r="U949" s="110" t="s">
        <v>7596</v>
      </c>
    </row>
    <row r="950">
      <c r="A950" s="72">
        <v>45922.0</v>
      </c>
      <c r="B950" s="60" t="s">
        <v>7590</v>
      </c>
      <c r="C950" s="67" t="str">
        <f>IFERROR(__xludf.DUMMYFUNCTION("""COMPUTED_VALUE"""),"LD250")</f>
        <v>LD250</v>
      </c>
      <c r="D950" s="55" t="s">
        <v>42</v>
      </c>
      <c r="E950" s="55" t="s">
        <v>69</v>
      </c>
      <c r="F950" s="55" t="s">
        <v>674</v>
      </c>
      <c r="G950" s="55">
        <v>1840.0</v>
      </c>
      <c r="H950" s="55" t="s">
        <v>1137</v>
      </c>
      <c r="I950" s="115" t="s">
        <v>7575</v>
      </c>
      <c r="J950" s="55" t="s">
        <v>7576</v>
      </c>
      <c r="K950" s="55" t="s">
        <v>61</v>
      </c>
      <c r="L950" s="55">
        <v>16917.0</v>
      </c>
      <c r="M950" s="55" t="s">
        <v>78</v>
      </c>
      <c r="N950" s="55" t="s">
        <v>69</v>
      </c>
      <c r="O950" s="55" t="s">
        <v>224</v>
      </c>
      <c r="P950" s="55" t="s">
        <v>110</v>
      </c>
      <c r="Q950" s="67" t="str">
        <f>IFERROR(__xludf.DUMMYFUNCTION("""COMPUTED_VALUE"""),"Europe.giaotiep.M537_16917_CVS_NamNH_220925")</f>
        <v>Europe.giaotiep.M537_16917_CVS_NamNH_220925</v>
      </c>
      <c r="R950" s="67" t="str">
        <f>IFERROR(__xludf.DUMMYFUNCTION("""COMPUTED_VALUE"""),"NEW_Europe_1840_none_220925")</f>
        <v>NEW_Europe_1840_none_220925</v>
      </c>
      <c r="S950" s="67" t="str">
        <f>IFERROR(__xludf.DUMMYFUNCTION("""COMPUTED_VALUE"""),"saletructiep_Europe.M537.1840.giaotiep_PTATT_LD250")</f>
        <v>saletructiep_Europe.M537.1840.giaotiep_PTATT_LD250</v>
      </c>
      <c r="T950" s="107" t="str">
        <f>IFERROR(__xludf.DUMMYFUNCTION("""COMPUTED_VALUE"""),"https://patadovietnam.edu.vn/gtnhn220925/?utm_source=Facebook&amp;utm_medium=CVS&amp;utm_term=NEW_Europe_1840_none_220925&amp;utm_content=saletructiep_Europe.M537.1840.giaotiep_PTATT_LD250&amp;utm_campaign=Europe.giaotiep.M537_16917_CVS_NamNH_220925")</f>
        <v>https://patadovietnam.edu.vn/gtnhn220925/?utm_source=Facebook&amp;utm_medium=CVS&amp;utm_term=NEW_Europe_1840_none_220925&amp;utm_content=saletructiep_Europe.M537.1840.giaotiep_PTATT_LD250&amp;utm_campaign=Europe.giaotiep.M537_16917_CVS_NamNH_220925</v>
      </c>
      <c r="U950" s="110" t="s">
        <v>7601</v>
      </c>
    </row>
    <row r="951">
      <c r="A951" s="72">
        <v>45922.0</v>
      </c>
      <c r="B951" s="60" t="s">
        <v>7590</v>
      </c>
      <c r="C951" s="67" t="str">
        <f>IFERROR(__xludf.DUMMYFUNCTION("""COMPUTED_VALUE"""),"LD250")</f>
        <v>LD250</v>
      </c>
      <c r="D951" s="55" t="s">
        <v>42</v>
      </c>
      <c r="E951" s="55" t="s">
        <v>69</v>
      </c>
      <c r="F951" s="55" t="s">
        <v>133</v>
      </c>
      <c r="G951" s="55">
        <v>1840.0</v>
      </c>
      <c r="H951" s="55" t="s">
        <v>1137</v>
      </c>
      <c r="I951" s="115" t="s">
        <v>7603</v>
      </c>
      <c r="J951" s="55" t="s">
        <v>7604</v>
      </c>
      <c r="K951" s="55" t="s">
        <v>61</v>
      </c>
      <c r="L951" s="55">
        <v>16917.0</v>
      </c>
      <c r="M951" s="55" t="s">
        <v>78</v>
      </c>
      <c r="N951" s="55" t="s">
        <v>69</v>
      </c>
      <c r="O951" s="55" t="s">
        <v>224</v>
      </c>
      <c r="P951" s="55" t="s">
        <v>110</v>
      </c>
      <c r="Q951" s="67" t="str">
        <f>IFERROR(__xludf.DUMMYFUNCTION("""COMPUTED_VALUE"""),"Japan.giaotiep.M527xM537_16917_CVS_NamNH_220925")</f>
        <v>Japan.giaotiep.M527xM537_16917_CVS_NamNH_220925</v>
      </c>
      <c r="R951" s="67" t="str">
        <f>IFERROR(__xludf.DUMMYFUNCTION("""COMPUTED_VALUE"""),"NEW_Japan_1840_none_220925")</f>
        <v>NEW_Japan_1840_none_220925</v>
      </c>
      <c r="S951" s="67" t="str">
        <f>IFERROR(__xludf.DUMMYFUNCTION("""COMPUTED_VALUE"""),"saletructiep_Japan.M527xM537.1840.giaotiep_PTATT_LD250")</f>
        <v>saletructiep_Japan.M527xM537.1840.giaotiep_PTATT_LD250</v>
      </c>
      <c r="T951" s="107" t="str">
        <f>IFERROR(__xludf.DUMMYFUNCTION("""COMPUTED_VALUE"""),"https://patadovietnam.edu.vn/gtnhn220925/?utm_source=Facebook&amp;utm_medium=CVS&amp;utm_term=NEW_Japan_1840_none_220925&amp;utm_content=saletructiep_Japan.M527xM537.1840.giaotiep_PTATT_LD250&amp;utm_campaign=Japan.giaotiep.M527xM537_16917_CVS_NamNH_220925")</f>
        <v>https://patadovietnam.edu.vn/gtnhn220925/?utm_source=Facebook&amp;utm_medium=CVS&amp;utm_term=NEW_Japan_1840_none_220925&amp;utm_content=saletructiep_Japan.M527xM537.1840.giaotiep_PTATT_LD250&amp;utm_campaign=Japan.giaotiep.M527xM537_16917_CVS_NamNH_220925</v>
      </c>
      <c r="U951" s="110" t="s">
        <v>7607</v>
      </c>
    </row>
    <row r="952">
      <c r="A952" s="72">
        <v>45922.0</v>
      </c>
      <c r="B952" s="60" t="s">
        <v>7590</v>
      </c>
      <c r="C952" s="67" t="str">
        <f>IFERROR(__xludf.DUMMYFUNCTION("""COMPUTED_VALUE"""),"LD250")</f>
        <v>LD250</v>
      </c>
      <c r="D952" s="55" t="s">
        <v>42</v>
      </c>
      <c r="E952" s="55" t="s">
        <v>69</v>
      </c>
      <c r="F952" s="55" t="s">
        <v>674</v>
      </c>
      <c r="G952" s="55">
        <v>1840.0</v>
      </c>
      <c r="H952" s="55" t="s">
        <v>1137</v>
      </c>
      <c r="I952" s="115" t="s">
        <v>3125</v>
      </c>
      <c r="J952" s="55" t="s">
        <v>3126</v>
      </c>
      <c r="K952" s="55" t="s">
        <v>61</v>
      </c>
      <c r="L952" s="55">
        <v>16917.0</v>
      </c>
      <c r="M952" s="55" t="s">
        <v>78</v>
      </c>
      <c r="N952" s="55" t="s">
        <v>69</v>
      </c>
      <c r="O952" s="55" t="s">
        <v>224</v>
      </c>
      <c r="P952" s="55" t="s">
        <v>110</v>
      </c>
      <c r="Q952" s="67" t="str">
        <f>IFERROR(__xludf.DUMMYFUNCTION("""COMPUTED_VALUE"""),"Europe.giaotiep.M105C84_16917_CVS_NamNH_220925")</f>
        <v>Europe.giaotiep.M105C84_16917_CVS_NamNH_220925</v>
      </c>
      <c r="R952" s="67" t="str">
        <f>IFERROR(__xludf.DUMMYFUNCTION("""COMPUTED_VALUE"""),"NEW_Europe_1840_none_220925")</f>
        <v>NEW_Europe_1840_none_220925</v>
      </c>
      <c r="S952" s="67" t="str">
        <f>IFERROR(__xludf.DUMMYFUNCTION("""COMPUTED_VALUE"""),"saletructiep_Europe.M105C84.1840.giaotiep_PTATT_LD250")</f>
        <v>saletructiep_Europe.M105C84.1840.giaotiep_PTATT_LD250</v>
      </c>
      <c r="T952" s="107" t="str">
        <f>IFERROR(__xludf.DUMMYFUNCTION("""COMPUTED_VALUE"""),"https://patadovietnam.edu.vn/gtnhn220925/?utm_source=Facebook&amp;utm_medium=CVS&amp;utm_term=NEW_Europe_1840_none_220925&amp;utm_content=saletructiep_Europe.M105C84.1840.giaotiep_PTATT_LD250&amp;utm_campaign=Europe.giaotiep.M105C84_16917_CVS_NamNH_220925")</f>
        <v>https://patadovietnam.edu.vn/gtnhn220925/?utm_source=Facebook&amp;utm_medium=CVS&amp;utm_term=NEW_Europe_1840_none_220925&amp;utm_content=saletructiep_Europe.M105C84.1840.giaotiep_PTATT_LD250&amp;utm_campaign=Europe.giaotiep.M105C84_16917_CVS_NamNH_220925</v>
      </c>
      <c r="U952" s="110" t="s">
        <v>7613</v>
      </c>
    </row>
    <row r="953">
      <c r="A953" s="72">
        <v>45926.0</v>
      </c>
      <c r="B953" s="60" t="s">
        <v>7590</v>
      </c>
      <c r="C953" s="67" t="str">
        <f>IFERROR(__xludf.DUMMYFUNCTION("""COMPUTED_VALUE"""),"LD250")</f>
        <v>LD250</v>
      </c>
      <c r="D953" s="55" t="s">
        <v>42</v>
      </c>
      <c r="E953" s="55" t="s">
        <v>69</v>
      </c>
      <c r="F953" s="55" t="s">
        <v>674</v>
      </c>
      <c r="G953" s="55">
        <v>1840.0</v>
      </c>
      <c r="H953" s="55" t="s">
        <v>1137</v>
      </c>
      <c r="I953" s="115" t="s">
        <v>6992</v>
      </c>
      <c r="J953" s="55" t="s">
        <v>6993</v>
      </c>
      <c r="K953" s="55" t="s">
        <v>61</v>
      </c>
      <c r="L953" s="55">
        <v>16917.0</v>
      </c>
      <c r="M953" s="55" t="s">
        <v>78</v>
      </c>
      <c r="N953" s="55" t="s">
        <v>69</v>
      </c>
      <c r="O953" s="55" t="s">
        <v>224</v>
      </c>
      <c r="P953" s="55" t="s">
        <v>110</v>
      </c>
      <c r="Q953" s="67" t="str">
        <f>IFERROR(__xludf.DUMMYFUNCTION("""COMPUTED_VALUE"""),"Europe.giaotiep.M429xM438_16917_CVS_NamNH_260925")</f>
        <v>Europe.giaotiep.M429xM438_16917_CVS_NamNH_260925</v>
      </c>
      <c r="R953" s="67" t="str">
        <f>IFERROR(__xludf.DUMMYFUNCTION("""COMPUTED_VALUE"""),"NEW_Europe_1840_none_260925")</f>
        <v>NEW_Europe_1840_none_260925</v>
      </c>
      <c r="S953" s="67" t="str">
        <f>IFERROR(__xludf.DUMMYFUNCTION("""COMPUTED_VALUE"""),"saletructiep_Europe.M429xM438.1840.giaotiep_PTATT_LD250")</f>
        <v>saletructiep_Europe.M429xM438.1840.giaotiep_PTATT_LD250</v>
      </c>
      <c r="T953" s="107" t="str">
        <f>IFERROR(__xludf.DUMMYFUNCTION("""COMPUTED_VALUE"""),"https://patadovietnam.edu.vn/gtnhn220925/?utm_source=Facebook&amp;utm_medium=CVS&amp;utm_term=NEW_Europe_1840_none_260925&amp;utm_content=saletructiep_Europe.M429xM438.1840.giaotiep_PTATT_LD250&amp;utm_campaign=Europe.giaotiep.M429xM438_16917_CVS_NamNH_260925")</f>
        <v>https://patadovietnam.edu.vn/gtnhn220925/?utm_source=Facebook&amp;utm_medium=CVS&amp;utm_term=NEW_Europe_1840_none_260925&amp;utm_content=saletructiep_Europe.M429xM438.1840.giaotiep_PTATT_LD250&amp;utm_campaign=Europe.giaotiep.M429xM438_16917_CVS_NamNH_260925</v>
      </c>
      <c r="U953" s="110" t="s">
        <v>7617</v>
      </c>
    </row>
    <row r="954">
      <c r="A954" s="72">
        <v>45922.0</v>
      </c>
      <c r="B954" s="60" t="s">
        <v>1229</v>
      </c>
      <c r="C954" s="67" t="str">
        <f>IFERROR(__xludf.DUMMYFUNCTION("""COMPUTED_VALUE"""),"LD164")</f>
        <v>LD164</v>
      </c>
      <c r="D954" s="55" t="s">
        <v>42</v>
      </c>
      <c r="E954" s="55" t="s">
        <v>69</v>
      </c>
      <c r="F954" s="55" t="s">
        <v>133</v>
      </c>
      <c r="G954" s="55">
        <v>1840.0</v>
      </c>
      <c r="H954" s="55" t="s">
        <v>1137</v>
      </c>
      <c r="I954" s="115" t="s">
        <v>7603</v>
      </c>
      <c r="J954" s="55" t="s">
        <v>7604</v>
      </c>
      <c r="K954" s="55" t="s">
        <v>61</v>
      </c>
      <c r="L954" s="55">
        <v>16917.0</v>
      </c>
      <c r="M954" s="55" t="s">
        <v>78</v>
      </c>
      <c r="N954" s="55" t="s">
        <v>69</v>
      </c>
      <c r="O954" s="55" t="s">
        <v>224</v>
      </c>
      <c r="P954" s="55" t="s">
        <v>110</v>
      </c>
      <c r="Q954" s="67" t="str">
        <f>IFERROR(__xludf.DUMMYFUNCTION("""COMPUTED_VALUE"""),"Japan.giaotiep.M527xM537_16917_CVS_NamNH_220925")</f>
        <v>Japan.giaotiep.M527xM537_16917_CVS_NamNH_220925</v>
      </c>
      <c r="R954" s="67" t="str">
        <f>IFERROR(__xludf.DUMMYFUNCTION("""COMPUTED_VALUE"""),"NEW_Japan_1840_none_220925")</f>
        <v>NEW_Japan_1840_none_220925</v>
      </c>
      <c r="S954" s="67" t="str">
        <f>IFERROR(__xludf.DUMMYFUNCTION("""COMPUTED_VALUE"""),"saletructiep_Japan.M527xM537.1840.giaotiep_PTATT_LD164")</f>
        <v>saletructiep_Japan.M527xM537.1840.giaotiep_PTATT_LD164</v>
      </c>
      <c r="T954" s="107" t="str">
        <f>IFERROR(__xludf.DUMMYFUNCTION("""COMPUTED_VALUE"""),"https://patadovietnam.edu.vn/gtjapan_nhn3/?utm_source=Facebook&amp;utm_medium=CVS&amp;utm_term=NEW_Japan_1840_none_220925&amp;utm_content=saletructiep_Japan.M527xM537.1840.giaotiep_PTATT_LD164&amp;utm_campaign=Japan.giaotiep.M527xM537_16917_CVS_NamNH_220925")</f>
        <v>https://patadovietnam.edu.vn/gtjapan_nhn3/?utm_source=Facebook&amp;utm_medium=CVS&amp;utm_term=NEW_Japan_1840_none_220925&amp;utm_content=saletructiep_Japan.M527xM537.1840.giaotiep_PTATT_LD164&amp;utm_campaign=Japan.giaotiep.M527xM537_16917_CVS_NamNH_220925</v>
      </c>
      <c r="U954" s="110" t="s">
        <v>7622</v>
      </c>
    </row>
    <row r="955">
      <c r="A955" s="72">
        <v>45943.0</v>
      </c>
      <c r="B955" s="60" t="s">
        <v>1134</v>
      </c>
      <c r="C955" s="67" t="str">
        <f>IFERROR(__xludf.DUMMYFUNCTION("""COMPUTED_VALUE"""),"LD153")</f>
        <v>LD153</v>
      </c>
      <c r="D955" s="55" t="s">
        <v>42</v>
      </c>
      <c r="E955" s="55" t="s">
        <v>69</v>
      </c>
      <c r="F955" s="55" t="s">
        <v>674</v>
      </c>
      <c r="G955" s="55">
        <v>1840.0</v>
      </c>
      <c r="H955" s="55" t="s">
        <v>1137</v>
      </c>
      <c r="I955" s="115" t="s">
        <v>7625</v>
      </c>
      <c r="J955" s="55" t="s">
        <v>7626</v>
      </c>
      <c r="K955" s="55" t="s">
        <v>61</v>
      </c>
      <c r="L955" s="55">
        <v>16917.0</v>
      </c>
      <c r="M955" s="55" t="s">
        <v>78</v>
      </c>
      <c r="N955" s="55" t="s">
        <v>69</v>
      </c>
      <c r="O955" s="55" t="s">
        <v>224</v>
      </c>
      <c r="P955" s="55" t="s">
        <v>110</v>
      </c>
      <c r="Q955" s="67" t="str">
        <f>IFERROR(__xludf.DUMMYFUNCTION("""COMPUTED_VALUE"""),"Europe.giaotiep.M554_16917_CVS_NamNH_131025")</f>
        <v>Europe.giaotiep.M554_16917_CVS_NamNH_131025</v>
      </c>
      <c r="R955" s="67" t="str">
        <f>IFERROR(__xludf.DUMMYFUNCTION("""COMPUTED_VALUE"""),"NEW_Europe_1840_none_131025")</f>
        <v>NEW_Europe_1840_none_131025</v>
      </c>
      <c r="S955" s="67" t="str">
        <f>IFERROR(__xludf.DUMMYFUNCTION("""COMPUTED_VALUE"""),"saletructiep_Europe.M554.1840.giaotiep_PTATT_LD153")</f>
        <v>saletructiep_Europe.M554.1840.giaotiep_PTATT_LD153</v>
      </c>
      <c r="T955" s="107" t="str">
        <f>IFERROR(__xludf.DUMMYFUNCTION("""COMPUTED_VALUE"""),"https://patadovietnam.edu.vn/tienganhgiaotiep_hn/?utm_source=Facebook&amp;utm_medium=CVS&amp;utm_term=NEW_Europe_1840_none_131025&amp;utm_content=saletructiep_Europe.M554.1840.giaotiep_PTATT_LD153&amp;utm_campaign=Europe.giaotiep.M554_16917_CVS_NamNH_131025")</f>
        <v>https://patadovietnam.edu.vn/tienganhgiaotiep_hn/?utm_source=Facebook&amp;utm_medium=CVS&amp;utm_term=NEW_Europe_1840_none_131025&amp;utm_content=saletructiep_Europe.M554.1840.giaotiep_PTATT_LD153&amp;utm_campaign=Europe.giaotiep.M554_16917_CVS_NamNH_131025</v>
      </c>
      <c r="U955" s="110" t="s">
        <v>7629</v>
      </c>
    </row>
    <row r="956">
      <c r="A956" s="72">
        <v>45943.0</v>
      </c>
      <c r="B956" s="60" t="s">
        <v>1229</v>
      </c>
      <c r="C956" s="67" t="str">
        <f>IFERROR(__xludf.DUMMYFUNCTION("""COMPUTED_VALUE"""),"LD164")</f>
        <v>LD164</v>
      </c>
      <c r="D956" s="55" t="s">
        <v>42</v>
      </c>
      <c r="E956" s="55" t="s">
        <v>69</v>
      </c>
      <c r="F956" s="55" t="s">
        <v>133</v>
      </c>
      <c r="G956" s="55">
        <v>1840.0</v>
      </c>
      <c r="H956" s="55" t="s">
        <v>1137</v>
      </c>
      <c r="I956" s="115" t="s">
        <v>7638</v>
      </c>
      <c r="J956" s="55" t="s">
        <v>7639</v>
      </c>
      <c r="K956" s="55" t="s">
        <v>61</v>
      </c>
      <c r="L956" s="55">
        <v>16917.0</v>
      </c>
      <c r="M956" s="55" t="s">
        <v>78</v>
      </c>
      <c r="N956" s="55" t="s">
        <v>69</v>
      </c>
      <c r="O956" s="55" t="s">
        <v>224</v>
      </c>
      <c r="P956" s="55" t="s">
        <v>110</v>
      </c>
      <c r="Q956" s="67" t="str">
        <f>IFERROR(__xludf.DUMMYFUNCTION("""COMPUTED_VALUE"""),"Japan.giaotiep.M549xM554_16917_CVS_NamNH_131025")</f>
        <v>Japan.giaotiep.M549xM554_16917_CVS_NamNH_131025</v>
      </c>
      <c r="R956" s="67" t="str">
        <f>IFERROR(__xludf.DUMMYFUNCTION("""COMPUTED_VALUE"""),"NEW_Japan_1840_none_131025")</f>
        <v>NEW_Japan_1840_none_131025</v>
      </c>
      <c r="S956" s="67" t="str">
        <f>IFERROR(__xludf.DUMMYFUNCTION("""COMPUTED_VALUE"""),"saletructiep_Japan.M549xM554.1840.giaotiep_PTATT_LD164")</f>
        <v>saletructiep_Japan.M549xM554.1840.giaotiep_PTATT_LD164</v>
      </c>
      <c r="T956" s="107" t="str">
        <f>IFERROR(__xludf.DUMMYFUNCTION("""COMPUTED_VALUE"""),"https://patadovietnam.edu.vn/gtjapan_nhn3/?utm_source=Facebook&amp;utm_medium=CVS&amp;utm_term=NEW_Japan_1840_none_131025&amp;utm_content=saletructiep_Japan.M549xM554.1840.giaotiep_PTATT_LD164&amp;utm_campaign=Japan.giaotiep.M549xM554_16917_CVS_NamNH_131025")</f>
        <v>https://patadovietnam.edu.vn/gtjapan_nhn3/?utm_source=Facebook&amp;utm_medium=CVS&amp;utm_term=NEW_Japan_1840_none_131025&amp;utm_content=saletructiep_Japan.M549xM554.1840.giaotiep_PTATT_LD164&amp;utm_campaign=Japan.giaotiep.M549xM554_16917_CVS_NamNH_131025</v>
      </c>
      <c r="U956" s="110" t="s">
        <v>7644</v>
      </c>
    </row>
    <row r="957">
      <c r="A957" s="72">
        <v>45943.0</v>
      </c>
      <c r="B957" s="60" t="s">
        <v>1134</v>
      </c>
      <c r="C957" s="67" t="str">
        <f>IFERROR(__xludf.DUMMYFUNCTION("""COMPUTED_VALUE"""),"LD153")</f>
        <v>LD153</v>
      </c>
      <c r="D957" s="55" t="s">
        <v>42</v>
      </c>
      <c r="E957" s="55" t="s">
        <v>69</v>
      </c>
      <c r="F957" s="55" t="s">
        <v>674</v>
      </c>
      <c r="G957" s="55">
        <v>1840.0</v>
      </c>
      <c r="H957" s="55" t="s">
        <v>1137</v>
      </c>
      <c r="I957" s="115" t="s">
        <v>6031</v>
      </c>
      <c r="J957" s="55" t="s">
        <v>6032</v>
      </c>
      <c r="K957" s="55" t="s">
        <v>61</v>
      </c>
      <c r="L957" s="55">
        <v>16917.0</v>
      </c>
      <c r="M957" s="55" t="s">
        <v>78</v>
      </c>
      <c r="N957" s="55" t="s">
        <v>69</v>
      </c>
      <c r="O957" s="55" t="s">
        <v>224</v>
      </c>
      <c r="P957" s="55" t="s">
        <v>110</v>
      </c>
      <c r="Q957" s="67" t="str">
        <f>IFERROR(__xludf.DUMMYFUNCTION("""COMPUTED_VALUE"""),"Europe.giaotiep.M271_16917_CVS_NamNH_131025")</f>
        <v>Europe.giaotiep.M271_16917_CVS_NamNH_131025</v>
      </c>
      <c r="R957" s="67" t="str">
        <f>IFERROR(__xludf.DUMMYFUNCTION("""COMPUTED_VALUE"""),"NEW_Europe_1840_none_131025")</f>
        <v>NEW_Europe_1840_none_131025</v>
      </c>
      <c r="S957" s="67" t="str">
        <f>IFERROR(__xludf.DUMMYFUNCTION("""COMPUTED_VALUE"""),"saletructiep_Europe.M271.1840.giaotiep_PTATT_LD153")</f>
        <v>saletructiep_Europe.M271.1840.giaotiep_PTATT_LD153</v>
      </c>
      <c r="T957" s="107" t="str">
        <f>IFERROR(__xludf.DUMMYFUNCTION("""COMPUTED_VALUE"""),"https://patadovietnam.edu.vn/tienganhgiaotiep_hn/?utm_source=Facebook&amp;utm_medium=CVS&amp;utm_term=NEW_Europe_1840_none_131025&amp;utm_content=saletructiep_Europe.M271.1840.giaotiep_PTATT_LD153&amp;utm_campaign=Europe.giaotiep.M271_16917_CVS_NamNH_131025")</f>
        <v>https://patadovietnam.edu.vn/tienganhgiaotiep_hn/?utm_source=Facebook&amp;utm_medium=CVS&amp;utm_term=NEW_Europe_1840_none_131025&amp;utm_content=saletructiep_Europe.M271.1840.giaotiep_PTATT_LD153&amp;utm_campaign=Europe.giaotiep.M271_16917_CVS_NamNH_131025</v>
      </c>
      <c r="U957" s="110" t="s">
        <v>7652</v>
      </c>
    </row>
    <row r="958">
      <c r="A958" s="72">
        <v>45943.0</v>
      </c>
      <c r="B958" s="60" t="s">
        <v>1229</v>
      </c>
      <c r="C958" s="67" t="str">
        <f>IFERROR(__xludf.DUMMYFUNCTION("""COMPUTED_VALUE"""),"LD164")</f>
        <v>LD164</v>
      </c>
      <c r="D958" s="55" t="s">
        <v>42</v>
      </c>
      <c r="E958" s="55" t="s">
        <v>69</v>
      </c>
      <c r="F958" s="55" t="s">
        <v>133</v>
      </c>
      <c r="G958" s="55">
        <v>1840.0</v>
      </c>
      <c r="H958" s="55" t="s">
        <v>1137</v>
      </c>
      <c r="I958" s="115" t="s">
        <v>7656</v>
      </c>
      <c r="J958" s="55" t="s">
        <v>7657</v>
      </c>
      <c r="K958" s="55" t="s">
        <v>61</v>
      </c>
      <c r="L958" s="55">
        <v>16917.0</v>
      </c>
      <c r="M958" s="55" t="s">
        <v>78</v>
      </c>
      <c r="N958" s="55" t="s">
        <v>69</v>
      </c>
      <c r="O958" s="55" t="s">
        <v>224</v>
      </c>
      <c r="P958" s="55" t="s">
        <v>110</v>
      </c>
      <c r="Q958" s="67" t="str">
        <f>IFERROR(__xludf.DUMMYFUNCTION("""COMPUTED_VALUE"""),"Japan.giaotiep.M534xM536_16917_CVS_NamNH_131025")</f>
        <v>Japan.giaotiep.M534xM536_16917_CVS_NamNH_131025</v>
      </c>
      <c r="R958" s="67" t="str">
        <f>IFERROR(__xludf.DUMMYFUNCTION("""COMPUTED_VALUE"""),"NEW_Japan_1840_none_131025")</f>
        <v>NEW_Japan_1840_none_131025</v>
      </c>
      <c r="S958" s="67" t="str">
        <f>IFERROR(__xludf.DUMMYFUNCTION("""COMPUTED_VALUE"""),"saletructiep_Japan.M534xM536.1840.giaotiep_PTATT_LD164")</f>
        <v>saletructiep_Japan.M534xM536.1840.giaotiep_PTATT_LD164</v>
      </c>
      <c r="T958" s="107" t="str">
        <f>IFERROR(__xludf.DUMMYFUNCTION("""COMPUTED_VALUE"""),"https://patadovietnam.edu.vn/gtjapan_nhn3/?utm_source=Facebook&amp;utm_medium=CVS&amp;utm_term=NEW_Japan_1840_none_131025&amp;utm_content=saletructiep_Japan.M534xM536.1840.giaotiep_PTATT_LD164&amp;utm_campaign=Japan.giaotiep.M534xM536_16917_CVS_NamNH_131025")</f>
        <v>https://patadovietnam.edu.vn/gtjapan_nhn3/?utm_source=Facebook&amp;utm_medium=CVS&amp;utm_term=NEW_Japan_1840_none_131025&amp;utm_content=saletructiep_Japan.M534xM536.1840.giaotiep_PTATT_LD164&amp;utm_campaign=Japan.giaotiep.M534xM536_16917_CVS_NamNH_131025</v>
      </c>
      <c r="U958" s="110" t="s">
        <v>7661</v>
      </c>
    </row>
    <row r="959">
      <c r="A959" s="72">
        <v>45943.0</v>
      </c>
      <c r="B959" s="60" t="s">
        <v>1134</v>
      </c>
      <c r="C959" s="67" t="str">
        <f>IFERROR(__xludf.DUMMYFUNCTION("""COMPUTED_VALUE"""),"LD153")</f>
        <v>LD153</v>
      </c>
      <c r="D959" s="55" t="s">
        <v>42</v>
      </c>
      <c r="E959" s="55" t="s">
        <v>79</v>
      </c>
      <c r="F959" s="55" t="s">
        <v>539</v>
      </c>
      <c r="G959" s="55">
        <v>1840.0</v>
      </c>
      <c r="H959" s="55" t="s">
        <v>1137</v>
      </c>
      <c r="I959" s="115" t="s">
        <v>7664</v>
      </c>
      <c r="J959" s="55" t="s">
        <v>7665</v>
      </c>
      <c r="K959" s="55" t="s">
        <v>61</v>
      </c>
      <c r="L959" s="55">
        <v>16917.0</v>
      </c>
      <c r="M959" s="55" t="s">
        <v>78</v>
      </c>
      <c r="N959" s="55" t="s">
        <v>79</v>
      </c>
      <c r="O959" s="55" t="s">
        <v>224</v>
      </c>
      <c r="P959" s="55" t="s">
        <v>110</v>
      </c>
      <c r="Q959" s="67" t="str">
        <f>IFERROR(__xludf.DUMMYFUNCTION("""COMPUTED_VALUE"""),"ALL.giaotiep.M526xM536_16917_MES_NamNH_131025")</f>
        <v>ALL.giaotiep.M526xM536_16917_MES_NamNH_131025</v>
      </c>
      <c r="R959" s="67" t="str">
        <f>IFERROR(__xludf.DUMMYFUNCTION("""COMPUTED_VALUE"""),"NEW_ALL_1840_none_131025")</f>
        <v>NEW_ALL_1840_none_131025</v>
      </c>
      <c r="S959" s="67" t="str">
        <f>IFERROR(__xludf.DUMMYFUNCTION("""COMPUTED_VALUE"""),"saletructiep_ALL.M526xM536.1840.giaotiep_PTATT_LD153")</f>
        <v>saletructiep_ALL.M526xM536.1840.giaotiep_PTATT_LD153</v>
      </c>
      <c r="T959" s="107" t="str">
        <f>IFERROR(__xludf.DUMMYFUNCTION("""COMPUTED_VALUE"""),"https://patadovietnam.edu.vn/tienganhgiaotiep_hn/?utm_source=Facebook&amp;utm_medium=MES&amp;utm_term=NEW_ALL_1840_none_131025&amp;utm_content=saletructiep_ALL.M526xM536.1840.giaotiep_PTATT_LD153&amp;utm_campaign=ALL.giaotiep.M526xM536_16917_MES_NamNH_131025")</f>
        <v>https://patadovietnam.edu.vn/tienganhgiaotiep_hn/?utm_source=Facebook&amp;utm_medium=MES&amp;utm_term=NEW_ALL_1840_none_131025&amp;utm_content=saletructiep_ALL.M526xM536.1840.giaotiep_PTATT_LD153&amp;utm_campaign=ALL.giaotiep.M526xM536_16917_MES_NamNH_131025</v>
      </c>
      <c r="U959" s="110" t="s">
        <v>7668</v>
      </c>
    </row>
    <row r="960">
      <c r="A960" s="72">
        <v>45943.0</v>
      </c>
      <c r="B960" s="60" t="s">
        <v>1134</v>
      </c>
      <c r="C960" s="67" t="str">
        <f>IFERROR(__xludf.DUMMYFUNCTION("""COMPUTED_VALUE"""),"LD153")</f>
        <v>LD153</v>
      </c>
      <c r="D960" s="55" t="s">
        <v>42</v>
      </c>
      <c r="E960" s="55" t="s">
        <v>79</v>
      </c>
      <c r="F960" s="55" t="s">
        <v>539</v>
      </c>
      <c r="G960" s="55">
        <v>1840.0</v>
      </c>
      <c r="H960" s="55" t="s">
        <v>1137</v>
      </c>
      <c r="I960" s="115" t="s">
        <v>7671</v>
      </c>
      <c r="J960" s="55" t="s">
        <v>7672</v>
      </c>
      <c r="K960" s="55" t="s">
        <v>61</v>
      </c>
      <c r="L960" s="55">
        <v>16917.0</v>
      </c>
      <c r="M960" s="55" t="s">
        <v>78</v>
      </c>
      <c r="N960" s="55" t="s">
        <v>79</v>
      </c>
      <c r="O960" s="55" t="s">
        <v>224</v>
      </c>
      <c r="P960" s="55" t="s">
        <v>110</v>
      </c>
      <c r="Q960" s="67" t="str">
        <f>IFERROR(__xludf.DUMMYFUNCTION("""COMPUTED_VALUE"""),"ALL.giaotiep.M537xM554_16917_MES_NamNH_131025")</f>
        <v>ALL.giaotiep.M537xM554_16917_MES_NamNH_131025</v>
      </c>
      <c r="R960" s="67" t="str">
        <f>IFERROR(__xludf.DUMMYFUNCTION("""COMPUTED_VALUE"""),"NEW_ALL_1840_none_131025")</f>
        <v>NEW_ALL_1840_none_131025</v>
      </c>
      <c r="S960" s="67" t="str">
        <f>IFERROR(__xludf.DUMMYFUNCTION("""COMPUTED_VALUE"""),"saletructiep_ALL.M537xM554.1840.giaotiep_PTATT_LD153")</f>
        <v>saletructiep_ALL.M537xM554.1840.giaotiep_PTATT_LD153</v>
      </c>
      <c r="T960" s="107" t="str">
        <f>IFERROR(__xludf.DUMMYFUNCTION("""COMPUTED_VALUE"""),"https://patadovietnam.edu.vn/tienganhgiaotiep_hn/?utm_source=Facebook&amp;utm_medium=MES&amp;utm_term=NEW_ALL_1840_none_131025&amp;utm_content=saletructiep_ALL.M537xM554.1840.giaotiep_PTATT_LD153&amp;utm_campaign=ALL.giaotiep.M537xM554_16917_MES_NamNH_131025")</f>
        <v>https://patadovietnam.edu.vn/tienganhgiaotiep_hn/?utm_source=Facebook&amp;utm_medium=MES&amp;utm_term=NEW_ALL_1840_none_131025&amp;utm_content=saletructiep_ALL.M537xM554.1840.giaotiep_PTATT_LD153&amp;utm_campaign=ALL.giaotiep.M537xM554_16917_MES_NamNH_131025</v>
      </c>
      <c r="U960" s="110" t="s">
        <v>7683</v>
      </c>
    </row>
    <row r="961">
      <c r="A961" s="72">
        <v>45943.0</v>
      </c>
      <c r="B961" s="60" t="s">
        <v>1245</v>
      </c>
      <c r="C961" s="67" t="str">
        <f>IFERROR(__xludf.DUMMYFUNCTION("""COMPUTED_VALUE"""),"LD161")</f>
        <v>LD161</v>
      </c>
      <c r="D961" s="55" t="s">
        <v>42</v>
      </c>
      <c r="E961" s="55" t="s">
        <v>79</v>
      </c>
      <c r="F961" s="55" t="s">
        <v>107</v>
      </c>
      <c r="G961" s="55">
        <v>2050.0</v>
      </c>
      <c r="H961" s="55" t="s">
        <v>1137</v>
      </c>
      <c r="I961" s="115" t="s">
        <v>7688</v>
      </c>
      <c r="J961" s="55" t="s">
        <v>7689</v>
      </c>
      <c r="K961" s="55" t="s">
        <v>61</v>
      </c>
      <c r="L961" s="55">
        <v>16917.0</v>
      </c>
      <c r="M961" s="55" t="s">
        <v>78</v>
      </c>
      <c r="N961" s="55" t="s">
        <v>79</v>
      </c>
      <c r="O961" s="55" t="s">
        <v>224</v>
      </c>
      <c r="P961" s="55" t="s">
        <v>110</v>
      </c>
      <c r="Q961" s="67" t="str">
        <f>IFERROR(__xludf.DUMMYFUNCTION("""COMPUTED_VALUE"""),"UnitedStates.giaotiep.M551xM552_16917_MES_NamNH_131025")</f>
        <v>UnitedStates.giaotiep.M551xM552_16917_MES_NamNH_131025</v>
      </c>
      <c r="R961" s="67" t="str">
        <f>IFERROR(__xludf.DUMMYFUNCTION("""COMPUTED_VALUE"""),"NEW_UnitedStates_2050_none_131025")</f>
        <v>NEW_UnitedStates_2050_none_131025</v>
      </c>
      <c r="S961" s="67" t="str">
        <f>IFERROR(__xludf.DUMMYFUNCTION("""COMPUTED_VALUE"""),"saletructiep_UnitedStates.M551xM552.1840.giaotiep_PTATT_LD161")</f>
        <v>saletructiep_UnitedStates.M551xM552.1840.giaotiep_PTATT_LD161</v>
      </c>
      <c r="T961" s="107" t="str">
        <f>IFERROR(__xludf.DUMMYFUNCTION("""COMPUTED_VALUE"""),"https://patadovietnam.edu.vn/gtusa1_nhn/?utm_source=Facebook&amp;utm_medium=MES&amp;utm_term=NEW_UnitedStates_2050_none_131025&amp;utm_content=saletructiep_UnitedStates.M551xM552.1840.giaotiep_PTATT_LD161&amp;utm_campaign=UnitedStates.giaotiep.M551xM552_16917_MES_NamNH_1"&amp;"31025")</f>
        <v>https://patadovietnam.edu.vn/gtusa1_nhn/?utm_source=Facebook&amp;utm_medium=MES&amp;utm_term=NEW_UnitedStates_2050_none_131025&amp;utm_content=saletructiep_UnitedStates.M551xM552.1840.giaotiep_PTATT_LD161&amp;utm_campaign=UnitedStates.giaotiep.M551xM552_16917_MES_NamNH_131025</v>
      </c>
      <c r="U961" s="110" t="s">
        <v>7690</v>
      </c>
    </row>
    <row r="962">
      <c r="A962" s="72">
        <v>45947.0</v>
      </c>
      <c r="B962" s="60" t="s">
        <v>1134</v>
      </c>
      <c r="C962" s="67" t="str">
        <f>IFERROR(__xludf.DUMMYFUNCTION("""COMPUTED_VALUE"""),"LD153")</f>
        <v>LD153</v>
      </c>
      <c r="D962" s="55" t="s">
        <v>42</v>
      </c>
      <c r="E962" s="55" t="s">
        <v>79</v>
      </c>
      <c r="F962" s="55" t="s">
        <v>674</v>
      </c>
      <c r="G962" s="55">
        <v>1840.0</v>
      </c>
      <c r="H962" s="55" t="s">
        <v>1137</v>
      </c>
      <c r="I962" s="115" t="s">
        <v>7691</v>
      </c>
      <c r="J962" s="55" t="s">
        <v>7692</v>
      </c>
      <c r="K962" s="55" t="s">
        <v>61</v>
      </c>
      <c r="L962" s="55">
        <v>16917.0</v>
      </c>
      <c r="M962" s="55" t="s">
        <v>78</v>
      </c>
      <c r="N962" s="55" t="s">
        <v>79</v>
      </c>
      <c r="O962" s="55" t="s">
        <v>224</v>
      </c>
      <c r="P962" s="55" t="s">
        <v>110</v>
      </c>
      <c r="Q962" s="67" t="str">
        <f>IFERROR(__xludf.DUMMYFUNCTION("""COMPUTED_VALUE"""),"Europe.giaotiep.M551xM552_16917_MES_NamNH_171025")</f>
        <v>Europe.giaotiep.M551xM552_16917_MES_NamNH_171025</v>
      </c>
      <c r="R962" s="67" t="str">
        <f>IFERROR(__xludf.DUMMYFUNCTION("""COMPUTED_VALUE"""),"NEW_Europe_1840_none_171025")</f>
        <v>NEW_Europe_1840_none_171025</v>
      </c>
      <c r="S962" s="67" t="str">
        <f>IFERROR(__xludf.DUMMYFUNCTION("""COMPUTED_VALUE"""),"saletructiep_Europe.M551xM552.1840.giaotiep_PTATT_LD153")</f>
        <v>saletructiep_Europe.M551xM552.1840.giaotiep_PTATT_LD153</v>
      </c>
      <c r="T962" s="107" t="str">
        <f>IFERROR(__xludf.DUMMYFUNCTION("""COMPUTED_VALUE"""),"https://patadovietnam.edu.vn/tienganhgiaotiep_hn/?utm_source=Facebook&amp;utm_medium=MES&amp;utm_term=NEW_Europe_1840_none_171025&amp;utm_content=saletructiep_Europe.M551xM552.1840.giaotiep_PTATT_LD153&amp;utm_campaign=Europe.giaotiep.M551xM552_16917_MES_NamNH_171025")</f>
        <v>https://patadovietnam.edu.vn/tienganhgiaotiep_hn/?utm_source=Facebook&amp;utm_medium=MES&amp;utm_term=NEW_Europe_1840_none_171025&amp;utm_content=saletructiep_Europe.M551xM552.1840.giaotiep_PTATT_LD153&amp;utm_campaign=Europe.giaotiep.M551xM552_16917_MES_NamNH_171025</v>
      </c>
      <c r="U962" s="110" t="s">
        <v>7693</v>
      </c>
    </row>
    <row r="963">
      <c r="A963" s="72">
        <v>45947.0</v>
      </c>
      <c r="B963" s="60" t="s">
        <v>1229</v>
      </c>
      <c r="C963" s="67" t="str">
        <f>IFERROR(__xludf.DUMMYFUNCTION("""COMPUTED_VALUE"""),"LD164")</f>
        <v>LD164</v>
      </c>
      <c r="D963" s="55" t="s">
        <v>42</v>
      </c>
      <c r="E963" s="55" t="s">
        <v>79</v>
      </c>
      <c r="F963" s="55" t="s">
        <v>133</v>
      </c>
      <c r="G963" s="55">
        <v>1840.0</v>
      </c>
      <c r="H963" s="55" t="s">
        <v>1137</v>
      </c>
      <c r="I963" s="115" t="s">
        <v>7694</v>
      </c>
      <c r="J963" s="55" t="s">
        <v>7695</v>
      </c>
      <c r="K963" s="55" t="s">
        <v>61</v>
      </c>
      <c r="L963" s="55">
        <v>16917.0</v>
      </c>
      <c r="M963" s="55" t="s">
        <v>78</v>
      </c>
      <c r="N963" s="55" t="s">
        <v>79</v>
      </c>
      <c r="O963" s="55" t="s">
        <v>224</v>
      </c>
      <c r="P963" s="55" t="s">
        <v>110</v>
      </c>
      <c r="Q963" s="67" t="str">
        <f>IFERROR(__xludf.DUMMYFUNCTION("""COMPUTED_VALUE"""),"Japan.giaotiep.M551xM552_16917_MES_NamNH_171025")</f>
        <v>Japan.giaotiep.M551xM552_16917_MES_NamNH_171025</v>
      </c>
      <c r="R963" s="67" t="str">
        <f>IFERROR(__xludf.DUMMYFUNCTION("""COMPUTED_VALUE"""),"NEW_Japan_1840_none_171025")</f>
        <v>NEW_Japan_1840_none_171025</v>
      </c>
      <c r="S963" s="67" t="str">
        <f>IFERROR(__xludf.DUMMYFUNCTION("""COMPUTED_VALUE"""),"saletructiep_Japan.M551xM552.1840.giaotiep_PTATT_LD164")</f>
        <v>saletructiep_Japan.M551xM552.1840.giaotiep_PTATT_LD164</v>
      </c>
      <c r="T963" s="107" t="str">
        <f>IFERROR(__xludf.DUMMYFUNCTION("""COMPUTED_VALUE"""),"https://patadovietnam.edu.vn/gtjapan_nhn3/?utm_source=Facebook&amp;utm_medium=MES&amp;utm_term=NEW_Japan_1840_none_171025&amp;utm_content=saletructiep_Japan.M551xM552.1840.giaotiep_PTATT_LD164&amp;utm_campaign=Japan.giaotiep.M551xM552_16917_MES_NamNH_171025")</f>
        <v>https://patadovietnam.edu.vn/gtjapan_nhn3/?utm_source=Facebook&amp;utm_medium=MES&amp;utm_term=NEW_Japan_1840_none_171025&amp;utm_content=saletructiep_Japan.M551xM552.1840.giaotiep_PTATT_LD164&amp;utm_campaign=Japan.giaotiep.M551xM552_16917_MES_NamNH_171025</v>
      </c>
      <c r="U963" s="110" t="s">
        <v>7696</v>
      </c>
    </row>
    <row r="964">
      <c r="A964" s="72">
        <v>45964.0</v>
      </c>
      <c r="B964" s="60" t="s">
        <v>1134</v>
      </c>
      <c r="C964" s="67" t="str">
        <f>IFERROR(__xludf.DUMMYFUNCTION("""COMPUTED_VALUE"""),"LD153")</f>
        <v>LD153</v>
      </c>
      <c r="D964" s="55" t="s">
        <v>42</v>
      </c>
      <c r="E964" s="55" t="s">
        <v>69</v>
      </c>
      <c r="F964" s="55" t="s">
        <v>674</v>
      </c>
      <c r="G964" s="55">
        <v>1840.0</v>
      </c>
      <c r="H964" s="55" t="s">
        <v>1137</v>
      </c>
      <c r="I964" s="115" t="s">
        <v>7697</v>
      </c>
      <c r="J964" s="55" t="s">
        <v>7698</v>
      </c>
      <c r="K964" s="55" t="s">
        <v>61</v>
      </c>
      <c r="L964" s="55">
        <v>16917.0</v>
      </c>
      <c r="M964" s="55" t="s">
        <v>78</v>
      </c>
      <c r="N964" s="55" t="s">
        <v>69</v>
      </c>
      <c r="O964" s="55" t="s">
        <v>224</v>
      </c>
      <c r="P964" s="55" t="s">
        <v>110</v>
      </c>
      <c r="Q964" s="67" t="str">
        <f>IFERROR(__xludf.DUMMYFUNCTION("""COMPUTED_VALUE"""),"Europe.giaotiep.M555xM567_16917_CVS_NamNH_031125")</f>
        <v>Europe.giaotiep.M555xM567_16917_CVS_NamNH_031125</v>
      </c>
      <c r="R964" s="67" t="str">
        <f>IFERROR(__xludf.DUMMYFUNCTION("""COMPUTED_VALUE"""),"NEW_Europe_1840_none_031125")</f>
        <v>NEW_Europe_1840_none_031125</v>
      </c>
      <c r="S964" s="67" t="str">
        <f>IFERROR(__xludf.DUMMYFUNCTION("""COMPUTED_VALUE"""),"saletructiep_Europe.M555xM567.1840.giaotiep_PTATT_LD153")</f>
        <v>saletructiep_Europe.M555xM567.1840.giaotiep_PTATT_LD153</v>
      </c>
      <c r="T964" s="107" t="str">
        <f>IFERROR(__xludf.DUMMYFUNCTION("""COMPUTED_VALUE"""),"https://patadovietnam.edu.vn/tienganhgiaotiep_hn/?utm_source=Facebook&amp;utm_medium=CVS&amp;utm_term=NEW_Europe_1840_none_031125&amp;utm_content=saletructiep_Europe.M555xM567.1840.giaotiep_PTATT_LD153&amp;utm_campaign=Europe.giaotiep.M555xM567_16917_CVS_NamNH_031125")</f>
        <v>https://patadovietnam.edu.vn/tienganhgiaotiep_hn/?utm_source=Facebook&amp;utm_medium=CVS&amp;utm_term=NEW_Europe_1840_none_031125&amp;utm_content=saletructiep_Europe.M555xM567.1840.giaotiep_PTATT_LD153&amp;utm_campaign=Europe.giaotiep.M555xM567_16917_CVS_NamNH_031125</v>
      </c>
      <c r="U964" s="110" t="s">
        <v>7699</v>
      </c>
    </row>
    <row r="965">
      <c r="A965" s="72">
        <v>45964.0</v>
      </c>
      <c r="B965" s="60" t="s">
        <v>1229</v>
      </c>
      <c r="C965" s="67" t="str">
        <f>IFERROR(__xludf.DUMMYFUNCTION("""COMPUTED_VALUE"""),"LD164")</f>
        <v>LD164</v>
      </c>
      <c r="D965" s="55" t="s">
        <v>42</v>
      </c>
      <c r="E965" s="55" t="s">
        <v>69</v>
      </c>
      <c r="F965" s="55" t="s">
        <v>133</v>
      </c>
      <c r="G965" s="55">
        <v>1840.0</v>
      </c>
      <c r="H965" s="55" t="s">
        <v>1137</v>
      </c>
      <c r="I965" s="115" t="s">
        <v>7700</v>
      </c>
      <c r="J965" s="55" t="s">
        <v>7701</v>
      </c>
      <c r="K965" s="55" t="s">
        <v>61</v>
      </c>
      <c r="L965" s="55">
        <v>16917.0</v>
      </c>
      <c r="M965" s="55" t="s">
        <v>78</v>
      </c>
      <c r="N965" s="55" t="s">
        <v>69</v>
      </c>
      <c r="O965" s="55" t="s">
        <v>224</v>
      </c>
      <c r="P965" s="55" t="s">
        <v>110</v>
      </c>
      <c r="Q965" s="67" t="str">
        <f>IFERROR(__xludf.DUMMYFUNCTION("""COMPUTED_VALUE"""),"Japan.giaotiep.M555xM567_16917_CVS_NamNH_031125")</f>
        <v>Japan.giaotiep.M555xM567_16917_CVS_NamNH_031125</v>
      </c>
      <c r="R965" s="67" t="str">
        <f>IFERROR(__xludf.DUMMYFUNCTION("""COMPUTED_VALUE"""),"NEW_Japan_1840_none_031125")</f>
        <v>NEW_Japan_1840_none_031125</v>
      </c>
      <c r="S965" s="67" t="str">
        <f>IFERROR(__xludf.DUMMYFUNCTION("""COMPUTED_VALUE"""),"saletructiep_Japan.M555xM567.1840.giaotiep_PTATT_LD164")</f>
        <v>saletructiep_Japan.M555xM567.1840.giaotiep_PTATT_LD164</v>
      </c>
      <c r="T965" s="107" t="str">
        <f>IFERROR(__xludf.DUMMYFUNCTION("""COMPUTED_VALUE"""),"https://patadovietnam.edu.vn/gtjapan_nhn3/?utm_source=Facebook&amp;utm_medium=CVS&amp;utm_term=NEW_Japan_1840_none_031125&amp;utm_content=saletructiep_Japan.M555xM567.1840.giaotiep_PTATT_LD164&amp;utm_campaign=Japan.giaotiep.M555xM567_16917_CVS_NamNH_031125")</f>
        <v>https://patadovietnam.edu.vn/gtjapan_nhn3/?utm_source=Facebook&amp;utm_medium=CVS&amp;utm_term=NEW_Japan_1840_none_031125&amp;utm_content=saletructiep_Japan.M555xM567.1840.giaotiep_PTATT_LD164&amp;utm_campaign=Japan.giaotiep.M555xM567_16917_CVS_NamNH_031125</v>
      </c>
      <c r="U965" s="110" t="s">
        <v>7702</v>
      </c>
    </row>
    <row r="966">
      <c r="A966" s="72">
        <v>45964.0</v>
      </c>
      <c r="B966" s="60" t="s">
        <v>1134</v>
      </c>
      <c r="C966" s="67" t="str">
        <f>IFERROR(__xludf.DUMMYFUNCTION("""COMPUTED_VALUE"""),"LD153")</f>
        <v>LD153</v>
      </c>
      <c r="D966" s="55" t="s">
        <v>42</v>
      </c>
      <c r="E966" s="55" t="s">
        <v>79</v>
      </c>
      <c r="F966" s="55" t="s">
        <v>539</v>
      </c>
      <c r="G966" s="55">
        <v>1840.0</v>
      </c>
      <c r="H966" s="55" t="s">
        <v>1137</v>
      </c>
      <c r="I966" s="115" t="s">
        <v>7703</v>
      </c>
      <c r="J966" s="55" t="s">
        <v>7704</v>
      </c>
      <c r="K966" s="55" t="s">
        <v>61</v>
      </c>
      <c r="L966" s="55">
        <v>16917.0</v>
      </c>
      <c r="M966" s="55" t="s">
        <v>78</v>
      </c>
      <c r="N966" s="55" t="s">
        <v>79</v>
      </c>
      <c r="O966" s="55" t="s">
        <v>224</v>
      </c>
      <c r="P966" s="55" t="s">
        <v>110</v>
      </c>
      <c r="Q966" s="67" t="str">
        <f>IFERROR(__xludf.DUMMYFUNCTION("""COMPUTED_VALUE"""),"ALL.giaotiep.M555xM567_16917_MES_NamNH_031125")</f>
        <v>ALL.giaotiep.M555xM567_16917_MES_NamNH_031125</v>
      </c>
      <c r="R966" s="67" t="str">
        <f>IFERROR(__xludf.DUMMYFUNCTION("""COMPUTED_VALUE"""),"NEW_ALL_1840_none_031125")</f>
        <v>NEW_ALL_1840_none_031125</v>
      </c>
      <c r="S966" s="67" t="str">
        <f>IFERROR(__xludf.DUMMYFUNCTION("""COMPUTED_VALUE"""),"saletructiep_ALL.M555xM567.1840.giaotiep_PTATT_LD153")</f>
        <v>saletructiep_ALL.M555xM567.1840.giaotiep_PTATT_LD153</v>
      </c>
      <c r="T966" s="107" t="str">
        <f>IFERROR(__xludf.DUMMYFUNCTION("""COMPUTED_VALUE"""),"https://patadovietnam.edu.vn/tienganhgiaotiep_hn/?utm_source=Facebook&amp;utm_medium=MES&amp;utm_term=NEW_ALL_1840_none_031125&amp;utm_content=saletructiep_ALL.M555xM567.1840.giaotiep_PTATT_LD153&amp;utm_campaign=ALL.giaotiep.M555xM567_16917_MES_NamNH_031125")</f>
        <v>https://patadovietnam.edu.vn/tienganhgiaotiep_hn/?utm_source=Facebook&amp;utm_medium=MES&amp;utm_term=NEW_ALL_1840_none_031125&amp;utm_content=saletructiep_ALL.M555xM567.1840.giaotiep_PTATT_LD153&amp;utm_campaign=ALL.giaotiep.M555xM567_16917_MES_NamNH_031125</v>
      </c>
      <c r="U966" s="110" t="s">
        <v>7705</v>
      </c>
    </row>
    <row r="967">
      <c r="A967" s="72">
        <v>45964.0</v>
      </c>
      <c r="B967" s="60" t="s">
        <v>1245</v>
      </c>
      <c r="C967" s="67" t="str">
        <f>IFERROR(__xludf.DUMMYFUNCTION("""COMPUTED_VALUE"""),"LD161")</f>
        <v>LD161</v>
      </c>
      <c r="D967" s="55" t="s">
        <v>42</v>
      </c>
      <c r="E967" s="55" t="s">
        <v>79</v>
      </c>
      <c r="F967" s="55" t="s">
        <v>107</v>
      </c>
      <c r="G967" s="55">
        <v>2050.0</v>
      </c>
      <c r="H967" s="55" t="s">
        <v>1137</v>
      </c>
      <c r="I967" s="115" t="s">
        <v>7706</v>
      </c>
      <c r="J967" s="55" t="s">
        <v>7707</v>
      </c>
      <c r="K967" s="55" t="s">
        <v>61</v>
      </c>
      <c r="L967" s="55">
        <v>16917.0</v>
      </c>
      <c r="M967" s="55" t="s">
        <v>78</v>
      </c>
      <c r="N967" s="55" t="s">
        <v>79</v>
      </c>
      <c r="O967" s="55" t="s">
        <v>224</v>
      </c>
      <c r="P967" s="55" t="s">
        <v>110</v>
      </c>
      <c r="Q967" s="67" t="str">
        <f>IFERROR(__xludf.DUMMYFUNCTION("""COMPUTED_VALUE"""),"UnitedStates.giaotiep.M555xM567_16917_MES_NamNH_031125")</f>
        <v>UnitedStates.giaotiep.M555xM567_16917_MES_NamNH_031125</v>
      </c>
      <c r="R967" s="67" t="str">
        <f>IFERROR(__xludf.DUMMYFUNCTION("""COMPUTED_VALUE"""),"NEW_UnitedStates_2050_none_031125")</f>
        <v>NEW_UnitedStates_2050_none_031125</v>
      </c>
      <c r="S967" s="67" t="str">
        <f>IFERROR(__xludf.DUMMYFUNCTION("""COMPUTED_VALUE"""),"saletructiep_UnitedStates.M555xM567.1840.giaotiep_PTATT_LD161")</f>
        <v>saletructiep_UnitedStates.M555xM567.1840.giaotiep_PTATT_LD161</v>
      </c>
      <c r="T967" s="107" t="str">
        <f>IFERROR(__xludf.DUMMYFUNCTION("""COMPUTED_VALUE"""),"https://patadovietnam.edu.vn/gtusa1_nhn/?utm_source=Facebook&amp;utm_medium=MES&amp;utm_term=NEW_UnitedStates_2050_none_031125&amp;utm_content=saletructiep_UnitedStates.M555xM567.1840.giaotiep_PTATT_LD161&amp;utm_campaign=UnitedStates.giaotiep.M555xM567_16917_MES_NamNH_0"&amp;"31125")</f>
        <v>https://patadovietnam.edu.vn/gtusa1_nhn/?utm_source=Facebook&amp;utm_medium=MES&amp;utm_term=NEW_UnitedStates_2050_none_031125&amp;utm_content=saletructiep_UnitedStates.M555xM567.1840.giaotiep_PTATT_LD161&amp;utm_campaign=UnitedStates.giaotiep.M555xM567_16917_MES_NamNH_031125</v>
      </c>
      <c r="U967" s="110" t="s">
        <v>7708</v>
      </c>
    </row>
    <row r="968">
      <c r="A968" s="72">
        <v>45964.0</v>
      </c>
      <c r="B968" s="60" t="s">
        <v>7611</v>
      </c>
      <c r="C968" s="67" t="str">
        <f>IFERROR(__xludf.DUMMYFUNCTION("""COMPUTED_VALUE"""),"LD251")</f>
        <v>LD251</v>
      </c>
      <c r="D968" s="55" t="s">
        <v>42</v>
      </c>
      <c r="E968" s="55" t="s">
        <v>69</v>
      </c>
      <c r="F968" s="55" t="s">
        <v>674</v>
      </c>
      <c r="G968" s="55">
        <v>1840.0</v>
      </c>
      <c r="H968" s="55" t="s">
        <v>1137</v>
      </c>
      <c r="I968" s="115" t="s">
        <v>7697</v>
      </c>
      <c r="J968" s="55" t="s">
        <v>7698</v>
      </c>
      <c r="K968" s="55" t="s">
        <v>61</v>
      </c>
      <c r="L968" s="55">
        <v>16917.0</v>
      </c>
      <c r="M968" s="55" t="s">
        <v>78</v>
      </c>
      <c r="N968" s="55" t="s">
        <v>79</v>
      </c>
      <c r="O968" s="55" t="s">
        <v>224</v>
      </c>
      <c r="P968" s="55" t="s">
        <v>110</v>
      </c>
      <c r="Q968" s="67" t="str">
        <f>IFERROR(__xludf.DUMMYFUNCTION("""COMPUTED_VALUE"""),"Europe.giaotiep.M555xM567_16917_MES_NamNH_031125")</f>
        <v>Europe.giaotiep.M555xM567_16917_MES_NamNH_031125</v>
      </c>
      <c r="R968" s="67" t="str">
        <f>IFERROR(__xludf.DUMMYFUNCTION("""COMPUTED_VALUE"""),"NEW_Europe_1840_none_031125")</f>
        <v>NEW_Europe_1840_none_031125</v>
      </c>
      <c r="S968" s="67" t="str">
        <f>IFERROR(__xludf.DUMMYFUNCTION("""COMPUTED_VALUE"""),"saletructiep_Europe.M555xM567.1840.giaotiep_PTATT_LD251")</f>
        <v>saletructiep_Europe.M555xM567.1840.giaotiep_PTATT_LD251</v>
      </c>
      <c r="T968" s="107" t="str">
        <f>IFERROR(__xludf.DUMMYFUNCTION("""COMPUTED_VALUE"""),"https://patadovietnam.edu.vn/tienganhgt_nnh/?utm_source=Facebook&amp;utm_medium=CVS&amp;utm_term=NEW_Europe_1840_none_031125&amp;utm_content=saletructiep_Europe.M555xM567.1840.giaotiep_PTATT_LD251&amp;utm_campaign=Europe.giaotiep.M555xM567_16917_MES_NamNH_031125")</f>
        <v>https://patadovietnam.edu.vn/tienganhgt_nnh/?utm_source=Facebook&amp;utm_medium=CVS&amp;utm_term=NEW_Europe_1840_none_031125&amp;utm_content=saletructiep_Europe.M555xM567.1840.giaotiep_PTATT_LD251&amp;utm_campaign=Europe.giaotiep.M555xM567_16917_MES_NamNH_031125</v>
      </c>
      <c r="U968" s="110" t="s">
        <v>7709</v>
      </c>
    </row>
    <row r="969">
      <c r="A969" s="72">
        <v>45973.0</v>
      </c>
      <c r="B969" s="60" t="s">
        <v>1134</v>
      </c>
      <c r="C969" s="67" t="str">
        <f>IFERROR(__xludf.DUMMYFUNCTION("""COMPUTED_VALUE"""),"LD153")</f>
        <v>LD153</v>
      </c>
      <c r="D969" s="55" t="s">
        <v>42</v>
      </c>
      <c r="E969" s="55" t="s">
        <v>79</v>
      </c>
      <c r="F969" s="55" t="s">
        <v>674</v>
      </c>
      <c r="G969" s="55">
        <v>1840.0</v>
      </c>
      <c r="H969" s="55" t="s">
        <v>1137</v>
      </c>
      <c r="I969" s="115" t="s">
        <v>7710</v>
      </c>
      <c r="J969" s="55" t="s">
        <v>7711</v>
      </c>
      <c r="K969" s="55" t="s">
        <v>61</v>
      </c>
      <c r="L969" s="55">
        <v>16917.0</v>
      </c>
      <c r="M969" s="55" t="s">
        <v>78</v>
      </c>
      <c r="N969" s="55" t="s">
        <v>79</v>
      </c>
      <c r="O969" s="55" t="s">
        <v>224</v>
      </c>
      <c r="P969" s="55" t="s">
        <v>110</v>
      </c>
      <c r="Q969" s="67" t="str">
        <f>IFERROR(__xludf.DUMMYFUNCTION("""COMPUTED_VALUE"""),"Europe.giaotiep.M566_16917_MES_NamNH_121125")</f>
        <v>Europe.giaotiep.M566_16917_MES_NamNH_121125</v>
      </c>
      <c r="R969" s="67" t="str">
        <f>IFERROR(__xludf.DUMMYFUNCTION("""COMPUTED_VALUE"""),"NEW_Europe_1840_none_121125")</f>
        <v>NEW_Europe_1840_none_121125</v>
      </c>
      <c r="S969" s="67" t="str">
        <f>IFERROR(__xludf.DUMMYFUNCTION("""COMPUTED_VALUE"""),"saletructiep_Europe.M566.1840.giaotiep_PTATT_LD153")</f>
        <v>saletructiep_Europe.M566.1840.giaotiep_PTATT_LD153</v>
      </c>
      <c r="T969" s="107" t="str">
        <f>IFERROR(__xludf.DUMMYFUNCTION("""COMPUTED_VALUE"""),"https://patadovietnam.edu.vn/tienganhgiaotiep_hn/?utm_source=Facebook&amp;utm_medium=MES&amp;utm_term=NEW_Europe_1840_none_121125&amp;utm_content=saletructiep_Europe.M566.1840.giaotiep_PTATT_LD153&amp;utm_campaign=Europe.giaotiep.M566_16917_MES_NamNH_121125")</f>
        <v>https://patadovietnam.edu.vn/tienganhgiaotiep_hn/?utm_source=Facebook&amp;utm_medium=MES&amp;utm_term=NEW_Europe_1840_none_121125&amp;utm_content=saletructiep_Europe.M566.1840.giaotiep_PTATT_LD153&amp;utm_campaign=Europe.giaotiep.M566_16917_MES_NamNH_121125</v>
      </c>
      <c r="U969" s="110" t="s">
        <v>7712</v>
      </c>
    </row>
    <row r="970">
      <c r="A970" s="72">
        <v>45973.0</v>
      </c>
      <c r="B970" s="60" t="s">
        <v>1134</v>
      </c>
      <c r="C970" s="67" t="str">
        <f>IFERROR(__xludf.DUMMYFUNCTION("""COMPUTED_VALUE"""),"LD153")</f>
        <v>LD153</v>
      </c>
      <c r="D970" s="55" t="s">
        <v>42</v>
      </c>
      <c r="E970" s="55" t="s">
        <v>79</v>
      </c>
      <c r="F970" s="55" t="s">
        <v>133</v>
      </c>
      <c r="G970" s="55">
        <v>1840.0</v>
      </c>
      <c r="H970" s="55" t="s">
        <v>1137</v>
      </c>
      <c r="I970" s="115" t="s">
        <v>7713</v>
      </c>
      <c r="J970" s="55" t="s">
        <v>7714</v>
      </c>
      <c r="K970" s="55" t="s">
        <v>61</v>
      </c>
      <c r="L970" s="55">
        <v>16917.0</v>
      </c>
      <c r="M970" s="55" t="s">
        <v>78</v>
      </c>
      <c r="N970" s="55" t="s">
        <v>79</v>
      </c>
      <c r="O970" s="55" t="s">
        <v>224</v>
      </c>
      <c r="P970" s="55" t="s">
        <v>110</v>
      </c>
      <c r="Q970" s="67" t="str">
        <f>IFERROR(__xludf.DUMMYFUNCTION("""COMPUTED_VALUE"""),"Japan.giaotiep.M564_16917_MES_NamNH_121125")</f>
        <v>Japan.giaotiep.M564_16917_MES_NamNH_121125</v>
      </c>
      <c r="R970" s="67" t="str">
        <f>IFERROR(__xludf.DUMMYFUNCTION("""COMPUTED_VALUE"""),"NEW_Japan_1840_none_121125")</f>
        <v>NEW_Japan_1840_none_121125</v>
      </c>
      <c r="S970" s="67" t="str">
        <f>IFERROR(__xludf.DUMMYFUNCTION("""COMPUTED_VALUE"""),"saletructiep_Japan.M564.1840.giaotiep_PTATT_LD153")</f>
        <v>saletructiep_Japan.M564.1840.giaotiep_PTATT_LD153</v>
      </c>
      <c r="T970" s="107" t="str">
        <f>IFERROR(__xludf.DUMMYFUNCTION("""COMPUTED_VALUE"""),"https://patadovietnam.edu.vn/tienganhgiaotiep_hn/?utm_source=Facebook&amp;utm_medium=MES&amp;utm_term=NEW_Japan_1840_none_121125&amp;utm_content=saletructiep_Japan.M564.1840.giaotiep_PTATT_LD153&amp;utm_campaign=Japan.giaotiep.M564_16917_MES_NamNH_121125")</f>
        <v>https://patadovietnam.edu.vn/tienganhgiaotiep_hn/?utm_source=Facebook&amp;utm_medium=MES&amp;utm_term=NEW_Japan_1840_none_121125&amp;utm_content=saletructiep_Japan.M564.1840.giaotiep_PTATT_LD153&amp;utm_campaign=Japan.giaotiep.M564_16917_MES_NamNH_121125</v>
      </c>
      <c r="U970" s="116"/>
    </row>
    <row r="971">
      <c r="A971" s="72">
        <v>45973.0</v>
      </c>
      <c r="B971" s="60" t="s">
        <v>1134</v>
      </c>
      <c r="C971" s="67" t="str">
        <f>IFERROR(__xludf.DUMMYFUNCTION("""COMPUTED_VALUE"""),"LD153")</f>
        <v>LD153</v>
      </c>
      <c r="D971" s="55" t="s">
        <v>42</v>
      </c>
      <c r="E971" s="55" t="s">
        <v>79</v>
      </c>
      <c r="F971" s="55" t="s">
        <v>539</v>
      </c>
      <c r="G971" s="55">
        <v>1840.0</v>
      </c>
      <c r="H971" s="55" t="s">
        <v>1137</v>
      </c>
      <c r="I971" s="115" t="s">
        <v>7715</v>
      </c>
      <c r="J971" s="55" t="s">
        <v>7716</v>
      </c>
      <c r="K971" s="55" t="s">
        <v>61</v>
      </c>
      <c r="L971" s="55">
        <v>16917.0</v>
      </c>
      <c r="M971" s="55" t="s">
        <v>78</v>
      </c>
      <c r="N971" s="55" t="s">
        <v>79</v>
      </c>
      <c r="O971" s="55" t="s">
        <v>224</v>
      </c>
      <c r="P971" s="55" t="s">
        <v>110</v>
      </c>
      <c r="Q971" s="67" t="str">
        <f>IFERROR(__xludf.DUMMYFUNCTION("""COMPUTED_VALUE"""),"ALL.giaotiep.M564_16917_MES_NamNH_121125")</f>
        <v>ALL.giaotiep.M564_16917_MES_NamNH_121125</v>
      </c>
      <c r="R971" s="67" t="str">
        <f>IFERROR(__xludf.DUMMYFUNCTION("""COMPUTED_VALUE"""),"NEW_ALL_1840_none_121125")</f>
        <v>NEW_ALL_1840_none_121125</v>
      </c>
      <c r="S971" s="67" t="str">
        <f>IFERROR(__xludf.DUMMYFUNCTION("""COMPUTED_VALUE"""),"saletructiep_ALL.M564.1840.giaotiep_PTATT_LD153")</f>
        <v>saletructiep_ALL.M564.1840.giaotiep_PTATT_LD153</v>
      </c>
      <c r="T971" s="107" t="str">
        <f>IFERROR(__xludf.DUMMYFUNCTION("""COMPUTED_VALUE"""),"https://patadovietnam.edu.vn/tienganhgiaotiep_hn/?utm_source=Facebook&amp;utm_medium=MES&amp;utm_term=NEW_ALL_1840_none_121125&amp;utm_content=saletructiep_ALL.M564.1840.giaotiep_PTATT_LD153&amp;utm_campaign=ALL.giaotiep.M564_16917_MES_NamNH_121125")</f>
        <v>https://patadovietnam.edu.vn/tienganhgiaotiep_hn/?utm_source=Facebook&amp;utm_medium=MES&amp;utm_term=NEW_ALL_1840_none_121125&amp;utm_content=saletructiep_ALL.M564.1840.giaotiep_PTATT_LD153&amp;utm_campaign=ALL.giaotiep.M564_16917_MES_NamNH_121125</v>
      </c>
      <c r="U971" s="116"/>
    </row>
    <row r="972">
      <c r="A972" s="72">
        <v>45973.0</v>
      </c>
      <c r="B972" s="60" t="s">
        <v>1134</v>
      </c>
      <c r="C972" s="67" t="str">
        <f>IFERROR(__xludf.DUMMYFUNCTION("""COMPUTED_VALUE"""),"LD153")</f>
        <v>LD153</v>
      </c>
      <c r="D972" s="55" t="s">
        <v>42</v>
      </c>
      <c r="E972" s="55" t="s">
        <v>79</v>
      </c>
      <c r="F972" s="55" t="s">
        <v>107</v>
      </c>
      <c r="G972" s="55">
        <v>2050.0</v>
      </c>
      <c r="H972" s="55" t="s">
        <v>1137</v>
      </c>
      <c r="I972" s="115" t="s">
        <v>7717</v>
      </c>
      <c r="J972" s="55" t="s">
        <v>7718</v>
      </c>
      <c r="K972" s="55" t="s">
        <v>61</v>
      </c>
      <c r="L972" s="55">
        <v>16917.0</v>
      </c>
      <c r="M972" s="55" t="s">
        <v>78</v>
      </c>
      <c r="N972" s="55" t="s">
        <v>79</v>
      </c>
      <c r="O972" s="55" t="s">
        <v>224</v>
      </c>
      <c r="P972" s="55" t="s">
        <v>110</v>
      </c>
      <c r="Q972" s="67" t="str">
        <f>IFERROR(__xludf.DUMMYFUNCTION("""COMPUTED_VALUE"""),"UnitedStates.giaotiep.M566_16917_MES_NamNH_121125")</f>
        <v>UnitedStates.giaotiep.M566_16917_MES_NamNH_121125</v>
      </c>
      <c r="R972" s="67" t="str">
        <f>IFERROR(__xludf.DUMMYFUNCTION("""COMPUTED_VALUE"""),"NEW_UnitedStates_2050_none_121125")</f>
        <v>NEW_UnitedStates_2050_none_121125</v>
      </c>
      <c r="S972" s="67" t="str">
        <f>IFERROR(__xludf.DUMMYFUNCTION("""COMPUTED_VALUE"""),"saletructiep_UnitedStates.M566.1840.giaotiep_PTATT_LD153")</f>
        <v>saletructiep_UnitedStates.M566.1840.giaotiep_PTATT_LD153</v>
      </c>
      <c r="T972" s="107" t="str">
        <f>IFERROR(__xludf.DUMMYFUNCTION("""COMPUTED_VALUE"""),"https://patadovietnam.edu.vn/tienganhgiaotiep_hn/?utm_source=Facebook&amp;utm_medium=MES&amp;utm_term=NEW_UnitedStates_2050_none_121125&amp;utm_content=saletructiep_UnitedStates.M566.1840.giaotiep_PTATT_LD153&amp;utm_campaign=UnitedStates.giaotiep.M566_16917_MES_NamNH_12"&amp;"1125")</f>
        <v>https://patadovietnam.edu.vn/tienganhgiaotiep_hn/?utm_source=Facebook&amp;utm_medium=MES&amp;utm_term=NEW_UnitedStates_2050_none_121125&amp;utm_content=saletructiep_UnitedStates.M566.1840.giaotiep_PTATT_LD153&amp;utm_campaign=UnitedStates.giaotiep.M566_16917_MES_NamNH_121125</v>
      </c>
      <c r="U972" s="116"/>
    </row>
    <row r="973">
      <c r="A973" s="72">
        <v>45978.0</v>
      </c>
      <c r="B973" s="60" t="s">
        <v>1229</v>
      </c>
      <c r="C973" s="67" t="str">
        <f>IFERROR(__xludf.DUMMYFUNCTION("""COMPUTED_VALUE"""),"LD164")</f>
        <v>LD164</v>
      </c>
      <c r="D973" s="55" t="s">
        <v>42</v>
      </c>
      <c r="E973" s="55" t="s">
        <v>69</v>
      </c>
      <c r="F973" s="55" t="s">
        <v>133</v>
      </c>
      <c r="G973" s="55">
        <v>1840.0</v>
      </c>
      <c r="H973" s="55" t="s">
        <v>1137</v>
      </c>
      <c r="I973" s="115" t="s">
        <v>7713</v>
      </c>
      <c r="J973" s="55" t="s">
        <v>7714</v>
      </c>
      <c r="K973" s="55" t="s">
        <v>61</v>
      </c>
      <c r="L973" s="55">
        <v>16917.0</v>
      </c>
      <c r="M973" s="55" t="s">
        <v>78</v>
      </c>
      <c r="N973" s="55" t="s">
        <v>69</v>
      </c>
      <c r="O973" s="55" t="s">
        <v>224</v>
      </c>
      <c r="P973" s="55" t="s">
        <v>110</v>
      </c>
      <c r="Q973" s="67" t="str">
        <f>IFERROR(__xludf.DUMMYFUNCTION("""COMPUTED_VALUE"""),"Japan.giaotiep.M564_16917_CVS_NamNH_171125")</f>
        <v>Japan.giaotiep.M564_16917_CVS_NamNH_171125</v>
      </c>
      <c r="R973" s="67" t="str">
        <f>IFERROR(__xludf.DUMMYFUNCTION("""COMPUTED_VALUE"""),"NEW_Japan_1840_none_171125")</f>
        <v>NEW_Japan_1840_none_171125</v>
      </c>
      <c r="S973" s="67" t="str">
        <f>IFERROR(__xludf.DUMMYFUNCTION("""COMPUTED_VALUE"""),"saletructiep_Japan.M564.1840.giaotiep_PTATT_LD164")</f>
        <v>saletructiep_Japan.M564.1840.giaotiep_PTATT_LD164</v>
      </c>
      <c r="T973" s="107" t="str">
        <f>IFERROR(__xludf.DUMMYFUNCTION("""COMPUTED_VALUE"""),"https://patadovietnam.edu.vn/gtjapan_nhn3/?utm_source=Facebook&amp;utm_medium=CVS&amp;utm_term=NEW_Japan_1840_none_171125&amp;utm_content=saletructiep_Japan.M564.1840.giaotiep_PTATT_LD164&amp;utm_campaign=Japan.giaotiep.M564_16917_CVS_NamNH_171125")</f>
        <v>https://patadovietnam.edu.vn/gtjapan_nhn3/?utm_source=Facebook&amp;utm_medium=CVS&amp;utm_term=NEW_Japan_1840_none_171125&amp;utm_content=saletructiep_Japan.M564.1840.giaotiep_PTATT_LD164&amp;utm_campaign=Japan.giaotiep.M564_16917_CVS_NamNH_171125</v>
      </c>
      <c r="U973" s="116"/>
    </row>
    <row r="974">
      <c r="A974" s="72">
        <v>45978.0</v>
      </c>
      <c r="B974" s="60" t="s">
        <v>1134</v>
      </c>
      <c r="C974" s="67" t="str">
        <f>IFERROR(__xludf.DUMMYFUNCTION("""COMPUTED_VALUE"""),"LD153")</f>
        <v>LD153</v>
      </c>
      <c r="D974" s="55" t="s">
        <v>42</v>
      </c>
      <c r="E974" s="55" t="s">
        <v>79</v>
      </c>
      <c r="F974" s="55" t="s">
        <v>539</v>
      </c>
      <c r="G974" s="55">
        <v>1840.0</v>
      </c>
      <c r="H974" s="55" t="s">
        <v>1137</v>
      </c>
      <c r="I974" s="115" t="s">
        <v>7719</v>
      </c>
      <c r="J974" s="55" t="s">
        <v>7720</v>
      </c>
      <c r="K974" s="55" t="s">
        <v>61</v>
      </c>
      <c r="L974" s="55">
        <v>16917.0</v>
      </c>
      <c r="M974" s="55" t="s">
        <v>78</v>
      </c>
      <c r="N974" s="55" t="s">
        <v>79</v>
      </c>
      <c r="O974" s="55" t="s">
        <v>224</v>
      </c>
      <c r="P974" s="55" t="s">
        <v>110</v>
      </c>
      <c r="Q974" s="67" t="str">
        <f>IFERROR(__xludf.DUMMYFUNCTION("""COMPUTED_VALUE"""),"ALL.giaotiep.M561_16917_MES_NamNH_171125")</f>
        <v>ALL.giaotiep.M561_16917_MES_NamNH_171125</v>
      </c>
      <c r="R974" s="67" t="str">
        <f>IFERROR(__xludf.DUMMYFUNCTION("""COMPUTED_VALUE"""),"NEW_ALL_1840_none_171125")</f>
        <v>NEW_ALL_1840_none_171125</v>
      </c>
      <c r="S974" s="67" t="str">
        <f>IFERROR(__xludf.DUMMYFUNCTION("""COMPUTED_VALUE"""),"saletructiep_ALL.M561.1840.giaotiep_PTATT_LD153")</f>
        <v>saletructiep_ALL.M561.1840.giaotiep_PTATT_LD153</v>
      </c>
      <c r="T974" s="107" t="str">
        <f>IFERROR(__xludf.DUMMYFUNCTION("""COMPUTED_VALUE"""),"https://patadovietnam.edu.vn/tienganhgiaotiep_hn/?utm_source=Facebook&amp;utm_medium=MES&amp;utm_term=NEW_ALL_1840_none_171125&amp;utm_content=saletructiep_ALL.M561.1840.giaotiep_PTATT_LD153&amp;utm_campaign=ALL.giaotiep.M561_16917_MES_NamNH_171125")</f>
        <v>https://patadovietnam.edu.vn/tienganhgiaotiep_hn/?utm_source=Facebook&amp;utm_medium=MES&amp;utm_term=NEW_ALL_1840_none_171125&amp;utm_content=saletructiep_ALL.M561.1840.giaotiep_PTATT_LD153&amp;utm_campaign=ALL.giaotiep.M561_16917_MES_NamNH_171125</v>
      </c>
      <c r="U974" s="116"/>
    </row>
    <row r="975">
      <c r="A975" s="72">
        <v>45992.0</v>
      </c>
      <c r="B975" s="60" t="s">
        <v>1134</v>
      </c>
      <c r="C975" s="67" t="str">
        <f>IFERROR(__xludf.DUMMYFUNCTION("""COMPUTED_VALUE"""),"LD153")</f>
        <v>LD153</v>
      </c>
      <c r="D975" s="55" t="s">
        <v>42</v>
      </c>
      <c r="E975" s="55" t="s">
        <v>69</v>
      </c>
      <c r="F975" s="55" t="s">
        <v>133</v>
      </c>
      <c r="G975" s="55">
        <v>1840.0</v>
      </c>
      <c r="H975" s="55" t="s">
        <v>1137</v>
      </c>
      <c r="I975" s="115" t="s">
        <v>7721</v>
      </c>
      <c r="J975" s="55" t="s">
        <v>7722</v>
      </c>
      <c r="K975" s="55" t="s">
        <v>61</v>
      </c>
      <c r="L975" s="55">
        <v>16917.0</v>
      </c>
      <c r="M975" s="55" t="s">
        <v>78</v>
      </c>
      <c r="N975" s="55" t="s">
        <v>69</v>
      </c>
      <c r="O975" s="55" t="s">
        <v>224</v>
      </c>
      <c r="P975" s="55" t="s">
        <v>110</v>
      </c>
      <c r="Q975" s="67" t="str">
        <f>IFERROR(__xludf.DUMMYFUNCTION("""COMPUTED_VALUE"""),"Japan.giaotiep.P1_16917_CVS_NamNH_011225")</f>
        <v>Japan.giaotiep.P1_16917_CVS_NamNH_011225</v>
      </c>
      <c r="R975" s="67" t="str">
        <f>IFERROR(__xludf.DUMMYFUNCTION("""COMPUTED_VALUE"""),"NEW_Japan_1840_none_011225")</f>
        <v>NEW_Japan_1840_none_011225</v>
      </c>
      <c r="S975" s="67" t="str">
        <f>IFERROR(__xludf.DUMMYFUNCTION("""COMPUTED_VALUE"""),"saletructiep_Japan.P1.1840.giaotiep_PTATT_LD153")</f>
        <v>saletructiep_Japan.P1.1840.giaotiep_PTATT_LD153</v>
      </c>
      <c r="T975" s="107" t="str">
        <f>IFERROR(__xludf.DUMMYFUNCTION("""COMPUTED_VALUE"""),"https://patadovietnam.edu.vn/tienganhgiaotiep_hn/?utm_source=Facebook&amp;utm_medium=CVS&amp;utm_term=NEW_Japan_1840_none_011225&amp;utm_content=saletructiep_Japan.P1.1840.giaotiep_PTATT_LD153&amp;utm_campaign=Japan.giaotiep.P1_16917_CVS_NamNH_011225")</f>
        <v>https://patadovietnam.edu.vn/tienganhgiaotiep_hn/?utm_source=Facebook&amp;utm_medium=CVS&amp;utm_term=NEW_Japan_1840_none_011225&amp;utm_content=saletructiep_Japan.P1.1840.giaotiep_PTATT_LD153&amp;utm_campaign=Japan.giaotiep.P1_16917_CVS_NamNH_011225</v>
      </c>
      <c r="U975" s="110" t="s">
        <v>7723</v>
      </c>
    </row>
    <row r="976">
      <c r="A976" s="72">
        <v>45992.0</v>
      </c>
      <c r="B976" s="60" t="s">
        <v>1134</v>
      </c>
      <c r="C976" s="67" t="str">
        <f>IFERROR(__xludf.DUMMYFUNCTION("""COMPUTED_VALUE"""),"LD153")</f>
        <v>LD153</v>
      </c>
      <c r="D976" s="55" t="s">
        <v>42</v>
      </c>
      <c r="E976" s="55" t="s">
        <v>69</v>
      </c>
      <c r="F976" s="55" t="s">
        <v>133</v>
      </c>
      <c r="G976" s="55">
        <v>1840.0</v>
      </c>
      <c r="H976" s="55" t="s">
        <v>1137</v>
      </c>
      <c r="I976" s="115" t="s">
        <v>7724</v>
      </c>
      <c r="J976" s="55" t="s">
        <v>7725</v>
      </c>
      <c r="K976" s="55" t="s">
        <v>61</v>
      </c>
      <c r="L976" s="55">
        <v>16917.0</v>
      </c>
      <c r="M976" s="55" t="s">
        <v>78</v>
      </c>
      <c r="N976" s="55" t="s">
        <v>69</v>
      </c>
      <c r="O976" s="55" t="s">
        <v>224</v>
      </c>
      <c r="P976" s="55" t="s">
        <v>110</v>
      </c>
      <c r="Q976" s="67" t="str">
        <f>IFERROR(__xludf.DUMMYFUNCTION("""COMPUTED_VALUE"""),"Japan.giaotiep.P2_16917_CVS_NamNH_011225")</f>
        <v>Japan.giaotiep.P2_16917_CVS_NamNH_011225</v>
      </c>
      <c r="R976" s="67" t="str">
        <f>IFERROR(__xludf.DUMMYFUNCTION("""COMPUTED_VALUE"""),"NEW_Japan_1840_none_011225")</f>
        <v>NEW_Japan_1840_none_011225</v>
      </c>
      <c r="S976" s="67" t="str">
        <f>IFERROR(__xludf.DUMMYFUNCTION("""COMPUTED_VALUE"""),"saletructiep_Japan.P2.1840.giaotiep_PTATT_LD153")</f>
        <v>saletructiep_Japan.P2.1840.giaotiep_PTATT_LD153</v>
      </c>
      <c r="T976" s="107" t="str">
        <f>IFERROR(__xludf.DUMMYFUNCTION("""COMPUTED_VALUE"""),"https://patadovietnam.edu.vn/tienganhgiaotiep_hn/?utm_source=Facebook&amp;utm_medium=CVS&amp;utm_term=NEW_Japan_1840_none_011225&amp;utm_content=saletructiep_Japan.P2.1840.giaotiep_PTATT_LD153&amp;utm_campaign=Japan.giaotiep.P2_16917_CVS_NamNH_011225")</f>
        <v>https://patadovietnam.edu.vn/tienganhgiaotiep_hn/?utm_source=Facebook&amp;utm_medium=CVS&amp;utm_term=NEW_Japan_1840_none_011225&amp;utm_content=saletructiep_Japan.P2.1840.giaotiep_PTATT_LD153&amp;utm_campaign=Japan.giaotiep.P2_16917_CVS_NamNH_011225</v>
      </c>
      <c r="U976" s="116"/>
    </row>
    <row r="977">
      <c r="A977" s="72">
        <v>45992.0</v>
      </c>
      <c r="B977" s="60" t="s">
        <v>1229</v>
      </c>
      <c r="C977" s="67" t="str">
        <f>IFERROR(__xludf.DUMMYFUNCTION("""COMPUTED_VALUE"""),"LD164")</f>
        <v>LD164</v>
      </c>
      <c r="D977" s="55" t="s">
        <v>42</v>
      </c>
      <c r="E977" s="55" t="s">
        <v>69</v>
      </c>
      <c r="F977" s="55" t="s">
        <v>133</v>
      </c>
      <c r="G977" s="55">
        <v>1840.0</v>
      </c>
      <c r="H977" s="55" t="s">
        <v>1137</v>
      </c>
      <c r="I977" s="115" t="s">
        <v>7726</v>
      </c>
      <c r="J977" s="55" t="s">
        <v>7727</v>
      </c>
      <c r="K977" s="55" t="s">
        <v>61</v>
      </c>
      <c r="L977" s="55">
        <v>16917.0</v>
      </c>
      <c r="M977" s="55" t="s">
        <v>78</v>
      </c>
      <c r="N977" s="55" t="s">
        <v>69</v>
      </c>
      <c r="O977" s="55" t="s">
        <v>224</v>
      </c>
      <c r="P977" s="55" t="s">
        <v>110</v>
      </c>
      <c r="Q977" s="67" t="str">
        <f>IFERROR(__xludf.DUMMYFUNCTION("""COMPUTED_VALUE"""),"Japan.giaotiep.P3_16917_CVS_NamNH_011225")</f>
        <v>Japan.giaotiep.P3_16917_CVS_NamNH_011225</v>
      </c>
      <c r="R977" s="67" t="str">
        <f>IFERROR(__xludf.DUMMYFUNCTION("""COMPUTED_VALUE"""),"NEW_Japan_1840_none_011225")</f>
        <v>NEW_Japan_1840_none_011225</v>
      </c>
      <c r="S977" s="67" t="str">
        <f>IFERROR(__xludf.DUMMYFUNCTION("""COMPUTED_VALUE"""),"saletructiep_Japan.P3.1840.giaotiep_PTATT_LD164")</f>
        <v>saletructiep_Japan.P3.1840.giaotiep_PTATT_LD164</v>
      </c>
      <c r="T977" s="107" t="str">
        <f>IFERROR(__xludf.DUMMYFUNCTION("""COMPUTED_VALUE"""),"https://patadovietnam.edu.vn/gtjapan_nhn3/?utm_source=Facebook&amp;utm_medium=CVS&amp;utm_term=NEW_Japan_1840_none_011225&amp;utm_content=saletructiep_Japan.P3.1840.giaotiep_PTATT_LD164&amp;utm_campaign=Japan.giaotiep.P3_16917_CVS_NamNH_011225")</f>
        <v>https://patadovietnam.edu.vn/gtjapan_nhn3/?utm_source=Facebook&amp;utm_medium=CVS&amp;utm_term=NEW_Japan_1840_none_011225&amp;utm_content=saletructiep_Japan.P3.1840.giaotiep_PTATT_LD164&amp;utm_campaign=Japan.giaotiep.P3_16917_CVS_NamNH_011225</v>
      </c>
      <c r="U977" s="110" t="s">
        <v>7728</v>
      </c>
    </row>
    <row r="978">
      <c r="A978" s="72">
        <v>45992.0</v>
      </c>
      <c r="B978" s="60" t="s">
        <v>1229</v>
      </c>
      <c r="C978" s="67" t="str">
        <f>IFERROR(__xludf.DUMMYFUNCTION("""COMPUTED_VALUE"""),"LD164")</f>
        <v>LD164</v>
      </c>
      <c r="D978" s="55" t="s">
        <v>42</v>
      </c>
      <c r="E978" s="55" t="s">
        <v>69</v>
      </c>
      <c r="F978" s="55" t="s">
        <v>133</v>
      </c>
      <c r="G978" s="55">
        <v>1840.0</v>
      </c>
      <c r="H978" s="55" t="s">
        <v>1137</v>
      </c>
      <c r="I978" s="115" t="s">
        <v>7729</v>
      </c>
      <c r="J978" s="55" t="s">
        <v>7730</v>
      </c>
      <c r="K978" s="55" t="s">
        <v>61</v>
      </c>
      <c r="L978" s="55">
        <v>16917.0</v>
      </c>
      <c r="M978" s="55" t="s">
        <v>78</v>
      </c>
      <c r="N978" s="55" t="s">
        <v>69</v>
      </c>
      <c r="O978" s="55" t="s">
        <v>224</v>
      </c>
      <c r="P978" s="55" t="s">
        <v>110</v>
      </c>
      <c r="Q978" s="67" t="str">
        <f>IFERROR(__xludf.DUMMYFUNCTION("""COMPUTED_VALUE"""),"Japan.giaotiep.P4_16917_CVS_NamNH_011225")</f>
        <v>Japan.giaotiep.P4_16917_CVS_NamNH_011225</v>
      </c>
      <c r="R978" s="67" t="str">
        <f>IFERROR(__xludf.DUMMYFUNCTION("""COMPUTED_VALUE"""),"NEW_Japan_1840_none_011225")</f>
        <v>NEW_Japan_1840_none_011225</v>
      </c>
      <c r="S978" s="67" t="str">
        <f>IFERROR(__xludf.DUMMYFUNCTION("""COMPUTED_VALUE"""),"saletructiep_Japan.P4.1840.giaotiep_PTATT_LD164")</f>
        <v>saletructiep_Japan.P4.1840.giaotiep_PTATT_LD164</v>
      </c>
      <c r="T978" s="107" t="str">
        <f>IFERROR(__xludf.DUMMYFUNCTION("""COMPUTED_VALUE"""),"https://patadovietnam.edu.vn/gtjapan_nhn3/?utm_source=Facebook&amp;utm_medium=CVS&amp;utm_term=NEW_Japan_1840_none_011225&amp;utm_content=saletructiep_Japan.P4.1840.giaotiep_PTATT_LD164&amp;utm_campaign=Japan.giaotiep.P4_16917_CVS_NamNH_011225")</f>
        <v>https://patadovietnam.edu.vn/gtjapan_nhn3/?utm_source=Facebook&amp;utm_medium=CVS&amp;utm_term=NEW_Japan_1840_none_011225&amp;utm_content=saletructiep_Japan.P4.1840.giaotiep_PTATT_LD164&amp;utm_campaign=Japan.giaotiep.P4_16917_CVS_NamNH_011225</v>
      </c>
      <c r="U978" s="116"/>
    </row>
    <row r="979">
      <c r="A979" s="72">
        <v>45993.0</v>
      </c>
      <c r="B979" s="60" t="s">
        <v>1134</v>
      </c>
      <c r="C979" s="67" t="str">
        <f>IFERROR(__xludf.DUMMYFUNCTION("""COMPUTED_VALUE"""),"LD153")</f>
        <v>LD153</v>
      </c>
      <c r="D979" s="55" t="s">
        <v>42</v>
      </c>
      <c r="E979" s="55" t="s">
        <v>79</v>
      </c>
      <c r="F979" s="55" t="s">
        <v>674</v>
      </c>
      <c r="G979" s="55">
        <v>1840.0</v>
      </c>
      <c r="H979" s="55" t="s">
        <v>1137</v>
      </c>
      <c r="I979" s="115" t="s">
        <v>7731</v>
      </c>
      <c r="J979" s="55" t="s">
        <v>7732</v>
      </c>
      <c r="K979" s="55" t="s">
        <v>61</v>
      </c>
      <c r="L979" s="55">
        <v>16917.0</v>
      </c>
      <c r="M979" s="55" t="s">
        <v>78</v>
      </c>
      <c r="N979" s="55" t="s">
        <v>79</v>
      </c>
      <c r="O979" s="55" t="s">
        <v>224</v>
      </c>
      <c r="P979" s="55" t="s">
        <v>110</v>
      </c>
      <c r="Q979" s="67" t="str">
        <f>IFERROR(__xludf.DUMMYFUNCTION("""COMPUTED_VALUE"""),"Europe.giaotiep.P5_16917_MES_NamNH_021225")</f>
        <v>Europe.giaotiep.P5_16917_MES_NamNH_021225</v>
      </c>
      <c r="R979" s="67" t="str">
        <f>IFERROR(__xludf.DUMMYFUNCTION("""COMPUTED_VALUE"""),"NEW_Europe_1840_none_021225")</f>
        <v>NEW_Europe_1840_none_021225</v>
      </c>
      <c r="S979" s="67" t="str">
        <f>IFERROR(__xludf.DUMMYFUNCTION("""COMPUTED_VALUE"""),"saletructiep_Europe.P5.1840.giaotiep_PTATT_LD153")</f>
        <v>saletructiep_Europe.P5.1840.giaotiep_PTATT_LD153</v>
      </c>
      <c r="T979" s="107" t="str">
        <f>IFERROR(__xludf.DUMMYFUNCTION("""COMPUTED_VALUE"""),"https://patadovietnam.edu.vn/tienganhgiaotiep_hn/?utm_source=Facebook&amp;utm_medium=MES&amp;utm_term=NEW_Europe_1840_none_021225&amp;utm_content=saletructiep_Europe.P5.1840.giaotiep_PTATT_LD153&amp;utm_campaign=Europe.giaotiep.P5_16917_MES_NamNH_021225")</f>
        <v>https://patadovietnam.edu.vn/tienganhgiaotiep_hn/?utm_source=Facebook&amp;utm_medium=MES&amp;utm_term=NEW_Europe_1840_none_021225&amp;utm_content=saletructiep_Europe.P5.1840.giaotiep_PTATT_LD153&amp;utm_campaign=Europe.giaotiep.P5_16917_MES_NamNH_021225</v>
      </c>
      <c r="U979" s="110" t="s">
        <v>7733</v>
      </c>
    </row>
    <row r="980">
      <c r="A980" s="72">
        <v>45993.0</v>
      </c>
      <c r="B980" s="60" t="s">
        <v>1134</v>
      </c>
      <c r="C980" s="67" t="str">
        <f>IFERROR(__xludf.DUMMYFUNCTION("""COMPUTED_VALUE"""),"LD153")</f>
        <v>LD153</v>
      </c>
      <c r="D980" s="55" t="s">
        <v>42</v>
      </c>
      <c r="E980" s="55" t="s">
        <v>79</v>
      </c>
      <c r="F980" s="55" t="s">
        <v>674</v>
      </c>
      <c r="G980" s="55">
        <v>1840.0</v>
      </c>
      <c r="H980" s="55" t="s">
        <v>1137</v>
      </c>
      <c r="I980" s="115" t="s">
        <v>7734</v>
      </c>
      <c r="J980" s="55" t="s">
        <v>7735</v>
      </c>
      <c r="K980" s="55" t="s">
        <v>61</v>
      </c>
      <c r="L980" s="55">
        <v>16917.0</v>
      </c>
      <c r="M980" s="55" t="s">
        <v>78</v>
      </c>
      <c r="N980" s="55" t="s">
        <v>79</v>
      </c>
      <c r="O980" s="55" t="s">
        <v>224</v>
      </c>
      <c r="P980" s="55" t="s">
        <v>110</v>
      </c>
      <c r="Q980" s="67" t="str">
        <f>IFERROR(__xludf.DUMMYFUNCTION("""COMPUTED_VALUE"""),"Europe.giaotiep.P6_16917_MES_NamNH_021225")</f>
        <v>Europe.giaotiep.P6_16917_MES_NamNH_021225</v>
      </c>
      <c r="R980" s="67" t="str">
        <f>IFERROR(__xludf.DUMMYFUNCTION("""COMPUTED_VALUE"""),"NEW_Europe_1840_none_021225")</f>
        <v>NEW_Europe_1840_none_021225</v>
      </c>
      <c r="S980" s="67" t="str">
        <f>IFERROR(__xludf.DUMMYFUNCTION("""COMPUTED_VALUE"""),"saletructiep_Europe.P6.1840.giaotiep_PTATT_LD153")</f>
        <v>saletructiep_Europe.P6.1840.giaotiep_PTATT_LD153</v>
      </c>
      <c r="T980" s="107" t="str">
        <f>IFERROR(__xludf.DUMMYFUNCTION("""COMPUTED_VALUE"""),"https://patadovietnam.edu.vn/tienganhgiaotiep_hn/?utm_source=Facebook&amp;utm_medium=MES&amp;utm_term=NEW_Europe_1840_none_021225&amp;utm_content=saletructiep_Europe.P6.1840.giaotiep_PTATT_LD153&amp;utm_campaign=Europe.giaotiep.P6_16917_MES_NamNH_021225")</f>
        <v>https://patadovietnam.edu.vn/tienganhgiaotiep_hn/?utm_source=Facebook&amp;utm_medium=MES&amp;utm_term=NEW_Europe_1840_none_021225&amp;utm_content=saletructiep_Europe.P6.1840.giaotiep_PTATT_LD153&amp;utm_campaign=Europe.giaotiep.P6_16917_MES_NamNH_021225</v>
      </c>
      <c r="U980" s="116"/>
    </row>
    <row r="981">
      <c r="A981" s="72">
        <v>45993.0</v>
      </c>
      <c r="B981" s="60" t="s">
        <v>1134</v>
      </c>
      <c r="C981" s="67" t="str">
        <f>IFERROR(__xludf.DUMMYFUNCTION("""COMPUTED_VALUE"""),"LD153")</f>
        <v>LD153</v>
      </c>
      <c r="D981" s="55" t="s">
        <v>42</v>
      </c>
      <c r="E981" s="55" t="s">
        <v>69</v>
      </c>
      <c r="F981" s="55" t="s">
        <v>674</v>
      </c>
      <c r="G981" s="55">
        <v>1840.0</v>
      </c>
      <c r="H981" s="55" t="s">
        <v>1137</v>
      </c>
      <c r="I981" s="115" t="s">
        <v>7736</v>
      </c>
      <c r="J981" s="55" t="s">
        <v>7737</v>
      </c>
      <c r="K981" s="55" t="s">
        <v>61</v>
      </c>
      <c r="L981" s="55">
        <v>16917.0</v>
      </c>
      <c r="M981" s="55" t="s">
        <v>78</v>
      </c>
      <c r="N981" s="55" t="s">
        <v>69</v>
      </c>
      <c r="O981" s="55" t="s">
        <v>224</v>
      </c>
      <c r="P981" s="55" t="s">
        <v>110</v>
      </c>
      <c r="Q981" s="67" t="str">
        <f>IFERROR(__xludf.DUMMYFUNCTION("""COMPUTED_VALUE"""),"Europe.giaotiep.P7_16917_CVS_NamNH_021225")</f>
        <v>Europe.giaotiep.P7_16917_CVS_NamNH_021225</v>
      </c>
      <c r="R981" s="67" t="str">
        <f>IFERROR(__xludf.DUMMYFUNCTION("""COMPUTED_VALUE"""),"NEW_Europe_1840_none_021225")</f>
        <v>NEW_Europe_1840_none_021225</v>
      </c>
      <c r="S981" s="67" t="str">
        <f>IFERROR(__xludf.DUMMYFUNCTION("""COMPUTED_VALUE"""),"saletructiep_Europe.P7.1840.giaotiep_PTATT_LD153")</f>
        <v>saletructiep_Europe.P7.1840.giaotiep_PTATT_LD153</v>
      </c>
      <c r="T981" s="107" t="str">
        <f>IFERROR(__xludf.DUMMYFUNCTION("""COMPUTED_VALUE"""),"https://patadovietnam.edu.vn/tienganhgiaotiep_hn/?utm_source=Facebook&amp;utm_medium=CVS&amp;utm_term=NEW_Europe_1840_none_021225&amp;utm_content=saletructiep_Europe.P7.1840.giaotiep_PTATT_LD153&amp;utm_campaign=Europe.giaotiep.P7_16917_CVS_NamNH_021225")</f>
        <v>https://patadovietnam.edu.vn/tienganhgiaotiep_hn/?utm_source=Facebook&amp;utm_medium=CVS&amp;utm_term=NEW_Europe_1840_none_021225&amp;utm_content=saletructiep_Europe.P7.1840.giaotiep_PTATT_LD153&amp;utm_campaign=Europe.giaotiep.P7_16917_CVS_NamNH_021225</v>
      </c>
      <c r="U981" s="110" t="s">
        <v>7738</v>
      </c>
    </row>
    <row r="982">
      <c r="A982" s="72">
        <v>45993.0</v>
      </c>
      <c r="B982" s="60" t="s">
        <v>1134</v>
      </c>
      <c r="C982" s="67" t="str">
        <f>IFERROR(__xludf.DUMMYFUNCTION("""COMPUTED_VALUE"""),"LD153")</f>
        <v>LD153</v>
      </c>
      <c r="D982" s="55" t="s">
        <v>42</v>
      </c>
      <c r="E982" s="55" t="s">
        <v>69</v>
      </c>
      <c r="F982" s="55" t="s">
        <v>674</v>
      </c>
      <c r="G982" s="55">
        <v>1840.0</v>
      </c>
      <c r="H982" s="55" t="s">
        <v>1137</v>
      </c>
      <c r="I982" s="115" t="s">
        <v>7739</v>
      </c>
      <c r="J982" s="55" t="s">
        <v>7740</v>
      </c>
      <c r="K982" s="55" t="s">
        <v>61</v>
      </c>
      <c r="L982" s="55">
        <v>16917.0</v>
      </c>
      <c r="M982" s="55" t="s">
        <v>78</v>
      </c>
      <c r="N982" s="55" t="s">
        <v>69</v>
      </c>
      <c r="O982" s="55" t="s">
        <v>224</v>
      </c>
      <c r="P982" s="55" t="s">
        <v>110</v>
      </c>
      <c r="Q982" s="67" t="str">
        <f>IFERROR(__xludf.DUMMYFUNCTION("""COMPUTED_VALUE"""),"Europe.giaotiep.P9_16917_CVS_NamNH_021225")</f>
        <v>Europe.giaotiep.P9_16917_CVS_NamNH_021225</v>
      </c>
      <c r="R982" s="67" t="str">
        <f>IFERROR(__xludf.DUMMYFUNCTION("""COMPUTED_VALUE"""),"NEW_Europe_1840_none_021225")</f>
        <v>NEW_Europe_1840_none_021225</v>
      </c>
      <c r="S982" s="67" t="str">
        <f>IFERROR(__xludf.DUMMYFUNCTION("""COMPUTED_VALUE"""),"saletructiep_Europe.P9.1840.giaotiep_PTATT_LD153")</f>
        <v>saletructiep_Europe.P9.1840.giaotiep_PTATT_LD153</v>
      </c>
      <c r="T982" s="107" t="str">
        <f>IFERROR(__xludf.DUMMYFUNCTION("""COMPUTED_VALUE"""),"https://patadovietnam.edu.vn/tienganhgiaotiep_hn/?utm_source=Facebook&amp;utm_medium=CVS&amp;utm_term=NEW_Europe_1840_none_021225&amp;utm_content=saletructiep_Europe.P9.1840.giaotiep_PTATT_LD153&amp;utm_campaign=Europe.giaotiep.P9_16917_CVS_NamNH_021225")</f>
        <v>https://patadovietnam.edu.vn/tienganhgiaotiep_hn/?utm_source=Facebook&amp;utm_medium=CVS&amp;utm_term=NEW_Europe_1840_none_021225&amp;utm_content=saletructiep_Europe.P9.1840.giaotiep_PTATT_LD153&amp;utm_campaign=Europe.giaotiep.P9_16917_CVS_NamNH_021225</v>
      </c>
      <c r="U982" s="116"/>
    </row>
    <row r="983">
      <c r="A983" s="72">
        <v>45993.0</v>
      </c>
      <c r="B983" s="60" t="s">
        <v>1245</v>
      </c>
      <c r="C983" s="67" t="str">
        <f>IFERROR(__xludf.DUMMYFUNCTION("""COMPUTED_VALUE"""),"LD161")</f>
        <v>LD161</v>
      </c>
      <c r="D983" s="55" t="s">
        <v>42</v>
      </c>
      <c r="E983" s="55" t="s">
        <v>79</v>
      </c>
      <c r="F983" s="55" t="s">
        <v>107</v>
      </c>
      <c r="G983" s="55">
        <v>2050.0</v>
      </c>
      <c r="H983" s="55" t="s">
        <v>1137</v>
      </c>
      <c r="I983" s="115" t="s">
        <v>7741</v>
      </c>
      <c r="J983" s="55" t="s">
        <v>7742</v>
      </c>
      <c r="K983" s="55" t="s">
        <v>61</v>
      </c>
      <c r="L983" s="55">
        <v>16917.0</v>
      </c>
      <c r="M983" s="55" t="s">
        <v>78</v>
      </c>
      <c r="N983" s="55" t="s">
        <v>79</v>
      </c>
      <c r="O983" s="55" t="s">
        <v>224</v>
      </c>
      <c r="P983" s="55" t="s">
        <v>110</v>
      </c>
      <c r="Q983" s="67" t="str">
        <f>IFERROR(__xludf.DUMMYFUNCTION("""COMPUTED_VALUE"""),"UnitedStates.giaotiep.P8_16917_MES_NamNH_021225")</f>
        <v>UnitedStates.giaotiep.P8_16917_MES_NamNH_021225</v>
      </c>
      <c r="R983" s="67" t="str">
        <f>IFERROR(__xludf.DUMMYFUNCTION("""COMPUTED_VALUE"""),"NEW_UnitedStates_2050_none_021225")</f>
        <v>NEW_UnitedStates_2050_none_021225</v>
      </c>
      <c r="S983" s="67" t="str">
        <f>IFERROR(__xludf.DUMMYFUNCTION("""COMPUTED_VALUE"""),"saletructiep_UnitedStates.P8.1840.giaotiep_PTATT_LD161")</f>
        <v>saletructiep_UnitedStates.P8.1840.giaotiep_PTATT_LD161</v>
      </c>
      <c r="T983" s="107" t="str">
        <f>IFERROR(__xludf.DUMMYFUNCTION("""COMPUTED_VALUE"""),"https://patadovietnam.edu.vn/gtusa1_nhn/?utm_source=Facebook&amp;utm_medium=MES&amp;utm_term=NEW_UnitedStates_2050_none_021225&amp;utm_content=saletructiep_UnitedStates.P8.1840.giaotiep_PTATT_LD161&amp;utm_campaign=UnitedStates.giaotiep.P8_16917_MES_NamNH_021225")</f>
        <v>https://patadovietnam.edu.vn/gtusa1_nhn/?utm_source=Facebook&amp;utm_medium=MES&amp;utm_term=NEW_UnitedStates_2050_none_021225&amp;utm_content=saletructiep_UnitedStates.P8.1840.giaotiep_PTATT_LD161&amp;utm_campaign=UnitedStates.giaotiep.P8_16917_MES_NamNH_021225</v>
      </c>
      <c r="U983" s="110" t="s">
        <v>7743</v>
      </c>
    </row>
    <row r="984">
      <c r="A984" s="72">
        <v>45993.0</v>
      </c>
      <c r="B984" s="60" t="s">
        <v>1245</v>
      </c>
      <c r="C984" s="67" t="str">
        <f>IFERROR(__xludf.DUMMYFUNCTION("""COMPUTED_VALUE"""),"LD161")</f>
        <v>LD161</v>
      </c>
      <c r="D984" s="55" t="s">
        <v>42</v>
      </c>
      <c r="E984" s="55" t="s">
        <v>79</v>
      </c>
      <c r="F984" s="55" t="s">
        <v>107</v>
      </c>
      <c r="G984" s="55">
        <v>2050.0</v>
      </c>
      <c r="H984" s="55" t="s">
        <v>1137</v>
      </c>
      <c r="I984" s="115" t="s">
        <v>7744</v>
      </c>
      <c r="J984" s="55" t="s">
        <v>7745</v>
      </c>
      <c r="K984" s="55" t="s">
        <v>61</v>
      </c>
      <c r="L984" s="55">
        <v>16917.0</v>
      </c>
      <c r="M984" s="55" t="s">
        <v>78</v>
      </c>
      <c r="N984" s="55" t="s">
        <v>79</v>
      </c>
      <c r="O984" s="55" t="s">
        <v>224</v>
      </c>
      <c r="P984" s="55" t="s">
        <v>110</v>
      </c>
      <c r="Q984" s="67" t="str">
        <f>IFERROR(__xludf.DUMMYFUNCTION("""COMPUTED_VALUE"""),"UnitedStates.giaotiep.P10_16917_MES_NamNH_021225")</f>
        <v>UnitedStates.giaotiep.P10_16917_MES_NamNH_021225</v>
      </c>
      <c r="R984" s="67" t="str">
        <f>IFERROR(__xludf.DUMMYFUNCTION("""COMPUTED_VALUE"""),"NEW_UnitedStates_2050_none_021225")</f>
        <v>NEW_UnitedStates_2050_none_021225</v>
      </c>
      <c r="S984" s="67" t="str">
        <f>IFERROR(__xludf.DUMMYFUNCTION("""COMPUTED_VALUE"""),"saletructiep_UnitedStates.P10.1840.giaotiep_PTATT_LD161")</f>
        <v>saletructiep_UnitedStates.P10.1840.giaotiep_PTATT_LD161</v>
      </c>
      <c r="T984" s="107" t="str">
        <f>IFERROR(__xludf.DUMMYFUNCTION("""COMPUTED_VALUE"""),"https://patadovietnam.edu.vn/gtusa1_nhn/?utm_source=Facebook&amp;utm_medium=MES&amp;utm_term=NEW_UnitedStates_2050_none_021225&amp;utm_content=saletructiep_UnitedStates.P10.1840.giaotiep_PTATT_LD161&amp;utm_campaign=UnitedStates.giaotiep.P10_16917_MES_NamNH_021225")</f>
        <v>https://patadovietnam.edu.vn/gtusa1_nhn/?utm_source=Facebook&amp;utm_medium=MES&amp;utm_term=NEW_UnitedStates_2050_none_021225&amp;utm_content=saletructiep_UnitedStates.P10.1840.giaotiep_PTATT_LD161&amp;utm_campaign=UnitedStates.giaotiep.P10_16917_MES_NamNH_021225</v>
      </c>
      <c r="U984" s="116"/>
    </row>
    <row r="985">
      <c r="A985" s="72">
        <v>45993.0</v>
      </c>
      <c r="B985" s="60" t="s">
        <v>1245</v>
      </c>
      <c r="C985" s="67" t="str">
        <f>IFERROR(__xludf.DUMMYFUNCTION("""COMPUTED_VALUE"""),"LD161")</f>
        <v>LD161</v>
      </c>
      <c r="D985" s="55" t="s">
        <v>42</v>
      </c>
      <c r="E985" s="55" t="s">
        <v>79</v>
      </c>
      <c r="F985" s="55" t="s">
        <v>107</v>
      </c>
      <c r="G985" s="55">
        <v>2050.0</v>
      </c>
      <c r="H985" s="55" t="s">
        <v>1137</v>
      </c>
      <c r="I985" s="115" t="s">
        <v>7746</v>
      </c>
      <c r="J985" s="55" t="s">
        <v>7747</v>
      </c>
      <c r="K985" s="55" t="s">
        <v>61</v>
      </c>
      <c r="L985" s="55">
        <v>16917.0</v>
      </c>
      <c r="M985" s="55" t="s">
        <v>78</v>
      </c>
      <c r="N985" s="55" t="s">
        <v>79</v>
      </c>
      <c r="O985" s="55" t="s">
        <v>224</v>
      </c>
      <c r="P985" s="55" t="s">
        <v>110</v>
      </c>
      <c r="Q985" s="67" t="str">
        <f>IFERROR(__xludf.DUMMYFUNCTION("""COMPUTED_VALUE"""),"UnitedStates.giaotiep.P11_16917_MES_NamNH_021225")</f>
        <v>UnitedStates.giaotiep.P11_16917_MES_NamNH_021225</v>
      </c>
      <c r="R985" s="67" t="str">
        <f>IFERROR(__xludf.DUMMYFUNCTION("""COMPUTED_VALUE"""),"NEW_UnitedStates_2050_none_021225")</f>
        <v>NEW_UnitedStates_2050_none_021225</v>
      </c>
      <c r="S985" s="67" t="str">
        <f>IFERROR(__xludf.DUMMYFUNCTION("""COMPUTED_VALUE"""),"saletructiep_UnitedStates.P11.1840.giaotiep_PTATT_LD161")</f>
        <v>saletructiep_UnitedStates.P11.1840.giaotiep_PTATT_LD161</v>
      </c>
      <c r="T985" s="107" t="str">
        <f>IFERROR(__xludf.DUMMYFUNCTION("""COMPUTED_VALUE"""),"https://patadovietnam.edu.vn/gtusa1_nhn/?utm_source=Facebook&amp;utm_medium=MES&amp;utm_term=NEW_UnitedStates_2050_none_021225&amp;utm_content=saletructiep_UnitedStates.P11.1840.giaotiep_PTATT_LD161&amp;utm_campaign=UnitedStates.giaotiep.P11_16917_MES_NamNH_021225")</f>
        <v>https://patadovietnam.edu.vn/gtusa1_nhn/?utm_source=Facebook&amp;utm_medium=MES&amp;utm_term=NEW_UnitedStates_2050_none_021225&amp;utm_content=saletructiep_UnitedStates.P11.1840.giaotiep_PTATT_LD161&amp;utm_campaign=UnitedStates.giaotiep.P11_16917_MES_NamNH_021225</v>
      </c>
      <c r="U985" s="110" t="s">
        <v>7748</v>
      </c>
    </row>
    <row r="986">
      <c r="A986" s="72">
        <v>45993.0</v>
      </c>
      <c r="B986" s="60" t="s">
        <v>1245</v>
      </c>
      <c r="C986" s="67" t="str">
        <f>IFERROR(__xludf.DUMMYFUNCTION("""COMPUTED_VALUE"""),"LD161")</f>
        <v>LD161</v>
      </c>
      <c r="D986" s="55" t="s">
        <v>42</v>
      </c>
      <c r="E986" s="55" t="s">
        <v>79</v>
      </c>
      <c r="F986" s="55" t="s">
        <v>107</v>
      </c>
      <c r="G986" s="55">
        <v>2050.0</v>
      </c>
      <c r="H986" s="55" t="s">
        <v>1137</v>
      </c>
      <c r="I986" s="115" t="s">
        <v>7749</v>
      </c>
      <c r="J986" s="55" t="s">
        <v>7750</v>
      </c>
      <c r="K986" s="55" t="s">
        <v>61</v>
      </c>
      <c r="L986" s="55">
        <v>16917.0</v>
      </c>
      <c r="M986" s="55" t="s">
        <v>78</v>
      </c>
      <c r="N986" s="55" t="s">
        <v>79</v>
      </c>
      <c r="O986" s="55" t="s">
        <v>224</v>
      </c>
      <c r="P986" s="55" t="s">
        <v>110</v>
      </c>
      <c r="Q986" s="67" t="str">
        <f>IFERROR(__xludf.DUMMYFUNCTION("""COMPUTED_VALUE"""),"UnitedStates.giaotiep.P12_16917_MES_NamNH_021225")</f>
        <v>UnitedStates.giaotiep.P12_16917_MES_NamNH_021225</v>
      </c>
      <c r="R986" s="67" t="str">
        <f>IFERROR(__xludf.DUMMYFUNCTION("""COMPUTED_VALUE"""),"NEW_UnitedStates_2050_none_021225")</f>
        <v>NEW_UnitedStates_2050_none_021225</v>
      </c>
      <c r="S986" s="67" t="str">
        <f>IFERROR(__xludf.DUMMYFUNCTION("""COMPUTED_VALUE"""),"saletructiep_UnitedStates.P12.1840.giaotiep_PTATT_LD161")</f>
        <v>saletructiep_UnitedStates.P12.1840.giaotiep_PTATT_LD161</v>
      </c>
      <c r="T986" s="107" t="str">
        <f>IFERROR(__xludf.DUMMYFUNCTION("""COMPUTED_VALUE"""),"https://patadovietnam.edu.vn/gtusa1_nhn/?utm_source=Facebook&amp;utm_medium=MES&amp;utm_term=NEW_UnitedStates_2050_none_021225&amp;utm_content=saletructiep_UnitedStates.P12.1840.giaotiep_PTATT_LD161&amp;utm_campaign=UnitedStates.giaotiep.P12_16917_MES_NamNH_021225")</f>
        <v>https://patadovietnam.edu.vn/gtusa1_nhn/?utm_source=Facebook&amp;utm_medium=MES&amp;utm_term=NEW_UnitedStates_2050_none_021225&amp;utm_content=saletructiep_UnitedStates.P12.1840.giaotiep_PTATT_LD161&amp;utm_campaign=UnitedStates.giaotiep.P12_16917_MES_NamNH_021225</v>
      </c>
      <c r="U986" s="116"/>
    </row>
    <row r="987">
      <c r="A987" s="72">
        <v>45993.0</v>
      </c>
      <c r="B987" s="60" t="s">
        <v>1134</v>
      </c>
      <c r="C987" s="67" t="str">
        <f>IFERROR(__xludf.DUMMYFUNCTION("""COMPUTED_VALUE"""),"LD153")</f>
        <v>LD153</v>
      </c>
      <c r="D987" s="55" t="s">
        <v>42</v>
      </c>
      <c r="E987" s="55" t="s">
        <v>79</v>
      </c>
      <c r="F987" s="55" t="s">
        <v>539</v>
      </c>
      <c r="G987" s="55">
        <v>1840.0</v>
      </c>
      <c r="H987" s="55" t="s">
        <v>1137</v>
      </c>
      <c r="I987" s="115" t="s">
        <v>7751</v>
      </c>
      <c r="J987" s="55" t="s">
        <v>7752</v>
      </c>
      <c r="K987" s="55" t="s">
        <v>61</v>
      </c>
      <c r="L987" s="55">
        <v>16917.0</v>
      </c>
      <c r="M987" s="55" t="s">
        <v>78</v>
      </c>
      <c r="N987" s="55" t="s">
        <v>79</v>
      </c>
      <c r="O987" s="55" t="s">
        <v>224</v>
      </c>
      <c r="P987" s="55" t="s">
        <v>110</v>
      </c>
      <c r="Q987" s="67" t="str">
        <f>IFERROR(__xludf.DUMMYFUNCTION("""COMPUTED_VALUE"""),"ALL.giaotiep.P13_16917_MES_NamNH_021225")</f>
        <v>ALL.giaotiep.P13_16917_MES_NamNH_021225</v>
      </c>
      <c r="R987" s="67" t="str">
        <f>IFERROR(__xludf.DUMMYFUNCTION("""COMPUTED_VALUE"""),"NEW_ALL_1840_none_021225")</f>
        <v>NEW_ALL_1840_none_021225</v>
      </c>
      <c r="S987" s="67" t="str">
        <f>IFERROR(__xludf.DUMMYFUNCTION("""COMPUTED_VALUE"""),"saletructiep_ALL.P13.1840.giaotiep_PTATT_LD153")</f>
        <v>saletructiep_ALL.P13.1840.giaotiep_PTATT_LD153</v>
      </c>
      <c r="T987" s="107" t="str">
        <f>IFERROR(__xludf.DUMMYFUNCTION("""COMPUTED_VALUE"""),"https://patadovietnam.edu.vn/tienganhgiaotiep_hn/?utm_source=Facebook&amp;utm_medium=MES&amp;utm_term=NEW_ALL_1840_none_021225&amp;utm_content=saletructiep_ALL.P13.1840.giaotiep_PTATT_LD153&amp;utm_campaign=ALL.giaotiep.P13_16917_MES_NamNH_021225")</f>
        <v>https://patadovietnam.edu.vn/tienganhgiaotiep_hn/?utm_source=Facebook&amp;utm_medium=MES&amp;utm_term=NEW_ALL_1840_none_021225&amp;utm_content=saletructiep_ALL.P13.1840.giaotiep_PTATT_LD153&amp;utm_campaign=ALL.giaotiep.P13_16917_MES_NamNH_021225</v>
      </c>
      <c r="U987" s="110" t="s">
        <v>7753</v>
      </c>
    </row>
    <row r="988">
      <c r="A988" s="72">
        <v>45993.0</v>
      </c>
      <c r="B988" s="60" t="s">
        <v>1134</v>
      </c>
      <c r="C988" s="67" t="str">
        <f>IFERROR(__xludf.DUMMYFUNCTION("""COMPUTED_VALUE"""),"LD153")</f>
        <v>LD153</v>
      </c>
      <c r="D988" s="55" t="s">
        <v>42</v>
      </c>
      <c r="E988" s="55" t="s">
        <v>79</v>
      </c>
      <c r="F988" s="55" t="s">
        <v>539</v>
      </c>
      <c r="G988" s="55">
        <v>1840.0</v>
      </c>
      <c r="H988" s="55" t="s">
        <v>1137</v>
      </c>
      <c r="I988" s="115" t="s">
        <v>7754</v>
      </c>
      <c r="J988" s="55" t="s">
        <v>7755</v>
      </c>
      <c r="K988" s="55" t="s">
        <v>61</v>
      </c>
      <c r="L988" s="55">
        <v>16917.0</v>
      </c>
      <c r="M988" s="55" t="s">
        <v>78</v>
      </c>
      <c r="N988" s="55" t="s">
        <v>79</v>
      </c>
      <c r="O988" s="55" t="s">
        <v>224</v>
      </c>
      <c r="P988" s="55" t="s">
        <v>110</v>
      </c>
      <c r="Q988" s="67" t="str">
        <f>IFERROR(__xludf.DUMMYFUNCTION("""COMPUTED_VALUE"""),"ALL.giaotiep.P14_16917_MES_NamNH_021225")</f>
        <v>ALL.giaotiep.P14_16917_MES_NamNH_021225</v>
      </c>
      <c r="R988" s="67" t="str">
        <f>IFERROR(__xludf.DUMMYFUNCTION("""COMPUTED_VALUE"""),"NEW_ALL_1840_none_021225")</f>
        <v>NEW_ALL_1840_none_021225</v>
      </c>
      <c r="S988" s="67" t="str">
        <f>IFERROR(__xludf.DUMMYFUNCTION("""COMPUTED_VALUE"""),"saletructiep_ALL.P14.1840.giaotiep_PTATT_LD153")</f>
        <v>saletructiep_ALL.P14.1840.giaotiep_PTATT_LD153</v>
      </c>
      <c r="T988" s="107" t="str">
        <f>IFERROR(__xludf.DUMMYFUNCTION("""COMPUTED_VALUE"""),"https://patadovietnam.edu.vn/tienganhgiaotiep_hn/?utm_source=Facebook&amp;utm_medium=MES&amp;utm_term=NEW_ALL_1840_none_021225&amp;utm_content=saletructiep_ALL.P14.1840.giaotiep_PTATT_LD153&amp;utm_campaign=ALL.giaotiep.P14_16917_MES_NamNH_021225")</f>
        <v>https://patadovietnam.edu.vn/tienganhgiaotiep_hn/?utm_source=Facebook&amp;utm_medium=MES&amp;utm_term=NEW_ALL_1840_none_021225&amp;utm_content=saletructiep_ALL.P14.1840.giaotiep_PTATT_LD153&amp;utm_campaign=ALL.giaotiep.P14_16917_MES_NamNH_021225</v>
      </c>
      <c r="U988" s="116"/>
    </row>
    <row r="989">
      <c r="A989" s="72">
        <v>45993.0</v>
      </c>
      <c r="B989" s="60" t="s">
        <v>1134</v>
      </c>
      <c r="C989" s="67" t="str">
        <f>IFERROR(__xludf.DUMMYFUNCTION("""COMPUTED_VALUE"""),"LD153")</f>
        <v>LD153</v>
      </c>
      <c r="D989" s="55" t="s">
        <v>42</v>
      </c>
      <c r="E989" s="55" t="s">
        <v>79</v>
      </c>
      <c r="F989" s="55" t="s">
        <v>539</v>
      </c>
      <c r="G989" s="55">
        <v>1840.0</v>
      </c>
      <c r="H989" s="55" t="s">
        <v>1137</v>
      </c>
      <c r="I989" s="115" t="s">
        <v>7756</v>
      </c>
      <c r="J989" s="55" t="s">
        <v>7757</v>
      </c>
      <c r="K989" s="55" t="s">
        <v>61</v>
      </c>
      <c r="L989" s="55">
        <v>16917.0</v>
      </c>
      <c r="M989" s="55" t="s">
        <v>78</v>
      </c>
      <c r="N989" s="55" t="s">
        <v>79</v>
      </c>
      <c r="O989" s="55" t="s">
        <v>224</v>
      </c>
      <c r="P989" s="55" t="s">
        <v>110</v>
      </c>
      <c r="Q989" s="67" t="str">
        <f>IFERROR(__xludf.DUMMYFUNCTION("""COMPUTED_VALUE"""),"ALL.giaotiep.P15_16917_MES_NamNH_021225")</f>
        <v>ALL.giaotiep.P15_16917_MES_NamNH_021225</v>
      </c>
      <c r="R989" s="67" t="str">
        <f>IFERROR(__xludf.DUMMYFUNCTION("""COMPUTED_VALUE"""),"NEW_ALL_1840_none_021225")</f>
        <v>NEW_ALL_1840_none_021225</v>
      </c>
      <c r="S989" s="67" t="str">
        <f>IFERROR(__xludf.DUMMYFUNCTION("""COMPUTED_VALUE"""),"saletructiep_ALL.P15.1840.giaotiep_PTATT_LD153")</f>
        <v>saletructiep_ALL.P15.1840.giaotiep_PTATT_LD153</v>
      </c>
      <c r="T989" s="107" t="str">
        <f>IFERROR(__xludf.DUMMYFUNCTION("""COMPUTED_VALUE"""),"https://patadovietnam.edu.vn/tienganhgiaotiep_hn/?utm_source=Facebook&amp;utm_medium=MES&amp;utm_term=NEW_ALL_1840_none_021225&amp;utm_content=saletructiep_ALL.P15.1840.giaotiep_PTATT_LD153&amp;utm_campaign=ALL.giaotiep.P15_16917_MES_NamNH_021225")</f>
        <v>https://patadovietnam.edu.vn/tienganhgiaotiep_hn/?utm_source=Facebook&amp;utm_medium=MES&amp;utm_term=NEW_ALL_1840_none_021225&amp;utm_content=saletructiep_ALL.P15.1840.giaotiep_PTATT_LD153&amp;utm_campaign=ALL.giaotiep.P15_16917_MES_NamNH_021225</v>
      </c>
      <c r="U989" s="110" t="s">
        <v>7758</v>
      </c>
    </row>
    <row r="990">
      <c r="A990" s="72">
        <v>46001.0</v>
      </c>
      <c r="B990" s="60" t="s">
        <v>1229</v>
      </c>
      <c r="C990" s="67" t="str">
        <f>IFERROR(__xludf.DUMMYFUNCTION("""COMPUTED_VALUE"""),"LD164")</f>
        <v>LD164</v>
      </c>
      <c r="D990" s="55" t="s">
        <v>42</v>
      </c>
      <c r="E990" s="55" t="s">
        <v>69</v>
      </c>
      <c r="F990" s="55" t="s">
        <v>133</v>
      </c>
      <c r="G990" s="55">
        <v>1840.0</v>
      </c>
      <c r="H990" s="55" t="s">
        <v>1137</v>
      </c>
      <c r="I990" s="115" t="s">
        <v>7759</v>
      </c>
      <c r="J990" s="55" t="s">
        <v>6154</v>
      </c>
      <c r="K990" s="55" t="s">
        <v>61</v>
      </c>
      <c r="L990" s="55">
        <v>16917.0</v>
      </c>
      <c r="M990" s="55" t="s">
        <v>78</v>
      </c>
      <c r="N990" s="55" t="s">
        <v>69</v>
      </c>
      <c r="O990" s="55" t="s">
        <v>224</v>
      </c>
      <c r="P990" s="55" t="s">
        <v>110</v>
      </c>
      <c r="Q990" s="67" t="str">
        <f>IFERROR(__xludf.DUMMYFUNCTION("""COMPUTED_VALUE"""),"Japan.giaotiep.M580xM600_16917_CVS_NamNH_101225")</f>
        <v>Japan.giaotiep.M580xM600_16917_CVS_NamNH_101225</v>
      </c>
      <c r="R990" s="67" t="str">
        <f>IFERROR(__xludf.DUMMYFUNCTION("""COMPUTED_VALUE"""),"NEW_Japan_1840_none_101225")</f>
        <v>NEW_Japan_1840_none_101225</v>
      </c>
      <c r="S990" s="117" t="str">
        <f>IFERROR(__xludf.DUMMYFUNCTION("""COMPUTED_VALUE"""),"saletructiep_Japan.M580.1840.giaotiep_PTATT_LD164")</f>
        <v>saletructiep_Japan.M580.1840.giaotiep_PTATT_LD164</v>
      </c>
      <c r="T990" s="107" t="str">
        <f>IFERROR(__xludf.DUMMYFUNCTION("""COMPUTED_VALUE"""),"https://patadovietnam.edu.vn/gtjapan_nhn3/?utm_source=Facebook&amp;utm_medium=CVS&amp;utm_term=NEW_Japan_1840_none_101225&amp;utm_content=saletructiep_Japan.M580.1840.giaotiep_PTATT_LD164&amp;utm_campaign=Japan.giaotiep.M580xM600_16917_CVS_NamNH_101225")</f>
        <v>https://patadovietnam.edu.vn/gtjapan_nhn3/?utm_source=Facebook&amp;utm_medium=CVS&amp;utm_term=NEW_Japan_1840_none_101225&amp;utm_content=saletructiep_Japan.M580.1840.giaotiep_PTATT_LD164&amp;utm_campaign=Japan.giaotiep.M580xM600_16917_CVS_NamNH_101225</v>
      </c>
      <c r="U990" s="110" t="s">
        <v>7760</v>
      </c>
    </row>
    <row r="991">
      <c r="A991" s="72">
        <v>46001.0</v>
      </c>
      <c r="B991" s="60" t="s">
        <v>1134</v>
      </c>
      <c r="C991" s="67" t="str">
        <f>IFERROR(__xludf.DUMMYFUNCTION("""COMPUTED_VALUE"""),"LD153")</f>
        <v>LD153</v>
      </c>
      <c r="D991" s="55" t="s">
        <v>42</v>
      </c>
      <c r="E991" s="55" t="s">
        <v>79</v>
      </c>
      <c r="F991" s="55" t="s">
        <v>539</v>
      </c>
      <c r="G991" s="55">
        <v>1840.0</v>
      </c>
      <c r="H991" s="55" t="s">
        <v>1137</v>
      </c>
      <c r="I991" s="115" t="s">
        <v>7761</v>
      </c>
      <c r="J991" s="55" t="s">
        <v>7762</v>
      </c>
      <c r="K991" s="55" t="s">
        <v>61</v>
      </c>
      <c r="L991" s="55">
        <v>16917.0</v>
      </c>
      <c r="M991" s="55" t="s">
        <v>78</v>
      </c>
      <c r="N991" s="55" t="s">
        <v>79</v>
      </c>
      <c r="O991" s="55" t="s">
        <v>224</v>
      </c>
      <c r="P991" s="55" t="s">
        <v>110</v>
      </c>
      <c r="Q991" s="67" t="str">
        <f>IFERROR(__xludf.DUMMYFUNCTION("""COMPUTED_VALUE"""),"ALL.giaotiep.M580xM600_16917_MES_NamNH_101225")</f>
        <v>ALL.giaotiep.M580xM600_16917_MES_NamNH_101225</v>
      </c>
      <c r="R991" s="67" t="str">
        <f>IFERROR(__xludf.DUMMYFUNCTION("""COMPUTED_VALUE"""),"NEW_ALL_1840_none_101225")</f>
        <v>NEW_ALL_1840_none_101225</v>
      </c>
      <c r="S991" s="67" t="str">
        <f>IFERROR(__xludf.DUMMYFUNCTION("""COMPUTED_VALUE"""),"saletructiep_ALL.M580.1840.giaotiep_PTATT_LD153")</f>
        <v>saletructiep_ALL.M580.1840.giaotiep_PTATT_LD153</v>
      </c>
      <c r="T991" s="107" t="str">
        <f>IFERROR(__xludf.DUMMYFUNCTION("""COMPUTED_VALUE"""),"https://patadovietnam.edu.vn/tienganhgiaotiep_hn/?utm_source=Facebook&amp;utm_medium=MES&amp;utm_term=NEW_ALL_1840_none_101225&amp;utm_content=saletructiep_ALL.M580.1840.giaotiep_PTATT_LD153&amp;utm_campaign=ALL.giaotiep.M580xM600_16917_MES_NamNH_101225")</f>
        <v>https://patadovietnam.edu.vn/tienganhgiaotiep_hn/?utm_source=Facebook&amp;utm_medium=MES&amp;utm_term=NEW_ALL_1840_none_101225&amp;utm_content=saletructiep_ALL.M580.1840.giaotiep_PTATT_LD153&amp;utm_campaign=ALL.giaotiep.M580xM600_16917_MES_NamNH_101225</v>
      </c>
      <c r="U991" s="116"/>
    </row>
    <row r="992">
      <c r="A992" s="72">
        <v>46001.0</v>
      </c>
      <c r="B992" s="60" t="s">
        <v>1134</v>
      </c>
      <c r="C992" s="67" t="str">
        <f>IFERROR(__xludf.DUMMYFUNCTION("""COMPUTED_VALUE"""),"LD153")</f>
        <v>LD153</v>
      </c>
      <c r="D992" s="55" t="s">
        <v>42</v>
      </c>
      <c r="E992" s="55" t="s">
        <v>69</v>
      </c>
      <c r="F992" s="55" t="s">
        <v>674</v>
      </c>
      <c r="G992" s="55">
        <v>1840.0</v>
      </c>
      <c r="H992" s="55" t="s">
        <v>1137</v>
      </c>
      <c r="I992" s="115" t="s">
        <v>7763</v>
      </c>
      <c r="J992" s="55" t="s">
        <v>6148</v>
      </c>
      <c r="K992" s="55" t="s">
        <v>61</v>
      </c>
      <c r="L992" s="55">
        <v>16917.0</v>
      </c>
      <c r="M992" s="55" t="s">
        <v>78</v>
      </c>
      <c r="N992" s="55" t="s">
        <v>69</v>
      </c>
      <c r="O992" s="55" t="s">
        <v>224</v>
      </c>
      <c r="P992" s="55" t="s">
        <v>110</v>
      </c>
      <c r="Q992" s="67" t="str">
        <f>IFERROR(__xludf.DUMMYFUNCTION("""COMPUTED_VALUE"""),"Europe.giaotiep.M580xM600_16917_CVS_NamNH_101225")</f>
        <v>Europe.giaotiep.M580xM600_16917_CVS_NamNH_101225</v>
      </c>
      <c r="R992" s="67" t="str">
        <f>IFERROR(__xludf.DUMMYFUNCTION("""COMPUTED_VALUE"""),"NEW_Europe_1840_none_101225")</f>
        <v>NEW_Europe_1840_none_101225</v>
      </c>
      <c r="S992" s="67" t="str">
        <f>IFERROR(__xludf.DUMMYFUNCTION("""COMPUTED_VALUE"""),"saletructiep_Europe.M580.1840.giaotiep_PTATT_LD153")</f>
        <v>saletructiep_Europe.M580.1840.giaotiep_PTATT_LD153</v>
      </c>
      <c r="T992" s="107" t="str">
        <f>IFERROR(__xludf.DUMMYFUNCTION("""COMPUTED_VALUE"""),"https://patadovietnam.edu.vn/tienganhgiaotiep_hn/?utm_source=Facebook&amp;utm_medium=CVS&amp;utm_term=NEW_Europe_1840_none_101225&amp;utm_content=saletructiep_Europe.M580.1840.giaotiep_PTATT_LD153&amp;utm_campaign=Europe.giaotiep.M580xM600_16917_CVS_NamNH_101225")</f>
        <v>https://patadovietnam.edu.vn/tienganhgiaotiep_hn/?utm_source=Facebook&amp;utm_medium=CVS&amp;utm_term=NEW_Europe_1840_none_101225&amp;utm_content=saletructiep_Europe.M580.1840.giaotiep_PTATT_LD153&amp;utm_campaign=Europe.giaotiep.M580xM600_16917_CVS_NamNH_101225</v>
      </c>
      <c r="U992" s="110" t="s">
        <v>7764</v>
      </c>
    </row>
    <row r="993">
      <c r="A993" s="72">
        <v>46001.0</v>
      </c>
      <c r="B993" s="60" t="s">
        <v>1245</v>
      </c>
      <c r="C993" s="67" t="str">
        <f>IFERROR(__xludf.DUMMYFUNCTION("""COMPUTED_VALUE"""),"LD161")</f>
        <v>LD161</v>
      </c>
      <c r="D993" s="55" t="s">
        <v>42</v>
      </c>
      <c r="E993" s="55" t="s">
        <v>69</v>
      </c>
      <c r="F993" s="55" t="s">
        <v>107</v>
      </c>
      <c r="G993" s="55">
        <v>2050.0</v>
      </c>
      <c r="H993" s="55" t="s">
        <v>1137</v>
      </c>
      <c r="I993" s="115" t="s">
        <v>7765</v>
      </c>
      <c r="J993" s="55" t="s">
        <v>7766</v>
      </c>
      <c r="K993" s="55" t="s">
        <v>61</v>
      </c>
      <c r="L993" s="55">
        <v>16917.0</v>
      </c>
      <c r="M993" s="55" t="s">
        <v>78</v>
      </c>
      <c r="N993" s="55" t="s">
        <v>69</v>
      </c>
      <c r="O993" s="55" t="s">
        <v>224</v>
      </c>
      <c r="P993" s="55" t="s">
        <v>110</v>
      </c>
      <c r="Q993" s="67" t="str">
        <f>IFERROR(__xludf.DUMMYFUNCTION("""COMPUTED_VALUE"""),"UnitedStates.giaotiep.M580xM600_16917_CVS_NamNH_101225")</f>
        <v>UnitedStates.giaotiep.M580xM600_16917_CVS_NamNH_101225</v>
      </c>
      <c r="R993" s="67" t="str">
        <f>IFERROR(__xludf.DUMMYFUNCTION("""COMPUTED_VALUE"""),"NEW_UnitedStates_2050_none_101225")</f>
        <v>NEW_UnitedStates_2050_none_101225</v>
      </c>
      <c r="S993" s="67" t="str">
        <f>IFERROR(__xludf.DUMMYFUNCTION("""COMPUTED_VALUE"""),"saletructiep_UnitedStates.M580.1840.giaotiep_PTATT_LD161")</f>
        <v>saletructiep_UnitedStates.M580.1840.giaotiep_PTATT_LD161</v>
      </c>
      <c r="T993" s="107" t="str">
        <f>IFERROR(__xludf.DUMMYFUNCTION("""COMPUTED_VALUE"""),"https://patadovietnam.edu.vn/gtusa1_nhn/?utm_source=Facebook&amp;utm_medium=CVS&amp;utm_term=NEW_UnitedStates_2050_none_101225&amp;utm_content=saletructiep_UnitedStates.M580.1840.giaotiep_PTATT_LD161&amp;utm_campaign=UnitedStates.giaotiep.M580xM600_16917_CVS_NamNH_101225")</f>
        <v>https://patadovietnam.edu.vn/gtusa1_nhn/?utm_source=Facebook&amp;utm_medium=CVS&amp;utm_term=NEW_UnitedStates_2050_none_101225&amp;utm_content=saletructiep_UnitedStates.M580.1840.giaotiep_PTATT_LD161&amp;utm_campaign=UnitedStates.giaotiep.M580xM600_16917_CVS_NamNH_101225</v>
      </c>
      <c r="U993" s="110" t="s">
        <v>7767</v>
      </c>
    </row>
    <row r="994">
      <c r="A994" s="72">
        <v>46003.0</v>
      </c>
      <c r="B994" s="60" t="s">
        <v>1229</v>
      </c>
      <c r="C994" s="67" t="str">
        <f>IFERROR(__xludf.DUMMYFUNCTION("""COMPUTED_VALUE"""),"LD164")</f>
        <v>LD164</v>
      </c>
      <c r="D994" s="55" t="s">
        <v>42</v>
      </c>
      <c r="E994" s="55" t="s">
        <v>69</v>
      </c>
      <c r="F994" s="55" t="s">
        <v>133</v>
      </c>
      <c r="G994" s="55">
        <v>1840.0</v>
      </c>
      <c r="H994" s="55" t="s">
        <v>1137</v>
      </c>
      <c r="I994" s="115" t="s">
        <v>7768</v>
      </c>
      <c r="J994" s="55" t="s">
        <v>7769</v>
      </c>
      <c r="K994" s="55" t="s">
        <v>61</v>
      </c>
      <c r="L994" s="55">
        <v>16917.0</v>
      </c>
      <c r="M994" s="55" t="s">
        <v>78</v>
      </c>
      <c r="N994" s="55" t="s">
        <v>69</v>
      </c>
      <c r="O994" s="55" t="s">
        <v>224</v>
      </c>
      <c r="P994" s="55" t="s">
        <v>110</v>
      </c>
      <c r="Q994" s="67" t="str">
        <f>IFERROR(__xludf.DUMMYFUNCTION("""COMPUTED_VALUE"""),"Japan.giaotiep.M577xM603_16917_CVS_NamNH_121225")</f>
        <v>Japan.giaotiep.M577xM603_16917_CVS_NamNH_121225</v>
      </c>
      <c r="R994" s="67" t="str">
        <f>IFERROR(__xludf.DUMMYFUNCTION("""COMPUTED_VALUE"""),"NEW_Japan_1840_none_121225")</f>
        <v>NEW_Japan_1840_none_121225</v>
      </c>
      <c r="S994" s="67" t="str">
        <f>IFERROR(__xludf.DUMMYFUNCTION("""COMPUTED_VALUE"""),"saletructiep_Japan.M577.1840.giaotiep_PTATT_LD164")</f>
        <v>saletructiep_Japan.M577.1840.giaotiep_PTATT_LD164</v>
      </c>
      <c r="T994" s="107" t="str">
        <f>IFERROR(__xludf.DUMMYFUNCTION("""COMPUTED_VALUE"""),"https://patadovietnam.edu.vn/gtjapan_nhn3/?utm_source=Facebook&amp;utm_medium=CVS&amp;utm_term=NEW_Japan_1840_none_121225&amp;utm_content=saletructiep_Japan.M577.1840.giaotiep_PTATT_LD164&amp;utm_campaign=Japan.giaotiep.M577xM603_16917_CVS_NamNH_121225")</f>
        <v>https://patadovietnam.edu.vn/gtjapan_nhn3/?utm_source=Facebook&amp;utm_medium=CVS&amp;utm_term=NEW_Japan_1840_none_121225&amp;utm_content=saletructiep_Japan.M577.1840.giaotiep_PTATT_LD164&amp;utm_campaign=Japan.giaotiep.M577xM603_16917_CVS_NamNH_121225</v>
      </c>
      <c r="U994" s="110" t="s">
        <v>7770</v>
      </c>
    </row>
    <row r="995">
      <c r="A995" s="72">
        <v>46003.0</v>
      </c>
      <c r="B995" s="60" t="s">
        <v>1245</v>
      </c>
      <c r="C995" s="67" t="str">
        <f>IFERROR(__xludf.DUMMYFUNCTION("""COMPUTED_VALUE"""),"LD161")</f>
        <v>LD161</v>
      </c>
      <c r="D995" s="55" t="s">
        <v>42</v>
      </c>
      <c r="E995" s="55" t="s">
        <v>69</v>
      </c>
      <c r="F995" s="55" t="s">
        <v>107</v>
      </c>
      <c r="G995" s="55">
        <v>2050.0</v>
      </c>
      <c r="H995" s="55" t="s">
        <v>1137</v>
      </c>
      <c r="I995" s="115" t="s">
        <v>7771</v>
      </c>
      <c r="J995" s="55" t="s">
        <v>7772</v>
      </c>
      <c r="K995" s="55" t="s">
        <v>61</v>
      </c>
      <c r="L995" s="55">
        <v>16917.0</v>
      </c>
      <c r="M995" s="55" t="s">
        <v>78</v>
      </c>
      <c r="N995" s="55" t="s">
        <v>69</v>
      </c>
      <c r="O995" s="55" t="s">
        <v>224</v>
      </c>
      <c r="P995" s="55" t="s">
        <v>110</v>
      </c>
      <c r="Q995" s="67" t="str">
        <f>IFERROR(__xludf.DUMMYFUNCTION("""COMPUTED_VALUE"""),"UnitedStates.giaotiep.M577xM603_16917_CVS_NamNH_121225")</f>
        <v>UnitedStates.giaotiep.M577xM603_16917_CVS_NamNH_121225</v>
      </c>
      <c r="R995" s="67" t="str">
        <f>IFERROR(__xludf.DUMMYFUNCTION("""COMPUTED_VALUE"""),"NEW_UnitedStates_2050_none_121225")</f>
        <v>NEW_UnitedStates_2050_none_121225</v>
      </c>
      <c r="S995" s="67" t="str">
        <f>IFERROR(__xludf.DUMMYFUNCTION("""COMPUTED_VALUE"""),"saletructiep_UnitedStates.M577.1840.giaotiep_PTATT_LD161")</f>
        <v>saletructiep_UnitedStates.M577.1840.giaotiep_PTATT_LD161</v>
      </c>
      <c r="T995" s="107" t="str">
        <f>IFERROR(__xludf.DUMMYFUNCTION("""COMPUTED_VALUE"""),"https://patadovietnam.edu.vn/gtusa1_nhn/?utm_source=Facebook&amp;utm_medium=CVS&amp;utm_term=NEW_UnitedStates_2050_none_121225&amp;utm_content=saletructiep_UnitedStates.M577.1840.giaotiep_PTATT_LD161&amp;utm_campaign=UnitedStates.giaotiep.M577xM603_16917_CVS_NamNH_121225")</f>
        <v>https://patadovietnam.edu.vn/gtusa1_nhn/?utm_source=Facebook&amp;utm_medium=CVS&amp;utm_term=NEW_UnitedStates_2050_none_121225&amp;utm_content=saletructiep_UnitedStates.M577.1840.giaotiep_PTATT_LD161&amp;utm_campaign=UnitedStates.giaotiep.M577xM603_16917_CVS_NamNH_121225</v>
      </c>
      <c r="U995" s="110" t="s">
        <v>7773</v>
      </c>
    </row>
    <row r="996">
      <c r="A996" s="72">
        <v>46003.0</v>
      </c>
      <c r="B996" s="60" t="s">
        <v>1134</v>
      </c>
      <c r="C996" s="67" t="str">
        <f>IFERROR(__xludf.DUMMYFUNCTION("""COMPUTED_VALUE"""),"LD153")</f>
        <v>LD153</v>
      </c>
      <c r="D996" s="55" t="s">
        <v>42</v>
      </c>
      <c r="E996" s="55" t="s">
        <v>69</v>
      </c>
      <c r="F996" s="55" t="s">
        <v>674</v>
      </c>
      <c r="G996" s="55">
        <v>1840.0</v>
      </c>
      <c r="H996" s="55" t="s">
        <v>1137</v>
      </c>
      <c r="I996" s="115" t="s">
        <v>7774</v>
      </c>
      <c r="J996" s="55" t="s">
        <v>7775</v>
      </c>
      <c r="K996" s="55" t="s">
        <v>61</v>
      </c>
      <c r="L996" s="55">
        <v>16917.0</v>
      </c>
      <c r="M996" s="55" t="s">
        <v>78</v>
      </c>
      <c r="N996" s="55" t="s">
        <v>69</v>
      </c>
      <c r="O996" s="55" t="s">
        <v>224</v>
      </c>
      <c r="P996" s="55" t="s">
        <v>110</v>
      </c>
      <c r="Q996" s="67" t="str">
        <f>IFERROR(__xludf.DUMMYFUNCTION("""COMPUTED_VALUE"""),"Europe.giaotiep.M577xM603_16917_CVS_NamNH_121225")</f>
        <v>Europe.giaotiep.M577xM603_16917_CVS_NamNH_121225</v>
      </c>
      <c r="R996" s="67" t="str">
        <f>IFERROR(__xludf.DUMMYFUNCTION("""COMPUTED_VALUE"""),"NEW_Europe_1840_none_121225")</f>
        <v>NEW_Europe_1840_none_121225</v>
      </c>
      <c r="S996" s="67" t="str">
        <f>IFERROR(__xludf.DUMMYFUNCTION("""COMPUTED_VALUE"""),"saletructiep_Europe.M577.1840.giaotiep_PTATT_LD153")</f>
        <v>saletructiep_Europe.M577.1840.giaotiep_PTATT_LD153</v>
      </c>
      <c r="T996" s="107" t="str">
        <f>IFERROR(__xludf.DUMMYFUNCTION("""COMPUTED_VALUE"""),"https://patadovietnam.edu.vn/tienganhgiaotiep_hn/?utm_source=Facebook&amp;utm_medium=CVS&amp;utm_term=NEW_Europe_1840_none_121225&amp;utm_content=saletructiep_Europe.M577.1840.giaotiep_PTATT_LD153&amp;utm_campaign=Europe.giaotiep.M577xM603_16917_CVS_NamNH_121225")</f>
        <v>https://patadovietnam.edu.vn/tienganhgiaotiep_hn/?utm_source=Facebook&amp;utm_medium=CVS&amp;utm_term=NEW_Europe_1840_none_121225&amp;utm_content=saletructiep_Europe.M577.1840.giaotiep_PTATT_LD153&amp;utm_campaign=Europe.giaotiep.M577xM603_16917_CVS_NamNH_121225</v>
      </c>
      <c r="U996" s="110" t="s">
        <v>7776</v>
      </c>
    </row>
    <row r="997">
      <c r="A997" s="72">
        <v>46003.0</v>
      </c>
      <c r="B997" s="60" t="s">
        <v>1134</v>
      </c>
      <c r="C997" s="67" t="str">
        <f>IFERROR(__xludf.DUMMYFUNCTION("""COMPUTED_VALUE"""),"LD153")</f>
        <v>LD153</v>
      </c>
      <c r="D997" s="55" t="s">
        <v>42</v>
      </c>
      <c r="E997" s="55" t="s">
        <v>79</v>
      </c>
      <c r="F997" s="55" t="s">
        <v>539</v>
      </c>
      <c r="G997" s="55">
        <v>1840.0</v>
      </c>
      <c r="H997" s="55" t="s">
        <v>1137</v>
      </c>
      <c r="I997" s="115" t="s">
        <v>7777</v>
      </c>
      <c r="J997" s="55" t="s">
        <v>7778</v>
      </c>
      <c r="K997" s="55" t="s">
        <v>61</v>
      </c>
      <c r="L997" s="55">
        <v>16917.0</v>
      </c>
      <c r="M997" s="55" t="s">
        <v>78</v>
      </c>
      <c r="N997" s="55" t="s">
        <v>79</v>
      </c>
      <c r="O997" s="55" t="s">
        <v>224</v>
      </c>
      <c r="P997" s="55" t="s">
        <v>110</v>
      </c>
      <c r="Q997" s="67" t="str">
        <f>IFERROR(__xludf.DUMMYFUNCTION("""COMPUTED_VALUE"""),"ALL.giaotiep.M416xM603_16917_MES_NamNH_121225")</f>
        <v>ALL.giaotiep.M416xM603_16917_MES_NamNH_121225</v>
      </c>
      <c r="R997" s="67" t="str">
        <f>IFERROR(__xludf.DUMMYFUNCTION("""COMPUTED_VALUE"""),"NEW_ALL_1840_none_121225")</f>
        <v>NEW_ALL_1840_none_121225</v>
      </c>
      <c r="S997" s="67" t="str">
        <f>IFERROR(__xludf.DUMMYFUNCTION("""COMPUTED_VALUE"""),"saletructiep_ALL.M416.1840.giaotiep_PTATT_LD153")</f>
        <v>saletructiep_ALL.M416.1840.giaotiep_PTATT_LD153</v>
      </c>
      <c r="T997" s="107" t="str">
        <f>IFERROR(__xludf.DUMMYFUNCTION("""COMPUTED_VALUE"""),"https://patadovietnam.edu.vn/tienganhgiaotiep_hn/?utm_source=Facebook&amp;utm_medium=MES&amp;utm_term=NEW_ALL_1840_none_121225&amp;utm_content=saletructiep_ALL.M416.1840.giaotiep_PTATT_LD153&amp;utm_campaign=ALL.giaotiep.M416xM603_16917_MES_NamNH_121225")</f>
        <v>https://patadovietnam.edu.vn/tienganhgiaotiep_hn/?utm_source=Facebook&amp;utm_medium=MES&amp;utm_term=NEW_ALL_1840_none_121225&amp;utm_content=saletructiep_ALL.M416.1840.giaotiep_PTATT_LD153&amp;utm_campaign=ALL.giaotiep.M416xM603_16917_MES_NamNH_121225</v>
      </c>
      <c r="U997" s="110" t="s">
        <v>7779</v>
      </c>
    </row>
    <row r="998">
      <c r="A998" s="72">
        <v>46006.0</v>
      </c>
      <c r="B998" s="60" t="s">
        <v>1134</v>
      </c>
      <c r="C998" s="67" t="str">
        <f>IFERROR(__xludf.DUMMYFUNCTION("""COMPUTED_VALUE"""),"LD153")</f>
        <v>LD153</v>
      </c>
      <c r="D998" s="55" t="s">
        <v>42</v>
      </c>
      <c r="E998" s="55" t="s">
        <v>79</v>
      </c>
      <c r="F998" s="55" t="s">
        <v>539</v>
      </c>
      <c r="G998" s="55">
        <v>1840.0</v>
      </c>
      <c r="H998" s="55" t="s">
        <v>1137</v>
      </c>
      <c r="I998" s="115" t="s">
        <v>1726</v>
      </c>
      <c r="J998" s="55" t="s">
        <v>1727</v>
      </c>
      <c r="K998" s="55" t="s">
        <v>61</v>
      </c>
      <c r="L998" s="55">
        <v>16917.0</v>
      </c>
      <c r="M998" s="55" t="s">
        <v>78</v>
      </c>
      <c r="N998" s="55" t="s">
        <v>79</v>
      </c>
      <c r="O998" s="55" t="s">
        <v>224</v>
      </c>
      <c r="P998" s="55" t="s">
        <v>110</v>
      </c>
      <c r="Q998" s="67" t="str">
        <f>IFERROR(__xludf.DUMMYFUNCTION("""COMPUTED_VALUE"""),"ALL.giaotiep.M601_16917_MES_NamNH_151225")</f>
        <v>ALL.giaotiep.M601_16917_MES_NamNH_151225</v>
      </c>
      <c r="R998" s="67" t="str">
        <f>IFERROR(__xludf.DUMMYFUNCTION("""COMPUTED_VALUE"""),"NEW_ALL_1840_none_151225")</f>
        <v>NEW_ALL_1840_none_151225</v>
      </c>
      <c r="S998" s="67" t="str">
        <f>IFERROR(__xludf.DUMMYFUNCTION("""COMPUTED_VALUE"""),"saletructiep_ALL.M601.1840.giaotiep_PTATT_LD153")</f>
        <v>saletructiep_ALL.M601.1840.giaotiep_PTATT_LD153</v>
      </c>
      <c r="T998" s="107" t="str">
        <f>IFERROR(__xludf.DUMMYFUNCTION("""COMPUTED_VALUE"""),"https://patadovietnam.edu.vn/tienganhgiaotiep_hn/?utm_source=Facebook&amp;utm_medium=MES&amp;utm_term=NEW_ALL_1840_none_151225&amp;utm_content=saletructiep_ALL.M601.1840.giaotiep_PTATT_LD153&amp;utm_campaign=ALL.giaotiep.M601_16917_MES_NamNH_151225")</f>
        <v>https://patadovietnam.edu.vn/tienganhgiaotiep_hn/?utm_source=Facebook&amp;utm_medium=MES&amp;utm_term=NEW_ALL_1840_none_151225&amp;utm_content=saletructiep_ALL.M601.1840.giaotiep_PTATT_LD153&amp;utm_campaign=ALL.giaotiep.M601_16917_MES_NamNH_151225</v>
      </c>
      <c r="U998" s="110" t="s">
        <v>1735</v>
      </c>
    </row>
    <row r="999">
      <c r="A999" s="72">
        <v>46008.0</v>
      </c>
      <c r="B999" s="60" t="s">
        <v>1134</v>
      </c>
      <c r="C999" s="67" t="str">
        <f>IFERROR(__xludf.DUMMYFUNCTION("""COMPUTED_VALUE"""),"LD153")</f>
        <v>LD153</v>
      </c>
      <c r="D999" s="55" t="s">
        <v>42</v>
      </c>
      <c r="E999" s="55" t="s">
        <v>69</v>
      </c>
      <c r="F999" s="55" t="s">
        <v>674</v>
      </c>
      <c r="G999" s="55">
        <v>1840.0</v>
      </c>
      <c r="H999" s="55" t="s">
        <v>1137</v>
      </c>
      <c r="I999" s="115" t="s">
        <v>7780</v>
      </c>
      <c r="J999" s="55" t="s">
        <v>7781</v>
      </c>
      <c r="K999" s="55" t="s">
        <v>61</v>
      </c>
      <c r="L999" s="55">
        <v>16917.0</v>
      </c>
      <c r="M999" s="55" t="s">
        <v>78</v>
      </c>
      <c r="N999" s="55" t="s">
        <v>69</v>
      </c>
      <c r="O999" s="55" t="s">
        <v>224</v>
      </c>
      <c r="P999" s="55" t="s">
        <v>110</v>
      </c>
      <c r="Q999" s="67" t="str">
        <f>IFERROR(__xludf.DUMMYFUNCTION("""COMPUTED_VALUE"""),"Europe.giaotiep.M601xM603_16917_CVS_NamNH_171225")</f>
        <v>Europe.giaotiep.M601xM603_16917_CVS_NamNH_171225</v>
      </c>
      <c r="R999" s="67" t="str">
        <f>IFERROR(__xludf.DUMMYFUNCTION("""COMPUTED_VALUE"""),"NEW_Europe_1840_none_171225")</f>
        <v>NEW_Europe_1840_none_171225</v>
      </c>
      <c r="S999" s="67" t="str">
        <f>IFERROR(__xludf.DUMMYFUNCTION("""COMPUTED_VALUE"""),"saletructiep_Europe.M601.1840.giaotiep_PTATT_LD153")</f>
        <v>saletructiep_Europe.M601.1840.giaotiep_PTATT_LD153</v>
      </c>
      <c r="T999" s="107" t="str">
        <f>IFERROR(__xludf.DUMMYFUNCTION("""COMPUTED_VALUE"""),"https://patadovietnam.edu.vn/tienganhgiaotiep_hn/?utm_source=Facebook&amp;utm_medium=CVS&amp;utm_term=NEW_Europe_1840_none_171225&amp;utm_content=saletructiep_Europe.M601.1840.giaotiep_PTATT_LD153&amp;utm_campaign=Europe.giaotiep.M601xM603_16917_CVS_NamNH_171225")</f>
        <v>https://patadovietnam.edu.vn/tienganhgiaotiep_hn/?utm_source=Facebook&amp;utm_medium=CVS&amp;utm_term=NEW_Europe_1840_none_171225&amp;utm_content=saletructiep_Europe.M601.1840.giaotiep_PTATT_LD153&amp;utm_campaign=Europe.giaotiep.M601xM603_16917_CVS_NamNH_171225</v>
      </c>
      <c r="U999" s="110" t="s">
        <v>7782</v>
      </c>
    </row>
    <row r="1000">
      <c r="A1000" s="72">
        <v>46008.0</v>
      </c>
      <c r="B1000" s="60" t="s">
        <v>1245</v>
      </c>
      <c r="C1000" s="67" t="str">
        <f>IFERROR(__xludf.DUMMYFUNCTION("""COMPUTED_VALUE"""),"LD161")</f>
        <v>LD161</v>
      </c>
      <c r="D1000" s="55" t="s">
        <v>42</v>
      </c>
      <c r="E1000" s="55" t="s">
        <v>69</v>
      </c>
      <c r="F1000" s="55" t="s">
        <v>107</v>
      </c>
      <c r="G1000" s="55">
        <v>2050.0</v>
      </c>
      <c r="H1000" s="55" t="s">
        <v>1137</v>
      </c>
      <c r="I1000" s="115" t="s">
        <v>7783</v>
      </c>
      <c r="J1000" s="55" t="s">
        <v>7772</v>
      </c>
      <c r="K1000" s="55" t="s">
        <v>61</v>
      </c>
      <c r="L1000" s="55">
        <v>16917.0</v>
      </c>
      <c r="M1000" s="55" t="s">
        <v>78</v>
      </c>
      <c r="N1000" s="55" t="s">
        <v>69</v>
      </c>
      <c r="O1000" s="55" t="s">
        <v>224</v>
      </c>
      <c r="P1000" s="55" t="s">
        <v>110</v>
      </c>
      <c r="Q1000" s="67" t="str">
        <f>IFERROR(__xludf.DUMMYFUNCTION("""COMPUTED_VALUE"""),"UnitedStates.giaotiep.M577xM601_16917_CVS_NamNH_171225")</f>
        <v>UnitedStates.giaotiep.M577xM601_16917_CVS_NamNH_171225</v>
      </c>
      <c r="R1000" s="67" t="str">
        <f>IFERROR(__xludf.DUMMYFUNCTION("""COMPUTED_VALUE"""),"NEW_UnitedStates_2050_none_171225")</f>
        <v>NEW_UnitedStates_2050_none_171225</v>
      </c>
      <c r="S1000" s="67" t="str">
        <f>IFERROR(__xludf.DUMMYFUNCTION("""COMPUTED_VALUE"""),"saletructiep_UnitedStates.M577.1840.giaotiep_PTATT_LD161")</f>
        <v>saletructiep_UnitedStates.M577.1840.giaotiep_PTATT_LD161</v>
      </c>
      <c r="T1000" s="107" t="str">
        <f>IFERROR(__xludf.DUMMYFUNCTION("""COMPUTED_VALUE"""),"https://patadovietnam.edu.vn/gtusa1_nhn/?utm_source=Facebook&amp;utm_medium=CVS&amp;utm_term=NEW_UnitedStates_2050_none_171225&amp;utm_content=saletructiep_UnitedStates.M577.1840.giaotiep_PTATT_LD161&amp;utm_campaign=UnitedStates.giaotiep.M577xM601_16917_CVS_NamNH_171225")</f>
        <v>https://patadovietnam.edu.vn/gtusa1_nhn/?utm_source=Facebook&amp;utm_medium=CVS&amp;utm_term=NEW_UnitedStates_2050_none_171225&amp;utm_content=saletructiep_UnitedStates.M577.1840.giaotiep_PTATT_LD161&amp;utm_campaign=UnitedStates.giaotiep.M577xM601_16917_CVS_NamNH_171225</v>
      </c>
      <c r="U1000" s="110" t="s">
        <v>7784</v>
      </c>
    </row>
    <row r="1001">
      <c r="A1001" s="72">
        <v>46014.0</v>
      </c>
      <c r="B1001" s="60" t="s">
        <v>1229</v>
      </c>
      <c r="C1001" s="67" t="str">
        <f>IFERROR(__xludf.DUMMYFUNCTION("""COMPUTED_VALUE"""),"LD164")</f>
        <v>LD164</v>
      </c>
      <c r="D1001" s="55" t="s">
        <v>42</v>
      </c>
      <c r="E1001" s="55" t="s">
        <v>69</v>
      </c>
      <c r="F1001" s="55" t="s">
        <v>133</v>
      </c>
      <c r="G1001" s="55">
        <v>1840.0</v>
      </c>
      <c r="H1001" s="55" t="s">
        <v>1137</v>
      </c>
      <c r="I1001" s="115" t="s">
        <v>7785</v>
      </c>
      <c r="J1001" s="55" t="s">
        <v>7786</v>
      </c>
      <c r="K1001" s="55" t="s">
        <v>61</v>
      </c>
      <c r="L1001" s="55">
        <v>16917.0</v>
      </c>
      <c r="M1001" s="55" t="s">
        <v>78</v>
      </c>
      <c r="N1001" s="55" t="s">
        <v>69</v>
      </c>
      <c r="O1001" s="55" t="s">
        <v>224</v>
      </c>
      <c r="P1001" s="55" t="s">
        <v>110</v>
      </c>
      <c r="Q1001" s="67" t="str">
        <f>IFERROR(__xludf.DUMMYFUNCTION("""COMPUTED_VALUE"""),"Japan.giaotiep.M562xM578_16917_CVS_NamNH_231225")</f>
        <v>Japan.giaotiep.M562xM578_16917_CVS_NamNH_231225</v>
      </c>
      <c r="R1001" s="67" t="str">
        <f>IFERROR(__xludf.DUMMYFUNCTION("""COMPUTED_VALUE"""),"NEW_Japan_1840_none_231225")</f>
        <v>NEW_Japan_1840_none_231225</v>
      </c>
      <c r="S1001" s="67" t="str">
        <f>IFERROR(__xludf.DUMMYFUNCTION("""COMPUTED_VALUE"""),"saletructiep_Japan.M562.1840.giaotiep_PTATT_LD164")</f>
        <v>saletructiep_Japan.M562.1840.giaotiep_PTATT_LD164</v>
      </c>
      <c r="T1001" s="107" t="str">
        <f>IFERROR(__xludf.DUMMYFUNCTION("""COMPUTED_VALUE"""),"https://patadovietnam.edu.vn/gtjapan_nhn3/?utm_source=Facebook&amp;utm_medium=CVS&amp;utm_term=NEW_Japan_1840_none_231225&amp;utm_content=saletructiep_Japan.M562.1840.giaotiep_PTATT_LD164&amp;utm_campaign=Japan.giaotiep.M562xM578_16917_CVS_NamNH_231225")</f>
        <v>https://patadovietnam.edu.vn/gtjapan_nhn3/?utm_source=Facebook&amp;utm_medium=CVS&amp;utm_term=NEW_Japan_1840_none_231225&amp;utm_content=saletructiep_Japan.M562.1840.giaotiep_PTATT_LD164&amp;utm_campaign=Japan.giaotiep.M562xM578_16917_CVS_NamNH_231225</v>
      </c>
      <c r="U1001" s="110" t="s">
        <v>7787</v>
      </c>
    </row>
    <row r="1002">
      <c r="A1002" s="72">
        <v>46014.0</v>
      </c>
      <c r="B1002" s="60" t="s">
        <v>1134</v>
      </c>
      <c r="C1002" s="67" t="str">
        <f>IFERROR(__xludf.DUMMYFUNCTION("""COMPUTED_VALUE"""),"LD153")</f>
        <v>LD153</v>
      </c>
      <c r="D1002" s="55" t="s">
        <v>42</v>
      </c>
      <c r="E1002" s="55" t="s">
        <v>69</v>
      </c>
      <c r="F1002" s="55" t="s">
        <v>674</v>
      </c>
      <c r="G1002" s="55">
        <v>1840.0</v>
      </c>
      <c r="H1002" s="55" t="s">
        <v>1137</v>
      </c>
      <c r="I1002" s="115" t="s">
        <v>7788</v>
      </c>
      <c r="J1002" s="55" t="s">
        <v>7789</v>
      </c>
      <c r="K1002" s="55" t="s">
        <v>61</v>
      </c>
      <c r="L1002" s="55">
        <v>16917.0</v>
      </c>
      <c r="M1002" s="55" t="s">
        <v>78</v>
      </c>
      <c r="N1002" s="55" t="s">
        <v>69</v>
      </c>
      <c r="O1002" s="55" t="s">
        <v>224</v>
      </c>
      <c r="P1002" s="55" t="s">
        <v>110</v>
      </c>
      <c r="Q1002" s="67" t="str">
        <f>IFERROR(__xludf.DUMMYFUNCTION("""COMPUTED_VALUE"""),"Europe.giaotiep.M562xM578_16917_CVS_NamNH_231225")</f>
        <v>Europe.giaotiep.M562xM578_16917_CVS_NamNH_231225</v>
      </c>
      <c r="R1002" s="67" t="str">
        <f>IFERROR(__xludf.DUMMYFUNCTION("""COMPUTED_VALUE"""),"NEW_Europe_1840_none_231225")</f>
        <v>NEW_Europe_1840_none_231225</v>
      </c>
      <c r="S1002" s="67" t="str">
        <f>IFERROR(__xludf.DUMMYFUNCTION("""COMPUTED_VALUE"""),"saletructiep_Europe.M562.1840.giaotiep_PTATT_LD153")</f>
        <v>saletructiep_Europe.M562.1840.giaotiep_PTATT_LD153</v>
      </c>
      <c r="T1002" s="107" t="str">
        <f>IFERROR(__xludf.DUMMYFUNCTION("""COMPUTED_VALUE"""),"https://patadovietnam.edu.vn/tienganhgiaotiep_hn/?utm_source=Facebook&amp;utm_medium=CVS&amp;utm_term=NEW_Europe_1840_none_231225&amp;utm_content=saletructiep_Europe.M562.1840.giaotiep_PTATT_LD153&amp;utm_campaign=Europe.giaotiep.M562xM578_16917_CVS_NamNH_231225")</f>
        <v>https://patadovietnam.edu.vn/tienganhgiaotiep_hn/?utm_source=Facebook&amp;utm_medium=CVS&amp;utm_term=NEW_Europe_1840_none_231225&amp;utm_content=saletructiep_Europe.M562.1840.giaotiep_PTATT_LD153&amp;utm_campaign=Europe.giaotiep.M562xM578_16917_CVS_NamNH_231225</v>
      </c>
      <c r="U1002" s="146" t="s">
        <v>7790</v>
      </c>
    </row>
    <row r="1003">
      <c r="A1003" s="72">
        <v>46015.0</v>
      </c>
      <c r="B1003" s="60" t="s">
        <v>1134</v>
      </c>
      <c r="C1003" s="67" t="str">
        <f>IFERROR(__xludf.DUMMYFUNCTION("""COMPUTED_VALUE"""),"LD153")</f>
        <v>LD153</v>
      </c>
      <c r="D1003" s="55" t="s">
        <v>42</v>
      </c>
      <c r="E1003" s="55" t="s">
        <v>79</v>
      </c>
      <c r="F1003" s="55" t="s">
        <v>539</v>
      </c>
      <c r="G1003" s="55">
        <v>1840.0</v>
      </c>
      <c r="H1003" s="55" t="s">
        <v>1137</v>
      </c>
      <c r="I1003" s="115" t="s">
        <v>7791</v>
      </c>
      <c r="J1003" s="55" t="s">
        <v>7792</v>
      </c>
      <c r="K1003" s="55" t="s">
        <v>61</v>
      </c>
      <c r="L1003" s="55">
        <v>16917.0</v>
      </c>
      <c r="M1003" s="55" t="s">
        <v>78</v>
      </c>
      <c r="N1003" s="55" t="s">
        <v>79</v>
      </c>
      <c r="O1003" s="55" t="s">
        <v>224</v>
      </c>
      <c r="P1003" s="55" t="s">
        <v>110</v>
      </c>
      <c r="Q1003" s="67" t="str">
        <f>IFERROR(__xludf.DUMMYFUNCTION("""COMPUTED_VALUE"""),"ALL.giaotiep.M562xM578_16917_MES_NamNH_241225")</f>
        <v>ALL.giaotiep.M562xM578_16917_MES_NamNH_241225</v>
      </c>
      <c r="R1003" s="67" t="str">
        <f>IFERROR(__xludf.DUMMYFUNCTION("""COMPUTED_VALUE"""),"NEW_ALL_1840_none_241225")</f>
        <v>NEW_ALL_1840_none_241225</v>
      </c>
      <c r="S1003" s="67" t="str">
        <f>IFERROR(__xludf.DUMMYFUNCTION("""COMPUTED_VALUE"""),"saletructiep_ALL.M562.1840.giaotiep_PTATT_LD153")</f>
        <v>saletructiep_ALL.M562.1840.giaotiep_PTATT_LD153</v>
      </c>
      <c r="T1003" s="107" t="str">
        <f>IFERROR(__xludf.DUMMYFUNCTION("""COMPUTED_VALUE"""),"https://patadovietnam.edu.vn/tienganhgiaotiep_hn/?utm_source=Facebook&amp;utm_medium=MES&amp;utm_term=NEW_ALL_1840_none_241225&amp;utm_content=saletructiep_ALL.M562.1840.giaotiep_PTATT_LD153&amp;utm_campaign=ALL.giaotiep.M562xM578_16917_MES_NamNH_241225")</f>
        <v>https://patadovietnam.edu.vn/tienganhgiaotiep_hn/?utm_source=Facebook&amp;utm_medium=MES&amp;utm_term=NEW_ALL_1840_none_241225&amp;utm_content=saletructiep_ALL.M562.1840.giaotiep_PTATT_LD153&amp;utm_campaign=ALL.giaotiep.M562xM578_16917_MES_NamNH_241225</v>
      </c>
      <c r="U1003" s="110" t="s">
        <v>7793</v>
      </c>
    </row>
    <row r="1004">
      <c r="A1004" s="72">
        <v>46016.0</v>
      </c>
      <c r="B1004" s="60" t="s">
        <v>1134</v>
      </c>
      <c r="C1004" s="67" t="str">
        <f>IFERROR(__xludf.DUMMYFUNCTION("""COMPUTED_VALUE"""),"LD153")</f>
        <v>LD153</v>
      </c>
      <c r="D1004" s="55" t="s">
        <v>42</v>
      </c>
      <c r="E1004" s="55" t="s">
        <v>79</v>
      </c>
      <c r="F1004" s="55" t="s">
        <v>539</v>
      </c>
      <c r="G1004" s="55">
        <v>1840.0</v>
      </c>
      <c r="H1004" s="55" t="s">
        <v>1137</v>
      </c>
      <c r="I1004" s="115" t="s">
        <v>7794</v>
      </c>
      <c r="J1004" s="55" t="s">
        <v>7795</v>
      </c>
      <c r="K1004" s="55" t="s">
        <v>61</v>
      </c>
      <c r="L1004" s="55">
        <v>16917.0</v>
      </c>
      <c r="M1004" s="55" t="s">
        <v>78</v>
      </c>
      <c r="N1004" s="55" t="s">
        <v>79</v>
      </c>
      <c r="O1004" s="55" t="s">
        <v>224</v>
      </c>
      <c r="P1004" s="55" t="s">
        <v>110</v>
      </c>
      <c r="Q1004" s="67" t="str">
        <f>IFERROR(__xludf.DUMMYFUNCTION("""COMPUTED_VALUE"""),"ALL.giaotiep.M607_16917_MES_NamNH_251225")</f>
        <v>ALL.giaotiep.M607_16917_MES_NamNH_251225</v>
      </c>
      <c r="R1004" s="67" t="str">
        <f>IFERROR(__xludf.DUMMYFUNCTION("""COMPUTED_VALUE"""),"NEW_ALL_1840_none_251225")</f>
        <v>NEW_ALL_1840_none_251225</v>
      </c>
      <c r="S1004" s="67" t="str">
        <f>IFERROR(__xludf.DUMMYFUNCTION("""COMPUTED_VALUE"""),"saletructiep_ALL.M607.1840.giaotiep_PTATT_LD153")</f>
        <v>saletructiep_ALL.M607.1840.giaotiep_PTATT_LD153</v>
      </c>
      <c r="T1004" s="107" t="str">
        <f>IFERROR(__xludf.DUMMYFUNCTION("""COMPUTED_VALUE"""),"https://patadovietnam.edu.vn/tienganhgiaotiep_hn/?utm_source=Facebook&amp;utm_medium=MES&amp;utm_term=NEW_ALL_1840_none_251225&amp;utm_content=saletructiep_ALL.M607.1840.giaotiep_PTATT_LD153&amp;utm_campaign=ALL.giaotiep.M607_16917_MES_NamNH_251225")</f>
        <v>https://patadovietnam.edu.vn/tienganhgiaotiep_hn/?utm_source=Facebook&amp;utm_medium=MES&amp;utm_term=NEW_ALL_1840_none_251225&amp;utm_content=saletructiep_ALL.M607.1840.giaotiep_PTATT_LD153&amp;utm_campaign=ALL.giaotiep.M607_16917_MES_NamNH_251225</v>
      </c>
      <c r="U1004" s="116"/>
    </row>
    <row r="1005">
      <c r="A1005" s="72">
        <v>46016.0</v>
      </c>
      <c r="B1005" s="60" t="s">
        <v>1134</v>
      </c>
      <c r="C1005" s="67" t="str">
        <f>IFERROR(__xludf.DUMMYFUNCTION("""COMPUTED_VALUE"""),"LD153")</f>
        <v>LD153</v>
      </c>
      <c r="D1005" s="55" t="s">
        <v>42</v>
      </c>
      <c r="E1005" s="55" t="s">
        <v>79</v>
      </c>
      <c r="F1005" s="55" t="s">
        <v>539</v>
      </c>
      <c r="G1005" s="55">
        <v>1840.0</v>
      </c>
      <c r="H1005" s="55" t="s">
        <v>1137</v>
      </c>
      <c r="I1005" s="115" t="s">
        <v>7796</v>
      </c>
      <c r="J1005" s="55" t="s">
        <v>7797</v>
      </c>
      <c r="K1005" s="55" t="s">
        <v>61</v>
      </c>
      <c r="L1005" s="55">
        <v>16917.0</v>
      </c>
      <c r="M1005" s="55" t="s">
        <v>78</v>
      </c>
      <c r="N1005" s="55" t="s">
        <v>79</v>
      </c>
      <c r="O1005" s="55" t="s">
        <v>224</v>
      </c>
      <c r="P1005" s="55" t="s">
        <v>110</v>
      </c>
      <c r="Q1005" s="67" t="str">
        <f>IFERROR(__xludf.DUMMYFUNCTION("""COMPUTED_VALUE"""),"ALL.giaotiep.P341_16917_MES_NamNH_251225")</f>
        <v>ALL.giaotiep.P341_16917_MES_NamNH_251225</v>
      </c>
      <c r="R1005" s="67" t="str">
        <f>IFERROR(__xludf.DUMMYFUNCTION("""COMPUTED_VALUE"""),"NEW_ALL_1840_none_251225")</f>
        <v>NEW_ALL_1840_none_251225</v>
      </c>
      <c r="S1005" s="67" t="str">
        <f>IFERROR(__xludf.DUMMYFUNCTION("""COMPUTED_VALUE"""),"saletructiep_ALL.P341.1840.giaotiep_PTATT_LD153")</f>
        <v>saletructiep_ALL.P341.1840.giaotiep_PTATT_LD153</v>
      </c>
      <c r="T1005" s="107" t="str">
        <f>IFERROR(__xludf.DUMMYFUNCTION("""COMPUTED_VALUE"""),"https://patadovietnam.edu.vn/tienganhgiaotiep_hn/?utm_source=Facebook&amp;utm_medium=MES&amp;utm_term=NEW_ALL_1840_none_251225&amp;utm_content=saletructiep_ALL.P341.1840.giaotiep_PTATT_LD153&amp;utm_campaign=ALL.giaotiep.P341_16917_MES_NamNH_251225")</f>
        <v>https://patadovietnam.edu.vn/tienganhgiaotiep_hn/?utm_source=Facebook&amp;utm_medium=MES&amp;utm_term=NEW_ALL_1840_none_251225&amp;utm_content=saletructiep_ALL.P341.1840.giaotiep_PTATT_LD153&amp;utm_campaign=ALL.giaotiep.P341_16917_MES_NamNH_251225</v>
      </c>
      <c r="U1005" s="116"/>
    </row>
    <row r="1006">
      <c r="A1006" s="72">
        <v>46027.0</v>
      </c>
      <c r="B1006" s="60" t="s">
        <v>1134</v>
      </c>
      <c r="C1006" s="67" t="str">
        <f>IFERROR(__xludf.DUMMYFUNCTION("""COMPUTED_VALUE"""),"LD153")</f>
        <v>LD153</v>
      </c>
      <c r="D1006" s="55" t="s">
        <v>42</v>
      </c>
      <c r="E1006" s="55" t="s">
        <v>69</v>
      </c>
      <c r="F1006" s="55" t="s">
        <v>133</v>
      </c>
      <c r="G1006" s="55">
        <v>1840.0</v>
      </c>
      <c r="H1006" s="55" t="s">
        <v>1137</v>
      </c>
      <c r="I1006" s="115" t="s">
        <v>7798</v>
      </c>
      <c r="J1006" s="55" t="s">
        <v>7799</v>
      </c>
      <c r="K1006" s="55" t="s">
        <v>61</v>
      </c>
      <c r="L1006" s="55">
        <v>16917.0</v>
      </c>
      <c r="M1006" s="55" t="s">
        <v>78</v>
      </c>
      <c r="N1006" s="55" t="s">
        <v>69</v>
      </c>
      <c r="O1006" s="55" t="s">
        <v>224</v>
      </c>
      <c r="P1006" s="55" t="s">
        <v>110</v>
      </c>
      <c r="Q1006" s="67" t="str">
        <f>IFERROR(__xludf.DUMMYFUNCTION("""COMPUTED_VALUE"""),"Japan.giaotiep.M602xM608_16917_CVS_NamNH_050126")</f>
        <v>Japan.giaotiep.M602xM608_16917_CVS_NamNH_050126</v>
      </c>
      <c r="R1006" s="67" t="str">
        <f>IFERROR(__xludf.DUMMYFUNCTION("""COMPUTED_VALUE"""),"NEW_Japan_1840_none_050126")</f>
        <v>NEW_Japan_1840_none_050126</v>
      </c>
      <c r="S1006" s="67" t="str">
        <f>IFERROR(__xludf.DUMMYFUNCTION("""COMPUTED_VALUE"""),"saletructiep_Japan.M608.1840.giaotiep_PTATT_LD153")</f>
        <v>saletructiep_Japan.M608.1840.giaotiep_PTATT_LD153</v>
      </c>
      <c r="T1006" s="107" t="str">
        <f>IFERROR(__xludf.DUMMYFUNCTION("""COMPUTED_VALUE"""),"https://patadovietnam.edu.vn/tienganhgiaotiep_hn/?utm_source=Facebook&amp;utm_medium=CVS&amp;utm_term=NEW_Japan_1840_none_050126&amp;utm_content=saletructiep_Japan.M608.1840.giaotiep_PTATT_LD153&amp;utm_campaign=Japan.giaotiep.M602xM608_16917_CVS_NamNH_050126")</f>
        <v>https://patadovietnam.edu.vn/tienganhgiaotiep_hn/?utm_source=Facebook&amp;utm_medium=CVS&amp;utm_term=NEW_Japan_1840_none_050126&amp;utm_content=saletructiep_Japan.M608.1840.giaotiep_PTATT_LD153&amp;utm_campaign=Japan.giaotiep.M602xM608_16917_CVS_NamNH_050126</v>
      </c>
      <c r="U1006" s="110" t="s">
        <v>7800</v>
      </c>
    </row>
    <row r="1007">
      <c r="A1007" s="72">
        <v>46027.0</v>
      </c>
      <c r="B1007" s="60" t="s">
        <v>1134</v>
      </c>
      <c r="C1007" s="67" t="str">
        <f>IFERROR(__xludf.DUMMYFUNCTION("""COMPUTED_VALUE"""),"LD153")</f>
        <v>LD153</v>
      </c>
      <c r="D1007" s="55" t="s">
        <v>42</v>
      </c>
      <c r="E1007" s="55" t="s">
        <v>69</v>
      </c>
      <c r="F1007" s="55" t="s">
        <v>674</v>
      </c>
      <c r="G1007" s="55">
        <v>1840.0</v>
      </c>
      <c r="H1007" s="55" t="s">
        <v>1137</v>
      </c>
      <c r="I1007" s="115" t="s">
        <v>7801</v>
      </c>
      <c r="J1007" s="55" t="s">
        <v>7802</v>
      </c>
      <c r="K1007" s="55" t="s">
        <v>61</v>
      </c>
      <c r="L1007" s="55">
        <v>16917.0</v>
      </c>
      <c r="M1007" s="55" t="s">
        <v>78</v>
      </c>
      <c r="N1007" s="55" t="s">
        <v>69</v>
      </c>
      <c r="O1007" s="55" t="s">
        <v>224</v>
      </c>
      <c r="P1007" s="55" t="s">
        <v>110</v>
      </c>
      <c r="Q1007" s="67" t="str">
        <f>IFERROR(__xludf.DUMMYFUNCTION("""COMPUTED_VALUE"""),"Europe.giaotiep.M602xM608_16917_CVS_NamNH_050126")</f>
        <v>Europe.giaotiep.M602xM608_16917_CVS_NamNH_050126</v>
      </c>
      <c r="R1007" s="67" t="str">
        <f>IFERROR(__xludf.DUMMYFUNCTION("""COMPUTED_VALUE"""),"NEW_Europe_1840_none_050126")</f>
        <v>NEW_Europe_1840_none_050126</v>
      </c>
      <c r="S1007" s="67" t="str">
        <f>IFERROR(__xludf.DUMMYFUNCTION("""COMPUTED_VALUE"""),"saletructiep_Europe.M608.1840.giaotiep_PTATT_LD153")</f>
        <v>saletructiep_Europe.M608.1840.giaotiep_PTATT_LD153</v>
      </c>
      <c r="T1007" s="107" t="str">
        <f>IFERROR(__xludf.DUMMYFUNCTION("""COMPUTED_VALUE"""),"https://patadovietnam.edu.vn/tienganhgiaotiep_hn/?utm_source=Facebook&amp;utm_medium=CVS&amp;utm_term=NEW_Europe_1840_none_050126&amp;utm_content=saletructiep_Europe.M608.1840.giaotiep_PTATT_LD153&amp;utm_campaign=Europe.giaotiep.M602xM608_16917_CVS_NamNH_050126")</f>
        <v>https://patadovietnam.edu.vn/tienganhgiaotiep_hn/?utm_source=Facebook&amp;utm_medium=CVS&amp;utm_term=NEW_Europe_1840_none_050126&amp;utm_content=saletructiep_Europe.M608.1840.giaotiep_PTATT_LD153&amp;utm_campaign=Europe.giaotiep.M602xM608_16917_CVS_NamNH_050126</v>
      </c>
      <c r="U1007" s="110" t="s">
        <v>7803</v>
      </c>
    </row>
    <row r="1008">
      <c r="A1008" s="72">
        <v>46027.0</v>
      </c>
      <c r="B1008" s="60" t="s">
        <v>1134</v>
      </c>
      <c r="C1008" s="67" t="str">
        <f>IFERROR(__xludf.DUMMYFUNCTION("""COMPUTED_VALUE"""),"LD153")</f>
        <v>LD153</v>
      </c>
      <c r="D1008" s="55" t="s">
        <v>42</v>
      </c>
      <c r="E1008" s="55" t="s">
        <v>79</v>
      </c>
      <c r="F1008" s="55" t="s">
        <v>539</v>
      </c>
      <c r="G1008" s="55">
        <v>1840.0</v>
      </c>
      <c r="H1008" s="55" t="s">
        <v>1137</v>
      </c>
      <c r="I1008" s="115" t="s">
        <v>7804</v>
      </c>
      <c r="J1008" s="55" t="s">
        <v>7805</v>
      </c>
      <c r="K1008" s="55" t="s">
        <v>61</v>
      </c>
      <c r="L1008" s="55">
        <v>16917.0</v>
      </c>
      <c r="M1008" s="55" t="s">
        <v>78</v>
      </c>
      <c r="N1008" s="55" t="s">
        <v>79</v>
      </c>
      <c r="O1008" s="55" t="s">
        <v>224</v>
      </c>
      <c r="P1008" s="55" t="s">
        <v>110</v>
      </c>
      <c r="Q1008" s="67" t="str">
        <f>IFERROR(__xludf.DUMMYFUNCTION("""COMPUTED_VALUE"""),"ALL.giaotiep.M602xM608_16917_MES_NamNH_050126")</f>
        <v>ALL.giaotiep.M602xM608_16917_MES_NamNH_050126</v>
      </c>
      <c r="R1008" s="67" t="str">
        <f>IFERROR(__xludf.DUMMYFUNCTION("""COMPUTED_VALUE"""),"NEW_ALL_1840_none_050126")</f>
        <v>NEW_ALL_1840_none_050126</v>
      </c>
      <c r="S1008" s="67" t="str">
        <f>IFERROR(__xludf.DUMMYFUNCTION("""COMPUTED_VALUE"""),"saletructiep_ALL.M608.1840.giaotiep_PTATT_LD153")</f>
        <v>saletructiep_ALL.M608.1840.giaotiep_PTATT_LD153</v>
      </c>
      <c r="T1008" s="107" t="str">
        <f>IFERROR(__xludf.DUMMYFUNCTION("""COMPUTED_VALUE"""),"https://patadovietnam.edu.vn/tienganhgiaotiep_hn/?utm_source=Facebook&amp;utm_medium=MES&amp;utm_term=NEW_ALL_1840_none_050126&amp;utm_content=saletructiep_ALL.M608.1840.giaotiep_PTATT_LD153&amp;utm_campaign=ALL.giaotiep.M602xM608_16917_MES_NamNH_050126")</f>
        <v>https://patadovietnam.edu.vn/tienganhgiaotiep_hn/?utm_source=Facebook&amp;utm_medium=MES&amp;utm_term=NEW_ALL_1840_none_050126&amp;utm_content=saletructiep_ALL.M608.1840.giaotiep_PTATT_LD153&amp;utm_campaign=ALL.giaotiep.M602xM608_16917_MES_NamNH_050126</v>
      </c>
      <c r="U1008" s="110" t="s">
        <v>7806</v>
      </c>
    </row>
    <row r="1009">
      <c r="A1009" s="72">
        <v>46028.0</v>
      </c>
      <c r="B1009" s="60" t="s">
        <v>1134</v>
      </c>
      <c r="C1009" s="67" t="str">
        <f>IFERROR(__xludf.DUMMYFUNCTION("""COMPUTED_VALUE"""),"LD153")</f>
        <v>LD153</v>
      </c>
      <c r="D1009" s="55" t="s">
        <v>42</v>
      </c>
      <c r="E1009" s="55" t="s">
        <v>69</v>
      </c>
      <c r="F1009" s="55" t="s">
        <v>674</v>
      </c>
      <c r="G1009" s="55">
        <v>1840.0</v>
      </c>
      <c r="H1009" s="55" t="s">
        <v>1137</v>
      </c>
      <c r="I1009" s="115" t="s">
        <v>7807</v>
      </c>
      <c r="J1009" s="55" t="s">
        <v>7808</v>
      </c>
      <c r="K1009" s="55" t="s">
        <v>61</v>
      </c>
      <c r="L1009" s="55">
        <v>16917.0</v>
      </c>
      <c r="M1009" s="55" t="s">
        <v>78</v>
      </c>
      <c r="N1009" s="55" t="s">
        <v>69</v>
      </c>
      <c r="O1009" s="55" t="s">
        <v>224</v>
      </c>
      <c r="P1009" s="55" t="s">
        <v>110</v>
      </c>
      <c r="Q1009" s="67" t="str">
        <f>IFERROR(__xludf.DUMMYFUNCTION("""COMPUTED_VALUE"""),"Europe.giaotiep.M105xM264_16917_CVS_NamNH_060126")</f>
        <v>Europe.giaotiep.M105xM264_16917_CVS_NamNH_060126</v>
      </c>
      <c r="R1009" s="67" t="str">
        <f>IFERROR(__xludf.DUMMYFUNCTION("""COMPUTED_VALUE"""),"NEW_Europe_1840_none_060126")</f>
        <v>NEW_Europe_1840_none_060126</v>
      </c>
      <c r="S1009" s="67" t="str">
        <f>IFERROR(__xludf.DUMMYFUNCTION("""COMPUTED_VALUE"""),"saletructiep_Europe.M105.1840.giaotiep_PTATT_LD153")</f>
        <v>saletructiep_Europe.M105.1840.giaotiep_PTATT_LD153</v>
      </c>
      <c r="T1009" s="107" t="str">
        <f>IFERROR(__xludf.DUMMYFUNCTION("""COMPUTED_VALUE"""),"https://patadovietnam.edu.vn/tienganhgiaotiep_hn/?utm_source=Facebook&amp;utm_medium=CVS&amp;utm_term=NEW_Europe_1840_none_060126&amp;utm_content=saletructiep_Europe.M105.1840.giaotiep_PTATT_LD153&amp;utm_campaign=Europe.giaotiep.M105xM264_16917_CVS_NamNH_060126")</f>
        <v>https://patadovietnam.edu.vn/tienganhgiaotiep_hn/?utm_source=Facebook&amp;utm_medium=CVS&amp;utm_term=NEW_Europe_1840_none_060126&amp;utm_content=saletructiep_Europe.M105.1840.giaotiep_PTATT_LD153&amp;utm_campaign=Europe.giaotiep.M105xM264_16917_CVS_NamNH_060126</v>
      </c>
      <c r="U1009" s="110" t="s">
        <v>7809</v>
      </c>
    </row>
    <row r="1010">
      <c r="A1010" s="72">
        <v>46028.0</v>
      </c>
      <c r="B1010" s="60" t="s">
        <v>1229</v>
      </c>
      <c r="C1010" s="67" t="str">
        <f>IFERROR(__xludf.DUMMYFUNCTION("""COMPUTED_VALUE"""),"LD164")</f>
        <v>LD164</v>
      </c>
      <c r="D1010" s="55" t="s">
        <v>42</v>
      </c>
      <c r="E1010" s="55" t="s">
        <v>69</v>
      </c>
      <c r="F1010" s="55" t="s">
        <v>133</v>
      </c>
      <c r="G1010" s="55">
        <v>1840.0</v>
      </c>
      <c r="H1010" s="55" t="s">
        <v>1137</v>
      </c>
      <c r="I1010" s="115" t="s">
        <v>7810</v>
      </c>
      <c r="J1010" s="55" t="s">
        <v>5835</v>
      </c>
      <c r="K1010" s="55" t="s">
        <v>61</v>
      </c>
      <c r="L1010" s="55">
        <v>16917.0</v>
      </c>
      <c r="M1010" s="55" t="s">
        <v>78</v>
      </c>
      <c r="N1010" s="55" t="s">
        <v>69</v>
      </c>
      <c r="O1010" s="55" t="s">
        <v>224</v>
      </c>
      <c r="P1010" s="55" t="s">
        <v>110</v>
      </c>
      <c r="Q1010" s="67" t="str">
        <f>IFERROR(__xludf.DUMMYFUNCTION("""COMPUTED_VALUE"""),"Japan.giaotiep.M264xJH_16917_CVS_NamNH_060126")</f>
        <v>Japan.giaotiep.M264xJH_16917_CVS_NamNH_060126</v>
      </c>
      <c r="R1010" s="67" t="str">
        <f>IFERROR(__xludf.DUMMYFUNCTION("""COMPUTED_VALUE"""),"NEW_Japan_1840_none_060126")</f>
        <v>NEW_Japan_1840_none_060126</v>
      </c>
      <c r="S1010" s="67" t="str">
        <f>IFERROR(__xludf.DUMMYFUNCTION("""COMPUTED_VALUE"""),"saletructiep_Japan.M264.1840.giaotiep_PTATT_LD164")</f>
        <v>saletructiep_Japan.M264.1840.giaotiep_PTATT_LD164</v>
      </c>
      <c r="T1010" s="107" t="str">
        <f>IFERROR(__xludf.DUMMYFUNCTION("""COMPUTED_VALUE"""),"https://patadovietnam.edu.vn/gtjapan_nhn3/?utm_source=Facebook&amp;utm_medium=CVS&amp;utm_term=NEW_Japan_1840_none_060126&amp;utm_content=saletructiep_Japan.M264.1840.giaotiep_PTATT_LD164&amp;utm_campaign=Japan.giaotiep.M264xJH_16917_CVS_NamNH_060126")</f>
        <v>https://patadovietnam.edu.vn/gtjapan_nhn3/?utm_source=Facebook&amp;utm_medium=CVS&amp;utm_term=NEW_Japan_1840_none_060126&amp;utm_content=saletructiep_Japan.M264.1840.giaotiep_PTATT_LD164&amp;utm_campaign=Japan.giaotiep.M264xJH_16917_CVS_NamNH_060126</v>
      </c>
      <c r="U1010" s="110" t="s">
        <v>7811</v>
      </c>
    </row>
    <row r="1011">
      <c r="A1011" s="72">
        <v>46028.0</v>
      </c>
      <c r="B1011" s="60" t="s">
        <v>1134</v>
      </c>
      <c r="C1011" s="67" t="str">
        <f>IFERROR(__xludf.DUMMYFUNCTION("""COMPUTED_VALUE"""),"LD153")</f>
        <v>LD153</v>
      </c>
      <c r="D1011" s="55" t="s">
        <v>42</v>
      </c>
      <c r="E1011" s="55" t="s">
        <v>79</v>
      </c>
      <c r="F1011" s="55" t="s">
        <v>539</v>
      </c>
      <c r="G1011" s="55">
        <v>1840.0</v>
      </c>
      <c r="H1011" s="55" t="s">
        <v>1137</v>
      </c>
      <c r="I1011" s="115" t="s">
        <v>7812</v>
      </c>
      <c r="J1011" s="55" t="s">
        <v>7813</v>
      </c>
      <c r="K1011" s="55" t="s">
        <v>61</v>
      </c>
      <c r="L1011" s="55">
        <v>16917.0</v>
      </c>
      <c r="M1011" s="55" t="s">
        <v>78</v>
      </c>
      <c r="N1011" s="55" t="s">
        <v>79</v>
      </c>
      <c r="O1011" s="55" t="s">
        <v>224</v>
      </c>
      <c r="P1011" s="55" t="s">
        <v>110</v>
      </c>
      <c r="Q1011" s="67" t="str">
        <f>IFERROR(__xludf.DUMMYFUNCTION("""COMPUTED_VALUE"""),"ALL.giaotiep.M264xJH_16917_MES_NamNH_060126")</f>
        <v>ALL.giaotiep.M264xJH_16917_MES_NamNH_060126</v>
      </c>
      <c r="R1011" s="67" t="str">
        <f>IFERROR(__xludf.DUMMYFUNCTION("""COMPUTED_VALUE"""),"NEW_ALL_1840_none_060126")</f>
        <v>NEW_ALL_1840_none_060126</v>
      </c>
      <c r="S1011" s="67" t="str">
        <f>IFERROR(__xludf.DUMMYFUNCTION("""COMPUTED_VALUE"""),"saletructiep_ALL.M264.1840.giaotiep_PTATT_LD153")</f>
        <v>saletructiep_ALL.M264.1840.giaotiep_PTATT_LD153</v>
      </c>
      <c r="T1011" s="107" t="str">
        <f>IFERROR(__xludf.DUMMYFUNCTION("""COMPUTED_VALUE"""),"https://patadovietnam.edu.vn/tienganhgiaotiep_hn/?utm_source=Facebook&amp;utm_medium=MES&amp;utm_term=NEW_ALL_1840_none_060126&amp;utm_content=saletructiep_ALL.M264.1840.giaotiep_PTATT_LD153&amp;utm_campaign=ALL.giaotiep.M264xJH_16917_MES_NamNH_060126")</f>
        <v>https://patadovietnam.edu.vn/tienganhgiaotiep_hn/?utm_source=Facebook&amp;utm_medium=MES&amp;utm_term=NEW_ALL_1840_none_060126&amp;utm_content=saletructiep_ALL.M264.1840.giaotiep_PTATT_LD153&amp;utm_campaign=ALL.giaotiep.M264xJH_16917_MES_NamNH_060126</v>
      </c>
      <c r="U1011" s="110" t="s">
        <v>7814</v>
      </c>
    </row>
    <row r="1012">
      <c r="A1012" s="72">
        <v>46031.0</v>
      </c>
      <c r="B1012" s="60" t="s">
        <v>1134</v>
      </c>
      <c r="C1012" s="67" t="str">
        <f>IFERROR(__xludf.DUMMYFUNCTION("""COMPUTED_VALUE"""),"LD153")</f>
        <v>LD153</v>
      </c>
      <c r="D1012" s="55" t="s">
        <v>42</v>
      </c>
      <c r="E1012" s="55" t="s">
        <v>69</v>
      </c>
      <c r="F1012" s="55" t="s">
        <v>674</v>
      </c>
      <c r="G1012" s="55">
        <v>1840.0</v>
      </c>
      <c r="H1012" s="55" t="s">
        <v>1137</v>
      </c>
      <c r="I1012" s="115" t="s">
        <v>7815</v>
      </c>
      <c r="J1012" s="55" t="s">
        <v>7816</v>
      </c>
      <c r="K1012" s="55" t="s">
        <v>61</v>
      </c>
      <c r="L1012" s="55">
        <v>16917.0</v>
      </c>
      <c r="M1012" s="55" t="s">
        <v>78</v>
      </c>
      <c r="N1012" s="55" t="s">
        <v>69</v>
      </c>
      <c r="O1012" s="55" t="s">
        <v>224</v>
      </c>
      <c r="P1012" s="55" t="s">
        <v>110</v>
      </c>
      <c r="Q1012" s="67" t="str">
        <f>IFERROR(__xludf.DUMMYFUNCTION("""COMPUTED_VALUE"""),"Europe.giaotiep.M611xM612_16917_CVS_NamNH_090126")</f>
        <v>Europe.giaotiep.M611xM612_16917_CVS_NamNH_090126</v>
      </c>
      <c r="R1012" s="67" t="str">
        <f>IFERROR(__xludf.DUMMYFUNCTION("""COMPUTED_VALUE"""),"NEW_Europe_1840_none_090126")</f>
        <v>NEW_Europe_1840_none_090126</v>
      </c>
      <c r="S1012" s="67" t="str">
        <f>IFERROR(__xludf.DUMMYFUNCTION("""COMPUTED_VALUE"""),"saletructiep_Europe.M612.1840.giaotiep_PTATT_LD153")</f>
        <v>saletructiep_Europe.M612.1840.giaotiep_PTATT_LD153</v>
      </c>
      <c r="T1012" s="107" t="str">
        <f>IFERROR(__xludf.DUMMYFUNCTION("""COMPUTED_VALUE"""),"https://patadovietnam.edu.vn/tienganhgiaotiep_hn/?utm_source=Facebook&amp;utm_medium=CVS&amp;utm_term=NEW_Europe_1840_none_090126&amp;utm_content=saletructiep_Europe.M612.1840.giaotiep_PTATT_LD153&amp;utm_campaign=Europe.giaotiep.M611xM612_16917_CVS_NamNH_090126")</f>
        <v>https://patadovietnam.edu.vn/tienganhgiaotiep_hn/?utm_source=Facebook&amp;utm_medium=CVS&amp;utm_term=NEW_Europe_1840_none_090126&amp;utm_content=saletructiep_Europe.M612.1840.giaotiep_PTATT_LD153&amp;utm_campaign=Europe.giaotiep.M611xM612_16917_CVS_NamNH_090126</v>
      </c>
      <c r="U1012" s="110" t="s">
        <v>7817</v>
      </c>
    </row>
    <row r="1013">
      <c r="A1013" s="72">
        <v>46031.0</v>
      </c>
      <c r="B1013" s="60" t="s">
        <v>1229</v>
      </c>
      <c r="C1013" s="67" t="str">
        <f>IFERROR(__xludf.DUMMYFUNCTION("""COMPUTED_VALUE"""),"LD164")</f>
        <v>LD164</v>
      </c>
      <c r="D1013" s="55" t="s">
        <v>42</v>
      </c>
      <c r="E1013" s="55" t="s">
        <v>69</v>
      </c>
      <c r="F1013" s="55" t="s">
        <v>133</v>
      </c>
      <c r="G1013" s="55">
        <v>1840.0</v>
      </c>
      <c r="H1013" s="55" t="s">
        <v>1137</v>
      </c>
      <c r="I1013" s="115" t="s">
        <v>7818</v>
      </c>
      <c r="J1013" s="55" t="s">
        <v>7819</v>
      </c>
      <c r="K1013" s="55" t="s">
        <v>61</v>
      </c>
      <c r="L1013" s="55">
        <v>16917.0</v>
      </c>
      <c r="M1013" s="55" t="s">
        <v>78</v>
      </c>
      <c r="N1013" s="55" t="s">
        <v>69</v>
      </c>
      <c r="O1013" s="55" t="s">
        <v>224</v>
      </c>
      <c r="P1013" s="55" t="s">
        <v>110</v>
      </c>
      <c r="Q1013" s="67" t="str">
        <f>IFERROR(__xludf.DUMMYFUNCTION("""COMPUTED_VALUE"""),"Japan.giaotiep.M611xM612_16917_CVS_NamNH_090126")</f>
        <v>Japan.giaotiep.M611xM612_16917_CVS_NamNH_090126</v>
      </c>
      <c r="R1013" s="67" t="str">
        <f>IFERROR(__xludf.DUMMYFUNCTION("""COMPUTED_VALUE"""),"NEW_Japan_1840_none_090126")</f>
        <v>NEW_Japan_1840_none_090126</v>
      </c>
      <c r="S1013" s="67" t="str">
        <f>IFERROR(__xludf.DUMMYFUNCTION("""COMPUTED_VALUE"""),"saletructiep_Japan.M612.1840.giaotiep_PTATT_LD164")</f>
        <v>saletructiep_Japan.M612.1840.giaotiep_PTATT_LD164</v>
      </c>
      <c r="T1013" s="107" t="str">
        <f>IFERROR(__xludf.DUMMYFUNCTION("""COMPUTED_VALUE"""),"https://patadovietnam.edu.vn/gtjapan_nhn3/?utm_source=Facebook&amp;utm_medium=CVS&amp;utm_term=NEW_Japan_1840_none_090126&amp;utm_content=saletructiep_Japan.M612.1840.giaotiep_PTATT_LD164&amp;utm_campaign=Japan.giaotiep.M611xM612_16917_CVS_NamNH_090126")</f>
        <v>https://patadovietnam.edu.vn/gtjapan_nhn3/?utm_source=Facebook&amp;utm_medium=CVS&amp;utm_term=NEW_Japan_1840_none_090126&amp;utm_content=saletructiep_Japan.M612.1840.giaotiep_PTATT_LD164&amp;utm_campaign=Japan.giaotiep.M611xM612_16917_CVS_NamNH_090126</v>
      </c>
      <c r="U1013" s="146" t="s">
        <v>7820</v>
      </c>
    </row>
    <row r="1014">
      <c r="A1014" s="72">
        <v>46031.0</v>
      </c>
      <c r="B1014" s="60" t="s">
        <v>1134</v>
      </c>
      <c r="C1014" s="67" t="str">
        <f>IFERROR(__xludf.DUMMYFUNCTION("""COMPUTED_VALUE"""),"LD153")</f>
        <v>LD153</v>
      </c>
      <c r="D1014" s="55" t="s">
        <v>42</v>
      </c>
      <c r="E1014" s="55" t="s">
        <v>69</v>
      </c>
      <c r="F1014" s="55" t="s">
        <v>539</v>
      </c>
      <c r="G1014" s="55">
        <v>1840.0</v>
      </c>
      <c r="H1014" s="55" t="s">
        <v>1137</v>
      </c>
      <c r="I1014" s="115" t="s">
        <v>7821</v>
      </c>
      <c r="J1014" s="55" t="s">
        <v>7822</v>
      </c>
      <c r="K1014" s="55" t="s">
        <v>61</v>
      </c>
      <c r="L1014" s="55">
        <v>16917.0</v>
      </c>
      <c r="M1014" s="55" t="s">
        <v>78</v>
      </c>
      <c r="N1014" s="55" t="s">
        <v>69</v>
      </c>
      <c r="O1014" s="55" t="s">
        <v>224</v>
      </c>
      <c r="P1014" s="55" t="s">
        <v>110</v>
      </c>
      <c r="Q1014" s="67" t="str">
        <f>IFERROR(__xludf.DUMMYFUNCTION("""COMPUTED_VALUE"""),"ALL.giaotiep.M611xM612_16917_CVS_NamNH_090126")</f>
        <v>ALL.giaotiep.M611xM612_16917_CVS_NamNH_090126</v>
      </c>
      <c r="R1014" s="67" t="str">
        <f>IFERROR(__xludf.DUMMYFUNCTION("""COMPUTED_VALUE"""),"NEW_ALL_1840_none_090126")</f>
        <v>NEW_ALL_1840_none_090126</v>
      </c>
      <c r="S1014" s="67" t="str">
        <f>IFERROR(__xludf.DUMMYFUNCTION("""COMPUTED_VALUE"""),"saletructiep_ALL.M612.1840.giaotiep_PTATT_LD153")</f>
        <v>saletructiep_ALL.M612.1840.giaotiep_PTATT_LD153</v>
      </c>
      <c r="T1014" s="107" t="str">
        <f>IFERROR(__xludf.DUMMYFUNCTION("""COMPUTED_VALUE"""),"https://patadovietnam.edu.vn/tienganhgiaotiep_hn/?utm_source=Facebook&amp;utm_medium=CVS&amp;utm_term=NEW_ALL_1840_none_090126&amp;utm_content=saletructiep_ALL.M612.1840.giaotiep_PTATT_LD153&amp;utm_campaign=ALL.giaotiep.M611xM612_16917_CVS_NamNH_090126")</f>
        <v>https://patadovietnam.edu.vn/tienganhgiaotiep_hn/?utm_source=Facebook&amp;utm_medium=CVS&amp;utm_term=NEW_ALL_1840_none_090126&amp;utm_content=saletructiep_ALL.M612.1840.giaotiep_PTATT_LD153&amp;utm_campaign=ALL.giaotiep.M611xM612_16917_CVS_NamNH_090126</v>
      </c>
      <c r="U1014" s="110" t="s">
        <v>7823</v>
      </c>
    </row>
    <row r="1015">
      <c r="A1015" s="72">
        <v>46037.0</v>
      </c>
      <c r="B1015" s="60" t="s">
        <v>1134</v>
      </c>
      <c r="C1015" s="67" t="str">
        <f>IFERROR(__xludf.DUMMYFUNCTION("""COMPUTED_VALUE"""),"LD153")</f>
        <v>LD153</v>
      </c>
      <c r="D1015" s="55" t="s">
        <v>42</v>
      </c>
      <c r="E1015" s="55" t="s">
        <v>69</v>
      </c>
      <c r="F1015" s="55" t="s">
        <v>674</v>
      </c>
      <c r="G1015" s="55">
        <v>1840.0</v>
      </c>
      <c r="H1015" s="55" t="s">
        <v>1137</v>
      </c>
      <c r="I1015" s="115" t="s">
        <v>7824</v>
      </c>
      <c r="J1015" s="55" t="s">
        <v>7825</v>
      </c>
      <c r="K1015" s="55" t="s">
        <v>61</v>
      </c>
      <c r="L1015" s="55">
        <v>16917.0</v>
      </c>
      <c r="M1015" s="55" t="s">
        <v>78</v>
      </c>
      <c r="N1015" s="55" t="s">
        <v>69</v>
      </c>
      <c r="O1015" s="55" t="s">
        <v>224</v>
      </c>
      <c r="P1015" s="55" t="s">
        <v>110</v>
      </c>
      <c r="Q1015" s="67" t="str">
        <f>IFERROR(__xludf.DUMMYFUNCTION("""COMPUTED_VALUE"""),"Europe.giaotiep.M613xM614_16917_CVS_NamNH_150126")</f>
        <v>Europe.giaotiep.M613xM614_16917_CVS_NamNH_150126</v>
      </c>
      <c r="R1015" s="67" t="str">
        <f>IFERROR(__xludf.DUMMYFUNCTION("""COMPUTED_VALUE"""),"NEW_Europe_1840_none_150126")</f>
        <v>NEW_Europe_1840_none_150126</v>
      </c>
      <c r="S1015" s="67" t="str">
        <f>IFERROR(__xludf.DUMMYFUNCTION("""COMPUTED_VALUE"""),"saletructiep_Europe.M613.1840.giaotiep_PTATT_LD153")</f>
        <v>saletructiep_Europe.M613.1840.giaotiep_PTATT_LD153</v>
      </c>
      <c r="T1015" s="107" t="str">
        <f>IFERROR(__xludf.DUMMYFUNCTION("""COMPUTED_VALUE"""),"https://patadovietnam.edu.vn/tienganhgiaotiep_hn/?utm_source=Facebook&amp;utm_medium=CVS&amp;utm_term=NEW_Europe_1840_none_150126&amp;utm_content=saletructiep_Europe.M613.1840.giaotiep_PTATT_LD153&amp;utm_campaign=Europe.giaotiep.M613xM614_16917_CVS_NamNH_150126")</f>
        <v>https://patadovietnam.edu.vn/tienganhgiaotiep_hn/?utm_source=Facebook&amp;utm_medium=CVS&amp;utm_term=NEW_Europe_1840_none_150126&amp;utm_content=saletructiep_Europe.M613.1840.giaotiep_PTATT_LD153&amp;utm_campaign=Europe.giaotiep.M613xM614_16917_CVS_NamNH_150126</v>
      </c>
      <c r="U1015" s="110" t="s">
        <v>7826</v>
      </c>
    </row>
    <row r="1016">
      <c r="A1016" s="72">
        <v>46037.0</v>
      </c>
      <c r="B1016" s="60" t="s">
        <v>1229</v>
      </c>
      <c r="C1016" s="67" t="str">
        <f>IFERROR(__xludf.DUMMYFUNCTION("""COMPUTED_VALUE"""),"LD164")</f>
        <v>LD164</v>
      </c>
      <c r="D1016" s="55" t="s">
        <v>42</v>
      </c>
      <c r="E1016" s="55" t="s">
        <v>69</v>
      </c>
      <c r="F1016" s="55" t="s">
        <v>133</v>
      </c>
      <c r="G1016" s="55">
        <v>1840.0</v>
      </c>
      <c r="H1016" s="55" t="s">
        <v>1137</v>
      </c>
      <c r="I1016" s="115" t="s">
        <v>7827</v>
      </c>
      <c r="J1016" s="55" t="s">
        <v>7828</v>
      </c>
      <c r="K1016" s="55" t="s">
        <v>61</v>
      </c>
      <c r="L1016" s="55">
        <v>16917.0</v>
      </c>
      <c r="M1016" s="55" t="s">
        <v>78</v>
      </c>
      <c r="N1016" s="55" t="s">
        <v>69</v>
      </c>
      <c r="O1016" s="55" t="s">
        <v>224</v>
      </c>
      <c r="P1016" s="55" t="s">
        <v>110</v>
      </c>
      <c r="Q1016" s="67" t="str">
        <f>IFERROR(__xludf.DUMMYFUNCTION("""COMPUTED_VALUE"""),"Japan.giaotiep.M613xM614_16917_CVS_NamNH_150126")</f>
        <v>Japan.giaotiep.M613xM614_16917_CVS_NamNH_150126</v>
      </c>
      <c r="R1016" s="67" t="str">
        <f>IFERROR(__xludf.DUMMYFUNCTION("""COMPUTED_VALUE"""),"NEW_Japan_1840_none_150126")</f>
        <v>NEW_Japan_1840_none_150126</v>
      </c>
      <c r="S1016" s="67" t="str">
        <f>IFERROR(__xludf.DUMMYFUNCTION("""COMPUTED_VALUE"""),"saletructiep_Japan.M613.1840.giaotiep_PTATT_LD164")</f>
        <v>saletructiep_Japan.M613.1840.giaotiep_PTATT_LD164</v>
      </c>
      <c r="T1016" s="107" t="str">
        <f>IFERROR(__xludf.DUMMYFUNCTION("""COMPUTED_VALUE"""),"https://patadovietnam.edu.vn/gtjapan_nhn3/?utm_source=Facebook&amp;utm_medium=CVS&amp;utm_term=NEW_Japan_1840_none_150126&amp;utm_content=saletructiep_Japan.M613.1840.giaotiep_PTATT_LD164&amp;utm_campaign=Japan.giaotiep.M613xM614_16917_CVS_NamNH_150126")</f>
        <v>https://patadovietnam.edu.vn/gtjapan_nhn3/?utm_source=Facebook&amp;utm_medium=CVS&amp;utm_term=NEW_Japan_1840_none_150126&amp;utm_content=saletructiep_Japan.M613.1840.giaotiep_PTATT_LD164&amp;utm_campaign=Japan.giaotiep.M613xM614_16917_CVS_NamNH_150126</v>
      </c>
      <c r="U1016" s="265" t="s">
        <v>7829</v>
      </c>
    </row>
    <row r="1017">
      <c r="A1017" s="72">
        <v>46037.0</v>
      </c>
      <c r="B1017" s="60" t="s">
        <v>1134</v>
      </c>
      <c r="C1017" s="67" t="str">
        <f>IFERROR(__xludf.DUMMYFUNCTION("""COMPUTED_VALUE"""),"LD153")</f>
        <v>LD153</v>
      </c>
      <c r="D1017" s="55" t="s">
        <v>42</v>
      </c>
      <c r="E1017" s="55" t="s">
        <v>79</v>
      </c>
      <c r="F1017" s="55" t="s">
        <v>539</v>
      </c>
      <c r="G1017" s="55">
        <v>1840.0</v>
      </c>
      <c r="H1017" s="55" t="s">
        <v>1137</v>
      </c>
      <c r="I1017" s="115" t="s">
        <v>7830</v>
      </c>
      <c r="J1017" s="55" t="s">
        <v>7831</v>
      </c>
      <c r="K1017" s="55" t="s">
        <v>61</v>
      </c>
      <c r="L1017" s="55">
        <v>16917.0</v>
      </c>
      <c r="M1017" s="55" t="s">
        <v>78</v>
      </c>
      <c r="N1017" s="55" t="s">
        <v>79</v>
      </c>
      <c r="O1017" s="55" t="s">
        <v>224</v>
      </c>
      <c r="P1017" s="55" t="s">
        <v>110</v>
      </c>
      <c r="Q1017" s="67" t="str">
        <f>IFERROR(__xludf.DUMMYFUNCTION("""COMPUTED_VALUE"""),"ALL.giaotiep.M613xM614_16917_MES_NamNH_150126")</f>
        <v>ALL.giaotiep.M613xM614_16917_MES_NamNH_150126</v>
      </c>
      <c r="R1017" s="67" t="str">
        <f>IFERROR(__xludf.DUMMYFUNCTION("""COMPUTED_VALUE"""),"NEW_ALL_1840_none_150126")</f>
        <v>NEW_ALL_1840_none_150126</v>
      </c>
      <c r="S1017" s="67" t="str">
        <f>IFERROR(__xludf.DUMMYFUNCTION("""COMPUTED_VALUE"""),"saletructiep_ALL.M613.1840.giaotiep_PTATT_LD153")</f>
        <v>saletructiep_ALL.M613.1840.giaotiep_PTATT_LD153</v>
      </c>
      <c r="T1017" s="107" t="str">
        <f>IFERROR(__xludf.DUMMYFUNCTION("""COMPUTED_VALUE"""),"https://patadovietnam.edu.vn/tienganhgiaotiep_hn/?utm_source=Facebook&amp;utm_medium=MES&amp;utm_term=NEW_ALL_1840_none_150126&amp;utm_content=saletructiep_ALL.M613.1840.giaotiep_PTATT_LD153&amp;utm_campaign=ALL.giaotiep.M613xM614_16917_MES_NamNH_150126")</f>
        <v>https://patadovietnam.edu.vn/tienganhgiaotiep_hn/?utm_source=Facebook&amp;utm_medium=MES&amp;utm_term=NEW_ALL_1840_none_150126&amp;utm_content=saletructiep_ALL.M613.1840.giaotiep_PTATT_LD153&amp;utm_campaign=ALL.giaotiep.M613xM614_16917_MES_NamNH_150126</v>
      </c>
      <c r="U1017" s="110" t="s">
        <v>7832</v>
      </c>
    </row>
    <row r="1018">
      <c r="A1018" s="72">
        <v>46042.0</v>
      </c>
      <c r="B1018" s="60" t="s">
        <v>1134</v>
      </c>
      <c r="C1018" s="67" t="str">
        <f>IFERROR(__xludf.DUMMYFUNCTION("""COMPUTED_VALUE"""),"LD153")</f>
        <v>LD153</v>
      </c>
      <c r="D1018" s="55" t="s">
        <v>42</v>
      </c>
      <c r="E1018" s="55" t="s">
        <v>69</v>
      </c>
      <c r="F1018" s="55" t="s">
        <v>674</v>
      </c>
      <c r="G1018" s="55">
        <v>1840.0</v>
      </c>
      <c r="H1018" s="55" t="s">
        <v>1137</v>
      </c>
      <c r="I1018" s="115" t="s">
        <v>7833</v>
      </c>
      <c r="J1018" s="55" t="s">
        <v>7834</v>
      </c>
      <c r="K1018" s="55" t="s">
        <v>61</v>
      </c>
      <c r="L1018" s="55">
        <v>16917.0</v>
      </c>
      <c r="M1018" s="55" t="s">
        <v>78</v>
      </c>
      <c r="N1018" s="55" t="s">
        <v>69</v>
      </c>
      <c r="O1018" s="55" t="s">
        <v>224</v>
      </c>
      <c r="P1018" s="55" t="s">
        <v>110</v>
      </c>
      <c r="Q1018" s="67" t="str">
        <f>IFERROR(__xludf.DUMMYFUNCTION("""COMPUTED_VALUE"""),"Europe.giaotiep.M618xM619_16917_CVS_NamNH_200126")</f>
        <v>Europe.giaotiep.M618xM619_16917_CVS_NamNH_200126</v>
      </c>
      <c r="R1018" s="67" t="str">
        <f>IFERROR(__xludf.DUMMYFUNCTION("""COMPUTED_VALUE"""),"NEW_Europe_1840_none_200126")</f>
        <v>NEW_Europe_1840_none_200126</v>
      </c>
      <c r="S1018" s="67" t="str">
        <f>IFERROR(__xludf.DUMMYFUNCTION("""COMPUTED_VALUE"""),"saletructiep_Europe.M618.1840.giaotiep_PTATT_LD153")</f>
        <v>saletructiep_Europe.M618.1840.giaotiep_PTATT_LD153</v>
      </c>
      <c r="T1018" s="107" t="str">
        <f>IFERROR(__xludf.DUMMYFUNCTION("""COMPUTED_VALUE"""),"https://patadovietnam.edu.vn/tienganhgiaotiep_hn/?utm_source=Facebook&amp;utm_medium=CVS&amp;utm_term=NEW_Europe_1840_none_200126&amp;utm_content=saletructiep_Europe.M618.1840.giaotiep_PTATT_LD153&amp;utm_campaign=Europe.giaotiep.M618xM619_16917_CVS_NamNH_200126")</f>
        <v>https://patadovietnam.edu.vn/tienganhgiaotiep_hn/?utm_source=Facebook&amp;utm_medium=CVS&amp;utm_term=NEW_Europe_1840_none_200126&amp;utm_content=saletructiep_Europe.M618.1840.giaotiep_PTATT_LD153&amp;utm_campaign=Europe.giaotiep.M618xM619_16917_CVS_NamNH_200126</v>
      </c>
      <c r="U1018" s="110" t="s">
        <v>7835</v>
      </c>
    </row>
    <row r="1019">
      <c r="A1019" s="72">
        <v>46042.0</v>
      </c>
      <c r="B1019" s="60" t="s">
        <v>1229</v>
      </c>
      <c r="C1019" s="67" t="str">
        <f>IFERROR(__xludf.DUMMYFUNCTION("""COMPUTED_VALUE"""),"LD164")</f>
        <v>LD164</v>
      </c>
      <c r="D1019" s="55" t="s">
        <v>42</v>
      </c>
      <c r="E1019" s="55" t="s">
        <v>69</v>
      </c>
      <c r="F1019" s="55" t="s">
        <v>133</v>
      </c>
      <c r="G1019" s="55">
        <v>1840.0</v>
      </c>
      <c r="H1019" s="55" t="s">
        <v>1137</v>
      </c>
      <c r="I1019" s="115" t="s">
        <v>7836</v>
      </c>
      <c r="J1019" s="55" t="s">
        <v>7837</v>
      </c>
      <c r="K1019" s="55" t="s">
        <v>61</v>
      </c>
      <c r="L1019" s="55">
        <v>16917.0</v>
      </c>
      <c r="M1019" s="55" t="s">
        <v>78</v>
      </c>
      <c r="N1019" s="55" t="s">
        <v>69</v>
      </c>
      <c r="O1019" s="55" t="s">
        <v>224</v>
      </c>
      <c r="P1019" s="55" t="s">
        <v>110</v>
      </c>
      <c r="Q1019" s="67" t="str">
        <f>IFERROR(__xludf.DUMMYFUNCTION("""COMPUTED_VALUE"""),"Japan.giaotiep.M618xM619_16917_CVS_NamNH_200126")</f>
        <v>Japan.giaotiep.M618xM619_16917_CVS_NamNH_200126</v>
      </c>
      <c r="R1019" s="67" t="str">
        <f>IFERROR(__xludf.DUMMYFUNCTION("""COMPUTED_VALUE"""),"NEW_Japan_1840_none_200126")</f>
        <v>NEW_Japan_1840_none_200126</v>
      </c>
      <c r="S1019" s="67" t="str">
        <f>IFERROR(__xludf.DUMMYFUNCTION("""COMPUTED_VALUE"""),"saletructiep_Japan.M618.1840.giaotiep_PTATT_LD164")</f>
        <v>saletructiep_Japan.M618.1840.giaotiep_PTATT_LD164</v>
      </c>
      <c r="T1019" s="107" t="str">
        <f>IFERROR(__xludf.DUMMYFUNCTION("""COMPUTED_VALUE"""),"https://patadovietnam.edu.vn/gtjapan_nhn3/?utm_source=Facebook&amp;utm_medium=CVS&amp;utm_term=NEW_Japan_1840_none_200126&amp;utm_content=saletructiep_Japan.M618.1840.giaotiep_PTATT_LD164&amp;utm_campaign=Japan.giaotiep.M618xM619_16917_CVS_NamNH_200126")</f>
        <v>https://patadovietnam.edu.vn/gtjapan_nhn3/?utm_source=Facebook&amp;utm_medium=CVS&amp;utm_term=NEW_Japan_1840_none_200126&amp;utm_content=saletructiep_Japan.M618.1840.giaotiep_PTATT_LD164&amp;utm_campaign=Japan.giaotiep.M618xM619_16917_CVS_NamNH_200126</v>
      </c>
      <c r="U1019" s="110" t="s">
        <v>7838</v>
      </c>
    </row>
    <row r="1020">
      <c r="A1020" s="72">
        <v>46042.0</v>
      </c>
      <c r="B1020" s="60" t="s">
        <v>1134</v>
      </c>
      <c r="C1020" s="67" t="str">
        <f>IFERROR(__xludf.DUMMYFUNCTION("""COMPUTED_VALUE"""),"LD153")</f>
        <v>LD153</v>
      </c>
      <c r="D1020" s="55" t="s">
        <v>42</v>
      </c>
      <c r="E1020" s="55" t="s">
        <v>79</v>
      </c>
      <c r="F1020" s="55" t="s">
        <v>539</v>
      </c>
      <c r="G1020" s="55">
        <v>1840.0</v>
      </c>
      <c r="H1020" s="55" t="s">
        <v>1137</v>
      </c>
      <c r="I1020" s="115" t="s">
        <v>7839</v>
      </c>
      <c r="J1020" s="55" t="s">
        <v>7840</v>
      </c>
      <c r="K1020" s="55" t="s">
        <v>61</v>
      </c>
      <c r="L1020" s="55">
        <v>16917.0</v>
      </c>
      <c r="M1020" s="55" t="s">
        <v>78</v>
      </c>
      <c r="N1020" s="55" t="s">
        <v>79</v>
      </c>
      <c r="O1020" s="55" t="s">
        <v>224</v>
      </c>
      <c r="P1020" s="55" t="s">
        <v>110</v>
      </c>
      <c r="Q1020" s="67" t="str">
        <f>IFERROR(__xludf.DUMMYFUNCTION("""COMPUTED_VALUE"""),"ALL.giaotiep.M618xM619_16917_MES_NamNH_200126")</f>
        <v>ALL.giaotiep.M618xM619_16917_MES_NamNH_200126</v>
      </c>
      <c r="R1020" s="67" t="str">
        <f>IFERROR(__xludf.DUMMYFUNCTION("""COMPUTED_VALUE"""),"NEW_ALL_1840_none_200126")</f>
        <v>NEW_ALL_1840_none_200126</v>
      </c>
      <c r="S1020" s="67" t="str">
        <f>IFERROR(__xludf.DUMMYFUNCTION("""COMPUTED_VALUE"""),"saletructiep_ALL.M618.1840.giaotiep_PTATT_LD153")</f>
        <v>saletructiep_ALL.M618.1840.giaotiep_PTATT_LD153</v>
      </c>
      <c r="T1020" s="107" t="str">
        <f>IFERROR(__xludf.DUMMYFUNCTION("""COMPUTED_VALUE"""),"https://patadovietnam.edu.vn/tienganhgiaotiep_hn/?utm_source=Facebook&amp;utm_medium=MES&amp;utm_term=NEW_ALL_1840_none_200126&amp;utm_content=saletructiep_ALL.M618.1840.giaotiep_PTATT_LD153&amp;utm_campaign=ALL.giaotiep.M618xM619_16917_MES_NamNH_200126")</f>
        <v>https://patadovietnam.edu.vn/tienganhgiaotiep_hn/?utm_source=Facebook&amp;utm_medium=MES&amp;utm_term=NEW_ALL_1840_none_200126&amp;utm_content=saletructiep_ALL.M618.1840.giaotiep_PTATT_LD153&amp;utm_campaign=ALL.giaotiep.M618xM619_16917_MES_NamNH_200126</v>
      </c>
      <c r="U1020" s="110" t="s">
        <v>7841</v>
      </c>
    </row>
    <row r="1021">
      <c r="A1021" s="72">
        <v>46055.0</v>
      </c>
      <c r="B1021" s="60" t="s">
        <v>1134</v>
      </c>
      <c r="C1021" s="67" t="str">
        <f>IFERROR(__xludf.DUMMYFUNCTION("""COMPUTED_VALUE"""),"LD153")</f>
        <v>LD153</v>
      </c>
      <c r="D1021" s="55" t="s">
        <v>42</v>
      </c>
      <c r="E1021" s="55" t="s">
        <v>69</v>
      </c>
      <c r="F1021" s="55" t="s">
        <v>674</v>
      </c>
      <c r="G1021" s="55">
        <v>1840.0</v>
      </c>
      <c r="H1021" s="55" t="s">
        <v>1137</v>
      </c>
      <c r="I1021" s="115" t="s">
        <v>7842</v>
      </c>
      <c r="J1021" s="55" t="s">
        <v>7843</v>
      </c>
      <c r="K1021" s="55" t="s">
        <v>61</v>
      </c>
      <c r="L1021" s="55">
        <v>16917.0</v>
      </c>
      <c r="M1021" s="55" t="s">
        <v>78</v>
      </c>
      <c r="N1021" s="55" t="s">
        <v>69</v>
      </c>
      <c r="O1021" s="55" t="s">
        <v>224</v>
      </c>
      <c r="P1021" s="55" t="s">
        <v>110</v>
      </c>
      <c r="Q1021" s="67" t="str">
        <f>IFERROR(__xludf.DUMMYFUNCTION("""COMPUTED_VALUE"""),"Europe.giaotiep.M624xM625_16917_CVS_NamNH_020226")</f>
        <v>Europe.giaotiep.M624xM625_16917_CVS_NamNH_020226</v>
      </c>
      <c r="R1021" s="67" t="str">
        <f>IFERROR(__xludf.DUMMYFUNCTION("""COMPUTED_VALUE"""),"NEW_Europe_1840_none_020226")</f>
        <v>NEW_Europe_1840_none_020226</v>
      </c>
      <c r="S1021" s="67" t="str">
        <f>IFERROR(__xludf.DUMMYFUNCTION("""COMPUTED_VALUE"""),"saletructiep_Europe.M624.1840.giaotiep_PTATT_LD153")</f>
        <v>saletructiep_Europe.M624.1840.giaotiep_PTATT_LD153</v>
      </c>
      <c r="T1021" s="107" t="str">
        <f>IFERROR(__xludf.DUMMYFUNCTION("""COMPUTED_VALUE"""),"https://patadovietnam.edu.vn/tienganhgiaotiep_hn/?utm_source=Facebook&amp;utm_medium=CVS&amp;utm_term=NEW_Europe_1840_none_020226&amp;utm_content=saletructiep_Europe.M624.1840.giaotiep_PTATT_LD153&amp;utm_campaign=Europe.giaotiep.M624xM625_16917_CVS_NamNH_020226")</f>
        <v>https://patadovietnam.edu.vn/tienganhgiaotiep_hn/?utm_source=Facebook&amp;utm_medium=CVS&amp;utm_term=NEW_Europe_1840_none_020226&amp;utm_content=saletructiep_Europe.M624.1840.giaotiep_PTATT_LD153&amp;utm_campaign=Europe.giaotiep.M624xM625_16917_CVS_NamNH_020226</v>
      </c>
      <c r="U1021" s="110" t="s">
        <v>7844</v>
      </c>
    </row>
    <row r="1022">
      <c r="A1022" s="72">
        <v>46055.0</v>
      </c>
      <c r="B1022" s="60" t="s">
        <v>1229</v>
      </c>
      <c r="C1022" s="67" t="str">
        <f>IFERROR(__xludf.DUMMYFUNCTION("""COMPUTED_VALUE"""),"LD164")</f>
        <v>LD164</v>
      </c>
      <c r="D1022" s="55" t="s">
        <v>42</v>
      </c>
      <c r="E1022" s="55" t="s">
        <v>69</v>
      </c>
      <c r="F1022" s="55" t="s">
        <v>133</v>
      </c>
      <c r="G1022" s="55">
        <v>1840.0</v>
      </c>
      <c r="H1022" s="55" t="s">
        <v>1137</v>
      </c>
      <c r="I1022" s="115" t="s">
        <v>7845</v>
      </c>
      <c r="J1022" s="55" t="s">
        <v>7846</v>
      </c>
      <c r="K1022" s="55" t="s">
        <v>61</v>
      </c>
      <c r="L1022" s="55">
        <v>16917.0</v>
      </c>
      <c r="M1022" s="55" t="s">
        <v>78</v>
      </c>
      <c r="N1022" s="55" t="s">
        <v>69</v>
      </c>
      <c r="O1022" s="55" t="s">
        <v>224</v>
      </c>
      <c r="P1022" s="55" t="s">
        <v>110</v>
      </c>
      <c r="Q1022" s="67" t="str">
        <f>IFERROR(__xludf.DUMMYFUNCTION("""COMPUTED_VALUE"""),"Japan.giaotiep.M624xM625_16917_CVS_NamNH_020226")</f>
        <v>Japan.giaotiep.M624xM625_16917_CVS_NamNH_020226</v>
      </c>
      <c r="R1022" s="67" t="str">
        <f>IFERROR(__xludf.DUMMYFUNCTION("""COMPUTED_VALUE"""),"NEW_Japan_1840_none_020226")</f>
        <v>NEW_Japan_1840_none_020226</v>
      </c>
      <c r="S1022" s="67" t="str">
        <f>IFERROR(__xludf.DUMMYFUNCTION("""COMPUTED_VALUE"""),"saletructiep_Japan.M624.1840.giaotiep_PTATT_LD164")</f>
        <v>saletructiep_Japan.M624.1840.giaotiep_PTATT_LD164</v>
      </c>
      <c r="T1022" s="107" t="str">
        <f>IFERROR(__xludf.DUMMYFUNCTION("""COMPUTED_VALUE"""),"https://patadovietnam.edu.vn/gtjapan_nhn3/?utm_source=Facebook&amp;utm_medium=CVS&amp;utm_term=NEW_Japan_1840_none_020226&amp;utm_content=saletructiep_Japan.M624.1840.giaotiep_PTATT_LD164&amp;utm_campaign=Japan.giaotiep.M624xM625_16917_CVS_NamNH_020226")</f>
        <v>https://patadovietnam.edu.vn/gtjapan_nhn3/?utm_source=Facebook&amp;utm_medium=CVS&amp;utm_term=NEW_Japan_1840_none_020226&amp;utm_content=saletructiep_Japan.M624.1840.giaotiep_PTATT_LD164&amp;utm_campaign=Japan.giaotiep.M624xM625_16917_CVS_NamNH_020226</v>
      </c>
      <c r="U1022" s="110" t="s">
        <v>7847</v>
      </c>
    </row>
    <row r="1023">
      <c r="A1023" s="72">
        <v>46055.0</v>
      </c>
      <c r="B1023" s="60" t="s">
        <v>1134</v>
      </c>
      <c r="C1023" s="67" t="str">
        <f>IFERROR(__xludf.DUMMYFUNCTION("""COMPUTED_VALUE"""),"LD153")</f>
        <v>LD153</v>
      </c>
      <c r="D1023" s="55" t="s">
        <v>42</v>
      </c>
      <c r="E1023" s="55" t="s">
        <v>79</v>
      </c>
      <c r="F1023" s="55" t="s">
        <v>539</v>
      </c>
      <c r="G1023" s="55">
        <v>1840.0</v>
      </c>
      <c r="H1023" s="55" t="s">
        <v>1137</v>
      </c>
      <c r="I1023" s="115" t="s">
        <v>7848</v>
      </c>
      <c r="J1023" s="55" t="s">
        <v>7849</v>
      </c>
      <c r="K1023" s="55" t="s">
        <v>61</v>
      </c>
      <c r="L1023" s="55">
        <v>16917.0</v>
      </c>
      <c r="M1023" s="55" t="s">
        <v>78</v>
      </c>
      <c r="N1023" s="55" t="s">
        <v>79</v>
      </c>
      <c r="O1023" s="55" t="s">
        <v>224</v>
      </c>
      <c r="P1023" s="55" t="s">
        <v>110</v>
      </c>
      <c r="Q1023" s="67" t="str">
        <f>IFERROR(__xludf.DUMMYFUNCTION("""COMPUTED_VALUE"""),"ALL.giaotiep.M624xM625_16917_MES_NamNH_020226")</f>
        <v>ALL.giaotiep.M624xM625_16917_MES_NamNH_020226</v>
      </c>
      <c r="R1023" s="67" t="str">
        <f>IFERROR(__xludf.DUMMYFUNCTION("""COMPUTED_VALUE"""),"NEW_ALL_1840_none_020226")</f>
        <v>NEW_ALL_1840_none_020226</v>
      </c>
      <c r="S1023" s="67" t="str">
        <f>IFERROR(__xludf.DUMMYFUNCTION("""COMPUTED_VALUE"""),"saletructiep_ALL.M624.1840.giaotiep_PTATT_LD153")</f>
        <v>saletructiep_ALL.M624.1840.giaotiep_PTATT_LD153</v>
      </c>
      <c r="T1023" s="107" t="str">
        <f>IFERROR(__xludf.DUMMYFUNCTION("""COMPUTED_VALUE"""),"https://patadovietnam.edu.vn/tienganhgiaotiep_hn/?utm_source=Facebook&amp;utm_medium=MES&amp;utm_term=NEW_ALL_1840_none_020226&amp;utm_content=saletructiep_ALL.M624.1840.giaotiep_PTATT_LD153&amp;utm_campaign=ALL.giaotiep.M624xM625_16917_MES_NamNH_020226")</f>
        <v>https://patadovietnam.edu.vn/tienganhgiaotiep_hn/?utm_source=Facebook&amp;utm_medium=MES&amp;utm_term=NEW_ALL_1840_none_020226&amp;utm_content=saletructiep_ALL.M624.1840.giaotiep_PTATT_LD153&amp;utm_campaign=ALL.giaotiep.M624xM625_16917_MES_NamNH_020226</v>
      </c>
      <c r="U1023" s="110" t="s">
        <v>7850</v>
      </c>
    </row>
    <row r="1024">
      <c r="A1024" s="72">
        <v>46055.0</v>
      </c>
      <c r="B1024" s="60" t="s">
        <v>1134</v>
      </c>
      <c r="C1024" s="67" t="str">
        <f>IFERROR(__xludf.DUMMYFUNCTION("""COMPUTED_VALUE"""),"LD153")</f>
        <v>LD153</v>
      </c>
      <c r="D1024" s="55" t="s">
        <v>42</v>
      </c>
      <c r="E1024" s="55" t="s">
        <v>69</v>
      </c>
      <c r="F1024" s="55" t="s">
        <v>674</v>
      </c>
      <c r="G1024" s="55">
        <v>1840.0</v>
      </c>
      <c r="H1024" s="55" t="s">
        <v>1137</v>
      </c>
      <c r="I1024" s="115" t="s">
        <v>7851</v>
      </c>
      <c r="J1024" s="55" t="s">
        <v>6312</v>
      </c>
      <c r="K1024" s="55" t="s">
        <v>61</v>
      </c>
      <c r="L1024" s="55">
        <v>16917.0</v>
      </c>
      <c r="M1024" s="55" t="s">
        <v>78</v>
      </c>
      <c r="N1024" s="55" t="s">
        <v>69</v>
      </c>
      <c r="O1024" s="55" t="s">
        <v>224</v>
      </c>
      <c r="P1024" s="55" t="s">
        <v>110</v>
      </c>
      <c r="Q1024" s="67" t="str">
        <f>IFERROR(__xludf.DUMMYFUNCTION("""COMPUTED_VALUE"""),"Europe.giaotiep.M626xM629_16917_CVS_NamNH_020226")</f>
        <v>Europe.giaotiep.M626xM629_16917_CVS_NamNH_020226</v>
      </c>
      <c r="R1024" s="67" t="str">
        <f>IFERROR(__xludf.DUMMYFUNCTION("""COMPUTED_VALUE"""),"NEW_Europe_1840_none_020226")</f>
        <v>NEW_Europe_1840_none_020226</v>
      </c>
      <c r="S1024" s="67" t="str">
        <f>IFERROR(__xludf.DUMMYFUNCTION("""COMPUTED_VALUE"""),"saletructiep_Europe.M626.1840.giaotiep_PTATT_LD153")</f>
        <v>saletructiep_Europe.M626.1840.giaotiep_PTATT_LD153</v>
      </c>
      <c r="T1024" s="107" t="str">
        <f>IFERROR(__xludf.DUMMYFUNCTION("""COMPUTED_VALUE"""),"https://patadovietnam.edu.vn/tienganhgiaotiep_hn/?utm_source=Facebook&amp;utm_medium=CVS&amp;utm_term=NEW_Europe_1840_none_020226&amp;utm_content=saletructiep_Europe.M626.1840.giaotiep_PTATT_LD153&amp;utm_campaign=Europe.giaotiep.M626xM629_16917_CVS_NamNH_020226")</f>
        <v>https://patadovietnam.edu.vn/tienganhgiaotiep_hn/?utm_source=Facebook&amp;utm_medium=CVS&amp;utm_term=NEW_Europe_1840_none_020226&amp;utm_content=saletructiep_Europe.M626.1840.giaotiep_PTATT_LD153&amp;utm_campaign=Europe.giaotiep.M626xM629_16917_CVS_NamNH_020226</v>
      </c>
      <c r="U1024" s="110" t="s">
        <v>7852</v>
      </c>
    </row>
    <row r="1025">
      <c r="A1025" s="72">
        <v>46055.0</v>
      </c>
      <c r="B1025" s="60" t="s">
        <v>1229</v>
      </c>
      <c r="C1025" s="67" t="str">
        <f>IFERROR(__xludf.DUMMYFUNCTION("""COMPUTED_VALUE"""),"LD164")</f>
        <v>LD164</v>
      </c>
      <c r="D1025" s="55" t="s">
        <v>42</v>
      </c>
      <c r="E1025" s="55" t="s">
        <v>69</v>
      </c>
      <c r="F1025" s="55" t="s">
        <v>133</v>
      </c>
      <c r="G1025" s="55">
        <v>1840.0</v>
      </c>
      <c r="H1025" s="55" t="s">
        <v>1137</v>
      </c>
      <c r="I1025" s="115" t="s">
        <v>7853</v>
      </c>
      <c r="J1025" s="55" t="s">
        <v>7854</v>
      </c>
      <c r="K1025" s="55" t="s">
        <v>61</v>
      </c>
      <c r="L1025" s="55">
        <v>16917.0</v>
      </c>
      <c r="M1025" s="55" t="s">
        <v>78</v>
      </c>
      <c r="N1025" s="55" t="s">
        <v>69</v>
      </c>
      <c r="O1025" s="55" t="s">
        <v>224</v>
      </c>
      <c r="P1025" s="55" t="s">
        <v>110</v>
      </c>
      <c r="Q1025" s="67" t="str">
        <f>IFERROR(__xludf.DUMMYFUNCTION("""COMPUTED_VALUE"""),"Japan.giaotiep.M626xM629_16917_CVS_NamNH_020226")</f>
        <v>Japan.giaotiep.M626xM629_16917_CVS_NamNH_020226</v>
      </c>
      <c r="R1025" s="67" t="str">
        <f>IFERROR(__xludf.DUMMYFUNCTION("""COMPUTED_VALUE"""),"NEW_Japan_1840_none_020226")</f>
        <v>NEW_Japan_1840_none_020226</v>
      </c>
      <c r="S1025" s="67" t="str">
        <f>IFERROR(__xludf.DUMMYFUNCTION("""COMPUTED_VALUE"""),"saletructiep_Japan.M626.1840.giaotiep_PTATT_LD164")</f>
        <v>saletructiep_Japan.M626.1840.giaotiep_PTATT_LD164</v>
      </c>
      <c r="T1025" s="107" t="str">
        <f>IFERROR(__xludf.DUMMYFUNCTION("""COMPUTED_VALUE"""),"https://patadovietnam.edu.vn/gtjapan_nhn3/?utm_source=Facebook&amp;utm_medium=CVS&amp;utm_term=NEW_Japan_1840_none_020226&amp;utm_content=saletructiep_Japan.M626.1840.giaotiep_PTATT_LD164&amp;utm_campaign=Japan.giaotiep.M626xM629_16917_CVS_NamNH_020226")</f>
        <v>https://patadovietnam.edu.vn/gtjapan_nhn3/?utm_source=Facebook&amp;utm_medium=CVS&amp;utm_term=NEW_Japan_1840_none_020226&amp;utm_content=saletructiep_Japan.M626.1840.giaotiep_PTATT_LD164&amp;utm_campaign=Japan.giaotiep.M626xM629_16917_CVS_NamNH_020226</v>
      </c>
      <c r="U1025" s="110" t="s">
        <v>7855</v>
      </c>
    </row>
    <row r="1026">
      <c r="A1026" s="72">
        <v>46055.0</v>
      </c>
      <c r="B1026" s="60" t="s">
        <v>1134</v>
      </c>
      <c r="C1026" s="67" t="str">
        <f>IFERROR(__xludf.DUMMYFUNCTION("""COMPUTED_VALUE"""),"LD153")</f>
        <v>LD153</v>
      </c>
      <c r="D1026" s="55" t="s">
        <v>42</v>
      </c>
      <c r="E1026" s="55" t="s">
        <v>79</v>
      </c>
      <c r="F1026" s="55" t="s">
        <v>539</v>
      </c>
      <c r="G1026" s="55">
        <v>1840.0</v>
      </c>
      <c r="H1026" s="55" t="s">
        <v>1137</v>
      </c>
      <c r="I1026" s="115" t="s">
        <v>7856</v>
      </c>
      <c r="J1026" s="55" t="s">
        <v>7857</v>
      </c>
      <c r="K1026" s="55" t="s">
        <v>61</v>
      </c>
      <c r="L1026" s="55">
        <v>16917.0</v>
      </c>
      <c r="M1026" s="55" t="s">
        <v>78</v>
      </c>
      <c r="N1026" s="55" t="s">
        <v>79</v>
      </c>
      <c r="O1026" s="55" t="s">
        <v>224</v>
      </c>
      <c r="P1026" s="55" t="s">
        <v>110</v>
      </c>
      <c r="Q1026" s="67" t="str">
        <f>IFERROR(__xludf.DUMMYFUNCTION("""COMPUTED_VALUE"""),"ALL.giaotiep.M626xM629_16917_MES_NamNH_020226")</f>
        <v>ALL.giaotiep.M626xM629_16917_MES_NamNH_020226</v>
      </c>
      <c r="R1026" s="67" t="str">
        <f>IFERROR(__xludf.DUMMYFUNCTION("""COMPUTED_VALUE"""),"NEW_ALL_1840_none_020226")</f>
        <v>NEW_ALL_1840_none_020226</v>
      </c>
      <c r="S1026" s="67" t="str">
        <f>IFERROR(__xludf.DUMMYFUNCTION("""COMPUTED_VALUE"""),"saletructiep_ALL.M626.1840.giaotiep_PTATT_LD153")</f>
        <v>saletructiep_ALL.M626.1840.giaotiep_PTATT_LD153</v>
      </c>
      <c r="T1026" s="107" t="str">
        <f>IFERROR(__xludf.DUMMYFUNCTION("""COMPUTED_VALUE"""),"https://patadovietnam.edu.vn/tienganhgiaotiep_hn/?utm_source=Facebook&amp;utm_medium=MES&amp;utm_term=NEW_ALL_1840_none_020226&amp;utm_content=saletructiep_ALL.M626.1840.giaotiep_PTATT_LD153&amp;utm_campaign=ALL.giaotiep.M626xM629_16917_MES_NamNH_020226")</f>
        <v>https://patadovietnam.edu.vn/tienganhgiaotiep_hn/?utm_source=Facebook&amp;utm_medium=MES&amp;utm_term=NEW_ALL_1840_none_020226&amp;utm_content=saletructiep_ALL.M626.1840.giaotiep_PTATT_LD153&amp;utm_campaign=ALL.giaotiep.M626xM629_16917_MES_NamNH_020226</v>
      </c>
      <c r="U1026" s="110" t="s">
        <v>7858</v>
      </c>
    </row>
    <row r="1027">
      <c r="A1027" s="72">
        <v>46055.0</v>
      </c>
      <c r="B1027" s="60" t="s">
        <v>1134</v>
      </c>
      <c r="C1027" s="67" t="str">
        <f>IFERROR(__xludf.DUMMYFUNCTION("""COMPUTED_VALUE"""),"LD153")</f>
        <v>LD153</v>
      </c>
      <c r="D1027" s="55" t="s">
        <v>42</v>
      </c>
      <c r="E1027" s="55" t="s">
        <v>69</v>
      </c>
      <c r="F1027" s="55" t="s">
        <v>674</v>
      </c>
      <c r="G1027" s="55">
        <v>1840.0</v>
      </c>
      <c r="H1027" s="55" t="s">
        <v>1137</v>
      </c>
      <c r="I1027" s="115" t="s">
        <v>7859</v>
      </c>
      <c r="J1027" s="55" t="s">
        <v>7860</v>
      </c>
      <c r="K1027" s="55" t="s">
        <v>61</v>
      </c>
      <c r="L1027" s="55">
        <v>16917.0</v>
      </c>
      <c r="M1027" s="55" t="s">
        <v>78</v>
      </c>
      <c r="N1027" s="55" t="s">
        <v>69</v>
      </c>
      <c r="O1027" s="55" t="s">
        <v>224</v>
      </c>
      <c r="P1027" s="55" t="s">
        <v>110</v>
      </c>
      <c r="Q1027" s="67" t="str">
        <f>IFERROR(__xludf.DUMMYFUNCTION("""COMPUTED_VALUE"""),"Europe.giaotiep.M627xM628_16917_CVS_NamNH_020226")</f>
        <v>Europe.giaotiep.M627xM628_16917_CVS_NamNH_020226</v>
      </c>
      <c r="R1027" s="67" t="str">
        <f>IFERROR(__xludf.DUMMYFUNCTION("""COMPUTED_VALUE"""),"NEW_Europe_1840_none_020226")</f>
        <v>NEW_Europe_1840_none_020226</v>
      </c>
      <c r="S1027" s="67" t="str">
        <f>IFERROR(__xludf.DUMMYFUNCTION("""COMPUTED_VALUE"""),"saletructiep_Europe.M627.1840.giaotiep_PTATT_LD153")</f>
        <v>saletructiep_Europe.M627.1840.giaotiep_PTATT_LD153</v>
      </c>
      <c r="T1027" s="107" t="str">
        <f>IFERROR(__xludf.DUMMYFUNCTION("""COMPUTED_VALUE"""),"https://patadovietnam.edu.vn/tienganhgiaotiep_hn/?utm_source=Facebook&amp;utm_medium=CVS&amp;utm_term=NEW_Europe_1840_none_020226&amp;utm_content=saletructiep_Europe.M627.1840.giaotiep_PTATT_LD153&amp;utm_campaign=Europe.giaotiep.M627xM628_16917_CVS_NamNH_020226")</f>
        <v>https://patadovietnam.edu.vn/tienganhgiaotiep_hn/?utm_source=Facebook&amp;utm_medium=CVS&amp;utm_term=NEW_Europe_1840_none_020226&amp;utm_content=saletructiep_Europe.M627.1840.giaotiep_PTATT_LD153&amp;utm_campaign=Europe.giaotiep.M627xM628_16917_CVS_NamNH_020226</v>
      </c>
      <c r="U1027" s="110" t="s">
        <v>7861</v>
      </c>
    </row>
    <row r="1028">
      <c r="A1028" s="72">
        <v>46055.0</v>
      </c>
      <c r="B1028" s="60" t="s">
        <v>1134</v>
      </c>
      <c r="C1028" s="67" t="str">
        <f>IFERROR(__xludf.DUMMYFUNCTION("""COMPUTED_VALUE"""),"LD153")</f>
        <v>LD153</v>
      </c>
      <c r="D1028" s="55" t="s">
        <v>42</v>
      </c>
      <c r="E1028" s="55" t="s">
        <v>69</v>
      </c>
      <c r="F1028" s="55" t="s">
        <v>133</v>
      </c>
      <c r="G1028" s="55">
        <v>1840.0</v>
      </c>
      <c r="H1028" s="55" t="s">
        <v>1137</v>
      </c>
      <c r="I1028" s="115" t="s">
        <v>7862</v>
      </c>
      <c r="J1028" s="55" t="s">
        <v>7863</v>
      </c>
      <c r="K1028" s="55" t="s">
        <v>61</v>
      </c>
      <c r="L1028" s="55">
        <v>16917.0</v>
      </c>
      <c r="M1028" s="55" t="s">
        <v>78</v>
      </c>
      <c r="N1028" s="55" t="s">
        <v>69</v>
      </c>
      <c r="O1028" s="55" t="s">
        <v>224</v>
      </c>
      <c r="P1028" s="55" t="s">
        <v>110</v>
      </c>
      <c r="Q1028" s="67" t="str">
        <f>IFERROR(__xludf.DUMMYFUNCTION("""COMPUTED_VALUE"""),"Japan.giaotiep.M627xM628_16917_CVS_NamNH_020226")</f>
        <v>Japan.giaotiep.M627xM628_16917_CVS_NamNH_020226</v>
      </c>
      <c r="R1028" s="67" t="str">
        <f>IFERROR(__xludf.DUMMYFUNCTION("""COMPUTED_VALUE"""),"NEW_Japan_1840_none_020226")</f>
        <v>NEW_Japan_1840_none_020226</v>
      </c>
      <c r="S1028" s="67" t="str">
        <f>IFERROR(__xludf.DUMMYFUNCTION("""COMPUTED_VALUE"""),"saletructiep_Japan.M627.1840.giaotiep_PTATT_LD153")</f>
        <v>saletructiep_Japan.M627.1840.giaotiep_PTATT_LD153</v>
      </c>
      <c r="T1028" s="107" t="str">
        <f>IFERROR(__xludf.DUMMYFUNCTION("""COMPUTED_VALUE"""),"https://patadovietnam.edu.vn/tienganhgiaotiep_hn/?utm_source=Facebook&amp;utm_medium=CVS&amp;utm_term=NEW_Japan_1840_none_020226&amp;utm_content=saletructiep_Japan.M627.1840.giaotiep_PTATT_LD153&amp;utm_campaign=Japan.giaotiep.M627xM628_16917_CVS_NamNH_020226")</f>
        <v>https://patadovietnam.edu.vn/tienganhgiaotiep_hn/?utm_source=Facebook&amp;utm_medium=CVS&amp;utm_term=NEW_Japan_1840_none_020226&amp;utm_content=saletructiep_Japan.M627.1840.giaotiep_PTATT_LD153&amp;utm_campaign=Japan.giaotiep.M627xM628_16917_CVS_NamNH_020226</v>
      </c>
      <c r="U1028" s="110" t="s">
        <v>7864</v>
      </c>
    </row>
    <row r="1029">
      <c r="A1029" s="72">
        <v>46055.0</v>
      </c>
      <c r="B1029" s="60" t="s">
        <v>1134</v>
      </c>
      <c r="C1029" s="67" t="str">
        <f>IFERROR(__xludf.DUMMYFUNCTION("""COMPUTED_VALUE"""),"LD153")</f>
        <v>LD153</v>
      </c>
      <c r="D1029" s="55" t="s">
        <v>42</v>
      </c>
      <c r="E1029" s="55" t="s">
        <v>79</v>
      </c>
      <c r="F1029" s="55" t="s">
        <v>539</v>
      </c>
      <c r="G1029" s="55">
        <v>1840.0</v>
      </c>
      <c r="H1029" s="55" t="s">
        <v>1137</v>
      </c>
      <c r="I1029" s="115" t="s">
        <v>7865</v>
      </c>
      <c r="J1029" s="55" t="s">
        <v>7866</v>
      </c>
      <c r="K1029" s="55" t="s">
        <v>61</v>
      </c>
      <c r="L1029" s="55">
        <v>16917.0</v>
      </c>
      <c r="M1029" s="55" t="s">
        <v>78</v>
      </c>
      <c r="N1029" s="55" t="s">
        <v>79</v>
      </c>
      <c r="O1029" s="55" t="s">
        <v>224</v>
      </c>
      <c r="P1029" s="55" t="s">
        <v>110</v>
      </c>
      <c r="Q1029" s="67" t="str">
        <f>IFERROR(__xludf.DUMMYFUNCTION("""COMPUTED_VALUE"""),"ALL.giaotiep.M627xM628_16917_MES_NamNH_020226")</f>
        <v>ALL.giaotiep.M627xM628_16917_MES_NamNH_020226</v>
      </c>
      <c r="R1029" s="67" t="str">
        <f>IFERROR(__xludf.DUMMYFUNCTION("""COMPUTED_VALUE"""),"NEW_ALL_1840_none_020226")</f>
        <v>NEW_ALL_1840_none_020226</v>
      </c>
      <c r="S1029" s="67" t="str">
        <f>IFERROR(__xludf.DUMMYFUNCTION("""COMPUTED_VALUE"""),"saletructiep_ALL.M627.1840.giaotiep_PTATT_LD153")</f>
        <v>saletructiep_ALL.M627.1840.giaotiep_PTATT_LD153</v>
      </c>
      <c r="T1029" s="107" t="str">
        <f>IFERROR(__xludf.DUMMYFUNCTION("""COMPUTED_VALUE"""),"https://patadovietnam.edu.vn/tienganhgiaotiep_hn/?utm_source=Facebook&amp;utm_medium=MES&amp;utm_term=NEW_ALL_1840_none_020226&amp;utm_content=saletructiep_ALL.M627.1840.giaotiep_PTATT_LD153&amp;utm_campaign=ALL.giaotiep.M627xM628_16917_MES_NamNH_020226")</f>
        <v>https://patadovietnam.edu.vn/tienganhgiaotiep_hn/?utm_source=Facebook&amp;utm_medium=MES&amp;utm_term=NEW_ALL_1840_none_020226&amp;utm_content=saletructiep_ALL.M627.1840.giaotiep_PTATT_LD153&amp;utm_campaign=ALL.giaotiep.M627xM628_16917_MES_NamNH_020226</v>
      </c>
      <c r="U1029" s="110" t="s">
        <v>7867</v>
      </c>
    </row>
    <row r="1030">
      <c r="A1030" s="72">
        <v>46064.0</v>
      </c>
      <c r="B1030" s="60" t="s">
        <v>1134</v>
      </c>
      <c r="C1030" s="67" t="str">
        <f>IFERROR(__xludf.DUMMYFUNCTION("""COMPUTED_VALUE"""),"LD153")</f>
        <v>LD153</v>
      </c>
      <c r="D1030" s="55" t="s">
        <v>42</v>
      </c>
      <c r="E1030" s="55" t="s">
        <v>69</v>
      </c>
      <c r="F1030" s="55" t="s">
        <v>674</v>
      </c>
      <c r="G1030" s="55">
        <v>1840.0</v>
      </c>
      <c r="H1030" s="55" t="s">
        <v>1137</v>
      </c>
      <c r="I1030" s="115" t="s">
        <v>7868</v>
      </c>
      <c r="J1030" s="55" t="s">
        <v>7869</v>
      </c>
      <c r="K1030" s="55" t="s">
        <v>61</v>
      </c>
      <c r="L1030" s="55">
        <v>16917.0</v>
      </c>
      <c r="M1030" s="55" t="s">
        <v>78</v>
      </c>
      <c r="N1030" s="55" t="s">
        <v>69</v>
      </c>
      <c r="O1030" s="55" t="s">
        <v>224</v>
      </c>
      <c r="P1030" s="55" t="s">
        <v>110</v>
      </c>
      <c r="Q1030" s="67" t="str">
        <f>IFERROR(__xludf.DUMMYFUNCTION("""COMPUTED_VALUE"""),"Europe.giaotiep.M622xM630_16917_CVS_NamNH_110226")</f>
        <v>Europe.giaotiep.M622xM630_16917_CVS_NamNH_110226</v>
      </c>
      <c r="R1030" s="67" t="str">
        <f>IFERROR(__xludf.DUMMYFUNCTION("""COMPUTED_VALUE"""),"NEW_Europe_1840_none_110226")</f>
        <v>NEW_Europe_1840_none_110226</v>
      </c>
      <c r="S1030" s="67" t="str">
        <f>IFERROR(__xludf.DUMMYFUNCTION("""COMPUTED_VALUE"""),"saletructiep_Europe.M630.1840.giaotiep_PTATT_LD153")</f>
        <v>saletructiep_Europe.M630.1840.giaotiep_PTATT_LD153</v>
      </c>
      <c r="T1030" s="107" t="str">
        <f>IFERROR(__xludf.DUMMYFUNCTION("""COMPUTED_VALUE"""),"https://patadovietnam.edu.vn/tienganhgiaotiep_hn/?utm_source=Facebook&amp;utm_medium=CVS&amp;utm_term=NEW_Europe_1840_none_110226&amp;utm_content=saletructiep_Europe.M630.1840.giaotiep_PTATT_LD153&amp;utm_campaign=Europe.giaotiep.M622xM630_16917_CVS_NamNH_110226")</f>
        <v>https://patadovietnam.edu.vn/tienganhgiaotiep_hn/?utm_source=Facebook&amp;utm_medium=CVS&amp;utm_term=NEW_Europe_1840_none_110226&amp;utm_content=saletructiep_Europe.M630.1840.giaotiep_PTATT_LD153&amp;utm_campaign=Europe.giaotiep.M622xM630_16917_CVS_NamNH_110226</v>
      </c>
      <c r="U1030" s="110" t="s">
        <v>7870</v>
      </c>
    </row>
    <row r="1031">
      <c r="A1031" s="72">
        <v>46064.0</v>
      </c>
      <c r="B1031" s="60" t="s">
        <v>1229</v>
      </c>
      <c r="C1031" s="67" t="str">
        <f>IFERROR(__xludf.DUMMYFUNCTION("""COMPUTED_VALUE"""),"LD164")</f>
        <v>LD164</v>
      </c>
      <c r="D1031" s="55" t="s">
        <v>42</v>
      </c>
      <c r="E1031" s="55" t="s">
        <v>69</v>
      </c>
      <c r="F1031" s="55" t="s">
        <v>133</v>
      </c>
      <c r="G1031" s="55">
        <v>1840.0</v>
      </c>
      <c r="H1031" s="55" t="s">
        <v>1137</v>
      </c>
      <c r="I1031" s="115" t="s">
        <v>7871</v>
      </c>
      <c r="J1031" s="55" t="s">
        <v>7872</v>
      </c>
      <c r="K1031" s="55" t="s">
        <v>61</v>
      </c>
      <c r="L1031" s="55">
        <v>16917.0</v>
      </c>
      <c r="M1031" s="55" t="s">
        <v>78</v>
      </c>
      <c r="N1031" s="55" t="s">
        <v>69</v>
      </c>
      <c r="O1031" s="55" t="s">
        <v>224</v>
      </c>
      <c r="P1031" s="55" t="s">
        <v>110</v>
      </c>
      <c r="Q1031" s="67" t="str">
        <f>IFERROR(__xludf.DUMMYFUNCTION("""COMPUTED_VALUE"""),"Japan.giaotiep.M622xM630_16917_CVS_NamNH_110226")</f>
        <v>Japan.giaotiep.M622xM630_16917_CVS_NamNH_110226</v>
      </c>
      <c r="R1031" s="67" t="str">
        <f>IFERROR(__xludf.DUMMYFUNCTION("""COMPUTED_VALUE"""),"NEW_Japan_1840_none_110226")</f>
        <v>NEW_Japan_1840_none_110226</v>
      </c>
      <c r="S1031" s="67" t="str">
        <f>IFERROR(__xludf.DUMMYFUNCTION("""COMPUTED_VALUE"""),"saletructiep_Japan.M630.1840.giaotiep_PTATT_LD164")</f>
        <v>saletructiep_Japan.M630.1840.giaotiep_PTATT_LD164</v>
      </c>
      <c r="T1031" s="107" t="str">
        <f>IFERROR(__xludf.DUMMYFUNCTION("""COMPUTED_VALUE"""),"https://patadovietnam.edu.vn/gtjapan_nhn3/?utm_source=Facebook&amp;utm_medium=CVS&amp;utm_term=NEW_Japan_1840_none_110226&amp;utm_content=saletructiep_Japan.M630.1840.giaotiep_PTATT_LD164&amp;utm_campaign=Japan.giaotiep.M622xM630_16917_CVS_NamNH_110226")</f>
        <v>https://patadovietnam.edu.vn/gtjapan_nhn3/?utm_source=Facebook&amp;utm_medium=CVS&amp;utm_term=NEW_Japan_1840_none_110226&amp;utm_content=saletructiep_Japan.M630.1840.giaotiep_PTATT_LD164&amp;utm_campaign=Japan.giaotiep.M622xM630_16917_CVS_NamNH_110226</v>
      </c>
      <c r="U1031" s="110" t="s">
        <v>7873</v>
      </c>
    </row>
    <row r="1032">
      <c r="A1032" s="72">
        <v>46064.0</v>
      </c>
      <c r="B1032" s="60" t="s">
        <v>1134</v>
      </c>
      <c r="C1032" s="67" t="str">
        <f>IFERROR(__xludf.DUMMYFUNCTION("""COMPUTED_VALUE"""),"LD153")</f>
        <v>LD153</v>
      </c>
      <c r="D1032" s="55" t="s">
        <v>42</v>
      </c>
      <c r="E1032" s="55" t="s">
        <v>79</v>
      </c>
      <c r="F1032" s="55" t="s">
        <v>539</v>
      </c>
      <c r="G1032" s="55">
        <v>1840.0</v>
      </c>
      <c r="H1032" s="55" t="s">
        <v>1137</v>
      </c>
      <c r="I1032" s="115" t="s">
        <v>7874</v>
      </c>
      <c r="J1032" s="55" t="s">
        <v>7875</v>
      </c>
      <c r="K1032" s="55" t="s">
        <v>61</v>
      </c>
      <c r="L1032" s="55">
        <v>16917.0</v>
      </c>
      <c r="M1032" s="55" t="s">
        <v>78</v>
      </c>
      <c r="N1032" s="55" t="s">
        <v>79</v>
      </c>
      <c r="O1032" s="55" t="s">
        <v>224</v>
      </c>
      <c r="P1032" s="55" t="s">
        <v>110</v>
      </c>
      <c r="Q1032" s="67" t="str">
        <f>IFERROR(__xludf.DUMMYFUNCTION("""COMPUTED_VALUE"""),"ALL.giaotiep.M622xM630_16917_MES_NamNH_110226")</f>
        <v>ALL.giaotiep.M622xM630_16917_MES_NamNH_110226</v>
      </c>
      <c r="R1032" s="67" t="str">
        <f>IFERROR(__xludf.DUMMYFUNCTION("""COMPUTED_VALUE"""),"NEW_ALL_1840_none_110226")</f>
        <v>NEW_ALL_1840_none_110226</v>
      </c>
      <c r="S1032" s="67" t="str">
        <f>IFERROR(__xludf.DUMMYFUNCTION("""COMPUTED_VALUE"""),"saletructiep_ALL.M630.1840.giaotiep_PTATT_LD153")</f>
        <v>saletructiep_ALL.M630.1840.giaotiep_PTATT_LD153</v>
      </c>
      <c r="T1032" s="107" t="str">
        <f>IFERROR(__xludf.DUMMYFUNCTION("""COMPUTED_VALUE"""),"https://patadovietnam.edu.vn/tienganhgiaotiep_hn/?utm_source=Facebook&amp;utm_medium=MES&amp;utm_term=NEW_ALL_1840_none_110226&amp;utm_content=saletructiep_ALL.M630.1840.giaotiep_PTATT_LD153&amp;utm_campaign=ALL.giaotiep.M622xM630_16917_MES_NamNH_110226")</f>
        <v>https://patadovietnam.edu.vn/tienganhgiaotiep_hn/?utm_source=Facebook&amp;utm_medium=MES&amp;utm_term=NEW_ALL_1840_none_110226&amp;utm_content=saletructiep_ALL.M630.1840.giaotiep_PTATT_LD153&amp;utm_campaign=ALL.giaotiep.M622xM630_16917_MES_NamNH_110226</v>
      </c>
      <c r="U1032" s="110" t="s">
        <v>7876</v>
      </c>
    </row>
    <row r="1033">
      <c r="A1033" s="72">
        <v>46083.0</v>
      </c>
      <c r="B1033" s="60" t="s">
        <v>1134</v>
      </c>
      <c r="C1033" s="67" t="str">
        <f>IFERROR(__xludf.DUMMYFUNCTION("""COMPUTED_VALUE"""),"LD153")</f>
        <v>LD153</v>
      </c>
      <c r="D1033" s="55" t="s">
        <v>42</v>
      </c>
      <c r="E1033" s="55" t="s">
        <v>69</v>
      </c>
      <c r="F1033" s="55" t="s">
        <v>674</v>
      </c>
      <c r="G1033" s="55">
        <v>1840.0</v>
      </c>
      <c r="H1033" s="55" t="s">
        <v>1137</v>
      </c>
      <c r="I1033" s="115" t="s">
        <v>7877</v>
      </c>
      <c r="J1033" s="55" t="s">
        <v>2173</v>
      </c>
      <c r="K1033" s="55" t="s">
        <v>61</v>
      </c>
      <c r="L1033" s="55">
        <v>16917.0</v>
      </c>
      <c r="M1033" s="55" t="s">
        <v>78</v>
      </c>
      <c r="N1033" s="55" t="s">
        <v>69</v>
      </c>
      <c r="O1033" s="55" t="s">
        <v>224</v>
      </c>
      <c r="P1033" s="55" t="s">
        <v>110</v>
      </c>
      <c r="Q1033" s="67" t="str">
        <f>IFERROR(__xludf.DUMMYFUNCTION("""COMPUTED_VALUE"""),"Europe.giaotiep.M631xM634_16917_CVS_NamNH_020326")</f>
        <v>Europe.giaotiep.M631xM634_16917_CVS_NamNH_020326</v>
      </c>
      <c r="R1033" s="67" t="str">
        <f>IFERROR(__xludf.DUMMYFUNCTION("""COMPUTED_VALUE"""),"NEW_Europe_1840_none_020326")</f>
        <v>NEW_Europe_1840_none_020326</v>
      </c>
      <c r="S1033" s="67" t="str">
        <f>IFERROR(__xludf.DUMMYFUNCTION("""COMPUTED_VALUE"""),"saletructiep_Europe.M631.1840.giaotiep_PTATT_LD153")</f>
        <v>saletructiep_Europe.M631.1840.giaotiep_PTATT_LD153</v>
      </c>
      <c r="T1033" s="107" t="str">
        <f>IFERROR(__xludf.DUMMYFUNCTION("""COMPUTED_VALUE"""),"https://patadovietnam.edu.vn/tienganhgiaotiep_hn/?utm_source=Facebook&amp;utm_medium=CVS&amp;utm_term=NEW_Europe_1840_none_020326&amp;utm_content=saletructiep_Europe.M631.1840.giaotiep_PTATT_LD153&amp;utm_campaign=Europe.giaotiep.M631xM634_16917_CVS_NamNH_020326")</f>
        <v>https://patadovietnam.edu.vn/tienganhgiaotiep_hn/?utm_source=Facebook&amp;utm_medium=CVS&amp;utm_term=NEW_Europe_1840_none_020326&amp;utm_content=saletructiep_Europe.M631.1840.giaotiep_PTATT_LD153&amp;utm_campaign=Europe.giaotiep.M631xM634_16917_CVS_NamNH_020326</v>
      </c>
      <c r="U1033" s="110" t="s">
        <v>7878</v>
      </c>
    </row>
    <row r="1034" ht="17.25" customHeight="1">
      <c r="A1034" s="72">
        <v>46083.0</v>
      </c>
      <c r="B1034" s="60" t="s">
        <v>1229</v>
      </c>
      <c r="C1034" s="67" t="str">
        <f>IFERROR(__xludf.DUMMYFUNCTION("""COMPUTED_VALUE"""),"LD164")</f>
        <v>LD164</v>
      </c>
      <c r="D1034" s="55" t="s">
        <v>42</v>
      </c>
      <c r="E1034" s="55" t="s">
        <v>69</v>
      </c>
      <c r="F1034" s="55" t="s">
        <v>133</v>
      </c>
      <c r="G1034" s="55">
        <v>1840.0</v>
      </c>
      <c r="H1034" s="55" t="s">
        <v>1137</v>
      </c>
      <c r="I1034" s="115" t="s">
        <v>7879</v>
      </c>
      <c r="J1034" s="55" t="s">
        <v>7880</v>
      </c>
      <c r="K1034" s="55" t="s">
        <v>61</v>
      </c>
      <c r="L1034" s="55">
        <v>16917.0</v>
      </c>
      <c r="M1034" s="55" t="s">
        <v>78</v>
      </c>
      <c r="N1034" s="55" t="s">
        <v>69</v>
      </c>
      <c r="O1034" s="55" t="s">
        <v>224</v>
      </c>
      <c r="P1034" s="55" t="s">
        <v>110</v>
      </c>
      <c r="Q1034" s="67" t="str">
        <f>IFERROR(__xludf.DUMMYFUNCTION("""COMPUTED_VALUE"""),"Japan.giaotiep.M631xM634_16917_CVS_NamNH_020326")</f>
        <v>Japan.giaotiep.M631xM634_16917_CVS_NamNH_020326</v>
      </c>
      <c r="R1034" s="67" t="str">
        <f>IFERROR(__xludf.DUMMYFUNCTION("""COMPUTED_VALUE"""),"NEW_Japan_1840_none_020326")</f>
        <v>NEW_Japan_1840_none_020326</v>
      </c>
      <c r="S1034" s="67" t="str">
        <f>IFERROR(__xludf.DUMMYFUNCTION("""COMPUTED_VALUE"""),"saletructiep_Japan.M631.1840.giaotiep_PTATT_LD164")</f>
        <v>saletructiep_Japan.M631.1840.giaotiep_PTATT_LD164</v>
      </c>
      <c r="T1034" s="107" t="str">
        <f>IFERROR(__xludf.DUMMYFUNCTION("""COMPUTED_VALUE"""),"https://patadovietnam.edu.vn/gtjapan_nhn3/?utm_source=Facebook&amp;utm_medium=CVS&amp;utm_term=NEW_Japan_1840_none_020326&amp;utm_content=saletructiep_Japan.M631.1840.giaotiep_PTATT_LD164&amp;utm_campaign=Japan.giaotiep.M631xM634_16917_CVS_NamNH_020326")</f>
        <v>https://patadovietnam.edu.vn/gtjapan_nhn3/?utm_source=Facebook&amp;utm_medium=CVS&amp;utm_term=NEW_Japan_1840_none_020326&amp;utm_content=saletructiep_Japan.M631.1840.giaotiep_PTATT_LD164&amp;utm_campaign=Japan.giaotiep.M631xM634_16917_CVS_NamNH_020326</v>
      </c>
      <c r="U1034" s="110" t="s">
        <v>7881</v>
      </c>
    </row>
    <row r="1035" ht="19.5" customHeight="1">
      <c r="A1035" s="72">
        <v>46083.0</v>
      </c>
      <c r="B1035" s="60" t="s">
        <v>1134</v>
      </c>
      <c r="C1035" s="67" t="str">
        <f>IFERROR(__xludf.DUMMYFUNCTION("""COMPUTED_VALUE"""),"LD153")</f>
        <v>LD153</v>
      </c>
      <c r="D1035" s="55" t="s">
        <v>42</v>
      </c>
      <c r="E1035" s="55" t="s">
        <v>79</v>
      </c>
      <c r="F1035" s="55" t="s">
        <v>539</v>
      </c>
      <c r="G1035" s="55">
        <v>1840.0</v>
      </c>
      <c r="H1035" s="55" t="s">
        <v>1137</v>
      </c>
      <c r="I1035" s="115" t="s">
        <v>7882</v>
      </c>
      <c r="J1035" s="55" t="s">
        <v>7883</v>
      </c>
      <c r="K1035" s="55" t="s">
        <v>61</v>
      </c>
      <c r="L1035" s="55">
        <v>16917.0</v>
      </c>
      <c r="M1035" s="55" t="s">
        <v>78</v>
      </c>
      <c r="N1035" s="55" t="s">
        <v>79</v>
      </c>
      <c r="O1035" s="55" t="s">
        <v>224</v>
      </c>
      <c r="P1035" s="55" t="s">
        <v>110</v>
      </c>
      <c r="Q1035" s="67" t="str">
        <f>IFERROR(__xludf.DUMMYFUNCTION("""COMPUTED_VALUE"""),"ALL.giaotiep.M631xM634_16917_MES_NamNH_020326")</f>
        <v>ALL.giaotiep.M631xM634_16917_MES_NamNH_020326</v>
      </c>
      <c r="R1035" s="67" t="str">
        <f>IFERROR(__xludf.DUMMYFUNCTION("""COMPUTED_VALUE"""),"NEW_ALL_1840_none_020326")</f>
        <v>NEW_ALL_1840_none_020326</v>
      </c>
      <c r="S1035" s="67" t="str">
        <f>IFERROR(__xludf.DUMMYFUNCTION("""COMPUTED_VALUE"""),"saletructiep_ALL.M631.1840.giaotiep_PTATT_LD153")</f>
        <v>saletructiep_ALL.M631.1840.giaotiep_PTATT_LD153</v>
      </c>
      <c r="T1035" s="107" t="str">
        <f>IFERROR(__xludf.DUMMYFUNCTION("""COMPUTED_VALUE"""),"https://patadovietnam.edu.vn/tienganhgiaotiep_hn/?utm_source=Facebook&amp;utm_medium=MES&amp;utm_term=NEW_ALL_1840_none_020326&amp;utm_content=saletructiep_ALL.M631.1840.giaotiep_PTATT_LD153&amp;utm_campaign=ALL.giaotiep.M631xM634_16917_MES_NamNH_020326")</f>
        <v>https://patadovietnam.edu.vn/tienganhgiaotiep_hn/?utm_source=Facebook&amp;utm_medium=MES&amp;utm_term=NEW_ALL_1840_none_020326&amp;utm_content=saletructiep_ALL.M631.1840.giaotiep_PTATT_LD153&amp;utm_campaign=ALL.giaotiep.M631xM634_16917_MES_NamNH_020326</v>
      </c>
      <c r="U1035" s="110" t="s">
        <v>7884</v>
      </c>
    </row>
    <row r="1036">
      <c r="A1036" s="72">
        <v>46083.0</v>
      </c>
      <c r="B1036" s="60" t="s">
        <v>1134</v>
      </c>
      <c r="C1036" s="67" t="str">
        <f>IFERROR(__xludf.DUMMYFUNCTION("""COMPUTED_VALUE"""),"LD153")</f>
        <v>LD153</v>
      </c>
      <c r="D1036" s="55" t="s">
        <v>42</v>
      </c>
      <c r="E1036" s="55" t="s">
        <v>69</v>
      </c>
      <c r="F1036" s="55" t="s">
        <v>674</v>
      </c>
      <c r="G1036" s="55">
        <v>1840.0</v>
      </c>
      <c r="H1036" s="55" t="s">
        <v>1137</v>
      </c>
      <c r="I1036" s="115" t="s">
        <v>7885</v>
      </c>
      <c r="J1036" s="55" t="s">
        <v>7886</v>
      </c>
      <c r="K1036" s="55" t="s">
        <v>61</v>
      </c>
      <c r="L1036" s="55">
        <v>16917.0</v>
      </c>
      <c r="M1036" s="55" t="s">
        <v>78</v>
      </c>
      <c r="N1036" s="55" t="s">
        <v>69</v>
      </c>
      <c r="O1036" s="55" t="s">
        <v>224</v>
      </c>
      <c r="P1036" s="55" t="s">
        <v>110</v>
      </c>
      <c r="Q1036" s="67" t="str">
        <f>IFERROR(__xludf.DUMMYFUNCTION("""COMPUTED_VALUE"""),"Europe.giaotiep.M633xM637_16917_CVS_NamNH_020326")</f>
        <v>Europe.giaotiep.M633xM637_16917_CVS_NamNH_020326</v>
      </c>
      <c r="R1036" s="67" t="str">
        <f>IFERROR(__xludf.DUMMYFUNCTION("""COMPUTED_VALUE"""),"NEW_Europe_1840_none_020326")</f>
        <v>NEW_Europe_1840_none_020326</v>
      </c>
      <c r="S1036" s="67" t="str">
        <f>IFERROR(__xludf.DUMMYFUNCTION("""COMPUTED_VALUE"""),"saletructiep_Europe.M633.1840.giaotiep_PTATT_LD153")</f>
        <v>saletructiep_Europe.M633.1840.giaotiep_PTATT_LD153</v>
      </c>
      <c r="T1036" s="107" t="str">
        <f>IFERROR(__xludf.DUMMYFUNCTION("""COMPUTED_VALUE"""),"https://patadovietnam.edu.vn/tienganhgiaotiep_hn/?utm_source=Facebook&amp;utm_medium=CVS&amp;utm_term=NEW_Europe_1840_none_020326&amp;utm_content=saletructiep_Europe.M633.1840.giaotiep_PTATT_LD153&amp;utm_campaign=Europe.giaotiep.M633xM637_16917_CVS_NamNH_020326")</f>
        <v>https://patadovietnam.edu.vn/tienganhgiaotiep_hn/?utm_source=Facebook&amp;utm_medium=CVS&amp;utm_term=NEW_Europe_1840_none_020326&amp;utm_content=saletructiep_Europe.M633.1840.giaotiep_PTATT_LD153&amp;utm_campaign=Europe.giaotiep.M633xM637_16917_CVS_NamNH_020326</v>
      </c>
      <c r="U1036" s="110" t="s">
        <v>7887</v>
      </c>
    </row>
    <row r="1037">
      <c r="A1037" s="72">
        <v>46083.0</v>
      </c>
      <c r="B1037" s="60" t="s">
        <v>1229</v>
      </c>
      <c r="C1037" s="67" t="str">
        <f>IFERROR(__xludf.DUMMYFUNCTION("""COMPUTED_VALUE"""),"LD164")</f>
        <v>LD164</v>
      </c>
      <c r="D1037" s="55" t="s">
        <v>42</v>
      </c>
      <c r="E1037" s="55" t="s">
        <v>69</v>
      </c>
      <c r="F1037" s="55" t="s">
        <v>133</v>
      </c>
      <c r="G1037" s="55">
        <v>1840.0</v>
      </c>
      <c r="H1037" s="55" t="s">
        <v>1137</v>
      </c>
      <c r="I1037" s="115" t="s">
        <v>7888</v>
      </c>
      <c r="J1037" s="55" t="s">
        <v>7889</v>
      </c>
      <c r="K1037" s="55" t="s">
        <v>61</v>
      </c>
      <c r="L1037" s="55">
        <v>16917.0</v>
      </c>
      <c r="M1037" s="55" t="s">
        <v>78</v>
      </c>
      <c r="N1037" s="55" t="s">
        <v>69</v>
      </c>
      <c r="O1037" s="55" t="s">
        <v>224</v>
      </c>
      <c r="P1037" s="55" t="s">
        <v>110</v>
      </c>
      <c r="Q1037" s="67" t="str">
        <f>IFERROR(__xludf.DUMMYFUNCTION("""COMPUTED_VALUE"""),"Japan.giaotiep.M633xM637_16917_CVS_NamNH_020326")</f>
        <v>Japan.giaotiep.M633xM637_16917_CVS_NamNH_020326</v>
      </c>
      <c r="R1037" s="67" t="str">
        <f>IFERROR(__xludf.DUMMYFUNCTION("""COMPUTED_VALUE"""),"NEW_Japan_1840_none_020326")</f>
        <v>NEW_Japan_1840_none_020326</v>
      </c>
      <c r="S1037" s="67" t="str">
        <f>IFERROR(__xludf.DUMMYFUNCTION("""COMPUTED_VALUE"""),"saletructiep_Japan.M633.1840.giaotiep_PTATT_LD164")</f>
        <v>saletructiep_Japan.M633.1840.giaotiep_PTATT_LD164</v>
      </c>
      <c r="T1037" s="107" t="str">
        <f>IFERROR(__xludf.DUMMYFUNCTION("""COMPUTED_VALUE"""),"https://patadovietnam.edu.vn/gtjapan_nhn3/?utm_source=Facebook&amp;utm_medium=CVS&amp;utm_term=NEW_Japan_1840_none_020326&amp;utm_content=saletructiep_Japan.M633.1840.giaotiep_PTATT_LD164&amp;utm_campaign=Japan.giaotiep.M633xM637_16917_CVS_NamNH_020326")</f>
        <v>https://patadovietnam.edu.vn/gtjapan_nhn3/?utm_source=Facebook&amp;utm_medium=CVS&amp;utm_term=NEW_Japan_1840_none_020326&amp;utm_content=saletructiep_Japan.M633.1840.giaotiep_PTATT_LD164&amp;utm_campaign=Japan.giaotiep.M633xM637_16917_CVS_NamNH_020326</v>
      </c>
      <c r="U1037" s="110" t="s">
        <v>7890</v>
      </c>
    </row>
    <row r="1038">
      <c r="A1038" s="72">
        <v>46083.0</v>
      </c>
      <c r="B1038" s="60" t="s">
        <v>1134</v>
      </c>
      <c r="C1038" s="67" t="str">
        <f>IFERROR(__xludf.DUMMYFUNCTION("""COMPUTED_VALUE"""),"LD153")</f>
        <v>LD153</v>
      </c>
      <c r="D1038" s="55" t="s">
        <v>42</v>
      </c>
      <c r="E1038" s="55" t="s">
        <v>79</v>
      </c>
      <c r="F1038" s="55" t="s">
        <v>539</v>
      </c>
      <c r="G1038" s="55">
        <v>1840.0</v>
      </c>
      <c r="H1038" s="55" t="s">
        <v>1137</v>
      </c>
      <c r="I1038" s="115" t="s">
        <v>7891</v>
      </c>
      <c r="J1038" s="55" t="s">
        <v>7892</v>
      </c>
      <c r="K1038" s="55" t="s">
        <v>61</v>
      </c>
      <c r="L1038" s="55">
        <v>16917.0</v>
      </c>
      <c r="M1038" s="55" t="s">
        <v>78</v>
      </c>
      <c r="N1038" s="55" t="s">
        <v>79</v>
      </c>
      <c r="O1038" s="55" t="s">
        <v>224</v>
      </c>
      <c r="P1038" s="55" t="s">
        <v>110</v>
      </c>
      <c r="Q1038" s="67" t="str">
        <f>IFERROR(__xludf.DUMMYFUNCTION("""COMPUTED_VALUE"""),"ALL.giaotiep.M633xM637_16917_MES_NamNH_020326")</f>
        <v>ALL.giaotiep.M633xM637_16917_MES_NamNH_020326</v>
      </c>
      <c r="R1038" s="67" t="str">
        <f>IFERROR(__xludf.DUMMYFUNCTION("""COMPUTED_VALUE"""),"NEW_ALL_1840_none_020326")</f>
        <v>NEW_ALL_1840_none_020326</v>
      </c>
      <c r="S1038" s="67" t="str">
        <f>IFERROR(__xludf.DUMMYFUNCTION("""COMPUTED_VALUE"""),"saletructiep_ALL.M633.1840.giaotiep_PTATT_LD153")</f>
        <v>saletructiep_ALL.M633.1840.giaotiep_PTATT_LD153</v>
      </c>
      <c r="T1038" s="107" t="str">
        <f>IFERROR(__xludf.DUMMYFUNCTION("""COMPUTED_VALUE"""),"https://patadovietnam.edu.vn/tienganhgiaotiep_hn/?utm_source=Facebook&amp;utm_medium=MES&amp;utm_term=NEW_ALL_1840_none_020326&amp;utm_content=saletructiep_ALL.M633.1840.giaotiep_PTATT_LD153&amp;utm_campaign=ALL.giaotiep.M633xM637_16917_MES_NamNH_020326")</f>
        <v>https://patadovietnam.edu.vn/tienganhgiaotiep_hn/?utm_source=Facebook&amp;utm_medium=MES&amp;utm_term=NEW_ALL_1840_none_020326&amp;utm_content=saletructiep_ALL.M633.1840.giaotiep_PTATT_LD153&amp;utm_campaign=ALL.giaotiep.M633xM637_16917_MES_NamNH_020326</v>
      </c>
      <c r="U1038" s="110" t="s">
        <v>7893</v>
      </c>
    </row>
    <row r="1039">
      <c r="A1039" s="72">
        <v>46083.0</v>
      </c>
      <c r="B1039" s="60" t="s">
        <v>1134</v>
      </c>
      <c r="C1039" s="67" t="str">
        <f>IFERROR(__xludf.DUMMYFUNCTION("""COMPUTED_VALUE"""),"LD153")</f>
        <v>LD153</v>
      </c>
      <c r="D1039" s="55" t="s">
        <v>42</v>
      </c>
      <c r="E1039" s="55" t="s">
        <v>69</v>
      </c>
      <c r="F1039" s="55" t="s">
        <v>674</v>
      </c>
      <c r="G1039" s="55">
        <v>1840.0</v>
      </c>
      <c r="H1039" s="55" t="s">
        <v>1137</v>
      </c>
      <c r="I1039" s="115" t="s">
        <v>7894</v>
      </c>
      <c r="J1039" s="55" t="s">
        <v>7895</v>
      </c>
      <c r="K1039" s="55" t="s">
        <v>61</v>
      </c>
      <c r="L1039" s="55">
        <v>16917.0</v>
      </c>
      <c r="M1039" s="55" t="s">
        <v>78</v>
      </c>
      <c r="N1039" s="55" t="s">
        <v>69</v>
      </c>
      <c r="O1039" s="55" t="s">
        <v>224</v>
      </c>
      <c r="P1039" s="55" t="s">
        <v>110</v>
      </c>
      <c r="Q1039" s="67" t="str">
        <f>IFERROR(__xludf.DUMMYFUNCTION("""COMPUTED_VALUE"""),"Europe.giaotiep.M636xM638_16917_CVS_NamNH_020326")</f>
        <v>Europe.giaotiep.M636xM638_16917_CVS_NamNH_020326</v>
      </c>
      <c r="R1039" s="67" t="str">
        <f>IFERROR(__xludf.DUMMYFUNCTION("""COMPUTED_VALUE"""),"NEW_Europe_1840_none_020326")</f>
        <v>NEW_Europe_1840_none_020326</v>
      </c>
      <c r="S1039" s="67" t="str">
        <f>IFERROR(__xludf.DUMMYFUNCTION("""COMPUTED_VALUE"""),"saletructiep_Europe.M636.1840.giaotiep_PTATT_LD153")</f>
        <v>saletructiep_Europe.M636.1840.giaotiep_PTATT_LD153</v>
      </c>
      <c r="T1039" s="107" t="str">
        <f>IFERROR(__xludf.DUMMYFUNCTION("""COMPUTED_VALUE"""),"https://patadovietnam.edu.vn/tienganhgiaotiep_hn/?utm_source=Facebook&amp;utm_medium=CVS&amp;utm_term=NEW_Europe_1840_none_020326&amp;utm_content=saletructiep_Europe.M636.1840.giaotiep_PTATT_LD153&amp;utm_campaign=Europe.giaotiep.M636xM638_16917_CVS_NamNH_020326")</f>
        <v>https://patadovietnam.edu.vn/tienganhgiaotiep_hn/?utm_source=Facebook&amp;utm_medium=CVS&amp;utm_term=NEW_Europe_1840_none_020326&amp;utm_content=saletructiep_Europe.M636.1840.giaotiep_PTATT_LD153&amp;utm_campaign=Europe.giaotiep.M636xM638_16917_CVS_NamNH_020326</v>
      </c>
      <c r="U1039" s="110" t="s">
        <v>7896</v>
      </c>
    </row>
    <row r="1040">
      <c r="A1040" s="72">
        <v>46083.0</v>
      </c>
      <c r="B1040" s="60" t="s">
        <v>1229</v>
      </c>
      <c r="C1040" s="67" t="str">
        <f>IFERROR(__xludf.DUMMYFUNCTION("""COMPUTED_VALUE"""),"LD164")</f>
        <v>LD164</v>
      </c>
      <c r="D1040" s="55" t="s">
        <v>42</v>
      </c>
      <c r="E1040" s="55" t="s">
        <v>69</v>
      </c>
      <c r="F1040" s="55" t="s">
        <v>133</v>
      </c>
      <c r="G1040" s="55">
        <v>1840.0</v>
      </c>
      <c r="H1040" s="55" t="s">
        <v>1137</v>
      </c>
      <c r="I1040" s="115" t="s">
        <v>7897</v>
      </c>
      <c r="J1040" s="55" t="s">
        <v>7898</v>
      </c>
      <c r="K1040" s="55" t="s">
        <v>61</v>
      </c>
      <c r="L1040" s="55">
        <v>16917.0</v>
      </c>
      <c r="M1040" s="55" t="s">
        <v>78</v>
      </c>
      <c r="N1040" s="55" t="s">
        <v>69</v>
      </c>
      <c r="O1040" s="55" t="s">
        <v>224</v>
      </c>
      <c r="P1040" s="55" t="s">
        <v>110</v>
      </c>
      <c r="Q1040" s="67" t="str">
        <f>IFERROR(__xludf.DUMMYFUNCTION("""COMPUTED_VALUE"""),"Japan.giaotiep.M636xM638_16917_CVS_NamNH_020326")</f>
        <v>Japan.giaotiep.M636xM638_16917_CVS_NamNH_020326</v>
      </c>
      <c r="R1040" s="67" t="str">
        <f>IFERROR(__xludf.DUMMYFUNCTION("""COMPUTED_VALUE"""),"NEW_Japan_1840_none_020326")</f>
        <v>NEW_Japan_1840_none_020326</v>
      </c>
      <c r="S1040" s="67" t="str">
        <f>IFERROR(__xludf.DUMMYFUNCTION("""COMPUTED_VALUE"""),"saletructiep_Japan.M636.1840.giaotiep_PTATT_LD164")</f>
        <v>saletructiep_Japan.M636.1840.giaotiep_PTATT_LD164</v>
      </c>
      <c r="T1040" s="107" t="str">
        <f>IFERROR(__xludf.DUMMYFUNCTION("""COMPUTED_VALUE"""),"https://patadovietnam.edu.vn/gtjapan_nhn3/?utm_source=Facebook&amp;utm_medium=CVS&amp;utm_term=NEW_Japan_1840_none_020326&amp;utm_content=saletructiep_Japan.M636.1840.giaotiep_PTATT_LD164&amp;utm_campaign=Japan.giaotiep.M636xM638_16917_CVS_NamNH_020326")</f>
        <v>https://patadovietnam.edu.vn/gtjapan_nhn3/?utm_source=Facebook&amp;utm_medium=CVS&amp;utm_term=NEW_Japan_1840_none_020326&amp;utm_content=saletructiep_Japan.M636.1840.giaotiep_PTATT_LD164&amp;utm_campaign=Japan.giaotiep.M636xM638_16917_CVS_NamNH_020326</v>
      </c>
      <c r="U1040" s="110" t="s">
        <v>7899</v>
      </c>
    </row>
    <row r="1041">
      <c r="A1041" s="72">
        <v>46083.0</v>
      </c>
      <c r="B1041" s="60" t="s">
        <v>1134</v>
      </c>
      <c r="C1041" s="67" t="str">
        <f>IFERROR(__xludf.DUMMYFUNCTION("""COMPUTED_VALUE"""),"LD153")</f>
        <v>LD153</v>
      </c>
      <c r="D1041" s="55" t="s">
        <v>42</v>
      </c>
      <c r="E1041" s="55" t="s">
        <v>79</v>
      </c>
      <c r="F1041" s="55" t="s">
        <v>539</v>
      </c>
      <c r="G1041" s="55">
        <v>1840.0</v>
      </c>
      <c r="H1041" s="55" t="s">
        <v>1137</v>
      </c>
      <c r="I1041" s="115" t="s">
        <v>7900</v>
      </c>
      <c r="J1041" s="55" t="s">
        <v>7901</v>
      </c>
      <c r="K1041" s="55" t="s">
        <v>61</v>
      </c>
      <c r="L1041" s="55">
        <v>16917.0</v>
      </c>
      <c r="M1041" s="55" t="s">
        <v>78</v>
      </c>
      <c r="N1041" s="55" t="s">
        <v>79</v>
      </c>
      <c r="O1041" s="55" t="s">
        <v>224</v>
      </c>
      <c r="P1041" s="55" t="s">
        <v>110</v>
      </c>
      <c r="Q1041" s="67" t="str">
        <f>IFERROR(__xludf.DUMMYFUNCTION("""COMPUTED_VALUE"""),"ALL.giaotiep.M636xM638_16917_MES_NamNH_020326")</f>
        <v>ALL.giaotiep.M636xM638_16917_MES_NamNH_020326</v>
      </c>
      <c r="R1041" s="67" t="str">
        <f>IFERROR(__xludf.DUMMYFUNCTION("""COMPUTED_VALUE"""),"NEW_ALL_1840_none_020326")</f>
        <v>NEW_ALL_1840_none_020326</v>
      </c>
      <c r="S1041" s="67" t="str">
        <f>IFERROR(__xludf.DUMMYFUNCTION("""COMPUTED_VALUE"""),"saletructiep_ALL.M636.1840.giaotiep_PTATT_LD153")</f>
        <v>saletructiep_ALL.M636.1840.giaotiep_PTATT_LD153</v>
      </c>
      <c r="T1041" s="107" t="str">
        <f>IFERROR(__xludf.DUMMYFUNCTION("""COMPUTED_VALUE"""),"https://patadovietnam.edu.vn/tienganhgiaotiep_hn/?utm_source=Facebook&amp;utm_medium=MES&amp;utm_term=NEW_ALL_1840_none_020326&amp;utm_content=saletructiep_ALL.M636.1840.giaotiep_PTATT_LD153&amp;utm_campaign=ALL.giaotiep.M636xM638_16917_MES_NamNH_020326")</f>
        <v>https://patadovietnam.edu.vn/tienganhgiaotiep_hn/?utm_source=Facebook&amp;utm_medium=MES&amp;utm_term=NEW_ALL_1840_none_020326&amp;utm_content=saletructiep_ALL.M636.1840.giaotiep_PTATT_LD153&amp;utm_campaign=ALL.giaotiep.M636xM638_16917_MES_NamNH_020326</v>
      </c>
      <c r="U1041" s="110" t="s">
        <v>7902</v>
      </c>
    </row>
    <row r="1042">
      <c r="A1042" s="72">
        <v>46086.0</v>
      </c>
      <c r="B1042" s="60" t="s">
        <v>1134</v>
      </c>
      <c r="C1042" s="67" t="str">
        <f>IFERROR(__xludf.DUMMYFUNCTION("""COMPUTED_VALUE"""),"LD153")</f>
        <v>LD153</v>
      </c>
      <c r="D1042" s="55" t="s">
        <v>42</v>
      </c>
      <c r="E1042" s="55" t="s">
        <v>69</v>
      </c>
      <c r="F1042" s="55" t="s">
        <v>674</v>
      </c>
      <c r="G1042" s="55">
        <v>1840.0</v>
      </c>
      <c r="H1042" s="55" t="s">
        <v>1137</v>
      </c>
      <c r="I1042" s="115" t="s">
        <v>7903</v>
      </c>
      <c r="J1042" s="55" t="s">
        <v>6523</v>
      </c>
      <c r="K1042" s="55" t="s">
        <v>61</v>
      </c>
      <c r="L1042" s="55">
        <v>16917.0</v>
      </c>
      <c r="M1042" s="55" t="s">
        <v>78</v>
      </c>
      <c r="N1042" s="55" t="s">
        <v>69</v>
      </c>
      <c r="O1042" s="55" t="s">
        <v>224</v>
      </c>
      <c r="P1042" s="55" t="s">
        <v>110</v>
      </c>
      <c r="Q1042" s="67" t="str">
        <f>IFERROR(__xludf.DUMMYFUNCTION("""COMPUTED_VALUE"""),"Europe.giaotiep.M632xM640_16917_CVS_NamNH_050326")</f>
        <v>Europe.giaotiep.M632xM640_16917_CVS_NamNH_050326</v>
      </c>
      <c r="R1042" s="67" t="str">
        <f>IFERROR(__xludf.DUMMYFUNCTION("""COMPUTED_VALUE"""),"NEW_Europe_1840_none_050326")</f>
        <v>NEW_Europe_1840_none_050326</v>
      </c>
      <c r="S1042" s="67" t="str">
        <f>IFERROR(__xludf.DUMMYFUNCTION("""COMPUTED_VALUE"""),"saletructiep_Europe.M632.1840.giaotiep_PTATT_LD153")</f>
        <v>saletructiep_Europe.M632.1840.giaotiep_PTATT_LD153</v>
      </c>
      <c r="T1042" s="107" t="str">
        <f>IFERROR(__xludf.DUMMYFUNCTION("""COMPUTED_VALUE"""),"https://patadovietnam.edu.vn/tienganhgiaotiep_hn/?utm_source=Facebook&amp;utm_medium=CVS&amp;utm_term=NEW_Europe_1840_none_050326&amp;utm_content=saletructiep_Europe.M632.1840.giaotiep_PTATT_LD153&amp;utm_campaign=Europe.giaotiep.M632xM640_16917_CVS_NamNH_050326")</f>
        <v>https://patadovietnam.edu.vn/tienganhgiaotiep_hn/?utm_source=Facebook&amp;utm_medium=CVS&amp;utm_term=NEW_Europe_1840_none_050326&amp;utm_content=saletructiep_Europe.M632.1840.giaotiep_PTATT_LD153&amp;utm_campaign=Europe.giaotiep.M632xM640_16917_CVS_NamNH_050326</v>
      </c>
      <c r="U1042" s="110" t="s">
        <v>7904</v>
      </c>
    </row>
    <row r="1043">
      <c r="A1043" s="72">
        <v>46086.0</v>
      </c>
      <c r="B1043" s="60" t="s">
        <v>1229</v>
      </c>
      <c r="C1043" s="67" t="str">
        <f>IFERROR(__xludf.DUMMYFUNCTION("""COMPUTED_VALUE"""),"LD164")</f>
        <v>LD164</v>
      </c>
      <c r="D1043" s="55" t="s">
        <v>42</v>
      </c>
      <c r="E1043" s="55" t="s">
        <v>69</v>
      </c>
      <c r="F1043" s="55" t="s">
        <v>133</v>
      </c>
      <c r="G1043" s="55">
        <v>1840.0</v>
      </c>
      <c r="H1043" s="55" t="s">
        <v>1137</v>
      </c>
      <c r="I1043" s="115" t="s">
        <v>7905</v>
      </c>
      <c r="J1043" s="55" t="s">
        <v>6536</v>
      </c>
      <c r="K1043" s="55" t="s">
        <v>61</v>
      </c>
      <c r="L1043" s="55">
        <v>16917.0</v>
      </c>
      <c r="M1043" s="55" t="s">
        <v>78</v>
      </c>
      <c r="N1043" s="55" t="s">
        <v>69</v>
      </c>
      <c r="O1043" s="55" t="s">
        <v>224</v>
      </c>
      <c r="P1043" s="55" t="s">
        <v>110</v>
      </c>
      <c r="Q1043" s="67" t="str">
        <f>IFERROR(__xludf.DUMMYFUNCTION("""COMPUTED_VALUE"""),"Japan.giaotiep.M632xM640_16917_CVS_NamNH_050326")</f>
        <v>Japan.giaotiep.M632xM640_16917_CVS_NamNH_050326</v>
      </c>
      <c r="R1043" s="67" t="str">
        <f>IFERROR(__xludf.DUMMYFUNCTION("""COMPUTED_VALUE"""),"NEW_Japan_1840_none_050326")</f>
        <v>NEW_Japan_1840_none_050326</v>
      </c>
      <c r="S1043" s="67" t="str">
        <f>IFERROR(__xludf.DUMMYFUNCTION("""COMPUTED_VALUE"""),"saletructiep_Japan.M632.1840.giaotiep_PTATT_LD164")</f>
        <v>saletructiep_Japan.M632.1840.giaotiep_PTATT_LD164</v>
      </c>
      <c r="T1043" s="107" t="str">
        <f>IFERROR(__xludf.DUMMYFUNCTION("""COMPUTED_VALUE"""),"https://patadovietnam.edu.vn/gtjapan_nhn3/?utm_source=Facebook&amp;utm_medium=CVS&amp;utm_term=NEW_Japan_1840_none_050326&amp;utm_content=saletructiep_Japan.M632.1840.giaotiep_PTATT_LD164&amp;utm_campaign=Japan.giaotiep.M632xM640_16917_CVS_NamNH_050326")</f>
        <v>https://patadovietnam.edu.vn/gtjapan_nhn3/?utm_source=Facebook&amp;utm_medium=CVS&amp;utm_term=NEW_Japan_1840_none_050326&amp;utm_content=saletructiep_Japan.M632.1840.giaotiep_PTATT_LD164&amp;utm_campaign=Japan.giaotiep.M632xM640_16917_CVS_NamNH_050326</v>
      </c>
      <c r="U1043" s="110" t="s">
        <v>7906</v>
      </c>
    </row>
    <row r="1044">
      <c r="A1044" s="72">
        <v>46086.0</v>
      </c>
      <c r="B1044" s="60" t="s">
        <v>1134</v>
      </c>
      <c r="C1044" s="67" t="str">
        <f>IFERROR(__xludf.DUMMYFUNCTION("""COMPUTED_VALUE"""),"LD153")</f>
        <v>LD153</v>
      </c>
      <c r="D1044" s="55" t="s">
        <v>42</v>
      </c>
      <c r="E1044" s="55" t="s">
        <v>79</v>
      </c>
      <c r="F1044" s="55" t="s">
        <v>539</v>
      </c>
      <c r="G1044" s="55">
        <v>1840.0</v>
      </c>
      <c r="H1044" s="55" t="s">
        <v>1137</v>
      </c>
      <c r="I1044" s="115" t="s">
        <v>7907</v>
      </c>
      <c r="J1044" s="55" t="s">
        <v>7908</v>
      </c>
      <c r="K1044" s="55" t="s">
        <v>61</v>
      </c>
      <c r="L1044" s="55">
        <v>16917.0</v>
      </c>
      <c r="M1044" s="55" t="s">
        <v>78</v>
      </c>
      <c r="N1044" s="55" t="s">
        <v>79</v>
      </c>
      <c r="O1044" s="55" t="s">
        <v>224</v>
      </c>
      <c r="P1044" s="55" t="s">
        <v>110</v>
      </c>
      <c r="Q1044" s="67" t="str">
        <f>IFERROR(__xludf.DUMMYFUNCTION("""COMPUTED_VALUE"""),"ALL.giaotiep.M632xM640_16917_MES_NamNH_050326")</f>
        <v>ALL.giaotiep.M632xM640_16917_MES_NamNH_050326</v>
      </c>
      <c r="R1044" s="67" t="str">
        <f>IFERROR(__xludf.DUMMYFUNCTION("""COMPUTED_VALUE"""),"NEW_ALL_1840_none_050326")</f>
        <v>NEW_ALL_1840_none_050326</v>
      </c>
      <c r="S1044" s="67" t="str">
        <f>IFERROR(__xludf.DUMMYFUNCTION("""COMPUTED_VALUE"""),"saletructiep_ALL.M632.1840.giaotiep_PTATT_LD153")</f>
        <v>saletructiep_ALL.M632.1840.giaotiep_PTATT_LD153</v>
      </c>
      <c r="T1044" s="107" t="str">
        <f>IFERROR(__xludf.DUMMYFUNCTION("""COMPUTED_VALUE"""),"https://patadovietnam.edu.vn/tienganhgiaotiep_hn/?utm_source=Facebook&amp;utm_medium=MES&amp;utm_term=NEW_ALL_1840_none_050326&amp;utm_content=saletructiep_ALL.M632.1840.giaotiep_PTATT_LD153&amp;utm_campaign=ALL.giaotiep.M632xM640_16917_MES_NamNH_050326")</f>
        <v>https://patadovietnam.edu.vn/tienganhgiaotiep_hn/?utm_source=Facebook&amp;utm_medium=MES&amp;utm_term=NEW_ALL_1840_none_050326&amp;utm_content=saletructiep_ALL.M632.1840.giaotiep_PTATT_LD153&amp;utm_campaign=ALL.giaotiep.M632xM640_16917_MES_NamNH_050326</v>
      </c>
      <c r="U1044" s="110" t="s">
        <v>7909</v>
      </c>
    </row>
    <row r="1045">
      <c r="A1045" s="72">
        <v>46100.0</v>
      </c>
      <c r="B1045" s="60" t="s">
        <v>1134</v>
      </c>
      <c r="C1045" s="67" t="str">
        <f>IFERROR(__xludf.DUMMYFUNCTION("""COMPUTED_VALUE"""),"LD153")</f>
        <v>LD153</v>
      </c>
      <c r="D1045" s="55" t="s">
        <v>42</v>
      </c>
      <c r="E1045" s="55" t="s">
        <v>69</v>
      </c>
      <c r="F1045" s="55" t="s">
        <v>674</v>
      </c>
      <c r="G1045" s="55">
        <v>1840.0</v>
      </c>
      <c r="H1045" s="55" t="s">
        <v>1137</v>
      </c>
      <c r="I1045" s="115" t="s">
        <v>7910</v>
      </c>
      <c r="J1045" s="55" t="s">
        <v>7911</v>
      </c>
      <c r="K1045" s="55" t="s">
        <v>61</v>
      </c>
      <c r="L1045" s="55">
        <v>16917.0</v>
      </c>
      <c r="M1045" s="55" t="s">
        <v>78</v>
      </c>
      <c r="N1045" s="55" t="s">
        <v>69</v>
      </c>
      <c r="O1045" s="55" t="s">
        <v>224</v>
      </c>
      <c r="P1045" s="55" t="s">
        <v>110</v>
      </c>
      <c r="Q1045" s="67" t="str">
        <f>IFERROR(__xludf.DUMMYFUNCTION("""COMPUTED_VALUE"""),"Europe.giaotiep.M646xM647_16917_CVS_NamNH_190326")</f>
        <v>Europe.giaotiep.M646xM647_16917_CVS_NamNH_190326</v>
      </c>
      <c r="R1045" s="67" t="str">
        <f>IFERROR(__xludf.DUMMYFUNCTION("""COMPUTED_VALUE"""),"NEW_Europe_1840_none_190326")</f>
        <v>NEW_Europe_1840_none_190326</v>
      </c>
      <c r="S1045" s="67" t="str">
        <f>IFERROR(__xludf.DUMMYFUNCTION("""COMPUTED_VALUE"""),"saletructiep_Europe.M646.1840.giaotiep_PTATT_LD153")</f>
        <v>saletructiep_Europe.M646.1840.giaotiep_PTATT_LD153</v>
      </c>
      <c r="T1045" s="107" t="str">
        <f>IFERROR(__xludf.DUMMYFUNCTION("""COMPUTED_VALUE"""),"https://patadovietnam.edu.vn/tienganhgiaotiep_hn/?utm_source=Facebook&amp;utm_medium=CVS&amp;utm_term=NEW_Europe_1840_none_190326&amp;utm_content=saletructiep_Europe.M646.1840.giaotiep_PTATT_LD153&amp;utm_campaign=Europe.giaotiep.M646xM647_16917_CVS_NamNH_190326")</f>
        <v>https://patadovietnam.edu.vn/tienganhgiaotiep_hn/?utm_source=Facebook&amp;utm_medium=CVS&amp;utm_term=NEW_Europe_1840_none_190326&amp;utm_content=saletructiep_Europe.M646.1840.giaotiep_PTATT_LD153&amp;utm_campaign=Europe.giaotiep.M646xM647_16917_CVS_NamNH_190326</v>
      </c>
      <c r="U1045" s="110" t="s">
        <v>7912</v>
      </c>
    </row>
    <row r="1046">
      <c r="A1046" s="72">
        <v>46100.0</v>
      </c>
      <c r="B1046" s="60" t="s">
        <v>1229</v>
      </c>
      <c r="C1046" s="67" t="str">
        <f>IFERROR(__xludf.DUMMYFUNCTION("""COMPUTED_VALUE"""),"LD164")</f>
        <v>LD164</v>
      </c>
      <c r="D1046" s="55" t="s">
        <v>42</v>
      </c>
      <c r="E1046" s="55" t="s">
        <v>69</v>
      </c>
      <c r="F1046" s="55" t="s">
        <v>133</v>
      </c>
      <c r="G1046" s="55">
        <v>1840.0</v>
      </c>
      <c r="H1046" s="55" t="s">
        <v>1137</v>
      </c>
      <c r="I1046" s="115" t="s">
        <v>7913</v>
      </c>
      <c r="J1046" s="55" t="s">
        <v>7914</v>
      </c>
      <c r="K1046" s="55" t="s">
        <v>61</v>
      </c>
      <c r="L1046" s="55">
        <v>16917.0</v>
      </c>
      <c r="M1046" s="55" t="s">
        <v>78</v>
      </c>
      <c r="N1046" s="55" t="s">
        <v>69</v>
      </c>
      <c r="O1046" s="55" t="s">
        <v>224</v>
      </c>
      <c r="P1046" s="55" t="s">
        <v>110</v>
      </c>
      <c r="Q1046" s="67" t="str">
        <f>IFERROR(__xludf.DUMMYFUNCTION("""COMPUTED_VALUE"""),"Japan.giaotiep.M646xM647_16917_CVS_NamNH_190326")</f>
        <v>Japan.giaotiep.M646xM647_16917_CVS_NamNH_190326</v>
      </c>
      <c r="R1046" s="67" t="str">
        <f>IFERROR(__xludf.DUMMYFUNCTION("""COMPUTED_VALUE"""),"NEW_Japan_1840_none_190326")</f>
        <v>NEW_Japan_1840_none_190326</v>
      </c>
      <c r="S1046" s="67" t="str">
        <f>IFERROR(__xludf.DUMMYFUNCTION("""COMPUTED_VALUE"""),"saletructiep_Japan.M646.1840.giaotiep_PTATT_LD164")</f>
        <v>saletructiep_Japan.M646.1840.giaotiep_PTATT_LD164</v>
      </c>
      <c r="T1046" s="107" t="str">
        <f>IFERROR(__xludf.DUMMYFUNCTION("""COMPUTED_VALUE"""),"https://patadovietnam.edu.vn/gtjapan_nhn3/?utm_source=Facebook&amp;utm_medium=CVS&amp;utm_term=NEW_Japan_1840_none_190326&amp;utm_content=saletructiep_Japan.M646.1840.giaotiep_PTATT_LD164&amp;utm_campaign=Japan.giaotiep.M646xM647_16917_CVS_NamNH_190326")</f>
        <v>https://patadovietnam.edu.vn/gtjapan_nhn3/?utm_source=Facebook&amp;utm_medium=CVS&amp;utm_term=NEW_Japan_1840_none_190326&amp;utm_content=saletructiep_Japan.M646.1840.giaotiep_PTATT_LD164&amp;utm_campaign=Japan.giaotiep.M646xM647_16917_CVS_NamNH_190326</v>
      </c>
      <c r="U1046" s="110" t="s">
        <v>7915</v>
      </c>
    </row>
    <row r="1047">
      <c r="A1047" s="72">
        <v>46100.0</v>
      </c>
      <c r="B1047" s="60" t="s">
        <v>1134</v>
      </c>
      <c r="C1047" s="67" t="str">
        <f>IFERROR(__xludf.DUMMYFUNCTION("""COMPUTED_VALUE"""),"LD153")</f>
        <v>LD153</v>
      </c>
      <c r="D1047" s="55" t="s">
        <v>42</v>
      </c>
      <c r="E1047" s="55" t="s">
        <v>79</v>
      </c>
      <c r="F1047" s="55" t="s">
        <v>539</v>
      </c>
      <c r="G1047" s="55">
        <v>1840.0</v>
      </c>
      <c r="H1047" s="55" t="s">
        <v>1137</v>
      </c>
      <c r="I1047" s="115" t="s">
        <v>7916</v>
      </c>
      <c r="J1047" s="55" t="s">
        <v>7917</v>
      </c>
      <c r="K1047" s="55" t="s">
        <v>61</v>
      </c>
      <c r="L1047" s="55">
        <v>16917.0</v>
      </c>
      <c r="M1047" s="55" t="s">
        <v>78</v>
      </c>
      <c r="N1047" s="55" t="s">
        <v>79</v>
      </c>
      <c r="O1047" s="55" t="s">
        <v>224</v>
      </c>
      <c r="P1047" s="55" t="s">
        <v>110</v>
      </c>
      <c r="Q1047" s="67" t="str">
        <f>IFERROR(__xludf.DUMMYFUNCTION("""COMPUTED_VALUE"""),"ALL.giaotiep.M646xM647_16917_MES_NamNH_190326")</f>
        <v>ALL.giaotiep.M646xM647_16917_MES_NamNH_190326</v>
      </c>
      <c r="R1047" s="67" t="str">
        <f>IFERROR(__xludf.DUMMYFUNCTION("""COMPUTED_VALUE"""),"NEW_ALL_1840_none_190326")</f>
        <v>NEW_ALL_1840_none_190326</v>
      </c>
      <c r="S1047" s="67" t="str">
        <f>IFERROR(__xludf.DUMMYFUNCTION("""COMPUTED_VALUE"""),"saletructiep_ALL.M646.1840.giaotiep_PTATT_LD153")</f>
        <v>saletructiep_ALL.M646.1840.giaotiep_PTATT_LD153</v>
      </c>
      <c r="T1047" s="107" t="str">
        <f>IFERROR(__xludf.DUMMYFUNCTION("""COMPUTED_VALUE"""),"https://patadovietnam.edu.vn/tienganhgiaotiep_hn/?utm_source=Facebook&amp;utm_medium=MES&amp;utm_term=NEW_ALL_1840_none_190326&amp;utm_content=saletructiep_ALL.M646.1840.giaotiep_PTATT_LD153&amp;utm_campaign=ALL.giaotiep.M646xM647_16917_MES_NamNH_190326")</f>
        <v>https://patadovietnam.edu.vn/tienganhgiaotiep_hn/?utm_source=Facebook&amp;utm_medium=MES&amp;utm_term=NEW_ALL_1840_none_190326&amp;utm_content=saletructiep_ALL.M646.1840.giaotiep_PTATT_LD153&amp;utm_campaign=ALL.giaotiep.M646xM647_16917_MES_NamNH_190326</v>
      </c>
      <c r="U1047" s="110" t="s">
        <v>7918</v>
      </c>
    </row>
    <row r="1048">
      <c r="A1048" s="72">
        <v>46113.0</v>
      </c>
      <c r="B1048" s="60" t="s">
        <v>1134</v>
      </c>
      <c r="C1048" s="67" t="str">
        <f>IFERROR(__xludf.DUMMYFUNCTION("""COMPUTED_VALUE"""),"LD153")</f>
        <v>LD153</v>
      </c>
      <c r="D1048" s="55" t="s">
        <v>42</v>
      </c>
      <c r="E1048" s="55" t="s">
        <v>69</v>
      </c>
      <c r="F1048" s="55" t="s">
        <v>674</v>
      </c>
      <c r="G1048" s="55">
        <v>1840.0</v>
      </c>
      <c r="H1048" s="55" t="s">
        <v>1137</v>
      </c>
      <c r="I1048" s="115" t="s">
        <v>7919</v>
      </c>
      <c r="J1048" s="55" t="s">
        <v>6325</v>
      </c>
      <c r="K1048" s="55" t="s">
        <v>61</v>
      </c>
      <c r="L1048" s="55">
        <v>16917.0</v>
      </c>
      <c r="M1048" s="55" t="s">
        <v>78</v>
      </c>
      <c r="N1048" s="55" t="s">
        <v>69</v>
      </c>
      <c r="O1048" s="55" t="s">
        <v>224</v>
      </c>
      <c r="P1048" s="55" t="s">
        <v>110</v>
      </c>
      <c r="Q1048" s="67" t="str">
        <f>IFERROR(__xludf.DUMMYFUNCTION("""COMPUTED_VALUE"""),"Europe.giaotiep.M635xM643_16917_CVS_NamNH_010426")</f>
        <v>Europe.giaotiep.M635xM643_16917_CVS_NamNH_010426</v>
      </c>
      <c r="R1048" s="67" t="str">
        <f>IFERROR(__xludf.DUMMYFUNCTION("""COMPUTED_VALUE"""),"NEW_Europe_1840_none_010426")</f>
        <v>NEW_Europe_1840_none_010426</v>
      </c>
      <c r="S1048" s="67" t="str">
        <f>IFERROR(__xludf.DUMMYFUNCTION("""COMPUTED_VALUE"""),"saletructiep_Europe.M635.1840.giaotiep_PTATT_LD153")</f>
        <v>saletructiep_Europe.M635.1840.giaotiep_PTATT_LD153</v>
      </c>
      <c r="T1048" s="107" t="str">
        <f>IFERROR(__xludf.DUMMYFUNCTION("""COMPUTED_VALUE"""),"https://patadovietnam.edu.vn/tienganhgiaotiep_hn/?utm_source=Facebook&amp;utm_medium=CVS&amp;utm_term=NEW_Europe_1840_none_010426&amp;utm_content=saletructiep_Europe.M635.1840.giaotiep_PTATT_LD153&amp;utm_campaign=Europe.giaotiep.M635xM643_16917_CVS_NamNH_010426")</f>
        <v>https://patadovietnam.edu.vn/tienganhgiaotiep_hn/?utm_source=Facebook&amp;utm_medium=CVS&amp;utm_term=NEW_Europe_1840_none_010426&amp;utm_content=saletructiep_Europe.M635.1840.giaotiep_PTATT_LD153&amp;utm_campaign=Europe.giaotiep.M635xM643_16917_CVS_NamNH_010426</v>
      </c>
      <c r="U1048" s="110" t="s">
        <v>7920</v>
      </c>
    </row>
    <row r="1049">
      <c r="A1049" s="72">
        <v>46113.0</v>
      </c>
      <c r="B1049" s="60" t="s">
        <v>1229</v>
      </c>
      <c r="C1049" s="67" t="str">
        <f>IFERROR(__xludf.DUMMYFUNCTION("""COMPUTED_VALUE"""),"LD164")</f>
        <v>LD164</v>
      </c>
      <c r="D1049" s="55" t="s">
        <v>42</v>
      </c>
      <c r="E1049" s="55" t="s">
        <v>69</v>
      </c>
      <c r="F1049" s="55" t="s">
        <v>133</v>
      </c>
      <c r="G1049" s="55">
        <v>1840.0</v>
      </c>
      <c r="H1049" s="55" t="s">
        <v>1137</v>
      </c>
      <c r="I1049" s="115" t="s">
        <v>7921</v>
      </c>
      <c r="J1049" s="55" t="s">
        <v>7922</v>
      </c>
      <c r="K1049" s="55" t="s">
        <v>61</v>
      </c>
      <c r="L1049" s="55">
        <v>16917.0</v>
      </c>
      <c r="M1049" s="55" t="s">
        <v>78</v>
      </c>
      <c r="N1049" s="55" t="s">
        <v>69</v>
      </c>
      <c r="O1049" s="55" t="s">
        <v>224</v>
      </c>
      <c r="P1049" s="55" t="s">
        <v>110</v>
      </c>
      <c r="Q1049" s="67" t="str">
        <f>IFERROR(__xludf.DUMMYFUNCTION("""COMPUTED_VALUE"""),"Japan.giaotiep.M635xM643_16917_CVS_NamNH_010426")</f>
        <v>Japan.giaotiep.M635xM643_16917_CVS_NamNH_010426</v>
      </c>
      <c r="R1049" s="67" t="str">
        <f>IFERROR(__xludf.DUMMYFUNCTION("""COMPUTED_VALUE"""),"NEW_Japan_1840_none_010426")</f>
        <v>NEW_Japan_1840_none_010426</v>
      </c>
      <c r="S1049" s="67" t="str">
        <f>IFERROR(__xludf.DUMMYFUNCTION("""COMPUTED_VALUE"""),"saletructiep_Japan.M635.1840.giaotiep_PTATT_LD164")</f>
        <v>saletructiep_Japan.M635.1840.giaotiep_PTATT_LD164</v>
      </c>
      <c r="T1049" s="107" t="str">
        <f>IFERROR(__xludf.DUMMYFUNCTION("""COMPUTED_VALUE"""),"https://patadovietnam.edu.vn/gtjapan_nhn3/?utm_source=Facebook&amp;utm_medium=CVS&amp;utm_term=NEW_Japan_1840_none_010426&amp;utm_content=saletructiep_Japan.M635.1840.giaotiep_PTATT_LD164&amp;utm_campaign=Japan.giaotiep.M635xM643_16917_CVS_NamNH_010426")</f>
        <v>https://patadovietnam.edu.vn/gtjapan_nhn3/?utm_source=Facebook&amp;utm_medium=CVS&amp;utm_term=NEW_Japan_1840_none_010426&amp;utm_content=saletructiep_Japan.M635.1840.giaotiep_PTATT_LD164&amp;utm_campaign=Japan.giaotiep.M635xM643_16917_CVS_NamNH_010426</v>
      </c>
      <c r="U1049" s="110" t="s">
        <v>7923</v>
      </c>
    </row>
    <row r="1050">
      <c r="A1050" s="72">
        <v>46113.0</v>
      </c>
      <c r="B1050" s="60" t="s">
        <v>1134</v>
      </c>
      <c r="C1050" s="67" t="str">
        <f>IFERROR(__xludf.DUMMYFUNCTION("""COMPUTED_VALUE"""),"LD153")</f>
        <v>LD153</v>
      </c>
      <c r="D1050" s="55" t="s">
        <v>42</v>
      </c>
      <c r="E1050" s="55" t="s">
        <v>79</v>
      </c>
      <c r="F1050" s="55" t="s">
        <v>539</v>
      </c>
      <c r="G1050" s="55">
        <v>1840.0</v>
      </c>
      <c r="H1050" s="55" t="s">
        <v>1137</v>
      </c>
      <c r="I1050" s="115" t="s">
        <v>7924</v>
      </c>
      <c r="J1050" s="55" t="s">
        <v>7925</v>
      </c>
      <c r="K1050" s="55" t="s">
        <v>61</v>
      </c>
      <c r="L1050" s="55">
        <v>16917.0</v>
      </c>
      <c r="M1050" s="55" t="s">
        <v>78</v>
      </c>
      <c r="N1050" s="55" t="s">
        <v>79</v>
      </c>
      <c r="O1050" s="55" t="s">
        <v>224</v>
      </c>
      <c r="P1050" s="55" t="s">
        <v>110</v>
      </c>
      <c r="Q1050" s="67" t="str">
        <f>IFERROR(__xludf.DUMMYFUNCTION("""COMPUTED_VALUE"""),"ALL.giaotiep.M635xM643_16917_MES_NamNH_010426")</f>
        <v>ALL.giaotiep.M635xM643_16917_MES_NamNH_010426</v>
      </c>
      <c r="R1050" s="67" t="str">
        <f>IFERROR(__xludf.DUMMYFUNCTION("""COMPUTED_VALUE"""),"NEW_ALL_1840_none_010426")</f>
        <v>NEW_ALL_1840_none_010426</v>
      </c>
      <c r="S1050" s="67" t="str">
        <f>IFERROR(__xludf.DUMMYFUNCTION("""COMPUTED_VALUE"""),"saletructiep_ALL.M635.1840.giaotiep_PTATT_LD153")</f>
        <v>saletructiep_ALL.M635.1840.giaotiep_PTATT_LD153</v>
      </c>
      <c r="T1050" s="107" t="str">
        <f>IFERROR(__xludf.DUMMYFUNCTION("""COMPUTED_VALUE"""),"https://patadovietnam.edu.vn/tienganhgiaotiep_hn/?utm_source=Facebook&amp;utm_medium=MES&amp;utm_term=NEW_ALL_1840_none_010426&amp;utm_content=saletructiep_ALL.M635.1840.giaotiep_PTATT_LD153&amp;utm_campaign=ALL.giaotiep.M635xM643_16917_MES_NamNH_010426")</f>
        <v>https://patadovietnam.edu.vn/tienganhgiaotiep_hn/?utm_source=Facebook&amp;utm_medium=MES&amp;utm_term=NEW_ALL_1840_none_010426&amp;utm_content=saletructiep_ALL.M635.1840.giaotiep_PTATT_LD153&amp;utm_campaign=ALL.giaotiep.M635xM643_16917_MES_NamNH_010426</v>
      </c>
      <c r="U1050" s="110" t="s">
        <v>7926</v>
      </c>
    </row>
    <row r="1051">
      <c r="A1051" s="72">
        <v>46113.0</v>
      </c>
      <c r="B1051" s="60" t="s">
        <v>1134</v>
      </c>
      <c r="C1051" s="67" t="str">
        <f>IFERROR(__xludf.DUMMYFUNCTION("""COMPUTED_VALUE"""),"LD153")</f>
        <v>LD153</v>
      </c>
      <c r="D1051" s="55" t="s">
        <v>42</v>
      </c>
      <c r="E1051" s="55" t="s">
        <v>69</v>
      </c>
      <c r="F1051" s="55" t="s">
        <v>674</v>
      </c>
      <c r="G1051" s="55">
        <v>1840.0</v>
      </c>
      <c r="H1051" s="55" t="s">
        <v>1137</v>
      </c>
      <c r="I1051" s="115" t="s">
        <v>7927</v>
      </c>
      <c r="J1051" s="55" t="s">
        <v>7928</v>
      </c>
      <c r="K1051" s="55" t="s">
        <v>61</v>
      </c>
      <c r="L1051" s="55">
        <v>16917.0</v>
      </c>
      <c r="M1051" s="55" t="s">
        <v>78</v>
      </c>
      <c r="N1051" s="55" t="s">
        <v>69</v>
      </c>
      <c r="O1051" s="55" t="s">
        <v>224</v>
      </c>
      <c r="P1051" s="55" t="s">
        <v>110</v>
      </c>
      <c r="Q1051" s="67" t="str">
        <f>IFERROR(__xludf.DUMMYFUNCTION("""COMPUTED_VALUE"""),"Europe.giaotiep.M644xM645_16917_CVS_NamNH_010426")</f>
        <v>Europe.giaotiep.M644xM645_16917_CVS_NamNH_010426</v>
      </c>
      <c r="R1051" s="67" t="str">
        <f>IFERROR(__xludf.DUMMYFUNCTION("""COMPUTED_VALUE"""),"NEW_Europe_1840_none_010426")</f>
        <v>NEW_Europe_1840_none_010426</v>
      </c>
      <c r="S1051" s="67" t="str">
        <f>IFERROR(__xludf.DUMMYFUNCTION("""COMPUTED_VALUE"""),"saletructiep_Europe.M644.1840.giaotiep_PTATT_LD153")</f>
        <v>saletructiep_Europe.M644.1840.giaotiep_PTATT_LD153</v>
      </c>
      <c r="T1051" s="107" t="str">
        <f>IFERROR(__xludf.DUMMYFUNCTION("""COMPUTED_VALUE"""),"https://patadovietnam.edu.vn/tienganhgiaotiep_hn/?utm_source=Facebook&amp;utm_medium=CVS&amp;utm_term=NEW_Europe_1840_none_010426&amp;utm_content=saletructiep_Europe.M644.1840.giaotiep_PTATT_LD153&amp;utm_campaign=Europe.giaotiep.M644xM645_16917_CVS_NamNH_010426")</f>
        <v>https://patadovietnam.edu.vn/tienganhgiaotiep_hn/?utm_source=Facebook&amp;utm_medium=CVS&amp;utm_term=NEW_Europe_1840_none_010426&amp;utm_content=saletructiep_Europe.M644.1840.giaotiep_PTATT_LD153&amp;utm_campaign=Europe.giaotiep.M644xM645_16917_CVS_NamNH_010426</v>
      </c>
      <c r="U1051" s="110" t="s">
        <v>7929</v>
      </c>
    </row>
    <row r="1052">
      <c r="A1052" s="72">
        <v>46118.0</v>
      </c>
      <c r="B1052" s="60" t="s">
        <v>1229</v>
      </c>
      <c r="C1052" s="67" t="str">
        <f>IFERROR(__xludf.DUMMYFUNCTION("""COMPUTED_VALUE"""),"LD164")</f>
        <v>LD164</v>
      </c>
      <c r="D1052" s="55" t="s">
        <v>42</v>
      </c>
      <c r="E1052" s="55" t="s">
        <v>69</v>
      </c>
      <c r="F1052" s="55" t="s">
        <v>133</v>
      </c>
      <c r="G1052" s="55">
        <v>1840.0</v>
      </c>
      <c r="H1052" s="55" t="s">
        <v>1137</v>
      </c>
      <c r="I1052" s="115" t="s">
        <v>7930</v>
      </c>
      <c r="J1052" s="55" t="s">
        <v>7931</v>
      </c>
      <c r="K1052" s="55" t="s">
        <v>61</v>
      </c>
      <c r="L1052" s="55">
        <v>16917.0</v>
      </c>
      <c r="M1052" s="55" t="s">
        <v>78</v>
      </c>
      <c r="N1052" s="55" t="s">
        <v>69</v>
      </c>
      <c r="O1052" s="55" t="s">
        <v>224</v>
      </c>
      <c r="P1052" s="55" t="s">
        <v>110</v>
      </c>
      <c r="Q1052" s="67" t="str">
        <f>IFERROR(__xludf.DUMMYFUNCTION("""COMPUTED_VALUE"""),"Japan.giaotiep.M644xM645_16917_CVS_NamNH_060426")</f>
        <v>Japan.giaotiep.M644xM645_16917_CVS_NamNH_060426</v>
      </c>
      <c r="R1052" s="67" t="str">
        <f>IFERROR(__xludf.DUMMYFUNCTION("""COMPUTED_VALUE"""),"NEW_Japan_1840_none_060426")</f>
        <v>NEW_Japan_1840_none_060426</v>
      </c>
      <c r="S1052" s="67" t="str">
        <f>IFERROR(__xludf.DUMMYFUNCTION("""COMPUTED_VALUE"""),"saletructiep_Japan.M644.1840.giaotiep_PTATT_LD164")</f>
        <v>saletructiep_Japan.M644.1840.giaotiep_PTATT_LD164</v>
      </c>
      <c r="T1052" s="107" t="str">
        <f>IFERROR(__xludf.DUMMYFUNCTION("""COMPUTED_VALUE"""),"https://patadovietnam.edu.vn/gtjapan_nhn3/?utm_source=Facebook&amp;utm_medium=CVS&amp;utm_term=NEW_Japan_1840_none_060426&amp;utm_content=saletructiep_Japan.M644.1840.giaotiep_PTATT_LD164&amp;utm_campaign=Japan.giaotiep.M644xM645_16917_CVS_NamNH_060426")</f>
        <v>https://patadovietnam.edu.vn/gtjapan_nhn3/?utm_source=Facebook&amp;utm_medium=CVS&amp;utm_term=NEW_Japan_1840_none_060426&amp;utm_content=saletructiep_Japan.M644.1840.giaotiep_PTATT_LD164&amp;utm_campaign=Japan.giaotiep.M644xM645_16917_CVS_NamNH_060426</v>
      </c>
      <c r="U1052" s="110" t="s">
        <v>7932</v>
      </c>
    </row>
    <row r="1053">
      <c r="A1053" s="72">
        <v>46118.0</v>
      </c>
      <c r="B1053" s="60" t="s">
        <v>1134</v>
      </c>
      <c r="C1053" s="67" t="str">
        <f>IFERROR(__xludf.DUMMYFUNCTION("""COMPUTED_VALUE"""),"LD153")</f>
        <v>LD153</v>
      </c>
      <c r="D1053" s="55" t="s">
        <v>42</v>
      </c>
      <c r="E1053" s="55" t="s">
        <v>79</v>
      </c>
      <c r="F1053" s="55" t="s">
        <v>539</v>
      </c>
      <c r="G1053" s="55">
        <v>1840.0</v>
      </c>
      <c r="H1053" s="55" t="s">
        <v>1137</v>
      </c>
      <c r="I1053" s="115" t="s">
        <v>7933</v>
      </c>
      <c r="J1053" s="55" t="s">
        <v>7934</v>
      </c>
      <c r="K1053" s="55" t="s">
        <v>61</v>
      </c>
      <c r="L1053" s="55">
        <v>16917.0</v>
      </c>
      <c r="M1053" s="55" t="s">
        <v>78</v>
      </c>
      <c r="N1053" s="55" t="s">
        <v>79</v>
      </c>
      <c r="O1053" s="55" t="s">
        <v>224</v>
      </c>
      <c r="P1053" s="55" t="s">
        <v>110</v>
      </c>
      <c r="Q1053" s="67" t="str">
        <f>IFERROR(__xludf.DUMMYFUNCTION("""COMPUTED_VALUE"""),"ALL.giaotiep.M644xM645_16917_MES_NamNH_060426")</f>
        <v>ALL.giaotiep.M644xM645_16917_MES_NamNH_060426</v>
      </c>
      <c r="R1053" s="67" t="str">
        <f>IFERROR(__xludf.DUMMYFUNCTION("""COMPUTED_VALUE"""),"NEW_ALL_1840_none_060426")</f>
        <v>NEW_ALL_1840_none_060426</v>
      </c>
      <c r="S1053" s="67" t="str">
        <f>IFERROR(__xludf.DUMMYFUNCTION("""COMPUTED_VALUE"""),"saletructiep_ALL.M644.1840.giaotiep_PTATT_LD153")</f>
        <v>saletructiep_ALL.M644.1840.giaotiep_PTATT_LD153</v>
      </c>
      <c r="T1053" s="107" t="str">
        <f>IFERROR(__xludf.DUMMYFUNCTION("""COMPUTED_VALUE"""),"https://patadovietnam.edu.vn/tienganhgiaotiep_hn/?utm_source=Facebook&amp;utm_medium=MES&amp;utm_term=NEW_ALL_1840_none_060426&amp;utm_content=saletructiep_ALL.M644.1840.giaotiep_PTATT_LD153&amp;utm_campaign=ALL.giaotiep.M644xM645_16917_MES_NamNH_060426")</f>
        <v>https://patadovietnam.edu.vn/tienganhgiaotiep_hn/?utm_source=Facebook&amp;utm_medium=MES&amp;utm_term=NEW_ALL_1840_none_060426&amp;utm_content=saletructiep_ALL.M644.1840.giaotiep_PTATT_LD153&amp;utm_campaign=ALL.giaotiep.M644xM645_16917_MES_NamNH_060426</v>
      </c>
      <c r="U1053" s="110" t="s">
        <v>7935</v>
      </c>
    </row>
    <row r="1054">
      <c r="A1054" s="72">
        <v>46118.0</v>
      </c>
      <c r="B1054" s="60" t="s">
        <v>1134</v>
      </c>
      <c r="C1054" s="67" t="str">
        <f>IFERROR(__xludf.DUMMYFUNCTION("""COMPUTED_VALUE"""),"LD153")</f>
        <v>LD153</v>
      </c>
      <c r="D1054" s="55" t="s">
        <v>42</v>
      </c>
      <c r="E1054" s="55" t="s">
        <v>69</v>
      </c>
      <c r="F1054" s="55" t="s">
        <v>674</v>
      </c>
      <c r="G1054" s="55">
        <v>1840.0</v>
      </c>
      <c r="H1054" s="55" t="s">
        <v>1137</v>
      </c>
      <c r="I1054" s="115" t="s">
        <v>7936</v>
      </c>
      <c r="J1054" s="55" t="s">
        <v>7937</v>
      </c>
      <c r="K1054" s="55" t="s">
        <v>61</v>
      </c>
      <c r="L1054" s="55">
        <v>16917.0</v>
      </c>
      <c r="M1054" s="55" t="s">
        <v>78</v>
      </c>
      <c r="N1054" s="55" t="s">
        <v>69</v>
      </c>
      <c r="O1054" s="55" t="s">
        <v>224</v>
      </c>
      <c r="P1054" s="55" t="s">
        <v>110</v>
      </c>
      <c r="Q1054" s="67" t="str">
        <f>IFERROR(__xludf.DUMMYFUNCTION("""COMPUTED_VALUE"""),"Europe.giaotiep.M648xM650_16917_CVS_NamNH_060426")</f>
        <v>Europe.giaotiep.M648xM650_16917_CVS_NamNH_060426</v>
      </c>
      <c r="R1054" s="67" t="str">
        <f>IFERROR(__xludf.DUMMYFUNCTION("""COMPUTED_VALUE"""),"NEW_Europe_1840_none_060426")</f>
        <v>NEW_Europe_1840_none_060426</v>
      </c>
      <c r="S1054" s="67" t="str">
        <f>IFERROR(__xludf.DUMMYFUNCTION("""COMPUTED_VALUE"""),"saletructiep_Europe.M648.1840.giaotiep_PTATT_LD153")</f>
        <v>saletructiep_Europe.M648.1840.giaotiep_PTATT_LD153</v>
      </c>
      <c r="T1054" s="107" t="str">
        <f>IFERROR(__xludf.DUMMYFUNCTION("""COMPUTED_VALUE"""),"https://patadovietnam.edu.vn/tienganhgiaotiep_hn/?utm_source=Facebook&amp;utm_medium=CVS&amp;utm_term=NEW_Europe_1840_none_060426&amp;utm_content=saletructiep_Europe.M648.1840.giaotiep_PTATT_LD153&amp;utm_campaign=Europe.giaotiep.M648xM650_16917_CVS_NamNH_060426")</f>
        <v>https://patadovietnam.edu.vn/tienganhgiaotiep_hn/?utm_source=Facebook&amp;utm_medium=CVS&amp;utm_term=NEW_Europe_1840_none_060426&amp;utm_content=saletructiep_Europe.M648.1840.giaotiep_PTATT_LD153&amp;utm_campaign=Europe.giaotiep.M648xM650_16917_CVS_NamNH_060426</v>
      </c>
      <c r="U1054" s="110" t="s">
        <v>7938</v>
      </c>
    </row>
    <row r="1055">
      <c r="A1055" s="72">
        <v>46118.0</v>
      </c>
      <c r="B1055" s="60" t="s">
        <v>1134</v>
      </c>
      <c r="C1055" s="67" t="str">
        <f>IFERROR(__xludf.DUMMYFUNCTION("""COMPUTED_VALUE"""),"LD153")</f>
        <v>LD153</v>
      </c>
      <c r="D1055" s="55" t="s">
        <v>42</v>
      </c>
      <c r="E1055" s="55" t="s">
        <v>79</v>
      </c>
      <c r="F1055" s="55" t="s">
        <v>539</v>
      </c>
      <c r="G1055" s="55">
        <v>1840.0</v>
      </c>
      <c r="H1055" s="55" t="s">
        <v>1137</v>
      </c>
      <c r="I1055" s="115" t="s">
        <v>7939</v>
      </c>
      <c r="J1055" s="55" t="s">
        <v>7940</v>
      </c>
      <c r="K1055" s="55" t="s">
        <v>61</v>
      </c>
      <c r="L1055" s="55">
        <v>16917.0</v>
      </c>
      <c r="M1055" s="55" t="s">
        <v>78</v>
      </c>
      <c r="N1055" s="55" t="s">
        <v>79</v>
      </c>
      <c r="O1055" s="55" t="s">
        <v>224</v>
      </c>
      <c r="P1055" s="55" t="s">
        <v>110</v>
      </c>
      <c r="Q1055" s="67" t="str">
        <f>IFERROR(__xludf.DUMMYFUNCTION("""COMPUTED_VALUE"""),"ALL.giaotiep.M648xM650_16917_MES_NamNH_060426")</f>
        <v>ALL.giaotiep.M648xM650_16917_MES_NamNH_060426</v>
      </c>
      <c r="R1055" s="67" t="str">
        <f>IFERROR(__xludf.DUMMYFUNCTION("""COMPUTED_VALUE"""),"NEW_ALL_1840_none_060426")</f>
        <v>NEW_ALL_1840_none_060426</v>
      </c>
      <c r="S1055" s="67" t="str">
        <f>IFERROR(__xludf.DUMMYFUNCTION("""COMPUTED_VALUE"""),"saletructiep_ALL.M648.1840.giaotiep_PTATT_LD153")</f>
        <v>saletructiep_ALL.M648.1840.giaotiep_PTATT_LD153</v>
      </c>
      <c r="T1055" s="107" t="str">
        <f>IFERROR(__xludf.DUMMYFUNCTION("""COMPUTED_VALUE"""),"https://patadovietnam.edu.vn/tienganhgiaotiep_hn/?utm_source=Facebook&amp;utm_medium=MES&amp;utm_term=NEW_ALL_1840_none_060426&amp;utm_content=saletructiep_ALL.M648.1840.giaotiep_PTATT_LD153&amp;utm_campaign=ALL.giaotiep.M648xM650_16917_MES_NamNH_060426")</f>
        <v>https://patadovietnam.edu.vn/tienganhgiaotiep_hn/?utm_source=Facebook&amp;utm_medium=MES&amp;utm_term=NEW_ALL_1840_none_060426&amp;utm_content=saletructiep_ALL.M648.1840.giaotiep_PTATT_LD153&amp;utm_campaign=ALL.giaotiep.M648xM650_16917_MES_NamNH_060426</v>
      </c>
      <c r="U1055" s="110" t="s">
        <v>7941</v>
      </c>
    </row>
    <row r="1056">
      <c r="A1056" s="72">
        <v>46118.0</v>
      </c>
      <c r="B1056" s="60" t="s">
        <v>1245</v>
      </c>
      <c r="C1056" s="67" t="str">
        <f>IFERROR(__xludf.DUMMYFUNCTION("""COMPUTED_VALUE"""),"LD161")</f>
        <v>LD161</v>
      </c>
      <c r="D1056" s="55" t="s">
        <v>42</v>
      </c>
      <c r="E1056" s="55" t="s">
        <v>79</v>
      </c>
      <c r="F1056" s="55" t="s">
        <v>107</v>
      </c>
      <c r="G1056" s="55">
        <v>2050.0</v>
      </c>
      <c r="H1056" s="55" t="s">
        <v>1137</v>
      </c>
      <c r="I1056" s="115" t="s">
        <v>7942</v>
      </c>
      <c r="J1056" s="55" t="s">
        <v>7943</v>
      </c>
      <c r="K1056" s="55" t="s">
        <v>61</v>
      </c>
      <c r="L1056" s="55">
        <v>16917.0</v>
      </c>
      <c r="M1056" s="55" t="s">
        <v>78</v>
      </c>
      <c r="N1056" s="55" t="s">
        <v>79</v>
      </c>
      <c r="O1056" s="55" t="s">
        <v>224</v>
      </c>
      <c r="P1056" s="55" t="s">
        <v>110</v>
      </c>
      <c r="Q1056" s="67" t="str">
        <f>IFERROR(__xludf.DUMMYFUNCTION("""COMPUTED_VALUE"""),"UnitedStates.giaotiep.M648xM650_16917_MES_NamNH_060426")</f>
        <v>UnitedStates.giaotiep.M648xM650_16917_MES_NamNH_060426</v>
      </c>
      <c r="R1056" s="67" t="str">
        <f>IFERROR(__xludf.DUMMYFUNCTION("""COMPUTED_VALUE"""),"NEW_UnitedStates_2050_none_060426")</f>
        <v>NEW_UnitedStates_2050_none_060426</v>
      </c>
      <c r="S1056" s="67" t="str">
        <f>IFERROR(__xludf.DUMMYFUNCTION("""COMPUTED_VALUE"""),"saletructiep_UnitedStates.M648xM650.1840.giaotiep_PTATT_LD161")</f>
        <v>saletructiep_UnitedStates.M648xM650.1840.giaotiep_PTATT_LD161</v>
      </c>
      <c r="T1056" s="107" t="str">
        <f>IFERROR(__xludf.DUMMYFUNCTION("""COMPUTED_VALUE"""),"https://patadovietnam.edu.vn/gtusa1_nhn/?utm_source=Facebook&amp;utm_medium=MES&amp;utm_term=NEW_UnitedStates_2050_none_060426&amp;utm_content=saletructiep_UnitedStates.M648xM650.1840.giaotiep_PTATT_LD161&amp;utm_campaign=UnitedStates.giaotiep.M648xM650_16917_MES_NamNH_0"&amp;"60426")</f>
        <v>https://patadovietnam.edu.vn/gtusa1_nhn/?utm_source=Facebook&amp;utm_medium=MES&amp;utm_term=NEW_UnitedStates_2050_none_060426&amp;utm_content=saletructiep_UnitedStates.M648xM650.1840.giaotiep_PTATT_LD161&amp;utm_campaign=UnitedStates.giaotiep.M648xM650_16917_MES_NamNH_060426</v>
      </c>
      <c r="U1056" s="110" t="s">
        <v>7944</v>
      </c>
    </row>
    <row r="1057">
      <c r="A1057" s="72">
        <v>46118.0</v>
      </c>
      <c r="B1057" s="60" t="s">
        <v>1229</v>
      </c>
      <c r="C1057" s="67" t="str">
        <f>IFERROR(__xludf.DUMMYFUNCTION("""COMPUTED_VALUE"""),"LD164")</f>
        <v>LD164</v>
      </c>
      <c r="D1057" s="55" t="s">
        <v>42</v>
      </c>
      <c r="E1057" s="55" t="s">
        <v>69</v>
      </c>
      <c r="F1057" s="55" t="s">
        <v>133</v>
      </c>
      <c r="G1057" s="55">
        <v>1840.0</v>
      </c>
      <c r="H1057" s="55" t="s">
        <v>1137</v>
      </c>
      <c r="I1057" s="115" t="s">
        <v>7945</v>
      </c>
      <c r="J1057" s="55" t="s">
        <v>7946</v>
      </c>
      <c r="K1057" s="55" t="s">
        <v>61</v>
      </c>
      <c r="L1057" s="55">
        <v>16917.0</v>
      </c>
      <c r="M1057" s="55" t="s">
        <v>78</v>
      </c>
      <c r="N1057" s="55" t="s">
        <v>69</v>
      </c>
      <c r="O1057" s="55" t="s">
        <v>224</v>
      </c>
      <c r="P1057" s="55" t="s">
        <v>110</v>
      </c>
      <c r="Q1057" s="67" t="str">
        <f>IFERROR(__xludf.DUMMYFUNCTION("""COMPUTED_VALUE"""),"Japan.giaotiep.M648xM651_16917_CVS_NamNH_060426")</f>
        <v>Japan.giaotiep.M648xM651_16917_CVS_NamNH_060426</v>
      </c>
      <c r="R1057" s="67" t="str">
        <f>IFERROR(__xludf.DUMMYFUNCTION("""COMPUTED_VALUE"""),"NEW_Japan_1840_none_060426")</f>
        <v>NEW_Japan_1840_none_060426</v>
      </c>
      <c r="S1057" s="67" t="str">
        <f>IFERROR(__xludf.DUMMYFUNCTION("""COMPUTED_VALUE"""),"saletructiep_Japan.M648.1840.giaotiep_PTATT_LD164")</f>
        <v>saletructiep_Japan.M648.1840.giaotiep_PTATT_LD164</v>
      </c>
      <c r="T1057" s="107" t="str">
        <f>IFERROR(__xludf.DUMMYFUNCTION("""COMPUTED_VALUE"""),"https://patadovietnam.edu.vn/gtjapan_nhn3/?utm_source=Facebook&amp;utm_medium=CVS&amp;utm_term=NEW_Japan_1840_none_060426&amp;utm_content=saletructiep_Japan.M648.1840.giaotiep_PTATT_LD164&amp;utm_campaign=Japan.giaotiep.M648xM651_16917_CVS_NamNH_060426")</f>
        <v>https://patadovietnam.edu.vn/gtjapan_nhn3/?utm_source=Facebook&amp;utm_medium=CVS&amp;utm_term=NEW_Japan_1840_none_060426&amp;utm_content=saletructiep_Japan.M648.1840.giaotiep_PTATT_LD164&amp;utm_campaign=Japan.giaotiep.M648xM651_16917_CVS_NamNH_060426</v>
      </c>
      <c r="U1057" s="110" t="s">
        <v>7947</v>
      </c>
    </row>
    <row r="1058">
      <c r="A1058" s="72">
        <v>46121.0</v>
      </c>
      <c r="B1058" s="112" t="s">
        <v>2543</v>
      </c>
      <c r="C1058" s="67" t="str">
        <f>IFERROR(__xludf.DUMMYFUNCTION("""COMPUTED_VALUE"""),"LD265")</f>
        <v>LD265</v>
      </c>
      <c r="D1058" s="55" t="s">
        <v>42</v>
      </c>
      <c r="E1058" s="55" t="s">
        <v>69</v>
      </c>
      <c r="F1058" s="55" t="s">
        <v>133</v>
      </c>
      <c r="G1058" s="55">
        <v>1840.0</v>
      </c>
      <c r="H1058" s="55" t="s">
        <v>1137</v>
      </c>
      <c r="I1058" s="115" t="s">
        <v>7930</v>
      </c>
      <c r="J1058" s="55" t="s">
        <v>7931</v>
      </c>
      <c r="K1058" s="55" t="s">
        <v>61</v>
      </c>
      <c r="L1058" s="55">
        <v>16917.0</v>
      </c>
      <c r="M1058" s="55" t="s">
        <v>78</v>
      </c>
      <c r="N1058" s="55" t="s">
        <v>69</v>
      </c>
      <c r="O1058" s="55" t="s">
        <v>224</v>
      </c>
      <c r="P1058" s="55" t="s">
        <v>110</v>
      </c>
      <c r="Q1058" s="67" t="str">
        <f>IFERROR(__xludf.DUMMYFUNCTION("""COMPUTED_VALUE"""),"Japan.giaotiep.M644xM645_16917_CVS_NamNH_090426")</f>
        <v>Japan.giaotiep.M644xM645_16917_CVS_NamNH_090426</v>
      </c>
      <c r="R1058" s="67" t="str">
        <f>IFERROR(__xludf.DUMMYFUNCTION("""COMPUTED_VALUE"""),"NEW_Japan_1840_none_090426")</f>
        <v>NEW_Japan_1840_none_090426</v>
      </c>
      <c r="S1058" s="67" t="str">
        <f>IFERROR(__xludf.DUMMYFUNCTION("""COMPUTED_VALUE"""),"saletructiep_Japan.M644.1840.giaotiep_PTATT_LD265")</f>
        <v>saletructiep_Japan.M644.1840.giaotiep_PTATT_LD265</v>
      </c>
      <c r="T1058" s="107" t="str">
        <f>IFERROR(__xludf.DUMMYFUNCTION("""COMPUTED_VALUE"""),"https://patado.edu.vn/gtjapan_nhn3/?utm_source=Facebook&amp;utm_medium=CVS&amp;utm_term=NEW_Japan_1840_none_090426&amp;utm_content=saletructiep_Japan.M644.1840.giaotiep_PTATT_LD265&amp;utm_campaign=Japan.giaotiep.M644xM645_16917_CVS_NamNH_090426")</f>
        <v>https://patado.edu.vn/gtjapan_nhn3/?utm_source=Facebook&amp;utm_medium=CVS&amp;utm_term=NEW_Japan_1840_none_090426&amp;utm_content=saletructiep_Japan.M644.1840.giaotiep_PTATT_LD265&amp;utm_campaign=Japan.giaotiep.M644xM645_16917_CVS_NamNH_090426</v>
      </c>
      <c r="U1058" s="110" t="s">
        <v>7948</v>
      </c>
    </row>
    <row r="1059">
      <c r="A1059" s="72">
        <v>46121.0</v>
      </c>
      <c r="B1059" s="112" t="s">
        <v>2543</v>
      </c>
      <c r="C1059" s="67" t="str">
        <f>IFERROR(__xludf.DUMMYFUNCTION("""COMPUTED_VALUE"""),"LD265")</f>
        <v>LD265</v>
      </c>
      <c r="D1059" s="55" t="s">
        <v>42</v>
      </c>
      <c r="E1059" s="55" t="s">
        <v>69</v>
      </c>
      <c r="F1059" s="55" t="s">
        <v>133</v>
      </c>
      <c r="G1059" s="55">
        <v>1840.0</v>
      </c>
      <c r="H1059" s="55" t="s">
        <v>1137</v>
      </c>
      <c r="I1059" s="115" t="s">
        <v>7921</v>
      </c>
      <c r="J1059" s="55" t="s">
        <v>7922</v>
      </c>
      <c r="K1059" s="55" t="s">
        <v>61</v>
      </c>
      <c r="L1059" s="55">
        <v>16917.0</v>
      </c>
      <c r="M1059" s="55" t="s">
        <v>78</v>
      </c>
      <c r="N1059" s="55" t="s">
        <v>69</v>
      </c>
      <c r="O1059" s="55" t="s">
        <v>224</v>
      </c>
      <c r="P1059" s="55" t="s">
        <v>110</v>
      </c>
      <c r="Q1059" s="67" t="str">
        <f>IFERROR(__xludf.DUMMYFUNCTION("""COMPUTED_VALUE"""),"Japan.giaotiep.M635xM643_16917_CVS_NamNH_090426")</f>
        <v>Japan.giaotiep.M635xM643_16917_CVS_NamNH_090426</v>
      </c>
      <c r="R1059" s="67" t="str">
        <f>IFERROR(__xludf.DUMMYFUNCTION("""COMPUTED_VALUE"""),"NEW_Japan_1840_none_090426")</f>
        <v>NEW_Japan_1840_none_090426</v>
      </c>
      <c r="S1059" s="67" t="str">
        <f>IFERROR(__xludf.DUMMYFUNCTION("""COMPUTED_VALUE"""),"saletructiep_Japan.M635.1840.giaotiep_PTATT_LD265")</f>
        <v>saletructiep_Japan.M635.1840.giaotiep_PTATT_LD265</v>
      </c>
      <c r="T1059" s="107" t="str">
        <f>IFERROR(__xludf.DUMMYFUNCTION("""COMPUTED_VALUE"""),"https://patado.edu.vn/gtjapan_nhn3/?utm_source=Facebook&amp;utm_medium=CVS&amp;utm_term=NEW_Japan_1840_none_090426&amp;utm_content=saletructiep_Japan.M635.1840.giaotiep_PTATT_LD265&amp;utm_campaign=Japan.giaotiep.M635xM643_16917_CVS_NamNH_090426")</f>
        <v>https://patado.edu.vn/gtjapan_nhn3/?utm_source=Facebook&amp;utm_medium=CVS&amp;utm_term=NEW_Japan_1840_none_090426&amp;utm_content=saletructiep_Japan.M635.1840.giaotiep_PTATT_LD265&amp;utm_campaign=Japan.giaotiep.M635xM643_16917_CVS_NamNH_090426</v>
      </c>
      <c r="U1059" s="110" t="s">
        <v>7949</v>
      </c>
    </row>
    <row r="1060">
      <c r="A1060" s="72">
        <v>46121.0</v>
      </c>
      <c r="B1060" s="112" t="s">
        <v>2434</v>
      </c>
      <c r="C1060" s="67" t="str">
        <f>IFERROR(__xludf.DUMMYFUNCTION("""COMPUTED_VALUE"""),"LD267")</f>
        <v>LD267</v>
      </c>
      <c r="D1060" s="55" t="s">
        <v>42</v>
      </c>
      <c r="E1060" s="55" t="s">
        <v>69</v>
      </c>
      <c r="F1060" s="55" t="s">
        <v>674</v>
      </c>
      <c r="G1060" s="55">
        <v>1840.0</v>
      </c>
      <c r="H1060" s="55" t="s">
        <v>1137</v>
      </c>
      <c r="I1060" s="115" t="s">
        <v>7910</v>
      </c>
      <c r="J1060" s="55" t="s">
        <v>7911</v>
      </c>
      <c r="K1060" s="55" t="s">
        <v>61</v>
      </c>
      <c r="L1060" s="55">
        <v>16917.0</v>
      </c>
      <c r="M1060" s="55" t="s">
        <v>78</v>
      </c>
      <c r="N1060" s="55" t="s">
        <v>69</v>
      </c>
      <c r="O1060" s="55" t="s">
        <v>224</v>
      </c>
      <c r="P1060" s="55" t="s">
        <v>110</v>
      </c>
      <c r="Q1060" s="67" t="str">
        <f>IFERROR(__xludf.DUMMYFUNCTION("""COMPUTED_VALUE"""),"Europe.giaotiep.M646xM647_16917_CVS_NamNH_090426")</f>
        <v>Europe.giaotiep.M646xM647_16917_CVS_NamNH_090426</v>
      </c>
      <c r="R1060" s="67" t="str">
        <f>IFERROR(__xludf.DUMMYFUNCTION("""COMPUTED_VALUE"""),"NEW_Europe_1840_none_090426")</f>
        <v>NEW_Europe_1840_none_090426</v>
      </c>
      <c r="S1060" s="67" t="str">
        <f>IFERROR(__xludf.DUMMYFUNCTION("""COMPUTED_VALUE"""),"saletructiep_Europe.M646.1840.giaotiep_PTATT_LD267")</f>
        <v>saletructiep_Europe.M646.1840.giaotiep_PTATT_LD267</v>
      </c>
      <c r="T1060" s="107" t="str">
        <f>IFERROR(__xludf.DUMMYFUNCTION("""COMPUTED_VALUE"""),"https://patado.edu.vn/tienganhgiaotiep1_hn/?utm_source=Facebook&amp;utm_medium=CVS&amp;utm_term=NEW_Europe_1840_none_090426&amp;utm_content=saletructiep_Europe.M646.1840.giaotiep_PTATT_LD267&amp;utm_campaign=Europe.giaotiep.M646xM647_16917_CVS_NamNH_090426")</f>
        <v>https://patado.edu.vn/tienganhgiaotiep1_hn/?utm_source=Facebook&amp;utm_medium=CVS&amp;utm_term=NEW_Europe_1840_none_090426&amp;utm_content=saletructiep_Europe.M646.1840.giaotiep_PTATT_LD267&amp;utm_campaign=Europe.giaotiep.M646xM647_16917_CVS_NamNH_090426</v>
      </c>
      <c r="U1060" s="110" t="s">
        <v>7950</v>
      </c>
    </row>
    <row r="1061">
      <c r="A1061" s="72">
        <v>46121.0</v>
      </c>
      <c r="B1061" s="112" t="s">
        <v>2543</v>
      </c>
      <c r="C1061" s="67" t="str">
        <f>IFERROR(__xludf.DUMMYFUNCTION("""COMPUTED_VALUE"""),"LD265")</f>
        <v>LD265</v>
      </c>
      <c r="D1061" s="55" t="s">
        <v>42</v>
      </c>
      <c r="E1061" s="55" t="s">
        <v>69</v>
      </c>
      <c r="F1061" s="55" t="s">
        <v>133</v>
      </c>
      <c r="G1061" s="55">
        <v>1840.0</v>
      </c>
      <c r="H1061" s="55" t="s">
        <v>1137</v>
      </c>
      <c r="I1061" s="115" t="s">
        <v>7897</v>
      </c>
      <c r="J1061" s="55" t="s">
        <v>7898</v>
      </c>
      <c r="K1061" s="55" t="s">
        <v>61</v>
      </c>
      <c r="L1061" s="55">
        <v>16917.0</v>
      </c>
      <c r="M1061" s="55" t="s">
        <v>78</v>
      </c>
      <c r="N1061" s="55" t="s">
        <v>69</v>
      </c>
      <c r="O1061" s="55" t="s">
        <v>224</v>
      </c>
      <c r="P1061" s="55" t="s">
        <v>110</v>
      </c>
      <c r="Q1061" s="67" t="str">
        <f>IFERROR(__xludf.DUMMYFUNCTION("""COMPUTED_VALUE"""),"Japan.giaotiep.M636xM638_16917_CVS_NamNH_090426")</f>
        <v>Japan.giaotiep.M636xM638_16917_CVS_NamNH_090426</v>
      </c>
      <c r="R1061" s="67" t="str">
        <f>IFERROR(__xludf.DUMMYFUNCTION("""COMPUTED_VALUE"""),"NEW_Japan_1840_none_090426")</f>
        <v>NEW_Japan_1840_none_090426</v>
      </c>
      <c r="S1061" s="67" t="str">
        <f>IFERROR(__xludf.DUMMYFUNCTION("""COMPUTED_VALUE"""),"saletructiep_Japan.M636.1840.giaotiep_PTATT_LD265")</f>
        <v>saletructiep_Japan.M636.1840.giaotiep_PTATT_LD265</v>
      </c>
      <c r="T1061" s="107" t="str">
        <f>IFERROR(__xludf.DUMMYFUNCTION("""COMPUTED_VALUE"""),"https://patado.edu.vn/gtjapan_nhn3/?utm_source=Facebook&amp;utm_medium=CVS&amp;utm_term=NEW_Japan_1840_none_090426&amp;utm_content=saletructiep_Japan.M636.1840.giaotiep_PTATT_LD265&amp;utm_campaign=Japan.giaotiep.M636xM638_16917_CVS_NamNH_090426")</f>
        <v>https://patado.edu.vn/gtjapan_nhn3/?utm_source=Facebook&amp;utm_medium=CVS&amp;utm_term=NEW_Japan_1840_none_090426&amp;utm_content=saletructiep_Japan.M636.1840.giaotiep_PTATT_LD265&amp;utm_campaign=Japan.giaotiep.M636xM638_16917_CVS_NamNH_090426</v>
      </c>
      <c r="U1061" s="110" t="s">
        <v>7951</v>
      </c>
    </row>
    <row r="1062">
      <c r="A1062" s="72">
        <v>46121.0</v>
      </c>
      <c r="B1062" s="112" t="s">
        <v>2434</v>
      </c>
      <c r="C1062" s="67" t="str">
        <f>IFERROR(__xludf.DUMMYFUNCTION("""COMPUTED_VALUE"""),"LD267")</f>
        <v>LD267</v>
      </c>
      <c r="D1062" s="55" t="s">
        <v>42</v>
      </c>
      <c r="E1062" s="55" t="s">
        <v>69</v>
      </c>
      <c r="F1062" s="55" t="s">
        <v>674</v>
      </c>
      <c r="G1062" s="55">
        <v>1840.0</v>
      </c>
      <c r="H1062" s="55" t="s">
        <v>1137</v>
      </c>
      <c r="I1062" s="115" t="s">
        <v>7851</v>
      </c>
      <c r="J1062" s="55" t="s">
        <v>6312</v>
      </c>
      <c r="K1062" s="55" t="s">
        <v>61</v>
      </c>
      <c r="L1062" s="55">
        <v>16917.0</v>
      </c>
      <c r="M1062" s="55" t="s">
        <v>78</v>
      </c>
      <c r="N1062" s="55" t="s">
        <v>69</v>
      </c>
      <c r="O1062" s="55" t="s">
        <v>224</v>
      </c>
      <c r="P1062" s="55" t="s">
        <v>110</v>
      </c>
      <c r="Q1062" s="67" t="str">
        <f>IFERROR(__xludf.DUMMYFUNCTION("""COMPUTED_VALUE"""),"Europe.giaotiep.M626xM629_16917_CVS_NamNH_090426")</f>
        <v>Europe.giaotiep.M626xM629_16917_CVS_NamNH_090426</v>
      </c>
      <c r="R1062" s="67" t="str">
        <f>IFERROR(__xludf.DUMMYFUNCTION("""COMPUTED_VALUE"""),"NEW_Europe_1840_none_090426")</f>
        <v>NEW_Europe_1840_none_090426</v>
      </c>
      <c r="S1062" s="67" t="str">
        <f>IFERROR(__xludf.DUMMYFUNCTION("""COMPUTED_VALUE"""),"saletructiep_Europe.M626.1840.giaotiep_PTATT_LD267")</f>
        <v>saletructiep_Europe.M626.1840.giaotiep_PTATT_LD267</v>
      </c>
      <c r="T1062" s="107" t="str">
        <f>IFERROR(__xludf.DUMMYFUNCTION("""COMPUTED_VALUE"""),"https://patado.edu.vn/tienganhgiaotiep1_hn/?utm_source=Facebook&amp;utm_medium=CVS&amp;utm_term=NEW_Europe_1840_none_090426&amp;utm_content=saletructiep_Europe.M626.1840.giaotiep_PTATT_LD267&amp;utm_campaign=Europe.giaotiep.M626xM629_16917_CVS_NamNH_090426")</f>
        <v>https://patado.edu.vn/tienganhgiaotiep1_hn/?utm_source=Facebook&amp;utm_medium=CVS&amp;utm_term=NEW_Europe_1840_none_090426&amp;utm_content=saletructiep_Europe.M626.1840.giaotiep_PTATT_LD267&amp;utm_campaign=Europe.giaotiep.M626xM629_16917_CVS_NamNH_090426</v>
      </c>
      <c r="U1062" s="110" t="s">
        <v>7952</v>
      </c>
    </row>
    <row r="1063">
      <c r="A1063" s="72">
        <v>46121.0</v>
      </c>
      <c r="B1063" s="112" t="s">
        <v>2434</v>
      </c>
      <c r="C1063" s="67" t="str">
        <f>IFERROR(__xludf.DUMMYFUNCTION("""COMPUTED_VALUE"""),"LD267")</f>
        <v>LD267</v>
      </c>
      <c r="D1063" s="55" t="s">
        <v>42</v>
      </c>
      <c r="E1063" s="55" t="s">
        <v>69</v>
      </c>
      <c r="F1063" s="55" t="s">
        <v>674</v>
      </c>
      <c r="G1063" s="55">
        <v>1840.0</v>
      </c>
      <c r="H1063" s="55" t="s">
        <v>1137</v>
      </c>
      <c r="I1063" s="115" t="s">
        <v>7903</v>
      </c>
      <c r="J1063" s="55" t="s">
        <v>6523</v>
      </c>
      <c r="K1063" s="55" t="s">
        <v>61</v>
      </c>
      <c r="L1063" s="55">
        <v>16917.0</v>
      </c>
      <c r="M1063" s="55" t="s">
        <v>78</v>
      </c>
      <c r="N1063" s="55" t="s">
        <v>69</v>
      </c>
      <c r="O1063" s="55" t="s">
        <v>224</v>
      </c>
      <c r="P1063" s="55" t="s">
        <v>110</v>
      </c>
      <c r="Q1063" s="67" t="str">
        <f>IFERROR(__xludf.DUMMYFUNCTION("""COMPUTED_VALUE"""),"Europe.giaotiep.M632xM640_16917_CVS_NamNH_090426")</f>
        <v>Europe.giaotiep.M632xM640_16917_CVS_NamNH_090426</v>
      </c>
      <c r="R1063" s="67" t="str">
        <f>IFERROR(__xludf.DUMMYFUNCTION("""COMPUTED_VALUE"""),"NEW_Europe_1840_none_090426")</f>
        <v>NEW_Europe_1840_none_090426</v>
      </c>
      <c r="S1063" s="67" t="str">
        <f>IFERROR(__xludf.DUMMYFUNCTION("""COMPUTED_VALUE"""),"saletructiep_Europe.M632.1840.giaotiep_PTATT_LD267")</f>
        <v>saletructiep_Europe.M632.1840.giaotiep_PTATT_LD267</v>
      </c>
      <c r="T1063" s="107" t="str">
        <f>IFERROR(__xludf.DUMMYFUNCTION("""COMPUTED_VALUE"""),"https://patado.edu.vn/tienganhgiaotiep1_hn/?utm_source=Facebook&amp;utm_medium=CVS&amp;utm_term=NEW_Europe_1840_none_090426&amp;utm_content=saletructiep_Europe.M632.1840.giaotiep_PTATT_LD267&amp;utm_campaign=Europe.giaotiep.M632xM640_16917_CVS_NamNH_090426")</f>
        <v>https://patado.edu.vn/tienganhgiaotiep1_hn/?utm_source=Facebook&amp;utm_medium=CVS&amp;utm_term=NEW_Europe_1840_none_090426&amp;utm_content=saletructiep_Europe.M632.1840.giaotiep_PTATT_LD267&amp;utm_campaign=Europe.giaotiep.M632xM640_16917_CVS_NamNH_090426</v>
      </c>
      <c r="U1063" s="110" t="s">
        <v>7953</v>
      </c>
    </row>
    <row r="1064">
      <c r="A1064" s="72">
        <v>46121.0</v>
      </c>
      <c r="B1064" s="112" t="s">
        <v>2434</v>
      </c>
      <c r="C1064" s="67" t="str">
        <f>IFERROR(__xludf.DUMMYFUNCTION("""COMPUTED_VALUE"""),"LD267")</f>
        <v>LD267</v>
      </c>
      <c r="D1064" s="55" t="s">
        <v>42</v>
      </c>
      <c r="E1064" s="55" t="s">
        <v>79</v>
      </c>
      <c r="F1064" s="55" t="s">
        <v>539</v>
      </c>
      <c r="G1064" s="55">
        <v>1840.0</v>
      </c>
      <c r="H1064" s="55" t="s">
        <v>1137</v>
      </c>
      <c r="I1064" s="115" t="s">
        <v>7954</v>
      </c>
      <c r="J1064" s="55" t="s">
        <v>7955</v>
      </c>
      <c r="K1064" s="55" t="s">
        <v>61</v>
      </c>
      <c r="L1064" s="55">
        <v>16917.0</v>
      </c>
      <c r="M1064" s="55" t="s">
        <v>78</v>
      </c>
      <c r="N1064" s="55" t="s">
        <v>79</v>
      </c>
      <c r="O1064" s="55" t="s">
        <v>224</v>
      </c>
      <c r="P1064" s="55" t="s">
        <v>110</v>
      </c>
      <c r="Q1064" s="67" t="str">
        <f>IFERROR(__xludf.DUMMYFUNCTION("""COMPUTED_VALUE"""),"ALL.giaotiep.M661xM663_16917_MES_NamNH_090426")</f>
        <v>ALL.giaotiep.M661xM663_16917_MES_NamNH_090426</v>
      </c>
      <c r="R1064" s="67" t="str">
        <f>IFERROR(__xludf.DUMMYFUNCTION("""COMPUTED_VALUE"""),"NEW_ALL_1840_none_090426")</f>
        <v>NEW_ALL_1840_none_090426</v>
      </c>
      <c r="S1064" s="67" t="str">
        <f>IFERROR(__xludf.DUMMYFUNCTION("""COMPUTED_VALUE"""),"saletructiep_ALL.M663.1840.giaotiep_PTATT_LD267")</f>
        <v>saletructiep_ALL.M663.1840.giaotiep_PTATT_LD267</v>
      </c>
      <c r="T1064" s="107" t="str">
        <f>IFERROR(__xludf.DUMMYFUNCTION("""COMPUTED_VALUE"""),"https://patado.edu.vn/tienganhgiaotiep1_hn/?utm_source=Facebook&amp;utm_medium=MES&amp;utm_term=NEW_ALL_1840_none_090426&amp;utm_content=saletructiep_ALL.M663.1840.giaotiep_PTATT_LD267&amp;utm_campaign=ALL.giaotiep.M661xM663_16917_MES_NamNH_090426")</f>
        <v>https://patado.edu.vn/tienganhgiaotiep1_hn/?utm_source=Facebook&amp;utm_medium=MES&amp;utm_term=NEW_ALL_1840_none_090426&amp;utm_content=saletructiep_ALL.M663.1840.giaotiep_PTATT_LD267&amp;utm_campaign=ALL.giaotiep.M661xM663_16917_MES_NamNH_090426</v>
      </c>
      <c r="U1064" s="110" t="s">
        <v>7956</v>
      </c>
    </row>
    <row r="1065">
      <c r="A1065" s="72">
        <v>46127.0</v>
      </c>
      <c r="B1065" s="112" t="s">
        <v>2543</v>
      </c>
      <c r="C1065" s="67" t="str">
        <f>IFERROR(__xludf.DUMMYFUNCTION("""COMPUTED_VALUE"""),"LD265")</f>
        <v>LD265</v>
      </c>
      <c r="D1065" s="55" t="s">
        <v>42</v>
      </c>
      <c r="E1065" s="55" t="s">
        <v>69</v>
      </c>
      <c r="F1065" s="55" t="s">
        <v>133</v>
      </c>
      <c r="G1065" s="55">
        <v>1840.0</v>
      </c>
      <c r="H1065" s="55" t="s">
        <v>1137</v>
      </c>
      <c r="I1065" s="115" t="s">
        <v>7957</v>
      </c>
      <c r="J1065" s="55" t="s">
        <v>7958</v>
      </c>
      <c r="K1065" s="55" t="s">
        <v>61</v>
      </c>
      <c r="L1065" s="55">
        <v>16917.0</v>
      </c>
      <c r="M1065" s="55" t="s">
        <v>78</v>
      </c>
      <c r="N1065" s="55" t="s">
        <v>69</v>
      </c>
      <c r="O1065" s="55" t="s">
        <v>224</v>
      </c>
      <c r="P1065" s="55" t="s">
        <v>110</v>
      </c>
      <c r="Q1065" s="67" t="str">
        <f>IFERROR(__xludf.DUMMYFUNCTION("""COMPUTED_VALUE"""),"Japan.giaotiep.M660xM663_16917_CVS_NamNH_150426")</f>
        <v>Japan.giaotiep.M660xM663_16917_CVS_NamNH_150426</v>
      </c>
      <c r="R1065" s="67" t="str">
        <f>IFERROR(__xludf.DUMMYFUNCTION("""COMPUTED_VALUE"""),"NEW_Japan_1840_none_150426")</f>
        <v>NEW_Japan_1840_none_150426</v>
      </c>
      <c r="S1065" s="67" t="str">
        <f>IFERROR(__xludf.DUMMYFUNCTION("""COMPUTED_VALUE"""),"saletructiep_Japan.M663.1840.giaotiep_PTATT_LD265")</f>
        <v>saletructiep_Japan.M663.1840.giaotiep_PTATT_LD265</v>
      </c>
      <c r="T1065" s="107" t="str">
        <f>IFERROR(__xludf.DUMMYFUNCTION("""COMPUTED_VALUE"""),"https://patado.edu.vn/gtjapan_nhn3/?utm_source=Facebook&amp;utm_medium=CVS&amp;utm_term=NEW_Japan_1840_none_150426&amp;utm_content=saletructiep_Japan.M663.1840.giaotiep_PTATT_LD265&amp;utm_campaign=Japan.giaotiep.M660xM663_16917_CVS_NamNH_150426")</f>
        <v>https://patado.edu.vn/gtjapan_nhn3/?utm_source=Facebook&amp;utm_medium=CVS&amp;utm_term=NEW_Japan_1840_none_150426&amp;utm_content=saletructiep_Japan.M663.1840.giaotiep_PTATT_LD265&amp;utm_campaign=Japan.giaotiep.M660xM663_16917_CVS_NamNH_150426</v>
      </c>
      <c r="U1065" s="111" t="s">
        <v>7959</v>
      </c>
    </row>
    <row r="1066">
      <c r="A1066" s="72">
        <v>46127.0</v>
      </c>
      <c r="B1066" s="112" t="s">
        <v>2434</v>
      </c>
      <c r="C1066" s="67" t="str">
        <f>IFERROR(__xludf.DUMMYFUNCTION("""COMPUTED_VALUE"""),"LD267")</f>
        <v>LD267</v>
      </c>
      <c r="D1066" s="55" t="s">
        <v>42</v>
      </c>
      <c r="E1066" s="55" t="s">
        <v>69</v>
      </c>
      <c r="F1066" s="55" t="s">
        <v>674</v>
      </c>
      <c r="G1066" s="55">
        <v>1840.0</v>
      </c>
      <c r="H1066" s="55" t="s">
        <v>1137</v>
      </c>
      <c r="I1066" s="115" t="s">
        <v>7960</v>
      </c>
      <c r="J1066" s="55" t="s">
        <v>7961</v>
      </c>
      <c r="K1066" s="55" t="s">
        <v>61</v>
      </c>
      <c r="L1066" s="55">
        <v>16917.0</v>
      </c>
      <c r="M1066" s="55" t="s">
        <v>78</v>
      </c>
      <c r="N1066" s="55" t="s">
        <v>69</v>
      </c>
      <c r="O1066" s="55" t="s">
        <v>224</v>
      </c>
      <c r="P1066" s="55" t="s">
        <v>110</v>
      </c>
      <c r="Q1066" s="67" t="str">
        <f>IFERROR(__xludf.DUMMYFUNCTION("""COMPUTED_VALUE"""),"Europe.giaotiep.M661xM663_16917_CVS_NamNH_150426")</f>
        <v>Europe.giaotiep.M661xM663_16917_CVS_NamNH_150426</v>
      </c>
      <c r="R1066" s="67" t="str">
        <f>IFERROR(__xludf.DUMMYFUNCTION("""COMPUTED_VALUE"""),"NEW_Europe_1840_none_150426")</f>
        <v>NEW_Europe_1840_none_150426</v>
      </c>
      <c r="S1066" s="67" t="str">
        <f>IFERROR(__xludf.DUMMYFUNCTION("""COMPUTED_VALUE"""),"saletructiep_Europe.M663.1840.giaotiep_PTATT_LD267")</f>
        <v>saletructiep_Europe.M663.1840.giaotiep_PTATT_LD267</v>
      </c>
      <c r="T1066" s="107" t="str">
        <f>IFERROR(__xludf.DUMMYFUNCTION("""COMPUTED_VALUE"""),"https://patado.edu.vn/tienganhgiaotiep1_hn/?utm_source=Facebook&amp;utm_medium=CVS&amp;utm_term=NEW_Europe_1840_none_150426&amp;utm_content=saletructiep_Europe.M663.1840.giaotiep_PTATT_LD267&amp;utm_campaign=Europe.giaotiep.M661xM663_16917_CVS_NamNH_150426")</f>
        <v>https://patado.edu.vn/tienganhgiaotiep1_hn/?utm_source=Facebook&amp;utm_medium=CVS&amp;utm_term=NEW_Europe_1840_none_150426&amp;utm_content=saletructiep_Europe.M663.1840.giaotiep_PTATT_LD267&amp;utm_campaign=Europe.giaotiep.M661xM663_16917_CVS_NamNH_150426</v>
      </c>
      <c r="U1066" s="110" t="s">
        <v>7962</v>
      </c>
    </row>
    <row r="1067">
      <c r="A1067" s="72">
        <v>46127.0</v>
      </c>
      <c r="B1067" s="112" t="s">
        <v>7633</v>
      </c>
      <c r="C1067" s="67" t="str">
        <f>IFERROR(__xludf.DUMMYFUNCTION("""COMPUTED_VALUE"""),"LD266")</f>
        <v>LD266</v>
      </c>
      <c r="D1067" s="55" t="s">
        <v>42</v>
      </c>
      <c r="E1067" s="55" t="s">
        <v>79</v>
      </c>
      <c r="F1067" s="55" t="s">
        <v>107</v>
      </c>
      <c r="G1067" s="55">
        <v>2050.0</v>
      </c>
      <c r="H1067" s="55" t="s">
        <v>1137</v>
      </c>
      <c r="I1067" s="115" t="s">
        <v>7963</v>
      </c>
      <c r="J1067" s="55" t="s">
        <v>7964</v>
      </c>
      <c r="K1067" s="55" t="s">
        <v>61</v>
      </c>
      <c r="L1067" s="55">
        <v>16917.0</v>
      </c>
      <c r="M1067" s="55" t="s">
        <v>78</v>
      </c>
      <c r="N1067" s="55" t="s">
        <v>79</v>
      </c>
      <c r="O1067" s="55" t="s">
        <v>224</v>
      </c>
      <c r="P1067" s="55" t="s">
        <v>110</v>
      </c>
      <c r="Q1067" s="67" t="str">
        <f>IFERROR(__xludf.DUMMYFUNCTION("""COMPUTED_VALUE"""),"UnitedStates.giaotiep.M662xM663_16917_MES_NamNH_150426")</f>
        <v>UnitedStates.giaotiep.M662xM663_16917_MES_NamNH_150426</v>
      </c>
      <c r="R1067" s="67" t="str">
        <f>IFERROR(__xludf.DUMMYFUNCTION("""COMPUTED_VALUE"""),"NEW_UnitedStates_2050_none_150426")</f>
        <v>NEW_UnitedStates_2050_none_150426</v>
      </c>
      <c r="S1067" s="67" t="str">
        <f>IFERROR(__xludf.DUMMYFUNCTION("""COMPUTED_VALUE"""),"saletructiep_UnitedStates.M662.1840.giaotiep_PTATT_LD266")</f>
        <v>saletructiep_UnitedStates.M662.1840.giaotiep_PTATT_LD266</v>
      </c>
      <c r="T1067" s="107" t="str">
        <f>IFERROR(__xludf.DUMMYFUNCTION("""COMPUTED_VALUE"""),"https://patado.edu.vn/gtusa1_nhn/?utm_source=Facebook&amp;utm_medium=MES&amp;utm_term=NEW_UnitedStates_2050_none_150426&amp;utm_content=saletructiep_UnitedStates.M662.1840.giaotiep_PTATT_LD266&amp;utm_campaign=UnitedStates.giaotiep.M662xM663_16917_MES_NamNH_150426")</f>
        <v>https://patado.edu.vn/gtusa1_nhn/?utm_source=Facebook&amp;utm_medium=MES&amp;utm_term=NEW_UnitedStates_2050_none_150426&amp;utm_content=saletructiep_UnitedStates.M662.1840.giaotiep_PTATT_LD266&amp;utm_campaign=UnitedStates.giaotiep.M662xM663_16917_MES_NamNH_150426</v>
      </c>
      <c r="U1067" s="110" t="s">
        <v>7965</v>
      </c>
    </row>
    <row r="1068">
      <c r="A1068" s="72">
        <v>46127.0</v>
      </c>
      <c r="B1068" s="112" t="s">
        <v>2543</v>
      </c>
      <c r="C1068" s="67" t="str">
        <f>IFERROR(__xludf.DUMMYFUNCTION("""COMPUTED_VALUE"""),"LD265")</f>
        <v>LD265</v>
      </c>
      <c r="D1068" s="55" t="s">
        <v>42</v>
      </c>
      <c r="E1068" s="55" t="s">
        <v>69</v>
      </c>
      <c r="F1068" s="55" t="s">
        <v>133</v>
      </c>
      <c r="G1068" s="55">
        <v>1840.0</v>
      </c>
      <c r="H1068" s="55" t="s">
        <v>1137</v>
      </c>
      <c r="I1068" s="115" t="s">
        <v>7966</v>
      </c>
      <c r="J1068" s="55" t="s">
        <v>7967</v>
      </c>
      <c r="K1068" s="55" t="s">
        <v>61</v>
      </c>
      <c r="L1068" s="55">
        <v>16917.0</v>
      </c>
      <c r="M1068" s="55" t="s">
        <v>78</v>
      </c>
      <c r="N1068" s="55" t="s">
        <v>69</v>
      </c>
      <c r="O1068" s="55" t="s">
        <v>224</v>
      </c>
      <c r="P1068" s="55" t="s">
        <v>110</v>
      </c>
      <c r="Q1068" s="67" t="str">
        <f>IFERROR(__xludf.DUMMYFUNCTION("""COMPUTED_VALUE"""),"Japan.giaotiep.M661xM664_16917_CVS_NamNH_150426")</f>
        <v>Japan.giaotiep.M661xM664_16917_CVS_NamNH_150426</v>
      </c>
      <c r="R1068" s="67" t="str">
        <f>IFERROR(__xludf.DUMMYFUNCTION("""COMPUTED_VALUE"""),"NEW_Japan_1840_none_150426")</f>
        <v>NEW_Japan_1840_none_150426</v>
      </c>
      <c r="S1068" s="67" t="str">
        <f>IFERROR(__xludf.DUMMYFUNCTION("""COMPUTED_VALUE"""),"saletructiep_Japan.M661.1840.giaotiep_PTATT_LD265")</f>
        <v>saletructiep_Japan.M661.1840.giaotiep_PTATT_LD265</v>
      </c>
      <c r="T1068" s="107" t="str">
        <f>IFERROR(__xludf.DUMMYFUNCTION("""COMPUTED_VALUE"""),"https://patado.edu.vn/gtjapan_nhn3/?utm_source=Facebook&amp;utm_medium=CVS&amp;utm_term=NEW_Japan_1840_none_150426&amp;utm_content=saletructiep_Japan.M661.1840.giaotiep_PTATT_LD265&amp;utm_campaign=Japan.giaotiep.M661xM664_16917_CVS_NamNH_150426")</f>
        <v>https://patado.edu.vn/gtjapan_nhn3/?utm_source=Facebook&amp;utm_medium=CVS&amp;utm_term=NEW_Japan_1840_none_150426&amp;utm_content=saletructiep_Japan.M661.1840.giaotiep_PTATT_LD265&amp;utm_campaign=Japan.giaotiep.M661xM664_16917_CVS_NamNH_150426</v>
      </c>
      <c r="U1068" s="110" t="s">
        <v>7968</v>
      </c>
    </row>
    <row r="1069">
      <c r="A1069" s="72">
        <v>46132.0</v>
      </c>
      <c r="B1069" s="112" t="s">
        <v>2434</v>
      </c>
      <c r="C1069" s="67" t="str">
        <f>IFERROR(__xludf.DUMMYFUNCTION("""COMPUTED_VALUE"""),"LD267")</f>
        <v>LD267</v>
      </c>
      <c r="D1069" s="55" t="s">
        <v>42</v>
      </c>
      <c r="E1069" s="55" t="s">
        <v>69</v>
      </c>
      <c r="F1069" s="55" t="s">
        <v>674</v>
      </c>
      <c r="G1069" s="55">
        <v>1840.0</v>
      </c>
      <c r="H1069" s="55" t="s">
        <v>1137</v>
      </c>
      <c r="I1069" s="115" t="s">
        <v>7969</v>
      </c>
      <c r="J1069" s="55" t="s">
        <v>7970</v>
      </c>
      <c r="K1069" s="55" t="s">
        <v>61</v>
      </c>
      <c r="L1069" s="55">
        <v>16917.0</v>
      </c>
      <c r="M1069" s="55" t="s">
        <v>78</v>
      </c>
      <c r="N1069" s="55" t="s">
        <v>69</v>
      </c>
      <c r="O1069" s="55" t="s">
        <v>224</v>
      </c>
      <c r="P1069" s="55" t="s">
        <v>110</v>
      </c>
      <c r="Q1069" s="67" t="str">
        <f>IFERROR(__xludf.DUMMYFUNCTION("""COMPUTED_VALUE"""),"Europe.giaotiep.M666xM668_16917_CVS_NamNH_200426")</f>
        <v>Europe.giaotiep.M666xM668_16917_CVS_NamNH_200426</v>
      </c>
      <c r="R1069" s="67" t="str">
        <f>IFERROR(__xludf.DUMMYFUNCTION("""COMPUTED_VALUE"""),"NEW_Europe_1840_none_200426")</f>
        <v>NEW_Europe_1840_none_200426</v>
      </c>
      <c r="S1069" s="67" t="str">
        <f>IFERROR(__xludf.DUMMYFUNCTION("""COMPUTED_VALUE"""),"saletructiep_Europe.M666.1840.giaotiep_PTATT_LD267")</f>
        <v>saletructiep_Europe.M666.1840.giaotiep_PTATT_LD267</v>
      </c>
      <c r="T1069" s="107" t="str">
        <f>IFERROR(__xludf.DUMMYFUNCTION("""COMPUTED_VALUE"""),"https://patado.edu.vn/tienganhgiaotiep1_hn/?utm_source=Facebook&amp;utm_medium=CVS&amp;utm_term=NEW_Europe_1840_none_200426&amp;utm_content=saletructiep_Europe.M666.1840.giaotiep_PTATT_LD267&amp;utm_campaign=Europe.giaotiep.M666xM668_16917_CVS_NamNH_200426")</f>
        <v>https://patado.edu.vn/tienganhgiaotiep1_hn/?utm_source=Facebook&amp;utm_medium=CVS&amp;utm_term=NEW_Europe_1840_none_200426&amp;utm_content=saletructiep_Europe.M666.1840.giaotiep_PTATT_LD267&amp;utm_campaign=Europe.giaotiep.M666xM668_16917_CVS_NamNH_200426</v>
      </c>
      <c r="U1069" s="110" t="s">
        <v>7971</v>
      </c>
    </row>
    <row r="1070">
      <c r="A1070" s="72">
        <v>46132.0</v>
      </c>
      <c r="B1070" s="112" t="s">
        <v>2543</v>
      </c>
      <c r="C1070" s="67" t="str">
        <f>IFERROR(__xludf.DUMMYFUNCTION("""COMPUTED_VALUE"""),"LD265")</f>
        <v>LD265</v>
      </c>
      <c r="D1070" s="55" t="s">
        <v>42</v>
      </c>
      <c r="E1070" s="55" t="s">
        <v>69</v>
      </c>
      <c r="F1070" s="55" t="s">
        <v>133</v>
      </c>
      <c r="G1070" s="55">
        <v>1840.0</v>
      </c>
      <c r="H1070" s="55" t="s">
        <v>1137</v>
      </c>
      <c r="I1070" s="115" t="s">
        <v>7972</v>
      </c>
      <c r="J1070" s="55" t="s">
        <v>7973</v>
      </c>
      <c r="K1070" s="55" t="s">
        <v>61</v>
      </c>
      <c r="L1070" s="55">
        <v>16917.0</v>
      </c>
      <c r="M1070" s="55" t="s">
        <v>78</v>
      </c>
      <c r="N1070" s="55" t="s">
        <v>69</v>
      </c>
      <c r="O1070" s="55" t="s">
        <v>224</v>
      </c>
      <c r="P1070" s="55" t="s">
        <v>110</v>
      </c>
      <c r="Q1070" s="67" t="str">
        <f>IFERROR(__xludf.DUMMYFUNCTION("""COMPUTED_VALUE"""),"Japan.giaotiep.M666xM668_16917_CVS_NamNH_200426")</f>
        <v>Japan.giaotiep.M666xM668_16917_CVS_NamNH_200426</v>
      </c>
      <c r="R1070" s="67" t="str">
        <f>IFERROR(__xludf.DUMMYFUNCTION("""COMPUTED_VALUE"""),"NEW_Japan_1840_none_200426")</f>
        <v>NEW_Japan_1840_none_200426</v>
      </c>
      <c r="S1070" s="67" t="str">
        <f>IFERROR(__xludf.DUMMYFUNCTION("""COMPUTED_VALUE"""),"saletructiep_Japan.M666.1840.giaotiep_PTATT_LD265")</f>
        <v>saletructiep_Japan.M666.1840.giaotiep_PTATT_LD265</v>
      </c>
      <c r="T1070" s="107" t="str">
        <f>IFERROR(__xludf.DUMMYFUNCTION("""COMPUTED_VALUE"""),"https://patado.edu.vn/gtjapan_nhn3/?utm_source=Facebook&amp;utm_medium=CVS&amp;utm_term=NEW_Japan_1840_none_200426&amp;utm_content=saletructiep_Japan.M666.1840.giaotiep_PTATT_LD265&amp;utm_campaign=Japan.giaotiep.M666xM668_16917_CVS_NamNH_200426")</f>
        <v>https://patado.edu.vn/gtjapan_nhn3/?utm_source=Facebook&amp;utm_medium=CVS&amp;utm_term=NEW_Japan_1840_none_200426&amp;utm_content=saletructiep_Japan.M666.1840.giaotiep_PTATT_LD265&amp;utm_campaign=Japan.giaotiep.M666xM668_16917_CVS_NamNH_200426</v>
      </c>
      <c r="U1070" s="110" t="s">
        <v>7974</v>
      </c>
    </row>
    <row r="1071">
      <c r="A1071" s="72">
        <v>46132.0</v>
      </c>
      <c r="B1071" s="112" t="s">
        <v>2434</v>
      </c>
      <c r="C1071" s="67" t="str">
        <f>IFERROR(__xludf.DUMMYFUNCTION("""COMPUTED_VALUE"""),"LD267")</f>
        <v>LD267</v>
      </c>
      <c r="D1071" s="55" t="s">
        <v>42</v>
      </c>
      <c r="E1071" s="55" t="s">
        <v>79</v>
      </c>
      <c r="F1071" s="55" t="s">
        <v>539</v>
      </c>
      <c r="G1071" s="55">
        <v>1840.0</v>
      </c>
      <c r="H1071" s="55" t="s">
        <v>1137</v>
      </c>
      <c r="I1071" s="115" t="s">
        <v>7975</v>
      </c>
      <c r="J1071" s="55" t="s">
        <v>7976</v>
      </c>
      <c r="K1071" s="55" t="s">
        <v>61</v>
      </c>
      <c r="L1071" s="55">
        <v>16917.0</v>
      </c>
      <c r="M1071" s="55" t="s">
        <v>78</v>
      </c>
      <c r="N1071" s="55" t="s">
        <v>79</v>
      </c>
      <c r="O1071" s="55" t="s">
        <v>224</v>
      </c>
      <c r="P1071" s="55" t="s">
        <v>110</v>
      </c>
      <c r="Q1071" s="67" t="str">
        <f>IFERROR(__xludf.DUMMYFUNCTION("""COMPUTED_VALUE"""),"ALL.giaotiep.M666xM668_16917_MES_NamNH_200426")</f>
        <v>ALL.giaotiep.M666xM668_16917_MES_NamNH_200426</v>
      </c>
      <c r="R1071" s="67" t="str">
        <f>IFERROR(__xludf.DUMMYFUNCTION("""COMPUTED_VALUE"""),"NEW_ALL_1840_none_200426")</f>
        <v>NEW_ALL_1840_none_200426</v>
      </c>
      <c r="S1071" s="67" t="str">
        <f>IFERROR(__xludf.DUMMYFUNCTION("""COMPUTED_VALUE"""),"saletructiep_ALL.M666.1840.giaotiep_PTATT_LD267")</f>
        <v>saletructiep_ALL.M666.1840.giaotiep_PTATT_LD267</v>
      </c>
      <c r="T1071" s="107" t="str">
        <f>IFERROR(__xludf.DUMMYFUNCTION("""COMPUTED_VALUE"""),"https://patado.edu.vn/tienganhgiaotiep1_hn/?utm_source=Facebook&amp;utm_medium=MES&amp;utm_term=NEW_ALL_1840_none_200426&amp;utm_content=saletructiep_ALL.M666.1840.giaotiep_PTATT_LD267&amp;utm_campaign=ALL.giaotiep.M666xM668_16917_MES_NamNH_200426")</f>
        <v>https://patado.edu.vn/tienganhgiaotiep1_hn/?utm_source=Facebook&amp;utm_medium=MES&amp;utm_term=NEW_ALL_1840_none_200426&amp;utm_content=saletructiep_ALL.M666.1840.giaotiep_PTATT_LD267&amp;utm_campaign=ALL.giaotiep.M666xM668_16917_MES_NamNH_200426</v>
      </c>
      <c r="U1071" s="110" t="s">
        <v>7977</v>
      </c>
    </row>
    <row r="1072">
      <c r="A1072" s="72">
        <v>46147.0</v>
      </c>
      <c r="B1072" s="112" t="s">
        <v>2434</v>
      </c>
      <c r="C1072" s="67" t="str">
        <f>IFERROR(__xludf.DUMMYFUNCTION("""COMPUTED_VALUE"""),"LD267")</f>
        <v>LD267</v>
      </c>
      <c r="D1072" s="55" t="s">
        <v>42</v>
      </c>
      <c r="E1072" s="55" t="s">
        <v>69</v>
      </c>
      <c r="F1072" s="55" t="s">
        <v>674</v>
      </c>
      <c r="G1072" s="55">
        <v>1840.0</v>
      </c>
      <c r="H1072" s="55" t="s">
        <v>1137</v>
      </c>
      <c r="I1072" s="115" t="s">
        <v>7978</v>
      </c>
      <c r="J1072" s="55" t="s">
        <v>1784</v>
      </c>
      <c r="K1072" s="55" t="s">
        <v>61</v>
      </c>
      <c r="L1072" s="55">
        <v>16917.0</v>
      </c>
      <c r="M1072" s="55" t="s">
        <v>78</v>
      </c>
      <c r="N1072" s="55" t="s">
        <v>69</v>
      </c>
      <c r="O1072" s="55" t="s">
        <v>224</v>
      </c>
      <c r="P1072" s="55" t="s">
        <v>110</v>
      </c>
      <c r="Q1072" s="67" t="str">
        <f>IFERROR(__xludf.DUMMYFUNCTION("""COMPUTED_VALUE"""),"Europe.giaotiep.M658xM659_16917_CVS_NamNH_050526")</f>
        <v>Europe.giaotiep.M658xM659_16917_CVS_NamNH_050526</v>
      </c>
      <c r="R1072" s="67" t="str">
        <f>IFERROR(__xludf.DUMMYFUNCTION("""COMPUTED_VALUE"""),"NEW_Europe_1840_none_050526")</f>
        <v>NEW_Europe_1840_none_050526</v>
      </c>
      <c r="S1072" s="67" t="str">
        <f>IFERROR(__xludf.DUMMYFUNCTION("""COMPUTED_VALUE"""),"saletructiep_Europe.M658.1840.giaotiep_PTATT_LD267")</f>
        <v>saletructiep_Europe.M658.1840.giaotiep_PTATT_LD267</v>
      </c>
      <c r="T1072" s="107" t="str">
        <f>IFERROR(__xludf.DUMMYFUNCTION("""COMPUTED_VALUE"""),"https://patado.edu.vn/tienganhgiaotiep1_hn/?utm_source=Facebook&amp;utm_medium=CVS&amp;utm_term=NEW_Europe_1840_none_050526&amp;utm_content=saletructiep_Europe.M658.1840.giaotiep_PTATT_LD267&amp;utm_campaign=Europe.giaotiep.M658xM659_16917_CVS_NamNH_050526")</f>
        <v>https://patado.edu.vn/tienganhgiaotiep1_hn/?utm_source=Facebook&amp;utm_medium=CVS&amp;utm_term=NEW_Europe_1840_none_050526&amp;utm_content=saletructiep_Europe.M658.1840.giaotiep_PTATT_LD267&amp;utm_campaign=Europe.giaotiep.M658xM659_16917_CVS_NamNH_050526</v>
      </c>
      <c r="U1072" s="110" t="s">
        <v>7979</v>
      </c>
    </row>
    <row r="1073">
      <c r="A1073" s="72">
        <v>46147.0</v>
      </c>
      <c r="B1073" s="112" t="s">
        <v>2434</v>
      </c>
      <c r="C1073" s="67" t="str">
        <f>IFERROR(__xludf.DUMMYFUNCTION("""COMPUTED_VALUE"""),"LD267")</f>
        <v>LD267</v>
      </c>
      <c r="D1073" s="55" t="s">
        <v>42</v>
      </c>
      <c r="E1073" s="55" t="s">
        <v>69</v>
      </c>
      <c r="F1073" s="55" t="s">
        <v>674</v>
      </c>
      <c r="G1073" s="55">
        <v>1840.0</v>
      </c>
      <c r="H1073" s="55" t="s">
        <v>1137</v>
      </c>
      <c r="I1073" s="115" t="s">
        <v>7980</v>
      </c>
      <c r="J1073" s="55" t="s">
        <v>7981</v>
      </c>
      <c r="K1073" s="55" t="s">
        <v>61</v>
      </c>
      <c r="L1073" s="55">
        <v>16917.0</v>
      </c>
      <c r="M1073" s="55" t="s">
        <v>78</v>
      </c>
      <c r="N1073" s="55" t="s">
        <v>69</v>
      </c>
      <c r="O1073" s="55" t="s">
        <v>224</v>
      </c>
      <c r="P1073" s="55" t="s">
        <v>110</v>
      </c>
      <c r="Q1073" s="67" t="str">
        <f>IFERROR(__xludf.DUMMYFUNCTION("""COMPUTED_VALUE"""),"Europe.giaotiep.M657xM683_16917_CVS_NamNH_050526")</f>
        <v>Europe.giaotiep.M657xM683_16917_CVS_NamNH_050526</v>
      </c>
      <c r="R1073" s="67" t="str">
        <f>IFERROR(__xludf.DUMMYFUNCTION("""COMPUTED_VALUE"""),"NEW_Europe_1840_none_050526")</f>
        <v>NEW_Europe_1840_none_050526</v>
      </c>
      <c r="S1073" s="67" t="str">
        <f>IFERROR(__xludf.DUMMYFUNCTION("""COMPUTED_VALUE"""),"saletructiep_Europe.M657.1840.giaotiep_PTATT_LD267")</f>
        <v>saletructiep_Europe.M657.1840.giaotiep_PTATT_LD267</v>
      </c>
      <c r="T1073" s="107" t="str">
        <f>IFERROR(__xludf.DUMMYFUNCTION("""COMPUTED_VALUE"""),"https://patado.edu.vn/tienganhgiaotiep1_hn/?utm_source=Facebook&amp;utm_medium=CVS&amp;utm_term=NEW_Europe_1840_none_050526&amp;utm_content=saletructiep_Europe.M657.1840.giaotiep_PTATT_LD267&amp;utm_campaign=Europe.giaotiep.M657xM683_16917_CVS_NamNH_050526")</f>
        <v>https://patado.edu.vn/tienganhgiaotiep1_hn/?utm_source=Facebook&amp;utm_medium=CVS&amp;utm_term=NEW_Europe_1840_none_050526&amp;utm_content=saletructiep_Europe.M657.1840.giaotiep_PTATT_LD267&amp;utm_campaign=Europe.giaotiep.M657xM683_16917_CVS_NamNH_050526</v>
      </c>
      <c r="U1073" s="110" t="s">
        <v>7982</v>
      </c>
    </row>
    <row r="1074">
      <c r="A1074" s="72">
        <v>46147.0</v>
      </c>
      <c r="B1074" s="112" t="s">
        <v>2543</v>
      </c>
      <c r="C1074" s="67" t="str">
        <f>IFERROR(__xludf.DUMMYFUNCTION("""COMPUTED_VALUE"""),"LD265")</f>
        <v>LD265</v>
      </c>
      <c r="D1074" s="55" t="s">
        <v>42</v>
      </c>
      <c r="E1074" s="55" t="s">
        <v>69</v>
      </c>
      <c r="F1074" s="55" t="s">
        <v>133</v>
      </c>
      <c r="G1074" s="55">
        <v>1840.0</v>
      </c>
      <c r="H1074" s="55" t="s">
        <v>1137</v>
      </c>
      <c r="I1074" s="115" t="s">
        <v>7983</v>
      </c>
      <c r="J1074" s="55" t="s">
        <v>7984</v>
      </c>
      <c r="K1074" s="55" t="s">
        <v>61</v>
      </c>
      <c r="L1074" s="55">
        <v>16917.0</v>
      </c>
      <c r="M1074" s="55" t="s">
        <v>78</v>
      </c>
      <c r="N1074" s="55" t="s">
        <v>69</v>
      </c>
      <c r="O1074" s="55" t="s">
        <v>224</v>
      </c>
      <c r="P1074" s="55" t="s">
        <v>110</v>
      </c>
      <c r="Q1074" s="67" t="str">
        <f>IFERROR(__xludf.DUMMYFUNCTION("""COMPUTED_VALUE"""),"Japan.giaotiep.M657xM683_16917_CVS_NamNH_050526")</f>
        <v>Japan.giaotiep.M657xM683_16917_CVS_NamNH_050526</v>
      </c>
      <c r="R1074" s="67" t="str">
        <f>IFERROR(__xludf.DUMMYFUNCTION("""COMPUTED_VALUE"""),"NEW_Japan_1840_none_050526")</f>
        <v>NEW_Japan_1840_none_050526</v>
      </c>
      <c r="S1074" s="67" t="str">
        <f>IFERROR(__xludf.DUMMYFUNCTION("""COMPUTED_VALUE"""),"saletructiep_Japan.M657.1840.giaotiep_PTATT_LD265")</f>
        <v>saletructiep_Japan.M657.1840.giaotiep_PTATT_LD265</v>
      </c>
      <c r="T1074" s="107" t="str">
        <f>IFERROR(__xludf.DUMMYFUNCTION("""COMPUTED_VALUE"""),"https://patado.edu.vn/gtjapan_nhn3/?utm_source=Facebook&amp;utm_medium=CVS&amp;utm_term=NEW_Japan_1840_none_050526&amp;utm_content=saletructiep_Japan.M657.1840.giaotiep_PTATT_LD265&amp;utm_campaign=Japan.giaotiep.M657xM683_16917_CVS_NamNH_050526")</f>
        <v>https://patado.edu.vn/gtjapan_nhn3/?utm_source=Facebook&amp;utm_medium=CVS&amp;utm_term=NEW_Japan_1840_none_050526&amp;utm_content=saletructiep_Japan.M657.1840.giaotiep_PTATT_LD265&amp;utm_campaign=Japan.giaotiep.M657xM683_16917_CVS_NamNH_050526</v>
      </c>
      <c r="U1074" s="110" t="s">
        <v>7985</v>
      </c>
    </row>
    <row r="1075">
      <c r="A1075" s="72">
        <v>46148.0</v>
      </c>
      <c r="B1075" s="112" t="s">
        <v>2434</v>
      </c>
      <c r="C1075" s="67" t="str">
        <f>IFERROR(__xludf.DUMMYFUNCTION("""COMPUTED_VALUE"""),"LD267")</f>
        <v>LD267</v>
      </c>
      <c r="D1075" s="55" t="s">
        <v>42</v>
      </c>
      <c r="E1075" s="55" t="s">
        <v>79</v>
      </c>
      <c r="F1075" s="55" t="s">
        <v>539</v>
      </c>
      <c r="G1075" s="55">
        <v>1840.0</v>
      </c>
      <c r="H1075" s="55" t="s">
        <v>1137</v>
      </c>
      <c r="I1075" s="115" t="s">
        <v>7986</v>
      </c>
      <c r="J1075" s="55" t="s">
        <v>7987</v>
      </c>
      <c r="K1075" s="55" t="s">
        <v>61</v>
      </c>
      <c r="L1075" s="55">
        <v>16917.0</v>
      </c>
      <c r="M1075" s="55" t="s">
        <v>78</v>
      </c>
      <c r="N1075" s="55" t="s">
        <v>79</v>
      </c>
      <c r="O1075" s="55" t="s">
        <v>224</v>
      </c>
      <c r="P1075" s="55" t="s">
        <v>110</v>
      </c>
      <c r="Q1075" s="67" t="str">
        <f>IFERROR(__xludf.DUMMYFUNCTION("""COMPUTED_VALUE"""),"ALL.giaotiep.M658xM659_16917_MES_NamNH_060526")</f>
        <v>ALL.giaotiep.M658xM659_16917_MES_NamNH_060526</v>
      </c>
      <c r="R1075" s="67" t="str">
        <f>IFERROR(__xludf.DUMMYFUNCTION("""COMPUTED_VALUE"""),"NEW_ALL_1840_none_060526")</f>
        <v>NEW_ALL_1840_none_060526</v>
      </c>
      <c r="S1075" s="67" t="str">
        <f>IFERROR(__xludf.DUMMYFUNCTION("""COMPUTED_VALUE"""),"saletructiep_ALL.M658.1840.giaotiep_PTATT_LD267")</f>
        <v>saletructiep_ALL.M658.1840.giaotiep_PTATT_LD267</v>
      </c>
      <c r="T1075" s="107" t="str">
        <f>IFERROR(__xludf.DUMMYFUNCTION("""COMPUTED_VALUE"""),"https://patado.edu.vn/tienganhgiaotiep1_hn/?utm_source=Facebook&amp;utm_medium=MES&amp;utm_term=NEW_ALL_1840_none_060526&amp;utm_content=saletructiep_ALL.M658.1840.giaotiep_PTATT_LD267&amp;utm_campaign=ALL.giaotiep.M658xM659_16917_MES_NamNH_060526")</f>
        <v>https://patado.edu.vn/tienganhgiaotiep1_hn/?utm_source=Facebook&amp;utm_medium=MES&amp;utm_term=NEW_ALL_1840_none_060526&amp;utm_content=saletructiep_ALL.M658.1840.giaotiep_PTATT_LD267&amp;utm_campaign=ALL.giaotiep.M658xM659_16917_MES_NamNH_060526</v>
      </c>
      <c r="U1075" s="110" t="s">
        <v>7988</v>
      </c>
    </row>
    <row r="1076">
      <c r="A1076" s="72">
        <v>46147.0</v>
      </c>
      <c r="B1076" s="112" t="s">
        <v>2434</v>
      </c>
      <c r="C1076" s="67" t="str">
        <f>IFERROR(__xludf.DUMMYFUNCTION("""COMPUTED_VALUE"""),"LD267")</f>
        <v>LD267</v>
      </c>
      <c r="D1076" s="55" t="s">
        <v>42</v>
      </c>
      <c r="E1076" s="55" t="s">
        <v>79</v>
      </c>
      <c r="F1076" s="55" t="s">
        <v>539</v>
      </c>
      <c r="G1076" s="55">
        <v>1840.0</v>
      </c>
      <c r="H1076" s="55" t="s">
        <v>1137</v>
      </c>
      <c r="I1076" s="115" t="s">
        <v>7989</v>
      </c>
      <c r="J1076" s="55" t="s">
        <v>7990</v>
      </c>
      <c r="K1076" s="55" t="s">
        <v>61</v>
      </c>
      <c r="L1076" s="55">
        <v>16917.0</v>
      </c>
      <c r="M1076" s="55" t="s">
        <v>78</v>
      </c>
      <c r="N1076" s="55" t="s">
        <v>79</v>
      </c>
      <c r="O1076" s="55" t="s">
        <v>224</v>
      </c>
      <c r="P1076" s="55" t="s">
        <v>110</v>
      </c>
      <c r="Q1076" s="67" t="str">
        <f>IFERROR(__xludf.DUMMYFUNCTION("""COMPUTED_VALUE"""),"ALL.giaotiep.M657xM683_16917_MES_NamNH_050526")</f>
        <v>ALL.giaotiep.M657xM683_16917_MES_NamNH_050526</v>
      </c>
      <c r="R1076" s="67" t="str">
        <f>IFERROR(__xludf.DUMMYFUNCTION("""COMPUTED_VALUE"""),"NEW_ALL_1840_none_050526")</f>
        <v>NEW_ALL_1840_none_050526</v>
      </c>
      <c r="S1076" s="67" t="str">
        <f>IFERROR(__xludf.DUMMYFUNCTION("""COMPUTED_VALUE"""),"saletructiep_ALL.M657.1840.giaotiep_PTATT_LD267")</f>
        <v>saletructiep_ALL.M657.1840.giaotiep_PTATT_LD267</v>
      </c>
      <c r="T1076" s="107" t="str">
        <f>IFERROR(__xludf.DUMMYFUNCTION("""COMPUTED_VALUE"""),"https://patado.edu.vn/tienganhgiaotiep1_hn/?utm_source=Facebook&amp;utm_medium=MES&amp;utm_term=NEW_ALL_1840_none_050526&amp;utm_content=saletructiep_ALL.M657.1840.giaotiep_PTATT_LD267&amp;utm_campaign=ALL.giaotiep.M657xM683_16917_MES_NamNH_050526")</f>
        <v>https://patado.edu.vn/tienganhgiaotiep1_hn/?utm_source=Facebook&amp;utm_medium=MES&amp;utm_term=NEW_ALL_1840_none_050526&amp;utm_content=saletructiep_ALL.M657.1840.giaotiep_PTATT_LD267&amp;utm_campaign=ALL.giaotiep.M657xM683_16917_MES_NamNH_050526</v>
      </c>
      <c r="U1076" s="110" t="s">
        <v>7991</v>
      </c>
    </row>
    <row r="1077">
      <c r="A1077" s="72">
        <v>46148.0</v>
      </c>
      <c r="B1077" s="112" t="s">
        <v>2543</v>
      </c>
      <c r="C1077" s="67" t="str">
        <f>IFERROR(__xludf.DUMMYFUNCTION("""COMPUTED_VALUE"""),"LD265")</f>
        <v>LD265</v>
      </c>
      <c r="D1077" s="55" t="s">
        <v>42</v>
      </c>
      <c r="E1077" s="55" t="s">
        <v>69</v>
      </c>
      <c r="F1077" s="55" t="s">
        <v>133</v>
      </c>
      <c r="G1077" s="55">
        <v>1840.0</v>
      </c>
      <c r="H1077" s="55" t="s">
        <v>1137</v>
      </c>
      <c r="I1077" s="115" t="s">
        <v>7992</v>
      </c>
      <c r="J1077" s="55" t="s">
        <v>1836</v>
      </c>
      <c r="K1077" s="55" t="s">
        <v>61</v>
      </c>
      <c r="L1077" s="55">
        <v>16917.0</v>
      </c>
      <c r="M1077" s="55" t="s">
        <v>78</v>
      </c>
      <c r="N1077" s="55" t="s">
        <v>69</v>
      </c>
      <c r="O1077" s="55" t="s">
        <v>224</v>
      </c>
      <c r="P1077" s="55" t="s">
        <v>110</v>
      </c>
      <c r="Q1077" s="67" t="str">
        <f>IFERROR(__xludf.DUMMYFUNCTION("""COMPUTED_VALUE"""),"Japan.giaotiep.M658xM659_16917_CVS_NamNH_060526")</f>
        <v>Japan.giaotiep.M658xM659_16917_CVS_NamNH_060526</v>
      </c>
      <c r="R1077" s="67" t="str">
        <f>IFERROR(__xludf.DUMMYFUNCTION("""COMPUTED_VALUE"""),"NEW_Japan_1840_none_060526")</f>
        <v>NEW_Japan_1840_none_060526</v>
      </c>
      <c r="S1077" s="67" t="str">
        <f>IFERROR(__xludf.DUMMYFUNCTION("""COMPUTED_VALUE"""),"saletructiep_Japan.M658.1840.giaotiep_PTATT_LD265")</f>
        <v>saletructiep_Japan.M658.1840.giaotiep_PTATT_LD265</v>
      </c>
      <c r="T1077" s="107" t="str">
        <f>IFERROR(__xludf.DUMMYFUNCTION("""COMPUTED_VALUE"""),"https://patado.edu.vn/gtjapan_nhn3/?utm_source=Facebook&amp;utm_medium=CVS&amp;utm_term=NEW_Japan_1840_none_060526&amp;utm_content=saletructiep_Japan.M658.1840.giaotiep_PTATT_LD265&amp;utm_campaign=Japan.giaotiep.M658xM659_16917_CVS_NamNH_060526")</f>
        <v>https://patado.edu.vn/gtjapan_nhn3/?utm_source=Facebook&amp;utm_medium=CVS&amp;utm_term=NEW_Japan_1840_none_060526&amp;utm_content=saletructiep_Japan.M658.1840.giaotiep_PTATT_LD265&amp;utm_campaign=Japan.giaotiep.M658xM659_16917_CVS_NamNH_060526</v>
      </c>
      <c r="U1077" s="146" t="s">
        <v>7993</v>
      </c>
    </row>
    <row r="1078">
      <c r="A1078" s="72">
        <v>46148.0</v>
      </c>
      <c r="B1078" s="112" t="s">
        <v>7633</v>
      </c>
      <c r="C1078" s="67" t="str">
        <f>IFERROR(__xludf.DUMMYFUNCTION("""COMPUTED_VALUE"""),"LD266")</f>
        <v>LD266</v>
      </c>
      <c r="D1078" s="55" t="s">
        <v>42</v>
      </c>
      <c r="E1078" s="55" t="s">
        <v>79</v>
      </c>
      <c r="F1078" s="55" t="s">
        <v>107</v>
      </c>
      <c r="G1078" s="55">
        <v>2050.0</v>
      </c>
      <c r="H1078" s="55" t="s">
        <v>1137</v>
      </c>
      <c r="I1078" s="115" t="s">
        <v>7994</v>
      </c>
      <c r="J1078" s="55" t="s">
        <v>7995</v>
      </c>
      <c r="K1078" s="55" t="s">
        <v>61</v>
      </c>
      <c r="L1078" s="55">
        <v>16917.0</v>
      </c>
      <c r="M1078" s="55" t="s">
        <v>78</v>
      </c>
      <c r="N1078" s="55" t="s">
        <v>79</v>
      </c>
      <c r="O1078" s="55" t="s">
        <v>224</v>
      </c>
      <c r="P1078" s="55" t="s">
        <v>110</v>
      </c>
      <c r="Q1078" s="67" t="str">
        <f>IFERROR(__xludf.DUMMYFUNCTION("""COMPUTED_VALUE"""),"UnitedStates.giaotiep.M657xM683_16917_MES_NamNH_060526")</f>
        <v>UnitedStates.giaotiep.M657xM683_16917_MES_NamNH_060526</v>
      </c>
      <c r="R1078" s="67" t="str">
        <f>IFERROR(__xludf.DUMMYFUNCTION("""COMPUTED_VALUE"""),"NEW_UnitedStates_2050_none_060526")</f>
        <v>NEW_UnitedStates_2050_none_060526</v>
      </c>
      <c r="S1078" s="67" t="str">
        <f>IFERROR(__xludf.DUMMYFUNCTION("""COMPUTED_VALUE"""),"saletructiep_UnitedStates.M657.1840.giaotiep_PTATT_LD266")</f>
        <v>saletructiep_UnitedStates.M657.1840.giaotiep_PTATT_LD266</v>
      </c>
      <c r="T1078" s="107" t="str">
        <f>IFERROR(__xludf.DUMMYFUNCTION("""COMPUTED_VALUE"""),"https://patado.edu.vn/gtusa1_nhn/?utm_source=Facebook&amp;utm_medium=MES&amp;utm_term=NEW_UnitedStates_2050_none_060526&amp;utm_content=saletructiep_UnitedStates.M657.1840.giaotiep_PTATT_LD266&amp;utm_campaign=UnitedStates.giaotiep.M657xM683_16917_MES_NamNH_060526")</f>
        <v>https://patado.edu.vn/gtusa1_nhn/?utm_source=Facebook&amp;utm_medium=MES&amp;utm_term=NEW_UnitedStates_2050_none_060526&amp;utm_content=saletructiep_UnitedStates.M657.1840.giaotiep_PTATT_LD266&amp;utm_campaign=UnitedStates.giaotiep.M657xM683_16917_MES_NamNH_060526</v>
      </c>
      <c r="U1078" s="110" t="s">
        <v>7996</v>
      </c>
    </row>
    <row r="1079">
      <c r="A1079" s="72">
        <v>46148.0</v>
      </c>
      <c r="B1079" s="112" t="s">
        <v>2543</v>
      </c>
      <c r="C1079" s="67" t="str">
        <f>IFERROR(__xludf.DUMMYFUNCTION("""COMPUTED_VALUE"""),"LD265")</f>
        <v>LD265</v>
      </c>
      <c r="D1079" s="55" t="s">
        <v>42</v>
      </c>
      <c r="E1079" s="55" t="s">
        <v>69</v>
      </c>
      <c r="F1079" s="55" t="s">
        <v>133</v>
      </c>
      <c r="G1079" s="55">
        <v>1840.0</v>
      </c>
      <c r="H1079" s="55" t="s">
        <v>1137</v>
      </c>
      <c r="I1079" s="115" t="s">
        <v>7997</v>
      </c>
      <c r="J1079" s="55" t="s">
        <v>1880</v>
      </c>
      <c r="K1079" s="55" t="s">
        <v>61</v>
      </c>
      <c r="L1079" s="55">
        <v>16917.0</v>
      </c>
      <c r="M1079" s="55" t="s">
        <v>78</v>
      </c>
      <c r="N1079" s="55" t="s">
        <v>69</v>
      </c>
      <c r="O1079" s="55" t="s">
        <v>224</v>
      </c>
      <c r="P1079" s="55" t="s">
        <v>110</v>
      </c>
      <c r="Q1079" s="67" t="str">
        <f>IFERROR(__xludf.DUMMYFUNCTION("""COMPUTED_VALUE"""),"Japan.giaotiep.M652xM655_16917_CVS_NamNH_060526")</f>
        <v>Japan.giaotiep.M652xM655_16917_CVS_NamNH_060526</v>
      </c>
      <c r="R1079" s="67" t="str">
        <f>IFERROR(__xludf.DUMMYFUNCTION("""COMPUTED_VALUE"""),"NEW_Japan_1840_none_060526")</f>
        <v>NEW_Japan_1840_none_060526</v>
      </c>
      <c r="S1079" s="67" t="str">
        <f>IFERROR(__xludf.DUMMYFUNCTION("""COMPUTED_VALUE"""),"saletructiep_Japan.M652.1840.giaotiep_PTATT_LD265")</f>
        <v>saletructiep_Japan.M652.1840.giaotiep_PTATT_LD265</v>
      </c>
      <c r="T1079" s="107" t="str">
        <f>IFERROR(__xludf.DUMMYFUNCTION("""COMPUTED_VALUE"""),"https://patado.edu.vn/gtjapan_nhn3/?utm_source=Facebook&amp;utm_medium=CVS&amp;utm_term=NEW_Japan_1840_none_060526&amp;utm_content=saletructiep_Japan.M652.1840.giaotiep_PTATT_LD265&amp;utm_campaign=Japan.giaotiep.M652xM655_16917_CVS_NamNH_060526")</f>
        <v>https://patado.edu.vn/gtjapan_nhn3/?utm_source=Facebook&amp;utm_medium=CVS&amp;utm_term=NEW_Japan_1840_none_060526&amp;utm_content=saletructiep_Japan.M652.1840.giaotiep_PTATT_LD265&amp;utm_campaign=Japan.giaotiep.M652xM655_16917_CVS_NamNH_060526</v>
      </c>
      <c r="U1079" s="110" t="s">
        <v>7998</v>
      </c>
    </row>
    <row r="1080">
      <c r="A1080" s="72">
        <v>46148.0</v>
      </c>
      <c r="B1080" s="112" t="s">
        <v>2434</v>
      </c>
      <c r="C1080" s="67" t="str">
        <f>IFERROR(__xludf.DUMMYFUNCTION("""COMPUTED_VALUE"""),"LD267")</f>
        <v>LD267</v>
      </c>
      <c r="D1080" s="55" t="s">
        <v>42</v>
      </c>
      <c r="E1080" s="55" t="s">
        <v>69</v>
      </c>
      <c r="F1080" s="55" t="s">
        <v>674</v>
      </c>
      <c r="G1080" s="55">
        <v>1840.0</v>
      </c>
      <c r="H1080" s="55" t="s">
        <v>1137</v>
      </c>
      <c r="I1080" s="115" t="s">
        <v>7999</v>
      </c>
      <c r="J1080" s="55" t="s">
        <v>6356</v>
      </c>
      <c r="K1080" s="55" t="s">
        <v>61</v>
      </c>
      <c r="L1080" s="55">
        <v>16917.0</v>
      </c>
      <c r="M1080" s="55" t="s">
        <v>78</v>
      </c>
      <c r="N1080" s="55" t="s">
        <v>69</v>
      </c>
      <c r="O1080" s="55" t="s">
        <v>224</v>
      </c>
      <c r="P1080" s="55" t="s">
        <v>110</v>
      </c>
      <c r="Q1080" s="67" t="str">
        <f>IFERROR(__xludf.DUMMYFUNCTION("""COMPUTED_VALUE"""),"Europe.giaotiep.M652xM655_16917_CVS_NamNH_060526")</f>
        <v>Europe.giaotiep.M652xM655_16917_CVS_NamNH_060526</v>
      </c>
      <c r="R1080" s="67" t="str">
        <f>IFERROR(__xludf.DUMMYFUNCTION("""COMPUTED_VALUE"""),"NEW_Europe_1840_none_060526")</f>
        <v>NEW_Europe_1840_none_060526</v>
      </c>
      <c r="S1080" s="67" t="str">
        <f>IFERROR(__xludf.DUMMYFUNCTION("""COMPUTED_VALUE"""),"saletructiep_Europe.M652.1840.giaotiep_PTATT_LD267")</f>
        <v>saletructiep_Europe.M652.1840.giaotiep_PTATT_LD267</v>
      </c>
      <c r="T1080" s="107" t="str">
        <f>IFERROR(__xludf.DUMMYFUNCTION("""COMPUTED_VALUE"""),"https://patado.edu.vn/tienganhgiaotiep1_hn/?utm_source=Facebook&amp;utm_medium=CVS&amp;utm_term=NEW_Europe_1840_none_060526&amp;utm_content=saletructiep_Europe.M652.1840.giaotiep_PTATT_LD267&amp;utm_campaign=Europe.giaotiep.M652xM655_16917_CVS_NamNH_060526")</f>
        <v>https://patado.edu.vn/tienganhgiaotiep1_hn/?utm_source=Facebook&amp;utm_medium=CVS&amp;utm_term=NEW_Europe_1840_none_060526&amp;utm_content=saletructiep_Europe.M652.1840.giaotiep_PTATT_LD267&amp;utm_campaign=Europe.giaotiep.M652xM655_16917_CVS_NamNH_060526</v>
      </c>
      <c r="U1080" s="110" t="s">
        <v>8000</v>
      </c>
    </row>
    <row r="1081">
      <c r="A1081" s="72">
        <v>46148.0</v>
      </c>
      <c r="B1081" s="112" t="s">
        <v>2543</v>
      </c>
      <c r="C1081" s="67" t="str">
        <f>IFERROR(__xludf.DUMMYFUNCTION("""COMPUTED_VALUE"""),"LD265")</f>
        <v>LD265</v>
      </c>
      <c r="D1081" s="55" t="s">
        <v>42</v>
      </c>
      <c r="E1081" s="55" t="s">
        <v>69</v>
      </c>
      <c r="F1081" s="55" t="s">
        <v>133</v>
      </c>
      <c r="G1081" s="55">
        <v>1840.0</v>
      </c>
      <c r="H1081" s="55" t="s">
        <v>1137</v>
      </c>
      <c r="I1081" s="115" t="s">
        <v>8001</v>
      </c>
      <c r="J1081" s="55" t="s">
        <v>8002</v>
      </c>
      <c r="K1081" s="55" t="s">
        <v>61</v>
      </c>
      <c r="L1081" s="55">
        <v>16917.0</v>
      </c>
      <c r="M1081" s="55" t="s">
        <v>78</v>
      </c>
      <c r="N1081" s="55" t="s">
        <v>69</v>
      </c>
      <c r="O1081" s="55" t="s">
        <v>224</v>
      </c>
      <c r="P1081" s="55" t="s">
        <v>110</v>
      </c>
      <c r="Q1081" s="67" t="str">
        <f>IFERROR(__xludf.DUMMYFUNCTION("""COMPUTED_VALUE"""),"Japan.giaotiep.M654xM656_16917_CVS_NamNH_060526")</f>
        <v>Japan.giaotiep.M654xM656_16917_CVS_NamNH_060526</v>
      </c>
      <c r="R1081" s="67" t="str">
        <f>IFERROR(__xludf.DUMMYFUNCTION("""COMPUTED_VALUE"""),"NEW_Japan_1840_none_060526")</f>
        <v>NEW_Japan_1840_none_060526</v>
      </c>
      <c r="S1081" s="67" t="str">
        <f>IFERROR(__xludf.DUMMYFUNCTION("""COMPUTED_VALUE"""),"saletructiep_Japan.M654.1840.giaotiep_PTATT_LD265")</f>
        <v>saletructiep_Japan.M654.1840.giaotiep_PTATT_LD265</v>
      </c>
      <c r="T1081" s="107" t="str">
        <f>IFERROR(__xludf.DUMMYFUNCTION("""COMPUTED_VALUE"""),"https://patado.edu.vn/gtjapan_nhn3/?utm_source=Facebook&amp;utm_medium=CVS&amp;utm_term=NEW_Japan_1840_none_060526&amp;utm_content=saletructiep_Japan.M654.1840.giaotiep_PTATT_LD265&amp;utm_campaign=Japan.giaotiep.M654xM656_16917_CVS_NamNH_060526")</f>
        <v>https://patado.edu.vn/gtjapan_nhn3/?utm_source=Facebook&amp;utm_medium=CVS&amp;utm_term=NEW_Japan_1840_none_060526&amp;utm_content=saletructiep_Japan.M654.1840.giaotiep_PTATT_LD265&amp;utm_campaign=Japan.giaotiep.M654xM656_16917_CVS_NamNH_060526</v>
      </c>
      <c r="U1081" s="110" t="s">
        <v>8003</v>
      </c>
    </row>
    <row r="1082">
      <c r="A1082" s="72">
        <v>46148.0</v>
      </c>
      <c r="B1082" s="112" t="s">
        <v>2434</v>
      </c>
      <c r="C1082" s="67" t="str">
        <f>IFERROR(__xludf.DUMMYFUNCTION("""COMPUTED_VALUE"""),"LD267")</f>
        <v>LD267</v>
      </c>
      <c r="D1082" s="55" t="s">
        <v>42</v>
      </c>
      <c r="E1082" s="55" t="s">
        <v>69</v>
      </c>
      <c r="F1082" s="55" t="s">
        <v>674</v>
      </c>
      <c r="G1082" s="55">
        <v>1840.0</v>
      </c>
      <c r="H1082" s="55" t="s">
        <v>1137</v>
      </c>
      <c r="I1082" s="115" t="s">
        <v>8004</v>
      </c>
      <c r="J1082" s="55" t="s">
        <v>8005</v>
      </c>
      <c r="K1082" s="55" t="s">
        <v>61</v>
      </c>
      <c r="L1082" s="55">
        <v>16917.0</v>
      </c>
      <c r="M1082" s="55" t="s">
        <v>78</v>
      </c>
      <c r="N1082" s="55" t="s">
        <v>69</v>
      </c>
      <c r="O1082" s="55" t="s">
        <v>224</v>
      </c>
      <c r="P1082" s="55" t="s">
        <v>110</v>
      </c>
      <c r="Q1082" s="67" t="str">
        <f>IFERROR(__xludf.DUMMYFUNCTION("""COMPUTED_VALUE"""),"Europe.giaotiep.M654xM656_16917_CVS_NamNH_060526")</f>
        <v>Europe.giaotiep.M654xM656_16917_CVS_NamNH_060526</v>
      </c>
      <c r="R1082" s="67" t="str">
        <f>IFERROR(__xludf.DUMMYFUNCTION("""COMPUTED_VALUE"""),"NEW_Europe_1840_none_060526")</f>
        <v>NEW_Europe_1840_none_060526</v>
      </c>
      <c r="S1082" s="67" t="str">
        <f>IFERROR(__xludf.DUMMYFUNCTION("""COMPUTED_VALUE"""),"saletructiep_Europe.M654.1840.giaotiep_PTATT_LD267")</f>
        <v>saletructiep_Europe.M654.1840.giaotiep_PTATT_LD267</v>
      </c>
      <c r="T1082" s="107" t="str">
        <f>IFERROR(__xludf.DUMMYFUNCTION("""COMPUTED_VALUE"""),"https://patado.edu.vn/tienganhgiaotiep1_hn/?utm_source=Facebook&amp;utm_medium=CVS&amp;utm_term=NEW_Europe_1840_none_060526&amp;utm_content=saletructiep_Europe.M654.1840.giaotiep_PTATT_LD267&amp;utm_campaign=Europe.giaotiep.M654xM656_16917_CVS_NamNH_060526")</f>
        <v>https://patado.edu.vn/tienganhgiaotiep1_hn/?utm_source=Facebook&amp;utm_medium=CVS&amp;utm_term=NEW_Europe_1840_none_060526&amp;utm_content=saletructiep_Europe.M654.1840.giaotiep_PTATT_LD267&amp;utm_campaign=Europe.giaotiep.M654xM656_16917_CVS_NamNH_060526</v>
      </c>
      <c r="U1082" s="110" t="s">
        <v>8006</v>
      </c>
    </row>
    <row r="1083">
      <c r="A1083" s="72">
        <v>46153.0</v>
      </c>
      <c r="B1083" s="112" t="s">
        <v>2434</v>
      </c>
      <c r="C1083" s="67" t="str">
        <f>IFERROR(__xludf.DUMMYFUNCTION("""COMPUTED_VALUE"""),"LD267")</f>
        <v>LD267</v>
      </c>
      <c r="D1083" s="55" t="s">
        <v>42</v>
      </c>
      <c r="E1083" s="55" t="s">
        <v>69</v>
      </c>
      <c r="F1083" s="55" t="s">
        <v>674</v>
      </c>
      <c r="G1083" s="55">
        <v>1840.0</v>
      </c>
      <c r="H1083" s="55" t="s">
        <v>1137</v>
      </c>
      <c r="I1083" s="115" t="s">
        <v>8007</v>
      </c>
      <c r="J1083" s="55" t="s">
        <v>8008</v>
      </c>
      <c r="K1083" s="55" t="s">
        <v>61</v>
      </c>
      <c r="L1083" s="55">
        <v>16917.0</v>
      </c>
      <c r="M1083" s="55" t="s">
        <v>78</v>
      </c>
      <c r="N1083" s="55" t="s">
        <v>69</v>
      </c>
      <c r="O1083" s="55" t="s">
        <v>224</v>
      </c>
      <c r="P1083" s="55" t="s">
        <v>110</v>
      </c>
      <c r="Q1083" s="67" t="str">
        <f>IFERROR(__xludf.DUMMYFUNCTION("""COMPUTED_VALUE"""),"Europe.giaotiep.M679xM680_16917_CVS_NamNH_110526")</f>
        <v>Europe.giaotiep.M679xM680_16917_CVS_NamNH_110526</v>
      </c>
      <c r="R1083" s="67" t="str">
        <f>IFERROR(__xludf.DUMMYFUNCTION("""COMPUTED_VALUE"""),"NEW_Europe_1840_none_110526")</f>
        <v>NEW_Europe_1840_none_110526</v>
      </c>
      <c r="S1083" s="67" t="str">
        <f>IFERROR(__xludf.DUMMYFUNCTION("""COMPUTED_VALUE"""),"saletructiep_Europe.M679.1840.giaotiep_PTATT_LD267")</f>
        <v>saletructiep_Europe.M679.1840.giaotiep_PTATT_LD267</v>
      </c>
      <c r="T1083" s="107" t="str">
        <f>IFERROR(__xludf.DUMMYFUNCTION("""COMPUTED_VALUE"""),"https://patado.edu.vn/tienganhgiaotiep1_hn/?utm_source=Facebook&amp;utm_medium=CVS&amp;utm_term=NEW_Europe_1840_none_110526&amp;utm_content=saletructiep_Europe.M679.1840.giaotiep_PTATT_LD267&amp;utm_campaign=Europe.giaotiep.M679xM680_16917_CVS_NamNH_110526")</f>
        <v>https://patado.edu.vn/tienganhgiaotiep1_hn/?utm_source=Facebook&amp;utm_medium=CVS&amp;utm_term=NEW_Europe_1840_none_110526&amp;utm_content=saletructiep_Europe.M679.1840.giaotiep_PTATT_LD267&amp;utm_campaign=Europe.giaotiep.M679xM680_16917_CVS_NamNH_110526</v>
      </c>
      <c r="U1083" s="110" t="s">
        <v>8009</v>
      </c>
    </row>
    <row r="1084">
      <c r="A1084" s="72">
        <v>46153.0</v>
      </c>
      <c r="B1084" s="112" t="s">
        <v>2434</v>
      </c>
      <c r="C1084" s="67" t="str">
        <f>IFERROR(__xludf.DUMMYFUNCTION("""COMPUTED_VALUE"""),"LD267")</f>
        <v>LD267</v>
      </c>
      <c r="D1084" s="55" t="s">
        <v>42</v>
      </c>
      <c r="E1084" s="55" t="s">
        <v>69</v>
      </c>
      <c r="F1084" s="55" t="s">
        <v>674</v>
      </c>
      <c r="G1084" s="55">
        <v>1841.0</v>
      </c>
      <c r="H1084" s="55" t="s">
        <v>1137</v>
      </c>
      <c r="I1084" s="115" t="s">
        <v>8010</v>
      </c>
      <c r="J1084" s="55" t="s">
        <v>8011</v>
      </c>
      <c r="K1084" s="55" t="s">
        <v>61</v>
      </c>
      <c r="L1084" s="55">
        <v>16917.0</v>
      </c>
      <c r="M1084" s="55" t="s">
        <v>78</v>
      </c>
      <c r="N1084" s="55" t="s">
        <v>69</v>
      </c>
      <c r="O1084" s="55" t="s">
        <v>224</v>
      </c>
      <c r="P1084" s="55" t="s">
        <v>110</v>
      </c>
      <c r="Q1084" s="67" t="str">
        <f>IFERROR(__xludf.DUMMYFUNCTION("""COMPUTED_VALUE"""),"Europe.giaotiep.M675xM676_16917_CVS_NamNH_110526")</f>
        <v>Europe.giaotiep.M675xM676_16917_CVS_NamNH_110526</v>
      </c>
      <c r="R1084" s="67" t="str">
        <f>IFERROR(__xludf.DUMMYFUNCTION("""COMPUTED_VALUE"""),"NEW_Europe_1841_none_110526")</f>
        <v>NEW_Europe_1841_none_110526</v>
      </c>
      <c r="S1084" s="67" t="str">
        <f>IFERROR(__xludf.DUMMYFUNCTION("""COMPUTED_VALUE"""),"saletructiep_Europe.M675.1840.giaotiep_PTATT_LD267")</f>
        <v>saletructiep_Europe.M675.1840.giaotiep_PTATT_LD267</v>
      </c>
      <c r="T1084" s="107" t="str">
        <f>IFERROR(__xludf.DUMMYFUNCTION("""COMPUTED_VALUE"""),"https://patado.edu.vn/tienganhgiaotiep1_hn/?utm_source=Facebook&amp;utm_medium=CVS&amp;utm_term=NEW_Europe_1841_none_110526&amp;utm_content=saletructiep_Europe.M675.1840.giaotiep_PTATT_LD267&amp;utm_campaign=Europe.giaotiep.M675xM676_16917_CVS_NamNH_110526")</f>
        <v>https://patado.edu.vn/tienganhgiaotiep1_hn/?utm_source=Facebook&amp;utm_medium=CVS&amp;utm_term=NEW_Europe_1841_none_110526&amp;utm_content=saletructiep_Europe.M675.1840.giaotiep_PTATT_LD267&amp;utm_campaign=Europe.giaotiep.M675xM676_16917_CVS_NamNH_110526</v>
      </c>
      <c r="U1084" s="110" t="s">
        <v>8012</v>
      </c>
    </row>
    <row r="1085">
      <c r="A1085" s="72">
        <v>46153.0</v>
      </c>
      <c r="B1085" s="112" t="s">
        <v>2543</v>
      </c>
      <c r="C1085" s="67" t="str">
        <f>IFERROR(__xludf.DUMMYFUNCTION("""COMPUTED_VALUE"""),"LD265")</f>
        <v>LD265</v>
      </c>
      <c r="D1085" s="55" t="s">
        <v>42</v>
      </c>
      <c r="E1085" s="55" t="s">
        <v>69</v>
      </c>
      <c r="F1085" s="55" t="s">
        <v>133</v>
      </c>
      <c r="G1085" s="55">
        <v>1840.0</v>
      </c>
      <c r="H1085" s="55" t="s">
        <v>1137</v>
      </c>
      <c r="I1085" s="115" t="s">
        <v>8013</v>
      </c>
      <c r="J1085" s="55" t="s">
        <v>1909</v>
      </c>
      <c r="K1085" s="55" t="s">
        <v>61</v>
      </c>
      <c r="L1085" s="55">
        <v>16917.0</v>
      </c>
      <c r="M1085" s="55" t="s">
        <v>78</v>
      </c>
      <c r="N1085" s="55" t="s">
        <v>69</v>
      </c>
      <c r="O1085" s="55" t="s">
        <v>224</v>
      </c>
      <c r="P1085" s="55" t="s">
        <v>110</v>
      </c>
      <c r="Q1085" s="67" t="str">
        <f>IFERROR(__xludf.DUMMYFUNCTION("""COMPUTED_VALUE"""),"Japan.giaotiep.M679xM680_16917_CVS_NamNH_110526")</f>
        <v>Japan.giaotiep.M679xM680_16917_CVS_NamNH_110526</v>
      </c>
      <c r="R1085" s="67" t="str">
        <f>IFERROR(__xludf.DUMMYFUNCTION("""COMPUTED_VALUE"""),"NEW_Japan_1840_none_110526")</f>
        <v>NEW_Japan_1840_none_110526</v>
      </c>
      <c r="S1085" s="67" t="str">
        <f>IFERROR(__xludf.DUMMYFUNCTION("""COMPUTED_VALUE"""),"saletructiep_Japan.M679.1840.giaotiep_PTATT_LD265")</f>
        <v>saletructiep_Japan.M679.1840.giaotiep_PTATT_LD265</v>
      </c>
      <c r="T1085" s="107" t="str">
        <f>IFERROR(__xludf.DUMMYFUNCTION("""COMPUTED_VALUE"""),"https://patado.edu.vn/gtjapan_nhn3/?utm_source=Facebook&amp;utm_medium=CVS&amp;utm_term=NEW_Japan_1840_none_110526&amp;utm_content=saletructiep_Japan.M679.1840.giaotiep_PTATT_LD265&amp;utm_campaign=Japan.giaotiep.M679xM680_16917_CVS_NamNH_110526")</f>
        <v>https://patado.edu.vn/gtjapan_nhn3/?utm_source=Facebook&amp;utm_medium=CVS&amp;utm_term=NEW_Japan_1840_none_110526&amp;utm_content=saletructiep_Japan.M679.1840.giaotiep_PTATT_LD265&amp;utm_campaign=Japan.giaotiep.M679xM680_16917_CVS_NamNH_110526</v>
      </c>
      <c r="U1085" s="110" t="s">
        <v>8014</v>
      </c>
    </row>
    <row r="1086">
      <c r="A1086" s="72">
        <v>46153.0</v>
      </c>
      <c r="B1086" s="112" t="s">
        <v>2543</v>
      </c>
      <c r="C1086" s="67" t="str">
        <f>IFERROR(__xludf.DUMMYFUNCTION("""COMPUTED_VALUE"""),"LD265")</f>
        <v>LD265</v>
      </c>
      <c r="D1086" s="55" t="s">
        <v>42</v>
      </c>
      <c r="E1086" s="55" t="s">
        <v>69</v>
      </c>
      <c r="F1086" s="55" t="s">
        <v>133</v>
      </c>
      <c r="G1086" s="55">
        <v>1840.0</v>
      </c>
      <c r="H1086" s="55" t="s">
        <v>1137</v>
      </c>
      <c r="I1086" s="115" t="s">
        <v>8015</v>
      </c>
      <c r="J1086" s="55" t="s">
        <v>8016</v>
      </c>
      <c r="K1086" s="55" t="s">
        <v>61</v>
      </c>
      <c r="L1086" s="55">
        <v>16917.0</v>
      </c>
      <c r="M1086" s="55" t="s">
        <v>78</v>
      </c>
      <c r="N1086" s="55" t="s">
        <v>69</v>
      </c>
      <c r="O1086" s="55" t="s">
        <v>224</v>
      </c>
      <c r="P1086" s="55" t="s">
        <v>110</v>
      </c>
      <c r="Q1086" s="67" t="str">
        <f>IFERROR(__xludf.DUMMYFUNCTION("""COMPUTED_VALUE"""),"Japan.giaotiep.M675xM676_16917_CVS_NamNH_110526")</f>
        <v>Japan.giaotiep.M675xM676_16917_CVS_NamNH_110526</v>
      </c>
      <c r="R1086" s="67" t="str">
        <f>IFERROR(__xludf.DUMMYFUNCTION("""COMPUTED_VALUE"""),"NEW_Japan_1840_none_110526")</f>
        <v>NEW_Japan_1840_none_110526</v>
      </c>
      <c r="S1086" s="67" t="str">
        <f>IFERROR(__xludf.DUMMYFUNCTION("""COMPUTED_VALUE"""),"saletructiep_Japan.M675.1840.giaotiep_PTATT_LD265")</f>
        <v>saletructiep_Japan.M675.1840.giaotiep_PTATT_LD265</v>
      </c>
      <c r="T1086" s="107" t="str">
        <f>IFERROR(__xludf.DUMMYFUNCTION("""COMPUTED_VALUE"""),"https://patado.edu.vn/gtjapan_nhn3/?utm_source=Facebook&amp;utm_medium=CVS&amp;utm_term=NEW_Japan_1840_none_110526&amp;utm_content=saletructiep_Japan.M675.1840.giaotiep_PTATT_LD265&amp;utm_campaign=Japan.giaotiep.M675xM676_16917_CVS_NamNH_110526")</f>
        <v>https://patado.edu.vn/gtjapan_nhn3/?utm_source=Facebook&amp;utm_medium=CVS&amp;utm_term=NEW_Japan_1840_none_110526&amp;utm_content=saletructiep_Japan.M675.1840.giaotiep_PTATT_LD265&amp;utm_campaign=Japan.giaotiep.M675xM676_16917_CVS_NamNH_110526</v>
      </c>
      <c r="U1086" s="110" t="s">
        <v>8017</v>
      </c>
    </row>
    <row r="1087">
      <c r="A1087" s="72">
        <v>46161.0</v>
      </c>
      <c r="B1087" s="112" t="s">
        <v>2434</v>
      </c>
      <c r="C1087" s="67" t="str">
        <f>IFERROR(__xludf.DUMMYFUNCTION("""COMPUTED_VALUE"""),"LD267")</f>
        <v>LD267</v>
      </c>
      <c r="D1087" s="55" t="s">
        <v>42</v>
      </c>
      <c r="E1087" s="55" t="s">
        <v>69</v>
      </c>
      <c r="F1087" s="55" t="s">
        <v>674</v>
      </c>
      <c r="G1087" s="55">
        <v>1840.0</v>
      </c>
      <c r="H1087" s="55" t="s">
        <v>1137</v>
      </c>
      <c r="I1087" s="115" t="s">
        <v>8018</v>
      </c>
      <c r="J1087" s="55" t="s">
        <v>8019</v>
      </c>
      <c r="K1087" s="55" t="s">
        <v>61</v>
      </c>
      <c r="L1087" s="55">
        <v>16917.0</v>
      </c>
      <c r="M1087" s="55" t="s">
        <v>78</v>
      </c>
      <c r="N1087" s="55" t="s">
        <v>69</v>
      </c>
      <c r="O1087" s="55" t="s">
        <v>224</v>
      </c>
      <c r="P1087" s="55" t="s">
        <v>110</v>
      </c>
      <c r="Q1087" s="67" t="str">
        <f>IFERROR(__xludf.DUMMYFUNCTION("""COMPUTED_VALUE"""),"Europe.giaotiep.M684xM695_16917_CVS_NamNH_190526")</f>
        <v>Europe.giaotiep.M684xM695_16917_CVS_NamNH_190526</v>
      </c>
      <c r="R1087" s="67" t="str">
        <f>IFERROR(__xludf.DUMMYFUNCTION("""COMPUTED_VALUE"""),"NEW_Europe_1840_none_190526")</f>
        <v>NEW_Europe_1840_none_190526</v>
      </c>
      <c r="S1087" s="67" t="str">
        <f>IFERROR(__xludf.DUMMYFUNCTION("""COMPUTED_VALUE"""),"saletructiep_Europe.M684.1840.giaotiep_PTATT_LD267")</f>
        <v>saletructiep_Europe.M684.1840.giaotiep_PTATT_LD267</v>
      </c>
      <c r="T1087" s="107" t="str">
        <f>IFERROR(__xludf.DUMMYFUNCTION("""COMPUTED_VALUE"""),"https://patado.edu.vn/tienganhgiaotiep1_hn/?utm_source=Facebook&amp;utm_medium=CVS&amp;utm_term=NEW_Europe_1840_none_190526&amp;utm_content=saletructiep_Europe.M684.1840.giaotiep_PTATT_LD267&amp;utm_campaign=Europe.giaotiep.M684xM695_16917_CVS_NamNH_190526")</f>
        <v>https://patado.edu.vn/tienganhgiaotiep1_hn/?utm_source=Facebook&amp;utm_medium=CVS&amp;utm_term=NEW_Europe_1840_none_190526&amp;utm_content=saletructiep_Europe.M684.1840.giaotiep_PTATT_LD267&amp;utm_campaign=Europe.giaotiep.M684xM695_16917_CVS_NamNH_190526</v>
      </c>
      <c r="U1087" s="110" t="s">
        <v>8020</v>
      </c>
    </row>
    <row r="1088">
      <c r="A1088" s="72">
        <v>46161.0</v>
      </c>
      <c r="B1088" s="112" t="s">
        <v>2543</v>
      </c>
      <c r="C1088" s="67" t="str">
        <f>IFERROR(__xludf.DUMMYFUNCTION("""COMPUTED_VALUE"""),"LD265")</f>
        <v>LD265</v>
      </c>
      <c r="D1088" s="55" t="s">
        <v>42</v>
      </c>
      <c r="E1088" s="55" t="s">
        <v>69</v>
      </c>
      <c r="F1088" s="55" t="s">
        <v>133</v>
      </c>
      <c r="G1088" s="55">
        <v>1840.0</v>
      </c>
      <c r="H1088" s="55" t="s">
        <v>1137</v>
      </c>
      <c r="I1088" s="115" t="s">
        <v>8021</v>
      </c>
      <c r="J1088" s="55" t="s">
        <v>8022</v>
      </c>
      <c r="K1088" s="55" t="s">
        <v>61</v>
      </c>
      <c r="L1088" s="55">
        <v>16917.0</v>
      </c>
      <c r="M1088" s="55" t="s">
        <v>78</v>
      </c>
      <c r="N1088" s="55" t="s">
        <v>69</v>
      </c>
      <c r="O1088" s="55" t="s">
        <v>224</v>
      </c>
      <c r="P1088" s="55" t="s">
        <v>110</v>
      </c>
      <c r="Q1088" s="67" t="str">
        <f>IFERROR(__xludf.DUMMYFUNCTION("""COMPUTED_VALUE"""),"Japan.giaotiep.M684xM695_16917_CVS_NamNH_190526")</f>
        <v>Japan.giaotiep.M684xM695_16917_CVS_NamNH_190526</v>
      </c>
      <c r="R1088" s="67" t="str">
        <f>IFERROR(__xludf.DUMMYFUNCTION("""COMPUTED_VALUE"""),"NEW_Japan_1840_none_190526")</f>
        <v>NEW_Japan_1840_none_190526</v>
      </c>
      <c r="S1088" s="67" t="str">
        <f>IFERROR(__xludf.DUMMYFUNCTION("""COMPUTED_VALUE"""),"saletructiep_Japan.M684.1840.giaotiep_PTATT_LD265")</f>
        <v>saletructiep_Japan.M684.1840.giaotiep_PTATT_LD265</v>
      </c>
      <c r="T1088" s="107" t="str">
        <f>IFERROR(__xludf.DUMMYFUNCTION("""COMPUTED_VALUE"""),"https://patado.edu.vn/gtjapan_nhn3/?utm_source=Facebook&amp;utm_medium=CVS&amp;utm_term=NEW_Japan_1840_none_190526&amp;utm_content=saletructiep_Japan.M684.1840.giaotiep_PTATT_LD265&amp;utm_campaign=Japan.giaotiep.M684xM695_16917_CVS_NamNH_190526")</f>
        <v>https://patado.edu.vn/gtjapan_nhn3/?utm_source=Facebook&amp;utm_medium=CVS&amp;utm_term=NEW_Japan_1840_none_190526&amp;utm_content=saletructiep_Japan.M684.1840.giaotiep_PTATT_LD265&amp;utm_campaign=Japan.giaotiep.M684xM695_16917_CVS_NamNH_190526</v>
      </c>
      <c r="U1088" s="110" t="s">
        <v>8023</v>
      </c>
    </row>
    <row r="1089">
      <c r="A1089" s="72">
        <v>46161.0</v>
      </c>
      <c r="B1089" s="112" t="s">
        <v>2434</v>
      </c>
      <c r="C1089" s="67" t="str">
        <f>IFERROR(__xludf.DUMMYFUNCTION("""COMPUTED_VALUE"""),"LD267")</f>
        <v>LD267</v>
      </c>
      <c r="D1089" s="55" t="s">
        <v>42</v>
      </c>
      <c r="E1089" s="55" t="s">
        <v>69</v>
      </c>
      <c r="F1089" s="55" t="s">
        <v>674</v>
      </c>
      <c r="G1089" s="55">
        <v>1840.0</v>
      </c>
      <c r="H1089" s="55" t="s">
        <v>1137</v>
      </c>
      <c r="I1089" s="115" t="s">
        <v>8024</v>
      </c>
      <c r="J1089" s="55" t="s">
        <v>8025</v>
      </c>
      <c r="K1089" s="55" t="s">
        <v>61</v>
      </c>
      <c r="L1089" s="55">
        <v>16917.0</v>
      </c>
      <c r="M1089" s="55" t="s">
        <v>78</v>
      </c>
      <c r="N1089" s="55" t="s">
        <v>69</v>
      </c>
      <c r="O1089" s="55" t="s">
        <v>224</v>
      </c>
      <c r="P1089" s="55" t="s">
        <v>110</v>
      </c>
      <c r="Q1089" s="67" t="str">
        <f>IFERROR(__xludf.DUMMYFUNCTION("""COMPUTED_VALUE"""),"Europe.giaotiep.M677xM678_16917_CVS_NamNH_190526")</f>
        <v>Europe.giaotiep.M677xM678_16917_CVS_NamNH_190526</v>
      </c>
      <c r="R1089" s="67" t="str">
        <f>IFERROR(__xludf.DUMMYFUNCTION("""COMPUTED_VALUE"""),"NEW_Europe_1840_none_190526")</f>
        <v>NEW_Europe_1840_none_190526</v>
      </c>
      <c r="S1089" s="67" t="str">
        <f>IFERROR(__xludf.DUMMYFUNCTION("""COMPUTED_VALUE"""),"saletructiep_Europe.M677.1840.giaotiep_PTATT_LD267")</f>
        <v>saletructiep_Europe.M677.1840.giaotiep_PTATT_LD267</v>
      </c>
      <c r="T1089" s="107" t="str">
        <f>IFERROR(__xludf.DUMMYFUNCTION("""COMPUTED_VALUE"""),"https://patado.edu.vn/tienganhgiaotiep1_hn/?utm_source=Facebook&amp;utm_medium=CVS&amp;utm_term=NEW_Europe_1840_none_190526&amp;utm_content=saletructiep_Europe.M677.1840.giaotiep_PTATT_LD267&amp;utm_campaign=Europe.giaotiep.M677xM678_16917_CVS_NamNH_190526")</f>
        <v>https://patado.edu.vn/tienganhgiaotiep1_hn/?utm_source=Facebook&amp;utm_medium=CVS&amp;utm_term=NEW_Europe_1840_none_190526&amp;utm_content=saletructiep_Europe.M677.1840.giaotiep_PTATT_LD267&amp;utm_campaign=Europe.giaotiep.M677xM678_16917_CVS_NamNH_190526</v>
      </c>
      <c r="U1089" s="110" t="s">
        <v>8026</v>
      </c>
    </row>
    <row r="1090">
      <c r="A1090" s="72">
        <v>46161.0</v>
      </c>
      <c r="B1090" s="112" t="s">
        <v>2543</v>
      </c>
      <c r="C1090" s="67" t="str">
        <f>IFERROR(__xludf.DUMMYFUNCTION("""COMPUTED_VALUE"""),"LD265")</f>
        <v>LD265</v>
      </c>
      <c r="D1090" s="55" t="s">
        <v>42</v>
      </c>
      <c r="E1090" s="55" t="s">
        <v>69</v>
      </c>
      <c r="F1090" s="55" t="s">
        <v>133</v>
      </c>
      <c r="G1090" s="55">
        <v>1840.0</v>
      </c>
      <c r="H1090" s="55" t="s">
        <v>1137</v>
      </c>
      <c r="I1090" s="115" t="s">
        <v>8027</v>
      </c>
      <c r="J1090" s="55" t="s">
        <v>8028</v>
      </c>
      <c r="K1090" s="55" t="s">
        <v>61</v>
      </c>
      <c r="L1090" s="55">
        <v>16917.0</v>
      </c>
      <c r="M1090" s="55" t="s">
        <v>78</v>
      </c>
      <c r="N1090" s="55" t="s">
        <v>69</v>
      </c>
      <c r="O1090" s="55" t="s">
        <v>224</v>
      </c>
      <c r="P1090" s="55" t="s">
        <v>110</v>
      </c>
      <c r="Q1090" s="67" t="str">
        <f>IFERROR(__xludf.DUMMYFUNCTION("""COMPUTED_VALUE"""),"Japan.giaotiep.M677xM678_16917_CVS_NamNH_190526")</f>
        <v>Japan.giaotiep.M677xM678_16917_CVS_NamNH_190526</v>
      </c>
      <c r="R1090" s="67" t="str">
        <f>IFERROR(__xludf.DUMMYFUNCTION("""COMPUTED_VALUE"""),"NEW_Japan_1840_none_190526")</f>
        <v>NEW_Japan_1840_none_190526</v>
      </c>
      <c r="S1090" s="67" t="str">
        <f>IFERROR(__xludf.DUMMYFUNCTION("""COMPUTED_VALUE"""),"saletructiep_Japan.M677.1840.giaotiep_PTATT_LD265")</f>
        <v>saletructiep_Japan.M677.1840.giaotiep_PTATT_LD265</v>
      </c>
      <c r="T1090" s="107" t="str">
        <f>IFERROR(__xludf.DUMMYFUNCTION("""COMPUTED_VALUE"""),"https://patado.edu.vn/gtjapan_nhn3/?utm_source=Facebook&amp;utm_medium=CVS&amp;utm_term=NEW_Japan_1840_none_190526&amp;utm_content=saletructiep_Japan.M677.1840.giaotiep_PTATT_LD265&amp;utm_campaign=Japan.giaotiep.M677xM678_16917_CVS_NamNH_190526")</f>
        <v>https://patado.edu.vn/gtjapan_nhn3/?utm_source=Facebook&amp;utm_medium=CVS&amp;utm_term=NEW_Japan_1840_none_190526&amp;utm_content=saletructiep_Japan.M677.1840.giaotiep_PTATT_LD265&amp;utm_campaign=Japan.giaotiep.M677xM678_16917_CVS_NamNH_190526</v>
      </c>
      <c r="U1090" s="110" t="s">
        <v>8029</v>
      </c>
    </row>
    <row r="1091">
      <c r="A1091" s="72">
        <v>46161.0</v>
      </c>
      <c r="B1091" s="112" t="s">
        <v>2434</v>
      </c>
      <c r="C1091" s="67" t="str">
        <f>IFERROR(__xludf.DUMMYFUNCTION("""COMPUTED_VALUE"""),"LD267")</f>
        <v>LD267</v>
      </c>
      <c r="D1091" s="55" t="s">
        <v>42</v>
      </c>
      <c r="E1091" s="55" t="s">
        <v>69</v>
      </c>
      <c r="F1091" s="55" t="s">
        <v>674</v>
      </c>
      <c r="G1091" s="55">
        <v>1840.0</v>
      </c>
      <c r="H1091" s="55" t="s">
        <v>1137</v>
      </c>
      <c r="I1091" s="115" t="s">
        <v>8030</v>
      </c>
      <c r="J1091" s="55" t="s">
        <v>8031</v>
      </c>
      <c r="K1091" s="55" t="s">
        <v>61</v>
      </c>
      <c r="L1091" s="55">
        <v>16917.0</v>
      </c>
      <c r="M1091" s="55" t="s">
        <v>78</v>
      </c>
      <c r="N1091" s="55" t="s">
        <v>69</v>
      </c>
      <c r="O1091" s="55" t="s">
        <v>224</v>
      </c>
      <c r="P1091" s="55" t="s">
        <v>110</v>
      </c>
      <c r="Q1091" s="67" t="str">
        <f>IFERROR(__xludf.DUMMYFUNCTION("""COMPUTED_VALUE"""),"Europe.giaotiep.M681xM682_16917_CVS_NamNH_190526")</f>
        <v>Europe.giaotiep.M681xM682_16917_CVS_NamNH_190526</v>
      </c>
      <c r="R1091" s="67" t="str">
        <f>IFERROR(__xludf.DUMMYFUNCTION("""COMPUTED_VALUE"""),"NEW_Europe_1840_none_190526")</f>
        <v>NEW_Europe_1840_none_190526</v>
      </c>
      <c r="S1091" s="67" t="str">
        <f>IFERROR(__xludf.DUMMYFUNCTION("""COMPUTED_VALUE"""),"saletructiep_Europe.M681.1840.giaotiep_PTATT_LD267")</f>
        <v>saletructiep_Europe.M681.1840.giaotiep_PTATT_LD267</v>
      </c>
      <c r="T1091" s="107" t="str">
        <f>IFERROR(__xludf.DUMMYFUNCTION("""COMPUTED_VALUE"""),"https://patado.edu.vn/tienganhgiaotiep1_hn/?utm_source=Facebook&amp;utm_medium=CVS&amp;utm_term=NEW_Europe_1840_none_190526&amp;utm_content=saletructiep_Europe.M681.1840.giaotiep_PTATT_LD267&amp;utm_campaign=Europe.giaotiep.M681xM682_16917_CVS_NamNH_190526")</f>
        <v>https://patado.edu.vn/tienganhgiaotiep1_hn/?utm_source=Facebook&amp;utm_medium=CVS&amp;utm_term=NEW_Europe_1840_none_190526&amp;utm_content=saletructiep_Europe.M681.1840.giaotiep_PTATT_LD267&amp;utm_campaign=Europe.giaotiep.M681xM682_16917_CVS_NamNH_190526</v>
      </c>
      <c r="U1091" s="110" t="s">
        <v>8032</v>
      </c>
    </row>
    <row r="1092">
      <c r="A1092" s="72">
        <v>46162.0</v>
      </c>
      <c r="B1092" s="60" t="s">
        <v>7654</v>
      </c>
      <c r="C1092" s="67" t="str">
        <f>IFERROR(__xludf.DUMMYFUNCTION("""COMPUTED_VALUE"""),"LD281")</f>
        <v>LD281</v>
      </c>
      <c r="D1092" s="55" t="s">
        <v>42</v>
      </c>
      <c r="E1092" s="55" t="s">
        <v>79</v>
      </c>
      <c r="F1092" s="55" t="s">
        <v>539</v>
      </c>
      <c r="G1092" s="55">
        <v>1840.0</v>
      </c>
      <c r="H1092" s="55" t="s">
        <v>7123</v>
      </c>
      <c r="I1092" s="115" t="s">
        <v>8033</v>
      </c>
      <c r="J1092" s="55" t="s">
        <v>8034</v>
      </c>
      <c r="K1092" s="55" t="s">
        <v>61</v>
      </c>
      <c r="L1092" s="55">
        <v>16917.0</v>
      </c>
      <c r="M1092" s="55" t="s">
        <v>78</v>
      </c>
      <c r="N1092" s="55" t="s">
        <v>79</v>
      </c>
      <c r="O1092" s="55" t="s">
        <v>224</v>
      </c>
      <c r="P1092" s="55" t="s">
        <v>110</v>
      </c>
      <c r="Q1092" s="67" t="str">
        <f>IFERROR(__xludf.DUMMYFUNCTION("""COMPUTED_VALUE"""),"ALL.giaotiep.organic_16917_MES_TrangLQ_200526")</f>
        <v>ALL.giaotiep.organic_16917_MES_TrangLQ_200526</v>
      </c>
      <c r="R1092" s="67" t="str">
        <f>IFERROR(__xludf.DUMMYFUNCTION("""COMPUTED_VALUE"""),"NEW_ALL_1840_none_200526")</f>
        <v>NEW_ALL_1840_none_200526</v>
      </c>
      <c r="S1092" s="67" t="str">
        <f>IFERROR(__xludf.DUMMYFUNCTION("""COMPUTED_VALUE"""),"saletructiep_ALL.organic.1840.giaotiep_PTATT_LD281")</f>
        <v>saletructiep_ALL.organic.1840.giaotiep_PTATT_LD281</v>
      </c>
      <c r="T1092" s="107" t="str">
        <f>IFERROR(__xludf.DUMMYFUNCTION("""COMPUTED_VALUE"""),"https://patado.edu.vn/patadoenglisht/?utm_source=Facebook&amp;utm_medium=MES&amp;utm_term=NEW_ALL_1840_none_200526&amp;utm_content=saletructiep_ALL.organic.1840.giaotiep_PTATT_LD281&amp;utm_campaign=ALL.giaotiep.organic_16917_MES_TrangLQ_200526")</f>
        <v>https://patado.edu.vn/patadoenglisht/?utm_source=Facebook&amp;utm_medium=MES&amp;utm_term=NEW_ALL_1840_none_200526&amp;utm_content=saletructiep_ALL.organic.1840.giaotiep_PTATT_LD281&amp;utm_campaign=ALL.giaotiep.organic_16917_MES_TrangLQ_200526</v>
      </c>
      <c r="U1092" s="116"/>
    </row>
    <row r="1093">
      <c r="A1093" s="72">
        <v>46174.0</v>
      </c>
      <c r="B1093" s="112" t="s">
        <v>7658</v>
      </c>
      <c r="C1093" s="67" t="str">
        <f>IFERROR(__xludf.DUMMYFUNCTION("""COMPUTED_VALUE"""),"LD282")</f>
        <v>LD282</v>
      </c>
      <c r="D1093" s="55" t="s">
        <v>42</v>
      </c>
      <c r="E1093" s="55" t="s">
        <v>69</v>
      </c>
      <c r="F1093" s="55" t="s">
        <v>133</v>
      </c>
      <c r="G1093" s="55">
        <v>1840.0</v>
      </c>
      <c r="H1093" s="55" t="s">
        <v>1137</v>
      </c>
      <c r="I1093" s="115" t="s">
        <v>8035</v>
      </c>
      <c r="J1093" s="55" t="s">
        <v>8036</v>
      </c>
      <c r="K1093" s="55" t="s">
        <v>61</v>
      </c>
      <c r="L1093" s="55">
        <v>16917.0</v>
      </c>
      <c r="M1093" s="55" t="s">
        <v>78</v>
      </c>
      <c r="N1093" s="55" t="s">
        <v>69</v>
      </c>
      <c r="O1093" s="55" t="s">
        <v>224</v>
      </c>
      <c r="P1093" s="55" t="s">
        <v>110</v>
      </c>
      <c r="Q1093" s="67" t="str">
        <f>IFERROR(__xludf.DUMMYFUNCTION("""COMPUTED_VALUE"""),"Japan.giaotiep.M696xM698_16917_CVS_NamNH_010626")</f>
        <v>Japan.giaotiep.M696xM698_16917_CVS_NamNH_010626</v>
      </c>
      <c r="R1093" s="67" t="str">
        <f>IFERROR(__xludf.DUMMYFUNCTION("""COMPUTED_VALUE"""),"NEW_Japan_1840_none_010626")</f>
        <v>NEW_Japan_1840_none_010626</v>
      </c>
      <c r="S1093" s="67" t="str">
        <f>IFERROR(__xludf.DUMMYFUNCTION("""COMPUTED_VALUE"""),"saletructiep_Japan.M696.1840.giaotiep_PTATT_LD282")</f>
        <v>saletructiep_Japan.M696.1840.giaotiep_PTATT_LD282</v>
      </c>
      <c r="T1093" s="107" t="str">
        <f>IFERROR(__xludf.DUMMYFUNCTION("""COMPUTED_VALUE"""),"https://patado.edu.vn/nhn_jp0106/?utm_source=Facebook&amp;utm_medium=CVS&amp;utm_term=NEW_Japan_1840_none_010626&amp;utm_content=saletructiep_Japan.M696.1840.giaotiep_PTATT_LD282&amp;utm_campaign=Japan.giaotiep.M696xM698_16917_CVS_NamNH_010626")</f>
        <v>https://patado.edu.vn/nhn_jp0106/?utm_source=Facebook&amp;utm_medium=CVS&amp;utm_term=NEW_Japan_1840_none_010626&amp;utm_content=saletructiep_Japan.M696.1840.giaotiep_PTATT_LD282&amp;utm_campaign=Japan.giaotiep.M696xM698_16917_CVS_NamNH_010626</v>
      </c>
      <c r="U1093" s="110" t="s">
        <v>8037</v>
      </c>
    </row>
    <row r="1094">
      <c r="A1094" s="72">
        <v>46174.0</v>
      </c>
      <c r="B1094" s="112" t="s">
        <v>2434</v>
      </c>
      <c r="C1094" s="67" t="str">
        <f>IFERROR(__xludf.DUMMYFUNCTION("""COMPUTED_VALUE"""),"LD267")</f>
        <v>LD267</v>
      </c>
      <c r="D1094" s="55" t="s">
        <v>42</v>
      </c>
      <c r="E1094" s="55" t="s">
        <v>69</v>
      </c>
      <c r="F1094" s="55" t="s">
        <v>674</v>
      </c>
      <c r="G1094" s="55">
        <v>1840.0</v>
      </c>
      <c r="H1094" s="55" t="s">
        <v>1137</v>
      </c>
      <c r="I1094" s="115" t="s">
        <v>8038</v>
      </c>
      <c r="J1094" s="55" t="s">
        <v>8039</v>
      </c>
      <c r="K1094" s="55" t="s">
        <v>61</v>
      </c>
      <c r="L1094" s="55">
        <v>16917.0</v>
      </c>
      <c r="M1094" s="55" t="s">
        <v>78</v>
      </c>
      <c r="N1094" s="55" t="s">
        <v>69</v>
      </c>
      <c r="O1094" s="55" t="s">
        <v>224</v>
      </c>
      <c r="P1094" s="55" t="s">
        <v>110</v>
      </c>
      <c r="Q1094" s="67" t="str">
        <f>IFERROR(__xludf.DUMMYFUNCTION("""COMPUTED_VALUE"""),"Europe.giaotiep.M696xM698_16917_CVS_NamNH_010626")</f>
        <v>Europe.giaotiep.M696xM698_16917_CVS_NamNH_010626</v>
      </c>
      <c r="R1094" s="67" t="str">
        <f>IFERROR(__xludf.DUMMYFUNCTION("""COMPUTED_VALUE"""),"NEW_Europe_1840_none_010626")</f>
        <v>NEW_Europe_1840_none_010626</v>
      </c>
      <c r="S1094" s="67" t="str">
        <f>IFERROR(__xludf.DUMMYFUNCTION("""COMPUTED_VALUE"""),"saletructiep_Europe.M696.1840.giaotiep_PTATT_LD267")</f>
        <v>saletructiep_Europe.M696.1840.giaotiep_PTATT_LD267</v>
      </c>
      <c r="T1094" s="107" t="str">
        <f>IFERROR(__xludf.DUMMYFUNCTION("""COMPUTED_VALUE"""),"https://patado.edu.vn/tienganhgiaotiep1_hn/?utm_source=Facebook&amp;utm_medium=CVS&amp;utm_term=NEW_Europe_1840_none_010626&amp;utm_content=saletructiep_Europe.M696.1840.giaotiep_PTATT_LD267&amp;utm_campaign=Europe.giaotiep.M696xM698_16917_CVS_NamNH_010626")</f>
        <v>https://patado.edu.vn/tienganhgiaotiep1_hn/?utm_source=Facebook&amp;utm_medium=CVS&amp;utm_term=NEW_Europe_1840_none_010626&amp;utm_content=saletructiep_Europe.M696.1840.giaotiep_PTATT_LD267&amp;utm_campaign=Europe.giaotiep.M696xM698_16917_CVS_NamNH_010626</v>
      </c>
      <c r="U1094" s="111" t="s">
        <v>8040</v>
      </c>
    </row>
    <row r="1095">
      <c r="A1095" s="72">
        <v>46174.0</v>
      </c>
      <c r="B1095" s="112" t="s">
        <v>2434</v>
      </c>
      <c r="C1095" s="67" t="str">
        <f>IFERROR(__xludf.DUMMYFUNCTION("""COMPUTED_VALUE"""),"LD267")</f>
        <v>LD267</v>
      </c>
      <c r="D1095" s="55" t="s">
        <v>42</v>
      </c>
      <c r="E1095" s="55" t="s">
        <v>79</v>
      </c>
      <c r="F1095" s="55" t="s">
        <v>539</v>
      </c>
      <c r="G1095" s="55">
        <v>1840.0</v>
      </c>
      <c r="H1095" s="55" t="s">
        <v>1137</v>
      </c>
      <c r="I1095" s="115" t="s">
        <v>8041</v>
      </c>
      <c r="J1095" s="55" t="s">
        <v>8042</v>
      </c>
      <c r="K1095" s="55" t="s">
        <v>61</v>
      </c>
      <c r="L1095" s="55">
        <v>16917.0</v>
      </c>
      <c r="M1095" s="55" t="s">
        <v>78</v>
      </c>
      <c r="N1095" s="55" t="s">
        <v>79</v>
      </c>
      <c r="O1095" s="55" t="s">
        <v>224</v>
      </c>
      <c r="P1095" s="55" t="s">
        <v>110</v>
      </c>
      <c r="Q1095" s="67" t="str">
        <f>IFERROR(__xludf.DUMMYFUNCTION("""COMPUTED_VALUE"""),"ALL.giaotiep.M696xM698_16917_MES_NamNH_010626")</f>
        <v>ALL.giaotiep.M696xM698_16917_MES_NamNH_010626</v>
      </c>
      <c r="R1095" s="67" t="str">
        <f>IFERROR(__xludf.DUMMYFUNCTION("""COMPUTED_VALUE"""),"NEW_ALL_1840_none_010626")</f>
        <v>NEW_ALL_1840_none_010626</v>
      </c>
      <c r="S1095" s="67" t="str">
        <f>IFERROR(__xludf.DUMMYFUNCTION("""COMPUTED_VALUE"""),"saletructiep_ALL.M696.1840.giaotiep_PTATT_LD267")</f>
        <v>saletructiep_ALL.M696.1840.giaotiep_PTATT_LD267</v>
      </c>
      <c r="T1095" s="107" t="str">
        <f>IFERROR(__xludf.DUMMYFUNCTION("""COMPUTED_VALUE"""),"https://patado.edu.vn/tienganhgiaotiep1_hn/?utm_source=Facebook&amp;utm_medium=MES&amp;utm_term=NEW_ALL_1840_none_010626&amp;utm_content=saletructiep_ALL.M696.1840.giaotiep_PTATT_LD267&amp;utm_campaign=ALL.giaotiep.M696xM698_16917_MES_NamNH_010626")</f>
        <v>https://patado.edu.vn/tienganhgiaotiep1_hn/?utm_source=Facebook&amp;utm_medium=MES&amp;utm_term=NEW_ALL_1840_none_010626&amp;utm_content=saletructiep_ALL.M696.1840.giaotiep_PTATT_LD267&amp;utm_campaign=ALL.giaotiep.M696xM698_16917_MES_NamNH_010626</v>
      </c>
      <c r="U1095" s="110" t="s">
        <v>8043</v>
      </c>
    </row>
    <row r="1096">
      <c r="A1096" s="72">
        <v>46177.0</v>
      </c>
      <c r="B1096" s="112" t="s">
        <v>7658</v>
      </c>
      <c r="C1096" s="67" t="str">
        <f>IFERROR(__xludf.DUMMYFUNCTION("""COMPUTED_VALUE"""),"LD282")</f>
        <v>LD282</v>
      </c>
      <c r="D1096" s="55" t="s">
        <v>42</v>
      </c>
      <c r="E1096" s="55" t="s">
        <v>69</v>
      </c>
      <c r="F1096" s="55" t="s">
        <v>133</v>
      </c>
      <c r="G1096" s="55">
        <v>1840.0</v>
      </c>
      <c r="H1096" s="55" t="s">
        <v>1137</v>
      </c>
      <c r="I1096" s="115" t="s">
        <v>8044</v>
      </c>
      <c r="J1096" s="55" t="s">
        <v>8045</v>
      </c>
      <c r="K1096" s="55" t="s">
        <v>61</v>
      </c>
      <c r="L1096" s="55">
        <v>16917.0</v>
      </c>
      <c r="M1096" s="55" t="s">
        <v>78</v>
      </c>
      <c r="N1096" s="55" t="s">
        <v>69</v>
      </c>
      <c r="O1096" s="55" t="s">
        <v>224</v>
      </c>
      <c r="P1096" s="55" t="s">
        <v>110</v>
      </c>
      <c r="Q1096" s="67" t="str">
        <f>IFERROR(__xludf.DUMMYFUNCTION("""COMPUTED_VALUE"""),"Japan.giaotiep.M701xM702_16917_CVS_NamNH_040626")</f>
        <v>Japan.giaotiep.M701xM702_16917_CVS_NamNH_040626</v>
      </c>
      <c r="R1096" s="67" t="str">
        <f>IFERROR(__xludf.DUMMYFUNCTION("""COMPUTED_VALUE"""),"NEW_Japan_1840_none_040626")</f>
        <v>NEW_Japan_1840_none_040626</v>
      </c>
      <c r="S1096" s="67" t="str">
        <f>IFERROR(__xludf.DUMMYFUNCTION("""COMPUTED_VALUE"""),"saletructiep_Japan.M701.1840.giaotiep_PTATT_LD282")</f>
        <v>saletructiep_Japan.M701.1840.giaotiep_PTATT_LD282</v>
      </c>
      <c r="T1096" s="107" t="str">
        <f>IFERROR(__xludf.DUMMYFUNCTION("""COMPUTED_VALUE"""),"https://patado.edu.vn/nhn_jp0106/?utm_source=Facebook&amp;utm_medium=CVS&amp;utm_term=NEW_Japan_1840_none_040626&amp;utm_content=saletructiep_Japan.M701.1840.giaotiep_PTATT_LD282&amp;utm_campaign=Japan.giaotiep.M701xM702_16917_CVS_NamNH_040626")</f>
        <v>https://patado.edu.vn/nhn_jp0106/?utm_source=Facebook&amp;utm_medium=CVS&amp;utm_term=NEW_Japan_1840_none_040626&amp;utm_content=saletructiep_Japan.M701.1840.giaotiep_PTATT_LD282&amp;utm_campaign=Japan.giaotiep.M701xM702_16917_CVS_NamNH_040626</v>
      </c>
      <c r="U1096" s="110" t="s">
        <v>8046</v>
      </c>
    </row>
    <row r="1097">
      <c r="A1097" s="72">
        <v>46177.0</v>
      </c>
      <c r="B1097" s="112" t="s">
        <v>2434</v>
      </c>
      <c r="C1097" s="67" t="str">
        <f>IFERROR(__xludf.DUMMYFUNCTION("""COMPUTED_VALUE"""),"LD267")</f>
        <v>LD267</v>
      </c>
      <c r="D1097" s="55" t="s">
        <v>42</v>
      </c>
      <c r="E1097" s="55" t="s">
        <v>69</v>
      </c>
      <c r="F1097" s="55" t="s">
        <v>674</v>
      </c>
      <c r="G1097" s="55">
        <v>1840.0</v>
      </c>
      <c r="H1097" s="55" t="s">
        <v>1137</v>
      </c>
      <c r="I1097" s="115" t="s">
        <v>8047</v>
      </c>
      <c r="J1097" s="55" t="s">
        <v>8048</v>
      </c>
      <c r="K1097" s="55" t="s">
        <v>61</v>
      </c>
      <c r="L1097" s="55">
        <v>16917.0</v>
      </c>
      <c r="M1097" s="55" t="s">
        <v>78</v>
      </c>
      <c r="N1097" s="55" t="s">
        <v>69</v>
      </c>
      <c r="O1097" s="55" t="s">
        <v>224</v>
      </c>
      <c r="P1097" s="55" t="s">
        <v>110</v>
      </c>
      <c r="Q1097" s="67" t="str">
        <f>IFERROR(__xludf.DUMMYFUNCTION("""COMPUTED_VALUE"""),"Europe.giaotiep.M701xM702_16917_CVS_NamNH_040626")</f>
        <v>Europe.giaotiep.M701xM702_16917_CVS_NamNH_040626</v>
      </c>
      <c r="R1097" s="67" t="str">
        <f>IFERROR(__xludf.DUMMYFUNCTION("""COMPUTED_VALUE"""),"NEW_Europe_1840_none_040626")</f>
        <v>NEW_Europe_1840_none_040626</v>
      </c>
      <c r="S1097" s="67" t="str">
        <f>IFERROR(__xludf.DUMMYFUNCTION("""COMPUTED_VALUE"""),"saletructiep_Europe.M701.1840.giaotiep_PTATT_LD267")</f>
        <v>saletructiep_Europe.M701.1840.giaotiep_PTATT_LD267</v>
      </c>
      <c r="T1097" s="107" t="str">
        <f>IFERROR(__xludf.DUMMYFUNCTION("""COMPUTED_VALUE"""),"https://patado.edu.vn/tienganhgiaotiep1_hn/?utm_source=Facebook&amp;utm_medium=CVS&amp;utm_term=NEW_Europe_1840_none_040626&amp;utm_content=saletructiep_Europe.M701.1840.giaotiep_PTATT_LD267&amp;utm_campaign=Europe.giaotiep.M701xM702_16917_CVS_NamNH_040626")</f>
        <v>https://patado.edu.vn/tienganhgiaotiep1_hn/?utm_source=Facebook&amp;utm_medium=CVS&amp;utm_term=NEW_Europe_1840_none_040626&amp;utm_content=saletructiep_Europe.M701.1840.giaotiep_PTATT_LD267&amp;utm_campaign=Europe.giaotiep.M701xM702_16917_CVS_NamNH_040626</v>
      </c>
      <c r="U1097" s="110" t="s">
        <v>8049</v>
      </c>
    </row>
    <row r="1098">
      <c r="A1098" s="72">
        <v>46177.0</v>
      </c>
      <c r="B1098" s="112" t="s">
        <v>2434</v>
      </c>
      <c r="C1098" s="67" t="str">
        <f>IFERROR(__xludf.DUMMYFUNCTION("""COMPUTED_VALUE"""),"LD267")</f>
        <v>LD267</v>
      </c>
      <c r="D1098" s="55" t="s">
        <v>42</v>
      </c>
      <c r="E1098" s="55" t="s">
        <v>69</v>
      </c>
      <c r="F1098" s="55" t="s">
        <v>674</v>
      </c>
      <c r="G1098" s="55">
        <v>1840.0</v>
      </c>
      <c r="H1098" s="55" t="s">
        <v>1137</v>
      </c>
      <c r="I1098" s="115" t="s">
        <v>8050</v>
      </c>
      <c r="J1098" s="55" t="s">
        <v>8051</v>
      </c>
      <c r="K1098" s="55" t="s">
        <v>61</v>
      </c>
      <c r="L1098" s="55">
        <v>16917.0</v>
      </c>
      <c r="M1098" s="55" t="s">
        <v>78</v>
      </c>
      <c r="N1098" s="55" t="s">
        <v>69</v>
      </c>
      <c r="O1098" s="55" t="s">
        <v>224</v>
      </c>
      <c r="P1098" s="55" t="s">
        <v>110</v>
      </c>
      <c r="Q1098" s="67" t="str">
        <f>IFERROR(__xludf.DUMMYFUNCTION("""COMPUTED_VALUE"""),"Europe.giaotiep.M704xM706_16917_CVS_NamNH_040626")</f>
        <v>Europe.giaotiep.M704xM706_16917_CVS_NamNH_040626</v>
      </c>
      <c r="R1098" s="67" t="str">
        <f>IFERROR(__xludf.DUMMYFUNCTION("""COMPUTED_VALUE"""),"NEW_Europe_1840_none_040626")</f>
        <v>NEW_Europe_1840_none_040626</v>
      </c>
      <c r="S1098" s="67" t="str">
        <f>IFERROR(__xludf.DUMMYFUNCTION("""COMPUTED_VALUE"""),"saletructiep_Europe.M704.1840.giaotiep_PTATT_LD267")</f>
        <v>saletructiep_Europe.M704.1840.giaotiep_PTATT_LD267</v>
      </c>
      <c r="T1098" s="107" t="str">
        <f>IFERROR(__xludf.DUMMYFUNCTION("""COMPUTED_VALUE"""),"https://patado.edu.vn/tienganhgiaotiep1_hn/?utm_source=Facebook&amp;utm_medium=CVS&amp;utm_term=NEW_Europe_1840_none_040626&amp;utm_content=saletructiep_Europe.M704.1840.giaotiep_PTATT_LD267&amp;utm_campaign=Europe.giaotiep.M704xM706_16917_CVS_NamNH_040626")</f>
        <v>https://patado.edu.vn/tienganhgiaotiep1_hn/?utm_source=Facebook&amp;utm_medium=CVS&amp;utm_term=NEW_Europe_1840_none_040626&amp;utm_content=saletructiep_Europe.M704.1840.giaotiep_PTATT_LD267&amp;utm_campaign=Europe.giaotiep.M704xM706_16917_CVS_NamNH_040626</v>
      </c>
      <c r="U1098" s="110" t="s">
        <v>8052</v>
      </c>
    </row>
    <row r="1099">
      <c r="A1099" s="72">
        <v>46177.0</v>
      </c>
      <c r="B1099" s="112" t="s">
        <v>2543</v>
      </c>
      <c r="C1099" s="67" t="str">
        <f>IFERROR(__xludf.DUMMYFUNCTION("""COMPUTED_VALUE"""),"LD265")</f>
        <v>LD265</v>
      </c>
      <c r="D1099" s="55" t="s">
        <v>42</v>
      </c>
      <c r="E1099" s="55" t="s">
        <v>69</v>
      </c>
      <c r="F1099" s="55" t="s">
        <v>133</v>
      </c>
      <c r="G1099" s="55">
        <v>1840.0</v>
      </c>
      <c r="H1099" s="55" t="s">
        <v>1137</v>
      </c>
      <c r="I1099" s="115" t="s">
        <v>8053</v>
      </c>
      <c r="J1099" s="55" t="s">
        <v>8054</v>
      </c>
      <c r="K1099" s="55" t="s">
        <v>61</v>
      </c>
      <c r="L1099" s="55">
        <v>16917.0</v>
      </c>
      <c r="M1099" s="55" t="s">
        <v>78</v>
      </c>
      <c r="N1099" s="55" t="s">
        <v>69</v>
      </c>
      <c r="O1099" s="55" t="s">
        <v>224</v>
      </c>
      <c r="P1099" s="55" t="s">
        <v>110</v>
      </c>
      <c r="Q1099" s="67" t="str">
        <f>IFERROR(__xludf.DUMMYFUNCTION("""COMPUTED_VALUE"""),"Japan.giaotiep.M704xM707_16917_CVS_NamNH_040626")</f>
        <v>Japan.giaotiep.M704xM707_16917_CVS_NamNH_040626</v>
      </c>
      <c r="R1099" s="67" t="str">
        <f>IFERROR(__xludf.DUMMYFUNCTION("""COMPUTED_VALUE"""),"NEW_Japan_1840_none_040626")</f>
        <v>NEW_Japan_1840_none_040626</v>
      </c>
      <c r="S1099" s="67" t="str">
        <f>IFERROR(__xludf.DUMMYFUNCTION("""COMPUTED_VALUE"""),"saletructiep_Japan.M704.1840.giaotiep_PTATT_LD265")</f>
        <v>saletructiep_Japan.M704.1840.giaotiep_PTATT_LD265</v>
      </c>
      <c r="T1099" s="107" t="str">
        <f>IFERROR(__xludf.DUMMYFUNCTION("""COMPUTED_VALUE"""),"https://patado.edu.vn/gtjapan_nhn3/?utm_source=Facebook&amp;utm_medium=CVS&amp;utm_term=NEW_Japan_1840_none_040626&amp;utm_content=saletructiep_Japan.M704.1840.giaotiep_PTATT_LD265&amp;utm_campaign=Japan.giaotiep.M704xM707_16917_CVS_NamNH_040626")</f>
        <v>https://patado.edu.vn/gtjapan_nhn3/?utm_source=Facebook&amp;utm_medium=CVS&amp;utm_term=NEW_Japan_1840_none_040626&amp;utm_content=saletructiep_Japan.M704.1840.giaotiep_PTATT_LD265&amp;utm_campaign=Japan.giaotiep.M704xM707_16917_CVS_NamNH_040626</v>
      </c>
      <c r="U1099" s="110" t="s">
        <v>8055</v>
      </c>
    </row>
    <row r="1100">
      <c r="A1100" s="72">
        <v>46177.0</v>
      </c>
      <c r="B1100" s="112" t="s">
        <v>2434</v>
      </c>
      <c r="C1100" s="67" t="str">
        <f>IFERROR(__xludf.DUMMYFUNCTION("""COMPUTED_VALUE"""),"LD267")</f>
        <v>LD267</v>
      </c>
      <c r="D1100" s="55" t="s">
        <v>42</v>
      </c>
      <c r="E1100" s="55" t="s">
        <v>79</v>
      </c>
      <c r="F1100" s="55" t="s">
        <v>539</v>
      </c>
      <c r="G1100" s="55">
        <v>1840.0</v>
      </c>
      <c r="H1100" s="55" t="s">
        <v>1137</v>
      </c>
      <c r="I1100" s="115" t="s">
        <v>8056</v>
      </c>
      <c r="J1100" s="55" t="s">
        <v>8057</v>
      </c>
      <c r="K1100" s="55" t="s">
        <v>61</v>
      </c>
      <c r="L1100" s="55">
        <v>16917.0</v>
      </c>
      <c r="M1100" s="55" t="s">
        <v>78</v>
      </c>
      <c r="N1100" s="55" t="s">
        <v>79</v>
      </c>
      <c r="O1100" s="55" t="s">
        <v>224</v>
      </c>
      <c r="P1100" s="55" t="s">
        <v>110</v>
      </c>
      <c r="Q1100" s="67" t="str">
        <f>IFERROR(__xludf.DUMMYFUNCTION("""COMPUTED_VALUE"""),"ALL.giaotiep.M701xM702_16917_MES_NamNH_040626")</f>
        <v>ALL.giaotiep.M701xM702_16917_MES_NamNH_040626</v>
      </c>
      <c r="R1100" s="67" t="str">
        <f>IFERROR(__xludf.DUMMYFUNCTION("""COMPUTED_VALUE"""),"NEW_ALL_1840_none_040626")</f>
        <v>NEW_ALL_1840_none_040626</v>
      </c>
      <c r="S1100" s="67" t="str">
        <f>IFERROR(__xludf.DUMMYFUNCTION("""COMPUTED_VALUE"""),"saletructiep_ALL.M701.1840.giaotiep_PTATT_LD267")</f>
        <v>saletructiep_ALL.M701.1840.giaotiep_PTATT_LD267</v>
      </c>
      <c r="T1100" s="107" t="str">
        <f>IFERROR(__xludf.DUMMYFUNCTION("""COMPUTED_VALUE"""),"https://patado.edu.vn/tienganhgiaotiep1_hn/?utm_source=Facebook&amp;utm_medium=MES&amp;utm_term=NEW_ALL_1840_none_040626&amp;utm_content=saletructiep_ALL.M701.1840.giaotiep_PTATT_LD267&amp;utm_campaign=ALL.giaotiep.M701xM702_16917_MES_NamNH_040626")</f>
        <v>https://patado.edu.vn/tienganhgiaotiep1_hn/?utm_source=Facebook&amp;utm_medium=MES&amp;utm_term=NEW_ALL_1840_none_040626&amp;utm_content=saletructiep_ALL.M701.1840.giaotiep_PTATT_LD267&amp;utm_campaign=ALL.giaotiep.M701xM702_16917_MES_NamNH_040626</v>
      </c>
      <c r="U1100" s="110" t="s">
        <v>8058</v>
      </c>
    </row>
    <row r="1101">
      <c r="A1101" s="72">
        <v>46177.0</v>
      </c>
      <c r="B1101" s="112" t="s">
        <v>2434</v>
      </c>
      <c r="C1101" s="67" t="str">
        <f>IFERROR(__xludf.DUMMYFUNCTION("""COMPUTED_VALUE"""),"LD267")</f>
        <v>LD267</v>
      </c>
      <c r="D1101" s="55" t="s">
        <v>42</v>
      </c>
      <c r="E1101" s="55" t="s">
        <v>69</v>
      </c>
      <c r="F1101" s="55" t="s">
        <v>674</v>
      </c>
      <c r="G1101" s="55">
        <v>1840.0</v>
      </c>
      <c r="H1101" s="55" t="s">
        <v>1137</v>
      </c>
      <c r="I1101" s="115" t="s">
        <v>8059</v>
      </c>
      <c r="J1101" s="55" t="s">
        <v>8060</v>
      </c>
      <c r="K1101" s="55" t="s">
        <v>61</v>
      </c>
      <c r="L1101" s="55">
        <v>16917.0</v>
      </c>
      <c r="M1101" s="55" t="s">
        <v>78</v>
      </c>
      <c r="N1101" s="55" t="s">
        <v>69</v>
      </c>
      <c r="O1101" s="55" t="s">
        <v>224</v>
      </c>
      <c r="P1101" s="55" t="s">
        <v>110</v>
      </c>
      <c r="Q1101" s="67" t="str">
        <f>IFERROR(__xludf.DUMMYFUNCTION("""COMPUTED_VALUE"""),"Europe.giaotiep.M705xM711_16917_CVS_NamNH_040626")</f>
        <v>Europe.giaotiep.M705xM711_16917_CVS_NamNH_040626</v>
      </c>
      <c r="R1101" s="67" t="str">
        <f>IFERROR(__xludf.DUMMYFUNCTION("""COMPUTED_VALUE"""),"NEW_Europe_1840_none_040626")</f>
        <v>NEW_Europe_1840_none_040626</v>
      </c>
      <c r="S1101" s="67" t="str">
        <f>IFERROR(__xludf.DUMMYFUNCTION("""COMPUTED_VALUE"""),"saletructiep_Europe.M705.1840.giaotiep_PTATT_LD267")</f>
        <v>saletructiep_Europe.M705.1840.giaotiep_PTATT_LD267</v>
      </c>
      <c r="T1101" s="107" t="str">
        <f>IFERROR(__xludf.DUMMYFUNCTION("""COMPUTED_VALUE"""),"https://patado.edu.vn/tienganhgiaotiep1_hn/?utm_source=Facebook&amp;utm_medium=CVS&amp;utm_term=NEW_Europe_1840_none_040626&amp;utm_content=saletructiep_Europe.M705.1840.giaotiep_PTATT_LD267&amp;utm_campaign=Europe.giaotiep.M705xM711_16917_CVS_NamNH_040626")</f>
        <v>https://patado.edu.vn/tienganhgiaotiep1_hn/?utm_source=Facebook&amp;utm_medium=CVS&amp;utm_term=NEW_Europe_1840_none_040626&amp;utm_content=saletructiep_Europe.M705.1840.giaotiep_PTATT_LD267&amp;utm_campaign=Europe.giaotiep.M705xM711_16917_CVS_NamNH_040626</v>
      </c>
      <c r="U1101" s="110" t="s">
        <v>8061</v>
      </c>
    </row>
    <row r="1102">
      <c r="A1102" s="72">
        <v>46182.0</v>
      </c>
      <c r="B1102" s="112" t="s">
        <v>7662</v>
      </c>
      <c r="C1102" s="67" t="str">
        <f>IFERROR(__xludf.DUMMYFUNCTION("""COMPUTED_VALUE"""),"LD284")</f>
        <v>LD284</v>
      </c>
      <c r="D1102" s="55" t="s">
        <v>42</v>
      </c>
      <c r="E1102" s="55" t="s">
        <v>69</v>
      </c>
      <c r="F1102" s="55" t="s">
        <v>674</v>
      </c>
      <c r="G1102" s="55">
        <v>1840.0</v>
      </c>
      <c r="H1102" s="55" t="s">
        <v>1137</v>
      </c>
      <c r="I1102" s="115" t="s">
        <v>8024</v>
      </c>
      <c r="J1102" s="55" t="s">
        <v>8025</v>
      </c>
      <c r="K1102" s="55" t="s">
        <v>61</v>
      </c>
      <c r="L1102" s="55">
        <v>16917.0</v>
      </c>
      <c r="M1102" s="55" t="s">
        <v>78</v>
      </c>
      <c r="N1102" s="55" t="s">
        <v>69</v>
      </c>
      <c r="O1102" s="55" t="s">
        <v>224</v>
      </c>
      <c r="P1102" s="55" t="s">
        <v>110</v>
      </c>
      <c r="Q1102" s="67" t="str">
        <f>IFERROR(__xludf.DUMMYFUNCTION("""COMPUTED_VALUE"""),"Europe.giaotiep.M677xM678_16917_CVS_NamNH_090626")</f>
        <v>Europe.giaotiep.M677xM678_16917_CVS_NamNH_090626</v>
      </c>
      <c r="R1102" s="67" t="str">
        <f>IFERROR(__xludf.DUMMYFUNCTION("""COMPUTED_VALUE"""),"NEW_Europe_1840_none_090626")</f>
        <v>NEW_Europe_1840_none_090626</v>
      </c>
      <c r="S1102" s="67" t="str">
        <f>IFERROR(__xludf.DUMMYFUNCTION("""COMPUTED_VALUE"""),"saletructiep_Europe.M677.1840.giaotiep_PTATT_LD284")</f>
        <v>saletructiep_Europe.M677.1840.giaotiep_PTATT_LD284</v>
      </c>
      <c r="T1102" s="107" t="str">
        <f>IFERROR(__xludf.DUMMYFUNCTION("""COMPUTED_VALUE"""),"https://patado.edu.vn/ptd_hongtt/?utm_source=Facebook&amp;utm_medium=CVS&amp;utm_term=NEW_Europe_1840_none_090626&amp;utm_content=saletructiep_Europe.M677.1840.giaotiep_PTATT_LD284&amp;utm_campaign=Europe.giaotiep.M677xM678_16917_CVS_NamNH_090626")</f>
        <v>https://patado.edu.vn/ptd_hongtt/?utm_source=Facebook&amp;utm_medium=CVS&amp;utm_term=NEW_Europe_1840_none_090626&amp;utm_content=saletructiep_Europe.M677.1840.giaotiep_PTATT_LD284&amp;utm_campaign=Europe.giaotiep.M677xM678_16917_CVS_NamNH_090626</v>
      </c>
      <c r="U1102" s="110" t="s">
        <v>8062</v>
      </c>
    </row>
    <row r="1103">
      <c r="A1103" s="72">
        <v>46182.0</v>
      </c>
      <c r="B1103" s="112" t="s">
        <v>7662</v>
      </c>
      <c r="C1103" s="67" t="str">
        <f>IFERROR(__xludf.DUMMYFUNCTION("""COMPUTED_VALUE"""),"LD284")</f>
        <v>LD284</v>
      </c>
      <c r="D1103" s="55" t="s">
        <v>42</v>
      </c>
      <c r="E1103" s="55" t="s">
        <v>69</v>
      </c>
      <c r="F1103" s="55" t="s">
        <v>674</v>
      </c>
      <c r="G1103" s="55">
        <v>1840.0</v>
      </c>
      <c r="H1103" s="55" t="s">
        <v>1137</v>
      </c>
      <c r="I1103" s="115" t="s">
        <v>8047</v>
      </c>
      <c r="J1103" s="55" t="s">
        <v>8048</v>
      </c>
      <c r="K1103" s="55" t="s">
        <v>61</v>
      </c>
      <c r="L1103" s="55">
        <v>16917.0</v>
      </c>
      <c r="M1103" s="55" t="s">
        <v>78</v>
      </c>
      <c r="N1103" s="55" t="s">
        <v>69</v>
      </c>
      <c r="O1103" s="55" t="s">
        <v>224</v>
      </c>
      <c r="P1103" s="55" t="s">
        <v>110</v>
      </c>
      <c r="Q1103" s="67" t="str">
        <f>IFERROR(__xludf.DUMMYFUNCTION("""COMPUTED_VALUE"""),"Europe.giaotiep.M701xM702_16917_CVS_NamNH_090626")</f>
        <v>Europe.giaotiep.M701xM702_16917_CVS_NamNH_090626</v>
      </c>
      <c r="R1103" s="67" t="str">
        <f>IFERROR(__xludf.DUMMYFUNCTION("""COMPUTED_VALUE"""),"NEW_Europe_1840_none_090626")</f>
        <v>NEW_Europe_1840_none_090626</v>
      </c>
      <c r="S1103" s="67" t="str">
        <f>IFERROR(__xludf.DUMMYFUNCTION("""COMPUTED_VALUE"""),"saletructiep_Europe.M701.1840.giaotiep_PTATT_LD284")</f>
        <v>saletructiep_Europe.M701.1840.giaotiep_PTATT_LD284</v>
      </c>
      <c r="T1103" s="107" t="str">
        <f>IFERROR(__xludf.DUMMYFUNCTION("""COMPUTED_VALUE"""),"https://patado.edu.vn/ptd_hongtt/?utm_source=Facebook&amp;utm_medium=CVS&amp;utm_term=NEW_Europe_1840_none_090626&amp;utm_content=saletructiep_Europe.M701.1840.giaotiep_PTATT_LD284&amp;utm_campaign=Europe.giaotiep.M701xM702_16917_CVS_NamNH_090626")</f>
        <v>https://patado.edu.vn/ptd_hongtt/?utm_source=Facebook&amp;utm_medium=CVS&amp;utm_term=NEW_Europe_1840_none_090626&amp;utm_content=saletructiep_Europe.M701.1840.giaotiep_PTATT_LD284&amp;utm_campaign=Europe.giaotiep.M701xM702_16917_CVS_NamNH_090626</v>
      </c>
      <c r="U1103" s="110" t="s">
        <v>8063</v>
      </c>
    </row>
    <row r="1104">
      <c r="A1104" s="72">
        <v>46182.0</v>
      </c>
      <c r="B1104" s="112" t="s">
        <v>7662</v>
      </c>
      <c r="C1104" s="67" t="str">
        <f>IFERROR(__xludf.DUMMYFUNCTION("""COMPUTED_VALUE"""),"LD284")</f>
        <v>LD284</v>
      </c>
      <c r="D1104" s="55" t="s">
        <v>42</v>
      </c>
      <c r="E1104" s="55" t="s">
        <v>69</v>
      </c>
      <c r="F1104" s="55" t="s">
        <v>674</v>
      </c>
      <c r="G1104" s="55">
        <v>1840.0</v>
      </c>
      <c r="H1104" s="55" t="s">
        <v>1137</v>
      </c>
      <c r="I1104" s="115" t="s">
        <v>8050</v>
      </c>
      <c r="J1104" s="55" t="s">
        <v>8051</v>
      </c>
      <c r="K1104" s="55" t="s">
        <v>61</v>
      </c>
      <c r="L1104" s="55">
        <v>16917.0</v>
      </c>
      <c r="M1104" s="55" t="s">
        <v>78</v>
      </c>
      <c r="N1104" s="55" t="s">
        <v>69</v>
      </c>
      <c r="O1104" s="55" t="s">
        <v>224</v>
      </c>
      <c r="P1104" s="55" t="s">
        <v>110</v>
      </c>
      <c r="Q1104" s="67" t="str">
        <f>IFERROR(__xludf.DUMMYFUNCTION("""COMPUTED_VALUE"""),"Europe.giaotiep.M704xM706_16917_CVS_NamNH_090626")</f>
        <v>Europe.giaotiep.M704xM706_16917_CVS_NamNH_090626</v>
      </c>
      <c r="R1104" s="67" t="str">
        <f>IFERROR(__xludf.DUMMYFUNCTION("""COMPUTED_VALUE"""),"NEW_Europe_1840_none_090626")</f>
        <v>NEW_Europe_1840_none_090626</v>
      </c>
      <c r="S1104" s="67" t="str">
        <f>IFERROR(__xludf.DUMMYFUNCTION("""COMPUTED_VALUE"""),"saletructiep_Europe.M704.1840.giaotiep_PTATT_LD284")</f>
        <v>saletructiep_Europe.M704.1840.giaotiep_PTATT_LD284</v>
      </c>
      <c r="T1104" s="107" t="str">
        <f>IFERROR(__xludf.DUMMYFUNCTION("""COMPUTED_VALUE"""),"https://patado.edu.vn/ptd_hongtt/?utm_source=Facebook&amp;utm_medium=CVS&amp;utm_term=NEW_Europe_1840_none_090626&amp;utm_content=saletructiep_Europe.M704.1840.giaotiep_PTATT_LD284&amp;utm_campaign=Europe.giaotiep.M704xM706_16917_CVS_NamNH_090626")</f>
        <v>https://patado.edu.vn/ptd_hongtt/?utm_source=Facebook&amp;utm_medium=CVS&amp;utm_term=NEW_Europe_1840_none_090626&amp;utm_content=saletructiep_Europe.M704.1840.giaotiep_PTATT_LD284&amp;utm_campaign=Europe.giaotiep.M704xM706_16917_CVS_NamNH_090626</v>
      </c>
      <c r="U1104" s="110" t="s">
        <v>8064</v>
      </c>
    </row>
    <row r="1105">
      <c r="A1105" s="72">
        <v>46182.0</v>
      </c>
      <c r="B1105" s="112" t="s">
        <v>7662</v>
      </c>
      <c r="C1105" s="67" t="str">
        <f>IFERROR(__xludf.DUMMYFUNCTION("""COMPUTED_VALUE"""),"LD284")</f>
        <v>LD284</v>
      </c>
      <c r="D1105" s="55" t="s">
        <v>42</v>
      </c>
      <c r="E1105" s="55" t="s">
        <v>69</v>
      </c>
      <c r="F1105" s="55" t="s">
        <v>133</v>
      </c>
      <c r="G1105" s="55">
        <v>1840.0</v>
      </c>
      <c r="H1105" s="55" t="s">
        <v>1137</v>
      </c>
      <c r="I1105" s="115" t="s">
        <v>8044</v>
      </c>
      <c r="J1105" s="55" t="s">
        <v>8045</v>
      </c>
      <c r="K1105" s="55" t="s">
        <v>61</v>
      </c>
      <c r="L1105" s="55">
        <v>16917.0</v>
      </c>
      <c r="M1105" s="55" t="s">
        <v>78</v>
      </c>
      <c r="N1105" s="55" t="s">
        <v>69</v>
      </c>
      <c r="O1105" s="55" t="s">
        <v>224</v>
      </c>
      <c r="P1105" s="55" t="s">
        <v>110</v>
      </c>
      <c r="Q1105" s="67" t="str">
        <f>IFERROR(__xludf.DUMMYFUNCTION("""COMPUTED_VALUE"""),"Japan.giaotiep.M701xM702_16917_CVS_NamNH_090626")</f>
        <v>Japan.giaotiep.M701xM702_16917_CVS_NamNH_090626</v>
      </c>
      <c r="R1105" s="67" t="str">
        <f>IFERROR(__xludf.DUMMYFUNCTION("""COMPUTED_VALUE"""),"NEW_Japan_1840_none_090626")</f>
        <v>NEW_Japan_1840_none_090626</v>
      </c>
      <c r="S1105" s="67" t="str">
        <f>IFERROR(__xludf.DUMMYFUNCTION("""COMPUTED_VALUE"""),"saletructiep_Japan.M701.1840.giaotiep_PTATT_LD284")</f>
        <v>saletructiep_Japan.M701.1840.giaotiep_PTATT_LD284</v>
      </c>
      <c r="T1105" s="107" t="str">
        <f>IFERROR(__xludf.DUMMYFUNCTION("""COMPUTED_VALUE"""),"https://patado.edu.vn/ptd_hongtt/?utm_source=Facebook&amp;utm_medium=CVS&amp;utm_term=NEW_Japan_1840_none_090626&amp;utm_content=saletructiep_Japan.M701.1840.giaotiep_PTATT_LD284&amp;utm_campaign=Japan.giaotiep.M701xM702_16917_CVS_NamNH_090626")</f>
        <v>https://patado.edu.vn/ptd_hongtt/?utm_source=Facebook&amp;utm_medium=CVS&amp;utm_term=NEW_Japan_1840_none_090626&amp;utm_content=saletructiep_Japan.M701.1840.giaotiep_PTATT_LD284&amp;utm_campaign=Japan.giaotiep.M701xM702_16917_CVS_NamNH_090626</v>
      </c>
      <c r="U1105" s="110" t="s">
        <v>8065</v>
      </c>
    </row>
    <row r="1106">
      <c r="A1106" s="72">
        <v>46182.0</v>
      </c>
      <c r="B1106" s="112" t="s">
        <v>7662</v>
      </c>
      <c r="C1106" s="67" t="str">
        <f>IFERROR(__xludf.DUMMYFUNCTION("""COMPUTED_VALUE"""),"LD284")</f>
        <v>LD284</v>
      </c>
      <c r="D1106" s="55" t="s">
        <v>42</v>
      </c>
      <c r="E1106" s="55" t="s">
        <v>69</v>
      </c>
      <c r="F1106" s="55" t="s">
        <v>133</v>
      </c>
      <c r="G1106" s="55">
        <v>1840.0</v>
      </c>
      <c r="H1106" s="55" t="s">
        <v>1137</v>
      </c>
      <c r="I1106" s="115" t="s">
        <v>8053</v>
      </c>
      <c r="J1106" s="55" t="s">
        <v>8054</v>
      </c>
      <c r="K1106" s="55" t="s">
        <v>61</v>
      </c>
      <c r="L1106" s="55">
        <v>16917.0</v>
      </c>
      <c r="M1106" s="55" t="s">
        <v>78</v>
      </c>
      <c r="N1106" s="55" t="s">
        <v>69</v>
      </c>
      <c r="O1106" s="55" t="s">
        <v>224</v>
      </c>
      <c r="P1106" s="55" t="s">
        <v>110</v>
      </c>
      <c r="Q1106" s="67" t="str">
        <f>IFERROR(__xludf.DUMMYFUNCTION("""COMPUTED_VALUE"""),"Japan.giaotiep.M704xM707_16917_CVS_NamNH_090626")</f>
        <v>Japan.giaotiep.M704xM707_16917_CVS_NamNH_090626</v>
      </c>
      <c r="R1106" s="67" t="str">
        <f>IFERROR(__xludf.DUMMYFUNCTION("""COMPUTED_VALUE"""),"NEW_Japan_1840_none_090626")</f>
        <v>NEW_Japan_1840_none_090626</v>
      </c>
      <c r="S1106" s="67" t="str">
        <f>IFERROR(__xludf.DUMMYFUNCTION("""COMPUTED_VALUE"""),"saletructiep_Japan.M704.1840.giaotiep_PTATT_LD284")</f>
        <v>saletructiep_Japan.M704.1840.giaotiep_PTATT_LD284</v>
      </c>
      <c r="T1106" s="107" t="str">
        <f>IFERROR(__xludf.DUMMYFUNCTION("""COMPUTED_VALUE"""),"https://patado.edu.vn/ptd_hongtt/?utm_source=Facebook&amp;utm_medium=CVS&amp;utm_term=NEW_Japan_1840_none_090626&amp;utm_content=saletructiep_Japan.M704.1840.giaotiep_PTATT_LD284&amp;utm_campaign=Japan.giaotiep.M704xM707_16917_CVS_NamNH_090626")</f>
        <v>https://patado.edu.vn/ptd_hongtt/?utm_source=Facebook&amp;utm_medium=CVS&amp;utm_term=NEW_Japan_1840_none_090626&amp;utm_content=saletructiep_Japan.M704.1840.giaotiep_PTATT_LD284&amp;utm_campaign=Japan.giaotiep.M704xM707_16917_CVS_NamNH_090626</v>
      </c>
      <c r="U1106" s="110" t="s">
        <v>8066</v>
      </c>
    </row>
    <row r="1107">
      <c r="A1107" s="72">
        <v>46182.0</v>
      </c>
      <c r="B1107" s="112" t="s">
        <v>7658</v>
      </c>
      <c r="C1107" s="67" t="str">
        <f>IFERROR(__xludf.DUMMYFUNCTION("""COMPUTED_VALUE"""),"LD282")</f>
        <v>LD282</v>
      </c>
      <c r="D1107" s="55" t="s">
        <v>42</v>
      </c>
      <c r="E1107" s="55" t="s">
        <v>69</v>
      </c>
      <c r="F1107" s="55" t="s">
        <v>133</v>
      </c>
      <c r="G1107" s="55">
        <v>1840.0</v>
      </c>
      <c r="H1107" s="55" t="s">
        <v>1137</v>
      </c>
      <c r="I1107" s="115" t="s">
        <v>8027</v>
      </c>
      <c r="J1107" s="55" t="s">
        <v>8028</v>
      </c>
      <c r="K1107" s="55" t="s">
        <v>61</v>
      </c>
      <c r="L1107" s="55">
        <v>16917.0</v>
      </c>
      <c r="M1107" s="55" t="s">
        <v>78</v>
      </c>
      <c r="N1107" s="55" t="s">
        <v>69</v>
      </c>
      <c r="O1107" s="55" t="s">
        <v>224</v>
      </c>
      <c r="P1107" s="55" t="s">
        <v>110</v>
      </c>
      <c r="Q1107" s="67" t="str">
        <f>IFERROR(__xludf.DUMMYFUNCTION("""COMPUTED_VALUE"""),"Japan.giaotiep.M677xM678_16917_CVS_NamNH_090626")</f>
        <v>Japan.giaotiep.M677xM678_16917_CVS_NamNH_090626</v>
      </c>
      <c r="R1107" s="67" t="str">
        <f>IFERROR(__xludf.DUMMYFUNCTION("""COMPUTED_VALUE"""),"NEW_Japan_1840_none_090626")</f>
        <v>NEW_Japan_1840_none_090626</v>
      </c>
      <c r="S1107" s="67" t="str">
        <f>IFERROR(__xludf.DUMMYFUNCTION("""COMPUTED_VALUE"""),"saletructiep_Japan.M677.1840.giaotiep_PTATT_LD282")</f>
        <v>saletructiep_Japan.M677.1840.giaotiep_PTATT_LD282</v>
      </c>
      <c r="T1107" s="107" t="str">
        <f>IFERROR(__xludf.DUMMYFUNCTION("""COMPUTED_VALUE"""),"https://patado.edu.vn/nhn_jp0106/?utm_source=Facebook&amp;utm_medium=CVS&amp;utm_term=NEW_Japan_1840_none_090626&amp;utm_content=saletructiep_Japan.M677.1840.giaotiep_PTATT_LD282&amp;utm_campaign=Japan.giaotiep.M677xM678_16917_CVS_NamNH_090626")</f>
        <v>https://patado.edu.vn/nhn_jp0106/?utm_source=Facebook&amp;utm_medium=CVS&amp;utm_term=NEW_Japan_1840_none_090626&amp;utm_content=saletructiep_Japan.M677.1840.giaotiep_PTATT_LD282&amp;utm_campaign=Japan.giaotiep.M677xM678_16917_CVS_NamNH_090626</v>
      </c>
      <c r="U1107" s="110" t="s">
        <v>8067</v>
      </c>
    </row>
    <row r="1108">
      <c r="A1108" s="72">
        <v>46182.0</v>
      </c>
      <c r="B1108" s="112" t="s">
        <v>7662</v>
      </c>
      <c r="C1108" s="67" t="str">
        <f>IFERROR(__xludf.DUMMYFUNCTION("""COMPUTED_VALUE"""),"LD284")</f>
        <v>LD284</v>
      </c>
      <c r="D1108" s="55" t="s">
        <v>42</v>
      </c>
      <c r="E1108" s="55" t="s">
        <v>79</v>
      </c>
      <c r="F1108" s="55" t="s">
        <v>539</v>
      </c>
      <c r="G1108" s="55">
        <v>1840.0</v>
      </c>
      <c r="H1108" s="55" t="s">
        <v>1137</v>
      </c>
      <c r="I1108" s="115" t="s">
        <v>8068</v>
      </c>
      <c r="J1108" s="55" t="s">
        <v>8069</v>
      </c>
      <c r="K1108" s="55" t="s">
        <v>61</v>
      </c>
      <c r="L1108" s="55">
        <v>16917.0</v>
      </c>
      <c r="M1108" s="55" t="s">
        <v>78</v>
      </c>
      <c r="N1108" s="55" t="s">
        <v>79</v>
      </c>
      <c r="O1108" s="55" t="s">
        <v>224</v>
      </c>
      <c r="P1108" s="55" t="s">
        <v>110</v>
      </c>
      <c r="Q1108" s="67" t="str">
        <f>IFERROR(__xludf.DUMMYFUNCTION("""COMPUTED_VALUE"""),"ALL.giaotiep.M677xM678_16917_MES_NamNH_090626")</f>
        <v>ALL.giaotiep.M677xM678_16917_MES_NamNH_090626</v>
      </c>
      <c r="R1108" s="67" t="str">
        <f>IFERROR(__xludf.DUMMYFUNCTION("""COMPUTED_VALUE"""),"NEW_ALL_1840_none_090626")</f>
        <v>NEW_ALL_1840_none_090626</v>
      </c>
      <c r="S1108" s="67" t="str">
        <f>IFERROR(__xludf.DUMMYFUNCTION("""COMPUTED_VALUE"""),"saletructiep_ALL.M677.1840.giaotiep_PTATT_LD284")</f>
        <v>saletructiep_ALL.M677.1840.giaotiep_PTATT_LD284</v>
      </c>
      <c r="T1108" s="107" t="str">
        <f>IFERROR(__xludf.DUMMYFUNCTION("""COMPUTED_VALUE"""),"https://patado.edu.vn/ptd_hongtt/?utm_source=Facebook&amp;utm_medium=MES&amp;utm_term=NEW_ALL_1840_none_090626&amp;utm_content=saletructiep_ALL.M677.1840.giaotiep_PTATT_LD284&amp;utm_campaign=ALL.giaotiep.M677xM678_16917_MES_NamNH_090626")</f>
        <v>https://patado.edu.vn/ptd_hongtt/?utm_source=Facebook&amp;utm_medium=MES&amp;utm_term=NEW_ALL_1840_none_090626&amp;utm_content=saletructiep_ALL.M677.1840.giaotiep_PTATT_LD284&amp;utm_campaign=ALL.giaotiep.M677xM678_16917_MES_NamNH_090626</v>
      </c>
      <c r="U1108" s="110" t="s">
        <v>8070</v>
      </c>
    </row>
    <row r="1109">
      <c r="A1109" s="72">
        <v>46185.0</v>
      </c>
      <c r="B1109" s="112" t="s">
        <v>7658</v>
      </c>
      <c r="C1109" s="67" t="str">
        <f>IFERROR(__xludf.DUMMYFUNCTION("""COMPUTED_VALUE"""),"LD282")</f>
        <v>LD282</v>
      </c>
      <c r="D1109" s="55" t="s">
        <v>42</v>
      </c>
      <c r="E1109" s="55" t="s">
        <v>69</v>
      </c>
      <c r="F1109" s="55" t="s">
        <v>133</v>
      </c>
      <c r="G1109" s="55">
        <v>1840.0</v>
      </c>
      <c r="H1109" s="55" t="s">
        <v>1137</v>
      </c>
      <c r="I1109" s="115" t="s">
        <v>8053</v>
      </c>
      <c r="J1109" s="55" t="s">
        <v>8054</v>
      </c>
      <c r="K1109" s="55" t="s">
        <v>61</v>
      </c>
      <c r="L1109" s="55">
        <v>16917.0</v>
      </c>
      <c r="M1109" s="55" t="s">
        <v>78</v>
      </c>
      <c r="N1109" s="55" t="s">
        <v>69</v>
      </c>
      <c r="O1109" s="55" t="s">
        <v>224</v>
      </c>
      <c r="P1109" s="55" t="s">
        <v>110</v>
      </c>
      <c r="Q1109" s="67" t="str">
        <f>IFERROR(__xludf.DUMMYFUNCTION("""COMPUTED_VALUE"""),"Japan.giaotiep.M704xM707_16917_CVS_NamNH_120626")</f>
        <v>Japan.giaotiep.M704xM707_16917_CVS_NamNH_120626</v>
      </c>
      <c r="R1109" s="67" t="str">
        <f>IFERROR(__xludf.DUMMYFUNCTION("""COMPUTED_VALUE"""),"NEW_Japan_1840_none_120626")</f>
        <v>NEW_Japan_1840_none_120626</v>
      </c>
      <c r="S1109" s="67" t="str">
        <f>IFERROR(__xludf.DUMMYFUNCTION("""COMPUTED_VALUE"""),"saletructiep_Japan.M704.1840.giaotiep_PTATT_LD282")</f>
        <v>saletructiep_Japan.M704.1840.giaotiep_PTATT_LD282</v>
      </c>
      <c r="T1109" s="107" t="str">
        <f>IFERROR(__xludf.DUMMYFUNCTION("""COMPUTED_VALUE"""),"https://patado.edu.vn/nhn_jp0106/?utm_source=Facebook&amp;utm_medium=CVS&amp;utm_term=NEW_Japan_1840_none_120626&amp;utm_content=saletructiep_Japan.M704.1840.giaotiep_PTATT_LD282&amp;utm_campaign=Japan.giaotiep.M704xM707_16917_CVS_NamNH_120626")</f>
        <v>https://patado.edu.vn/nhn_jp0106/?utm_source=Facebook&amp;utm_medium=CVS&amp;utm_term=NEW_Japan_1840_none_120626&amp;utm_content=saletructiep_Japan.M704.1840.giaotiep_PTATT_LD282&amp;utm_campaign=Japan.giaotiep.M704xM707_16917_CVS_NamNH_120626</v>
      </c>
      <c r="U1109" s="110" t="s">
        <v>8071</v>
      </c>
    </row>
    <row r="1110">
      <c r="A1110" s="72">
        <v>46185.0</v>
      </c>
      <c r="B1110" s="112" t="s">
        <v>2434</v>
      </c>
      <c r="C1110" s="67" t="str">
        <f>IFERROR(__xludf.DUMMYFUNCTION("""COMPUTED_VALUE"""),"LD267")</f>
        <v>LD267</v>
      </c>
      <c r="D1110" s="55" t="s">
        <v>42</v>
      </c>
      <c r="E1110" s="55" t="s">
        <v>69</v>
      </c>
      <c r="F1110" s="55" t="s">
        <v>674</v>
      </c>
      <c r="G1110" s="55">
        <v>1840.0</v>
      </c>
      <c r="H1110" s="55" t="s">
        <v>1137</v>
      </c>
      <c r="I1110" s="115" t="s">
        <v>8072</v>
      </c>
      <c r="J1110" s="55" t="s">
        <v>8073</v>
      </c>
      <c r="K1110" s="55" t="s">
        <v>61</v>
      </c>
      <c r="L1110" s="55">
        <v>16917.0</v>
      </c>
      <c r="M1110" s="55" t="s">
        <v>78</v>
      </c>
      <c r="N1110" s="55" t="s">
        <v>69</v>
      </c>
      <c r="O1110" s="55" t="s">
        <v>224</v>
      </c>
      <c r="P1110" s="55" t="s">
        <v>110</v>
      </c>
      <c r="Q1110" s="67" t="str">
        <f>IFERROR(__xludf.DUMMYFUNCTION("""COMPUTED_VALUE"""),"Europe.giaotiep.M692xM693_16917_CVS_NamNH_120626")</f>
        <v>Europe.giaotiep.M692xM693_16917_CVS_NamNH_120626</v>
      </c>
      <c r="R1110" s="67" t="str">
        <f>IFERROR(__xludf.DUMMYFUNCTION("""COMPUTED_VALUE"""),"NEW_Europe_1840_none_120626")</f>
        <v>NEW_Europe_1840_none_120626</v>
      </c>
      <c r="S1110" s="67" t="str">
        <f>IFERROR(__xludf.DUMMYFUNCTION("""COMPUTED_VALUE"""),"saletructiep_Europe.M692.1840.giaotiep_PTATT_LD267")</f>
        <v>saletructiep_Europe.M692.1840.giaotiep_PTATT_LD267</v>
      </c>
      <c r="T1110" s="107" t="str">
        <f>IFERROR(__xludf.DUMMYFUNCTION("""COMPUTED_VALUE"""),"https://patado.edu.vn/tienganhgiaotiep1_hn/?utm_source=Facebook&amp;utm_medium=CVS&amp;utm_term=NEW_Europe_1840_none_120626&amp;utm_content=saletructiep_Europe.M692.1840.giaotiep_PTATT_LD267&amp;utm_campaign=Europe.giaotiep.M692xM693_16917_CVS_NamNH_120626")</f>
        <v>https://patado.edu.vn/tienganhgiaotiep1_hn/?utm_source=Facebook&amp;utm_medium=CVS&amp;utm_term=NEW_Europe_1840_none_120626&amp;utm_content=saletructiep_Europe.M692.1840.giaotiep_PTATT_LD267&amp;utm_campaign=Europe.giaotiep.M692xM693_16917_CVS_NamNH_120626</v>
      </c>
      <c r="U1110" s="110" t="s">
        <v>8074</v>
      </c>
    </row>
    <row r="1111">
      <c r="A1111" s="72">
        <v>46185.0</v>
      </c>
      <c r="B1111" s="112" t="s">
        <v>2434</v>
      </c>
      <c r="C1111" s="67" t="str">
        <f>IFERROR(__xludf.DUMMYFUNCTION("""COMPUTED_VALUE"""),"LD267")</f>
        <v>LD267</v>
      </c>
      <c r="D1111" s="55" t="s">
        <v>42</v>
      </c>
      <c r="E1111" s="55" t="s">
        <v>69</v>
      </c>
      <c r="F1111" s="55" t="s">
        <v>674</v>
      </c>
      <c r="G1111" s="55">
        <v>1840.0</v>
      </c>
      <c r="H1111" s="55" t="s">
        <v>1137</v>
      </c>
      <c r="I1111" s="115" t="s">
        <v>8075</v>
      </c>
      <c r="J1111" s="55" t="s">
        <v>8076</v>
      </c>
      <c r="K1111" s="55" t="s">
        <v>61</v>
      </c>
      <c r="L1111" s="55">
        <v>16917.0</v>
      </c>
      <c r="M1111" s="55" t="s">
        <v>78</v>
      </c>
      <c r="N1111" s="55" t="s">
        <v>69</v>
      </c>
      <c r="O1111" s="55" t="s">
        <v>224</v>
      </c>
      <c r="P1111" s="55" t="s">
        <v>110</v>
      </c>
      <c r="Q1111" s="67" t="str">
        <f>IFERROR(__xludf.DUMMYFUNCTION("""COMPUTED_VALUE"""),"Europe.giaotiep.M713xM715_16917_CVS_NamNH_120626")</f>
        <v>Europe.giaotiep.M713xM715_16917_CVS_NamNH_120626</v>
      </c>
      <c r="R1111" s="67" t="str">
        <f>IFERROR(__xludf.DUMMYFUNCTION("""COMPUTED_VALUE"""),"NEW_Europe_1840_none_120626")</f>
        <v>NEW_Europe_1840_none_120626</v>
      </c>
      <c r="S1111" s="67" t="str">
        <f>IFERROR(__xludf.DUMMYFUNCTION("""COMPUTED_VALUE"""),"saletructiep_Europe.M713.1840.giaotiep_PTATT_LD267")</f>
        <v>saletructiep_Europe.M713.1840.giaotiep_PTATT_LD267</v>
      </c>
      <c r="T1111" s="107" t="str">
        <f>IFERROR(__xludf.DUMMYFUNCTION("""COMPUTED_VALUE"""),"https://patado.edu.vn/tienganhgiaotiep1_hn/?utm_source=Facebook&amp;utm_medium=CVS&amp;utm_term=NEW_Europe_1840_none_120626&amp;utm_content=saletructiep_Europe.M713.1840.giaotiep_PTATT_LD267&amp;utm_campaign=Europe.giaotiep.M713xM715_16917_CVS_NamNH_120626")</f>
        <v>https://patado.edu.vn/tienganhgiaotiep1_hn/?utm_source=Facebook&amp;utm_medium=CVS&amp;utm_term=NEW_Europe_1840_none_120626&amp;utm_content=saletructiep_Europe.M713.1840.giaotiep_PTATT_LD267&amp;utm_campaign=Europe.giaotiep.M713xM715_16917_CVS_NamNH_120626</v>
      </c>
      <c r="U1111" s="110" t="s">
        <v>8077</v>
      </c>
    </row>
    <row r="1112">
      <c r="A1112" s="72">
        <v>46185.0</v>
      </c>
      <c r="B1112" s="112" t="s">
        <v>2434</v>
      </c>
      <c r="C1112" s="67" t="str">
        <f>IFERROR(__xludf.DUMMYFUNCTION("""COMPUTED_VALUE"""),"LD267")</f>
        <v>LD267</v>
      </c>
      <c r="D1112" s="55" t="s">
        <v>42</v>
      </c>
      <c r="E1112" s="55" t="s">
        <v>69</v>
      </c>
      <c r="F1112" s="55" t="s">
        <v>674</v>
      </c>
      <c r="G1112" s="55">
        <v>1840.0</v>
      </c>
      <c r="H1112" s="55" t="s">
        <v>1137</v>
      </c>
      <c r="I1112" s="115" t="s">
        <v>8078</v>
      </c>
      <c r="J1112" s="55" t="s">
        <v>8079</v>
      </c>
      <c r="K1112" s="55" t="s">
        <v>61</v>
      </c>
      <c r="L1112" s="55">
        <v>16917.0</v>
      </c>
      <c r="M1112" s="55" t="s">
        <v>78</v>
      </c>
      <c r="N1112" s="55" t="s">
        <v>69</v>
      </c>
      <c r="O1112" s="55" t="s">
        <v>224</v>
      </c>
      <c r="P1112" s="55" t="s">
        <v>110</v>
      </c>
      <c r="Q1112" s="67" t="str">
        <f>IFERROR(__xludf.DUMMYFUNCTION("""COMPUTED_VALUE"""),"Europe.giaotiep.M708xM712_16917_CVS_NamNH_120626")</f>
        <v>Europe.giaotiep.M708xM712_16917_CVS_NamNH_120626</v>
      </c>
      <c r="R1112" s="67" t="str">
        <f>IFERROR(__xludf.DUMMYFUNCTION("""COMPUTED_VALUE"""),"NEW_Europe_1840_none_120626")</f>
        <v>NEW_Europe_1840_none_120626</v>
      </c>
      <c r="S1112" s="67" t="str">
        <f>IFERROR(__xludf.DUMMYFUNCTION("""COMPUTED_VALUE"""),"saletructiep_Europe.M708.1840.giaotiep_PTATT_LD267")</f>
        <v>saletructiep_Europe.M708.1840.giaotiep_PTATT_LD267</v>
      </c>
      <c r="T1112" s="107" t="str">
        <f>IFERROR(__xludf.DUMMYFUNCTION("""COMPUTED_VALUE"""),"https://patado.edu.vn/tienganhgiaotiep1_hn/?utm_source=Facebook&amp;utm_medium=CVS&amp;utm_term=NEW_Europe_1840_none_120626&amp;utm_content=saletructiep_Europe.M708.1840.giaotiep_PTATT_LD267&amp;utm_campaign=Europe.giaotiep.M708xM712_16917_CVS_NamNH_120626")</f>
        <v>https://patado.edu.vn/tienganhgiaotiep1_hn/?utm_source=Facebook&amp;utm_medium=CVS&amp;utm_term=NEW_Europe_1840_none_120626&amp;utm_content=saletructiep_Europe.M708.1840.giaotiep_PTATT_LD267&amp;utm_campaign=Europe.giaotiep.M708xM712_16917_CVS_NamNH_120626</v>
      </c>
      <c r="U1112" s="110" t="s">
        <v>8080</v>
      </c>
    </row>
    <row r="1113">
      <c r="A1113" s="72">
        <v>46185.0</v>
      </c>
      <c r="B1113" s="112" t="s">
        <v>2434</v>
      </c>
      <c r="C1113" s="67" t="str">
        <f>IFERROR(__xludf.DUMMYFUNCTION("""COMPUTED_VALUE"""),"LD267")</f>
        <v>LD267</v>
      </c>
      <c r="D1113" s="55" t="s">
        <v>42</v>
      </c>
      <c r="E1113" s="55" t="s">
        <v>69</v>
      </c>
      <c r="F1113" s="55" t="s">
        <v>674</v>
      </c>
      <c r="G1113" s="55">
        <v>1840.0</v>
      </c>
      <c r="H1113" s="55" t="s">
        <v>1137</v>
      </c>
      <c r="I1113" s="115" t="s">
        <v>8081</v>
      </c>
      <c r="J1113" s="55" t="s">
        <v>8082</v>
      </c>
      <c r="K1113" s="55" t="s">
        <v>61</v>
      </c>
      <c r="L1113" s="55">
        <v>16917.0</v>
      </c>
      <c r="M1113" s="55" t="s">
        <v>78</v>
      </c>
      <c r="N1113" s="55" t="s">
        <v>69</v>
      </c>
      <c r="O1113" s="55" t="s">
        <v>224</v>
      </c>
      <c r="P1113" s="55" t="s">
        <v>110</v>
      </c>
      <c r="Q1113" s="67" t="str">
        <f>IFERROR(__xludf.DUMMYFUNCTION("""COMPUTED_VALUE"""),"Europe.giaotiep.M700xM710_16917_CVS_NamNH_120626")</f>
        <v>Europe.giaotiep.M700xM710_16917_CVS_NamNH_120626</v>
      </c>
      <c r="R1113" s="67" t="str">
        <f>IFERROR(__xludf.DUMMYFUNCTION("""COMPUTED_VALUE"""),"NEW_Europe_1840_none_120626")</f>
        <v>NEW_Europe_1840_none_120626</v>
      </c>
      <c r="S1113" s="67" t="str">
        <f>IFERROR(__xludf.DUMMYFUNCTION("""COMPUTED_VALUE"""),"saletructiep_Europe.M700.1840.giaotiep_PTATT_LD267")</f>
        <v>saletructiep_Europe.M700.1840.giaotiep_PTATT_LD267</v>
      </c>
      <c r="T1113" s="107" t="str">
        <f>IFERROR(__xludf.DUMMYFUNCTION("""COMPUTED_VALUE"""),"https://patado.edu.vn/tienganhgiaotiep1_hn/?utm_source=Facebook&amp;utm_medium=CVS&amp;utm_term=NEW_Europe_1840_none_120626&amp;utm_content=saletructiep_Europe.M700.1840.giaotiep_PTATT_LD267&amp;utm_campaign=Europe.giaotiep.M700xM710_16917_CVS_NamNH_120626")</f>
        <v>https://patado.edu.vn/tienganhgiaotiep1_hn/?utm_source=Facebook&amp;utm_medium=CVS&amp;utm_term=NEW_Europe_1840_none_120626&amp;utm_content=saletructiep_Europe.M700.1840.giaotiep_PTATT_LD267&amp;utm_campaign=Europe.giaotiep.M700xM710_16917_CVS_NamNH_120626</v>
      </c>
      <c r="U1113" s="110" t="s">
        <v>8083</v>
      </c>
    </row>
    <row r="1114">
      <c r="A1114" s="72">
        <v>46185.0</v>
      </c>
      <c r="B1114" s="112" t="s">
        <v>2434</v>
      </c>
      <c r="C1114" s="67" t="str">
        <f>IFERROR(__xludf.DUMMYFUNCTION("""COMPUTED_VALUE"""),"LD267")</f>
        <v>LD267</v>
      </c>
      <c r="D1114" s="55" t="s">
        <v>42</v>
      </c>
      <c r="E1114" s="55" t="s">
        <v>79</v>
      </c>
      <c r="F1114" s="55" t="s">
        <v>539</v>
      </c>
      <c r="G1114" s="55">
        <v>1840.0</v>
      </c>
      <c r="H1114" s="55" t="s">
        <v>1137</v>
      </c>
      <c r="I1114" s="115" t="s">
        <v>8084</v>
      </c>
      <c r="J1114" s="55" t="s">
        <v>8085</v>
      </c>
      <c r="K1114" s="55" t="s">
        <v>61</v>
      </c>
      <c r="L1114" s="55">
        <v>16917.0</v>
      </c>
      <c r="M1114" s="55" t="s">
        <v>78</v>
      </c>
      <c r="N1114" s="55" t="s">
        <v>79</v>
      </c>
      <c r="O1114" s="55" t="s">
        <v>224</v>
      </c>
      <c r="P1114" s="55" t="s">
        <v>110</v>
      </c>
      <c r="Q1114" s="67" t="str">
        <f>IFERROR(__xludf.DUMMYFUNCTION("""COMPUTED_VALUE"""),"ALL.giaotiep.M708xM712_16917_MES_NamNH_120626")</f>
        <v>ALL.giaotiep.M708xM712_16917_MES_NamNH_120626</v>
      </c>
      <c r="R1114" s="67" t="str">
        <f>IFERROR(__xludf.DUMMYFUNCTION("""COMPUTED_VALUE"""),"NEW_ALL_1840_none_120626")</f>
        <v>NEW_ALL_1840_none_120626</v>
      </c>
      <c r="S1114" s="67" t="str">
        <f>IFERROR(__xludf.DUMMYFUNCTION("""COMPUTED_VALUE"""),"saletructiep_ALL.M708.1840.giaotiep_PTATT_LD267")</f>
        <v>saletructiep_ALL.M708.1840.giaotiep_PTATT_LD267</v>
      </c>
      <c r="T1114" s="107" t="str">
        <f>IFERROR(__xludf.DUMMYFUNCTION("""COMPUTED_VALUE"""),"https://patado.edu.vn/tienganhgiaotiep1_hn/?utm_source=Facebook&amp;utm_medium=MES&amp;utm_term=NEW_ALL_1840_none_120626&amp;utm_content=saletructiep_ALL.M708.1840.giaotiep_PTATT_LD267&amp;utm_campaign=ALL.giaotiep.M708xM712_16917_MES_NamNH_120626")</f>
        <v>https://patado.edu.vn/tienganhgiaotiep1_hn/?utm_source=Facebook&amp;utm_medium=MES&amp;utm_term=NEW_ALL_1840_none_120626&amp;utm_content=saletructiep_ALL.M708.1840.giaotiep_PTATT_LD267&amp;utm_campaign=ALL.giaotiep.M708xM712_16917_MES_NamNH_120626</v>
      </c>
      <c r="U1114" s="110" t="s">
        <v>8086</v>
      </c>
    </row>
    <row r="1115">
      <c r="A1115" s="72">
        <v>46189.0</v>
      </c>
      <c r="B1115" s="60" t="s">
        <v>7662</v>
      </c>
      <c r="C1115" s="67" t="str">
        <f>IFERROR(__xludf.DUMMYFUNCTION("""COMPUTED_VALUE"""),"LD284")</f>
        <v>LD284</v>
      </c>
      <c r="D1115" s="55" t="s">
        <v>42</v>
      </c>
      <c r="E1115" s="55" t="s">
        <v>69</v>
      </c>
      <c r="F1115" s="55" t="s">
        <v>674</v>
      </c>
      <c r="G1115" s="55">
        <v>1840.0</v>
      </c>
      <c r="H1115" s="55" t="s">
        <v>1137</v>
      </c>
      <c r="I1115" s="115" t="s">
        <v>8072</v>
      </c>
      <c r="J1115" s="55" t="s">
        <v>8073</v>
      </c>
      <c r="K1115" s="55" t="s">
        <v>61</v>
      </c>
      <c r="L1115" s="55">
        <v>16917.0</v>
      </c>
      <c r="M1115" s="55" t="s">
        <v>78</v>
      </c>
      <c r="N1115" s="55" t="s">
        <v>69</v>
      </c>
      <c r="O1115" s="55" t="s">
        <v>224</v>
      </c>
      <c r="P1115" s="55" t="s">
        <v>110</v>
      </c>
      <c r="Q1115" s="67" t="str">
        <f>IFERROR(__xludf.DUMMYFUNCTION("""COMPUTED_VALUE"""),"Europe.giaotiep.M692xM693_16917_CVS_NamNH_160626")</f>
        <v>Europe.giaotiep.M692xM693_16917_CVS_NamNH_160626</v>
      </c>
      <c r="R1115" s="67" t="str">
        <f>IFERROR(__xludf.DUMMYFUNCTION("""COMPUTED_VALUE"""),"NEW_Europe_1840_none_160626")</f>
        <v>NEW_Europe_1840_none_160626</v>
      </c>
      <c r="S1115" s="67" t="str">
        <f>IFERROR(__xludf.DUMMYFUNCTION("""COMPUTED_VALUE"""),"saletructiep_Europe.M692.1840.giaotiep_PTATT_LD284")</f>
        <v>saletructiep_Europe.M692.1840.giaotiep_PTATT_LD284</v>
      </c>
      <c r="T1115" s="107" t="str">
        <f>IFERROR(__xludf.DUMMYFUNCTION("""COMPUTED_VALUE"""),"https://patado.edu.vn/ptd_hongtt/?utm_source=Facebook&amp;utm_medium=CVS&amp;utm_term=NEW_Europe_1840_none_160626&amp;utm_content=saletructiep_Europe.M692.1840.giaotiep_PTATT_LD284&amp;utm_campaign=Europe.giaotiep.M692xM693_16917_CVS_NamNH_160626")</f>
        <v>https://patado.edu.vn/ptd_hongtt/?utm_source=Facebook&amp;utm_medium=CVS&amp;utm_term=NEW_Europe_1840_none_160626&amp;utm_content=saletructiep_Europe.M692.1840.giaotiep_PTATT_LD284&amp;utm_campaign=Europe.giaotiep.M692xM693_16917_CVS_NamNH_160626</v>
      </c>
      <c r="U1115" s="110" t="s">
        <v>8087</v>
      </c>
    </row>
    <row r="1116">
      <c r="A1116" s="72">
        <v>46190.0</v>
      </c>
      <c r="B1116" s="60" t="s">
        <v>7662</v>
      </c>
      <c r="C1116" s="67" t="str">
        <f>IFERROR(__xludf.DUMMYFUNCTION("""COMPUTED_VALUE"""),"LD284")</f>
        <v>LD284</v>
      </c>
      <c r="D1116" s="55" t="s">
        <v>42</v>
      </c>
      <c r="E1116" s="55" t="s">
        <v>69</v>
      </c>
      <c r="F1116" s="55" t="s">
        <v>674</v>
      </c>
      <c r="G1116" s="55">
        <v>1840.0</v>
      </c>
      <c r="H1116" s="55" t="s">
        <v>1137</v>
      </c>
      <c r="I1116" s="115" t="s">
        <v>8088</v>
      </c>
      <c r="J1116" s="55" t="s">
        <v>8089</v>
      </c>
      <c r="K1116" s="55" t="s">
        <v>61</v>
      </c>
      <c r="L1116" s="55">
        <v>16917.0</v>
      </c>
      <c r="M1116" s="55" t="s">
        <v>78</v>
      </c>
      <c r="N1116" s="55" t="s">
        <v>69</v>
      </c>
      <c r="O1116" s="55" t="s">
        <v>224</v>
      </c>
      <c r="P1116" s="55" t="s">
        <v>110</v>
      </c>
      <c r="Q1116" s="67" t="str">
        <f>IFERROR(__xludf.DUMMYFUNCTION("""COMPUTED_VALUE"""),"Europe.giaotiep.M718xM719_16917_CVS_NamNH_170626")</f>
        <v>Europe.giaotiep.M718xM719_16917_CVS_NamNH_170626</v>
      </c>
      <c r="R1116" s="67" t="str">
        <f>IFERROR(__xludf.DUMMYFUNCTION("""COMPUTED_VALUE"""),"NEW_Europe_1840_none_170626")</f>
        <v>NEW_Europe_1840_none_170626</v>
      </c>
      <c r="S1116" s="67" t="str">
        <f>IFERROR(__xludf.DUMMYFUNCTION("""COMPUTED_VALUE"""),"saletructiep_Europe.M718.1840.giaotiep_PTATT_LD284")</f>
        <v>saletructiep_Europe.M718.1840.giaotiep_PTATT_LD284</v>
      </c>
      <c r="T1116" s="107" t="str">
        <f>IFERROR(__xludf.DUMMYFUNCTION("""COMPUTED_VALUE"""),"https://patado.edu.vn/ptd_hongtt/?utm_source=Facebook&amp;utm_medium=CVS&amp;utm_term=NEW_Europe_1840_none_170626&amp;utm_content=saletructiep_Europe.M718.1840.giaotiep_PTATT_LD284&amp;utm_campaign=Europe.giaotiep.M718xM719_16917_CVS_NamNH_170626")</f>
        <v>https://patado.edu.vn/ptd_hongtt/?utm_source=Facebook&amp;utm_medium=CVS&amp;utm_term=NEW_Europe_1840_none_170626&amp;utm_content=saletructiep_Europe.M718.1840.giaotiep_PTATT_LD284&amp;utm_campaign=Europe.giaotiep.M718xM719_16917_CVS_NamNH_170626</v>
      </c>
      <c r="U1116" s="110" t="s">
        <v>8090</v>
      </c>
    </row>
    <row r="1117">
      <c r="A1117" s="72">
        <v>46190.0</v>
      </c>
      <c r="B1117" s="60" t="s">
        <v>7662</v>
      </c>
      <c r="C1117" s="67" t="str">
        <f>IFERROR(__xludf.DUMMYFUNCTION("""COMPUTED_VALUE"""),"LD284")</f>
        <v>LD284</v>
      </c>
      <c r="D1117" s="55" t="s">
        <v>42</v>
      </c>
      <c r="E1117" s="55" t="s">
        <v>69</v>
      </c>
      <c r="F1117" s="55" t="s">
        <v>674</v>
      </c>
      <c r="G1117" s="55">
        <v>1840.0</v>
      </c>
      <c r="H1117" s="55" t="s">
        <v>1137</v>
      </c>
      <c r="I1117" s="115" t="s">
        <v>8091</v>
      </c>
      <c r="J1117" s="55" t="s">
        <v>8092</v>
      </c>
      <c r="K1117" s="55" t="s">
        <v>61</v>
      </c>
      <c r="L1117" s="55">
        <v>16917.0</v>
      </c>
      <c r="M1117" s="55" t="s">
        <v>78</v>
      </c>
      <c r="N1117" s="55" t="s">
        <v>69</v>
      </c>
      <c r="O1117" s="55" t="s">
        <v>224</v>
      </c>
      <c r="P1117" s="55" t="s">
        <v>110</v>
      </c>
      <c r="Q1117" s="67" t="str">
        <f>IFERROR(__xludf.DUMMYFUNCTION("""COMPUTED_VALUE"""),"Europe.giaotiep.M717xM720_16917_CVS_NamNH_170626")</f>
        <v>Europe.giaotiep.M717xM720_16917_CVS_NamNH_170626</v>
      </c>
      <c r="R1117" s="67" t="str">
        <f>IFERROR(__xludf.DUMMYFUNCTION("""COMPUTED_VALUE"""),"NEW_Europe_1840_none_170626")</f>
        <v>NEW_Europe_1840_none_170626</v>
      </c>
      <c r="S1117" s="67" t="str">
        <f>IFERROR(__xludf.DUMMYFUNCTION("""COMPUTED_VALUE"""),"saletructiep_Europe.M717.1840.giaotiep_PTATT_LD284")</f>
        <v>saletructiep_Europe.M717.1840.giaotiep_PTATT_LD284</v>
      </c>
      <c r="T1117" s="107" t="str">
        <f>IFERROR(__xludf.DUMMYFUNCTION("""COMPUTED_VALUE"""),"https://patado.edu.vn/ptd_hongtt/?utm_source=Facebook&amp;utm_medium=CVS&amp;utm_term=NEW_Europe_1840_none_170626&amp;utm_content=saletructiep_Europe.M717.1840.giaotiep_PTATT_LD284&amp;utm_campaign=Europe.giaotiep.M717xM720_16917_CVS_NamNH_170626")</f>
        <v>https://patado.edu.vn/ptd_hongtt/?utm_source=Facebook&amp;utm_medium=CVS&amp;utm_term=NEW_Europe_1840_none_170626&amp;utm_content=saletructiep_Europe.M717.1840.giaotiep_PTATT_LD284&amp;utm_campaign=Europe.giaotiep.M717xM720_16917_CVS_NamNH_170626</v>
      </c>
      <c r="U1117" s="110" t="s">
        <v>8093</v>
      </c>
    </row>
    <row r="1118">
      <c r="A1118" s="72">
        <v>46204.0</v>
      </c>
      <c r="B1118" s="112" t="s">
        <v>2434</v>
      </c>
      <c r="C1118" s="67" t="str">
        <f>IFERROR(__xludf.DUMMYFUNCTION("""COMPUTED_VALUE"""),"LD267")</f>
        <v>LD267</v>
      </c>
      <c r="D1118" s="55" t="s">
        <v>42</v>
      </c>
      <c r="E1118" s="55" t="s">
        <v>69</v>
      </c>
      <c r="F1118" s="55" t="s">
        <v>674</v>
      </c>
      <c r="G1118" s="55">
        <v>1840.0</v>
      </c>
      <c r="H1118" s="55" t="s">
        <v>1137</v>
      </c>
      <c r="I1118" s="115" t="s">
        <v>8088</v>
      </c>
      <c r="J1118" s="55" t="s">
        <v>8089</v>
      </c>
      <c r="K1118" s="55" t="s">
        <v>61</v>
      </c>
      <c r="L1118" s="55">
        <v>16917.0</v>
      </c>
      <c r="M1118" s="55" t="s">
        <v>78</v>
      </c>
      <c r="N1118" s="55" t="s">
        <v>69</v>
      </c>
      <c r="O1118" s="55" t="s">
        <v>224</v>
      </c>
      <c r="P1118" s="55" t="s">
        <v>110</v>
      </c>
      <c r="Q1118" s="67" t="str">
        <f>IFERROR(__xludf.DUMMYFUNCTION("""COMPUTED_VALUE"""),"Europe.giaotiep.M718xM719_16917_CVS_NamNH_010726")</f>
        <v>Europe.giaotiep.M718xM719_16917_CVS_NamNH_010726</v>
      </c>
      <c r="R1118" s="67" t="str">
        <f>IFERROR(__xludf.DUMMYFUNCTION("""COMPUTED_VALUE"""),"NEW_Europe_1840_none_010726")</f>
        <v>NEW_Europe_1840_none_010726</v>
      </c>
      <c r="S1118" s="67" t="str">
        <f>IFERROR(__xludf.DUMMYFUNCTION("""COMPUTED_VALUE"""),"saletructiep_Europe.M718.1840.giaotiep_PTATT_LD267")</f>
        <v>saletructiep_Europe.M718.1840.giaotiep_PTATT_LD267</v>
      </c>
      <c r="T1118" s="107" t="str">
        <f>IFERROR(__xludf.DUMMYFUNCTION("""COMPUTED_VALUE"""),"https://patado.edu.vn/tienganhgiaotiep1_hn/?utm_source=Facebook&amp;utm_medium=CVS&amp;utm_term=NEW_Europe_1840_none_010726&amp;utm_content=saletructiep_Europe.M718.1840.giaotiep_PTATT_LD267&amp;utm_campaign=Europe.giaotiep.M718xM719_16917_CVS_NamNH_010726")</f>
        <v>https://patado.edu.vn/tienganhgiaotiep1_hn/?utm_source=Facebook&amp;utm_medium=CVS&amp;utm_term=NEW_Europe_1840_none_010726&amp;utm_content=saletructiep_Europe.M718.1840.giaotiep_PTATT_LD267&amp;utm_campaign=Europe.giaotiep.M718xM719_16917_CVS_NamNH_010726</v>
      </c>
      <c r="U1118" s="110" t="s">
        <v>8094</v>
      </c>
    </row>
    <row r="1119">
      <c r="A1119" s="72">
        <v>46185.0</v>
      </c>
      <c r="B1119" s="60" t="s">
        <v>7662</v>
      </c>
      <c r="C1119" s="67" t="str">
        <f>IFERROR(__xludf.DUMMYFUNCTION("""COMPUTED_VALUE"""),"LD284")</f>
        <v>LD284</v>
      </c>
      <c r="D1119" s="55" t="s">
        <v>42</v>
      </c>
      <c r="E1119" s="55" t="s">
        <v>69</v>
      </c>
      <c r="F1119" s="55" t="s">
        <v>674</v>
      </c>
      <c r="G1119" s="55">
        <v>1840.0</v>
      </c>
      <c r="H1119" s="55" t="s">
        <v>1137</v>
      </c>
      <c r="I1119" s="115" t="s">
        <v>8075</v>
      </c>
      <c r="J1119" s="55" t="s">
        <v>8076</v>
      </c>
      <c r="K1119" s="55" t="s">
        <v>61</v>
      </c>
      <c r="L1119" s="55">
        <v>16917.0</v>
      </c>
      <c r="M1119" s="55" t="s">
        <v>78</v>
      </c>
      <c r="N1119" s="55" t="s">
        <v>69</v>
      </c>
      <c r="O1119" s="55" t="s">
        <v>224</v>
      </c>
      <c r="P1119" s="55" t="s">
        <v>110</v>
      </c>
      <c r="Q1119" s="67" t="str">
        <f>IFERROR(__xludf.DUMMYFUNCTION("""COMPUTED_VALUE"""),"Europe.giaotiep.M713xM715_16917_CVS_NamNH_120626")</f>
        <v>Europe.giaotiep.M713xM715_16917_CVS_NamNH_120626</v>
      </c>
      <c r="R1119" s="67" t="str">
        <f>IFERROR(__xludf.DUMMYFUNCTION("""COMPUTED_VALUE"""),"NEW_Europe_1840_none_120626")</f>
        <v>NEW_Europe_1840_none_120626</v>
      </c>
      <c r="S1119" s="67" t="str">
        <f>IFERROR(__xludf.DUMMYFUNCTION("""COMPUTED_VALUE"""),"saletructiep_Europe.M713.1840.giaotiep_PTATT_LD284")</f>
        <v>saletructiep_Europe.M713.1840.giaotiep_PTATT_LD284</v>
      </c>
      <c r="T1119" s="107" t="str">
        <f>IFERROR(__xludf.DUMMYFUNCTION("""COMPUTED_VALUE"""),"https://patado.edu.vn/ptd_hongtt/?utm_source=Facebook&amp;utm_medium=CVS&amp;utm_term=NEW_Europe_1840_none_120626&amp;utm_content=saletructiep_Europe.M713.1840.giaotiep_PTATT_LD284&amp;utm_campaign=Europe.giaotiep.M713xM715_16917_CVS_NamNH_120626")</f>
        <v>https://patado.edu.vn/ptd_hongtt/?utm_source=Facebook&amp;utm_medium=CVS&amp;utm_term=NEW_Europe_1840_none_120626&amp;utm_content=saletructiep_Europe.M713.1840.giaotiep_PTATT_LD284&amp;utm_campaign=Europe.giaotiep.M713xM715_16917_CVS_NamNH_120626</v>
      </c>
      <c r="U1119" s="110" t="s">
        <v>8095</v>
      </c>
    </row>
    <row r="1120">
      <c r="A1120" s="72">
        <v>46204.0</v>
      </c>
      <c r="B1120" s="112" t="s">
        <v>2434</v>
      </c>
      <c r="C1120" s="67" t="str">
        <f>IFERROR(__xludf.DUMMYFUNCTION("""COMPUTED_VALUE"""),"LD267")</f>
        <v>LD267</v>
      </c>
      <c r="D1120" s="55" t="s">
        <v>42</v>
      </c>
      <c r="E1120" s="55" t="s">
        <v>69</v>
      </c>
      <c r="F1120" s="55" t="s">
        <v>674</v>
      </c>
      <c r="G1120" s="55">
        <v>1840.0</v>
      </c>
      <c r="H1120" s="55" t="s">
        <v>1137</v>
      </c>
      <c r="I1120" s="115" t="s">
        <v>8096</v>
      </c>
      <c r="J1120" s="55" t="s">
        <v>8097</v>
      </c>
      <c r="K1120" s="55" t="s">
        <v>61</v>
      </c>
      <c r="L1120" s="55">
        <v>16917.0</v>
      </c>
      <c r="M1120" s="55" t="s">
        <v>78</v>
      </c>
      <c r="N1120" s="55" t="s">
        <v>69</v>
      </c>
      <c r="O1120" s="55" t="s">
        <v>224</v>
      </c>
      <c r="P1120" s="55" t="s">
        <v>110</v>
      </c>
      <c r="Q1120" s="67" t="str">
        <f>IFERROR(__xludf.DUMMYFUNCTION("""COMPUTED_VALUE"""),"Europe.giaotiep.M722xM727_16917_CVS_NamNH_010726")</f>
        <v>Europe.giaotiep.M722xM727_16917_CVS_NamNH_010726</v>
      </c>
      <c r="R1120" s="67" t="str">
        <f>IFERROR(__xludf.DUMMYFUNCTION("""COMPUTED_VALUE"""),"NEW_Europe_1840_none_010726")</f>
        <v>NEW_Europe_1840_none_010726</v>
      </c>
      <c r="S1120" s="67" t="str">
        <f>IFERROR(__xludf.DUMMYFUNCTION("""COMPUTED_VALUE"""),"saletructiep_Europe.M722.1840.giaotiep_PTATT_LD267")</f>
        <v>saletructiep_Europe.M722.1840.giaotiep_PTATT_LD267</v>
      </c>
      <c r="T1120" s="107" t="str">
        <f>IFERROR(__xludf.DUMMYFUNCTION("""COMPUTED_VALUE"""),"https://patado.edu.vn/tienganhgiaotiep1_hn/?utm_source=Facebook&amp;utm_medium=CVS&amp;utm_term=NEW_Europe_1840_none_010726&amp;utm_content=saletructiep_Europe.M722.1840.giaotiep_PTATT_LD267&amp;utm_campaign=Europe.giaotiep.M722xM727_16917_CVS_NamNH_010726")</f>
        <v>https://patado.edu.vn/tienganhgiaotiep1_hn/?utm_source=Facebook&amp;utm_medium=CVS&amp;utm_term=NEW_Europe_1840_none_010726&amp;utm_content=saletructiep_Europe.M722.1840.giaotiep_PTATT_LD267&amp;utm_campaign=Europe.giaotiep.M722xM727_16917_CVS_NamNH_010726</v>
      </c>
      <c r="U1120" s="110" t="s">
        <v>8098</v>
      </c>
    </row>
    <row r="1121">
      <c r="A1121" s="72">
        <v>46204.0</v>
      </c>
      <c r="B1121" s="112" t="s">
        <v>2434</v>
      </c>
      <c r="C1121" s="67" t="str">
        <f>IFERROR(__xludf.DUMMYFUNCTION("""COMPUTED_VALUE"""),"LD267")</f>
        <v>LD267</v>
      </c>
      <c r="D1121" s="55" t="s">
        <v>42</v>
      </c>
      <c r="E1121" s="55" t="s">
        <v>79</v>
      </c>
      <c r="F1121" s="55" t="s">
        <v>539</v>
      </c>
      <c r="G1121" s="55">
        <v>1840.0</v>
      </c>
      <c r="H1121" s="55" t="s">
        <v>1137</v>
      </c>
      <c r="I1121" s="115" t="s">
        <v>8099</v>
      </c>
      <c r="J1121" s="55" t="s">
        <v>8100</v>
      </c>
      <c r="K1121" s="55" t="s">
        <v>61</v>
      </c>
      <c r="L1121" s="55">
        <v>16917.0</v>
      </c>
      <c r="M1121" s="55" t="s">
        <v>78</v>
      </c>
      <c r="N1121" s="55" t="s">
        <v>79</v>
      </c>
      <c r="O1121" s="55" t="s">
        <v>224</v>
      </c>
      <c r="P1121" s="55" t="s">
        <v>110</v>
      </c>
      <c r="Q1121" s="67" t="str">
        <f>IFERROR(__xludf.DUMMYFUNCTION("""COMPUTED_VALUE"""),"ALL.giaotiep.M727_16917_MES_NamNH_010726")</f>
        <v>ALL.giaotiep.M727_16917_MES_NamNH_010726</v>
      </c>
      <c r="R1121" s="67" t="str">
        <f>IFERROR(__xludf.DUMMYFUNCTION("""COMPUTED_VALUE"""),"NEW_ALL_1840_none_010726")</f>
        <v>NEW_ALL_1840_none_010726</v>
      </c>
      <c r="S1121" s="67" t="str">
        <f>IFERROR(__xludf.DUMMYFUNCTION("""COMPUTED_VALUE"""),"saletructiep_ALL.M727.1840.giaotiep_PTATT_LD267")</f>
        <v>saletructiep_ALL.M727.1840.giaotiep_PTATT_LD267</v>
      </c>
      <c r="T1121" s="107" t="str">
        <f>IFERROR(__xludf.DUMMYFUNCTION("""COMPUTED_VALUE"""),"https://patado.edu.vn/tienganhgiaotiep1_hn/?utm_source=Facebook&amp;utm_medium=MES&amp;utm_term=NEW_ALL_1840_none_010726&amp;utm_content=saletructiep_ALL.M727.1840.giaotiep_PTATT_LD267&amp;utm_campaign=ALL.giaotiep.M727_16917_MES_NamNH_010726")</f>
        <v>https://patado.edu.vn/tienganhgiaotiep1_hn/?utm_source=Facebook&amp;utm_medium=MES&amp;utm_term=NEW_ALL_1840_none_010726&amp;utm_content=saletructiep_ALL.M727.1840.giaotiep_PTATT_LD267&amp;utm_campaign=ALL.giaotiep.M727_16917_MES_NamNH_010726</v>
      </c>
      <c r="U1121" s="110" t="s">
        <v>8101</v>
      </c>
    </row>
    <row r="1122">
      <c r="A1122" s="72">
        <v>46204.0</v>
      </c>
      <c r="B1122" s="112" t="s">
        <v>7658</v>
      </c>
      <c r="C1122" s="67" t="str">
        <f>IFERROR(__xludf.DUMMYFUNCTION("""COMPUTED_VALUE"""),"LD282")</f>
        <v>LD282</v>
      </c>
      <c r="D1122" s="55" t="s">
        <v>42</v>
      </c>
      <c r="E1122" s="55" t="s">
        <v>69</v>
      </c>
      <c r="F1122" s="55" t="s">
        <v>133</v>
      </c>
      <c r="G1122" s="55">
        <v>1840.0</v>
      </c>
      <c r="H1122" s="55" t="s">
        <v>1137</v>
      </c>
      <c r="I1122" s="115" t="s">
        <v>8102</v>
      </c>
      <c r="J1122" s="55" t="s">
        <v>8103</v>
      </c>
      <c r="K1122" s="55" t="s">
        <v>61</v>
      </c>
      <c r="L1122" s="55">
        <v>16917.0</v>
      </c>
      <c r="M1122" s="55" t="s">
        <v>78</v>
      </c>
      <c r="N1122" s="55" t="s">
        <v>69</v>
      </c>
      <c r="O1122" s="55" t="s">
        <v>224</v>
      </c>
      <c r="P1122" s="55" t="s">
        <v>110</v>
      </c>
      <c r="Q1122" s="67" t="str">
        <f>IFERROR(__xludf.DUMMYFUNCTION("""COMPUTED_VALUE"""),"Japan.giaotiep.M721xM722_16917_CVS_NamNH_010726")</f>
        <v>Japan.giaotiep.M721xM722_16917_CVS_NamNH_010726</v>
      </c>
      <c r="R1122" s="67" t="str">
        <f>IFERROR(__xludf.DUMMYFUNCTION("""COMPUTED_VALUE"""),"NEW_Japan_1840_none_010726")</f>
        <v>NEW_Japan_1840_none_010726</v>
      </c>
      <c r="S1122" s="67" t="str">
        <f>IFERROR(__xludf.DUMMYFUNCTION("""COMPUTED_VALUE"""),"saletructiep_Japan.M721.1840.giaotiep_PTATT_LD282")</f>
        <v>saletructiep_Japan.M721.1840.giaotiep_PTATT_LD282</v>
      </c>
      <c r="T1122" s="107" t="str">
        <f>IFERROR(__xludf.DUMMYFUNCTION("""COMPUTED_VALUE"""),"https://patado.edu.vn/nhn_jp0106/?utm_source=Facebook&amp;utm_medium=CVS&amp;utm_term=NEW_Japan_1840_none_010726&amp;utm_content=saletructiep_Japan.M721.1840.giaotiep_PTATT_LD282&amp;utm_campaign=Japan.giaotiep.M721xM722_16917_CVS_NamNH_010726")</f>
        <v>https://patado.edu.vn/nhn_jp0106/?utm_source=Facebook&amp;utm_medium=CVS&amp;utm_term=NEW_Japan_1840_none_010726&amp;utm_content=saletructiep_Japan.M721.1840.giaotiep_PTATT_LD282&amp;utm_campaign=Japan.giaotiep.M721xM722_16917_CVS_NamNH_010726</v>
      </c>
      <c r="U1122" s="110" t="s">
        <v>8104</v>
      </c>
    </row>
    <row r="1123">
      <c r="A1123" s="72">
        <v>46205.0</v>
      </c>
      <c r="B1123" s="112" t="s">
        <v>7658</v>
      </c>
      <c r="C1123" s="67" t="str">
        <f>IFERROR(__xludf.DUMMYFUNCTION("""COMPUTED_VALUE"""),"LD282")</f>
        <v>LD282</v>
      </c>
      <c r="D1123" s="55" t="s">
        <v>42</v>
      </c>
      <c r="E1123" s="55" t="s">
        <v>69</v>
      </c>
      <c r="F1123" s="55" t="s">
        <v>133</v>
      </c>
      <c r="G1123" s="55">
        <v>1840.0</v>
      </c>
      <c r="H1123" s="55" t="s">
        <v>1137</v>
      </c>
      <c r="I1123" s="115" t="s">
        <v>8105</v>
      </c>
      <c r="J1123" s="55" t="s">
        <v>2136</v>
      </c>
      <c r="K1123" s="55" t="s">
        <v>61</v>
      </c>
      <c r="L1123" s="55">
        <v>16917.0</v>
      </c>
      <c r="M1123" s="55" t="s">
        <v>78</v>
      </c>
      <c r="N1123" s="55" t="s">
        <v>69</v>
      </c>
      <c r="O1123" s="55" t="s">
        <v>224</v>
      </c>
      <c r="P1123" s="55" t="s">
        <v>110</v>
      </c>
      <c r="Q1123" s="67" t="str">
        <f>IFERROR(__xludf.DUMMYFUNCTION("""COMPUTED_VALUE"""),"Japan.giaotiep.M716xM726_16917_CVS_NamNH_020726")</f>
        <v>Japan.giaotiep.M716xM726_16917_CVS_NamNH_020726</v>
      </c>
      <c r="R1123" s="67" t="str">
        <f>IFERROR(__xludf.DUMMYFUNCTION("""COMPUTED_VALUE"""),"NEW_Japan_1840_none_020726")</f>
        <v>NEW_Japan_1840_none_020726</v>
      </c>
      <c r="S1123" s="67" t="str">
        <f>IFERROR(__xludf.DUMMYFUNCTION("""COMPUTED_VALUE"""),"saletructiep_Japan.M716.1840.giaotiep_PTATT_LD282")</f>
        <v>saletructiep_Japan.M716.1840.giaotiep_PTATT_LD282</v>
      </c>
      <c r="T1123" s="107" t="str">
        <f>IFERROR(__xludf.DUMMYFUNCTION("""COMPUTED_VALUE"""),"https://patado.edu.vn/nhn_jp0106/?utm_source=Facebook&amp;utm_medium=CVS&amp;utm_term=NEW_Japan_1840_none_020726&amp;utm_content=saletructiep_Japan.M716.1840.giaotiep_PTATT_LD282&amp;utm_campaign=Japan.giaotiep.M716xM726_16917_CVS_NamNH_020726")</f>
        <v>https://patado.edu.vn/nhn_jp0106/?utm_source=Facebook&amp;utm_medium=CVS&amp;utm_term=NEW_Japan_1840_none_020726&amp;utm_content=saletructiep_Japan.M716.1840.giaotiep_PTATT_LD282&amp;utm_campaign=Japan.giaotiep.M716xM726_16917_CVS_NamNH_020726</v>
      </c>
      <c r="U1123" s="110" t="s">
        <v>8106</v>
      </c>
    </row>
    <row r="1124">
      <c r="A1124" s="72">
        <v>46205.0</v>
      </c>
      <c r="B1124" s="60" t="s">
        <v>7662</v>
      </c>
      <c r="C1124" s="67" t="str">
        <f>IFERROR(__xludf.DUMMYFUNCTION("""COMPUTED_VALUE"""),"LD284")</f>
        <v>LD284</v>
      </c>
      <c r="D1124" s="55" t="s">
        <v>42</v>
      </c>
      <c r="E1124" s="55" t="s">
        <v>69</v>
      </c>
      <c r="F1124" s="55" t="s">
        <v>674</v>
      </c>
      <c r="G1124" s="55">
        <v>1840.0</v>
      </c>
      <c r="H1124" s="55" t="s">
        <v>1137</v>
      </c>
      <c r="I1124" s="115" t="s">
        <v>8107</v>
      </c>
      <c r="J1124" s="55" t="s">
        <v>2136</v>
      </c>
      <c r="K1124" s="55" t="s">
        <v>61</v>
      </c>
      <c r="L1124" s="55">
        <v>16917.0</v>
      </c>
      <c r="M1124" s="55" t="s">
        <v>78</v>
      </c>
      <c r="N1124" s="55" t="s">
        <v>69</v>
      </c>
      <c r="O1124" s="55" t="s">
        <v>224</v>
      </c>
      <c r="P1124" s="55" t="s">
        <v>110</v>
      </c>
      <c r="Q1124" s="67" t="str">
        <f>IFERROR(__xludf.DUMMYFUNCTION("""COMPUTED_VALUE"""),"Europe.giaotiep.M728xM731_16917_CVS_NamNH_020726")</f>
        <v>Europe.giaotiep.M728xM731_16917_CVS_NamNH_020726</v>
      </c>
      <c r="R1124" s="67" t="str">
        <f>IFERROR(__xludf.DUMMYFUNCTION("""COMPUTED_VALUE"""),"NEW_Europe_1840_none_020726")</f>
        <v>NEW_Europe_1840_none_020726</v>
      </c>
      <c r="S1124" s="67" t="str">
        <f>IFERROR(__xludf.DUMMYFUNCTION("""COMPUTED_VALUE"""),"saletructiep_Japan.M716.1840.giaotiep_PTATT_LD284")</f>
        <v>saletructiep_Japan.M716.1840.giaotiep_PTATT_LD284</v>
      </c>
      <c r="T1124" s="107" t="str">
        <f>IFERROR(__xludf.DUMMYFUNCTION("""COMPUTED_VALUE"""),"https://patado.edu.vn/ptd_hongtt/?utm_source=Facebook&amp;utm_medium=CVS&amp;utm_term=NEW_Europe_1840_none_020726&amp;utm_content=saletructiep_Japan.M716.1840.giaotiep_PTATT_LD284&amp;utm_campaign=Europe.giaotiep.M728xM731_16917_CVS_NamNH_020726")</f>
        <v>https://patado.edu.vn/ptd_hongtt/?utm_source=Facebook&amp;utm_medium=CVS&amp;utm_term=NEW_Europe_1840_none_020726&amp;utm_content=saletructiep_Japan.M716.1840.giaotiep_PTATT_LD284&amp;utm_campaign=Europe.giaotiep.M728xM731_16917_CVS_NamNH_020726</v>
      </c>
      <c r="U1124" s="110" t="s">
        <v>8108</v>
      </c>
    </row>
    <row r="1125">
      <c r="A1125" s="72">
        <v>46205.0</v>
      </c>
      <c r="B1125" s="112" t="s">
        <v>7658</v>
      </c>
      <c r="C1125" s="67" t="str">
        <f>IFERROR(__xludf.DUMMYFUNCTION("""COMPUTED_VALUE"""),"LD282")</f>
        <v>LD282</v>
      </c>
      <c r="D1125" s="55" t="s">
        <v>42</v>
      </c>
      <c r="E1125" s="55" t="s">
        <v>69</v>
      </c>
      <c r="F1125" s="55" t="s">
        <v>133</v>
      </c>
      <c r="G1125" s="55">
        <v>1840.0</v>
      </c>
      <c r="H1125" s="55" t="s">
        <v>1137</v>
      </c>
      <c r="I1125" s="115" t="s">
        <v>8109</v>
      </c>
      <c r="J1125" s="55" t="s">
        <v>8110</v>
      </c>
      <c r="K1125" s="55" t="s">
        <v>61</v>
      </c>
      <c r="L1125" s="55">
        <v>16917.0</v>
      </c>
      <c r="M1125" s="55" t="s">
        <v>78</v>
      </c>
      <c r="N1125" s="55" t="s">
        <v>69</v>
      </c>
      <c r="O1125" s="55" t="s">
        <v>224</v>
      </c>
      <c r="P1125" s="55" t="s">
        <v>110</v>
      </c>
      <c r="Q1125" s="67" t="str">
        <f>IFERROR(__xludf.DUMMYFUNCTION("""COMPUTED_VALUE"""),"Japan.giaotiep.M730xM731_16917_CVS_NamNH_020726")</f>
        <v>Japan.giaotiep.M730xM731_16917_CVS_NamNH_020726</v>
      </c>
      <c r="R1125" s="67" t="str">
        <f>IFERROR(__xludf.DUMMYFUNCTION("""COMPUTED_VALUE"""),"NEW_Japan_1840_none_020726")</f>
        <v>NEW_Japan_1840_none_020726</v>
      </c>
      <c r="S1125" s="67" t="str">
        <f>IFERROR(__xludf.DUMMYFUNCTION("""COMPUTED_VALUE"""),"saletructiep_Japan.M730.1840.giaotiep_PTATT_LD282")</f>
        <v>saletructiep_Japan.M730.1840.giaotiep_PTATT_LD282</v>
      </c>
      <c r="T1125" s="107" t="str">
        <f>IFERROR(__xludf.DUMMYFUNCTION("""COMPUTED_VALUE"""),"https://patado.edu.vn/nhn_jp0106/?utm_source=Facebook&amp;utm_medium=CVS&amp;utm_term=NEW_Japan_1840_none_020726&amp;utm_content=saletructiep_Japan.M730.1840.giaotiep_PTATT_LD282&amp;utm_campaign=Japan.giaotiep.M730xM731_16917_CVS_NamNH_020726")</f>
        <v>https://patado.edu.vn/nhn_jp0106/?utm_source=Facebook&amp;utm_medium=CVS&amp;utm_term=NEW_Japan_1840_none_020726&amp;utm_content=saletructiep_Japan.M730.1840.giaotiep_PTATT_LD282&amp;utm_campaign=Japan.giaotiep.M730xM731_16917_CVS_NamNH_020726</v>
      </c>
      <c r="U1125" s="110" t="s">
        <v>8111</v>
      </c>
    </row>
    <row r="1126">
      <c r="A1126" s="72">
        <v>46189.0</v>
      </c>
      <c r="B1126" s="112" t="s">
        <v>2434</v>
      </c>
      <c r="C1126" s="67" t="str">
        <f>IFERROR(__xludf.DUMMYFUNCTION("""COMPUTED_VALUE"""),"LD267")</f>
        <v>LD267</v>
      </c>
      <c r="D1126" s="55" t="s">
        <v>42</v>
      </c>
      <c r="E1126" s="55" t="s">
        <v>69</v>
      </c>
      <c r="F1126" s="55" t="s">
        <v>674</v>
      </c>
      <c r="G1126" s="55">
        <v>1840.0</v>
      </c>
      <c r="H1126" s="55" t="s">
        <v>1137</v>
      </c>
      <c r="I1126" s="115" t="s">
        <v>8072</v>
      </c>
      <c r="J1126" s="55" t="s">
        <v>8073</v>
      </c>
      <c r="K1126" s="55" t="s">
        <v>61</v>
      </c>
      <c r="L1126" s="55">
        <v>16917.0</v>
      </c>
      <c r="M1126" s="55" t="s">
        <v>78</v>
      </c>
      <c r="N1126" s="55" t="s">
        <v>69</v>
      </c>
      <c r="O1126" s="55" t="s">
        <v>224</v>
      </c>
      <c r="P1126" s="55" t="s">
        <v>110</v>
      </c>
      <c r="Q1126" s="67" t="str">
        <f>IFERROR(__xludf.DUMMYFUNCTION("""COMPUTED_VALUE"""),"Europe.giaotiep.M692xM693_16917_CVS_NamNH_160626")</f>
        <v>Europe.giaotiep.M692xM693_16917_CVS_NamNH_160626</v>
      </c>
      <c r="R1126" s="67" t="str">
        <f>IFERROR(__xludf.DUMMYFUNCTION("""COMPUTED_VALUE"""),"NEW_Europe_1840_none_160626")</f>
        <v>NEW_Europe_1840_none_160626</v>
      </c>
      <c r="S1126" s="67" t="str">
        <f>IFERROR(__xludf.DUMMYFUNCTION("""COMPUTED_VALUE"""),"saletructiep_Europe.M692.1840.giaotiep_PTATT_LD267")</f>
        <v>saletructiep_Europe.M692.1840.giaotiep_PTATT_LD267</v>
      </c>
      <c r="T1126" s="107" t="str">
        <f>IFERROR(__xludf.DUMMYFUNCTION("""COMPUTED_VALUE"""),"https://patado.edu.vn/tienganhgiaotiep1_hn/?utm_source=Facebook&amp;utm_medium=CVS&amp;utm_term=NEW_Europe_1840_none_160626&amp;utm_content=saletructiep_Europe.M692.1840.giaotiep_PTATT_LD267&amp;utm_campaign=Europe.giaotiep.M692xM693_16917_CVS_NamNH_160626")</f>
        <v>https://patado.edu.vn/tienganhgiaotiep1_hn/?utm_source=Facebook&amp;utm_medium=CVS&amp;utm_term=NEW_Europe_1840_none_160626&amp;utm_content=saletructiep_Europe.M692.1840.giaotiep_PTATT_LD267&amp;utm_campaign=Europe.giaotiep.M692xM693_16917_CVS_NamNH_160626</v>
      </c>
      <c r="U1126" s="110" t="s">
        <v>8112</v>
      </c>
    </row>
    <row r="1127">
      <c r="A1127" s="72">
        <v>46206.0</v>
      </c>
      <c r="B1127" s="112" t="s">
        <v>7658</v>
      </c>
      <c r="C1127" s="67" t="str">
        <f>IFERROR(__xludf.DUMMYFUNCTION("""COMPUTED_VALUE"""),"LD282")</f>
        <v>LD282</v>
      </c>
      <c r="D1127" s="55" t="s">
        <v>42</v>
      </c>
      <c r="E1127" s="55" t="s">
        <v>69</v>
      </c>
      <c r="F1127" s="55" t="s">
        <v>133</v>
      </c>
      <c r="G1127" s="55">
        <v>1840.0</v>
      </c>
      <c r="H1127" s="55" t="s">
        <v>1137</v>
      </c>
      <c r="I1127" s="115" t="s">
        <v>8113</v>
      </c>
      <c r="J1127" s="55" t="s">
        <v>8114</v>
      </c>
      <c r="K1127" s="55" t="s">
        <v>61</v>
      </c>
      <c r="L1127" s="55">
        <v>16917.0</v>
      </c>
      <c r="M1127" s="55" t="s">
        <v>78</v>
      </c>
      <c r="N1127" s="55" t="s">
        <v>69</v>
      </c>
      <c r="O1127" s="55" t="s">
        <v>224</v>
      </c>
      <c r="P1127" s="55" t="s">
        <v>110</v>
      </c>
      <c r="Q1127" s="67" t="str">
        <f>IFERROR(__xludf.DUMMYFUNCTION("""COMPUTED_VALUE"""),"Japan.giaotiep.M732xM735_16917_CVS_NamNH_030726")</f>
        <v>Japan.giaotiep.M732xM735_16917_CVS_NamNH_030726</v>
      </c>
      <c r="R1127" s="67" t="str">
        <f>IFERROR(__xludf.DUMMYFUNCTION("""COMPUTED_VALUE"""),"NEW_Japan_1840_none_030726")</f>
        <v>NEW_Japan_1840_none_030726</v>
      </c>
      <c r="S1127" s="67" t="str">
        <f>IFERROR(__xludf.DUMMYFUNCTION("""COMPUTED_VALUE"""),"saletructiep_Japan.M732.1840.giaotiep_PTATT_LD282")</f>
        <v>saletructiep_Japan.M732.1840.giaotiep_PTATT_LD282</v>
      </c>
      <c r="T1127" s="107" t="str">
        <f>IFERROR(__xludf.DUMMYFUNCTION("""COMPUTED_VALUE"""),"https://patado.edu.vn/nhn_jp0106/?utm_source=Facebook&amp;utm_medium=CVS&amp;utm_term=NEW_Japan_1840_none_030726&amp;utm_content=saletructiep_Japan.M732.1840.giaotiep_PTATT_LD282&amp;utm_campaign=Japan.giaotiep.M732xM735_16917_CVS_NamNH_030726")</f>
        <v>https://patado.edu.vn/nhn_jp0106/?utm_source=Facebook&amp;utm_medium=CVS&amp;utm_term=NEW_Japan_1840_none_030726&amp;utm_content=saletructiep_Japan.M732.1840.giaotiep_PTATT_LD282&amp;utm_campaign=Japan.giaotiep.M732xM735_16917_CVS_NamNH_030726</v>
      </c>
      <c r="U1127" s="110" t="s">
        <v>8115</v>
      </c>
    </row>
    <row r="1128">
      <c r="A1128" s="72">
        <v>46239.0</v>
      </c>
      <c r="B1128" s="60" t="s">
        <v>7662</v>
      </c>
      <c r="C1128" s="67" t="str">
        <f>IFERROR(__xludf.DUMMYFUNCTION("""COMPUTED_VALUE"""),"LD284")</f>
        <v>LD284</v>
      </c>
      <c r="D1128" s="55" t="s">
        <v>42</v>
      </c>
      <c r="E1128" s="55" t="s">
        <v>69</v>
      </c>
      <c r="F1128" s="55" t="s">
        <v>674</v>
      </c>
      <c r="G1128" s="55">
        <v>1840.0</v>
      </c>
      <c r="H1128" s="55" t="s">
        <v>1137</v>
      </c>
      <c r="I1128" s="115" t="s">
        <v>8116</v>
      </c>
      <c r="J1128" s="55" t="s">
        <v>8117</v>
      </c>
      <c r="K1128" s="55" t="s">
        <v>61</v>
      </c>
      <c r="L1128" s="55">
        <v>16917.0</v>
      </c>
      <c r="M1128" s="55" t="s">
        <v>78</v>
      </c>
      <c r="N1128" s="55" t="s">
        <v>69</v>
      </c>
      <c r="O1128" s="55" t="s">
        <v>224</v>
      </c>
      <c r="P1128" s="55" t="s">
        <v>110</v>
      </c>
      <c r="Q1128" s="67" t="str">
        <f>IFERROR(__xludf.DUMMYFUNCTION("""COMPUTED_VALUE"""),"Europe.giaotiep.M732xM733_16917_CVS_NamNH_050826")</f>
        <v>Europe.giaotiep.M732xM733_16917_CVS_NamNH_050826</v>
      </c>
      <c r="R1128" s="67" t="str">
        <f>IFERROR(__xludf.DUMMYFUNCTION("""COMPUTED_VALUE"""),"NEW_Europe_1840_none_050826")</f>
        <v>NEW_Europe_1840_none_050826</v>
      </c>
      <c r="S1128" s="67" t="str">
        <f>IFERROR(__xludf.DUMMYFUNCTION("""COMPUTED_VALUE"""),"saletructiep_Europe.M732.1840.giaotiep_PTATT_LD284")</f>
        <v>saletructiep_Europe.M732.1840.giaotiep_PTATT_LD284</v>
      </c>
      <c r="T1128" s="107" t="str">
        <f>IFERROR(__xludf.DUMMYFUNCTION("""COMPUTED_VALUE"""),"https://patado.edu.vn/ptd_hongtt/?utm_source=Facebook&amp;utm_medium=CVS&amp;utm_term=NEW_Europe_1840_none_050826&amp;utm_content=saletructiep_Europe.M732.1840.giaotiep_PTATT_LD284&amp;utm_campaign=Europe.giaotiep.M732xM733_16917_CVS_NamNH_050826")</f>
        <v>https://patado.edu.vn/ptd_hongtt/?utm_source=Facebook&amp;utm_medium=CVS&amp;utm_term=NEW_Europe_1840_none_050826&amp;utm_content=saletructiep_Europe.M732.1840.giaotiep_PTATT_LD284&amp;utm_campaign=Europe.giaotiep.M732xM733_16917_CVS_NamNH_050826</v>
      </c>
      <c r="U1128" s="110" t="s">
        <v>8118</v>
      </c>
    </row>
    <row r="1129">
      <c r="A1129" s="72">
        <v>46239.0</v>
      </c>
      <c r="B1129" s="112" t="s">
        <v>7658</v>
      </c>
      <c r="C1129" s="67" t="str">
        <f>IFERROR(__xludf.DUMMYFUNCTION("""COMPUTED_VALUE"""),"LD282")</f>
        <v>LD282</v>
      </c>
      <c r="D1129" s="55" t="s">
        <v>42</v>
      </c>
      <c r="E1129" s="55" t="s">
        <v>69</v>
      </c>
      <c r="F1129" s="55" t="s">
        <v>133</v>
      </c>
      <c r="G1129" s="55">
        <v>1840.0</v>
      </c>
      <c r="H1129" s="55" t="s">
        <v>1137</v>
      </c>
      <c r="I1129" s="115" t="s">
        <v>8119</v>
      </c>
      <c r="J1129" s="55" t="s">
        <v>8120</v>
      </c>
      <c r="K1129" s="55" t="s">
        <v>61</v>
      </c>
      <c r="L1129" s="55">
        <v>16917.0</v>
      </c>
      <c r="M1129" s="55" t="s">
        <v>78</v>
      </c>
      <c r="N1129" s="55" t="s">
        <v>69</v>
      </c>
      <c r="O1129" s="55" t="s">
        <v>224</v>
      </c>
      <c r="P1129" s="55" t="s">
        <v>110</v>
      </c>
      <c r="Q1129" s="67" t="str">
        <f>IFERROR(__xludf.DUMMYFUNCTION("""COMPUTED_VALUE"""),"Japan.giaotiep.M733xM736_16917_CVS_NamNH_050826")</f>
        <v>Japan.giaotiep.M733xM736_16917_CVS_NamNH_050826</v>
      </c>
      <c r="R1129" s="67" t="str">
        <f>IFERROR(__xludf.DUMMYFUNCTION("""COMPUTED_VALUE"""),"NEW_Japan_1840_none_050826")</f>
        <v>NEW_Japan_1840_none_050826</v>
      </c>
      <c r="S1129" s="67" t="str">
        <f>IFERROR(__xludf.DUMMYFUNCTION("""COMPUTED_VALUE"""),"saletructiep_Japan.M733.1840.giaotiep_PTATT_LD282")</f>
        <v>saletructiep_Japan.M733.1840.giaotiep_PTATT_LD282</v>
      </c>
      <c r="T1129" s="107" t="str">
        <f>IFERROR(__xludf.DUMMYFUNCTION("""COMPUTED_VALUE"""),"https://patado.edu.vn/nhn_jp0106/?utm_source=Facebook&amp;utm_medium=CVS&amp;utm_term=NEW_Japan_1840_none_050826&amp;utm_content=saletructiep_Japan.M733.1840.giaotiep_PTATT_LD282&amp;utm_campaign=Japan.giaotiep.M733xM736_16917_CVS_NamNH_050826")</f>
        <v>https://patado.edu.vn/nhn_jp0106/?utm_source=Facebook&amp;utm_medium=CVS&amp;utm_term=NEW_Japan_1840_none_050826&amp;utm_content=saletructiep_Japan.M733.1840.giaotiep_PTATT_LD282&amp;utm_campaign=Japan.giaotiep.M733xM736_16917_CVS_NamNH_050826</v>
      </c>
      <c r="U1129" s="110" t="s">
        <v>8121</v>
      </c>
    </row>
    <row r="1130">
      <c r="A1130" s="72">
        <v>46239.0</v>
      </c>
      <c r="B1130" s="60" t="s">
        <v>7662</v>
      </c>
      <c r="C1130" s="67" t="str">
        <f>IFERROR(__xludf.DUMMYFUNCTION("""COMPUTED_VALUE"""),"LD284")</f>
        <v>LD284</v>
      </c>
      <c r="D1130" s="55" t="s">
        <v>42</v>
      </c>
      <c r="E1130" s="55" t="s">
        <v>69</v>
      </c>
      <c r="F1130" s="55" t="s">
        <v>674</v>
      </c>
      <c r="G1130" s="55">
        <v>1840.0</v>
      </c>
      <c r="H1130" s="55" t="s">
        <v>1137</v>
      </c>
      <c r="I1130" s="115" t="s">
        <v>8122</v>
      </c>
      <c r="J1130" s="55" t="s">
        <v>8123</v>
      </c>
      <c r="K1130" s="55" t="s">
        <v>61</v>
      </c>
      <c r="L1130" s="55">
        <v>16917.0</v>
      </c>
      <c r="M1130" s="55" t="s">
        <v>78</v>
      </c>
      <c r="N1130" s="55" t="s">
        <v>69</v>
      </c>
      <c r="O1130" s="55" t="s">
        <v>224</v>
      </c>
      <c r="P1130" s="55" t="s">
        <v>110</v>
      </c>
      <c r="Q1130" s="67" t="str">
        <f>IFERROR(__xludf.DUMMYFUNCTION("""COMPUTED_VALUE"""),"Europe.giaotiep.M738xM741_16917_CVS_NamNH_050826")</f>
        <v>Europe.giaotiep.M738xM741_16917_CVS_NamNH_050826</v>
      </c>
      <c r="R1130" s="67" t="str">
        <f>IFERROR(__xludf.DUMMYFUNCTION("""COMPUTED_VALUE"""),"NEW_Europe_1840_none_050826")</f>
        <v>NEW_Europe_1840_none_050826</v>
      </c>
      <c r="S1130" s="67" t="str">
        <f>IFERROR(__xludf.DUMMYFUNCTION("""COMPUTED_VALUE"""),"saletructiep_Europe.M738.1840.giaotiep_PTATT_LD284")</f>
        <v>saletructiep_Europe.M738.1840.giaotiep_PTATT_LD284</v>
      </c>
      <c r="T1130" s="107" t="str">
        <f>IFERROR(__xludf.DUMMYFUNCTION("""COMPUTED_VALUE"""),"https://patado.edu.vn/ptd_hongtt/?utm_source=Facebook&amp;utm_medium=CVS&amp;utm_term=NEW_Europe_1840_none_050826&amp;utm_content=saletructiep_Europe.M738.1840.giaotiep_PTATT_LD284&amp;utm_campaign=Europe.giaotiep.M738xM741_16917_CVS_NamNH_050826")</f>
        <v>https://patado.edu.vn/ptd_hongtt/?utm_source=Facebook&amp;utm_medium=CVS&amp;utm_term=NEW_Europe_1840_none_050826&amp;utm_content=saletructiep_Europe.M738.1840.giaotiep_PTATT_LD284&amp;utm_campaign=Europe.giaotiep.M738xM741_16917_CVS_NamNH_050826</v>
      </c>
      <c r="U1130" s="110" t="s">
        <v>8124</v>
      </c>
    </row>
    <row r="1131">
      <c r="A1131" s="72">
        <v>46239.0</v>
      </c>
      <c r="B1131" s="112" t="s">
        <v>7658</v>
      </c>
      <c r="C1131" s="67" t="str">
        <f>IFERROR(__xludf.DUMMYFUNCTION("""COMPUTED_VALUE"""),"LD282")</f>
        <v>LD282</v>
      </c>
      <c r="D1131" s="55" t="s">
        <v>42</v>
      </c>
      <c r="E1131" s="55" t="s">
        <v>69</v>
      </c>
      <c r="F1131" s="55" t="s">
        <v>133</v>
      </c>
      <c r="G1131" s="55">
        <v>1840.0</v>
      </c>
      <c r="H1131" s="55" t="s">
        <v>1137</v>
      </c>
      <c r="I1131" s="115" t="s">
        <v>8125</v>
      </c>
      <c r="J1131" s="55" t="s">
        <v>8126</v>
      </c>
      <c r="K1131" s="55" t="s">
        <v>61</v>
      </c>
      <c r="L1131" s="55">
        <v>16917.0</v>
      </c>
      <c r="M1131" s="55" t="s">
        <v>78</v>
      </c>
      <c r="N1131" s="55" t="s">
        <v>69</v>
      </c>
      <c r="O1131" s="55" t="s">
        <v>224</v>
      </c>
      <c r="P1131" s="55" t="s">
        <v>110</v>
      </c>
      <c r="Q1131" s="67" t="str">
        <f>IFERROR(__xludf.DUMMYFUNCTION("""COMPUTED_VALUE"""),"Japan.giaotiep.M738xM741_16917_CVS_NamNH_050826")</f>
        <v>Japan.giaotiep.M738xM741_16917_CVS_NamNH_050826</v>
      </c>
      <c r="R1131" s="67" t="str">
        <f>IFERROR(__xludf.DUMMYFUNCTION("""COMPUTED_VALUE"""),"NEW_Japan_1840_none_050826")</f>
        <v>NEW_Japan_1840_none_050826</v>
      </c>
      <c r="S1131" s="67" t="str">
        <f>IFERROR(__xludf.DUMMYFUNCTION("""COMPUTED_VALUE"""),"saletructiep_Japan.M738.1840.giaotiep_PTATT_LD282")</f>
        <v>saletructiep_Japan.M738.1840.giaotiep_PTATT_LD282</v>
      </c>
      <c r="T1131" s="107" t="str">
        <f>IFERROR(__xludf.DUMMYFUNCTION("""COMPUTED_VALUE"""),"https://patado.edu.vn/nhn_jp0106/?utm_source=Facebook&amp;utm_medium=CVS&amp;utm_term=NEW_Japan_1840_none_050826&amp;utm_content=saletructiep_Japan.M738.1840.giaotiep_PTATT_LD282&amp;utm_campaign=Japan.giaotiep.M738xM741_16917_CVS_NamNH_050826")</f>
        <v>https://patado.edu.vn/nhn_jp0106/?utm_source=Facebook&amp;utm_medium=CVS&amp;utm_term=NEW_Japan_1840_none_050826&amp;utm_content=saletructiep_Japan.M738.1840.giaotiep_PTATT_LD282&amp;utm_campaign=Japan.giaotiep.M738xM741_16917_CVS_NamNH_050826</v>
      </c>
      <c r="U1131" s="110" t="s">
        <v>8127</v>
      </c>
    </row>
    <row r="1132">
      <c r="A1132" s="72">
        <v>46239.0</v>
      </c>
      <c r="B1132" s="112" t="s">
        <v>2434</v>
      </c>
      <c r="C1132" s="67" t="str">
        <f>IFERROR(__xludf.DUMMYFUNCTION("""COMPUTED_VALUE"""),"LD267")</f>
        <v>LD267</v>
      </c>
      <c r="D1132" s="55" t="s">
        <v>42</v>
      </c>
      <c r="E1132" s="55" t="s">
        <v>79</v>
      </c>
      <c r="F1132" s="55" t="s">
        <v>539</v>
      </c>
      <c r="G1132" s="55">
        <v>1840.0</v>
      </c>
      <c r="H1132" s="55" t="s">
        <v>1137</v>
      </c>
      <c r="I1132" s="115" t="s">
        <v>8128</v>
      </c>
      <c r="J1132" s="55" t="s">
        <v>8129</v>
      </c>
      <c r="K1132" s="55" t="s">
        <v>61</v>
      </c>
      <c r="L1132" s="55">
        <v>16917.0</v>
      </c>
      <c r="M1132" s="55" t="s">
        <v>78</v>
      </c>
      <c r="N1132" s="55" t="s">
        <v>79</v>
      </c>
      <c r="O1132" s="55" t="s">
        <v>224</v>
      </c>
      <c r="P1132" s="55" t="s">
        <v>110</v>
      </c>
      <c r="Q1132" s="67" t="str">
        <f>IFERROR(__xludf.DUMMYFUNCTION("""COMPUTED_VALUE"""),"ALL.giaotiep.M732xM733_16917_MES_NamNH_050826")</f>
        <v>ALL.giaotiep.M732xM733_16917_MES_NamNH_050826</v>
      </c>
      <c r="R1132" s="67" t="str">
        <f>IFERROR(__xludf.DUMMYFUNCTION("""COMPUTED_VALUE"""),"NEW_ALL_1840_none_050826")</f>
        <v>NEW_ALL_1840_none_050826</v>
      </c>
      <c r="S1132" s="67" t="str">
        <f>IFERROR(__xludf.DUMMYFUNCTION("""COMPUTED_VALUE"""),"saletructiep_ALL.M732.1840.giaotiep_PTATT_LD267")</f>
        <v>saletructiep_ALL.M732.1840.giaotiep_PTATT_LD267</v>
      </c>
      <c r="T1132" s="107" t="str">
        <f>IFERROR(__xludf.DUMMYFUNCTION("""COMPUTED_VALUE"""),"https://patado.edu.vn/tienganhgiaotiep1_hn/?utm_source=Facebook&amp;utm_medium=MES&amp;utm_term=NEW_ALL_1840_none_050826&amp;utm_content=saletructiep_ALL.M732.1840.giaotiep_PTATT_LD267&amp;utm_campaign=ALL.giaotiep.M732xM733_16917_MES_NamNH_050826")</f>
        <v>https://patado.edu.vn/tienganhgiaotiep1_hn/?utm_source=Facebook&amp;utm_medium=MES&amp;utm_term=NEW_ALL_1840_none_050826&amp;utm_content=saletructiep_ALL.M732.1840.giaotiep_PTATT_LD267&amp;utm_campaign=ALL.giaotiep.M732xM733_16917_MES_NamNH_050826</v>
      </c>
      <c r="U1132" s="110" t="s">
        <v>8130</v>
      </c>
    </row>
    <row r="1133">
      <c r="A1133" s="72">
        <v>46239.0</v>
      </c>
      <c r="B1133" s="112" t="s">
        <v>2434</v>
      </c>
      <c r="C1133" s="67" t="str">
        <f>IFERROR(__xludf.DUMMYFUNCTION("""COMPUTED_VALUE"""),"LD267")</f>
        <v>LD267</v>
      </c>
      <c r="D1133" s="55" t="s">
        <v>42</v>
      </c>
      <c r="E1133" s="55" t="s">
        <v>69</v>
      </c>
      <c r="F1133" s="55" t="s">
        <v>674</v>
      </c>
      <c r="G1133" s="55">
        <v>1840.0</v>
      </c>
      <c r="H1133" s="55" t="s">
        <v>1137</v>
      </c>
      <c r="I1133" s="115" t="s">
        <v>8131</v>
      </c>
      <c r="J1133" s="55" t="s">
        <v>8132</v>
      </c>
      <c r="K1133" s="55" t="s">
        <v>61</v>
      </c>
      <c r="L1133" s="55">
        <v>16917.0</v>
      </c>
      <c r="M1133" s="55" t="s">
        <v>78</v>
      </c>
      <c r="N1133" s="55" t="s">
        <v>69</v>
      </c>
      <c r="O1133" s="55" t="s">
        <v>224</v>
      </c>
      <c r="P1133" s="55" t="s">
        <v>110</v>
      </c>
      <c r="Q1133" s="67" t="str">
        <f>IFERROR(__xludf.DUMMYFUNCTION("""COMPUTED_VALUE"""),"Europe.giaotiep.M740xM743_16917_CVS_NamNH_050826")</f>
        <v>Europe.giaotiep.M740xM743_16917_CVS_NamNH_050826</v>
      </c>
      <c r="R1133" s="67" t="str">
        <f>IFERROR(__xludf.DUMMYFUNCTION("""COMPUTED_VALUE"""),"NEW_Europe_1840_none_050826")</f>
        <v>NEW_Europe_1840_none_050826</v>
      </c>
      <c r="S1133" s="67" t="str">
        <f>IFERROR(__xludf.DUMMYFUNCTION("""COMPUTED_VALUE"""),"saletructiep_Europe.M740.1840.giaotiep_PTATT_LD267")</f>
        <v>saletructiep_Europe.M740.1840.giaotiep_PTATT_LD267</v>
      </c>
      <c r="T1133" s="107" t="str">
        <f>IFERROR(__xludf.DUMMYFUNCTION("""COMPUTED_VALUE"""),"https://patado.edu.vn/tienganhgiaotiep1_hn/?utm_source=Facebook&amp;utm_medium=CVS&amp;utm_term=NEW_Europe_1840_none_050826&amp;utm_content=saletructiep_Europe.M740.1840.giaotiep_PTATT_LD267&amp;utm_campaign=Europe.giaotiep.M740xM743_16917_CVS_NamNH_050826")</f>
        <v>https://patado.edu.vn/tienganhgiaotiep1_hn/?utm_source=Facebook&amp;utm_medium=CVS&amp;utm_term=NEW_Europe_1840_none_050826&amp;utm_content=saletructiep_Europe.M740.1840.giaotiep_PTATT_LD267&amp;utm_campaign=Europe.giaotiep.M740xM743_16917_CVS_NamNH_050826</v>
      </c>
      <c r="U1133" s="110" t="s">
        <v>8133</v>
      </c>
    </row>
    <row r="1134">
      <c r="A1134" s="72">
        <v>46239.0</v>
      </c>
      <c r="B1134" s="112" t="s">
        <v>7658</v>
      </c>
      <c r="C1134" s="67" t="str">
        <f>IFERROR(__xludf.DUMMYFUNCTION("""COMPUTED_VALUE"""),"LD282")</f>
        <v>LD282</v>
      </c>
      <c r="D1134" s="55" t="s">
        <v>42</v>
      </c>
      <c r="E1134" s="55" t="s">
        <v>69</v>
      </c>
      <c r="F1134" s="55" t="s">
        <v>133</v>
      </c>
      <c r="G1134" s="55">
        <v>1840.0</v>
      </c>
      <c r="H1134" s="55" t="s">
        <v>1137</v>
      </c>
      <c r="I1134" s="115" t="s">
        <v>8134</v>
      </c>
      <c r="J1134" s="55" t="s">
        <v>8135</v>
      </c>
      <c r="K1134" s="55" t="s">
        <v>61</v>
      </c>
      <c r="L1134" s="55">
        <v>16917.0</v>
      </c>
      <c r="M1134" s="55" t="s">
        <v>78</v>
      </c>
      <c r="N1134" s="55" t="s">
        <v>69</v>
      </c>
      <c r="O1134" s="55" t="s">
        <v>224</v>
      </c>
      <c r="P1134" s="55" t="s">
        <v>110</v>
      </c>
      <c r="Q1134" s="67" t="str">
        <f>IFERROR(__xludf.DUMMYFUNCTION("""COMPUTED_VALUE"""),"Japan.giaotiep.M743xM744_16917_CVS_NamNH_050826")</f>
        <v>Japan.giaotiep.M743xM744_16917_CVS_NamNH_050826</v>
      </c>
      <c r="R1134" s="67" t="str">
        <f>IFERROR(__xludf.DUMMYFUNCTION("""COMPUTED_VALUE"""),"NEW_Japan_1840_none_050826")</f>
        <v>NEW_Japan_1840_none_050826</v>
      </c>
      <c r="S1134" s="67" t="str">
        <f>IFERROR(__xludf.DUMMYFUNCTION("""COMPUTED_VALUE"""),"saletructiep_Japan.M743.1840.giaotiep_PTATT_LD282")</f>
        <v>saletructiep_Japan.M743.1840.giaotiep_PTATT_LD282</v>
      </c>
      <c r="T1134" s="107" t="str">
        <f>IFERROR(__xludf.DUMMYFUNCTION("""COMPUTED_VALUE"""),"https://patado.edu.vn/nhn_jp0106/?utm_source=Facebook&amp;utm_medium=CVS&amp;utm_term=NEW_Japan_1840_none_050826&amp;utm_content=saletructiep_Japan.M743.1840.giaotiep_PTATT_LD282&amp;utm_campaign=Japan.giaotiep.M743xM744_16917_CVS_NamNH_050826")</f>
        <v>https://patado.edu.vn/nhn_jp0106/?utm_source=Facebook&amp;utm_medium=CVS&amp;utm_term=NEW_Japan_1840_none_050826&amp;utm_content=saletructiep_Japan.M743.1840.giaotiep_PTATT_LD282&amp;utm_campaign=Japan.giaotiep.M743xM744_16917_CVS_NamNH_050826</v>
      </c>
      <c r="U1134" s="110" t="s">
        <v>8136</v>
      </c>
    </row>
    <row r="1135">
      <c r="A1135" s="72">
        <v>46239.0</v>
      </c>
      <c r="B1135" s="112" t="s">
        <v>2434</v>
      </c>
      <c r="C1135" s="67" t="str">
        <f>IFERROR(__xludf.DUMMYFUNCTION("""COMPUTED_VALUE"""),"LD267")</f>
        <v>LD267</v>
      </c>
      <c r="D1135" s="55" t="s">
        <v>42</v>
      </c>
      <c r="E1135" s="55" t="s">
        <v>79</v>
      </c>
      <c r="F1135" s="55" t="s">
        <v>539</v>
      </c>
      <c r="G1135" s="55">
        <v>1840.0</v>
      </c>
      <c r="H1135" s="55" t="s">
        <v>1137</v>
      </c>
      <c r="I1135" s="115" t="s">
        <v>8137</v>
      </c>
      <c r="J1135" s="55" t="s">
        <v>8138</v>
      </c>
      <c r="K1135" s="55" t="s">
        <v>61</v>
      </c>
      <c r="L1135" s="55">
        <v>16917.0</v>
      </c>
      <c r="M1135" s="55" t="s">
        <v>78</v>
      </c>
      <c r="N1135" s="55" t="s">
        <v>79</v>
      </c>
      <c r="O1135" s="55" t="s">
        <v>224</v>
      </c>
      <c r="P1135" s="55" t="s">
        <v>110</v>
      </c>
      <c r="Q1135" s="67" t="str">
        <f>IFERROR(__xludf.DUMMYFUNCTION("""COMPUTED_VALUE"""),"ALL.giaotiep.M743xM744_16917_MES_NamNH_050826")</f>
        <v>ALL.giaotiep.M743xM744_16917_MES_NamNH_050826</v>
      </c>
      <c r="R1135" s="67" t="str">
        <f>IFERROR(__xludf.DUMMYFUNCTION("""COMPUTED_VALUE"""),"NEW_ALL_1840_none_050826")</f>
        <v>NEW_ALL_1840_none_050826</v>
      </c>
      <c r="S1135" s="67" t="str">
        <f>IFERROR(__xludf.DUMMYFUNCTION("""COMPUTED_VALUE"""),"saletructiep_ALL.M743.1840.giaotiep_PTATT_LD267")</f>
        <v>saletructiep_ALL.M743.1840.giaotiep_PTATT_LD267</v>
      </c>
      <c r="T1135" s="107" t="str">
        <f>IFERROR(__xludf.DUMMYFUNCTION("""COMPUTED_VALUE"""),"https://patado.edu.vn/tienganhgiaotiep1_hn/?utm_source=Facebook&amp;utm_medium=MES&amp;utm_term=NEW_ALL_1840_none_050826&amp;utm_content=saletructiep_ALL.M743.1840.giaotiep_PTATT_LD267&amp;utm_campaign=ALL.giaotiep.M743xM744_16917_MES_NamNH_050826")</f>
        <v>https://patado.edu.vn/tienganhgiaotiep1_hn/?utm_source=Facebook&amp;utm_medium=MES&amp;utm_term=NEW_ALL_1840_none_050826&amp;utm_content=saletructiep_ALL.M743.1840.giaotiep_PTATT_LD267&amp;utm_campaign=ALL.giaotiep.M743xM744_16917_MES_NamNH_050826</v>
      </c>
      <c r="U1135" s="110" t="s">
        <v>8139</v>
      </c>
    </row>
    <row r="1136">
      <c r="A1136" s="72">
        <v>46266.0</v>
      </c>
      <c r="B1136" s="60" t="s">
        <v>7662</v>
      </c>
      <c r="C1136" s="67" t="str">
        <f>IFERROR(__xludf.DUMMYFUNCTION("""COMPUTED_VALUE"""),"LD284")</f>
        <v>LD284</v>
      </c>
      <c r="D1136" s="55" t="s">
        <v>42</v>
      </c>
      <c r="E1136" s="55" t="s">
        <v>69</v>
      </c>
      <c r="F1136" s="55" t="s">
        <v>674</v>
      </c>
      <c r="G1136" s="55">
        <v>1840.0</v>
      </c>
      <c r="H1136" s="55" t="s">
        <v>1137</v>
      </c>
      <c r="I1136" s="115" t="s">
        <v>8140</v>
      </c>
      <c r="J1136" s="55" t="s">
        <v>8141</v>
      </c>
      <c r="K1136" s="55" t="s">
        <v>61</v>
      </c>
      <c r="L1136" s="55">
        <v>16917.0</v>
      </c>
      <c r="M1136" s="55" t="s">
        <v>78</v>
      </c>
      <c r="N1136" s="55" t="s">
        <v>69</v>
      </c>
      <c r="O1136" s="55" t="s">
        <v>224</v>
      </c>
      <c r="P1136" s="55" t="s">
        <v>110</v>
      </c>
      <c r="Q1136" s="67" t="str">
        <f>IFERROR(__xludf.DUMMYFUNCTION("""COMPUTED_VALUE"""),"Europe.giaotiep.M750xM751_16917_CVS_NamNH_010926")</f>
        <v>Europe.giaotiep.M750xM751_16917_CVS_NamNH_010926</v>
      </c>
      <c r="R1136" s="67" t="str">
        <f>IFERROR(__xludf.DUMMYFUNCTION("""COMPUTED_VALUE"""),"NEW_Europe_1840_none_010926")</f>
        <v>NEW_Europe_1840_none_010926</v>
      </c>
      <c r="S1136" s="67" t="str">
        <f>IFERROR(__xludf.DUMMYFUNCTION("""COMPUTED_VALUE"""),"saletructiep_Europe.M750.1840.giaotiep_PTATT_LD284")</f>
        <v>saletructiep_Europe.M750.1840.giaotiep_PTATT_LD284</v>
      </c>
      <c r="T1136" s="107" t="str">
        <f>IFERROR(__xludf.DUMMYFUNCTION("""COMPUTED_VALUE"""),"https://patado.edu.vn/ptd_hongtt/?utm_source=Facebook&amp;utm_medium=CVS&amp;utm_term=NEW_Europe_1840_none_010926&amp;utm_content=saletructiep_Europe.M750.1840.giaotiep_PTATT_LD284&amp;utm_campaign=Europe.giaotiep.M750xM751_16917_CVS_NamNH_010926")</f>
        <v>https://patado.edu.vn/ptd_hongtt/?utm_source=Facebook&amp;utm_medium=CVS&amp;utm_term=NEW_Europe_1840_none_010926&amp;utm_content=saletructiep_Europe.M750.1840.giaotiep_PTATT_LD284&amp;utm_campaign=Europe.giaotiep.M750xM751_16917_CVS_NamNH_010926</v>
      </c>
      <c r="U1136" s="110" t="s">
        <v>8142</v>
      </c>
    </row>
    <row r="1137">
      <c r="A1137" s="72">
        <v>46266.0</v>
      </c>
      <c r="B1137" s="112" t="s">
        <v>2543</v>
      </c>
      <c r="C1137" s="67" t="str">
        <f>IFERROR(__xludf.DUMMYFUNCTION("""COMPUTED_VALUE"""),"LD265")</f>
        <v>LD265</v>
      </c>
      <c r="D1137" s="55" t="s">
        <v>42</v>
      </c>
      <c r="E1137" s="55" t="s">
        <v>69</v>
      </c>
      <c r="F1137" s="55" t="s">
        <v>133</v>
      </c>
      <c r="G1137" s="55">
        <v>1840.0</v>
      </c>
      <c r="H1137" s="55" t="s">
        <v>1137</v>
      </c>
      <c r="I1137" s="115" t="s">
        <v>8143</v>
      </c>
      <c r="J1137" s="55" t="s">
        <v>8144</v>
      </c>
      <c r="K1137" s="55" t="s">
        <v>61</v>
      </c>
      <c r="L1137" s="55">
        <v>16917.0</v>
      </c>
      <c r="M1137" s="55" t="s">
        <v>78</v>
      </c>
      <c r="N1137" s="55" t="s">
        <v>69</v>
      </c>
      <c r="O1137" s="55" t="s">
        <v>224</v>
      </c>
      <c r="P1137" s="55" t="s">
        <v>110</v>
      </c>
      <c r="Q1137" s="67" t="str">
        <f>IFERROR(__xludf.DUMMYFUNCTION("""COMPUTED_VALUE"""),"Japan.giaotiep.M750xM751_16917_CVS_NamNH_010926")</f>
        <v>Japan.giaotiep.M750xM751_16917_CVS_NamNH_010926</v>
      </c>
      <c r="R1137" s="67" t="str">
        <f>IFERROR(__xludf.DUMMYFUNCTION("""COMPUTED_VALUE"""),"NEW_Japan_1840_none_010926")</f>
        <v>NEW_Japan_1840_none_010926</v>
      </c>
      <c r="S1137" s="67" t="str">
        <f>IFERROR(__xludf.DUMMYFUNCTION("""COMPUTED_VALUE"""),"saletructiep_Japan.M750.1840.giaotiep_PTATT_LD265")</f>
        <v>saletructiep_Japan.M750.1840.giaotiep_PTATT_LD265</v>
      </c>
      <c r="T1137" s="107" t="str">
        <f>IFERROR(__xludf.DUMMYFUNCTION("""COMPUTED_VALUE"""),"https://patado.edu.vn/gtjapan_nhn3/?utm_source=Facebook&amp;utm_medium=CVS&amp;utm_term=NEW_Japan_1840_none_010926&amp;utm_content=saletructiep_Japan.M750.1840.giaotiep_PTATT_LD265&amp;utm_campaign=Japan.giaotiep.M750xM751_16917_CVS_NamNH_010926")</f>
        <v>https://patado.edu.vn/gtjapan_nhn3/?utm_source=Facebook&amp;utm_medium=CVS&amp;utm_term=NEW_Japan_1840_none_010926&amp;utm_content=saletructiep_Japan.M750.1840.giaotiep_PTATT_LD265&amp;utm_campaign=Japan.giaotiep.M750xM751_16917_CVS_NamNH_010926</v>
      </c>
      <c r="U1137" s="110" t="s">
        <v>8145</v>
      </c>
    </row>
    <row r="1138">
      <c r="A1138" s="72">
        <v>46266.0</v>
      </c>
      <c r="B1138" s="112" t="s">
        <v>2543</v>
      </c>
      <c r="C1138" s="67" t="str">
        <f>IFERROR(__xludf.DUMMYFUNCTION("""COMPUTED_VALUE"""),"LD265")</f>
        <v>LD265</v>
      </c>
      <c r="D1138" s="55" t="s">
        <v>42</v>
      </c>
      <c r="E1138" s="55" t="s">
        <v>69</v>
      </c>
      <c r="F1138" s="55" t="s">
        <v>133</v>
      </c>
      <c r="G1138" s="55">
        <v>1840.0</v>
      </c>
      <c r="H1138" s="55" t="s">
        <v>1137</v>
      </c>
      <c r="I1138" s="115" t="s">
        <v>8146</v>
      </c>
      <c r="J1138" s="55" t="s">
        <v>8147</v>
      </c>
      <c r="K1138" s="55" t="s">
        <v>61</v>
      </c>
      <c r="L1138" s="55">
        <v>16917.0</v>
      </c>
      <c r="M1138" s="55" t="s">
        <v>78</v>
      </c>
      <c r="N1138" s="55" t="s">
        <v>69</v>
      </c>
      <c r="O1138" s="55" t="s">
        <v>224</v>
      </c>
      <c r="P1138" s="55" t="s">
        <v>110</v>
      </c>
      <c r="Q1138" s="67" t="str">
        <f>IFERROR(__xludf.DUMMYFUNCTION("""COMPUTED_VALUE"""),"Japan.giaotiep.M757xM760_16917_CVS_NamNH_010926")</f>
        <v>Japan.giaotiep.M757xM760_16917_CVS_NamNH_010926</v>
      </c>
      <c r="R1138" s="67" t="str">
        <f>IFERROR(__xludf.DUMMYFUNCTION("""COMPUTED_VALUE"""),"NEW_Japan_1840_none_010926")</f>
        <v>NEW_Japan_1840_none_010926</v>
      </c>
      <c r="S1138" s="67" t="str">
        <f>IFERROR(__xludf.DUMMYFUNCTION("""COMPUTED_VALUE"""),"saletructiep_Japan.M757.1840.giaotiep_PTATT_LD265")</f>
        <v>saletructiep_Japan.M757.1840.giaotiep_PTATT_LD265</v>
      </c>
      <c r="T1138" s="107" t="str">
        <f>IFERROR(__xludf.DUMMYFUNCTION("""COMPUTED_VALUE"""),"https://patado.edu.vn/gtjapan_nhn3/?utm_source=Facebook&amp;utm_medium=CVS&amp;utm_term=NEW_Japan_1840_none_010926&amp;utm_content=saletructiep_Japan.M757.1840.giaotiep_PTATT_LD265&amp;utm_campaign=Japan.giaotiep.M757xM760_16917_CVS_NamNH_010926")</f>
        <v>https://patado.edu.vn/gtjapan_nhn3/?utm_source=Facebook&amp;utm_medium=CVS&amp;utm_term=NEW_Japan_1840_none_010926&amp;utm_content=saletructiep_Japan.M757.1840.giaotiep_PTATT_LD265&amp;utm_campaign=Japan.giaotiep.M757xM760_16917_CVS_NamNH_010926</v>
      </c>
      <c r="U1138" s="110" t="s">
        <v>8148</v>
      </c>
    </row>
    <row r="1139">
      <c r="A1139" s="72">
        <v>46266.0</v>
      </c>
      <c r="B1139" s="112" t="s">
        <v>7658</v>
      </c>
      <c r="C1139" s="67" t="str">
        <f>IFERROR(__xludf.DUMMYFUNCTION("""COMPUTED_VALUE"""),"LD282")</f>
        <v>LD282</v>
      </c>
      <c r="D1139" s="55" t="s">
        <v>42</v>
      </c>
      <c r="E1139" s="55" t="s">
        <v>69</v>
      </c>
      <c r="F1139" s="55" t="s">
        <v>133</v>
      </c>
      <c r="G1139" s="55">
        <v>1840.0</v>
      </c>
      <c r="H1139" s="55" t="s">
        <v>1137</v>
      </c>
      <c r="I1139" s="115" t="s">
        <v>8149</v>
      </c>
      <c r="J1139" s="55" t="s">
        <v>8150</v>
      </c>
      <c r="K1139" s="55" t="s">
        <v>61</v>
      </c>
      <c r="L1139" s="55">
        <v>16917.0</v>
      </c>
      <c r="M1139" s="55" t="s">
        <v>78</v>
      </c>
      <c r="N1139" s="55" t="s">
        <v>69</v>
      </c>
      <c r="O1139" s="55" t="s">
        <v>224</v>
      </c>
      <c r="P1139" s="55" t="s">
        <v>110</v>
      </c>
      <c r="Q1139" s="67" t="str">
        <f>IFERROR(__xludf.DUMMYFUNCTION("""COMPUTED_VALUE"""),"Japan.giaotiep.M761xM762_16917_CVS_NamNH_010926")</f>
        <v>Japan.giaotiep.M761xM762_16917_CVS_NamNH_010926</v>
      </c>
      <c r="R1139" s="67" t="str">
        <f>IFERROR(__xludf.DUMMYFUNCTION("""COMPUTED_VALUE"""),"NEW_Japan_1840_none_010926")</f>
        <v>NEW_Japan_1840_none_010926</v>
      </c>
      <c r="S1139" s="67" t="str">
        <f>IFERROR(__xludf.DUMMYFUNCTION("""COMPUTED_VALUE"""),"saletructiep_Japan.M761.1840.giaotiep_PTATT_LD282")</f>
        <v>saletructiep_Japan.M761.1840.giaotiep_PTATT_LD282</v>
      </c>
      <c r="T1139" s="107" t="str">
        <f>IFERROR(__xludf.DUMMYFUNCTION("""COMPUTED_VALUE"""),"https://patado.edu.vn/nhn_jp0106/?utm_source=Facebook&amp;utm_medium=CVS&amp;utm_term=NEW_Japan_1840_none_010926&amp;utm_content=saletructiep_Japan.M761.1840.giaotiep_PTATT_LD282&amp;utm_campaign=Japan.giaotiep.M761xM762_16917_CVS_NamNH_010926")</f>
        <v>https://patado.edu.vn/nhn_jp0106/?utm_source=Facebook&amp;utm_medium=CVS&amp;utm_term=NEW_Japan_1840_none_010926&amp;utm_content=saletructiep_Japan.M761.1840.giaotiep_PTATT_LD282&amp;utm_campaign=Japan.giaotiep.M761xM762_16917_CVS_NamNH_010926</v>
      </c>
      <c r="U1139" s="110" t="s">
        <v>8151</v>
      </c>
    </row>
    <row r="1140">
      <c r="A1140" s="72">
        <v>46266.0</v>
      </c>
      <c r="B1140" s="60" t="s">
        <v>7662</v>
      </c>
      <c r="C1140" s="67" t="str">
        <f>IFERROR(__xludf.DUMMYFUNCTION("""COMPUTED_VALUE"""),"LD284")</f>
        <v>LD284</v>
      </c>
      <c r="D1140" s="55" t="s">
        <v>42</v>
      </c>
      <c r="E1140" s="55" t="s">
        <v>69</v>
      </c>
      <c r="F1140" s="55" t="s">
        <v>674</v>
      </c>
      <c r="G1140" s="55">
        <v>1840.0</v>
      </c>
      <c r="H1140" s="55" t="s">
        <v>1137</v>
      </c>
      <c r="I1140" s="115" t="s">
        <v>8152</v>
      </c>
      <c r="J1140" s="55" t="s">
        <v>8153</v>
      </c>
      <c r="K1140" s="55" t="s">
        <v>61</v>
      </c>
      <c r="L1140" s="55">
        <v>16917.0</v>
      </c>
      <c r="M1140" s="55" t="s">
        <v>78</v>
      </c>
      <c r="N1140" s="55" t="s">
        <v>69</v>
      </c>
      <c r="O1140" s="55" t="s">
        <v>224</v>
      </c>
      <c r="P1140" s="55" t="s">
        <v>110</v>
      </c>
      <c r="Q1140" s="67" t="str">
        <f>IFERROR(__xludf.DUMMYFUNCTION("""COMPUTED_VALUE"""),"Europe.giaotiep.M757xM760_16917_CVS_NamNH_010926")</f>
        <v>Europe.giaotiep.M757xM760_16917_CVS_NamNH_010926</v>
      </c>
      <c r="R1140" s="67" t="str">
        <f>IFERROR(__xludf.DUMMYFUNCTION("""COMPUTED_VALUE"""),"NEW_Europe_1840_none_010926")</f>
        <v>NEW_Europe_1840_none_010926</v>
      </c>
      <c r="S1140" s="67" t="str">
        <f>IFERROR(__xludf.DUMMYFUNCTION("""COMPUTED_VALUE"""),"saletructiep_Europe.M757.1840.giaotiep_PTATT_LD284")</f>
        <v>saletructiep_Europe.M757.1840.giaotiep_PTATT_LD284</v>
      </c>
      <c r="T1140" s="107" t="str">
        <f>IFERROR(__xludf.DUMMYFUNCTION("""COMPUTED_VALUE"""),"https://patado.edu.vn/ptd_hongtt/?utm_source=Facebook&amp;utm_medium=CVS&amp;utm_term=NEW_Europe_1840_none_010926&amp;utm_content=saletructiep_Europe.M757.1840.giaotiep_PTATT_LD284&amp;utm_campaign=Europe.giaotiep.M757xM760_16917_CVS_NamNH_010926")</f>
        <v>https://patado.edu.vn/ptd_hongtt/?utm_source=Facebook&amp;utm_medium=CVS&amp;utm_term=NEW_Europe_1840_none_010926&amp;utm_content=saletructiep_Europe.M757.1840.giaotiep_PTATT_LD284&amp;utm_campaign=Europe.giaotiep.M757xM760_16917_CVS_NamNH_010926</v>
      </c>
      <c r="U1140" s="110" t="s">
        <v>8154</v>
      </c>
    </row>
    <row r="1141">
      <c r="A1141" s="72">
        <v>46266.0</v>
      </c>
      <c r="B1141" s="60" t="s">
        <v>7662</v>
      </c>
      <c r="C1141" s="67" t="str">
        <f>IFERROR(__xludf.DUMMYFUNCTION("""COMPUTED_VALUE"""),"LD284")</f>
        <v>LD284</v>
      </c>
      <c r="D1141" s="55" t="s">
        <v>42</v>
      </c>
      <c r="E1141" s="55" t="s">
        <v>69</v>
      </c>
      <c r="F1141" s="55" t="s">
        <v>674</v>
      </c>
      <c r="G1141" s="55">
        <v>1840.0</v>
      </c>
      <c r="H1141" s="55" t="s">
        <v>1137</v>
      </c>
      <c r="I1141" s="115" t="s">
        <v>8155</v>
      </c>
      <c r="J1141" s="55" t="s">
        <v>8156</v>
      </c>
      <c r="K1141" s="55" t="s">
        <v>61</v>
      </c>
      <c r="L1141" s="55">
        <v>16917.0</v>
      </c>
      <c r="M1141" s="55" t="s">
        <v>78</v>
      </c>
      <c r="N1141" s="55" t="s">
        <v>69</v>
      </c>
      <c r="O1141" s="55" t="s">
        <v>224</v>
      </c>
      <c r="P1141" s="55" t="s">
        <v>110</v>
      </c>
      <c r="Q1141" s="67" t="str">
        <f>IFERROR(__xludf.DUMMYFUNCTION("""COMPUTED_VALUE"""),"Europe.giaotiep.M761xM762_16917_CVS_NamNH_010926")</f>
        <v>Europe.giaotiep.M761xM762_16917_CVS_NamNH_010926</v>
      </c>
      <c r="R1141" s="67" t="str">
        <f>IFERROR(__xludf.DUMMYFUNCTION("""COMPUTED_VALUE"""),"NEW_Europe_1840_none_010926")</f>
        <v>NEW_Europe_1840_none_010926</v>
      </c>
      <c r="S1141" s="67" t="str">
        <f>IFERROR(__xludf.DUMMYFUNCTION("""COMPUTED_VALUE"""),"saletructiep_Europe.M761.1840.giaotiep_PTATT_LD284")</f>
        <v>saletructiep_Europe.M761.1840.giaotiep_PTATT_LD284</v>
      </c>
      <c r="T1141" s="107" t="str">
        <f>IFERROR(__xludf.DUMMYFUNCTION("""COMPUTED_VALUE"""),"https://patado.edu.vn/ptd_hongtt/?utm_source=Facebook&amp;utm_medium=CVS&amp;utm_term=NEW_Europe_1840_none_010926&amp;utm_content=saletructiep_Europe.M761.1840.giaotiep_PTATT_LD284&amp;utm_campaign=Europe.giaotiep.M761xM762_16917_CVS_NamNH_010926")</f>
        <v>https://patado.edu.vn/ptd_hongtt/?utm_source=Facebook&amp;utm_medium=CVS&amp;utm_term=NEW_Europe_1840_none_010926&amp;utm_content=saletructiep_Europe.M761.1840.giaotiep_PTATT_LD284&amp;utm_campaign=Europe.giaotiep.M761xM762_16917_CVS_NamNH_010926</v>
      </c>
      <c r="U1141" s="110" t="s">
        <v>8157</v>
      </c>
    </row>
    <row r="1142">
      <c r="A1142" s="72">
        <v>46266.0</v>
      </c>
      <c r="B1142" s="112" t="s">
        <v>2434</v>
      </c>
      <c r="C1142" s="67" t="str">
        <f>IFERROR(__xludf.DUMMYFUNCTION("""COMPUTED_VALUE"""),"LD267")</f>
        <v>LD267</v>
      </c>
      <c r="D1142" s="55" t="s">
        <v>42</v>
      </c>
      <c r="E1142" s="55" t="s">
        <v>79</v>
      </c>
      <c r="F1142" s="55" t="s">
        <v>539</v>
      </c>
      <c r="G1142" s="55">
        <v>1840.0</v>
      </c>
      <c r="H1142" s="55" t="s">
        <v>1137</v>
      </c>
      <c r="I1142" s="115" t="s">
        <v>8158</v>
      </c>
      <c r="J1142" s="55" t="s">
        <v>8159</v>
      </c>
      <c r="K1142" s="55" t="s">
        <v>61</v>
      </c>
      <c r="L1142" s="55">
        <v>16917.0</v>
      </c>
      <c r="M1142" s="55" t="s">
        <v>78</v>
      </c>
      <c r="N1142" s="55" t="s">
        <v>79</v>
      </c>
      <c r="O1142" s="55" t="s">
        <v>224</v>
      </c>
      <c r="P1142" s="55" t="s">
        <v>110</v>
      </c>
      <c r="Q1142" s="67" t="str">
        <f>IFERROR(__xludf.DUMMYFUNCTION("""COMPUTED_VALUE"""),"ALL.giaotiep.M761xM762_16917_MES_NamNH_010926")</f>
        <v>ALL.giaotiep.M761xM762_16917_MES_NamNH_010926</v>
      </c>
      <c r="R1142" s="67" t="str">
        <f>IFERROR(__xludf.DUMMYFUNCTION("""COMPUTED_VALUE"""),"NEW_ALL_1840_none_010926")</f>
        <v>NEW_ALL_1840_none_010926</v>
      </c>
      <c r="S1142" s="67" t="str">
        <f>IFERROR(__xludf.DUMMYFUNCTION("""COMPUTED_VALUE"""),"saletructiep_ALL.M761.1840.giaotiep_PTATT_LD267")</f>
        <v>saletructiep_ALL.M761.1840.giaotiep_PTATT_LD267</v>
      </c>
      <c r="T1142" s="107" t="str">
        <f>IFERROR(__xludf.DUMMYFUNCTION("""COMPUTED_VALUE"""),"https://patado.edu.vn/tienganhgiaotiep1_hn/?utm_source=Facebook&amp;utm_medium=MES&amp;utm_term=NEW_ALL_1840_none_010926&amp;utm_content=saletructiep_ALL.M761.1840.giaotiep_PTATT_LD267&amp;utm_campaign=ALL.giaotiep.M761xM762_16917_MES_NamNH_010926")</f>
        <v>https://patado.edu.vn/tienganhgiaotiep1_hn/?utm_source=Facebook&amp;utm_medium=MES&amp;utm_term=NEW_ALL_1840_none_010926&amp;utm_content=saletructiep_ALL.M761.1840.giaotiep_PTATT_LD267&amp;utm_campaign=ALL.giaotiep.M761xM762_16917_MES_NamNH_010926</v>
      </c>
      <c r="U1142" s="110" t="s">
        <v>8160</v>
      </c>
    </row>
    <row r="1143">
      <c r="A1143" s="72">
        <v>46284.0</v>
      </c>
      <c r="B1143" s="112" t="s">
        <v>2434</v>
      </c>
      <c r="C1143" s="67" t="str">
        <f>IFERROR(__xludf.DUMMYFUNCTION("""COMPUTED_VALUE"""),"LD267")</f>
        <v>LD267</v>
      </c>
      <c r="D1143" s="55" t="s">
        <v>42</v>
      </c>
      <c r="E1143" s="55" t="s">
        <v>79</v>
      </c>
      <c r="F1143" s="55" t="s">
        <v>539</v>
      </c>
      <c r="G1143" s="55">
        <v>1840.0</v>
      </c>
      <c r="H1143" s="55" t="s">
        <v>1137</v>
      </c>
      <c r="I1143" s="115" t="s">
        <v>8161</v>
      </c>
      <c r="J1143" s="55" t="s">
        <v>8162</v>
      </c>
      <c r="K1143" s="55" t="s">
        <v>61</v>
      </c>
      <c r="L1143" s="55">
        <v>16917.0</v>
      </c>
      <c r="M1143" s="55" t="s">
        <v>78</v>
      </c>
      <c r="N1143" s="55" t="s">
        <v>79</v>
      </c>
      <c r="O1143" s="55" t="s">
        <v>224</v>
      </c>
      <c r="P1143" s="55" t="s">
        <v>110</v>
      </c>
      <c r="Q1143" s="67" t="str">
        <f>IFERROR(__xludf.DUMMYFUNCTION("""COMPUTED_VALUE"""),"ALL.giaotiep.M765xM766_16917_MES_NamNH_190926")</f>
        <v>ALL.giaotiep.M765xM766_16917_MES_NamNH_190926</v>
      </c>
      <c r="R1143" s="67" t="str">
        <f>IFERROR(__xludf.DUMMYFUNCTION("""COMPUTED_VALUE"""),"NEW_ALL_1840_none_190926")</f>
        <v>NEW_ALL_1840_none_190926</v>
      </c>
      <c r="S1143" s="67" t="str">
        <f>IFERROR(__xludf.DUMMYFUNCTION("""COMPUTED_VALUE"""),"saletructiep_ALL.M765.1840.giaotiep_PTATT_LD267")</f>
        <v>saletructiep_ALL.M765.1840.giaotiep_PTATT_LD267</v>
      </c>
      <c r="T1143" s="107" t="str">
        <f>IFERROR(__xludf.DUMMYFUNCTION("""COMPUTED_VALUE"""),"https://patado.edu.vn/tienganhgiaotiep1_hn/?utm_source=Facebook&amp;utm_medium=MES&amp;utm_term=NEW_ALL_1840_none_190926&amp;utm_content=saletructiep_ALL.M765.1840.giaotiep_PTATT_LD267&amp;utm_campaign=ALL.giaotiep.M765xM766_16917_MES_NamNH_190926")</f>
        <v>https://patado.edu.vn/tienganhgiaotiep1_hn/?utm_source=Facebook&amp;utm_medium=MES&amp;utm_term=NEW_ALL_1840_none_190926&amp;utm_content=saletructiep_ALL.M765.1840.giaotiep_PTATT_LD267&amp;utm_campaign=ALL.giaotiep.M765xM766_16917_MES_NamNH_190926</v>
      </c>
      <c r="U1143" s="110" t="s">
        <v>8163</v>
      </c>
    </row>
    <row r="1144">
      <c r="A1144" s="72">
        <v>46284.0</v>
      </c>
      <c r="B1144" s="60" t="s">
        <v>7662</v>
      </c>
      <c r="C1144" s="67" t="str">
        <f>IFERROR(__xludf.DUMMYFUNCTION("""COMPUTED_VALUE"""),"LD284")</f>
        <v>LD284</v>
      </c>
      <c r="D1144" s="55" t="s">
        <v>42</v>
      </c>
      <c r="E1144" s="55" t="s">
        <v>69</v>
      </c>
      <c r="F1144" s="55" t="s">
        <v>674</v>
      </c>
      <c r="G1144" s="55">
        <v>1840.0</v>
      </c>
      <c r="H1144" s="55" t="s">
        <v>1137</v>
      </c>
      <c r="I1144" s="115" t="s">
        <v>8164</v>
      </c>
      <c r="J1144" s="55" t="s">
        <v>8165</v>
      </c>
      <c r="K1144" s="55" t="s">
        <v>61</v>
      </c>
      <c r="L1144" s="55">
        <v>16917.0</v>
      </c>
      <c r="M1144" s="55" t="s">
        <v>78</v>
      </c>
      <c r="N1144" s="55" t="s">
        <v>69</v>
      </c>
      <c r="O1144" s="55" t="s">
        <v>224</v>
      </c>
      <c r="P1144" s="55" t="s">
        <v>110</v>
      </c>
      <c r="Q1144" s="67" t="str">
        <f>IFERROR(__xludf.DUMMYFUNCTION("""COMPUTED_VALUE"""),"Europe.giaotiep.M765xM766_16917_CVS_NamNH_190926")</f>
        <v>Europe.giaotiep.M765xM766_16917_CVS_NamNH_190926</v>
      </c>
      <c r="R1144" s="67" t="str">
        <f>IFERROR(__xludf.DUMMYFUNCTION("""COMPUTED_VALUE"""),"NEW_Europe_1840_none_190926")</f>
        <v>NEW_Europe_1840_none_190926</v>
      </c>
      <c r="S1144" s="67" t="str">
        <f>IFERROR(__xludf.DUMMYFUNCTION("""COMPUTED_VALUE"""),"saletructiep_Europe.M765.1840.giaotiep_PTATT_LD284")</f>
        <v>saletructiep_Europe.M765.1840.giaotiep_PTATT_LD284</v>
      </c>
      <c r="T1144" s="107" t="str">
        <f>IFERROR(__xludf.DUMMYFUNCTION("""COMPUTED_VALUE"""),"https://patado.edu.vn/ptd_hongtt/?utm_source=Facebook&amp;utm_medium=CVS&amp;utm_term=NEW_Europe_1840_none_190926&amp;utm_content=saletructiep_Europe.M765.1840.giaotiep_PTATT_LD284&amp;utm_campaign=Europe.giaotiep.M765xM766_16917_CVS_NamNH_190926")</f>
        <v>https://patado.edu.vn/ptd_hongtt/?utm_source=Facebook&amp;utm_medium=CVS&amp;utm_term=NEW_Europe_1840_none_190926&amp;utm_content=saletructiep_Europe.M765.1840.giaotiep_PTATT_LD284&amp;utm_campaign=Europe.giaotiep.M765xM766_16917_CVS_NamNH_190926</v>
      </c>
      <c r="U1144" s="110" t="s">
        <v>8166</v>
      </c>
    </row>
    <row r="1145">
      <c r="A1145" s="72">
        <v>46284.0</v>
      </c>
      <c r="B1145" s="112" t="s">
        <v>7658</v>
      </c>
      <c r="C1145" s="67" t="str">
        <f>IFERROR(__xludf.DUMMYFUNCTION("""COMPUTED_VALUE"""),"LD282")</f>
        <v>LD282</v>
      </c>
      <c r="D1145" s="55" t="s">
        <v>42</v>
      </c>
      <c r="E1145" s="55" t="s">
        <v>69</v>
      </c>
      <c r="F1145" s="55" t="s">
        <v>133</v>
      </c>
      <c r="G1145" s="55">
        <v>1840.0</v>
      </c>
      <c r="H1145" s="55" t="s">
        <v>1137</v>
      </c>
      <c r="I1145" s="115" t="s">
        <v>8149</v>
      </c>
      <c r="J1145" s="55" t="s">
        <v>8150</v>
      </c>
      <c r="K1145" s="55" t="s">
        <v>61</v>
      </c>
      <c r="L1145" s="55">
        <v>16917.0</v>
      </c>
      <c r="M1145" s="55" t="s">
        <v>78</v>
      </c>
      <c r="N1145" s="55" t="s">
        <v>69</v>
      </c>
      <c r="O1145" s="55" t="s">
        <v>224</v>
      </c>
      <c r="P1145" s="55" t="s">
        <v>110</v>
      </c>
      <c r="Q1145" s="67" t="str">
        <f>IFERROR(__xludf.DUMMYFUNCTION("""COMPUTED_VALUE"""),"Japan.giaotiep.M761xM762_16917_CVS_NamNH_190926")</f>
        <v>Japan.giaotiep.M761xM762_16917_CVS_NamNH_190926</v>
      </c>
      <c r="R1145" s="67" t="str">
        <f>IFERROR(__xludf.DUMMYFUNCTION("""COMPUTED_VALUE"""),"NEW_Japan_1840_none_190926")</f>
        <v>NEW_Japan_1840_none_190926</v>
      </c>
      <c r="S1145" s="67" t="str">
        <f>IFERROR(__xludf.DUMMYFUNCTION("""COMPUTED_VALUE"""),"saletructiep_Japan.M761.1840.giaotiep_PTATT_LD282")</f>
        <v>saletructiep_Japan.M761.1840.giaotiep_PTATT_LD282</v>
      </c>
      <c r="T1145" s="107" t="str">
        <f>IFERROR(__xludf.DUMMYFUNCTION("""COMPUTED_VALUE"""),"https://patado.edu.vn/nhn_jp0106/?utm_source=Facebook&amp;utm_medium=CVS&amp;utm_term=NEW_Japan_1840_none_190926&amp;utm_content=saletructiep_Japan.M761.1840.giaotiep_PTATT_LD282&amp;utm_campaign=Japan.giaotiep.M761xM762_16917_CVS_NamNH_190926")</f>
        <v>https://patado.edu.vn/nhn_jp0106/?utm_source=Facebook&amp;utm_medium=CVS&amp;utm_term=NEW_Japan_1840_none_190926&amp;utm_content=saletructiep_Japan.M761.1840.giaotiep_PTATT_LD282&amp;utm_campaign=Japan.giaotiep.M761xM762_16917_CVS_NamNH_190926</v>
      </c>
      <c r="U1145" s="110" t="s">
        <v>8167</v>
      </c>
    </row>
    <row r="1146">
      <c r="A1146" s="72">
        <v>46297.0</v>
      </c>
      <c r="B1146" s="60" t="s">
        <v>7662</v>
      </c>
      <c r="C1146" s="67" t="str">
        <f>IFERROR(__xludf.DUMMYFUNCTION("""COMPUTED_VALUE"""),"LD284")</f>
        <v>LD284</v>
      </c>
      <c r="D1146" s="55" t="s">
        <v>42</v>
      </c>
      <c r="E1146" s="55" t="s">
        <v>69</v>
      </c>
      <c r="F1146" s="55" t="s">
        <v>674</v>
      </c>
      <c r="G1146" s="55">
        <v>1840.0</v>
      </c>
      <c r="H1146" s="55" t="s">
        <v>1137</v>
      </c>
      <c r="I1146" s="115" t="s">
        <v>8168</v>
      </c>
      <c r="J1146" s="55" t="s">
        <v>8169</v>
      </c>
      <c r="K1146" s="55" t="s">
        <v>61</v>
      </c>
      <c r="L1146" s="55">
        <v>16917.0</v>
      </c>
      <c r="M1146" s="55" t="s">
        <v>78</v>
      </c>
      <c r="N1146" s="55" t="s">
        <v>69</v>
      </c>
      <c r="O1146" s="55" t="s">
        <v>224</v>
      </c>
      <c r="P1146" s="55" t="s">
        <v>110</v>
      </c>
      <c r="Q1146" s="67" t="str">
        <f>IFERROR(__xludf.DUMMYFUNCTION("""COMPUTED_VALUE"""),"Europe.giaotiep.M745xM746_16917_CVS_NamNH_021026")</f>
        <v>Europe.giaotiep.M745xM746_16917_CVS_NamNH_021026</v>
      </c>
      <c r="R1146" s="67" t="str">
        <f>IFERROR(__xludf.DUMMYFUNCTION("""COMPUTED_VALUE"""),"NEW_Europe_1840_none_021026")</f>
        <v>NEW_Europe_1840_none_021026</v>
      </c>
      <c r="S1146" s="67" t="str">
        <f>IFERROR(__xludf.DUMMYFUNCTION("""COMPUTED_VALUE"""),"saletructiep_Europe.M745.1840.giaotiep_PTATT_LD284")</f>
        <v>saletructiep_Europe.M745.1840.giaotiep_PTATT_LD284</v>
      </c>
      <c r="T1146" s="107" t="str">
        <f>IFERROR(__xludf.DUMMYFUNCTION("""COMPUTED_VALUE"""),"https://patado.edu.vn/ptd_hongtt/?utm_source=Facebook&amp;utm_medium=CVS&amp;utm_term=NEW_Europe_1840_none_021026&amp;utm_content=saletructiep_Europe.M745.1840.giaotiep_PTATT_LD284&amp;utm_campaign=Europe.giaotiep.M745xM746_16917_CVS_NamNH_021026")</f>
        <v>https://patado.edu.vn/ptd_hongtt/?utm_source=Facebook&amp;utm_medium=CVS&amp;utm_term=NEW_Europe_1840_none_021026&amp;utm_content=saletructiep_Europe.M745.1840.giaotiep_PTATT_LD284&amp;utm_campaign=Europe.giaotiep.M745xM746_16917_CVS_NamNH_021026</v>
      </c>
      <c r="U1146" s="110" t="s">
        <v>8170</v>
      </c>
    </row>
    <row r="1147">
      <c r="A1147" s="72">
        <v>46297.0</v>
      </c>
      <c r="B1147" s="112" t="s">
        <v>7658</v>
      </c>
      <c r="C1147" s="67" t="str">
        <f>IFERROR(__xludf.DUMMYFUNCTION("""COMPUTED_VALUE"""),"LD282")</f>
        <v>LD282</v>
      </c>
      <c r="D1147" s="55" t="s">
        <v>42</v>
      </c>
      <c r="E1147" s="55" t="s">
        <v>69</v>
      </c>
      <c r="F1147" s="55" t="s">
        <v>133</v>
      </c>
      <c r="G1147" s="55">
        <v>1840.0</v>
      </c>
      <c r="H1147" s="55" t="s">
        <v>1137</v>
      </c>
      <c r="I1147" s="115" t="s">
        <v>8171</v>
      </c>
      <c r="J1147" s="55" t="s">
        <v>8172</v>
      </c>
      <c r="K1147" s="55" t="s">
        <v>61</v>
      </c>
      <c r="L1147" s="55">
        <v>16917.0</v>
      </c>
      <c r="M1147" s="55" t="s">
        <v>78</v>
      </c>
      <c r="N1147" s="55" t="s">
        <v>69</v>
      </c>
      <c r="O1147" s="55" t="s">
        <v>224</v>
      </c>
      <c r="P1147" s="55" t="s">
        <v>110</v>
      </c>
      <c r="Q1147" s="67" t="str">
        <f>IFERROR(__xludf.DUMMYFUNCTION("""COMPUTED_VALUE"""),"Japan.giaotiep.M745xM746_16917_CVS_NamNH_021026")</f>
        <v>Japan.giaotiep.M745xM746_16917_CVS_NamNH_021026</v>
      </c>
      <c r="R1147" s="67" t="str">
        <f>IFERROR(__xludf.DUMMYFUNCTION("""COMPUTED_VALUE"""),"NEW_Japan_1840_none_021026")</f>
        <v>NEW_Japan_1840_none_021026</v>
      </c>
      <c r="S1147" s="67" t="str">
        <f>IFERROR(__xludf.DUMMYFUNCTION("""COMPUTED_VALUE"""),"saletructiep_Japan.M745.1840.giaotiep_PTATT_LD282")</f>
        <v>saletructiep_Japan.M745.1840.giaotiep_PTATT_LD282</v>
      </c>
      <c r="T1147" s="107" t="str">
        <f>IFERROR(__xludf.DUMMYFUNCTION("""COMPUTED_VALUE"""),"https://patado.edu.vn/nhn_jp0106/?utm_source=Facebook&amp;utm_medium=CVS&amp;utm_term=NEW_Japan_1840_none_021026&amp;utm_content=saletructiep_Japan.M745.1840.giaotiep_PTATT_LD282&amp;utm_campaign=Japan.giaotiep.M745xM746_16917_CVS_NamNH_021026")</f>
        <v>https://patado.edu.vn/nhn_jp0106/?utm_source=Facebook&amp;utm_medium=CVS&amp;utm_term=NEW_Japan_1840_none_021026&amp;utm_content=saletructiep_Japan.M745.1840.giaotiep_PTATT_LD282&amp;utm_campaign=Japan.giaotiep.M745xM746_16917_CVS_NamNH_021026</v>
      </c>
      <c r="U1147" s="110" t="s">
        <v>8173</v>
      </c>
    </row>
    <row r="1148">
      <c r="A1148" s="72">
        <v>46297.0</v>
      </c>
      <c r="B1148" s="60" t="s">
        <v>7662</v>
      </c>
      <c r="C1148" s="67" t="str">
        <f>IFERROR(__xludf.DUMMYFUNCTION("""COMPUTED_VALUE"""),"LD284")</f>
        <v>LD284</v>
      </c>
      <c r="D1148" s="55" t="s">
        <v>42</v>
      </c>
      <c r="E1148" s="55" t="s">
        <v>79</v>
      </c>
      <c r="F1148" s="55" t="s">
        <v>539</v>
      </c>
      <c r="G1148" s="55">
        <v>1840.0</v>
      </c>
      <c r="H1148" s="55" t="s">
        <v>1137</v>
      </c>
      <c r="I1148" s="115" t="s">
        <v>8174</v>
      </c>
      <c r="J1148" s="55" t="s">
        <v>8175</v>
      </c>
      <c r="K1148" s="55" t="s">
        <v>61</v>
      </c>
      <c r="L1148" s="55">
        <v>16917.0</v>
      </c>
      <c r="M1148" s="55" t="s">
        <v>78</v>
      </c>
      <c r="N1148" s="55" t="s">
        <v>79</v>
      </c>
      <c r="O1148" s="55" t="s">
        <v>224</v>
      </c>
      <c r="P1148" s="55" t="s">
        <v>110</v>
      </c>
      <c r="Q1148" s="67" t="str">
        <f>IFERROR(__xludf.DUMMYFUNCTION("""COMPUTED_VALUE"""),"ALL.giaotiep.M745xM746_16917_MES_NamNH_021026")</f>
        <v>ALL.giaotiep.M745xM746_16917_MES_NamNH_021026</v>
      </c>
      <c r="R1148" s="67" t="str">
        <f>IFERROR(__xludf.DUMMYFUNCTION("""COMPUTED_VALUE"""),"NEW_ALL_1840_none_021026")</f>
        <v>NEW_ALL_1840_none_021026</v>
      </c>
      <c r="S1148" s="67" t="str">
        <f>IFERROR(__xludf.DUMMYFUNCTION("""COMPUTED_VALUE"""),"saletructiep_ALL.M745.1840.giaotiep_PTATT_LD284")</f>
        <v>saletructiep_ALL.M745.1840.giaotiep_PTATT_LD284</v>
      </c>
      <c r="T1148" s="107" t="str">
        <f>IFERROR(__xludf.DUMMYFUNCTION("""COMPUTED_VALUE"""),"https://patado.edu.vn/ptd_hongtt/?utm_source=Facebook&amp;utm_medium=MES&amp;utm_term=NEW_ALL_1840_none_021026&amp;utm_content=saletructiep_ALL.M745.1840.giaotiep_PTATT_LD284&amp;utm_campaign=ALL.giaotiep.M745xM746_16917_MES_NamNH_021026")</f>
        <v>https://patado.edu.vn/ptd_hongtt/?utm_source=Facebook&amp;utm_medium=MES&amp;utm_term=NEW_ALL_1840_none_021026&amp;utm_content=saletructiep_ALL.M745.1840.giaotiep_PTATT_LD284&amp;utm_campaign=ALL.giaotiep.M745xM746_16917_MES_NamNH_021026</v>
      </c>
      <c r="U1148" s="110" t="s">
        <v>8176</v>
      </c>
    </row>
    <row r="1149">
      <c r="A1149" s="72">
        <v>46297.0</v>
      </c>
      <c r="B1149" s="112" t="s">
        <v>2434</v>
      </c>
      <c r="C1149" s="67" t="str">
        <f>IFERROR(__xludf.DUMMYFUNCTION("""COMPUTED_VALUE"""),"LD267")</f>
        <v>LD267</v>
      </c>
      <c r="D1149" s="55" t="s">
        <v>42</v>
      </c>
      <c r="E1149" s="55" t="s">
        <v>69</v>
      </c>
      <c r="F1149" s="55" t="s">
        <v>674</v>
      </c>
      <c r="G1149" s="55">
        <v>1840.0</v>
      </c>
      <c r="H1149" s="55" t="s">
        <v>1137</v>
      </c>
      <c r="I1149" s="115" t="s">
        <v>8177</v>
      </c>
      <c r="J1149" s="55" t="s">
        <v>8178</v>
      </c>
      <c r="K1149" s="55" t="s">
        <v>61</v>
      </c>
      <c r="L1149" s="55">
        <v>16917.0</v>
      </c>
      <c r="M1149" s="55" t="s">
        <v>78</v>
      </c>
      <c r="N1149" s="55" t="s">
        <v>69</v>
      </c>
      <c r="O1149" s="55" t="s">
        <v>224</v>
      </c>
      <c r="P1149" s="55" t="s">
        <v>110</v>
      </c>
      <c r="Q1149" s="67" t="str">
        <f>IFERROR(__xludf.DUMMYFUNCTION("""COMPUTED_VALUE"""),"Europe.giaotiep.M748xM749_16917_CVS_NamNH_021026")</f>
        <v>Europe.giaotiep.M748xM749_16917_CVS_NamNH_021026</v>
      </c>
      <c r="R1149" s="67" t="str">
        <f>IFERROR(__xludf.DUMMYFUNCTION("""COMPUTED_VALUE"""),"NEW_Europe_1840_none_021026")</f>
        <v>NEW_Europe_1840_none_021026</v>
      </c>
      <c r="S1149" s="67" t="str">
        <f>IFERROR(__xludf.DUMMYFUNCTION("""COMPUTED_VALUE"""),"saletructiep_Europe.M748.1840.giaotiep_PTATT_LD267")</f>
        <v>saletructiep_Europe.M748.1840.giaotiep_PTATT_LD267</v>
      </c>
      <c r="T1149" s="107" t="str">
        <f>IFERROR(__xludf.DUMMYFUNCTION("""COMPUTED_VALUE"""),"https://patado.edu.vn/tienganhgiaotiep1_hn/?utm_source=Facebook&amp;utm_medium=CVS&amp;utm_term=NEW_Europe_1840_none_021026&amp;utm_content=saletructiep_Europe.M748.1840.giaotiep_PTATT_LD267&amp;utm_campaign=Europe.giaotiep.M748xM749_16917_CVS_NamNH_021026")</f>
        <v>https://patado.edu.vn/tienganhgiaotiep1_hn/?utm_source=Facebook&amp;utm_medium=CVS&amp;utm_term=NEW_Europe_1840_none_021026&amp;utm_content=saletructiep_Europe.M748.1840.giaotiep_PTATT_LD267&amp;utm_campaign=Europe.giaotiep.M748xM749_16917_CVS_NamNH_021026</v>
      </c>
      <c r="U1149" s="110" t="s">
        <v>8179</v>
      </c>
    </row>
    <row r="1150">
      <c r="A1150" s="72">
        <v>46297.0</v>
      </c>
      <c r="B1150" s="112" t="s">
        <v>7658</v>
      </c>
      <c r="C1150" s="67" t="str">
        <f>IFERROR(__xludf.DUMMYFUNCTION("""COMPUTED_VALUE"""),"LD282")</f>
        <v>LD282</v>
      </c>
      <c r="D1150" s="55" t="s">
        <v>42</v>
      </c>
      <c r="E1150" s="55" t="s">
        <v>69</v>
      </c>
      <c r="F1150" s="55" t="s">
        <v>133</v>
      </c>
      <c r="G1150" s="55">
        <v>1840.0</v>
      </c>
      <c r="H1150" s="55" t="s">
        <v>1137</v>
      </c>
      <c r="I1150" s="115" t="s">
        <v>8180</v>
      </c>
      <c r="J1150" s="55" t="s">
        <v>8181</v>
      </c>
      <c r="K1150" s="55" t="s">
        <v>61</v>
      </c>
      <c r="L1150" s="55">
        <v>16917.0</v>
      </c>
      <c r="M1150" s="55" t="s">
        <v>78</v>
      </c>
      <c r="N1150" s="55" t="s">
        <v>69</v>
      </c>
      <c r="O1150" s="55" t="s">
        <v>224</v>
      </c>
      <c r="P1150" s="55" t="s">
        <v>110</v>
      </c>
      <c r="Q1150" s="67" t="str">
        <f>IFERROR(__xludf.DUMMYFUNCTION("""COMPUTED_VALUE"""),"Japan.giaotiep.M748xM749_16917_CVS_NamNH_021026")</f>
        <v>Japan.giaotiep.M748xM749_16917_CVS_NamNH_021026</v>
      </c>
      <c r="R1150" s="67" t="str">
        <f>IFERROR(__xludf.DUMMYFUNCTION("""COMPUTED_VALUE"""),"NEW_Japan_1840_none_021026")</f>
        <v>NEW_Japan_1840_none_021026</v>
      </c>
      <c r="S1150" s="67" t="str">
        <f>IFERROR(__xludf.DUMMYFUNCTION("""COMPUTED_VALUE"""),"saletructiep_Japan.M748.1840.giaotiep_PTATT_LD282")</f>
        <v>saletructiep_Japan.M748.1840.giaotiep_PTATT_LD282</v>
      </c>
      <c r="T1150" s="107" t="str">
        <f>IFERROR(__xludf.DUMMYFUNCTION("""COMPUTED_VALUE"""),"https://patado.edu.vn/nhn_jp0106/?utm_source=Facebook&amp;utm_medium=CVS&amp;utm_term=NEW_Japan_1840_none_021026&amp;utm_content=saletructiep_Japan.M748.1840.giaotiep_PTATT_LD282&amp;utm_campaign=Japan.giaotiep.M748xM749_16917_CVS_NamNH_021026")</f>
        <v>https://patado.edu.vn/nhn_jp0106/?utm_source=Facebook&amp;utm_medium=CVS&amp;utm_term=NEW_Japan_1840_none_021026&amp;utm_content=saletructiep_Japan.M748.1840.giaotiep_PTATT_LD282&amp;utm_campaign=Japan.giaotiep.M748xM749_16917_CVS_NamNH_021026</v>
      </c>
      <c r="U1150" s="110" t="s">
        <v>8182</v>
      </c>
    </row>
    <row r="1151">
      <c r="A1151" s="72">
        <v>46297.0</v>
      </c>
      <c r="B1151" s="112" t="s">
        <v>2434</v>
      </c>
      <c r="C1151" s="67" t="str">
        <f>IFERROR(__xludf.DUMMYFUNCTION("""COMPUTED_VALUE"""),"LD267")</f>
        <v>LD267</v>
      </c>
      <c r="D1151" s="55" t="s">
        <v>42</v>
      </c>
      <c r="E1151" s="55" t="s">
        <v>79</v>
      </c>
      <c r="F1151" s="55" t="s">
        <v>539</v>
      </c>
      <c r="G1151" s="55">
        <v>1840.0</v>
      </c>
      <c r="H1151" s="55" t="s">
        <v>1137</v>
      </c>
      <c r="I1151" s="115" t="s">
        <v>8183</v>
      </c>
      <c r="J1151" s="55" t="s">
        <v>8184</v>
      </c>
      <c r="K1151" s="55" t="s">
        <v>61</v>
      </c>
      <c r="L1151" s="55">
        <v>16917.0</v>
      </c>
      <c r="M1151" s="55" t="s">
        <v>78</v>
      </c>
      <c r="N1151" s="55" t="s">
        <v>79</v>
      </c>
      <c r="O1151" s="55" t="s">
        <v>224</v>
      </c>
      <c r="P1151" s="55" t="s">
        <v>110</v>
      </c>
      <c r="Q1151" s="67" t="str">
        <f>IFERROR(__xludf.DUMMYFUNCTION("""COMPUTED_VALUE"""),"ALL.giaotiep.M748xM749_16917_MES_NamNH_021026")</f>
        <v>ALL.giaotiep.M748xM749_16917_MES_NamNH_021026</v>
      </c>
      <c r="R1151" s="67" t="str">
        <f>IFERROR(__xludf.DUMMYFUNCTION("""COMPUTED_VALUE"""),"NEW_ALL_1840_none_021026")</f>
        <v>NEW_ALL_1840_none_021026</v>
      </c>
      <c r="S1151" s="67" t="str">
        <f>IFERROR(__xludf.DUMMYFUNCTION("""COMPUTED_VALUE"""),"saletructiep_ALL.M748.1840.giaotiep_PTATT_LD267")</f>
        <v>saletructiep_ALL.M748.1840.giaotiep_PTATT_LD267</v>
      </c>
      <c r="T1151" s="107" t="str">
        <f>IFERROR(__xludf.DUMMYFUNCTION("""COMPUTED_VALUE"""),"https://patado.edu.vn/tienganhgiaotiep1_hn/?utm_source=Facebook&amp;utm_medium=MES&amp;utm_term=NEW_ALL_1840_none_021026&amp;utm_content=saletructiep_ALL.M748.1840.giaotiep_PTATT_LD267&amp;utm_campaign=ALL.giaotiep.M748xM749_16917_MES_NamNH_021026")</f>
        <v>https://patado.edu.vn/tienganhgiaotiep1_hn/?utm_source=Facebook&amp;utm_medium=MES&amp;utm_term=NEW_ALL_1840_none_021026&amp;utm_content=saletructiep_ALL.M748.1840.giaotiep_PTATT_LD267&amp;utm_campaign=ALL.giaotiep.M748xM749_16917_MES_NamNH_021026</v>
      </c>
      <c r="U1151" s="110" t="s">
        <v>8185</v>
      </c>
    </row>
    <row r="1152">
      <c r="A1152" s="72">
        <v>46297.0</v>
      </c>
      <c r="B1152" s="112" t="s">
        <v>2434</v>
      </c>
      <c r="C1152" s="67" t="str">
        <f>IFERROR(__xludf.DUMMYFUNCTION("""COMPUTED_VALUE"""),"LD267")</f>
        <v>LD267</v>
      </c>
      <c r="D1152" s="55" t="s">
        <v>42</v>
      </c>
      <c r="E1152" s="55" t="s">
        <v>69</v>
      </c>
      <c r="F1152" s="55" t="s">
        <v>674</v>
      </c>
      <c r="G1152" s="55">
        <v>1840.0</v>
      </c>
      <c r="H1152" s="55" t="s">
        <v>1137</v>
      </c>
      <c r="I1152" s="115" t="s">
        <v>8186</v>
      </c>
      <c r="J1152" s="55" t="s">
        <v>8187</v>
      </c>
      <c r="K1152" s="55" t="s">
        <v>61</v>
      </c>
      <c r="L1152" s="55">
        <v>16917.0</v>
      </c>
      <c r="M1152" s="55" t="s">
        <v>78</v>
      </c>
      <c r="N1152" s="55" t="s">
        <v>69</v>
      </c>
      <c r="O1152" s="55" t="s">
        <v>224</v>
      </c>
      <c r="P1152" s="55" t="s">
        <v>110</v>
      </c>
      <c r="Q1152" s="67" t="str">
        <f>IFERROR(__xludf.DUMMYFUNCTION("""COMPUTED_VALUE"""),"Europe.giaotiep.M764xM765_16917_CVS_NamNH_021026")</f>
        <v>Europe.giaotiep.M764xM765_16917_CVS_NamNH_021026</v>
      </c>
      <c r="R1152" s="67" t="str">
        <f>IFERROR(__xludf.DUMMYFUNCTION("""COMPUTED_VALUE"""),"NEW_Europe_1840_none_021026")</f>
        <v>NEW_Europe_1840_none_021026</v>
      </c>
      <c r="S1152" s="67" t="str">
        <f>IFERROR(__xludf.DUMMYFUNCTION("""COMPUTED_VALUE"""),"saletructiep_Europe.M764.1840.giaotiep_PTATT_LD267")</f>
        <v>saletructiep_Europe.M764.1840.giaotiep_PTATT_LD267</v>
      </c>
      <c r="T1152" s="107" t="str">
        <f>IFERROR(__xludf.DUMMYFUNCTION("""COMPUTED_VALUE"""),"https://patado.edu.vn/tienganhgiaotiep1_hn/?utm_source=Facebook&amp;utm_medium=CVS&amp;utm_term=NEW_Europe_1840_none_021026&amp;utm_content=saletructiep_Europe.M764.1840.giaotiep_PTATT_LD267&amp;utm_campaign=Europe.giaotiep.M764xM765_16917_CVS_NamNH_021026")</f>
        <v>https://patado.edu.vn/tienganhgiaotiep1_hn/?utm_source=Facebook&amp;utm_medium=CVS&amp;utm_term=NEW_Europe_1840_none_021026&amp;utm_content=saletructiep_Europe.M764.1840.giaotiep_PTATT_LD267&amp;utm_campaign=Europe.giaotiep.M764xM765_16917_CVS_NamNH_021026</v>
      </c>
      <c r="U1152" s="110" t="s">
        <v>8188</v>
      </c>
    </row>
    <row r="1153">
      <c r="A1153" s="72">
        <v>46297.0</v>
      </c>
      <c r="B1153" s="112" t="s">
        <v>7658</v>
      </c>
      <c r="C1153" s="67" t="str">
        <f>IFERROR(__xludf.DUMMYFUNCTION("""COMPUTED_VALUE"""),"LD282")</f>
        <v>LD282</v>
      </c>
      <c r="D1153" s="55" t="s">
        <v>42</v>
      </c>
      <c r="E1153" s="55" t="s">
        <v>69</v>
      </c>
      <c r="F1153" s="55" t="s">
        <v>133</v>
      </c>
      <c r="G1153" s="55">
        <v>1840.0</v>
      </c>
      <c r="H1153" s="55" t="s">
        <v>1137</v>
      </c>
      <c r="I1153" s="115" t="s">
        <v>8189</v>
      </c>
      <c r="J1153" s="55" t="s">
        <v>8190</v>
      </c>
      <c r="K1153" s="55" t="s">
        <v>61</v>
      </c>
      <c r="L1153" s="55">
        <v>16917.0</v>
      </c>
      <c r="M1153" s="55" t="s">
        <v>78</v>
      </c>
      <c r="N1153" s="55" t="s">
        <v>69</v>
      </c>
      <c r="O1153" s="55" t="s">
        <v>224</v>
      </c>
      <c r="P1153" s="55" t="s">
        <v>110</v>
      </c>
      <c r="Q1153" s="67" t="str">
        <f>IFERROR(__xludf.DUMMYFUNCTION("""COMPUTED_VALUE"""),"Japan.giaotiep.M764xM765_16917_CVS_NamNH_021026")</f>
        <v>Japan.giaotiep.M764xM765_16917_CVS_NamNH_021026</v>
      </c>
      <c r="R1153" s="67" t="str">
        <f>IFERROR(__xludf.DUMMYFUNCTION("""COMPUTED_VALUE"""),"NEW_Japan_1840_none_021026")</f>
        <v>NEW_Japan_1840_none_021026</v>
      </c>
      <c r="S1153" s="67" t="str">
        <f>IFERROR(__xludf.DUMMYFUNCTION("""COMPUTED_VALUE"""),"saletructiep_Japan.M764.1840.giaotiep_PTATT_LD282")</f>
        <v>saletructiep_Japan.M764.1840.giaotiep_PTATT_LD282</v>
      </c>
      <c r="T1153" s="107" t="str">
        <f>IFERROR(__xludf.DUMMYFUNCTION("""COMPUTED_VALUE"""),"https://patado.edu.vn/nhn_jp0106/?utm_source=Facebook&amp;utm_medium=CVS&amp;utm_term=NEW_Japan_1840_none_021026&amp;utm_content=saletructiep_Japan.M764.1840.giaotiep_PTATT_LD282&amp;utm_campaign=Japan.giaotiep.M764xM765_16917_CVS_NamNH_021026")</f>
        <v>https://patado.edu.vn/nhn_jp0106/?utm_source=Facebook&amp;utm_medium=CVS&amp;utm_term=NEW_Japan_1840_none_021026&amp;utm_content=saletructiep_Japan.M764.1840.giaotiep_PTATT_LD282&amp;utm_campaign=Japan.giaotiep.M764xM765_16917_CVS_NamNH_021026</v>
      </c>
      <c r="U1153" s="110" t="s">
        <v>8191</v>
      </c>
    </row>
    <row r="1154">
      <c r="A1154" s="72">
        <v>46297.0</v>
      </c>
      <c r="B1154" s="112" t="s">
        <v>2434</v>
      </c>
      <c r="C1154" s="67" t="str">
        <f>IFERROR(__xludf.DUMMYFUNCTION("""COMPUTED_VALUE"""),"LD267")</f>
        <v>LD267</v>
      </c>
      <c r="D1154" s="55" t="s">
        <v>42</v>
      </c>
      <c r="E1154" s="55" t="s">
        <v>79</v>
      </c>
      <c r="F1154" s="55" t="s">
        <v>539</v>
      </c>
      <c r="G1154" s="55">
        <v>1840.0</v>
      </c>
      <c r="H1154" s="55" t="s">
        <v>1137</v>
      </c>
      <c r="I1154" s="115" t="s">
        <v>8192</v>
      </c>
      <c r="J1154" s="55" t="s">
        <v>8193</v>
      </c>
      <c r="K1154" s="55" t="s">
        <v>61</v>
      </c>
      <c r="L1154" s="55">
        <v>16917.0</v>
      </c>
      <c r="M1154" s="55" t="s">
        <v>78</v>
      </c>
      <c r="N1154" s="55" t="s">
        <v>79</v>
      </c>
      <c r="O1154" s="55" t="s">
        <v>224</v>
      </c>
      <c r="P1154" s="55" t="s">
        <v>110</v>
      </c>
      <c r="Q1154" s="67" t="str">
        <f>IFERROR(__xludf.DUMMYFUNCTION("""COMPUTED_VALUE"""),"ALL.giaotiep.M764xM765_16917_MES_NamNH_021026")</f>
        <v>ALL.giaotiep.M764xM765_16917_MES_NamNH_021026</v>
      </c>
      <c r="R1154" s="67" t="str">
        <f>IFERROR(__xludf.DUMMYFUNCTION("""COMPUTED_VALUE"""),"NEW_ALL_1840_none_021026")</f>
        <v>NEW_ALL_1840_none_021026</v>
      </c>
      <c r="S1154" s="67" t="str">
        <f>IFERROR(__xludf.DUMMYFUNCTION("""COMPUTED_VALUE"""),"saletructiep_ALL.M764.1840.giaotiep_PTATT_LD267")</f>
        <v>saletructiep_ALL.M764.1840.giaotiep_PTATT_LD267</v>
      </c>
      <c r="T1154" s="107" t="str">
        <f>IFERROR(__xludf.DUMMYFUNCTION("""COMPUTED_VALUE"""),"https://patado.edu.vn/tienganhgiaotiep1_hn/?utm_source=Facebook&amp;utm_medium=MES&amp;utm_term=NEW_ALL_1840_none_021026&amp;utm_content=saletructiep_ALL.M764.1840.giaotiep_PTATT_LD267&amp;utm_campaign=ALL.giaotiep.M764xM765_16917_MES_NamNH_021026")</f>
        <v>https://patado.edu.vn/tienganhgiaotiep1_hn/?utm_source=Facebook&amp;utm_medium=MES&amp;utm_term=NEW_ALL_1840_none_021026&amp;utm_content=saletructiep_ALL.M764.1840.giaotiep_PTATT_LD267&amp;utm_campaign=ALL.giaotiep.M764xM765_16917_MES_NamNH_021026</v>
      </c>
      <c r="U1154" s="110" t="s">
        <v>8194</v>
      </c>
    </row>
    <row r="1155">
      <c r="A1155" s="72">
        <v>46297.0</v>
      </c>
      <c r="B1155" s="112" t="s">
        <v>7658</v>
      </c>
      <c r="C1155" s="67" t="str">
        <f>IFERROR(__xludf.DUMMYFUNCTION("""COMPUTED_VALUE"""),"LD282")</f>
        <v>LD282</v>
      </c>
      <c r="D1155" s="55" t="s">
        <v>42</v>
      </c>
      <c r="E1155" s="55" t="s">
        <v>69</v>
      </c>
      <c r="F1155" s="55" t="s">
        <v>133</v>
      </c>
      <c r="G1155" s="55">
        <v>1840.0</v>
      </c>
      <c r="H1155" s="55" t="s">
        <v>1137</v>
      </c>
      <c r="I1155" s="115" t="s">
        <v>8195</v>
      </c>
      <c r="J1155" s="55" t="s">
        <v>8196</v>
      </c>
      <c r="K1155" s="55" t="s">
        <v>61</v>
      </c>
      <c r="L1155" s="55">
        <v>16917.0</v>
      </c>
      <c r="M1155" s="55" t="s">
        <v>78</v>
      </c>
      <c r="N1155" s="55" t="s">
        <v>69</v>
      </c>
      <c r="O1155" s="55" t="s">
        <v>224</v>
      </c>
      <c r="P1155" s="55" t="s">
        <v>110</v>
      </c>
      <c r="Q1155" s="67" t="str">
        <f>IFERROR(__xludf.DUMMYFUNCTION("""COMPUTED_VALUE"""),"Japan.giaotiep.M767xM768_16917_CVS_NamNH_021026")</f>
        <v>Japan.giaotiep.M767xM768_16917_CVS_NamNH_021026</v>
      </c>
      <c r="R1155" s="67" t="str">
        <f>IFERROR(__xludf.DUMMYFUNCTION("""COMPUTED_VALUE"""),"NEW_Japan_1840_none_021026")</f>
        <v>NEW_Japan_1840_none_021026</v>
      </c>
      <c r="S1155" s="67" t="str">
        <f>IFERROR(__xludf.DUMMYFUNCTION("""COMPUTED_VALUE"""),"saletructiep_Japan.M767.1840.giaotiep_PTATT_LD282")</f>
        <v>saletructiep_Japan.M767.1840.giaotiep_PTATT_LD282</v>
      </c>
      <c r="T1155" s="107" t="str">
        <f>IFERROR(__xludf.DUMMYFUNCTION("""COMPUTED_VALUE"""),"https://patado.edu.vn/nhn_jp0106/?utm_source=Facebook&amp;utm_medium=CVS&amp;utm_term=NEW_Japan_1840_none_021026&amp;utm_content=saletructiep_Japan.M767.1840.giaotiep_PTATT_LD282&amp;utm_campaign=Japan.giaotiep.M767xM768_16917_CVS_NamNH_021026")</f>
        <v>https://patado.edu.vn/nhn_jp0106/?utm_source=Facebook&amp;utm_medium=CVS&amp;utm_term=NEW_Japan_1840_none_021026&amp;utm_content=saletructiep_Japan.M767.1840.giaotiep_PTATT_LD282&amp;utm_campaign=Japan.giaotiep.M767xM768_16917_CVS_NamNH_021026</v>
      </c>
      <c r="U1155" s="110" t="s">
        <v>8197</v>
      </c>
    </row>
    <row r="1156">
      <c r="A1156" s="72">
        <v>46302.0</v>
      </c>
      <c r="B1156" s="60" t="s">
        <v>7662</v>
      </c>
      <c r="C1156" s="67" t="str">
        <f>IFERROR(__xludf.DUMMYFUNCTION("""COMPUTED_VALUE"""),"LD284")</f>
        <v>LD284</v>
      </c>
      <c r="D1156" s="55" t="s">
        <v>42</v>
      </c>
      <c r="E1156" s="55" t="s">
        <v>69</v>
      </c>
      <c r="F1156" s="55" t="s">
        <v>674</v>
      </c>
      <c r="G1156" s="55">
        <v>1840.0</v>
      </c>
      <c r="H1156" s="55" t="s">
        <v>1137</v>
      </c>
      <c r="I1156" s="115" t="s">
        <v>8198</v>
      </c>
      <c r="J1156" s="55" t="s">
        <v>8199</v>
      </c>
      <c r="K1156" s="55" t="s">
        <v>61</v>
      </c>
      <c r="L1156" s="55">
        <v>16917.0</v>
      </c>
      <c r="M1156" s="55" t="s">
        <v>78</v>
      </c>
      <c r="N1156" s="55" t="s">
        <v>69</v>
      </c>
      <c r="O1156" s="55" t="s">
        <v>224</v>
      </c>
      <c r="P1156" s="55" t="s">
        <v>110</v>
      </c>
      <c r="Q1156" s="67" t="str">
        <f>IFERROR(__xludf.DUMMYFUNCTION("""COMPUTED_VALUE"""),"Europe.giaotiep.M767xM768_16917_CVS_NamNH_071026")</f>
        <v>Europe.giaotiep.M767xM768_16917_CVS_NamNH_071026</v>
      </c>
      <c r="R1156" s="67" t="str">
        <f>IFERROR(__xludf.DUMMYFUNCTION("""COMPUTED_VALUE"""),"NEW_Europe_1840_none_071026")</f>
        <v>NEW_Europe_1840_none_071026</v>
      </c>
      <c r="S1156" s="67" t="str">
        <f>IFERROR(__xludf.DUMMYFUNCTION("""COMPUTED_VALUE"""),"saletructiep_Europe.M767.1840.giaotiep_PTATT_LD284")</f>
        <v>saletructiep_Europe.M767.1840.giaotiep_PTATT_LD284</v>
      </c>
      <c r="T1156" s="107" t="str">
        <f>IFERROR(__xludf.DUMMYFUNCTION("""COMPUTED_VALUE"""),"https://patado.edu.vn/ptd_hongtt/?utm_source=Facebook&amp;utm_medium=CVS&amp;utm_term=NEW_Europe_1840_none_071026&amp;utm_content=saletructiep_Europe.M767.1840.giaotiep_PTATT_LD284&amp;utm_campaign=Europe.giaotiep.M767xM768_16917_CVS_NamNH_071026")</f>
        <v>https://patado.edu.vn/ptd_hongtt/?utm_source=Facebook&amp;utm_medium=CVS&amp;utm_term=NEW_Europe_1840_none_071026&amp;utm_content=saletructiep_Europe.M767.1840.giaotiep_PTATT_LD284&amp;utm_campaign=Europe.giaotiep.M767xM768_16917_CVS_NamNH_071026</v>
      </c>
      <c r="U1156" s="110" t="s">
        <v>8200</v>
      </c>
    </row>
    <row r="1157">
      <c r="A1157" s="72">
        <v>46302.0</v>
      </c>
      <c r="B1157" s="60" t="s">
        <v>7662</v>
      </c>
      <c r="C1157" s="67" t="str">
        <f>IFERROR(__xludf.DUMMYFUNCTION("""COMPUTED_VALUE"""),"LD284")</f>
        <v>LD284</v>
      </c>
      <c r="D1157" s="55" t="s">
        <v>42</v>
      </c>
      <c r="E1157" s="55" t="s">
        <v>79</v>
      </c>
      <c r="F1157" s="55" t="s">
        <v>539</v>
      </c>
      <c r="G1157" s="55">
        <v>1840.0</v>
      </c>
      <c r="H1157" s="55" t="s">
        <v>1137</v>
      </c>
      <c r="I1157" s="115" t="s">
        <v>8201</v>
      </c>
      <c r="J1157" s="55" t="s">
        <v>8202</v>
      </c>
      <c r="K1157" s="55" t="s">
        <v>61</v>
      </c>
      <c r="L1157" s="55">
        <v>16917.0</v>
      </c>
      <c r="M1157" s="55" t="s">
        <v>78</v>
      </c>
      <c r="N1157" s="55" t="s">
        <v>79</v>
      </c>
      <c r="O1157" s="55" t="s">
        <v>224</v>
      </c>
      <c r="P1157" s="55" t="s">
        <v>110</v>
      </c>
      <c r="Q1157" s="67" t="str">
        <f>IFERROR(__xludf.DUMMYFUNCTION("""COMPUTED_VALUE"""),"ALL.giaotiep.M767xM768_16917_MES_NamNH_071026")</f>
        <v>ALL.giaotiep.M767xM768_16917_MES_NamNH_071026</v>
      </c>
      <c r="R1157" s="67" t="str">
        <f>IFERROR(__xludf.DUMMYFUNCTION("""COMPUTED_VALUE"""),"NEW_ALL_1840_none_071026")</f>
        <v>NEW_ALL_1840_none_071026</v>
      </c>
      <c r="S1157" s="67" t="str">
        <f>IFERROR(__xludf.DUMMYFUNCTION("""COMPUTED_VALUE"""),"saletructiep_ALL.M767.1840.giaotiep_PTATT_LD284")</f>
        <v>saletructiep_ALL.M767.1840.giaotiep_PTATT_LD284</v>
      </c>
      <c r="T1157" s="107" t="str">
        <f>IFERROR(__xludf.DUMMYFUNCTION("""COMPUTED_VALUE"""),"https://patado.edu.vn/ptd_hongtt/?utm_source=Facebook&amp;utm_medium=MES&amp;utm_term=NEW_ALL_1840_none_071026&amp;utm_content=saletructiep_ALL.M767.1840.giaotiep_PTATT_LD284&amp;utm_campaign=ALL.giaotiep.M767xM768_16917_MES_NamNH_071026")</f>
        <v>https://patado.edu.vn/ptd_hongtt/?utm_source=Facebook&amp;utm_medium=MES&amp;utm_term=NEW_ALL_1840_none_071026&amp;utm_content=saletructiep_ALL.M767.1840.giaotiep_PTATT_LD284&amp;utm_campaign=ALL.giaotiep.M767xM768_16917_MES_NamNH_071026</v>
      </c>
      <c r="U1157" s="110" t="s">
        <v>8203</v>
      </c>
    </row>
    <row r="1158">
      <c r="A1158" s="72">
        <v>46302.0</v>
      </c>
      <c r="B1158" s="112" t="s">
        <v>7658</v>
      </c>
      <c r="C1158" s="67" t="str">
        <f>IFERROR(__xludf.DUMMYFUNCTION("""COMPUTED_VALUE"""),"LD282")</f>
        <v>LD282</v>
      </c>
      <c r="D1158" s="55" t="s">
        <v>42</v>
      </c>
      <c r="E1158" s="55" t="s">
        <v>69</v>
      </c>
      <c r="F1158" s="55" t="s">
        <v>133</v>
      </c>
      <c r="G1158" s="55">
        <v>1840.0</v>
      </c>
      <c r="H1158" s="55" t="s">
        <v>1137</v>
      </c>
      <c r="I1158" s="115" t="s">
        <v>8204</v>
      </c>
      <c r="J1158" s="55" t="s">
        <v>8205</v>
      </c>
      <c r="K1158" s="55" t="s">
        <v>61</v>
      </c>
      <c r="L1158" s="55">
        <v>16917.0</v>
      </c>
      <c r="M1158" s="55" t="s">
        <v>78</v>
      </c>
      <c r="N1158" s="55" t="s">
        <v>69</v>
      </c>
      <c r="O1158" s="55" t="s">
        <v>224</v>
      </c>
      <c r="P1158" s="55" t="s">
        <v>110</v>
      </c>
      <c r="Q1158" s="67" t="str">
        <f>IFERROR(__xludf.DUMMYFUNCTION("""COMPUTED_VALUE"""),"Japan.giaotiep.M769xM770_16917_CVS_NamNH_071026")</f>
        <v>Japan.giaotiep.M769xM770_16917_CVS_NamNH_071026</v>
      </c>
      <c r="R1158" s="67" t="str">
        <f>IFERROR(__xludf.DUMMYFUNCTION("""COMPUTED_VALUE"""),"NEW_Japan_1840_none_071026")</f>
        <v>NEW_Japan_1840_none_071026</v>
      </c>
      <c r="S1158" s="67" t="str">
        <f>IFERROR(__xludf.DUMMYFUNCTION("""COMPUTED_VALUE"""),"saletructiep_Japan.M769.1840.giaotiep_PTATT_LD282")</f>
        <v>saletructiep_Japan.M769.1840.giaotiep_PTATT_LD282</v>
      </c>
      <c r="T1158" s="107" t="str">
        <f>IFERROR(__xludf.DUMMYFUNCTION("""COMPUTED_VALUE"""),"https://patado.edu.vn/nhn_jp0106/?utm_source=Facebook&amp;utm_medium=CVS&amp;utm_term=NEW_Japan_1840_none_071026&amp;utm_content=saletructiep_Japan.M769.1840.giaotiep_PTATT_LD282&amp;utm_campaign=Japan.giaotiep.M769xM770_16917_CVS_NamNH_071026")</f>
        <v>https://patado.edu.vn/nhn_jp0106/?utm_source=Facebook&amp;utm_medium=CVS&amp;utm_term=NEW_Japan_1840_none_071026&amp;utm_content=saletructiep_Japan.M769.1840.giaotiep_PTATT_LD282&amp;utm_campaign=Japan.giaotiep.M769xM770_16917_CVS_NamNH_071026</v>
      </c>
      <c r="U1158" s="110" t="s">
        <v>8206</v>
      </c>
    </row>
    <row r="1159">
      <c r="A1159" s="72">
        <v>46302.0</v>
      </c>
      <c r="B1159" s="60" t="s">
        <v>7662</v>
      </c>
      <c r="C1159" s="67" t="str">
        <f>IFERROR(__xludf.DUMMYFUNCTION("""COMPUTED_VALUE"""),"LD284")</f>
        <v>LD284</v>
      </c>
      <c r="D1159" s="55" t="s">
        <v>42</v>
      </c>
      <c r="E1159" s="55" t="s">
        <v>69</v>
      </c>
      <c r="F1159" s="55" t="s">
        <v>674</v>
      </c>
      <c r="G1159" s="55">
        <v>1840.0</v>
      </c>
      <c r="H1159" s="55" t="s">
        <v>1137</v>
      </c>
      <c r="I1159" s="115" t="s">
        <v>8207</v>
      </c>
      <c r="J1159" s="55" t="s">
        <v>8208</v>
      </c>
      <c r="K1159" s="55" t="s">
        <v>61</v>
      </c>
      <c r="L1159" s="55">
        <v>16917.0</v>
      </c>
      <c r="M1159" s="55" t="s">
        <v>78</v>
      </c>
      <c r="N1159" s="55" t="s">
        <v>69</v>
      </c>
      <c r="O1159" s="55" t="s">
        <v>224</v>
      </c>
      <c r="P1159" s="55" t="s">
        <v>110</v>
      </c>
      <c r="Q1159" s="67" t="str">
        <f>IFERROR(__xludf.DUMMYFUNCTION("""COMPUTED_VALUE"""),"Europe.giaotiep.M769xM770_16917_CVS_NamNH_071026")</f>
        <v>Europe.giaotiep.M769xM770_16917_CVS_NamNH_071026</v>
      </c>
      <c r="R1159" s="67" t="str">
        <f>IFERROR(__xludf.DUMMYFUNCTION("""COMPUTED_VALUE"""),"NEW_Europe_1840_none_071026")</f>
        <v>NEW_Europe_1840_none_071026</v>
      </c>
      <c r="S1159" s="67" t="str">
        <f>IFERROR(__xludf.DUMMYFUNCTION("""COMPUTED_VALUE"""),"saletructiep_Europe.M769.1840.giaotiep_PTATT_LD284")</f>
        <v>saletructiep_Europe.M769.1840.giaotiep_PTATT_LD284</v>
      </c>
      <c r="T1159" s="107" t="str">
        <f>IFERROR(__xludf.DUMMYFUNCTION("""COMPUTED_VALUE"""),"https://patado.edu.vn/ptd_hongtt/?utm_source=Facebook&amp;utm_medium=CVS&amp;utm_term=NEW_Europe_1840_none_071026&amp;utm_content=saletructiep_Europe.M769.1840.giaotiep_PTATT_LD284&amp;utm_campaign=Europe.giaotiep.M769xM770_16917_CVS_NamNH_071026")</f>
        <v>https://patado.edu.vn/ptd_hongtt/?utm_source=Facebook&amp;utm_medium=CVS&amp;utm_term=NEW_Europe_1840_none_071026&amp;utm_content=saletructiep_Europe.M769.1840.giaotiep_PTATT_LD284&amp;utm_campaign=Europe.giaotiep.M769xM770_16917_CVS_NamNH_071026</v>
      </c>
      <c r="U1159" s="110" t="s">
        <v>8209</v>
      </c>
    </row>
    <row r="1160">
      <c r="A1160" s="72">
        <v>46302.0</v>
      </c>
      <c r="B1160" s="60" t="s">
        <v>7662</v>
      </c>
      <c r="C1160" s="67" t="str">
        <f>IFERROR(__xludf.DUMMYFUNCTION("""COMPUTED_VALUE"""),"LD284")</f>
        <v>LD284</v>
      </c>
      <c r="D1160" s="55" t="s">
        <v>42</v>
      </c>
      <c r="E1160" s="55" t="s">
        <v>79</v>
      </c>
      <c r="F1160" s="55" t="s">
        <v>539</v>
      </c>
      <c r="G1160" s="55">
        <v>1840.0</v>
      </c>
      <c r="H1160" s="55" t="s">
        <v>1137</v>
      </c>
      <c r="I1160" s="115" t="s">
        <v>8210</v>
      </c>
      <c r="J1160" s="55" t="s">
        <v>8211</v>
      </c>
      <c r="K1160" s="55" t="s">
        <v>61</v>
      </c>
      <c r="L1160" s="55">
        <v>16917.0</v>
      </c>
      <c r="M1160" s="55" t="s">
        <v>78</v>
      </c>
      <c r="N1160" s="55" t="s">
        <v>79</v>
      </c>
      <c r="O1160" s="55" t="s">
        <v>224</v>
      </c>
      <c r="P1160" s="55" t="s">
        <v>110</v>
      </c>
      <c r="Q1160" s="67" t="str">
        <f>IFERROR(__xludf.DUMMYFUNCTION("""COMPUTED_VALUE"""),"ALL.giaotiep.M769xM770_16917_MES_NamNH_071026")</f>
        <v>ALL.giaotiep.M769xM770_16917_MES_NamNH_071026</v>
      </c>
      <c r="R1160" s="67" t="str">
        <f>IFERROR(__xludf.DUMMYFUNCTION("""COMPUTED_VALUE"""),"NEW_ALL_1840_none_071026")</f>
        <v>NEW_ALL_1840_none_071026</v>
      </c>
      <c r="S1160" s="67" t="str">
        <f>IFERROR(__xludf.DUMMYFUNCTION("""COMPUTED_VALUE"""),"saletructiep_ALL.M769.1840.giaotiep_PTATT_LD284")</f>
        <v>saletructiep_ALL.M769.1840.giaotiep_PTATT_LD284</v>
      </c>
      <c r="T1160" s="107" t="str">
        <f>IFERROR(__xludf.DUMMYFUNCTION("""COMPUTED_VALUE"""),"https://patado.edu.vn/ptd_hongtt/?utm_source=Facebook&amp;utm_medium=MES&amp;utm_term=NEW_ALL_1840_none_071026&amp;utm_content=saletructiep_ALL.M769.1840.giaotiep_PTATT_LD284&amp;utm_campaign=ALL.giaotiep.M769xM770_16917_MES_NamNH_071026")</f>
        <v>https://patado.edu.vn/ptd_hongtt/?utm_source=Facebook&amp;utm_medium=MES&amp;utm_term=NEW_ALL_1840_none_071026&amp;utm_content=saletructiep_ALL.M769.1840.giaotiep_PTATT_LD284&amp;utm_campaign=ALL.giaotiep.M769xM770_16917_MES_NamNH_071026</v>
      </c>
      <c r="U1160" s="110" t="s">
        <v>8212</v>
      </c>
    </row>
    <row r="1161">
      <c r="A1161" s="72">
        <v>46302.0</v>
      </c>
      <c r="B1161" s="112" t="s">
        <v>2543</v>
      </c>
      <c r="C1161" s="67" t="str">
        <f>IFERROR(__xludf.DUMMYFUNCTION("""COMPUTED_VALUE"""),"LD265")</f>
        <v>LD265</v>
      </c>
      <c r="D1161" s="55" t="s">
        <v>42</v>
      </c>
      <c r="E1161" s="55" t="s">
        <v>69</v>
      </c>
      <c r="F1161" s="55" t="s">
        <v>133</v>
      </c>
      <c r="G1161" s="55">
        <v>1840.0</v>
      </c>
      <c r="H1161" s="55" t="s">
        <v>1137</v>
      </c>
      <c r="I1161" s="115" t="s">
        <v>8213</v>
      </c>
      <c r="J1161" s="55" t="s">
        <v>8214</v>
      </c>
      <c r="K1161" s="55" t="s">
        <v>61</v>
      </c>
      <c r="L1161" s="55">
        <v>16917.0</v>
      </c>
      <c r="M1161" s="55" t="s">
        <v>78</v>
      </c>
      <c r="N1161" s="55" t="s">
        <v>69</v>
      </c>
      <c r="O1161" s="55" t="s">
        <v>224</v>
      </c>
      <c r="P1161" s="55" t="s">
        <v>110</v>
      </c>
      <c r="Q1161" s="67" t="str">
        <f>IFERROR(__xludf.DUMMYFUNCTION("""COMPUTED_VALUE"""),"Japan.giaotiep.M771xM772_16917_CVS_NamNH_071026")</f>
        <v>Japan.giaotiep.M771xM772_16917_CVS_NamNH_071026</v>
      </c>
      <c r="R1161" s="67" t="str">
        <f>IFERROR(__xludf.DUMMYFUNCTION("""COMPUTED_VALUE"""),"NEW_Japan_1840_none_071026")</f>
        <v>NEW_Japan_1840_none_071026</v>
      </c>
      <c r="S1161" s="67" t="str">
        <f>IFERROR(__xludf.DUMMYFUNCTION("""COMPUTED_VALUE"""),"saletructiep_Japan.M771.1840.giaotiep_PTATT_LD265")</f>
        <v>saletructiep_Japan.M771.1840.giaotiep_PTATT_LD265</v>
      </c>
      <c r="T1161" s="107" t="str">
        <f>IFERROR(__xludf.DUMMYFUNCTION("""COMPUTED_VALUE"""),"https://patado.edu.vn/gtjapan_nhn3/?utm_source=Facebook&amp;utm_medium=CVS&amp;utm_term=NEW_Japan_1840_none_071026&amp;utm_content=saletructiep_Japan.M771.1840.giaotiep_PTATT_LD265&amp;utm_campaign=Japan.giaotiep.M771xM772_16917_CVS_NamNH_071026")</f>
        <v>https://patado.edu.vn/gtjapan_nhn3/?utm_source=Facebook&amp;utm_medium=CVS&amp;utm_term=NEW_Japan_1840_none_071026&amp;utm_content=saletructiep_Japan.M771.1840.giaotiep_PTATT_LD265&amp;utm_campaign=Japan.giaotiep.M771xM772_16917_CVS_NamNH_071026</v>
      </c>
      <c r="U1161" s="110" t="s">
        <v>8215</v>
      </c>
    </row>
    <row r="1162">
      <c r="A1162" s="72">
        <v>46302.0</v>
      </c>
      <c r="B1162" s="112" t="s">
        <v>2434</v>
      </c>
      <c r="C1162" s="67" t="str">
        <f>IFERROR(__xludf.DUMMYFUNCTION("""COMPUTED_VALUE"""),"LD267")</f>
        <v>LD267</v>
      </c>
      <c r="D1162" s="55" t="s">
        <v>42</v>
      </c>
      <c r="E1162" s="55" t="s">
        <v>69</v>
      </c>
      <c r="F1162" s="55" t="s">
        <v>674</v>
      </c>
      <c r="G1162" s="55">
        <v>1840.0</v>
      </c>
      <c r="H1162" s="55" t="s">
        <v>1137</v>
      </c>
      <c r="I1162" s="115" t="s">
        <v>8216</v>
      </c>
      <c r="J1162" s="55" t="s">
        <v>8217</v>
      </c>
      <c r="K1162" s="55" t="s">
        <v>61</v>
      </c>
      <c r="L1162" s="55">
        <v>16917.0</v>
      </c>
      <c r="M1162" s="55" t="s">
        <v>78</v>
      </c>
      <c r="N1162" s="55" t="s">
        <v>69</v>
      </c>
      <c r="O1162" s="55" t="s">
        <v>224</v>
      </c>
      <c r="P1162" s="55" t="s">
        <v>110</v>
      </c>
      <c r="Q1162" s="67" t="str">
        <f>IFERROR(__xludf.DUMMYFUNCTION("""COMPUTED_VALUE"""),"Europe.giaotiep.M771xM772_16917_CVS_NamNH_071026")</f>
        <v>Europe.giaotiep.M771xM772_16917_CVS_NamNH_071026</v>
      </c>
      <c r="R1162" s="67" t="str">
        <f>IFERROR(__xludf.DUMMYFUNCTION("""COMPUTED_VALUE"""),"NEW_Europe_1840_none_071026")</f>
        <v>NEW_Europe_1840_none_071026</v>
      </c>
      <c r="S1162" s="67" t="str">
        <f>IFERROR(__xludf.DUMMYFUNCTION("""COMPUTED_VALUE"""),"saletructiep_Europe.M771.1840.giaotiep_PTATT_LD267")</f>
        <v>saletructiep_Europe.M771.1840.giaotiep_PTATT_LD267</v>
      </c>
      <c r="T1162" s="107" t="str">
        <f>IFERROR(__xludf.DUMMYFUNCTION("""COMPUTED_VALUE"""),"https://patado.edu.vn/tienganhgiaotiep1_hn/?utm_source=Facebook&amp;utm_medium=CVS&amp;utm_term=NEW_Europe_1840_none_071026&amp;utm_content=saletructiep_Europe.M771.1840.giaotiep_PTATT_LD267&amp;utm_campaign=Europe.giaotiep.M771xM772_16917_CVS_NamNH_071026")</f>
        <v>https://patado.edu.vn/tienganhgiaotiep1_hn/?utm_source=Facebook&amp;utm_medium=CVS&amp;utm_term=NEW_Europe_1840_none_071026&amp;utm_content=saletructiep_Europe.M771.1840.giaotiep_PTATT_LD267&amp;utm_campaign=Europe.giaotiep.M771xM772_16917_CVS_NamNH_071026</v>
      </c>
      <c r="U1162" s="110" t="s">
        <v>8218</v>
      </c>
    </row>
    <row r="1163">
      <c r="A1163" s="72">
        <v>46302.0</v>
      </c>
      <c r="B1163" s="60" t="s">
        <v>7662</v>
      </c>
      <c r="C1163" s="67" t="str">
        <f>IFERROR(__xludf.DUMMYFUNCTION("""COMPUTED_VALUE"""),"LD284")</f>
        <v>LD284</v>
      </c>
      <c r="D1163" s="55" t="s">
        <v>42</v>
      </c>
      <c r="E1163" s="55" t="s">
        <v>79</v>
      </c>
      <c r="F1163" s="55" t="s">
        <v>539</v>
      </c>
      <c r="G1163" s="55">
        <v>1840.0</v>
      </c>
      <c r="H1163" s="55" t="s">
        <v>1137</v>
      </c>
      <c r="I1163" s="115" t="s">
        <v>8219</v>
      </c>
      <c r="J1163" s="55" t="s">
        <v>8220</v>
      </c>
      <c r="K1163" s="55" t="s">
        <v>61</v>
      </c>
      <c r="L1163" s="55">
        <v>16917.0</v>
      </c>
      <c r="M1163" s="55" t="s">
        <v>78</v>
      </c>
      <c r="N1163" s="55" t="s">
        <v>79</v>
      </c>
      <c r="O1163" s="55" t="s">
        <v>224</v>
      </c>
      <c r="P1163" s="55" t="s">
        <v>110</v>
      </c>
      <c r="Q1163" s="67" t="str">
        <f>IFERROR(__xludf.DUMMYFUNCTION("""COMPUTED_VALUE"""),"ALL.giaotiep.M771xM772_16917_MES_NamNH_071026")</f>
        <v>ALL.giaotiep.M771xM772_16917_MES_NamNH_071026</v>
      </c>
      <c r="R1163" s="67" t="str">
        <f>IFERROR(__xludf.DUMMYFUNCTION("""COMPUTED_VALUE"""),"NEW_ALL_1840_none_071026")</f>
        <v>NEW_ALL_1840_none_071026</v>
      </c>
      <c r="S1163" s="67" t="str">
        <f>IFERROR(__xludf.DUMMYFUNCTION("""COMPUTED_VALUE"""),"saletructiep_ALL.M771.1840.giaotiep_PTATT_LD284")</f>
        <v>saletructiep_ALL.M771.1840.giaotiep_PTATT_LD284</v>
      </c>
      <c r="T1163" s="107" t="str">
        <f>IFERROR(__xludf.DUMMYFUNCTION("""COMPUTED_VALUE"""),"https://patado.edu.vn/ptd_hongtt/?utm_source=Facebook&amp;utm_medium=MES&amp;utm_term=NEW_ALL_1840_none_071026&amp;utm_content=saletructiep_ALL.M771.1840.giaotiep_PTATT_LD284&amp;utm_campaign=ALL.giaotiep.M771xM772_16917_MES_NamNH_071026")</f>
        <v>https://patado.edu.vn/ptd_hongtt/?utm_source=Facebook&amp;utm_medium=MES&amp;utm_term=NEW_ALL_1840_none_071026&amp;utm_content=saletructiep_ALL.M771.1840.giaotiep_PTATT_LD284&amp;utm_campaign=ALL.giaotiep.M771xM772_16917_MES_NamNH_071026</v>
      </c>
      <c r="U1163" s="110" t="s">
        <v>8221</v>
      </c>
    </row>
    <row r="1164">
      <c r="A1164" s="72">
        <v>46302.0</v>
      </c>
      <c r="B1164" s="112" t="s">
        <v>2434</v>
      </c>
      <c r="C1164" s="67" t="str">
        <f>IFERROR(__xludf.DUMMYFUNCTION("""COMPUTED_VALUE"""),"LD267")</f>
        <v>LD267</v>
      </c>
      <c r="D1164" s="55" t="s">
        <v>42</v>
      </c>
      <c r="E1164" s="55" t="s">
        <v>69</v>
      </c>
      <c r="F1164" s="55" t="s">
        <v>674</v>
      </c>
      <c r="G1164" s="55">
        <v>1840.0</v>
      </c>
      <c r="H1164" s="55" t="s">
        <v>1137</v>
      </c>
      <c r="I1164" s="115" t="s">
        <v>8207</v>
      </c>
      <c r="J1164" s="55" t="s">
        <v>8208</v>
      </c>
      <c r="K1164" s="55" t="s">
        <v>61</v>
      </c>
      <c r="L1164" s="55">
        <v>16917.0</v>
      </c>
      <c r="M1164" s="55" t="s">
        <v>78</v>
      </c>
      <c r="N1164" s="55" t="s">
        <v>69</v>
      </c>
      <c r="O1164" s="55" t="s">
        <v>224</v>
      </c>
      <c r="P1164" s="55" t="s">
        <v>110</v>
      </c>
      <c r="Q1164" s="67" t="str">
        <f>IFERROR(__xludf.DUMMYFUNCTION("""COMPUTED_VALUE"""),"Europe.giaotiep.M769xM770_16917_CVS_NamNH_071026")</f>
        <v>Europe.giaotiep.M769xM770_16917_CVS_NamNH_071026</v>
      </c>
      <c r="R1164" s="67" t="str">
        <f>IFERROR(__xludf.DUMMYFUNCTION("""COMPUTED_VALUE"""),"NEW_Europe_1840_none_071026")</f>
        <v>NEW_Europe_1840_none_071026</v>
      </c>
      <c r="S1164" s="67" t="str">
        <f>IFERROR(__xludf.DUMMYFUNCTION("""COMPUTED_VALUE"""),"saletructiep_Europe.M769.1840.giaotiep_PTATT_LD267")</f>
        <v>saletructiep_Europe.M769.1840.giaotiep_PTATT_LD267</v>
      </c>
      <c r="T1164" s="107" t="str">
        <f>IFERROR(__xludf.DUMMYFUNCTION("""COMPUTED_VALUE"""),"https://patado.edu.vn/tienganhgiaotiep1_hn/?utm_source=Facebook&amp;utm_medium=CVS&amp;utm_term=NEW_Europe_1840_none_071026&amp;utm_content=saletructiep_Europe.M769.1840.giaotiep_PTATT_LD267&amp;utm_campaign=Europe.giaotiep.M769xM770_16917_CVS_NamNH_071026")</f>
        <v>https://patado.edu.vn/tienganhgiaotiep1_hn/?utm_source=Facebook&amp;utm_medium=CVS&amp;utm_term=NEW_Europe_1840_none_071026&amp;utm_content=saletructiep_Europe.M769.1840.giaotiep_PTATT_LD267&amp;utm_campaign=Europe.giaotiep.M769xM770_16917_CVS_NamNH_071026</v>
      </c>
      <c r="U1164" s="116"/>
    </row>
    <row r="1165">
      <c r="A1165" s="72">
        <v>46307.0</v>
      </c>
      <c r="B1165" s="60" t="s">
        <v>7662</v>
      </c>
      <c r="C1165" s="67" t="str">
        <f>IFERROR(__xludf.DUMMYFUNCTION("""COMPUTED_VALUE"""),"LD284")</f>
        <v>LD284</v>
      </c>
      <c r="D1165" s="55" t="s">
        <v>42</v>
      </c>
      <c r="E1165" s="55" t="s">
        <v>69</v>
      </c>
      <c r="F1165" s="55" t="s">
        <v>674</v>
      </c>
      <c r="G1165" s="55">
        <v>1840.0</v>
      </c>
      <c r="H1165" s="55" t="s">
        <v>1137</v>
      </c>
      <c r="I1165" s="115" t="s">
        <v>8222</v>
      </c>
      <c r="J1165" s="55" t="s">
        <v>8223</v>
      </c>
      <c r="K1165" s="55" t="s">
        <v>61</v>
      </c>
      <c r="L1165" s="55">
        <v>16917.0</v>
      </c>
      <c r="M1165" s="55" t="s">
        <v>78</v>
      </c>
      <c r="N1165" s="55" t="s">
        <v>69</v>
      </c>
      <c r="O1165" s="55" t="s">
        <v>224</v>
      </c>
      <c r="P1165" s="55" t="s">
        <v>110</v>
      </c>
      <c r="Q1165" s="67" t="str">
        <f>IFERROR(__xludf.DUMMYFUNCTION("""COMPUTED_VALUE"""),"Europe.giaotiep.M775xM776_16917_CVS_NamNH_121026")</f>
        <v>Europe.giaotiep.M775xM776_16917_CVS_NamNH_121026</v>
      </c>
      <c r="R1165" s="67" t="str">
        <f>IFERROR(__xludf.DUMMYFUNCTION("""COMPUTED_VALUE"""),"NEW_Europe_1840_none_121026")</f>
        <v>NEW_Europe_1840_none_121026</v>
      </c>
      <c r="S1165" s="67" t="str">
        <f>IFERROR(__xludf.DUMMYFUNCTION("""COMPUTED_VALUE"""),"saletructiep_Europe.M775.1840.giaotiep_PTATT_LD284")</f>
        <v>saletructiep_Europe.M775.1840.giaotiep_PTATT_LD284</v>
      </c>
      <c r="T1165" s="107" t="str">
        <f>IFERROR(__xludf.DUMMYFUNCTION("""COMPUTED_VALUE"""),"https://patado.edu.vn/ptd_hongtt/?utm_source=Facebook&amp;utm_medium=CVS&amp;utm_term=NEW_Europe_1840_none_121026&amp;utm_content=saletructiep_Europe.M775.1840.giaotiep_PTATT_LD284&amp;utm_campaign=Europe.giaotiep.M775xM776_16917_CVS_NamNH_121026")</f>
        <v>https://patado.edu.vn/ptd_hongtt/?utm_source=Facebook&amp;utm_medium=CVS&amp;utm_term=NEW_Europe_1840_none_121026&amp;utm_content=saletructiep_Europe.M775.1840.giaotiep_PTATT_LD284&amp;utm_campaign=Europe.giaotiep.M775xM776_16917_CVS_NamNH_121026</v>
      </c>
      <c r="U1165" s="110" t="s">
        <v>8224</v>
      </c>
    </row>
    <row r="1166">
      <c r="A1166" s="72">
        <v>46307.0</v>
      </c>
      <c r="B1166" s="60" t="s">
        <v>7662</v>
      </c>
      <c r="C1166" s="67" t="str">
        <f>IFERROR(__xludf.DUMMYFUNCTION("""COMPUTED_VALUE"""),"LD284")</f>
        <v>LD284</v>
      </c>
      <c r="D1166" s="55" t="s">
        <v>42</v>
      </c>
      <c r="E1166" s="55" t="s">
        <v>69</v>
      </c>
      <c r="F1166" s="55" t="s">
        <v>674</v>
      </c>
      <c r="G1166" s="55">
        <v>1840.0</v>
      </c>
      <c r="H1166" s="55" t="s">
        <v>1137</v>
      </c>
      <c r="I1166" s="115" t="s">
        <v>8225</v>
      </c>
      <c r="J1166" s="55" t="s">
        <v>8226</v>
      </c>
      <c r="K1166" s="55" t="s">
        <v>61</v>
      </c>
      <c r="L1166" s="55">
        <v>16917.0</v>
      </c>
      <c r="M1166" s="55" t="s">
        <v>78</v>
      </c>
      <c r="N1166" s="55" t="s">
        <v>69</v>
      </c>
      <c r="O1166" s="55" t="s">
        <v>224</v>
      </c>
      <c r="P1166" s="55" t="s">
        <v>110</v>
      </c>
      <c r="Q1166" s="67" t="str">
        <f>IFERROR(__xludf.DUMMYFUNCTION("""COMPUTED_VALUE"""),"Europe.giaotiep.M777xM778_16917_CVS_NamNH_121026")</f>
        <v>Europe.giaotiep.M777xM778_16917_CVS_NamNH_121026</v>
      </c>
      <c r="R1166" s="67" t="str">
        <f>IFERROR(__xludf.DUMMYFUNCTION("""COMPUTED_VALUE"""),"NEW_Europe_1840_none_121026")</f>
        <v>NEW_Europe_1840_none_121026</v>
      </c>
      <c r="S1166" s="67" t="str">
        <f>IFERROR(__xludf.DUMMYFUNCTION("""COMPUTED_VALUE"""),"saletructiep_Europe.M777.1840.giaotiep_PTATT_LD284")</f>
        <v>saletructiep_Europe.M777.1840.giaotiep_PTATT_LD284</v>
      </c>
      <c r="T1166" s="107" t="str">
        <f>IFERROR(__xludf.DUMMYFUNCTION("""COMPUTED_VALUE"""),"https://patado.edu.vn/ptd_hongtt/?utm_source=Facebook&amp;utm_medium=CVS&amp;utm_term=NEW_Europe_1840_none_121026&amp;utm_content=saletructiep_Europe.M777.1840.giaotiep_PTATT_LD284&amp;utm_campaign=Europe.giaotiep.M777xM778_16917_CVS_NamNH_121026")</f>
        <v>https://patado.edu.vn/ptd_hongtt/?utm_source=Facebook&amp;utm_medium=CVS&amp;utm_term=NEW_Europe_1840_none_121026&amp;utm_content=saletructiep_Europe.M777.1840.giaotiep_PTATT_LD284&amp;utm_campaign=Europe.giaotiep.M777xM778_16917_CVS_NamNH_121026</v>
      </c>
      <c r="U1166" s="110" t="s">
        <v>8227</v>
      </c>
    </row>
    <row r="1167">
      <c r="A1167" s="72">
        <v>46307.0</v>
      </c>
      <c r="B1167" s="112" t="s">
        <v>7658</v>
      </c>
      <c r="C1167" s="67" t="str">
        <f>IFERROR(__xludf.DUMMYFUNCTION("""COMPUTED_VALUE"""),"LD282")</f>
        <v>LD282</v>
      </c>
      <c r="D1167" s="55" t="s">
        <v>42</v>
      </c>
      <c r="E1167" s="55" t="s">
        <v>69</v>
      </c>
      <c r="F1167" s="55" t="s">
        <v>133</v>
      </c>
      <c r="G1167" s="55">
        <v>1840.0</v>
      </c>
      <c r="H1167" s="55" t="s">
        <v>1137</v>
      </c>
      <c r="I1167" s="115" t="s">
        <v>8228</v>
      </c>
      <c r="J1167" s="55" t="s">
        <v>8229</v>
      </c>
      <c r="K1167" s="55" t="s">
        <v>61</v>
      </c>
      <c r="L1167" s="55">
        <v>16917.0</v>
      </c>
      <c r="M1167" s="55" t="s">
        <v>78</v>
      </c>
      <c r="N1167" s="55" t="s">
        <v>69</v>
      </c>
      <c r="O1167" s="55" t="s">
        <v>224</v>
      </c>
      <c r="P1167" s="55" t="s">
        <v>110</v>
      </c>
      <c r="Q1167" s="67" t="str">
        <f>IFERROR(__xludf.DUMMYFUNCTION("""COMPUTED_VALUE"""),"Japan.giaotiep.M775xM776_16917_CVS_NamNH_121026")</f>
        <v>Japan.giaotiep.M775xM776_16917_CVS_NamNH_121026</v>
      </c>
      <c r="R1167" s="67" t="str">
        <f>IFERROR(__xludf.DUMMYFUNCTION("""COMPUTED_VALUE"""),"NEW_Japan_1840_none_121026")</f>
        <v>NEW_Japan_1840_none_121026</v>
      </c>
      <c r="S1167" s="67" t="str">
        <f>IFERROR(__xludf.DUMMYFUNCTION("""COMPUTED_VALUE"""),"saletructiep_Japan.M775.1840.giaotiep_PTATT_LD282")</f>
        <v>saletructiep_Japan.M775.1840.giaotiep_PTATT_LD282</v>
      </c>
      <c r="T1167" s="107" t="str">
        <f>IFERROR(__xludf.DUMMYFUNCTION("""COMPUTED_VALUE"""),"https://patado.edu.vn/nhn_jp0106/?utm_source=Facebook&amp;utm_medium=CVS&amp;utm_term=NEW_Japan_1840_none_121026&amp;utm_content=saletructiep_Japan.M775.1840.giaotiep_PTATT_LD282&amp;utm_campaign=Japan.giaotiep.M775xM776_16917_CVS_NamNH_121026")</f>
        <v>https://patado.edu.vn/nhn_jp0106/?utm_source=Facebook&amp;utm_medium=CVS&amp;utm_term=NEW_Japan_1840_none_121026&amp;utm_content=saletructiep_Japan.M775.1840.giaotiep_PTATT_LD282&amp;utm_campaign=Japan.giaotiep.M775xM776_16917_CVS_NamNH_121026</v>
      </c>
      <c r="U1167" s="116"/>
    </row>
    <row r="1168">
      <c r="A1168" s="72">
        <v>46308.0</v>
      </c>
      <c r="B1168" s="112" t="s">
        <v>7658</v>
      </c>
      <c r="C1168" s="67" t="str">
        <f>IFERROR(__xludf.DUMMYFUNCTION("""COMPUTED_VALUE"""),"LD282")</f>
        <v>LD282</v>
      </c>
      <c r="D1168" s="55" t="s">
        <v>42</v>
      </c>
      <c r="E1168" s="55" t="s">
        <v>69</v>
      </c>
      <c r="F1168" s="55" t="s">
        <v>133</v>
      </c>
      <c r="G1168" s="55">
        <v>1840.0</v>
      </c>
      <c r="H1168" s="55" t="s">
        <v>1137</v>
      </c>
      <c r="I1168" s="115" t="s">
        <v>8230</v>
      </c>
      <c r="J1168" s="55" t="s">
        <v>8231</v>
      </c>
      <c r="K1168" s="55" t="s">
        <v>61</v>
      </c>
      <c r="L1168" s="55">
        <v>16917.0</v>
      </c>
      <c r="M1168" s="55" t="s">
        <v>78</v>
      </c>
      <c r="N1168" s="55" t="s">
        <v>69</v>
      </c>
      <c r="O1168" s="55" t="s">
        <v>224</v>
      </c>
      <c r="P1168" s="55" t="s">
        <v>110</v>
      </c>
      <c r="Q1168" s="67" t="str">
        <f>IFERROR(__xludf.DUMMYFUNCTION("""COMPUTED_VALUE"""),"Japan.giaotiep.M817xM818_16917_CVS_NamNH_131026")</f>
        <v>Japan.giaotiep.M817xM818_16917_CVS_NamNH_131026</v>
      </c>
      <c r="R1168" s="67" t="str">
        <f>IFERROR(__xludf.DUMMYFUNCTION("""COMPUTED_VALUE"""),"NEW_Japan_1840_none_131026")</f>
        <v>NEW_Japan_1840_none_131026</v>
      </c>
      <c r="S1168" s="67" t="str">
        <f>IFERROR(__xludf.DUMMYFUNCTION("""COMPUTED_VALUE"""),"saletructiep_Japan.M817.1840.giaotiep_PTATT_LD282")</f>
        <v>saletructiep_Japan.M817.1840.giaotiep_PTATT_LD282</v>
      </c>
      <c r="T1168" s="107" t="str">
        <f>IFERROR(__xludf.DUMMYFUNCTION("""COMPUTED_VALUE"""),"https://patado.edu.vn/nhn_jp0106/?utm_source=Facebook&amp;utm_medium=CVS&amp;utm_term=NEW_Japan_1840_none_131026&amp;utm_content=saletructiep_Japan.M817.1840.giaotiep_PTATT_LD282&amp;utm_campaign=Japan.giaotiep.M817xM818_16917_CVS_NamNH_131026")</f>
        <v>https://patado.edu.vn/nhn_jp0106/?utm_source=Facebook&amp;utm_medium=CVS&amp;utm_term=NEW_Japan_1840_none_131026&amp;utm_content=saletructiep_Japan.M817.1840.giaotiep_PTATT_LD282&amp;utm_campaign=Japan.giaotiep.M817xM818_16917_CVS_NamNH_131026</v>
      </c>
      <c r="U1168" s="110" t="s">
        <v>8232</v>
      </c>
    </row>
    <row r="1169">
      <c r="A1169" s="72">
        <v>46308.0</v>
      </c>
      <c r="B1169" s="60" t="s">
        <v>7662</v>
      </c>
      <c r="C1169" s="67" t="str">
        <f>IFERROR(__xludf.DUMMYFUNCTION("""COMPUTED_VALUE"""),"LD284")</f>
        <v>LD284</v>
      </c>
      <c r="D1169" s="55" t="s">
        <v>42</v>
      </c>
      <c r="E1169" s="55" t="s">
        <v>79</v>
      </c>
      <c r="F1169" s="55" t="s">
        <v>539</v>
      </c>
      <c r="G1169" s="55">
        <v>1840.0</v>
      </c>
      <c r="H1169" s="55" t="s">
        <v>1137</v>
      </c>
      <c r="I1169" s="115" t="s">
        <v>8233</v>
      </c>
      <c r="J1169" s="55" t="s">
        <v>8234</v>
      </c>
      <c r="K1169" s="55" t="s">
        <v>61</v>
      </c>
      <c r="L1169" s="55">
        <v>16917.0</v>
      </c>
      <c r="M1169" s="55" t="s">
        <v>78</v>
      </c>
      <c r="N1169" s="55" t="s">
        <v>79</v>
      </c>
      <c r="O1169" s="55" t="s">
        <v>224</v>
      </c>
      <c r="P1169" s="55" t="s">
        <v>110</v>
      </c>
      <c r="Q1169" s="67" t="str">
        <f>IFERROR(__xludf.DUMMYFUNCTION("""COMPUTED_VALUE"""),"ALL.giaotiep.M817xM818_16917_MES_NamNH_131026")</f>
        <v>ALL.giaotiep.M817xM818_16917_MES_NamNH_131026</v>
      </c>
      <c r="R1169" s="67" t="str">
        <f>IFERROR(__xludf.DUMMYFUNCTION("""COMPUTED_VALUE"""),"NEW_ALL_1840_none_131026")</f>
        <v>NEW_ALL_1840_none_131026</v>
      </c>
      <c r="S1169" s="67" t="str">
        <f>IFERROR(__xludf.DUMMYFUNCTION("""COMPUTED_VALUE"""),"saletructiep_ALL.M817.1840.giaotiep_PTATT_LD284")</f>
        <v>saletructiep_ALL.M817.1840.giaotiep_PTATT_LD284</v>
      </c>
      <c r="T1169" s="107" t="str">
        <f>IFERROR(__xludf.DUMMYFUNCTION("""COMPUTED_VALUE"""),"https://patado.edu.vn/ptd_hongtt/?utm_source=Facebook&amp;utm_medium=MES&amp;utm_term=NEW_ALL_1840_none_131026&amp;utm_content=saletructiep_ALL.M817.1840.giaotiep_PTATT_LD284&amp;utm_campaign=ALL.giaotiep.M817xM818_16917_MES_NamNH_131026")</f>
        <v>https://patado.edu.vn/ptd_hongtt/?utm_source=Facebook&amp;utm_medium=MES&amp;utm_term=NEW_ALL_1840_none_131026&amp;utm_content=saletructiep_ALL.M817.1840.giaotiep_PTATT_LD284&amp;utm_campaign=ALL.giaotiep.M817xM818_16917_MES_NamNH_131026</v>
      </c>
      <c r="U1169" s="110" t="s">
        <v>8235</v>
      </c>
    </row>
    <row r="1170">
      <c r="A1170" s="72">
        <v>46308.0</v>
      </c>
      <c r="B1170" s="60" t="s">
        <v>7662</v>
      </c>
      <c r="C1170" s="67" t="str">
        <f>IFERROR(__xludf.DUMMYFUNCTION("""COMPUTED_VALUE"""),"LD284")</f>
        <v>LD284</v>
      </c>
      <c r="D1170" s="55" t="s">
        <v>42</v>
      </c>
      <c r="E1170" s="55" t="s">
        <v>79</v>
      </c>
      <c r="F1170" s="55" t="s">
        <v>164</v>
      </c>
      <c r="G1170" s="55">
        <v>1840.0</v>
      </c>
      <c r="H1170" s="55" t="s">
        <v>1137</v>
      </c>
      <c r="I1170" s="115" t="s">
        <v>8236</v>
      </c>
      <c r="J1170" s="55" t="s">
        <v>8237</v>
      </c>
      <c r="K1170" s="55" t="s">
        <v>61</v>
      </c>
      <c r="L1170" s="55">
        <v>16917.0</v>
      </c>
      <c r="M1170" s="55" t="s">
        <v>78</v>
      </c>
      <c r="N1170" s="55" t="s">
        <v>79</v>
      </c>
      <c r="O1170" s="55" t="s">
        <v>224</v>
      </c>
      <c r="P1170" s="55" t="s">
        <v>110</v>
      </c>
      <c r="Q1170" s="67" t="str">
        <f>IFERROR(__xludf.DUMMYFUNCTION("""COMPUTED_VALUE"""),"Taiwan.giaotiep.M779xM784_16917_MES_NamNH_131026")</f>
        <v>Taiwan.giaotiep.M779xM784_16917_MES_NamNH_131026</v>
      </c>
      <c r="R1170" s="67" t="str">
        <f>IFERROR(__xludf.DUMMYFUNCTION("""COMPUTED_VALUE"""),"NEW_Taiwan_1840_none_131026")</f>
        <v>NEW_Taiwan_1840_none_131026</v>
      </c>
      <c r="S1170" s="67" t="str">
        <f>IFERROR(__xludf.DUMMYFUNCTION("""COMPUTED_VALUE"""),"saletructiep_Taiwan.M779.1840.giaotiep_PTATT_LD284")</f>
        <v>saletructiep_Taiwan.M779.1840.giaotiep_PTATT_LD284</v>
      </c>
      <c r="T1170" s="107" t="str">
        <f>IFERROR(__xludf.DUMMYFUNCTION("""COMPUTED_VALUE"""),"https://patado.edu.vn/ptd_hongtt/?utm_source=Facebook&amp;utm_medium=MES&amp;utm_term=NEW_Taiwan_1840_none_131026&amp;utm_content=saletructiep_Taiwan.M779.1840.giaotiep_PTATT_LD284&amp;utm_campaign=Taiwan.giaotiep.M779xM784_16917_MES_NamNH_131026")</f>
        <v>https://patado.edu.vn/ptd_hongtt/?utm_source=Facebook&amp;utm_medium=MES&amp;utm_term=NEW_Taiwan_1840_none_131026&amp;utm_content=saletructiep_Taiwan.M779.1840.giaotiep_PTATT_LD284&amp;utm_campaign=Taiwan.giaotiep.M779xM784_16917_MES_NamNH_131026</v>
      </c>
      <c r="U1170" s="110" t="s">
        <v>8238</v>
      </c>
    </row>
    <row r="1171">
      <c r="A1171" s="72">
        <v>46308.0</v>
      </c>
      <c r="B1171" s="60" t="s">
        <v>7662</v>
      </c>
      <c r="C1171" s="67" t="str">
        <f>IFERROR(__xludf.DUMMYFUNCTION("""COMPUTED_VALUE"""),"LD284")</f>
        <v>LD284</v>
      </c>
      <c r="D1171" s="55" t="s">
        <v>42</v>
      </c>
      <c r="E1171" s="55" t="s">
        <v>79</v>
      </c>
      <c r="F1171" s="55" t="s">
        <v>625</v>
      </c>
      <c r="G1171" s="55">
        <v>1840.0</v>
      </c>
      <c r="H1171" s="55" t="s">
        <v>1137</v>
      </c>
      <c r="I1171" s="115" t="s">
        <v>8239</v>
      </c>
      <c r="J1171" s="55" t="s">
        <v>8240</v>
      </c>
      <c r="K1171" s="55" t="s">
        <v>61</v>
      </c>
      <c r="L1171" s="55">
        <v>16917.0</v>
      </c>
      <c r="M1171" s="55" t="s">
        <v>78</v>
      </c>
      <c r="N1171" s="55" t="s">
        <v>79</v>
      </c>
      <c r="O1171" s="55" t="s">
        <v>224</v>
      </c>
      <c r="P1171" s="55" t="s">
        <v>110</v>
      </c>
      <c r="Q1171" s="67" t="str">
        <f>IFERROR(__xludf.DUMMYFUNCTION("""COMPUTED_VALUE"""),"KoreaSouth.giaotiep.M779xM784_16917_MES_NamNH_131026")</f>
        <v>KoreaSouth.giaotiep.M779xM784_16917_MES_NamNH_131026</v>
      </c>
      <c r="R1171" s="67" t="str">
        <f>IFERROR(__xludf.DUMMYFUNCTION("""COMPUTED_VALUE"""),"NEW_KoreaSouth_1840_none_131026")</f>
        <v>NEW_KoreaSouth_1840_none_131026</v>
      </c>
      <c r="S1171" s="67" t="str">
        <f>IFERROR(__xludf.DUMMYFUNCTION("""COMPUTED_VALUE"""),"saletructiep_KoreaSouth.M779.1840.giaotiep_PTATT_LD284")</f>
        <v>saletructiep_KoreaSouth.M779.1840.giaotiep_PTATT_LD284</v>
      </c>
      <c r="T1171" s="107" t="str">
        <f>IFERROR(__xludf.DUMMYFUNCTION("""COMPUTED_VALUE"""),"https://patado.edu.vn/ptd_hongtt/?utm_source=Facebook&amp;utm_medium=MES&amp;utm_term=NEW_KoreaSouth_1840_none_131026&amp;utm_content=saletructiep_KoreaSouth.M779.1840.giaotiep_PTATT_LD284&amp;utm_campaign=KoreaSouth.giaotiep.M779xM784_16917_MES_NamNH_131026")</f>
        <v>https://patado.edu.vn/ptd_hongtt/?utm_source=Facebook&amp;utm_medium=MES&amp;utm_term=NEW_KoreaSouth_1840_none_131026&amp;utm_content=saletructiep_KoreaSouth.M779.1840.giaotiep_PTATT_LD284&amp;utm_campaign=KoreaSouth.giaotiep.M779xM784_16917_MES_NamNH_131026</v>
      </c>
      <c r="U1171" s="110" t="s">
        <v>8241</v>
      </c>
    </row>
    <row r="1172">
      <c r="A1172" s="72">
        <v>46308.0</v>
      </c>
      <c r="B1172" s="60" t="s">
        <v>7662</v>
      </c>
      <c r="C1172" s="67" t="str">
        <f>IFERROR(__xludf.DUMMYFUNCTION("""COMPUTED_VALUE"""),"LD284")</f>
        <v>LD284</v>
      </c>
      <c r="D1172" s="55" t="s">
        <v>42</v>
      </c>
      <c r="E1172" s="55" t="s">
        <v>79</v>
      </c>
      <c r="F1172" s="55" t="s">
        <v>107</v>
      </c>
      <c r="G1172" s="55">
        <v>1840.0</v>
      </c>
      <c r="H1172" s="55" t="s">
        <v>1137</v>
      </c>
      <c r="I1172" s="115" t="s">
        <v>8242</v>
      </c>
      <c r="J1172" s="55" t="s">
        <v>8243</v>
      </c>
      <c r="K1172" s="55" t="s">
        <v>61</v>
      </c>
      <c r="L1172" s="55">
        <v>16917.0</v>
      </c>
      <c r="M1172" s="55" t="s">
        <v>78</v>
      </c>
      <c r="N1172" s="55" t="s">
        <v>79</v>
      </c>
      <c r="O1172" s="55" t="s">
        <v>224</v>
      </c>
      <c r="P1172" s="55" t="s">
        <v>110</v>
      </c>
      <c r="Q1172" s="67" t="str">
        <f>IFERROR(__xludf.DUMMYFUNCTION("""COMPUTED_VALUE"""),"UnitedStates.giaotiep.M779xM784_16917_MES_NamNH_131026")</f>
        <v>UnitedStates.giaotiep.M779xM784_16917_MES_NamNH_131026</v>
      </c>
      <c r="R1172" s="67" t="str">
        <f>IFERROR(__xludf.DUMMYFUNCTION("""COMPUTED_VALUE"""),"NEW_UnitedStates_1840_none_131026")</f>
        <v>NEW_UnitedStates_1840_none_131026</v>
      </c>
      <c r="S1172" s="67" t="str">
        <f>IFERROR(__xludf.DUMMYFUNCTION("""COMPUTED_VALUE"""),"saletructiep_UnitedStates.M779.1840.giaotiep_PTATT_LD284")</f>
        <v>saletructiep_UnitedStates.M779.1840.giaotiep_PTATT_LD284</v>
      </c>
      <c r="T1172" s="107" t="str">
        <f>IFERROR(__xludf.DUMMYFUNCTION("""COMPUTED_VALUE"""),"https://patado.edu.vn/ptd_hongtt/?utm_source=Facebook&amp;utm_medium=MES&amp;utm_term=NEW_UnitedStates_1840_none_131026&amp;utm_content=saletructiep_UnitedStates.M779.1840.giaotiep_PTATT_LD284&amp;utm_campaign=UnitedStates.giaotiep.M779xM784_16917_MES_NamNH_131026")</f>
        <v>https://patado.edu.vn/ptd_hongtt/?utm_source=Facebook&amp;utm_medium=MES&amp;utm_term=NEW_UnitedStates_1840_none_131026&amp;utm_content=saletructiep_UnitedStates.M779.1840.giaotiep_PTATT_LD284&amp;utm_campaign=UnitedStates.giaotiep.M779xM784_16917_MES_NamNH_131026</v>
      </c>
      <c r="U1172" s="116"/>
    </row>
    <row r="1173">
      <c r="A1173" s="72">
        <v>46318.0</v>
      </c>
      <c r="B1173" s="60" t="s">
        <v>7662</v>
      </c>
      <c r="C1173" s="67" t="str">
        <f>IFERROR(__xludf.DUMMYFUNCTION("""COMPUTED_VALUE"""),"LD284")</f>
        <v>LD284</v>
      </c>
      <c r="D1173" s="55" t="s">
        <v>42</v>
      </c>
      <c r="E1173" s="55" t="s">
        <v>79</v>
      </c>
      <c r="F1173" s="55" t="s">
        <v>539</v>
      </c>
      <c r="G1173" s="55">
        <v>1840.0</v>
      </c>
      <c r="H1173" s="55" t="s">
        <v>1137</v>
      </c>
      <c r="I1173" s="115" t="s">
        <v>8244</v>
      </c>
      <c r="J1173" s="55" t="s">
        <v>8245</v>
      </c>
      <c r="K1173" s="55" t="s">
        <v>61</v>
      </c>
      <c r="L1173" s="55">
        <v>16917.0</v>
      </c>
      <c r="M1173" s="55" t="s">
        <v>78</v>
      </c>
      <c r="N1173" s="55" t="s">
        <v>79</v>
      </c>
      <c r="O1173" s="55" t="s">
        <v>224</v>
      </c>
      <c r="P1173" s="55" t="s">
        <v>110</v>
      </c>
      <c r="Q1173" s="67" t="str">
        <f>IFERROR(__xludf.DUMMYFUNCTION("""COMPUTED_VALUE"""),"ALL.giaotiep.M780xM781_16917_MES_NamNH_231026")</f>
        <v>ALL.giaotiep.M780xM781_16917_MES_NamNH_231026</v>
      </c>
      <c r="R1173" s="67" t="str">
        <f>IFERROR(__xludf.DUMMYFUNCTION("""COMPUTED_VALUE"""),"NEW_ALL_1840_none_231026")</f>
        <v>NEW_ALL_1840_none_231026</v>
      </c>
      <c r="S1173" s="67" t="str">
        <f>IFERROR(__xludf.DUMMYFUNCTION("""COMPUTED_VALUE"""),"saletructiep_ALL.M780.1840.giaotiep_PTATT_LD284")</f>
        <v>saletructiep_ALL.M780.1840.giaotiep_PTATT_LD284</v>
      </c>
      <c r="T1173" s="107" t="str">
        <f>IFERROR(__xludf.DUMMYFUNCTION("""COMPUTED_VALUE"""),"https://patado.edu.vn/ptd_hongtt/?utm_source=Facebook&amp;utm_medium=MES&amp;utm_term=NEW_ALL_1840_none_231026&amp;utm_content=saletructiep_ALL.M780.1840.giaotiep_PTATT_LD284&amp;utm_campaign=ALL.giaotiep.M780xM781_16917_MES_NamNH_231026")</f>
        <v>https://patado.edu.vn/ptd_hongtt/?utm_source=Facebook&amp;utm_medium=MES&amp;utm_term=NEW_ALL_1840_none_231026&amp;utm_content=saletructiep_ALL.M780.1840.giaotiep_PTATT_LD284&amp;utm_campaign=ALL.giaotiep.M780xM781_16917_MES_NamNH_231026</v>
      </c>
      <c r="U1173" s="116"/>
    </row>
    <row r="1174">
      <c r="A1174" s="72">
        <v>46318.0</v>
      </c>
      <c r="B1174" s="60" t="s">
        <v>7662</v>
      </c>
      <c r="C1174" s="67" t="str">
        <f>IFERROR(__xludf.DUMMYFUNCTION("""COMPUTED_VALUE"""),"LD284")</f>
        <v>LD284</v>
      </c>
      <c r="D1174" s="55" t="s">
        <v>42</v>
      </c>
      <c r="E1174" s="55" t="s">
        <v>69</v>
      </c>
      <c r="F1174" s="55" t="s">
        <v>674</v>
      </c>
      <c r="G1174" s="55">
        <v>1840.0</v>
      </c>
      <c r="H1174" s="55" t="s">
        <v>1137</v>
      </c>
      <c r="I1174" s="115" t="s">
        <v>8246</v>
      </c>
      <c r="J1174" s="55" t="s">
        <v>8247</v>
      </c>
      <c r="K1174" s="55" t="s">
        <v>61</v>
      </c>
      <c r="L1174" s="55">
        <v>16917.0</v>
      </c>
      <c r="M1174" s="55" t="s">
        <v>78</v>
      </c>
      <c r="N1174" s="55" t="s">
        <v>69</v>
      </c>
      <c r="O1174" s="55" t="s">
        <v>224</v>
      </c>
      <c r="P1174" s="55" t="s">
        <v>110</v>
      </c>
      <c r="Q1174" s="67" t="str">
        <f>IFERROR(__xludf.DUMMYFUNCTION("""COMPUTED_VALUE"""),"Europe.giaotiep.M780xM781_16917_CVS_NamNH_231026")</f>
        <v>Europe.giaotiep.M780xM781_16917_CVS_NamNH_231026</v>
      </c>
      <c r="R1174" s="67" t="str">
        <f>IFERROR(__xludf.DUMMYFUNCTION("""COMPUTED_VALUE"""),"NEW_Europe_1840_none_231026")</f>
        <v>NEW_Europe_1840_none_231026</v>
      </c>
      <c r="S1174" s="67" t="str">
        <f>IFERROR(__xludf.DUMMYFUNCTION("""COMPUTED_VALUE"""),"saletructiep_Europe.M780.1840.giaotiep_PTATT_LD284")</f>
        <v>saletructiep_Europe.M780.1840.giaotiep_PTATT_LD284</v>
      </c>
      <c r="T1174" s="107" t="str">
        <f>IFERROR(__xludf.DUMMYFUNCTION("""COMPUTED_VALUE"""),"https://patado.edu.vn/ptd_hongtt/?utm_source=Facebook&amp;utm_medium=CVS&amp;utm_term=NEW_Europe_1840_none_231026&amp;utm_content=saletructiep_Europe.M780.1840.giaotiep_PTATT_LD284&amp;utm_campaign=Europe.giaotiep.M780xM781_16917_CVS_NamNH_231026")</f>
        <v>https://patado.edu.vn/ptd_hongtt/?utm_source=Facebook&amp;utm_medium=CVS&amp;utm_term=NEW_Europe_1840_none_231026&amp;utm_content=saletructiep_Europe.M780.1840.giaotiep_PTATT_LD284&amp;utm_campaign=Europe.giaotiep.M780xM781_16917_CVS_NamNH_231026</v>
      </c>
      <c r="U1174" s="116"/>
    </row>
    <row r="1175">
      <c r="A1175" s="72">
        <v>46318.0</v>
      </c>
      <c r="B1175" s="112" t="s">
        <v>7658</v>
      </c>
      <c r="C1175" s="67" t="str">
        <f>IFERROR(__xludf.DUMMYFUNCTION("""COMPUTED_VALUE"""),"LD282")</f>
        <v>LD282</v>
      </c>
      <c r="D1175" s="55" t="s">
        <v>42</v>
      </c>
      <c r="E1175" s="55" t="s">
        <v>69</v>
      </c>
      <c r="F1175" s="55" t="s">
        <v>133</v>
      </c>
      <c r="G1175" s="55">
        <v>1840.0</v>
      </c>
      <c r="H1175" s="55" t="s">
        <v>1137</v>
      </c>
      <c r="I1175" s="115" t="s">
        <v>8248</v>
      </c>
      <c r="J1175" s="55" t="s">
        <v>8249</v>
      </c>
      <c r="K1175" s="55" t="s">
        <v>61</v>
      </c>
      <c r="L1175" s="55">
        <v>16917.0</v>
      </c>
      <c r="M1175" s="55" t="s">
        <v>78</v>
      </c>
      <c r="N1175" s="55" t="s">
        <v>69</v>
      </c>
      <c r="O1175" s="55" t="s">
        <v>224</v>
      </c>
      <c r="P1175" s="55" t="s">
        <v>110</v>
      </c>
      <c r="Q1175" s="67" t="str">
        <f>IFERROR(__xludf.DUMMYFUNCTION("""COMPUTED_VALUE"""),"Japan.giaotiep.M780xM781_16917_CVS_NamNH_231026")</f>
        <v>Japan.giaotiep.M780xM781_16917_CVS_NamNH_231026</v>
      </c>
      <c r="R1175" s="67" t="str">
        <f>IFERROR(__xludf.DUMMYFUNCTION("""COMPUTED_VALUE"""),"NEW_Japan_1840_none_231026")</f>
        <v>NEW_Japan_1840_none_231026</v>
      </c>
      <c r="S1175" s="67" t="str">
        <f>IFERROR(__xludf.DUMMYFUNCTION("""COMPUTED_VALUE"""),"saletructiep_Japan.M780.1840.giaotiep_PTATT_LD282")</f>
        <v>saletructiep_Japan.M780.1840.giaotiep_PTATT_LD282</v>
      </c>
      <c r="T1175" s="107" t="str">
        <f>IFERROR(__xludf.DUMMYFUNCTION("""COMPUTED_VALUE"""),"https://patado.edu.vn/nhn_jp0106/?utm_source=Facebook&amp;utm_medium=CVS&amp;utm_term=NEW_Japan_1840_none_231026&amp;utm_content=saletructiep_Japan.M780.1840.giaotiep_PTATT_LD282&amp;utm_campaign=Japan.giaotiep.M780xM781_16917_CVS_NamNH_231026")</f>
        <v>https://patado.edu.vn/nhn_jp0106/?utm_source=Facebook&amp;utm_medium=CVS&amp;utm_term=NEW_Japan_1840_none_231026&amp;utm_content=saletructiep_Japan.M780.1840.giaotiep_PTATT_LD282&amp;utm_campaign=Japan.giaotiep.M780xM781_16917_CVS_NamNH_231026</v>
      </c>
      <c r="U1175" s="116"/>
    </row>
    <row r="1176">
      <c r="A1176" s="72"/>
      <c r="B1176" s="131"/>
      <c r="C1176" s="67"/>
      <c r="D1176" s="55"/>
      <c r="E1176" s="55"/>
      <c r="F1176" s="55"/>
      <c r="G1176" s="55"/>
      <c r="H1176" s="55"/>
      <c r="I1176" s="115"/>
      <c r="J1176" s="55"/>
      <c r="K1176" s="55"/>
      <c r="L1176" s="55"/>
      <c r="M1176" s="55"/>
      <c r="N1176" s="55"/>
      <c r="O1176" s="55"/>
      <c r="P1176" s="55"/>
      <c r="Q1176" s="67"/>
      <c r="R1176" s="67"/>
      <c r="S1176" s="67"/>
      <c r="T1176" s="67"/>
      <c r="U1176" s="116"/>
    </row>
    <row r="1177">
      <c r="A1177" s="72"/>
      <c r="B1177" s="131"/>
      <c r="C1177" s="67"/>
      <c r="D1177" s="55"/>
      <c r="E1177" s="55"/>
      <c r="F1177" s="55"/>
      <c r="G1177" s="55"/>
      <c r="H1177" s="55"/>
      <c r="I1177" s="115"/>
      <c r="J1177" s="55"/>
      <c r="K1177" s="55"/>
      <c r="L1177" s="55"/>
      <c r="M1177" s="55"/>
      <c r="N1177" s="55"/>
      <c r="O1177" s="55"/>
      <c r="P1177" s="55"/>
      <c r="Q1177" s="67"/>
      <c r="R1177" s="67"/>
      <c r="S1177" s="67"/>
      <c r="T1177" s="67"/>
      <c r="U1177" s="116"/>
    </row>
    <row r="1178">
      <c r="A1178" s="72"/>
      <c r="B1178" s="131"/>
      <c r="C1178" s="67"/>
      <c r="D1178" s="55"/>
      <c r="E1178" s="55"/>
      <c r="F1178" s="55"/>
      <c r="G1178" s="55"/>
      <c r="H1178" s="55"/>
      <c r="I1178" s="115"/>
      <c r="J1178" s="55"/>
      <c r="K1178" s="55"/>
      <c r="L1178" s="55"/>
      <c r="M1178" s="55"/>
      <c r="N1178" s="55"/>
      <c r="O1178" s="55"/>
      <c r="P1178" s="55"/>
      <c r="Q1178" s="67"/>
      <c r="R1178" s="67"/>
      <c r="S1178" s="67"/>
      <c r="T1178" s="67"/>
      <c r="U1178" s="116"/>
    </row>
    <row r="1179">
      <c r="A1179" s="72"/>
      <c r="B1179" s="131"/>
      <c r="C1179" s="67"/>
      <c r="D1179" s="55"/>
      <c r="E1179" s="55"/>
      <c r="F1179" s="55"/>
      <c r="G1179" s="55"/>
      <c r="H1179" s="55"/>
      <c r="I1179" s="115"/>
      <c r="J1179" s="55"/>
      <c r="K1179" s="55"/>
      <c r="L1179" s="55"/>
      <c r="M1179" s="55"/>
      <c r="N1179" s="55"/>
      <c r="O1179" s="55"/>
      <c r="P1179" s="55"/>
      <c r="Q1179" s="67"/>
      <c r="R1179" s="67"/>
      <c r="S1179" s="67"/>
      <c r="T1179" s="67"/>
      <c r="U1179" s="116"/>
    </row>
    <row r="1180">
      <c r="A1180" s="72"/>
      <c r="B1180" s="131"/>
      <c r="C1180" s="67"/>
      <c r="D1180" s="55"/>
      <c r="E1180" s="55"/>
      <c r="F1180" s="55"/>
      <c r="G1180" s="55"/>
      <c r="H1180" s="55"/>
      <c r="I1180" s="115"/>
      <c r="J1180" s="55"/>
      <c r="K1180" s="55"/>
      <c r="L1180" s="55"/>
      <c r="M1180" s="55"/>
      <c r="N1180" s="55"/>
      <c r="O1180" s="55"/>
      <c r="P1180" s="55"/>
      <c r="Q1180" s="67"/>
      <c r="R1180" s="67"/>
      <c r="S1180" s="67"/>
      <c r="T1180" s="67"/>
      <c r="U1180" s="116"/>
    </row>
    <row r="1181">
      <c r="A1181" s="72"/>
      <c r="B1181" s="131"/>
      <c r="C1181" s="67"/>
      <c r="D1181" s="55"/>
      <c r="E1181" s="55"/>
      <c r="F1181" s="55"/>
      <c r="G1181" s="55"/>
      <c r="H1181" s="55"/>
      <c r="I1181" s="115"/>
      <c r="J1181" s="55"/>
      <c r="K1181" s="55"/>
      <c r="L1181" s="55"/>
      <c r="M1181" s="55"/>
      <c r="N1181" s="55"/>
      <c r="O1181" s="55"/>
      <c r="P1181" s="55"/>
      <c r="Q1181" s="67"/>
      <c r="R1181" s="67"/>
      <c r="S1181" s="67"/>
      <c r="T1181" s="67"/>
      <c r="U1181" s="116"/>
    </row>
  </sheetData>
  <customSheetViews>
    <customSheetView guid="{24EFF1FC-519A-4255-99C0-8464DF1D4EED}" filter="1" showAutoFilter="1">
      <autoFilter ref="$A$1:$U$152"/>
    </customSheetView>
    <customSheetView guid="{B9FC2153-85FE-4597-B01F-2D8A49A1D991}" filter="1" showAutoFilter="1">
      <autoFilter ref="$A$1:$U$152"/>
    </customSheetView>
  </customSheetViews>
  <dataValidations>
    <dataValidation type="list" allowBlank="1" showErrorMessage="1" sqref="D9:D1181">
      <formula1>Data!$C$2:$C1181</formula1>
    </dataValidation>
    <dataValidation type="list" allowBlank="1" showErrorMessage="1" sqref="E9:E1181">
      <formula1>Data!$D$2:$D1181</formula1>
    </dataValidation>
    <dataValidation type="list" allowBlank="1" showErrorMessage="1" sqref="N9:N1181">
      <formula1>Data!$K$3:$K1181</formula1>
    </dataValidation>
    <dataValidation type="list" allowBlank="1" showErrorMessage="1" sqref="B9:B235 B237:B941 B943:B1057 B1092 B1115:B1117 B1119 B1124 B1128 B1130 B1136 B1140:B1141 B1144 B1146 B1148 B1156:B1157 B1159:B1160 B1163 B1165:B1166 B1169:B1174">
      <formula1>Data!$A$2:$A1181</formula1>
    </dataValidation>
    <dataValidation type="list" allowBlank="1" showErrorMessage="1" sqref="O9:O1181">
      <formula1>Data!$O$2:$O1181</formula1>
    </dataValidation>
    <dataValidation type="list" allowBlank="1" showErrorMessage="1" sqref="L41:L55">
      <formula1>Data!$I$2:$I1181</formula1>
    </dataValidation>
    <dataValidation type="list" allowBlank="1" showErrorMessage="1" sqref="M9:M1181">
      <formula1>Data!$P$2:$P1181</formula1>
    </dataValidation>
    <dataValidation type="custom" allowBlank="1" showDropDown="1" sqref="A9:A235 A236:B236 A237:A1181">
      <formula1>OR(NOT(ISERROR(DATEVALUE(A9))), AND(ISNUMBER(A9), LEFT(CELL("format", A9))="D"))</formula1>
    </dataValidation>
    <dataValidation type="list" allowBlank="1" showErrorMessage="1" sqref="L9:L40 L56:L1181">
      <formula1>Data!$I$2:$I1181</formula1>
    </dataValidation>
    <dataValidation type="list" allowBlank="1" showErrorMessage="1" sqref="F9:F1181">
      <formula1>Data!$F$2:$F1181</formula1>
    </dataValidation>
    <dataValidation type="list" allowBlank="1" showErrorMessage="1" sqref="H9:H1181">
      <formula1>Data!$H$2:$H1181</formula1>
    </dataValidation>
    <dataValidation type="list" allowBlank="1" showErrorMessage="1" sqref="P9:P1181">
      <formula1>Data!$M$2:$M1181</formula1>
    </dataValidation>
  </dataValidations>
  <hyperlinks>
    <hyperlink r:id="rId1" ref="C3"/>
    <hyperlink r:id="rId2" ref="B9"/>
    <hyperlink r:id="rId3" ref="B10"/>
    <hyperlink r:id="rId4" ref="T10"/>
    <hyperlink r:id="rId5" ref="U10"/>
    <hyperlink r:id="rId6" ref="B11"/>
    <hyperlink r:id="rId7" ref="T11"/>
    <hyperlink r:id="rId8" ref="U11"/>
    <hyperlink r:id="rId9" ref="B12"/>
    <hyperlink r:id="rId10" ref="T12"/>
    <hyperlink r:id="rId11" ref="U12"/>
    <hyperlink r:id="rId12" ref="B13"/>
    <hyperlink r:id="rId13" ref="T13"/>
    <hyperlink r:id="rId14" ref="U13"/>
    <hyperlink r:id="rId15" ref="B14"/>
    <hyperlink r:id="rId16" ref="T14"/>
    <hyperlink r:id="rId17" ref="U14"/>
    <hyperlink r:id="rId18" ref="B15"/>
    <hyperlink r:id="rId19" ref="T15"/>
    <hyperlink r:id="rId20" ref="U15"/>
    <hyperlink r:id="rId21" ref="B16"/>
    <hyperlink r:id="rId22" ref="T16"/>
    <hyperlink r:id="rId23" ref="U16"/>
    <hyperlink r:id="rId24" ref="B17"/>
    <hyperlink r:id="rId25" ref="T17"/>
    <hyperlink r:id="rId26" ref="U17"/>
    <hyperlink r:id="rId27" ref="B18"/>
    <hyperlink r:id="rId28" ref="T18"/>
    <hyperlink r:id="rId29" ref="U18"/>
    <hyperlink r:id="rId30" ref="B19"/>
    <hyperlink r:id="rId31" ref="T19"/>
    <hyperlink r:id="rId32" ref="U19"/>
    <hyperlink r:id="rId33" ref="B20"/>
    <hyperlink r:id="rId34" ref="T20"/>
    <hyperlink r:id="rId35" ref="U20"/>
    <hyperlink r:id="rId36" ref="B21"/>
    <hyperlink r:id="rId37" ref="T21"/>
    <hyperlink r:id="rId38" ref="U21"/>
    <hyperlink r:id="rId39" ref="B22"/>
    <hyperlink r:id="rId40" ref="T22"/>
    <hyperlink r:id="rId41" ref="U22"/>
    <hyperlink r:id="rId42" ref="B23"/>
    <hyperlink r:id="rId43" ref="T23"/>
    <hyperlink r:id="rId44" ref="U23"/>
    <hyperlink r:id="rId45" ref="B24"/>
    <hyperlink r:id="rId46" ref="T24"/>
    <hyperlink r:id="rId47" ref="U24"/>
    <hyperlink r:id="rId48" ref="B25"/>
    <hyperlink r:id="rId49" ref="T25"/>
    <hyperlink r:id="rId50" ref="U25"/>
    <hyperlink r:id="rId51" ref="B26"/>
    <hyperlink r:id="rId52" ref="T26"/>
    <hyperlink r:id="rId53" ref="U26"/>
    <hyperlink r:id="rId54" ref="B27"/>
    <hyperlink r:id="rId55" ref="T27"/>
    <hyperlink r:id="rId56" ref="U27"/>
    <hyperlink r:id="rId57" ref="B28"/>
    <hyperlink r:id="rId58" ref="T28"/>
    <hyperlink r:id="rId59" ref="U28"/>
    <hyperlink r:id="rId60" ref="B29"/>
    <hyperlink r:id="rId61" ref="T29"/>
    <hyperlink r:id="rId62" ref="U29"/>
    <hyperlink r:id="rId63" ref="B30"/>
    <hyperlink r:id="rId64" ref="T30"/>
    <hyperlink r:id="rId65" ref="U30"/>
    <hyperlink r:id="rId66" ref="B31"/>
    <hyperlink r:id="rId67" ref="T31"/>
    <hyperlink r:id="rId68" ref="U31"/>
    <hyperlink r:id="rId69" ref="B32"/>
    <hyperlink r:id="rId70" ref="T32"/>
    <hyperlink r:id="rId71" ref="U32"/>
    <hyperlink r:id="rId72" ref="B33"/>
    <hyperlink r:id="rId73" ref="T33"/>
    <hyperlink r:id="rId74" ref="U33"/>
    <hyperlink r:id="rId75" ref="B34"/>
    <hyperlink r:id="rId76" ref="T34"/>
    <hyperlink r:id="rId77" ref="U34"/>
    <hyperlink r:id="rId78" ref="B35"/>
    <hyperlink r:id="rId79" ref="T35"/>
    <hyperlink r:id="rId80" ref="U35"/>
    <hyperlink r:id="rId81" ref="B36"/>
    <hyperlink r:id="rId82" ref="T36"/>
    <hyperlink r:id="rId83" ref="U36"/>
    <hyperlink r:id="rId84" ref="B37"/>
    <hyperlink r:id="rId85" ref="T37"/>
    <hyperlink r:id="rId86" ref="U37"/>
    <hyperlink r:id="rId87" ref="B38"/>
    <hyperlink r:id="rId88" ref="T38"/>
    <hyperlink r:id="rId89" ref="U38"/>
    <hyperlink r:id="rId90" ref="B39"/>
    <hyperlink r:id="rId91" ref="T39"/>
    <hyperlink r:id="rId92" ref="U39"/>
    <hyperlink r:id="rId93" ref="B40"/>
    <hyperlink r:id="rId94" ref="T40"/>
    <hyperlink r:id="rId95" ref="U40"/>
    <hyperlink r:id="rId96" ref="B41"/>
    <hyperlink r:id="rId97" ref="T41"/>
    <hyperlink r:id="rId98" ref="U41"/>
    <hyperlink r:id="rId99" ref="B42"/>
    <hyperlink r:id="rId100" ref="T42"/>
    <hyperlink r:id="rId101" ref="U42"/>
    <hyperlink r:id="rId102" ref="B43"/>
    <hyperlink r:id="rId103" ref="T43"/>
    <hyperlink r:id="rId104" ref="U43"/>
    <hyperlink r:id="rId105" ref="B44"/>
    <hyperlink r:id="rId106" ref="T44"/>
    <hyperlink r:id="rId107" ref="U44"/>
    <hyperlink r:id="rId108" ref="B45"/>
    <hyperlink r:id="rId109" ref="T45"/>
    <hyperlink r:id="rId110" ref="U45"/>
    <hyperlink r:id="rId111" ref="B46"/>
    <hyperlink r:id="rId112" ref="T46"/>
    <hyperlink r:id="rId113" ref="U46"/>
    <hyperlink r:id="rId114" ref="B47"/>
    <hyperlink r:id="rId115" ref="T47"/>
    <hyperlink r:id="rId116" ref="U47"/>
    <hyperlink r:id="rId117" ref="B48"/>
    <hyperlink r:id="rId118" ref="T48"/>
    <hyperlink r:id="rId119" ref="U48"/>
    <hyperlink r:id="rId120" ref="B49"/>
    <hyperlink r:id="rId121" ref="T49"/>
    <hyperlink r:id="rId122" ref="U49"/>
    <hyperlink r:id="rId123" ref="B50"/>
    <hyperlink r:id="rId124" ref="T50"/>
    <hyperlink r:id="rId125" ref="U50"/>
    <hyperlink r:id="rId126" ref="B51"/>
    <hyperlink r:id="rId127" ref="T51"/>
    <hyperlink r:id="rId128" ref="U51"/>
    <hyperlink r:id="rId129" ref="B52"/>
    <hyperlink r:id="rId130" ref="T52"/>
    <hyperlink r:id="rId131" ref="U52"/>
    <hyperlink r:id="rId132" ref="B53"/>
    <hyperlink r:id="rId133" ref="T53"/>
    <hyperlink r:id="rId134" ref="U53"/>
    <hyperlink r:id="rId135" ref="B54"/>
    <hyperlink r:id="rId136" ref="T54"/>
    <hyperlink r:id="rId137" ref="U54"/>
    <hyperlink r:id="rId138" ref="B55"/>
    <hyperlink r:id="rId139" ref="T55"/>
    <hyperlink r:id="rId140" ref="U55"/>
    <hyperlink r:id="rId141" ref="B56"/>
    <hyperlink r:id="rId142" ref="T56"/>
    <hyperlink r:id="rId143" ref="U56"/>
    <hyperlink r:id="rId144" ref="B57"/>
    <hyperlink r:id="rId145" ref="T57"/>
    <hyperlink r:id="rId146" ref="U57"/>
    <hyperlink r:id="rId147" ref="B58"/>
    <hyperlink r:id="rId148" ref="T58"/>
    <hyperlink r:id="rId149" ref="U58"/>
    <hyperlink r:id="rId150" ref="B59"/>
    <hyperlink r:id="rId151" ref="T59"/>
    <hyperlink r:id="rId152" ref="U59"/>
    <hyperlink r:id="rId153" ref="B60"/>
    <hyperlink r:id="rId154" ref="T60"/>
    <hyperlink r:id="rId155" ref="U60"/>
    <hyperlink r:id="rId156" ref="B61"/>
    <hyperlink r:id="rId157" ref="T61"/>
    <hyperlink r:id="rId158" ref="U61"/>
    <hyperlink r:id="rId159" ref="B62"/>
    <hyperlink r:id="rId160" ref="T62"/>
    <hyperlink r:id="rId161" ref="U62"/>
    <hyperlink r:id="rId162" ref="B63"/>
    <hyperlink r:id="rId163" ref="T63"/>
    <hyperlink r:id="rId164" ref="U63"/>
    <hyperlink r:id="rId165" ref="B64"/>
    <hyperlink r:id="rId166" ref="T64"/>
    <hyperlink r:id="rId167" ref="U64"/>
    <hyperlink r:id="rId168" ref="B65"/>
    <hyperlink r:id="rId169" ref="T65"/>
    <hyperlink r:id="rId170" ref="U65"/>
    <hyperlink r:id="rId171" ref="B66"/>
    <hyperlink r:id="rId172" ref="T66"/>
    <hyperlink r:id="rId173" ref="U66"/>
    <hyperlink r:id="rId174" ref="B67"/>
    <hyperlink r:id="rId175" ref="T67"/>
    <hyperlink r:id="rId176" ref="U67"/>
    <hyperlink r:id="rId177" ref="B68"/>
    <hyperlink r:id="rId178" ref="T68"/>
    <hyperlink r:id="rId179" ref="U68"/>
    <hyperlink r:id="rId180" ref="B69"/>
    <hyperlink r:id="rId181" ref="T69"/>
    <hyperlink r:id="rId182" ref="U69"/>
    <hyperlink r:id="rId183" ref="B70"/>
    <hyperlink r:id="rId184" ref="T70"/>
    <hyperlink r:id="rId185" ref="U70"/>
    <hyperlink r:id="rId186" ref="B71"/>
    <hyperlink r:id="rId187" ref="T71"/>
    <hyperlink r:id="rId188" ref="U71"/>
    <hyperlink r:id="rId189" ref="B72"/>
    <hyperlink r:id="rId190" ref="T72"/>
    <hyperlink r:id="rId191" ref="U72"/>
    <hyperlink r:id="rId192" ref="B73"/>
    <hyperlink r:id="rId193" ref="T73"/>
    <hyperlink r:id="rId194" ref="U73"/>
    <hyperlink r:id="rId195" ref="B74"/>
    <hyperlink r:id="rId196" ref="T74"/>
    <hyperlink r:id="rId197" ref="U74"/>
    <hyperlink r:id="rId198" ref="B75"/>
    <hyperlink r:id="rId199" ref="T75"/>
    <hyperlink r:id="rId200" ref="U75"/>
    <hyperlink r:id="rId201" ref="B76"/>
    <hyperlink r:id="rId202" ref="T76"/>
    <hyperlink r:id="rId203" ref="U76"/>
    <hyperlink r:id="rId204" ref="B77"/>
    <hyperlink r:id="rId205" ref="T77"/>
    <hyperlink r:id="rId206" ref="U77"/>
    <hyperlink r:id="rId207" ref="B78"/>
    <hyperlink r:id="rId208" ref="T78"/>
    <hyperlink r:id="rId209" ref="U78"/>
    <hyperlink r:id="rId210" ref="B79"/>
    <hyperlink r:id="rId211" ref="T79"/>
    <hyperlink r:id="rId212" ref="U79"/>
    <hyperlink r:id="rId213" ref="B80"/>
    <hyperlink r:id="rId214" ref="T80"/>
    <hyperlink r:id="rId215" ref="U80"/>
    <hyperlink r:id="rId216" ref="B81"/>
    <hyperlink r:id="rId217" ref="T81"/>
    <hyperlink r:id="rId218" ref="U81"/>
    <hyperlink r:id="rId219" ref="B82"/>
    <hyperlink r:id="rId220" ref="T82"/>
    <hyperlink r:id="rId221" ref="U82"/>
    <hyperlink r:id="rId222" ref="B83"/>
    <hyperlink r:id="rId223" ref="T83"/>
    <hyperlink r:id="rId224" ref="U83"/>
    <hyperlink r:id="rId225" ref="B84"/>
    <hyperlink r:id="rId226" ref="T84"/>
    <hyperlink r:id="rId227" ref="U84"/>
    <hyperlink r:id="rId228" ref="B85"/>
    <hyperlink r:id="rId229" ref="T85"/>
    <hyperlink r:id="rId230" ref="U85"/>
    <hyperlink r:id="rId231" ref="B86"/>
    <hyperlink r:id="rId232" ref="T86"/>
    <hyperlink r:id="rId233" ref="U86"/>
    <hyperlink r:id="rId234" ref="B87"/>
    <hyperlink r:id="rId235" ref="T87"/>
    <hyperlink r:id="rId236" ref="U87"/>
    <hyperlink r:id="rId237" ref="B88"/>
    <hyperlink r:id="rId238" ref="T88"/>
    <hyperlink r:id="rId239" ref="U88"/>
    <hyperlink r:id="rId240" ref="B89"/>
    <hyperlink r:id="rId241" ref="T89"/>
    <hyperlink r:id="rId242" ref="U89"/>
    <hyperlink r:id="rId243" ref="B90"/>
    <hyperlink r:id="rId244" ref="T90"/>
    <hyperlink r:id="rId245" ref="U90"/>
    <hyperlink r:id="rId246" ref="B91"/>
    <hyperlink r:id="rId247" ref="T91"/>
    <hyperlink r:id="rId248" ref="U91"/>
    <hyperlink r:id="rId249" ref="B92"/>
    <hyperlink r:id="rId250" ref="T92"/>
    <hyperlink r:id="rId251" ref="U92"/>
    <hyperlink r:id="rId252" ref="B93"/>
    <hyperlink r:id="rId253" ref="T93"/>
    <hyperlink r:id="rId254" ref="U93"/>
    <hyperlink r:id="rId255" ref="B94"/>
    <hyperlink r:id="rId256" ref="T94"/>
    <hyperlink r:id="rId257" ref="U94"/>
    <hyperlink r:id="rId258" ref="B95"/>
    <hyperlink r:id="rId259" ref="T95"/>
    <hyperlink r:id="rId260" ref="U95"/>
    <hyperlink r:id="rId261" ref="B96"/>
    <hyperlink r:id="rId262" ref="T96"/>
    <hyperlink r:id="rId263" ref="U96"/>
    <hyperlink r:id="rId264" ref="B97"/>
    <hyperlink r:id="rId265" ref="T97"/>
    <hyperlink r:id="rId266" ref="U97"/>
    <hyperlink r:id="rId267" ref="B98"/>
    <hyperlink r:id="rId268" ref="T98"/>
    <hyperlink r:id="rId269" ref="U98"/>
    <hyperlink r:id="rId270" ref="B99"/>
    <hyperlink r:id="rId271" ref="T99"/>
    <hyperlink r:id="rId272" ref="U99"/>
    <hyperlink r:id="rId273" ref="B100"/>
    <hyperlink r:id="rId274" ref="T100"/>
    <hyperlink r:id="rId275" ref="U100"/>
    <hyperlink r:id="rId276" ref="B101"/>
    <hyperlink r:id="rId277" ref="T101"/>
    <hyperlink r:id="rId278" ref="U101"/>
    <hyperlink r:id="rId279" ref="B102"/>
    <hyperlink r:id="rId280" ref="T102"/>
    <hyperlink r:id="rId281" ref="U102"/>
    <hyperlink r:id="rId282" ref="B103"/>
    <hyperlink r:id="rId283" ref="T103"/>
    <hyperlink r:id="rId284" ref="U103"/>
    <hyperlink r:id="rId285" ref="B104"/>
    <hyperlink r:id="rId286" ref="T104"/>
    <hyperlink r:id="rId287" ref="U104"/>
    <hyperlink r:id="rId288" ref="B105"/>
    <hyperlink r:id="rId289" ref="T105"/>
    <hyperlink r:id="rId290" ref="U105"/>
    <hyperlink r:id="rId291" ref="B106"/>
    <hyperlink r:id="rId292" ref="T106"/>
    <hyperlink r:id="rId293" ref="U106"/>
    <hyperlink r:id="rId294" ref="B107"/>
    <hyperlink r:id="rId295" ref="T107"/>
    <hyperlink r:id="rId296" ref="U107"/>
    <hyperlink r:id="rId297" ref="B108"/>
    <hyperlink r:id="rId298" ref="T108"/>
    <hyperlink r:id="rId299" ref="U108"/>
    <hyperlink r:id="rId300" ref="B109"/>
    <hyperlink r:id="rId301" ref="T109"/>
    <hyperlink r:id="rId302" ref="U109"/>
    <hyperlink r:id="rId303" ref="B110"/>
    <hyperlink r:id="rId304" ref="T110"/>
    <hyperlink r:id="rId305" ref="U110"/>
    <hyperlink r:id="rId306" ref="B111"/>
    <hyperlink r:id="rId307" ref="T111"/>
    <hyperlink r:id="rId308" ref="U111"/>
    <hyperlink r:id="rId309" ref="B112"/>
    <hyperlink r:id="rId310" ref="T112"/>
    <hyperlink r:id="rId311" ref="U112"/>
    <hyperlink r:id="rId312" ref="B113"/>
    <hyperlink r:id="rId313" ref="T113"/>
    <hyperlink r:id="rId314" ref="U113"/>
    <hyperlink r:id="rId315" ref="B114"/>
    <hyperlink r:id="rId316" ref="T114"/>
    <hyperlink r:id="rId317" ref="U114"/>
    <hyperlink r:id="rId318" ref="B115"/>
    <hyperlink r:id="rId319" ref="T115"/>
    <hyperlink r:id="rId320" ref="U115"/>
    <hyperlink r:id="rId321" ref="B116"/>
    <hyperlink r:id="rId322" ref="T116"/>
    <hyperlink r:id="rId323" ref="U116"/>
    <hyperlink r:id="rId324" ref="B117"/>
    <hyperlink r:id="rId325" ref="T117"/>
    <hyperlink r:id="rId326" ref="U117"/>
    <hyperlink r:id="rId327" ref="B118"/>
    <hyperlink r:id="rId328" ref="T118"/>
    <hyperlink r:id="rId329" ref="U118"/>
    <hyperlink r:id="rId330" ref="B119"/>
    <hyperlink r:id="rId331" ref="T119"/>
    <hyperlink r:id="rId332" ref="U119"/>
    <hyperlink r:id="rId333" ref="B120"/>
    <hyperlink r:id="rId334" ref="T120"/>
    <hyperlink r:id="rId335" ref="U120"/>
    <hyperlink r:id="rId336" ref="B121"/>
    <hyperlink r:id="rId337" ref="T121"/>
    <hyperlink r:id="rId338" ref="U121"/>
    <hyperlink r:id="rId339" ref="B122"/>
    <hyperlink r:id="rId340" ref="T122"/>
    <hyperlink r:id="rId341" ref="U122"/>
    <hyperlink r:id="rId342" ref="B123"/>
    <hyperlink r:id="rId343" ref="T123"/>
    <hyperlink r:id="rId344" ref="U123"/>
    <hyperlink r:id="rId345" ref="B124"/>
    <hyperlink r:id="rId346" ref="T124"/>
    <hyperlink r:id="rId347" ref="U124"/>
    <hyperlink r:id="rId348" ref="B125"/>
    <hyperlink r:id="rId349" ref="T125"/>
    <hyperlink r:id="rId350" ref="U125"/>
    <hyperlink r:id="rId351" ref="B126"/>
    <hyperlink r:id="rId352" ref="T126"/>
    <hyperlink r:id="rId353" ref="U126"/>
    <hyperlink r:id="rId354" ref="B127"/>
    <hyperlink r:id="rId355" ref="T127"/>
    <hyperlink r:id="rId356" ref="U127"/>
    <hyperlink r:id="rId357" ref="B128"/>
    <hyperlink r:id="rId358" ref="T128"/>
    <hyperlink r:id="rId359" ref="U128"/>
    <hyperlink r:id="rId360" ref="B129"/>
    <hyperlink r:id="rId361" ref="T129"/>
    <hyperlink r:id="rId362" ref="U129"/>
    <hyperlink r:id="rId363" ref="B130"/>
    <hyperlink r:id="rId364" ref="T130"/>
    <hyperlink r:id="rId365" ref="U130"/>
    <hyperlink r:id="rId366" ref="B131"/>
    <hyperlink r:id="rId367" ref="T131"/>
    <hyperlink r:id="rId368" ref="U131"/>
    <hyperlink r:id="rId369" ref="B132"/>
    <hyperlink r:id="rId370" ref="T132"/>
    <hyperlink r:id="rId371" ref="U132"/>
    <hyperlink r:id="rId372" ref="B133"/>
    <hyperlink r:id="rId373" ref="T133"/>
    <hyperlink r:id="rId374" ref="U133"/>
    <hyperlink r:id="rId375" ref="B134"/>
    <hyperlink r:id="rId376" ref="T134"/>
    <hyperlink r:id="rId377" ref="U134"/>
    <hyperlink r:id="rId378" ref="B135"/>
    <hyperlink r:id="rId379" ref="T135"/>
    <hyperlink r:id="rId380" ref="U135"/>
    <hyperlink r:id="rId381" ref="B136"/>
    <hyperlink r:id="rId382" ref="T136"/>
    <hyperlink r:id="rId383" ref="U136"/>
    <hyperlink r:id="rId384" ref="B137"/>
    <hyperlink r:id="rId385" ref="T137"/>
    <hyperlink r:id="rId386" ref="U137"/>
    <hyperlink r:id="rId387" ref="B138"/>
    <hyperlink r:id="rId388" ref="T138"/>
    <hyperlink r:id="rId389" ref="U138"/>
    <hyperlink r:id="rId390" ref="B139"/>
    <hyperlink r:id="rId391" ref="T139"/>
    <hyperlink r:id="rId392" ref="U139"/>
    <hyperlink r:id="rId393" ref="B140"/>
    <hyperlink r:id="rId394" ref="T140"/>
    <hyperlink r:id="rId395" ref="U140"/>
    <hyperlink r:id="rId396" ref="B141"/>
    <hyperlink r:id="rId397" ref="T141"/>
    <hyperlink r:id="rId398" ref="U141"/>
    <hyperlink r:id="rId399" ref="B142"/>
    <hyperlink r:id="rId400" ref="T142"/>
    <hyperlink r:id="rId401" ref="U142"/>
    <hyperlink r:id="rId402" ref="B143"/>
    <hyperlink r:id="rId403" ref="T143"/>
    <hyperlink r:id="rId404" ref="U143"/>
    <hyperlink r:id="rId405" ref="B144"/>
    <hyperlink r:id="rId406" ref="T144"/>
    <hyperlink r:id="rId407" ref="U144"/>
    <hyperlink r:id="rId408" ref="B145"/>
    <hyperlink r:id="rId409" ref="T145"/>
    <hyperlink r:id="rId410" ref="U145"/>
    <hyperlink r:id="rId411" ref="B146"/>
    <hyperlink r:id="rId412" ref="T146"/>
    <hyperlink r:id="rId413" ref="U146"/>
    <hyperlink r:id="rId414" ref="B147"/>
    <hyperlink r:id="rId415" ref="T147"/>
    <hyperlink r:id="rId416" ref="U147"/>
    <hyperlink r:id="rId417" ref="B148"/>
    <hyperlink r:id="rId418" ref="T148"/>
    <hyperlink r:id="rId419" ref="U148"/>
    <hyperlink r:id="rId420" ref="B149"/>
    <hyperlink r:id="rId421" ref="T149"/>
    <hyperlink r:id="rId422" ref="U149"/>
    <hyperlink r:id="rId423" ref="B150"/>
    <hyperlink r:id="rId424" ref="T150"/>
    <hyperlink r:id="rId425" ref="U150"/>
    <hyperlink r:id="rId426" ref="B151"/>
    <hyperlink r:id="rId427" ref="T151"/>
    <hyperlink r:id="rId428" ref="U151"/>
    <hyperlink r:id="rId429" ref="B152"/>
    <hyperlink r:id="rId430" ref="T152"/>
    <hyperlink r:id="rId431" ref="U152"/>
    <hyperlink r:id="rId432" ref="B153"/>
    <hyperlink r:id="rId433" ref="T153"/>
    <hyperlink r:id="rId434" ref="U153"/>
    <hyperlink r:id="rId435" ref="B154"/>
    <hyperlink r:id="rId436" ref="T154"/>
    <hyperlink r:id="rId437" ref="U154"/>
    <hyperlink r:id="rId438" ref="B155"/>
    <hyperlink r:id="rId439" ref="T155"/>
    <hyperlink r:id="rId440" ref="U155"/>
    <hyperlink r:id="rId441" ref="B156"/>
    <hyperlink r:id="rId442" ref="T156"/>
    <hyperlink r:id="rId443" ref="U156"/>
    <hyperlink r:id="rId444" ref="B157"/>
    <hyperlink r:id="rId445" ref="T157"/>
    <hyperlink r:id="rId446" ref="U157"/>
    <hyperlink r:id="rId447" ref="B158"/>
    <hyperlink r:id="rId448" ref="T158"/>
    <hyperlink r:id="rId449" ref="U158"/>
    <hyperlink r:id="rId450" ref="B159"/>
    <hyperlink r:id="rId451" ref="T159"/>
    <hyperlink r:id="rId452" ref="U159"/>
    <hyperlink r:id="rId453" ref="B160"/>
    <hyperlink r:id="rId454" ref="T160"/>
    <hyperlink r:id="rId455" ref="B161"/>
    <hyperlink r:id="rId456" ref="T161"/>
    <hyperlink r:id="rId457" ref="B162"/>
    <hyperlink r:id="rId458" ref="T162"/>
    <hyperlink r:id="rId459" ref="B163"/>
    <hyperlink r:id="rId460" ref="T163"/>
    <hyperlink r:id="rId461" ref="U163"/>
    <hyperlink r:id="rId462" ref="B164"/>
    <hyperlink r:id="rId463" ref="T164"/>
    <hyperlink r:id="rId464" ref="U164"/>
    <hyperlink r:id="rId465" ref="B165"/>
    <hyperlink r:id="rId466" ref="T165"/>
    <hyperlink r:id="rId467" ref="B166"/>
    <hyperlink r:id="rId468" ref="T166"/>
    <hyperlink r:id="rId469" ref="B167"/>
    <hyperlink r:id="rId470" ref="T167"/>
    <hyperlink r:id="rId471" ref="B168"/>
    <hyperlink r:id="rId472" ref="T168"/>
    <hyperlink r:id="rId473" ref="U168"/>
    <hyperlink r:id="rId474" ref="B169"/>
    <hyperlink r:id="rId475" ref="T169"/>
    <hyperlink r:id="rId476" ref="U169"/>
    <hyperlink r:id="rId477" ref="B170"/>
    <hyperlink r:id="rId478" ref="T170"/>
    <hyperlink r:id="rId479" ref="U170"/>
    <hyperlink r:id="rId480" ref="B171"/>
    <hyperlink r:id="rId481" ref="T171"/>
    <hyperlink r:id="rId482" ref="U171"/>
    <hyperlink r:id="rId483" ref="B172"/>
    <hyperlink r:id="rId484" ref="T172"/>
    <hyperlink r:id="rId485" ref="U172"/>
    <hyperlink r:id="rId486" ref="B173"/>
    <hyperlink r:id="rId487" ref="T173"/>
    <hyperlink r:id="rId488" ref="U173"/>
    <hyperlink r:id="rId489" ref="B174"/>
    <hyperlink r:id="rId490" ref="T174"/>
    <hyperlink r:id="rId491" ref="U174"/>
    <hyperlink r:id="rId492" ref="B175"/>
    <hyperlink r:id="rId493" ref="T175"/>
    <hyperlink r:id="rId494" ref="U175"/>
    <hyperlink r:id="rId495" ref="B176"/>
    <hyperlink r:id="rId496" ref="T176"/>
    <hyperlink r:id="rId497" ref="U176"/>
    <hyperlink r:id="rId498" ref="B177"/>
    <hyperlink r:id="rId499" ref="T177"/>
    <hyperlink r:id="rId500" ref="U177"/>
    <hyperlink r:id="rId501" ref="B178"/>
    <hyperlink r:id="rId502" ref="T178"/>
    <hyperlink r:id="rId503" ref="U178"/>
    <hyperlink r:id="rId504" ref="B179"/>
    <hyperlink r:id="rId505" ref="T179"/>
    <hyperlink r:id="rId506" ref="U179"/>
    <hyperlink r:id="rId507" ref="B180"/>
    <hyperlink r:id="rId508" ref="T180"/>
    <hyperlink r:id="rId509" ref="U180"/>
    <hyperlink r:id="rId510" ref="B181"/>
    <hyperlink r:id="rId511" ref="T181"/>
    <hyperlink r:id="rId512" ref="B182"/>
    <hyperlink r:id="rId513" ref="T182"/>
    <hyperlink r:id="rId514" ref="U182"/>
    <hyperlink r:id="rId515" ref="B183"/>
    <hyperlink r:id="rId516" ref="T183"/>
    <hyperlink r:id="rId517" ref="U183"/>
    <hyperlink r:id="rId518" ref="B184"/>
    <hyperlink r:id="rId519" ref="T184"/>
    <hyperlink r:id="rId520" ref="U184"/>
    <hyperlink r:id="rId521" ref="B185"/>
    <hyperlink r:id="rId522" ref="T185"/>
    <hyperlink r:id="rId523" ref="B186"/>
    <hyperlink r:id="rId524" ref="T186"/>
    <hyperlink r:id="rId525" ref="U186"/>
    <hyperlink r:id="rId526" ref="B187"/>
    <hyperlink r:id="rId527" ref="T187"/>
    <hyperlink r:id="rId528" ref="U187"/>
    <hyperlink r:id="rId529" ref="B188"/>
    <hyperlink r:id="rId530" ref="T188"/>
    <hyperlink r:id="rId531" ref="U188"/>
    <hyperlink r:id="rId532" ref="B189"/>
    <hyperlink r:id="rId533" ref="T189"/>
    <hyperlink r:id="rId534" ref="U189"/>
    <hyperlink r:id="rId535" ref="B190"/>
    <hyperlink r:id="rId536" ref="T190"/>
    <hyperlink r:id="rId537" ref="U190"/>
    <hyperlink r:id="rId538" ref="B191"/>
    <hyperlink r:id="rId539" ref="T191"/>
    <hyperlink r:id="rId540" ref="U191"/>
    <hyperlink r:id="rId541" ref="B192"/>
    <hyperlink r:id="rId542" ref="T192"/>
    <hyperlink r:id="rId543" ref="U192"/>
    <hyperlink r:id="rId544" ref="B193"/>
    <hyperlink r:id="rId545" ref="T193"/>
    <hyperlink r:id="rId546" ref="U193"/>
    <hyperlink r:id="rId547" ref="B194"/>
    <hyperlink r:id="rId548" ref="T194"/>
    <hyperlink r:id="rId549" ref="U194"/>
    <hyperlink r:id="rId550" ref="B195"/>
    <hyperlink r:id="rId551" ref="T195"/>
    <hyperlink r:id="rId552" ref="U195"/>
    <hyperlink r:id="rId553" ref="B196"/>
    <hyperlink r:id="rId554" ref="T196"/>
    <hyperlink r:id="rId555" ref="U196"/>
    <hyperlink r:id="rId556" ref="B197"/>
    <hyperlink r:id="rId557" ref="T197"/>
    <hyperlink r:id="rId558" ref="U197"/>
    <hyperlink r:id="rId559" ref="B198"/>
    <hyperlink r:id="rId560" ref="T198"/>
    <hyperlink r:id="rId561" ref="U198"/>
    <hyperlink r:id="rId562" ref="B199"/>
    <hyperlink r:id="rId563" ref="T199"/>
    <hyperlink r:id="rId564" ref="U199"/>
    <hyperlink r:id="rId565" ref="B200"/>
    <hyperlink r:id="rId566" ref="T200"/>
    <hyperlink r:id="rId567" ref="U200"/>
    <hyperlink r:id="rId568" ref="B201"/>
    <hyperlink r:id="rId569" ref="T201"/>
    <hyperlink r:id="rId570" ref="U201"/>
    <hyperlink r:id="rId571" ref="B202"/>
    <hyperlink r:id="rId572" ref="T202"/>
    <hyperlink r:id="rId573" ref="U202"/>
    <hyperlink r:id="rId574" ref="B203"/>
    <hyperlink r:id="rId575" ref="T203"/>
    <hyperlink r:id="rId576" ref="U203"/>
    <hyperlink r:id="rId577" ref="B204"/>
    <hyperlink r:id="rId578" ref="T204"/>
    <hyperlink r:id="rId579" ref="U204"/>
    <hyperlink r:id="rId580" ref="B205"/>
    <hyperlink r:id="rId581" ref="T205"/>
    <hyperlink r:id="rId582" ref="U205"/>
    <hyperlink r:id="rId583" ref="B206"/>
    <hyperlink r:id="rId584" ref="T206"/>
    <hyperlink r:id="rId585" ref="U206"/>
    <hyperlink r:id="rId586" ref="B207"/>
    <hyperlink r:id="rId587" ref="T207"/>
    <hyperlink r:id="rId588" ref="U207"/>
    <hyperlink r:id="rId589" ref="B208"/>
    <hyperlink r:id="rId590" ref="T208"/>
    <hyperlink r:id="rId591" ref="U208"/>
    <hyperlink r:id="rId592" ref="B209"/>
    <hyperlink r:id="rId593" ref="T209"/>
    <hyperlink r:id="rId594" ref="U209"/>
    <hyperlink r:id="rId595" ref="B210"/>
    <hyperlink r:id="rId596" ref="T210"/>
    <hyperlink r:id="rId597" ref="U210"/>
    <hyperlink r:id="rId598" ref="B211"/>
    <hyperlink r:id="rId599" ref="T211"/>
    <hyperlink r:id="rId600" ref="U211"/>
    <hyperlink r:id="rId601" ref="B212"/>
    <hyperlink r:id="rId602" ref="T212"/>
    <hyperlink r:id="rId603" ref="U212"/>
    <hyperlink r:id="rId604" ref="B213"/>
    <hyperlink r:id="rId605" ref="T213"/>
    <hyperlink r:id="rId606" ref="U213"/>
    <hyperlink r:id="rId607" ref="B214"/>
    <hyperlink r:id="rId608" ref="T214"/>
    <hyperlink r:id="rId609" ref="U214"/>
    <hyperlink r:id="rId610" ref="B215"/>
    <hyperlink r:id="rId611" ref="T215"/>
    <hyperlink r:id="rId612" ref="U215"/>
    <hyperlink r:id="rId613" ref="B216"/>
    <hyperlink r:id="rId614" ref="T216"/>
    <hyperlink r:id="rId615" ref="U216"/>
    <hyperlink r:id="rId616" ref="B217"/>
    <hyperlink r:id="rId617" ref="T217"/>
    <hyperlink r:id="rId618" ref="U217"/>
    <hyperlink r:id="rId619" ref="B218"/>
    <hyperlink r:id="rId620" ref="T218"/>
    <hyperlink r:id="rId621" ref="U218"/>
    <hyperlink r:id="rId622" ref="B219"/>
    <hyperlink r:id="rId623" ref="T219"/>
    <hyperlink r:id="rId624" ref="U219"/>
    <hyperlink r:id="rId625" ref="B220"/>
    <hyperlink r:id="rId626" ref="T220"/>
    <hyperlink r:id="rId627" ref="B221"/>
    <hyperlink r:id="rId628" ref="T221"/>
    <hyperlink r:id="rId629" ref="U221"/>
    <hyperlink r:id="rId630" ref="B222"/>
    <hyperlink r:id="rId631" ref="T222"/>
    <hyperlink r:id="rId632" ref="U222"/>
    <hyperlink r:id="rId633" ref="B223"/>
    <hyperlink r:id="rId634" ref="T223"/>
    <hyperlink r:id="rId635" ref="U223"/>
    <hyperlink r:id="rId636" ref="B224"/>
    <hyperlink r:id="rId637" ref="T224"/>
    <hyperlink r:id="rId638" ref="U224"/>
    <hyperlink r:id="rId639" ref="B225"/>
    <hyperlink r:id="rId640" ref="T225"/>
    <hyperlink r:id="rId641" ref="U225"/>
    <hyperlink r:id="rId642" ref="B226"/>
    <hyperlink r:id="rId643" ref="T226"/>
    <hyperlink r:id="rId644" ref="U226"/>
    <hyperlink r:id="rId645" ref="B227"/>
    <hyperlink r:id="rId646" ref="T227"/>
    <hyperlink r:id="rId647" ref="U227"/>
    <hyperlink r:id="rId648" ref="B228"/>
    <hyperlink r:id="rId649" ref="T228"/>
    <hyperlink r:id="rId650" ref="U228"/>
    <hyperlink r:id="rId651" ref="B229"/>
    <hyperlink r:id="rId652" ref="T229"/>
    <hyperlink r:id="rId653" ref="U229"/>
    <hyperlink r:id="rId654" ref="B230"/>
    <hyperlink r:id="rId655" ref="T230"/>
    <hyperlink r:id="rId656" ref="U230"/>
    <hyperlink r:id="rId657" ref="B231"/>
    <hyperlink r:id="rId658" ref="T231"/>
    <hyperlink r:id="rId659" ref="U231"/>
    <hyperlink r:id="rId660" ref="B232"/>
    <hyperlink r:id="rId661" ref="T232"/>
    <hyperlink r:id="rId662" ref="U232"/>
    <hyperlink r:id="rId663" ref="B233"/>
    <hyperlink r:id="rId664" ref="T233"/>
    <hyperlink r:id="rId665" ref="U233"/>
    <hyperlink r:id="rId666" ref="B234"/>
    <hyperlink r:id="rId667" ref="T234"/>
    <hyperlink r:id="rId668" ref="U234"/>
    <hyperlink r:id="rId669" ref="B235"/>
    <hyperlink r:id="rId670" ref="T235"/>
    <hyperlink r:id="rId671" ref="U235"/>
    <hyperlink r:id="rId672" ref="B236"/>
    <hyperlink r:id="rId673" ref="T236"/>
    <hyperlink r:id="rId674" ref="U236"/>
    <hyperlink r:id="rId675" ref="B237"/>
    <hyperlink r:id="rId676" ref="T237"/>
    <hyperlink r:id="rId677" ref="U237"/>
    <hyperlink r:id="rId678" ref="B238"/>
    <hyperlink r:id="rId679" ref="T238"/>
    <hyperlink r:id="rId680" ref="U238"/>
    <hyperlink r:id="rId681" ref="B239"/>
    <hyperlink r:id="rId682" ref="T239"/>
    <hyperlink r:id="rId683" ref="U239"/>
    <hyperlink r:id="rId684" ref="B240"/>
    <hyperlink r:id="rId685" ref="T240"/>
    <hyperlink r:id="rId686" ref="U240"/>
    <hyperlink r:id="rId687" ref="B241"/>
    <hyperlink r:id="rId688" ref="T241"/>
    <hyperlink r:id="rId689" ref="U241"/>
    <hyperlink r:id="rId690" ref="B242"/>
    <hyperlink r:id="rId691" ref="T242"/>
    <hyperlink r:id="rId692" ref="U242"/>
    <hyperlink r:id="rId693" ref="B243"/>
    <hyperlink r:id="rId694" ref="T243"/>
    <hyperlink r:id="rId695" ref="U243"/>
    <hyperlink r:id="rId696" ref="B244"/>
    <hyperlink r:id="rId697" ref="T244"/>
    <hyperlink r:id="rId698" ref="U244"/>
    <hyperlink r:id="rId699" ref="B245"/>
    <hyperlink r:id="rId700" ref="T245"/>
    <hyperlink r:id="rId701" ref="U245"/>
    <hyperlink r:id="rId702" ref="B246"/>
    <hyperlink r:id="rId703" ref="T246"/>
    <hyperlink r:id="rId704" ref="U246"/>
    <hyperlink r:id="rId705" ref="B247"/>
    <hyperlink r:id="rId706" ref="T247"/>
    <hyperlink r:id="rId707" ref="U247"/>
    <hyperlink r:id="rId708" ref="B248"/>
    <hyperlink r:id="rId709" ref="T248"/>
    <hyperlink r:id="rId710" ref="U248"/>
    <hyperlink r:id="rId711" ref="B249"/>
    <hyperlink r:id="rId712" ref="T249"/>
    <hyperlink r:id="rId713" ref="U249"/>
    <hyperlink r:id="rId714" ref="B250"/>
    <hyperlink r:id="rId715" ref="T250"/>
    <hyperlink r:id="rId716" ref="U250"/>
    <hyperlink r:id="rId717" ref="B251"/>
    <hyperlink r:id="rId718" ref="T251"/>
    <hyperlink r:id="rId719" ref="U251"/>
    <hyperlink r:id="rId720" ref="B252"/>
    <hyperlink r:id="rId721" ref="T252"/>
    <hyperlink r:id="rId722" ref="U252"/>
    <hyperlink r:id="rId723" ref="B253"/>
    <hyperlink r:id="rId724" ref="T253"/>
    <hyperlink r:id="rId725" ref="U253"/>
    <hyperlink r:id="rId726" ref="B254"/>
    <hyperlink r:id="rId727" ref="T254"/>
    <hyperlink r:id="rId728" ref="U254"/>
    <hyperlink r:id="rId729" ref="B255"/>
    <hyperlink r:id="rId730" ref="T255"/>
    <hyperlink r:id="rId731" ref="U255"/>
    <hyperlink r:id="rId732" ref="B256"/>
    <hyperlink r:id="rId733" ref="T256"/>
    <hyperlink r:id="rId734" ref="U256"/>
    <hyperlink r:id="rId735" ref="B257"/>
    <hyperlink r:id="rId736" ref="T257"/>
    <hyperlink r:id="rId737" ref="U257"/>
    <hyperlink r:id="rId738" ref="B258"/>
    <hyperlink r:id="rId739" ref="T258"/>
    <hyperlink r:id="rId740" ref="U258"/>
    <hyperlink r:id="rId741" ref="B259"/>
    <hyperlink r:id="rId742" ref="T259"/>
    <hyperlink r:id="rId743" ref="U259"/>
    <hyperlink r:id="rId744" ref="B260"/>
    <hyperlink r:id="rId745" ref="T260"/>
    <hyperlink r:id="rId746" ref="U260"/>
    <hyperlink r:id="rId747" ref="B261"/>
    <hyperlink r:id="rId748" ref="T261"/>
    <hyperlink r:id="rId749" ref="U261"/>
    <hyperlink r:id="rId750" ref="B262"/>
    <hyperlink r:id="rId751" ref="T262"/>
    <hyperlink r:id="rId752" ref="U262"/>
    <hyperlink r:id="rId753" ref="B263"/>
    <hyperlink r:id="rId754" ref="T263"/>
    <hyperlink r:id="rId755" ref="U263"/>
    <hyperlink r:id="rId756" ref="B264"/>
    <hyperlink r:id="rId757" ref="T264"/>
    <hyperlink r:id="rId758" ref="U264"/>
    <hyperlink r:id="rId759" ref="B265"/>
    <hyperlink r:id="rId760" ref="T265"/>
    <hyperlink r:id="rId761" ref="U265"/>
    <hyperlink r:id="rId762" ref="B266"/>
    <hyperlink r:id="rId763" ref="T266"/>
    <hyperlink r:id="rId764" ref="U266"/>
    <hyperlink r:id="rId765" ref="B267"/>
    <hyperlink r:id="rId766" ref="T267"/>
    <hyperlink r:id="rId767" ref="U267"/>
    <hyperlink r:id="rId768" ref="B268"/>
    <hyperlink r:id="rId769" ref="T268"/>
    <hyperlink r:id="rId770" ref="U268"/>
    <hyperlink r:id="rId771" ref="B269"/>
    <hyperlink r:id="rId772" ref="T269"/>
    <hyperlink r:id="rId773" ref="U269"/>
    <hyperlink r:id="rId774" ref="B270"/>
    <hyperlink r:id="rId775" ref="T270"/>
    <hyperlink r:id="rId776" ref="U270"/>
    <hyperlink r:id="rId777" ref="B271"/>
    <hyperlink r:id="rId778" ref="T271"/>
    <hyperlink r:id="rId779" ref="U271"/>
    <hyperlink r:id="rId780" ref="B272"/>
    <hyperlink r:id="rId781" ref="T272"/>
    <hyperlink r:id="rId782" ref="U272"/>
    <hyperlink r:id="rId783" ref="B273"/>
    <hyperlink r:id="rId784" ref="T273"/>
    <hyperlink r:id="rId785" ref="U273"/>
    <hyperlink r:id="rId786" ref="B274"/>
    <hyperlink r:id="rId787" ref="T274"/>
    <hyperlink r:id="rId788" ref="U274"/>
    <hyperlink r:id="rId789" ref="B275"/>
    <hyperlink r:id="rId790" ref="T275"/>
    <hyperlink r:id="rId791" ref="U275"/>
    <hyperlink r:id="rId792" ref="B276"/>
    <hyperlink r:id="rId793" ref="T276"/>
    <hyperlink r:id="rId794" ref="U276"/>
    <hyperlink r:id="rId795" ref="B277"/>
    <hyperlink r:id="rId796" ref="T277"/>
    <hyperlink r:id="rId797" ref="U277"/>
    <hyperlink r:id="rId798" ref="B278"/>
    <hyperlink r:id="rId799" ref="T278"/>
    <hyperlink r:id="rId800" ref="U278"/>
    <hyperlink r:id="rId801" ref="B279"/>
    <hyperlink r:id="rId802" ref="T279"/>
    <hyperlink r:id="rId803" ref="U279"/>
    <hyperlink r:id="rId804" ref="B280"/>
    <hyperlink r:id="rId805" ref="T280"/>
    <hyperlink r:id="rId806" ref="U280"/>
    <hyperlink r:id="rId807" ref="B281"/>
    <hyperlink r:id="rId808" ref="T281"/>
    <hyperlink r:id="rId809" ref="U281"/>
    <hyperlink r:id="rId810" ref="B282"/>
    <hyperlink r:id="rId811" ref="T282"/>
    <hyperlink r:id="rId812" ref="U282"/>
    <hyperlink r:id="rId813" ref="B283"/>
    <hyperlink r:id="rId814" ref="T283"/>
    <hyperlink r:id="rId815" ref="U283"/>
    <hyperlink r:id="rId816" ref="B284"/>
    <hyperlink r:id="rId817" ref="T284"/>
    <hyperlink r:id="rId818" ref="U284"/>
    <hyperlink r:id="rId819" ref="B285"/>
    <hyperlink r:id="rId820" ref="T285"/>
    <hyperlink r:id="rId821" ref="U285"/>
    <hyperlink r:id="rId822" ref="B286"/>
    <hyperlink r:id="rId823" ref="T286"/>
    <hyperlink r:id="rId824" ref="U286"/>
    <hyperlink r:id="rId825" ref="B287"/>
    <hyperlink r:id="rId826" ref="T287"/>
    <hyperlink r:id="rId827" ref="U287"/>
    <hyperlink r:id="rId828" ref="B288"/>
    <hyperlink r:id="rId829" ref="T288"/>
    <hyperlink r:id="rId830" ref="U288"/>
    <hyperlink r:id="rId831" ref="B289"/>
    <hyperlink r:id="rId832" ref="T289"/>
    <hyperlink r:id="rId833" ref="U289"/>
    <hyperlink r:id="rId834" ref="B290"/>
    <hyperlink r:id="rId835" ref="T290"/>
    <hyperlink r:id="rId836" ref="U290"/>
    <hyperlink r:id="rId837" ref="B291"/>
    <hyperlink r:id="rId838" ref="T291"/>
    <hyperlink r:id="rId839" ref="U291"/>
    <hyperlink r:id="rId840" ref="B292"/>
    <hyperlink r:id="rId841" ref="T292"/>
    <hyperlink r:id="rId842" ref="U292"/>
    <hyperlink r:id="rId843" ref="B293"/>
    <hyperlink r:id="rId844" ref="T293"/>
    <hyperlink r:id="rId845" ref="U293"/>
    <hyperlink r:id="rId846" ref="B294"/>
    <hyperlink r:id="rId847" ref="T294"/>
    <hyperlink r:id="rId848" ref="U294"/>
    <hyperlink r:id="rId849" ref="B295"/>
    <hyperlink r:id="rId850" ref="T295"/>
    <hyperlink r:id="rId851" ref="U295"/>
    <hyperlink r:id="rId852" ref="B296"/>
    <hyperlink r:id="rId853" ref="T296"/>
    <hyperlink r:id="rId854" ref="U296"/>
    <hyperlink r:id="rId855" ref="B297"/>
    <hyperlink r:id="rId856" ref="T297"/>
    <hyperlink r:id="rId857" ref="U297"/>
    <hyperlink r:id="rId858" ref="B298"/>
    <hyperlink r:id="rId859" ref="T298"/>
    <hyperlink r:id="rId860" ref="U298"/>
    <hyperlink r:id="rId861" ref="B299"/>
    <hyperlink r:id="rId862" ref="T299"/>
    <hyperlink r:id="rId863" ref="U299"/>
    <hyperlink r:id="rId864" ref="B300"/>
    <hyperlink r:id="rId865" ref="T300"/>
    <hyperlink r:id="rId866" ref="U300"/>
    <hyperlink r:id="rId867" ref="B301"/>
    <hyperlink r:id="rId868" ref="T301"/>
    <hyperlink r:id="rId869" ref="U301"/>
    <hyperlink r:id="rId870" ref="B302"/>
    <hyperlink r:id="rId871" ref="T302"/>
    <hyperlink r:id="rId872" ref="U302"/>
    <hyperlink r:id="rId873" ref="B303"/>
    <hyperlink r:id="rId874" ref="T303"/>
    <hyperlink r:id="rId875" ref="U303"/>
    <hyperlink r:id="rId876" ref="B304"/>
    <hyperlink r:id="rId877" ref="T304"/>
    <hyperlink r:id="rId878" ref="U304"/>
    <hyperlink r:id="rId879" ref="B305"/>
    <hyperlink r:id="rId880" ref="T305"/>
    <hyperlink r:id="rId881" ref="U305"/>
    <hyperlink r:id="rId882" ref="B306"/>
    <hyperlink r:id="rId883" ref="T306"/>
    <hyperlink r:id="rId884" ref="U306"/>
    <hyperlink r:id="rId885" ref="B307"/>
    <hyperlink r:id="rId886" ref="T307"/>
    <hyperlink r:id="rId887" ref="U307"/>
    <hyperlink r:id="rId888" ref="B308"/>
    <hyperlink r:id="rId889" ref="T308"/>
    <hyperlink r:id="rId890" ref="U308"/>
    <hyperlink r:id="rId891" ref="B309"/>
    <hyperlink r:id="rId892" ref="T309"/>
    <hyperlink r:id="rId893" ref="U309"/>
    <hyperlink r:id="rId894" ref="B310"/>
    <hyperlink r:id="rId895" ref="T310"/>
    <hyperlink r:id="rId896" ref="U310"/>
    <hyperlink r:id="rId897" ref="B311"/>
    <hyperlink r:id="rId898" ref="T311"/>
    <hyperlink r:id="rId899" ref="U311"/>
    <hyperlink r:id="rId900" ref="B312"/>
    <hyperlink r:id="rId901" ref="T312"/>
    <hyperlink r:id="rId902" ref="U312"/>
    <hyperlink r:id="rId903" ref="B313"/>
    <hyperlink r:id="rId904" ref="T313"/>
    <hyperlink r:id="rId905" ref="U313"/>
    <hyperlink r:id="rId906" ref="B314"/>
    <hyperlink r:id="rId907" ref="T314"/>
    <hyperlink r:id="rId908" ref="U314"/>
    <hyperlink r:id="rId909" ref="B315"/>
    <hyperlink r:id="rId910" ref="T315"/>
    <hyperlink r:id="rId911" ref="U315"/>
    <hyperlink r:id="rId912" ref="B316"/>
    <hyperlink r:id="rId913" ref="T316"/>
    <hyperlink r:id="rId914" ref="U316"/>
    <hyperlink r:id="rId915" ref="B317"/>
    <hyperlink r:id="rId916" ref="T317"/>
    <hyperlink r:id="rId917" ref="U317"/>
    <hyperlink r:id="rId918" ref="B318"/>
    <hyperlink r:id="rId919" ref="T318"/>
    <hyperlink r:id="rId920" ref="U318"/>
    <hyperlink r:id="rId921" ref="B319"/>
    <hyperlink r:id="rId922" ref="T319"/>
    <hyperlink r:id="rId923" ref="U319"/>
    <hyperlink r:id="rId924" ref="B320"/>
    <hyperlink r:id="rId925" ref="T320"/>
    <hyperlink r:id="rId926" ref="U320"/>
    <hyperlink r:id="rId927" ref="B321"/>
    <hyperlink r:id="rId928" ref="T321"/>
    <hyperlink r:id="rId929" ref="U321"/>
    <hyperlink r:id="rId930" ref="B322"/>
    <hyperlink r:id="rId931" ref="T322"/>
    <hyperlink r:id="rId932" ref="U322"/>
    <hyperlink r:id="rId933" ref="B323"/>
    <hyperlink r:id="rId934" ref="T323"/>
    <hyperlink r:id="rId935" ref="U323"/>
    <hyperlink r:id="rId936" ref="B324"/>
    <hyperlink r:id="rId937" ref="T324"/>
    <hyperlink r:id="rId938" ref="U324"/>
    <hyperlink r:id="rId939" ref="B325"/>
    <hyperlink r:id="rId940" ref="T325"/>
    <hyperlink r:id="rId941" ref="U325"/>
    <hyperlink r:id="rId942" ref="B326"/>
    <hyperlink r:id="rId943" ref="T326"/>
    <hyperlink r:id="rId944" ref="U326"/>
    <hyperlink r:id="rId945" ref="B327"/>
    <hyperlink r:id="rId946" ref="T327"/>
    <hyperlink r:id="rId947" ref="U327"/>
    <hyperlink r:id="rId948" ref="B328"/>
    <hyperlink r:id="rId949" ref="T328"/>
    <hyperlink r:id="rId950" ref="U328"/>
    <hyperlink r:id="rId951" ref="B329"/>
    <hyperlink r:id="rId952" ref="T329"/>
    <hyperlink r:id="rId953" ref="U329"/>
    <hyperlink r:id="rId954" ref="B330"/>
    <hyperlink r:id="rId955" ref="T330"/>
    <hyperlink r:id="rId956" ref="U330"/>
    <hyperlink r:id="rId957" ref="B331"/>
    <hyperlink r:id="rId958" ref="T331"/>
    <hyperlink r:id="rId959" ref="U331"/>
    <hyperlink r:id="rId960" ref="B332"/>
    <hyperlink r:id="rId961" ref="T332"/>
    <hyperlink r:id="rId962" ref="U332"/>
    <hyperlink r:id="rId963" ref="B333"/>
    <hyperlink r:id="rId964" ref="T333"/>
    <hyperlink r:id="rId965" ref="U333"/>
    <hyperlink r:id="rId966" ref="B334"/>
    <hyperlink r:id="rId967" ref="T334"/>
    <hyperlink r:id="rId968" ref="U334"/>
    <hyperlink r:id="rId969" ref="B335"/>
    <hyperlink r:id="rId970" ref="T335"/>
    <hyperlink r:id="rId971" ref="U335"/>
    <hyperlink r:id="rId972" ref="B336"/>
    <hyperlink r:id="rId973" ref="T336"/>
    <hyperlink r:id="rId974" ref="U336"/>
    <hyperlink r:id="rId975" ref="B337"/>
    <hyperlink r:id="rId976" ref="T337"/>
    <hyperlink r:id="rId977" ref="U337"/>
    <hyperlink r:id="rId978" ref="B338"/>
    <hyperlink r:id="rId979" ref="T338"/>
    <hyperlink r:id="rId980" ref="U338"/>
    <hyperlink r:id="rId981" ref="B339"/>
    <hyperlink r:id="rId982" ref="T339"/>
    <hyperlink r:id="rId983" ref="U339"/>
    <hyperlink r:id="rId984" ref="B340"/>
    <hyperlink r:id="rId985" ref="T340"/>
    <hyperlink r:id="rId986" ref="U340"/>
    <hyperlink r:id="rId987" ref="B341"/>
    <hyperlink r:id="rId988" ref="T341"/>
    <hyperlink r:id="rId989" ref="U341"/>
    <hyperlink r:id="rId990" ref="B342"/>
    <hyperlink r:id="rId991" ref="T342"/>
    <hyperlink r:id="rId992" ref="U342"/>
    <hyperlink r:id="rId993" ref="B343"/>
    <hyperlink r:id="rId994" ref="T343"/>
    <hyperlink r:id="rId995" ref="U343"/>
    <hyperlink r:id="rId996" ref="B344"/>
    <hyperlink r:id="rId997" ref="T344"/>
    <hyperlink r:id="rId998" ref="U344"/>
    <hyperlink r:id="rId999" ref="B345"/>
    <hyperlink r:id="rId1000" ref="T345"/>
    <hyperlink r:id="rId1001" ref="U345"/>
    <hyperlink r:id="rId1002" ref="B346"/>
    <hyperlink r:id="rId1003" ref="T346"/>
    <hyperlink r:id="rId1004" ref="U346"/>
    <hyperlink r:id="rId1005" ref="B347"/>
    <hyperlink r:id="rId1006" ref="T347"/>
    <hyperlink r:id="rId1007" ref="U347"/>
    <hyperlink r:id="rId1008" ref="B348"/>
    <hyperlink r:id="rId1009" ref="T348"/>
    <hyperlink r:id="rId1010" ref="U348"/>
    <hyperlink r:id="rId1011" ref="B349"/>
    <hyperlink r:id="rId1012" ref="T349"/>
    <hyperlink r:id="rId1013" ref="U349"/>
    <hyperlink r:id="rId1014" ref="B350"/>
    <hyperlink r:id="rId1015" ref="T350"/>
    <hyperlink r:id="rId1016" ref="U350"/>
    <hyperlink r:id="rId1017" ref="B351"/>
    <hyperlink r:id="rId1018" ref="T351"/>
    <hyperlink r:id="rId1019" ref="U351"/>
    <hyperlink r:id="rId1020" ref="B352"/>
    <hyperlink r:id="rId1021" ref="T352"/>
    <hyperlink r:id="rId1022" ref="U352"/>
    <hyperlink r:id="rId1023" ref="B353"/>
    <hyperlink r:id="rId1024" ref="T353"/>
    <hyperlink r:id="rId1025" ref="U353"/>
    <hyperlink r:id="rId1026" ref="B354"/>
    <hyperlink r:id="rId1027" ref="T354"/>
    <hyperlink r:id="rId1028" ref="U354"/>
    <hyperlink r:id="rId1029" ref="B355"/>
    <hyperlink r:id="rId1030" ref="T355"/>
    <hyperlink r:id="rId1031" ref="U355"/>
    <hyperlink r:id="rId1032" ref="B356"/>
    <hyperlink r:id="rId1033" ref="T356"/>
    <hyperlink r:id="rId1034" ref="U356"/>
    <hyperlink r:id="rId1035" ref="B357"/>
    <hyperlink r:id="rId1036" ref="T357"/>
    <hyperlink r:id="rId1037" ref="U357"/>
    <hyperlink r:id="rId1038" ref="B358"/>
    <hyperlink r:id="rId1039" ref="T358"/>
    <hyperlink r:id="rId1040" ref="U358"/>
    <hyperlink r:id="rId1041" ref="B359"/>
    <hyperlink r:id="rId1042" ref="T359"/>
    <hyperlink r:id="rId1043" ref="U359"/>
    <hyperlink r:id="rId1044" ref="B360"/>
    <hyperlink r:id="rId1045" ref="T360"/>
    <hyperlink r:id="rId1046" ref="U360"/>
    <hyperlink r:id="rId1047" ref="B361"/>
    <hyperlink r:id="rId1048" ref="T361"/>
    <hyperlink r:id="rId1049" ref="U361"/>
    <hyperlink r:id="rId1050" ref="B362"/>
    <hyperlink r:id="rId1051" ref="T362"/>
    <hyperlink r:id="rId1052" ref="U362"/>
    <hyperlink r:id="rId1053" ref="B363"/>
    <hyperlink r:id="rId1054" ref="T363"/>
    <hyperlink r:id="rId1055" ref="U363"/>
    <hyperlink r:id="rId1056" ref="B364"/>
    <hyperlink r:id="rId1057" ref="T364"/>
    <hyperlink r:id="rId1058" ref="U364"/>
    <hyperlink r:id="rId1059" ref="B365"/>
    <hyperlink r:id="rId1060" ref="T365"/>
    <hyperlink r:id="rId1061" ref="U365"/>
    <hyperlink r:id="rId1062" ref="B366"/>
    <hyperlink r:id="rId1063" ref="T366"/>
    <hyperlink r:id="rId1064" ref="U366"/>
    <hyperlink r:id="rId1065" ref="B367"/>
    <hyperlink r:id="rId1066" ref="T367"/>
    <hyperlink r:id="rId1067" ref="U367"/>
    <hyperlink r:id="rId1068" ref="B368"/>
    <hyperlink r:id="rId1069" ref="T368"/>
    <hyperlink r:id="rId1070" ref="U368"/>
    <hyperlink r:id="rId1071" ref="B369"/>
    <hyperlink r:id="rId1072" ref="T369"/>
    <hyperlink r:id="rId1073" ref="U369"/>
    <hyperlink r:id="rId1074" ref="B370"/>
    <hyperlink r:id="rId1075" ref="T370"/>
    <hyperlink r:id="rId1076" ref="U370"/>
    <hyperlink r:id="rId1077" ref="B371"/>
    <hyperlink r:id="rId1078" ref="T371"/>
    <hyperlink r:id="rId1079" ref="U371"/>
    <hyperlink r:id="rId1080" ref="B372"/>
    <hyperlink r:id="rId1081" ref="T372"/>
    <hyperlink r:id="rId1082" ref="U372"/>
    <hyperlink r:id="rId1083" ref="B373"/>
    <hyperlink r:id="rId1084" ref="T373"/>
    <hyperlink r:id="rId1085" ref="U373"/>
    <hyperlink r:id="rId1086" ref="B374"/>
    <hyperlink r:id="rId1087" ref="T374"/>
    <hyperlink r:id="rId1088" ref="U374"/>
    <hyperlink r:id="rId1089" ref="B375"/>
    <hyperlink r:id="rId1090" ref="T375"/>
    <hyperlink r:id="rId1091" ref="U375"/>
    <hyperlink r:id="rId1092" ref="B376"/>
    <hyperlink r:id="rId1093" ref="T376"/>
    <hyperlink r:id="rId1094" ref="U376"/>
    <hyperlink r:id="rId1095" ref="B377"/>
    <hyperlink r:id="rId1096" ref="T377"/>
    <hyperlink r:id="rId1097" ref="U377"/>
    <hyperlink r:id="rId1098" ref="B378"/>
    <hyperlink r:id="rId1099" ref="T378"/>
    <hyperlink r:id="rId1100" ref="U378"/>
    <hyperlink r:id="rId1101" ref="B379"/>
    <hyperlink r:id="rId1102" ref="T379"/>
    <hyperlink r:id="rId1103" ref="U379"/>
    <hyperlink r:id="rId1104" ref="B380"/>
    <hyperlink r:id="rId1105" ref="T380"/>
    <hyperlink r:id="rId1106" ref="U380"/>
    <hyperlink r:id="rId1107" ref="B381"/>
    <hyperlink r:id="rId1108" ref="T381"/>
    <hyperlink r:id="rId1109" ref="U381"/>
    <hyperlink r:id="rId1110" ref="B382"/>
    <hyperlink r:id="rId1111" ref="T382"/>
    <hyperlink r:id="rId1112" ref="U382"/>
    <hyperlink r:id="rId1113" ref="B383"/>
    <hyperlink r:id="rId1114" ref="T383"/>
    <hyperlink r:id="rId1115" ref="U383"/>
    <hyperlink r:id="rId1116" ref="B384"/>
    <hyperlink r:id="rId1117" ref="T384"/>
    <hyperlink r:id="rId1118" ref="U384"/>
    <hyperlink r:id="rId1119" ref="B385"/>
    <hyperlink r:id="rId1120" ref="T385"/>
    <hyperlink r:id="rId1121" ref="U385"/>
    <hyperlink r:id="rId1122" ref="B386"/>
    <hyperlink r:id="rId1123" ref="T386"/>
    <hyperlink r:id="rId1124" ref="U386"/>
    <hyperlink r:id="rId1125" ref="B387"/>
    <hyperlink r:id="rId1126" ref="T387"/>
    <hyperlink r:id="rId1127" ref="U387"/>
    <hyperlink r:id="rId1128" ref="B388"/>
    <hyperlink r:id="rId1129" ref="T388"/>
    <hyperlink r:id="rId1130" ref="U388"/>
    <hyperlink r:id="rId1131" ref="B389"/>
    <hyperlink r:id="rId1132" ref="T389"/>
    <hyperlink r:id="rId1133" ref="U389"/>
    <hyperlink r:id="rId1134" ref="B390"/>
    <hyperlink r:id="rId1135" ref="T390"/>
    <hyperlink r:id="rId1136" ref="U390"/>
    <hyperlink r:id="rId1137" ref="B391"/>
    <hyperlink r:id="rId1138" ref="T391"/>
    <hyperlink r:id="rId1139" ref="U391"/>
    <hyperlink r:id="rId1140" ref="B392"/>
    <hyperlink r:id="rId1141" ref="T392"/>
    <hyperlink r:id="rId1142" ref="U392"/>
    <hyperlink r:id="rId1143" ref="B393"/>
    <hyperlink r:id="rId1144" ref="T393"/>
    <hyperlink r:id="rId1145" ref="U393"/>
    <hyperlink r:id="rId1146" ref="B394"/>
    <hyperlink r:id="rId1147" ref="T394"/>
    <hyperlink r:id="rId1148" ref="U394"/>
    <hyperlink r:id="rId1149" ref="B395"/>
    <hyperlink r:id="rId1150" ref="T395"/>
    <hyperlink r:id="rId1151" ref="U395"/>
    <hyperlink r:id="rId1152" ref="B396"/>
    <hyperlink r:id="rId1153" ref="T396"/>
    <hyperlink r:id="rId1154" ref="U396"/>
    <hyperlink r:id="rId1155" ref="B397"/>
    <hyperlink r:id="rId1156" ref="T397"/>
    <hyperlink r:id="rId1157" ref="U397"/>
    <hyperlink r:id="rId1158" ref="B398"/>
    <hyperlink r:id="rId1159" ref="T398"/>
    <hyperlink r:id="rId1160" ref="U398"/>
    <hyperlink r:id="rId1161" ref="B399"/>
    <hyperlink r:id="rId1162" ref="T399"/>
    <hyperlink r:id="rId1163" ref="U399"/>
    <hyperlink r:id="rId1164" ref="B400"/>
    <hyperlink r:id="rId1165" ref="T400"/>
    <hyperlink r:id="rId1166" ref="U400"/>
    <hyperlink r:id="rId1167" ref="B401"/>
    <hyperlink r:id="rId1168" ref="T401"/>
    <hyperlink r:id="rId1169" ref="U401"/>
    <hyperlink r:id="rId1170" ref="B402"/>
    <hyperlink r:id="rId1171" ref="T402"/>
    <hyperlink r:id="rId1172" ref="U402"/>
    <hyperlink r:id="rId1173" ref="B403"/>
    <hyperlink r:id="rId1174" ref="T403"/>
    <hyperlink r:id="rId1175" ref="U403"/>
    <hyperlink r:id="rId1176" ref="B404"/>
    <hyperlink r:id="rId1177" ref="T404"/>
    <hyperlink r:id="rId1178" ref="U404"/>
    <hyperlink r:id="rId1179" ref="B405"/>
    <hyperlink r:id="rId1180" ref="T405"/>
    <hyperlink r:id="rId1181" ref="U405"/>
    <hyperlink r:id="rId1182" ref="B406"/>
    <hyperlink r:id="rId1183" ref="T406"/>
    <hyperlink r:id="rId1184" ref="U406"/>
    <hyperlink r:id="rId1185" ref="B407"/>
    <hyperlink r:id="rId1186" ref="T407"/>
    <hyperlink r:id="rId1187" ref="U407"/>
    <hyperlink r:id="rId1188" ref="B408"/>
    <hyperlink r:id="rId1189" ref="T408"/>
    <hyperlink r:id="rId1190" ref="U408"/>
    <hyperlink r:id="rId1191" ref="B409"/>
    <hyperlink r:id="rId1192" ref="T409"/>
    <hyperlink r:id="rId1193" ref="U409"/>
    <hyperlink r:id="rId1194" ref="B410"/>
    <hyperlink r:id="rId1195" ref="T410"/>
    <hyperlink r:id="rId1196" ref="U410"/>
    <hyperlink r:id="rId1197" ref="B411"/>
    <hyperlink r:id="rId1198" ref="T411"/>
    <hyperlink r:id="rId1199" ref="U411"/>
    <hyperlink r:id="rId1200" ref="B412"/>
    <hyperlink r:id="rId1201" ref="T412"/>
    <hyperlink r:id="rId1202" ref="U412"/>
    <hyperlink r:id="rId1203" ref="B413"/>
    <hyperlink r:id="rId1204" ref="T413"/>
    <hyperlink r:id="rId1205" ref="U413"/>
    <hyperlink r:id="rId1206" ref="B414"/>
    <hyperlink r:id="rId1207" ref="T414"/>
    <hyperlink r:id="rId1208" ref="U414"/>
    <hyperlink r:id="rId1209" ref="B415"/>
    <hyperlink r:id="rId1210" ref="T415"/>
    <hyperlink r:id="rId1211" ref="U415"/>
    <hyperlink r:id="rId1212" ref="B416"/>
    <hyperlink r:id="rId1213" ref="T416"/>
    <hyperlink r:id="rId1214" ref="U416"/>
    <hyperlink r:id="rId1215" ref="B417"/>
    <hyperlink r:id="rId1216" ref="T417"/>
    <hyperlink r:id="rId1217" ref="U417"/>
    <hyperlink r:id="rId1218" ref="B418"/>
    <hyperlink r:id="rId1219" ref="T418"/>
    <hyperlink r:id="rId1220" ref="U418"/>
    <hyperlink r:id="rId1221" ref="B419"/>
    <hyperlink r:id="rId1222" ref="T419"/>
    <hyperlink r:id="rId1223" ref="U419"/>
    <hyperlink r:id="rId1224" ref="B420"/>
    <hyperlink r:id="rId1225" ref="T420"/>
    <hyperlink r:id="rId1226" ref="U420"/>
    <hyperlink r:id="rId1227" ref="B421"/>
    <hyperlink r:id="rId1228" ref="T421"/>
    <hyperlink r:id="rId1229" ref="U421"/>
    <hyperlink r:id="rId1230" ref="B422"/>
    <hyperlink r:id="rId1231" ref="T422"/>
    <hyperlink r:id="rId1232" ref="U422"/>
    <hyperlink r:id="rId1233" ref="B423"/>
    <hyperlink r:id="rId1234" ref="T423"/>
    <hyperlink r:id="rId1235" ref="U423"/>
    <hyperlink r:id="rId1236" ref="B424"/>
    <hyperlink r:id="rId1237" ref="T424"/>
    <hyperlink r:id="rId1238" ref="U424"/>
    <hyperlink r:id="rId1239" ref="B425"/>
    <hyperlink r:id="rId1240" ref="T425"/>
    <hyperlink r:id="rId1241" ref="U425"/>
    <hyperlink r:id="rId1242" ref="B426"/>
    <hyperlink r:id="rId1243" ref="T426"/>
    <hyperlink r:id="rId1244" ref="U426"/>
    <hyperlink r:id="rId1245" ref="B427"/>
    <hyperlink r:id="rId1246" ref="T427"/>
    <hyperlink r:id="rId1247" ref="U427"/>
    <hyperlink r:id="rId1248" ref="B428"/>
    <hyperlink r:id="rId1249" ref="T428"/>
    <hyperlink r:id="rId1250" ref="U428"/>
    <hyperlink r:id="rId1251" ref="B429"/>
    <hyperlink r:id="rId1252" ref="T429"/>
    <hyperlink r:id="rId1253" ref="U429"/>
    <hyperlink r:id="rId1254" ref="B430"/>
    <hyperlink r:id="rId1255" ref="T430"/>
    <hyperlink r:id="rId1256" ref="U430"/>
    <hyperlink r:id="rId1257" ref="B431"/>
    <hyperlink r:id="rId1258" ref="T431"/>
    <hyperlink r:id="rId1259" ref="U431"/>
    <hyperlink r:id="rId1260" ref="B432"/>
    <hyperlink r:id="rId1261" ref="T432"/>
    <hyperlink r:id="rId1262" ref="U432"/>
    <hyperlink r:id="rId1263" ref="B433"/>
    <hyperlink r:id="rId1264" ref="T433"/>
    <hyperlink r:id="rId1265" ref="U433"/>
    <hyperlink r:id="rId1266" ref="B434"/>
    <hyperlink r:id="rId1267" ref="T434"/>
    <hyperlink r:id="rId1268" ref="U434"/>
    <hyperlink r:id="rId1269" ref="B435"/>
    <hyperlink r:id="rId1270" ref="T435"/>
    <hyperlink r:id="rId1271" ref="U435"/>
    <hyperlink r:id="rId1272" ref="B436"/>
    <hyperlink r:id="rId1273" ref="T436"/>
    <hyperlink r:id="rId1274" ref="U436"/>
    <hyperlink r:id="rId1275" ref="B437"/>
    <hyperlink r:id="rId1276" ref="T437"/>
    <hyperlink r:id="rId1277" ref="U437"/>
    <hyperlink r:id="rId1278" ref="B438"/>
    <hyperlink r:id="rId1279" ref="T438"/>
    <hyperlink r:id="rId1280" ref="U438"/>
    <hyperlink r:id="rId1281" ref="B439"/>
    <hyperlink r:id="rId1282" ref="T439"/>
    <hyperlink r:id="rId1283" ref="U439"/>
    <hyperlink r:id="rId1284" ref="B440"/>
    <hyperlink r:id="rId1285" ref="T440"/>
    <hyperlink r:id="rId1286" ref="U440"/>
    <hyperlink r:id="rId1287" ref="B441"/>
    <hyperlink r:id="rId1288" ref="T441"/>
    <hyperlink r:id="rId1289" ref="U441"/>
    <hyperlink r:id="rId1290" ref="B442"/>
    <hyperlink r:id="rId1291" ref="T442"/>
    <hyperlink r:id="rId1292" ref="U442"/>
    <hyperlink r:id="rId1293" ref="B443"/>
    <hyperlink r:id="rId1294" ref="T443"/>
    <hyperlink r:id="rId1295" ref="U443"/>
    <hyperlink r:id="rId1296" ref="B444"/>
    <hyperlink r:id="rId1297" ref="T444"/>
    <hyperlink r:id="rId1298" ref="U444"/>
    <hyperlink r:id="rId1299" ref="B445"/>
    <hyperlink r:id="rId1300" ref="T445"/>
    <hyperlink r:id="rId1301" ref="U445"/>
    <hyperlink r:id="rId1302" ref="B446"/>
    <hyperlink r:id="rId1303" ref="T446"/>
    <hyperlink r:id="rId1304" ref="U446"/>
    <hyperlink r:id="rId1305" ref="B447"/>
    <hyperlink r:id="rId1306" ref="T447"/>
    <hyperlink r:id="rId1307" ref="U447"/>
    <hyperlink r:id="rId1308" ref="B448"/>
    <hyperlink r:id="rId1309" ref="T448"/>
    <hyperlink r:id="rId1310" ref="U448"/>
    <hyperlink r:id="rId1311" ref="B449"/>
    <hyperlink r:id="rId1312" ref="T449"/>
    <hyperlink r:id="rId1313" ref="U449"/>
    <hyperlink r:id="rId1314" ref="B450"/>
    <hyperlink r:id="rId1315" ref="T450"/>
    <hyperlink r:id="rId1316" ref="U450"/>
    <hyperlink r:id="rId1317" ref="B451"/>
    <hyperlink r:id="rId1318" ref="T451"/>
    <hyperlink r:id="rId1319" ref="U451"/>
    <hyperlink r:id="rId1320" ref="B452"/>
    <hyperlink r:id="rId1321" ref="T452"/>
    <hyperlink r:id="rId1322" ref="U452"/>
    <hyperlink r:id="rId1323" ref="B453"/>
    <hyperlink r:id="rId1324" ref="T453"/>
    <hyperlink r:id="rId1325" ref="U453"/>
    <hyperlink r:id="rId1326" ref="B454"/>
    <hyperlink r:id="rId1327" ref="T454"/>
    <hyperlink r:id="rId1328" ref="U454"/>
    <hyperlink r:id="rId1329" ref="B455"/>
    <hyperlink r:id="rId1330" ref="T455"/>
    <hyperlink r:id="rId1331" ref="U455"/>
    <hyperlink r:id="rId1332" ref="B456"/>
    <hyperlink r:id="rId1333" ref="T456"/>
    <hyperlink r:id="rId1334" ref="U456"/>
    <hyperlink r:id="rId1335" ref="B457"/>
    <hyperlink r:id="rId1336" ref="T457"/>
    <hyperlink r:id="rId1337" ref="U457"/>
    <hyperlink r:id="rId1338" ref="B458"/>
    <hyperlink r:id="rId1339" ref="T458"/>
    <hyperlink r:id="rId1340" ref="U458"/>
    <hyperlink r:id="rId1341" ref="B459"/>
    <hyperlink r:id="rId1342" ref="T459"/>
    <hyperlink r:id="rId1343" ref="U459"/>
    <hyperlink r:id="rId1344" ref="B460"/>
    <hyperlink r:id="rId1345" ref="T460"/>
    <hyperlink r:id="rId1346" ref="U460"/>
    <hyperlink r:id="rId1347" ref="B461"/>
    <hyperlink r:id="rId1348" ref="T461"/>
    <hyperlink r:id="rId1349" ref="U461"/>
    <hyperlink r:id="rId1350" ref="B462"/>
    <hyperlink r:id="rId1351" ref="T462"/>
    <hyperlink r:id="rId1352" ref="U462"/>
    <hyperlink r:id="rId1353" ref="B463"/>
    <hyperlink r:id="rId1354" ref="T463"/>
    <hyperlink r:id="rId1355" ref="U463"/>
    <hyperlink r:id="rId1356" ref="B464"/>
    <hyperlink r:id="rId1357" ref="T464"/>
    <hyperlink r:id="rId1358" ref="U464"/>
    <hyperlink r:id="rId1359" ref="B465"/>
    <hyperlink r:id="rId1360" ref="T465"/>
    <hyperlink r:id="rId1361" ref="U465"/>
    <hyperlink r:id="rId1362" ref="B466"/>
    <hyperlink r:id="rId1363" ref="T466"/>
    <hyperlink r:id="rId1364" ref="U466"/>
    <hyperlink r:id="rId1365" ref="B467"/>
    <hyperlink r:id="rId1366" ref="T467"/>
    <hyperlink r:id="rId1367" ref="U467"/>
    <hyperlink r:id="rId1368" ref="B468"/>
    <hyperlink r:id="rId1369" ref="T468"/>
    <hyperlink r:id="rId1370" ref="U468"/>
    <hyperlink r:id="rId1371" ref="B469"/>
    <hyperlink r:id="rId1372" ref="T469"/>
    <hyperlink r:id="rId1373" ref="U469"/>
    <hyperlink r:id="rId1374" ref="B470"/>
    <hyperlink r:id="rId1375" ref="T470"/>
    <hyperlink r:id="rId1376" ref="U470"/>
    <hyperlink r:id="rId1377" ref="B471"/>
    <hyperlink r:id="rId1378" ref="T471"/>
    <hyperlink r:id="rId1379" ref="U471"/>
    <hyperlink r:id="rId1380" ref="B472"/>
    <hyperlink r:id="rId1381" ref="T472"/>
    <hyperlink r:id="rId1382" ref="U472"/>
    <hyperlink r:id="rId1383" ref="B473"/>
    <hyperlink r:id="rId1384" ref="T473"/>
    <hyperlink r:id="rId1385" ref="U473"/>
    <hyperlink r:id="rId1386" ref="B474"/>
    <hyperlink r:id="rId1387" ref="T474"/>
    <hyperlink r:id="rId1388" ref="U474"/>
    <hyperlink r:id="rId1389" ref="B475"/>
    <hyperlink r:id="rId1390" ref="T475"/>
    <hyperlink r:id="rId1391" ref="U475"/>
    <hyperlink r:id="rId1392" ref="B476"/>
    <hyperlink r:id="rId1393" ref="T476"/>
    <hyperlink r:id="rId1394" ref="U476"/>
    <hyperlink r:id="rId1395" ref="B477"/>
    <hyperlink r:id="rId1396" ref="T477"/>
    <hyperlink r:id="rId1397" ref="U477"/>
    <hyperlink r:id="rId1398" ref="B478"/>
    <hyperlink r:id="rId1399" ref="T478"/>
    <hyperlink r:id="rId1400" ref="U478"/>
    <hyperlink r:id="rId1401" ref="B479"/>
    <hyperlink r:id="rId1402" ref="T479"/>
    <hyperlink r:id="rId1403" ref="U479"/>
    <hyperlink r:id="rId1404" ref="B480"/>
    <hyperlink r:id="rId1405" ref="T480"/>
    <hyperlink r:id="rId1406" ref="U480"/>
    <hyperlink r:id="rId1407" ref="B481"/>
    <hyperlink r:id="rId1408" ref="T481"/>
    <hyperlink r:id="rId1409" ref="U481"/>
    <hyperlink r:id="rId1410" ref="B482"/>
    <hyperlink r:id="rId1411" ref="T482"/>
    <hyperlink r:id="rId1412" ref="U482"/>
    <hyperlink r:id="rId1413" ref="B483"/>
    <hyperlink r:id="rId1414" ref="T483"/>
    <hyperlink r:id="rId1415" ref="U483"/>
    <hyperlink r:id="rId1416" ref="B484"/>
    <hyperlink r:id="rId1417" ref="T484"/>
    <hyperlink r:id="rId1418" ref="U484"/>
    <hyperlink r:id="rId1419" ref="B485"/>
    <hyperlink r:id="rId1420" ref="T485"/>
    <hyperlink r:id="rId1421" ref="U485"/>
    <hyperlink r:id="rId1422" ref="B486"/>
    <hyperlink r:id="rId1423" ref="T486"/>
    <hyperlink r:id="rId1424" ref="U486"/>
    <hyperlink r:id="rId1425" ref="B487"/>
    <hyperlink r:id="rId1426" ref="T487"/>
    <hyperlink r:id="rId1427" ref="U487"/>
    <hyperlink r:id="rId1428" ref="B488"/>
    <hyperlink r:id="rId1429" ref="T488"/>
    <hyperlink r:id="rId1430" ref="U488"/>
    <hyperlink r:id="rId1431" ref="B489"/>
    <hyperlink r:id="rId1432" ref="T489"/>
    <hyperlink r:id="rId1433" ref="U489"/>
    <hyperlink r:id="rId1434" ref="B490"/>
    <hyperlink r:id="rId1435" ref="T490"/>
    <hyperlink r:id="rId1436" ref="U490"/>
    <hyperlink r:id="rId1437" ref="B491"/>
    <hyperlink r:id="rId1438" ref="T491"/>
    <hyperlink r:id="rId1439" ref="U491"/>
    <hyperlink r:id="rId1440" ref="B492"/>
    <hyperlink r:id="rId1441" ref="T492"/>
    <hyperlink r:id="rId1442" ref="U492"/>
    <hyperlink r:id="rId1443" ref="B493"/>
    <hyperlink r:id="rId1444" ref="T493"/>
    <hyperlink r:id="rId1445" ref="U493"/>
    <hyperlink r:id="rId1446" ref="B494"/>
    <hyperlink r:id="rId1447" ref="T494"/>
    <hyperlink r:id="rId1448" ref="U494"/>
    <hyperlink r:id="rId1449" ref="B495"/>
    <hyperlink r:id="rId1450" ref="T495"/>
    <hyperlink r:id="rId1451" ref="U495"/>
    <hyperlink r:id="rId1452" ref="B496"/>
    <hyperlink r:id="rId1453" ref="T496"/>
    <hyperlink r:id="rId1454" ref="U496"/>
    <hyperlink r:id="rId1455" ref="B497"/>
    <hyperlink r:id="rId1456" ref="T497"/>
    <hyperlink r:id="rId1457" ref="U497"/>
    <hyperlink r:id="rId1458" ref="B498"/>
    <hyperlink r:id="rId1459" ref="T498"/>
    <hyperlink r:id="rId1460" ref="U498"/>
    <hyperlink r:id="rId1461" ref="B499"/>
    <hyperlink r:id="rId1462" ref="T499"/>
    <hyperlink r:id="rId1463" ref="U499"/>
    <hyperlink r:id="rId1464" ref="B500"/>
    <hyperlink r:id="rId1465" ref="T500"/>
    <hyperlink r:id="rId1466" ref="U500"/>
    <hyperlink r:id="rId1467" ref="B501"/>
    <hyperlink r:id="rId1468" ref="T501"/>
    <hyperlink r:id="rId1469" ref="U501"/>
    <hyperlink r:id="rId1470" ref="B502"/>
    <hyperlink r:id="rId1471" ref="T502"/>
    <hyperlink r:id="rId1472" ref="U502"/>
    <hyperlink r:id="rId1473" ref="B503"/>
    <hyperlink r:id="rId1474" ref="T503"/>
    <hyperlink r:id="rId1475" ref="U503"/>
    <hyperlink r:id="rId1476" ref="B504"/>
    <hyperlink r:id="rId1477" ref="T504"/>
    <hyperlink r:id="rId1478" ref="U504"/>
    <hyperlink r:id="rId1479" ref="B505"/>
    <hyperlink r:id="rId1480" ref="T505"/>
    <hyperlink r:id="rId1481" ref="U505"/>
    <hyperlink r:id="rId1482" ref="B506"/>
    <hyperlink r:id="rId1483" ref="T506"/>
    <hyperlink r:id="rId1484" ref="U506"/>
    <hyperlink r:id="rId1485" ref="B507"/>
    <hyperlink r:id="rId1486" ref="T507"/>
    <hyperlink r:id="rId1487" ref="U507"/>
    <hyperlink r:id="rId1488" ref="B508"/>
    <hyperlink r:id="rId1489" ref="T508"/>
    <hyperlink r:id="rId1490" ref="U508"/>
    <hyperlink r:id="rId1491" ref="B509"/>
    <hyperlink r:id="rId1492" ref="T509"/>
    <hyperlink r:id="rId1493" ref="U509"/>
    <hyperlink r:id="rId1494" ref="B510"/>
    <hyperlink r:id="rId1495" ref="T510"/>
    <hyperlink r:id="rId1496" ref="U510"/>
    <hyperlink r:id="rId1497" ref="B511"/>
    <hyperlink r:id="rId1498" ref="T511"/>
    <hyperlink r:id="rId1499" ref="U511"/>
    <hyperlink r:id="rId1500" ref="B512"/>
    <hyperlink r:id="rId1501" ref="T512"/>
    <hyperlink r:id="rId1502" ref="U512"/>
    <hyperlink r:id="rId1503" ref="B513"/>
    <hyperlink r:id="rId1504" ref="T513"/>
    <hyperlink r:id="rId1505" ref="U513"/>
    <hyperlink r:id="rId1506" ref="B514"/>
    <hyperlink r:id="rId1507" ref="T514"/>
    <hyperlink r:id="rId1508" ref="U514"/>
    <hyperlink r:id="rId1509" ref="B515"/>
    <hyperlink r:id="rId1510" ref="T515"/>
    <hyperlink r:id="rId1511" ref="U515"/>
    <hyperlink r:id="rId1512" ref="B516"/>
    <hyperlink r:id="rId1513" ref="T516"/>
    <hyperlink r:id="rId1514" ref="U516"/>
    <hyperlink r:id="rId1515" ref="B517"/>
    <hyperlink r:id="rId1516" ref="T517"/>
    <hyperlink r:id="rId1517" ref="U517"/>
    <hyperlink r:id="rId1518" ref="B518"/>
    <hyperlink r:id="rId1519" ref="T518"/>
    <hyperlink r:id="rId1520" ref="U518"/>
    <hyperlink r:id="rId1521" ref="B519"/>
    <hyperlink r:id="rId1522" ref="T519"/>
    <hyperlink r:id="rId1523" ref="U519"/>
    <hyperlink r:id="rId1524" ref="B520"/>
    <hyperlink r:id="rId1525" ref="T520"/>
    <hyperlink r:id="rId1526" ref="U520"/>
    <hyperlink r:id="rId1527" ref="B521"/>
    <hyperlink r:id="rId1528" ref="T521"/>
    <hyperlink r:id="rId1529" ref="U521"/>
    <hyperlink r:id="rId1530" ref="B522"/>
    <hyperlink r:id="rId1531" ref="T522"/>
    <hyperlink r:id="rId1532" ref="U522"/>
    <hyperlink r:id="rId1533" ref="B523"/>
    <hyperlink r:id="rId1534" ref="T523"/>
    <hyperlink r:id="rId1535" ref="U523"/>
    <hyperlink r:id="rId1536" ref="B524"/>
    <hyperlink r:id="rId1537" ref="T524"/>
    <hyperlink r:id="rId1538" ref="U524"/>
    <hyperlink r:id="rId1539" ref="B525"/>
    <hyperlink r:id="rId1540" ref="T525"/>
    <hyperlink r:id="rId1541" ref="U525"/>
    <hyperlink r:id="rId1542" ref="B526"/>
    <hyperlink r:id="rId1543" ref="T526"/>
    <hyperlink r:id="rId1544" ref="U526"/>
    <hyperlink r:id="rId1545" ref="B527"/>
    <hyperlink r:id="rId1546" ref="T527"/>
    <hyperlink r:id="rId1547" ref="U527"/>
    <hyperlink r:id="rId1548" ref="B528"/>
    <hyperlink r:id="rId1549" ref="T528"/>
    <hyperlink r:id="rId1550" ref="U528"/>
    <hyperlink r:id="rId1551" ref="B529"/>
    <hyperlink r:id="rId1552" ref="T529"/>
    <hyperlink r:id="rId1553" ref="U529"/>
    <hyperlink r:id="rId1554" ref="B530"/>
    <hyperlink r:id="rId1555" ref="T530"/>
    <hyperlink r:id="rId1556" ref="U530"/>
    <hyperlink r:id="rId1557" ref="B531"/>
    <hyperlink r:id="rId1558" ref="T531"/>
    <hyperlink r:id="rId1559" ref="U531"/>
    <hyperlink r:id="rId1560" ref="B532"/>
    <hyperlink r:id="rId1561" ref="T532"/>
    <hyperlink r:id="rId1562" ref="U532"/>
    <hyperlink r:id="rId1563" ref="B533"/>
    <hyperlink r:id="rId1564" ref="T533"/>
    <hyperlink r:id="rId1565" ref="U533"/>
    <hyperlink r:id="rId1566" ref="B534"/>
    <hyperlink r:id="rId1567" ref="T534"/>
    <hyperlink r:id="rId1568" ref="U534"/>
    <hyperlink r:id="rId1569" ref="B535"/>
    <hyperlink r:id="rId1570" ref="T535"/>
    <hyperlink r:id="rId1571" ref="U535"/>
    <hyperlink r:id="rId1572" ref="B536"/>
    <hyperlink r:id="rId1573" ref="T536"/>
    <hyperlink r:id="rId1574" ref="U536"/>
    <hyperlink r:id="rId1575" ref="B537"/>
    <hyperlink r:id="rId1576" ref="T537"/>
    <hyperlink r:id="rId1577" ref="U537"/>
    <hyperlink r:id="rId1578" ref="B538"/>
    <hyperlink r:id="rId1579" ref="T538"/>
    <hyperlink r:id="rId1580" ref="U538"/>
    <hyperlink r:id="rId1581" ref="B539"/>
    <hyperlink r:id="rId1582" ref="T539"/>
    <hyperlink r:id="rId1583" ref="U539"/>
    <hyperlink r:id="rId1584" ref="B540"/>
    <hyperlink r:id="rId1585" ref="T540"/>
    <hyperlink r:id="rId1586" ref="U540"/>
    <hyperlink r:id="rId1587" ref="B541"/>
    <hyperlink r:id="rId1588" ref="T541"/>
    <hyperlink r:id="rId1589" ref="U541"/>
    <hyperlink r:id="rId1590" ref="B542"/>
    <hyperlink r:id="rId1591" ref="T542"/>
    <hyperlink r:id="rId1592" ref="U542"/>
    <hyperlink r:id="rId1593" ref="B543"/>
    <hyperlink r:id="rId1594" ref="T543"/>
    <hyperlink r:id="rId1595" ref="U543"/>
    <hyperlink r:id="rId1596" ref="B544"/>
    <hyperlink r:id="rId1597" ref="T544"/>
    <hyperlink r:id="rId1598" ref="U544"/>
    <hyperlink r:id="rId1599" ref="B545"/>
    <hyperlink r:id="rId1600" ref="T545"/>
    <hyperlink r:id="rId1601" ref="U545"/>
    <hyperlink r:id="rId1602" ref="B546"/>
    <hyperlink r:id="rId1603" ref="T546"/>
    <hyperlink r:id="rId1604" ref="U546"/>
    <hyperlink r:id="rId1605" ref="B547"/>
    <hyperlink r:id="rId1606" ref="T547"/>
    <hyperlink r:id="rId1607" ref="U547"/>
    <hyperlink r:id="rId1608" ref="B548"/>
    <hyperlink r:id="rId1609" ref="T548"/>
    <hyperlink r:id="rId1610" ref="U548"/>
    <hyperlink r:id="rId1611" ref="B549"/>
    <hyperlink r:id="rId1612" ref="T549"/>
    <hyperlink r:id="rId1613" ref="U549"/>
    <hyperlink r:id="rId1614" ref="B550"/>
    <hyperlink r:id="rId1615" ref="T550"/>
    <hyperlink r:id="rId1616" ref="U550"/>
    <hyperlink r:id="rId1617" ref="B551"/>
    <hyperlink r:id="rId1618" ref="T551"/>
    <hyperlink r:id="rId1619" ref="U551"/>
    <hyperlink r:id="rId1620" ref="B552"/>
    <hyperlink r:id="rId1621" ref="T552"/>
    <hyperlink r:id="rId1622" ref="U552"/>
    <hyperlink r:id="rId1623" ref="B553"/>
    <hyperlink r:id="rId1624" ref="T553"/>
    <hyperlink r:id="rId1625" ref="U553"/>
    <hyperlink r:id="rId1626" ref="B554"/>
    <hyperlink r:id="rId1627" ref="T554"/>
    <hyperlink r:id="rId1628" ref="U554"/>
    <hyperlink r:id="rId1629" ref="B555"/>
    <hyperlink r:id="rId1630" ref="T555"/>
    <hyperlink r:id="rId1631" ref="U555"/>
    <hyperlink r:id="rId1632" ref="B556"/>
    <hyperlink r:id="rId1633" ref="T556"/>
    <hyperlink r:id="rId1634" ref="U556"/>
    <hyperlink r:id="rId1635" ref="B557"/>
    <hyperlink r:id="rId1636" ref="T557"/>
    <hyperlink r:id="rId1637" ref="U557"/>
    <hyperlink r:id="rId1638" ref="B558"/>
    <hyperlink r:id="rId1639" ref="T558"/>
    <hyperlink r:id="rId1640" ref="U558"/>
    <hyperlink r:id="rId1641" ref="B559"/>
    <hyperlink r:id="rId1642" ref="T559"/>
    <hyperlink r:id="rId1643" ref="U559"/>
    <hyperlink r:id="rId1644" ref="B560"/>
    <hyperlink r:id="rId1645" ref="T560"/>
    <hyperlink r:id="rId1646" ref="U560"/>
    <hyperlink r:id="rId1647" ref="B561"/>
    <hyperlink r:id="rId1648" ref="T561"/>
    <hyperlink r:id="rId1649" ref="U561"/>
    <hyperlink r:id="rId1650" ref="B562"/>
    <hyperlink r:id="rId1651" ref="T562"/>
    <hyperlink r:id="rId1652" ref="U562"/>
    <hyperlink r:id="rId1653" ref="B563"/>
    <hyperlink r:id="rId1654" ref="T563"/>
    <hyperlink r:id="rId1655" ref="U563"/>
    <hyperlink r:id="rId1656" ref="B564"/>
    <hyperlink r:id="rId1657" ref="T564"/>
    <hyperlink r:id="rId1658" ref="U564"/>
    <hyperlink r:id="rId1659" ref="B565"/>
    <hyperlink r:id="rId1660" ref="T565"/>
    <hyperlink r:id="rId1661" ref="U565"/>
    <hyperlink r:id="rId1662" ref="B566"/>
    <hyperlink r:id="rId1663" ref="T566"/>
    <hyperlink r:id="rId1664" ref="B567"/>
    <hyperlink r:id="rId1665" ref="T567"/>
    <hyperlink r:id="rId1666" ref="U567"/>
    <hyperlink r:id="rId1667" ref="B568"/>
    <hyperlink r:id="rId1668" ref="T568"/>
    <hyperlink r:id="rId1669" ref="U568"/>
    <hyperlink r:id="rId1670" ref="B569"/>
    <hyperlink r:id="rId1671" ref="T569"/>
    <hyperlink r:id="rId1672" ref="U569"/>
    <hyperlink r:id="rId1673" ref="B570"/>
    <hyperlink r:id="rId1674" ref="T570"/>
    <hyperlink r:id="rId1675" ref="U570"/>
    <hyperlink r:id="rId1676" ref="B571"/>
    <hyperlink r:id="rId1677" ref="T571"/>
    <hyperlink r:id="rId1678" ref="U571"/>
    <hyperlink r:id="rId1679" ref="B572"/>
    <hyperlink r:id="rId1680" ref="T572"/>
    <hyperlink r:id="rId1681" ref="U572"/>
    <hyperlink r:id="rId1682" ref="B573"/>
    <hyperlink r:id="rId1683" ref="T573"/>
    <hyperlink r:id="rId1684" ref="U573"/>
    <hyperlink r:id="rId1685" ref="B574"/>
    <hyperlink r:id="rId1686" ref="T574"/>
    <hyperlink r:id="rId1687" ref="U574"/>
    <hyperlink r:id="rId1688" ref="B575"/>
    <hyperlink r:id="rId1689" ref="T575"/>
    <hyperlink r:id="rId1690" ref="U575"/>
    <hyperlink r:id="rId1691" ref="B576"/>
    <hyperlink r:id="rId1692" ref="T576"/>
    <hyperlink r:id="rId1693" ref="U576"/>
    <hyperlink r:id="rId1694" ref="B577"/>
    <hyperlink r:id="rId1695" ref="T577"/>
    <hyperlink r:id="rId1696" ref="U577"/>
    <hyperlink r:id="rId1697" ref="B578"/>
    <hyperlink r:id="rId1698" ref="T578"/>
    <hyperlink r:id="rId1699" ref="U578"/>
    <hyperlink r:id="rId1700" ref="B579"/>
    <hyperlink r:id="rId1701" ref="T579"/>
    <hyperlink r:id="rId1702" ref="U579"/>
    <hyperlink r:id="rId1703" ref="B580"/>
    <hyperlink r:id="rId1704" ref="T580"/>
    <hyperlink r:id="rId1705" ref="U580"/>
    <hyperlink r:id="rId1706" ref="B581"/>
    <hyperlink r:id="rId1707" ref="T581"/>
    <hyperlink r:id="rId1708" ref="U581"/>
    <hyperlink r:id="rId1709" ref="B582"/>
    <hyperlink r:id="rId1710" ref="T582"/>
    <hyperlink r:id="rId1711" ref="U582"/>
    <hyperlink r:id="rId1712" ref="B583"/>
    <hyperlink r:id="rId1713" ref="T583"/>
    <hyperlink r:id="rId1714" ref="U583"/>
    <hyperlink r:id="rId1715" ref="B584"/>
    <hyperlink r:id="rId1716" ref="T584"/>
    <hyperlink r:id="rId1717" ref="U584"/>
    <hyperlink r:id="rId1718" ref="B585"/>
    <hyperlink r:id="rId1719" ref="T585"/>
    <hyperlink r:id="rId1720" ref="U585"/>
    <hyperlink r:id="rId1721" ref="B586"/>
    <hyperlink r:id="rId1722" ref="T586"/>
    <hyperlink r:id="rId1723" ref="U586"/>
    <hyperlink r:id="rId1724" ref="B587"/>
    <hyperlink r:id="rId1725" ref="T587"/>
    <hyperlink r:id="rId1726" ref="U587"/>
    <hyperlink r:id="rId1727" ref="B588"/>
    <hyperlink r:id="rId1728" ref="T588"/>
    <hyperlink r:id="rId1729" ref="U588"/>
    <hyperlink r:id="rId1730" ref="B589"/>
    <hyperlink r:id="rId1731" ref="T589"/>
    <hyperlink r:id="rId1732" ref="U589"/>
    <hyperlink r:id="rId1733" ref="B590"/>
    <hyperlink r:id="rId1734" ref="T590"/>
    <hyperlink r:id="rId1735" ref="U590"/>
    <hyperlink r:id="rId1736" ref="B591"/>
    <hyperlink r:id="rId1737" ref="T591"/>
    <hyperlink r:id="rId1738" ref="U591"/>
    <hyperlink r:id="rId1739" ref="B592"/>
    <hyperlink r:id="rId1740" ref="T592"/>
    <hyperlink r:id="rId1741" ref="U592"/>
    <hyperlink r:id="rId1742" ref="B593"/>
    <hyperlink r:id="rId1743" ref="T593"/>
    <hyperlink r:id="rId1744" ref="U593"/>
    <hyperlink r:id="rId1745" ref="B594"/>
    <hyperlink r:id="rId1746" ref="T594"/>
    <hyperlink r:id="rId1747" ref="U594"/>
    <hyperlink r:id="rId1748" ref="B595"/>
    <hyperlink r:id="rId1749" ref="T595"/>
    <hyperlink r:id="rId1750" ref="U595"/>
    <hyperlink r:id="rId1751" ref="B596"/>
    <hyperlink r:id="rId1752" ref="T596"/>
    <hyperlink r:id="rId1753" ref="U596"/>
    <hyperlink r:id="rId1754" ref="B597"/>
    <hyperlink r:id="rId1755" ref="T597"/>
    <hyperlink r:id="rId1756" ref="U597"/>
    <hyperlink r:id="rId1757" ref="B598"/>
    <hyperlink r:id="rId1758" ref="T598"/>
    <hyperlink r:id="rId1759" ref="U598"/>
    <hyperlink r:id="rId1760" ref="B599"/>
    <hyperlink r:id="rId1761" ref="T599"/>
    <hyperlink r:id="rId1762" ref="U599"/>
    <hyperlink r:id="rId1763" ref="B600"/>
    <hyperlink r:id="rId1764" ref="T600"/>
    <hyperlink r:id="rId1765" ref="U600"/>
    <hyperlink r:id="rId1766" ref="B601"/>
    <hyperlink r:id="rId1767" ref="T601"/>
    <hyperlink r:id="rId1768" ref="U601"/>
    <hyperlink r:id="rId1769" ref="B602"/>
    <hyperlink r:id="rId1770" ref="T602"/>
    <hyperlink r:id="rId1771" ref="U602"/>
    <hyperlink r:id="rId1772" ref="B603"/>
    <hyperlink r:id="rId1773" ref="T603"/>
    <hyperlink r:id="rId1774" ref="U603"/>
    <hyperlink r:id="rId1775" ref="B604"/>
    <hyperlink r:id="rId1776" ref="T604"/>
    <hyperlink r:id="rId1777" ref="U604"/>
    <hyperlink r:id="rId1778" ref="B605"/>
    <hyperlink r:id="rId1779" ref="T605"/>
    <hyperlink r:id="rId1780" ref="U605"/>
    <hyperlink r:id="rId1781" ref="B606"/>
    <hyperlink r:id="rId1782" ref="T606"/>
    <hyperlink r:id="rId1783" ref="U606"/>
    <hyperlink r:id="rId1784" ref="B607"/>
    <hyperlink r:id="rId1785" ref="T607"/>
    <hyperlink r:id="rId1786" ref="U607"/>
    <hyperlink r:id="rId1787" ref="B608"/>
    <hyperlink r:id="rId1788" ref="T608"/>
    <hyperlink r:id="rId1789" ref="U608"/>
    <hyperlink r:id="rId1790" ref="B609"/>
    <hyperlink r:id="rId1791" ref="T609"/>
    <hyperlink r:id="rId1792" ref="U609"/>
    <hyperlink r:id="rId1793" ref="B610"/>
    <hyperlink r:id="rId1794" ref="T610"/>
    <hyperlink r:id="rId1795" ref="U610"/>
    <hyperlink r:id="rId1796" ref="B611"/>
    <hyperlink r:id="rId1797" ref="T611"/>
    <hyperlink r:id="rId1798" ref="U611"/>
    <hyperlink r:id="rId1799" ref="B612"/>
    <hyperlink r:id="rId1800" ref="T612"/>
    <hyperlink r:id="rId1801" ref="U612"/>
    <hyperlink r:id="rId1802" ref="B613"/>
    <hyperlink r:id="rId1803" ref="T613"/>
    <hyperlink r:id="rId1804" ref="U613"/>
    <hyperlink r:id="rId1805" ref="B614"/>
    <hyperlink r:id="rId1806" ref="T614"/>
    <hyperlink r:id="rId1807" ref="U614"/>
    <hyperlink r:id="rId1808" ref="B615"/>
    <hyperlink r:id="rId1809" ref="T615"/>
    <hyperlink r:id="rId1810" ref="U615"/>
    <hyperlink r:id="rId1811" ref="B616"/>
    <hyperlink r:id="rId1812" ref="T616"/>
    <hyperlink r:id="rId1813" ref="U616"/>
    <hyperlink r:id="rId1814" ref="B617"/>
    <hyperlink r:id="rId1815" ref="T617"/>
    <hyperlink r:id="rId1816" ref="U617"/>
    <hyperlink r:id="rId1817" ref="B618"/>
    <hyperlink r:id="rId1818" ref="T618"/>
    <hyperlink r:id="rId1819" ref="U618"/>
    <hyperlink r:id="rId1820" ref="B619"/>
    <hyperlink r:id="rId1821" ref="T619"/>
    <hyperlink r:id="rId1822" ref="U619"/>
    <hyperlink r:id="rId1823" ref="B620"/>
    <hyperlink r:id="rId1824" ref="T620"/>
    <hyperlink r:id="rId1825" ref="U620"/>
    <hyperlink r:id="rId1826" ref="B621"/>
    <hyperlink r:id="rId1827" ref="T621"/>
    <hyperlink r:id="rId1828" ref="U621"/>
    <hyperlink r:id="rId1829" ref="B622"/>
    <hyperlink r:id="rId1830" ref="T622"/>
    <hyperlink r:id="rId1831" ref="U622"/>
    <hyperlink r:id="rId1832" ref="B623"/>
    <hyperlink r:id="rId1833" ref="T623"/>
    <hyperlink r:id="rId1834" ref="U623"/>
    <hyperlink r:id="rId1835" ref="B624"/>
    <hyperlink r:id="rId1836" ref="T624"/>
    <hyperlink r:id="rId1837" ref="U624"/>
    <hyperlink r:id="rId1838" ref="B625"/>
    <hyperlink r:id="rId1839" ref="T625"/>
    <hyperlink r:id="rId1840" ref="U625"/>
    <hyperlink r:id="rId1841" ref="B626"/>
    <hyperlink r:id="rId1842" ref="T626"/>
    <hyperlink r:id="rId1843" ref="U626"/>
    <hyperlink r:id="rId1844" ref="B627"/>
    <hyperlink r:id="rId1845" ref="T627"/>
    <hyperlink r:id="rId1846" ref="U627"/>
    <hyperlink r:id="rId1847" ref="B628"/>
    <hyperlink r:id="rId1848" ref="T628"/>
    <hyperlink r:id="rId1849" ref="U628"/>
    <hyperlink r:id="rId1850" ref="B629"/>
    <hyperlink r:id="rId1851" ref="T629"/>
    <hyperlink r:id="rId1852" ref="U629"/>
    <hyperlink r:id="rId1853" ref="B630"/>
    <hyperlink r:id="rId1854" ref="T630"/>
    <hyperlink r:id="rId1855" ref="U630"/>
    <hyperlink r:id="rId1856" ref="B631"/>
    <hyperlink r:id="rId1857" ref="T631"/>
    <hyperlink r:id="rId1858" ref="U631"/>
    <hyperlink r:id="rId1859" ref="B632"/>
    <hyperlink r:id="rId1860" ref="T632"/>
    <hyperlink r:id="rId1861" ref="U632"/>
    <hyperlink r:id="rId1862" ref="B633"/>
    <hyperlink r:id="rId1863" ref="T633"/>
    <hyperlink r:id="rId1864" ref="U633"/>
    <hyperlink r:id="rId1865" ref="B634"/>
    <hyperlink r:id="rId1866" ref="T634"/>
    <hyperlink r:id="rId1867" ref="U634"/>
    <hyperlink r:id="rId1868" ref="B635"/>
    <hyperlink r:id="rId1869" ref="T635"/>
    <hyperlink r:id="rId1870" ref="U635"/>
    <hyperlink r:id="rId1871" ref="B636"/>
    <hyperlink r:id="rId1872" ref="T636"/>
    <hyperlink r:id="rId1873" ref="U636"/>
    <hyperlink r:id="rId1874" ref="B637"/>
    <hyperlink r:id="rId1875" ref="T637"/>
    <hyperlink r:id="rId1876" ref="U637"/>
    <hyperlink r:id="rId1877" ref="B638"/>
    <hyperlink r:id="rId1878" ref="T638"/>
    <hyperlink r:id="rId1879" ref="U638"/>
    <hyperlink r:id="rId1880" ref="B639"/>
    <hyperlink r:id="rId1881" ref="T639"/>
    <hyperlink r:id="rId1882" ref="U639"/>
    <hyperlink r:id="rId1883" ref="B640"/>
    <hyperlink r:id="rId1884" ref="T640"/>
    <hyperlink r:id="rId1885" ref="U640"/>
    <hyperlink r:id="rId1886" ref="B641"/>
    <hyperlink r:id="rId1887" ref="T641"/>
    <hyperlink r:id="rId1888" ref="U641"/>
    <hyperlink r:id="rId1889" ref="B642"/>
    <hyperlink r:id="rId1890" ref="T642"/>
    <hyperlink r:id="rId1891" ref="U642"/>
    <hyperlink r:id="rId1892" ref="B643"/>
    <hyperlink r:id="rId1893" ref="T643"/>
    <hyperlink r:id="rId1894" ref="U643"/>
    <hyperlink r:id="rId1895" ref="B644"/>
    <hyperlink r:id="rId1896" ref="T644"/>
    <hyperlink r:id="rId1897" ref="U644"/>
    <hyperlink r:id="rId1898" ref="B645"/>
    <hyperlink r:id="rId1899" ref="T645"/>
    <hyperlink r:id="rId1900" ref="U645"/>
    <hyperlink r:id="rId1901" ref="B646"/>
    <hyperlink r:id="rId1902" ref="T646"/>
    <hyperlink r:id="rId1903" ref="U646"/>
    <hyperlink r:id="rId1904" ref="B647"/>
    <hyperlink r:id="rId1905" ref="T647"/>
    <hyperlink r:id="rId1906" ref="U647"/>
    <hyperlink r:id="rId1907" ref="B648"/>
    <hyperlink r:id="rId1908" ref="T648"/>
    <hyperlink r:id="rId1909" ref="U648"/>
    <hyperlink r:id="rId1910" ref="B649"/>
    <hyperlink r:id="rId1911" ref="T649"/>
    <hyperlink r:id="rId1912" ref="U649"/>
    <hyperlink r:id="rId1913" ref="B650"/>
    <hyperlink r:id="rId1914" ref="T650"/>
    <hyperlink r:id="rId1915" ref="U650"/>
    <hyperlink r:id="rId1916" ref="B651"/>
    <hyperlink r:id="rId1917" ref="T651"/>
    <hyperlink r:id="rId1918" ref="U651"/>
    <hyperlink r:id="rId1919" ref="B652"/>
    <hyperlink r:id="rId1920" ref="T652"/>
    <hyperlink r:id="rId1921" ref="U652"/>
    <hyperlink r:id="rId1922" ref="B653"/>
    <hyperlink r:id="rId1923" ref="T653"/>
    <hyperlink r:id="rId1924" ref="U653"/>
    <hyperlink r:id="rId1925" ref="B654"/>
    <hyperlink r:id="rId1926" ref="T654"/>
    <hyperlink r:id="rId1927" ref="U654"/>
    <hyperlink r:id="rId1928" ref="B655"/>
    <hyperlink r:id="rId1929" ref="T655"/>
    <hyperlink r:id="rId1930" ref="U655"/>
    <hyperlink r:id="rId1931" ref="B656"/>
    <hyperlink r:id="rId1932" ref="T656"/>
    <hyperlink r:id="rId1933" ref="U656"/>
    <hyperlink r:id="rId1934" ref="B657"/>
    <hyperlink r:id="rId1935" ref="T657"/>
    <hyperlink r:id="rId1936" ref="U657"/>
    <hyperlink r:id="rId1937" ref="B658"/>
    <hyperlink r:id="rId1938" ref="T658"/>
    <hyperlink r:id="rId1939" ref="U658"/>
    <hyperlink r:id="rId1940" ref="B659"/>
    <hyperlink r:id="rId1941" ref="T659"/>
    <hyperlink r:id="rId1942" ref="U659"/>
    <hyperlink r:id="rId1943" ref="B660"/>
    <hyperlink r:id="rId1944" ref="T660"/>
    <hyperlink r:id="rId1945" ref="U660"/>
    <hyperlink r:id="rId1946" ref="B661"/>
    <hyperlink r:id="rId1947" ref="T661"/>
    <hyperlink r:id="rId1948" ref="U661"/>
    <hyperlink r:id="rId1949" ref="B662"/>
    <hyperlink r:id="rId1950" ref="T662"/>
    <hyperlink r:id="rId1951" ref="U662"/>
    <hyperlink r:id="rId1952" ref="B663"/>
    <hyperlink r:id="rId1953" ref="T663"/>
    <hyperlink r:id="rId1954" ref="U663"/>
    <hyperlink r:id="rId1955" ref="B664"/>
    <hyperlink r:id="rId1956" ref="T664"/>
    <hyperlink r:id="rId1957" ref="U664"/>
    <hyperlink r:id="rId1958" ref="B665"/>
    <hyperlink r:id="rId1959" ref="T665"/>
    <hyperlink r:id="rId1960" ref="U665"/>
    <hyperlink r:id="rId1961" ref="B666"/>
    <hyperlink r:id="rId1962" ref="T666"/>
    <hyperlink r:id="rId1963" ref="U666"/>
    <hyperlink r:id="rId1964" ref="B667"/>
    <hyperlink r:id="rId1965" ref="T667"/>
    <hyperlink r:id="rId1966" ref="U667"/>
    <hyperlink r:id="rId1967" ref="B668"/>
    <hyperlink r:id="rId1968" ref="T668"/>
    <hyperlink r:id="rId1969" ref="U668"/>
    <hyperlink r:id="rId1970" ref="B669"/>
    <hyperlink r:id="rId1971" ref="T669"/>
    <hyperlink r:id="rId1972" ref="U669"/>
    <hyperlink r:id="rId1973" ref="B670"/>
    <hyperlink r:id="rId1974" ref="T670"/>
    <hyperlink r:id="rId1975" ref="U670"/>
    <hyperlink r:id="rId1976" ref="B671"/>
    <hyperlink r:id="rId1977" ref="T671"/>
    <hyperlink r:id="rId1978" ref="U671"/>
    <hyperlink r:id="rId1979" ref="B672"/>
    <hyperlink r:id="rId1980" ref="T672"/>
    <hyperlink r:id="rId1981" ref="U672"/>
    <hyperlink r:id="rId1982" ref="B673"/>
    <hyperlink r:id="rId1983" ref="T673"/>
    <hyperlink r:id="rId1984" ref="U673"/>
    <hyperlink r:id="rId1985" ref="B674"/>
    <hyperlink r:id="rId1986" ref="T674"/>
    <hyperlink r:id="rId1987" ref="U674"/>
    <hyperlink r:id="rId1988" ref="B675"/>
    <hyperlink r:id="rId1989" ref="T675"/>
    <hyperlink r:id="rId1990" ref="U675"/>
    <hyperlink r:id="rId1991" ref="B676"/>
    <hyperlink r:id="rId1992" ref="T676"/>
    <hyperlink r:id="rId1993" ref="U676"/>
    <hyperlink r:id="rId1994" ref="B677"/>
    <hyperlink r:id="rId1995" ref="T677"/>
    <hyperlink r:id="rId1996" ref="B678"/>
    <hyperlink r:id="rId1997" ref="T678"/>
    <hyperlink r:id="rId1998" ref="U678"/>
    <hyperlink r:id="rId1999" ref="B679"/>
    <hyperlink r:id="rId2000" ref="T679"/>
    <hyperlink r:id="rId2001" ref="B680"/>
    <hyperlink r:id="rId2002" ref="T680"/>
    <hyperlink r:id="rId2003" ref="B681"/>
    <hyperlink r:id="rId2004" ref="T681"/>
    <hyperlink r:id="rId2005" ref="B682"/>
    <hyperlink r:id="rId2006" ref="T682"/>
    <hyperlink r:id="rId2007" ref="B683"/>
    <hyperlink r:id="rId2008" ref="T683"/>
    <hyperlink r:id="rId2009" ref="B684"/>
    <hyperlink r:id="rId2010" ref="T684"/>
    <hyperlink r:id="rId2011" ref="B685"/>
    <hyperlink r:id="rId2012" ref="T685"/>
    <hyperlink r:id="rId2013" ref="B686"/>
    <hyperlink r:id="rId2014" ref="T686"/>
    <hyperlink r:id="rId2015" ref="B687"/>
    <hyperlink r:id="rId2016" ref="T687"/>
    <hyperlink r:id="rId2017" ref="B688"/>
    <hyperlink r:id="rId2018" ref="T688"/>
    <hyperlink r:id="rId2019" ref="B689"/>
    <hyperlink r:id="rId2020" ref="T689"/>
    <hyperlink r:id="rId2021" ref="B690"/>
    <hyperlink r:id="rId2022" ref="T690"/>
    <hyperlink r:id="rId2023" ref="B691"/>
    <hyperlink r:id="rId2024" ref="T691"/>
    <hyperlink r:id="rId2025" ref="B692"/>
    <hyperlink r:id="rId2026" ref="T692"/>
    <hyperlink r:id="rId2027" ref="B693"/>
    <hyperlink r:id="rId2028" ref="T693"/>
    <hyperlink r:id="rId2029" ref="B694"/>
    <hyperlink r:id="rId2030" ref="T694"/>
    <hyperlink r:id="rId2031" ref="B695"/>
    <hyperlink r:id="rId2032" ref="T695"/>
    <hyperlink r:id="rId2033" ref="B696"/>
    <hyperlink r:id="rId2034" ref="T696"/>
    <hyperlink r:id="rId2035" ref="B697"/>
    <hyperlink r:id="rId2036" ref="T697"/>
    <hyperlink r:id="rId2037" ref="B698"/>
    <hyperlink r:id="rId2038" ref="T698"/>
    <hyperlink r:id="rId2039" ref="B699"/>
    <hyperlink r:id="rId2040" ref="T699"/>
    <hyperlink r:id="rId2041" ref="B700"/>
    <hyperlink r:id="rId2042" ref="T700"/>
    <hyperlink r:id="rId2043" ref="B701"/>
    <hyperlink r:id="rId2044" ref="T701"/>
    <hyperlink r:id="rId2045" ref="B702"/>
    <hyperlink r:id="rId2046" ref="T702"/>
    <hyperlink r:id="rId2047" ref="B703"/>
    <hyperlink r:id="rId2048" ref="T703"/>
    <hyperlink r:id="rId2049" ref="B704"/>
    <hyperlink r:id="rId2050" ref="T704"/>
    <hyperlink r:id="rId2051" ref="B705"/>
    <hyperlink r:id="rId2052" ref="T705"/>
    <hyperlink r:id="rId2053" ref="B706"/>
    <hyperlink r:id="rId2054" ref="T706"/>
    <hyperlink r:id="rId2055" ref="B707"/>
    <hyperlink r:id="rId2056" ref="T707"/>
    <hyperlink r:id="rId2057" ref="B708"/>
    <hyperlink r:id="rId2058" ref="T708"/>
    <hyperlink r:id="rId2059" ref="B709"/>
    <hyperlink r:id="rId2060" ref="T709"/>
    <hyperlink r:id="rId2061" ref="B710"/>
    <hyperlink r:id="rId2062" ref="T710"/>
    <hyperlink r:id="rId2063" ref="B711"/>
    <hyperlink r:id="rId2064" ref="T711"/>
    <hyperlink r:id="rId2065" ref="B712"/>
    <hyperlink r:id="rId2066" ref="T712"/>
    <hyperlink r:id="rId2067" ref="B713"/>
    <hyperlink r:id="rId2068" ref="T713"/>
    <hyperlink r:id="rId2069" ref="B714"/>
    <hyperlink r:id="rId2070" ref="T714"/>
    <hyperlink r:id="rId2071" ref="B715"/>
    <hyperlink r:id="rId2072" ref="T715"/>
    <hyperlink r:id="rId2073" ref="B716"/>
    <hyperlink r:id="rId2074" ref="T716"/>
    <hyperlink r:id="rId2075" ref="B717"/>
    <hyperlink r:id="rId2076" ref="T717"/>
    <hyperlink r:id="rId2077" ref="B718"/>
    <hyperlink r:id="rId2078" ref="T718"/>
    <hyperlink r:id="rId2079" ref="B719"/>
    <hyperlink r:id="rId2080" ref="T719"/>
    <hyperlink r:id="rId2081" ref="B720"/>
    <hyperlink r:id="rId2082" ref="T720"/>
    <hyperlink r:id="rId2083" ref="B721"/>
    <hyperlink r:id="rId2084" ref="T721"/>
    <hyperlink r:id="rId2085" ref="B722"/>
    <hyperlink r:id="rId2086" ref="T722"/>
    <hyperlink r:id="rId2087" ref="B723"/>
    <hyperlink r:id="rId2088" ref="T723"/>
    <hyperlink r:id="rId2089" ref="B724"/>
    <hyperlink r:id="rId2090" ref="T724"/>
    <hyperlink r:id="rId2091" ref="U724"/>
    <hyperlink r:id="rId2092" ref="B725"/>
    <hyperlink r:id="rId2093" ref="T725"/>
    <hyperlink r:id="rId2094" ref="B726"/>
    <hyperlink r:id="rId2095" ref="T726"/>
    <hyperlink r:id="rId2096" ref="B727"/>
    <hyperlink r:id="rId2097" ref="T727"/>
    <hyperlink r:id="rId2098" ref="B728"/>
    <hyperlink r:id="rId2099" ref="T728"/>
    <hyperlink r:id="rId2100" ref="B729"/>
    <hyperlink r:id="rId2101" ref="T729"/>
    <hyperlink r:id="rId2102" ref="B730"/>
    <hyperlink r:id="rId2103" ref="T730"/>
    <hyperlink r:id="rId2104" ref="B731"/>
    <hyperlink r:id="rId2105" ref="T731"/>
    <hyperlink r:id="rId2106" ref="B732"/>
    <hyperlink r:id="rId2107" ref="T732"/>
    <hyperlink r:id="rId2108" ref="B733"/>
    <hyperlink r:id="rId2109" ref="T733"/>
    <hyperlink r:id="rId2110" ref="B734"/>
    <hyperlink r:id="rId2111" ref="T734"/>
    <hyperlink r:id="rId2112" ref="B735"/>
    <hyperlink r:id="rId2113" ref="T735"/>
    <hyperlink r:id="rId2114" ref="B736"/>
    <hyperlink r:id="rId2115" ref="T736"/>
    <hyperlink r:id="rId2116" ref="B737"/>
    <hyperlink r:id="rId2117" ref="T737"/>
    <hyperlink r:id="rId2118" ref="B738"/>
    <hyperlink r:id="rId2119" ref="T738"/>
    <hyperlink r:id="rId2120" ref="B739"/>
    <hyperlink r:id="rId2121" ref="T739"/>
    <hyperlink r:id="rId2122" ref="B740"/>
    <hyperlink r:id="rId2123" ref="T740"/>
    <hyperlink r:id="rId2124" ref="B741"/>
    <hyperlink r:id="rId2125" ref="T741"/>
    <hyperlink r:id="rId2126" ref="B742"/>
    <hyperlink r:id="rId2127" ref="T742"/>
    <hyperlink r:id="rId2128" ref="B743"/>
    <hyperlink r:id="rId2129" ref="T743"/>
    <hyperlink r:id="rId2130" ref="B744"/>
    <hyperlink r:id="rId2131" ref="T744"/>
    <hyperlink r:id="rId2132" ref="B745"/>
    <hyperlink r:id="rId2133" ref="T745"/>
    <hyperlink r:id="rId2134" ref="B746"/>
    <hyperlink r:id="rId2135" ref="T746"/>
    <hyperlink r:id="rId2136" ref="B747"/>
    <hyperlink r:id="rId2137" ref="T747"/>
    <hyperlink r:id="rId2138" ref="B748"/>
    <hyperlink r:id="rId2139" ref="T748"/>
    <hyperlink r:id="rId2140" ref="B749"/>
    <hyperlink r:id="rId2141" ref="T749"/>
    <hyperlink r:id="rId2142" ref="B750"/>
    <hyperlink r:id="rId2143" ref="T750"/>
    <hyperlink r:id="rId2144" ref="B751"/>
    <hyperlink r:id="rId2145" ref="T751"/>
    <hyperlink r:id="rId2146" ref="B752"/>
    <hyperlink r:id="rId2147" ref="T752"/>
    <hyperlink r:id="rId2148" ref="B753"/>
    <hyperlink r:id="rId2149" ref="T753"/>
    <hyperlink r:id="rId2150" ref="B754"/>
    <hyperlink r:id="rId2151" ref="T754"/>
    <hyperlink r:id="rId2152" ref="B755"/>
    <hyperlink r:id="rId2153" ref="T755"/>
    <hyperlink r:id="rId2154" ref="B756"/>
    <hyperlink r:id="rId2155" ref="T756"/>
    <hyperlink r:id="rId2156" ref="B757"/>
    <hyperlink r:id="rId2157" ref="T757"/>
    <hyperlink r:id="rId2158" ref="B758"/>
    <hyperlink r:id="rId2159" ref="T758"/>
    <hyperlink r:id="rId2160" ref="B759"/>
    <hyperlink r:id="rId2161" ref="T759"/>
    <hyperlink r:id="rId2162" ref="B760"/>
    <hyperlink r:id="rId2163" ref="T760"/>
    <hyperlink r:id="rId2164" ref="B761"/>
    <hyperlink r:id="rId2165" ref="T761"/>
    <hyperlink r:id="rId2166" ref="B762"/>
    <hyperlink r:id="rId2167" ref="T762"/>
    <hyperlink r:id="rId2168" ref="B763"/>
    <hyperlink r:id="rId2169" ref="T763"/>
    <hyperlink r:id="rId2170" ref="B764"/>
    <hyperlink r:id="rId2171" ref="T764"/>
    <hyperlink r:id="rId2172" ref="B765"/>
    <hyperlink r:id="rId2173" ref="T765"/>
    <hyperlink r:id="rId2174" ref="B766"/>
    <hyperlink r:id="rId2175" ref="T766"/>
    <hyperlink r:id="rId2176" ref="B767"/>
    <hyperlink r:id="rId2177" ref="T767"/>
    <hyperlink r:id="rId2178" ref="B768"/>
    <hyperlink r:id="rId2179" ref="T768"/>
    <hyperlink r:id="rId2180" ref="B769"/>
    <hyperlink r:id="rId2181" ref="T769"/>
    <hyperlink r:id="rId2182" ref="B770"/>
    <hyperlink r:id="rId2183" ref="T770"/>
    <hyperlink r:id="rId2184" ref="B771"/>
    <hyperlink r:id="rId2185" ref="T771"/>
    <hyperlink r:id="rId2186" ref="B772"/>
    <hyperlink r:id="rId2187" ref="T772"/>
    <hyperlink r:id="rId2188" ref="B773"/>
    <hyperlink r:id="rId2189" ref="T773"/>
    <hyperlink r:id="rId2190" ref="B774"/>
    <hyperlink r:id="rId2191" ref="T774"/>
    <hyperlink r:id="rId2192" ref="B775"/>
    <hyperlink r:id="rId2193" ref="T775"/>
    <hyperlink r:id="rId2194" ref="B776"/>
    <hyperlink r:id="rId2195" ref="T776"/>
    <hyperlink r:id="rId2196" ref="B777"/>
    <hyperlink r:id="rId2197" ref="T777"/>
    <hyperlink r:id="rId2198" ref="B778"/>
    <hyperlink r:id="rId2199" ref="T778"/>
    <hyperlink r:id="rId2200" ref="B779"/>
    <hyperlink r:id="rId2201" ref="T779"/>
    <hyperlink r:id="rId2202" ref="B780"/>
    <hyperlink r:id="rId2203" ref="T780"/>
    <hyperlink r:id="rId2204" ref="B781"/>
    <hyperlink r:id="rId2205" ref="T781"/>
    <hyperlink r:id="rId2206" ref="B782"/>
    <hyperlink r:id="rId2207" ref="T782"/>
    <hyperlink r:id="rId2208" ref="B783"/>
    <hyperlink r:id="rId2209" ref="T783"/>
    <hyperlink r:id="rId2210" ref="B784"/>
    <hyperlink r:id="rId2211" ref="T784"/>
    <hyperlink r:id="rId2212" ref="B785"/>
    <hyperlink r:id="rId2213" ref="T785"/>
    <hyperlink r:id="rId2214" ref="B786"/>
    <hyperlink r:id="rId2215" ref="T786"/>
    <hyperlink r:id="rId2216" ref="B787"/>
    <hyperlink r:id="rId2217" ref="T787"/>
    <hyperlink r:id="rId2218" ref="B788"/>
    <hyperlink r:id="rId2219" ref="T788"/>
    <hyperlink r:id="rId2220" ref="B789"/>
    <hyperlink r:id="rId2221" ref="T789"/>
    <hyperlink r:id="rId2222" ref="U789"/>
    <hyperlink r:id="rId2223" ref="B790"/>
    <hyperlink r:id="rId2224" ref="T790"/>
    <hyperlink r:id="rId2225" ref="B791"/>
    <hyperlink r:id="rId2226" ref="T791"/>
    <hyperlink r:id="rId2227" ref="B792"/>
    <hyperlink r:id="rId2228" ref="T792"/>
    <hyperlink r:id="rId2229" ref="B793"/>
    <hyperlink r:id="rId2230" ref="T793"/>
    <hyperlink r:id="rId2231" ref="B794"/>
    <hyperlink r:id="rId2232" ref="T794"/>
    <hyperlink r:id="rId2233" ref="B795"/>
    <hyperlink r:id="rId2234" ref="T795"/>
    <hyperlink r:id="rId2235" ref="B796"/>
    <hyperlink r:id="rId2236" ref="T796"/>
    <hyperlink r:id="rId2237" ref="U796"/>
    <hyperlink r:id="rId2238" ref="B797"/>
    <hyperlink r:id="rId2239" ref="T797"/>
    <hyperlink r:id="rId2240" ref="B798"/>
    <hyperlink r:id="rId2241" ref="T798"/>
    <hyperlink r:id="rId2242" ref="B799"/>
    <hyperlink r:id="rId2243" ref="T799"/>
    <hyperlink r:id="rId2244" ref="B800"/>
    <hyperlink r:id="rId2245" ref="T800"/>
    <hyperlink r:id="rId2246" ref="B801"/>
    <hyperlink r:id="rId2247" ref="T801"/>
    <hyperlink r:id="rId2248" ref="B802"/>
    <hyperlink r:id="rId2249" ref="T802"/>
    <hyperlink r:id="rId2250" ref="B803"/>
    <hyperlink r:id="rId2251" ref="T803"/>
    <hyperlink r:id="rId2252" ref="B804"/>
    <hyperlink r:id="rId2253" ref="T804"/>
    <hyperlink r:id="rId2254" ref="U804"/>
    <hyperlink r:id="rId2255" ref="B805"/>
    <hyperlink r:id="rId2256" ref="T805"/>
    <hyperlink r:id="rId2257" ref="U805"/>
    <hyperlink r:id="rId2258" ref="B806"/>
    <hyperlink r:id="rId2259" ref="T806"/>
    <hyperlink r:id="rId2260" ref="U806"/>
    <hyperlink r:id="rId2261" ref="B807"/>
    <hyperlink r:id="rId2262" ref="T807"/>
    <hyperlink r:id="rId2263" ref="U807"/>
    <hyperlink r:id="rId2264" ref="B808"/>
    <hyperlink r:id="rId2265" ref="T808"/>
    <hyperlink r:id="rId2266" ref="U808"/>
    <hyperlink r:id="rId2267" ref="B809"/>
    <hyperlink r:id="rId2268" ref="T809"/>
    <hyperlink r:id="rId2269" ref="U809"/>
    <hyperlink r:id="rId2270" ref="B810"/>
    <hyperlink r:id="rId2271" ref="T810"/>
    <hyperlink r:id="rId2272" ref="B811"/>
    <hyperlink r:id="rId2273" ref="T811"/>
    <hyperlink r:id="rId2274" ref="B812"/>
    <hyperlink r:id="rId2275" ref="T812"/>
    <hyperlink r:id="rId2276" ref="B813"/>
    <hyperlink r:id="rId2277" ref="T813"/>
    <hyperlink r:id="rId2278" ref="B814"/>
    <hyperlink r:id="rId2279" ref="T814"/>
    <hyperlink r:id="rId2280" ref="B815"/>
    <hyperlink r:id="rId2281" ref="T815"/>
    <hyperlink r:id="rId2282" ref="B816"/>
    <hyperlink r:id="rId2283" ref="T816"/>
    <hyperlink r:id="rId2284" ref="B817"/>
    <hyperlink r:id="rId2285" ref="T817"/>
    <hyperlink r:id="rId2286" ref="B818"/>
    <hyperlink r:id="rId2287" ref="T818"/>
    <hyperlink r:id="rId2288" ref="B819"/>
    <hyperlink r:id="rId2289" ref="T819"/>
    <hyperlink r:id="rId2290" ref="B820"/>
    <hyperlink r:id="rId2291" ref="T820"/>
    <hyperlink r:id="rId2292" ref="B821"/>
    <hyperlink r:id="rId2293" ref="T821"/>
    <hyperlink r:id="rId2294" ref="B822"/>
    <hyperlink r:id="rId2295" ref="T822"/>
    <hyperlink r:id="rId2296" ref="B823"/>
    <hyperlink r:id="rId2297" ref="T823"/>
    <hyperlink r:id="rId2298" ref="B824"/>
    <hyperlink r:id="rId2299" ref="T824"/>
    <hyperlink r:id="rId2300" ref="B825"/>
    <hyperlink r:id="rId2301" ref="T825"/>
    <hyperlink r:id="rId2302" ref="B826"/>
    <hyperlink r:id="rId2303" ref="T826"/>
    <hyperlink r:id="rId2304" ref="B827"/>
    <hyperlink r:id="rId2305" ref="T827"/>
    <hyperlink r:id="rId2306" ref="B828"/>
    <hyperlink r:id="rId2307" ref="T828"/>
    <hyperlink r:id="rId2308" ref="B829"/>
    <hyperlink r:id="rId2309" ref="T829"/>
    <hyperlink r:id="rId2310" ref="U829"/>
    <hyperlink r:id="rId2311" ref="B830"/>
    <hyperlink r:id="rId2312" ref="T830"/>
    <hyperlink r:id="rId2313" ref="B831"/>
    <hyperlink r:id="rId2314" ref="T831"/>
    <hyperlink r:id="rId2315" ref="B832"/>
    <hyperlink r:id="rId2316" ref="T832"/>
    <hyperlink r:id="rId2317" ref="B833"/>
    <hyperlink r:id="rId2318" ref="T833"/>
    <hyperlink r:id="rId2319" ref="U833"/>
    <hyperlink r:id="rId2320" ref="B834"/>
    <hyperlink r:id="rId2321" ref="T834"/>
    <hyperlink r:id="rId2322" ref="B835"/>
    <hyperlink r:id="rId2323" ref="T835"/>
    <hyperlink r:id="rId2324" ref="B836"/>
    <hyperlink r:id="rId2325" ref="T836"/>
    <hyperlink r:id="rId2326" ref="B837"/>
    <hyperlink r:id="rId2327" ref="T837"/>
    <hyperlink r:id="rId2328" ref="B838"/>
    <hyperlink r:id="rId2329" ref="T838"/>
    <hyperlink r:id="rId2330" ref="B839"/>
    <hyperlink r:id="rId2331" ref="T839"/>
    <hyperlink r:id="rId2332" ref="U839"/>
    <hyperlink r:id="rId2333" ref="B840"/>
    <hyperlink r:id="rId2334" ref="T840"/>
    <hyperlink r:id="rId2335" ref="U840"/>
    <hyperlink r:id="rId2336" ref="B841"/>
    <hyperlink r:id="rId2337" ref="T841"/>
    <hyperlink r:id="rId2338" ref="U841"/>
    <hyperlink r:id="rId2339" ref="B842"/>
    <hyperlink r:id="rId2340" ref="T842"/>
    <hyperlink r:id="rId2341" ref="U842"/>
    <hyperlink r:id="rId2342" ref="B843"/>
    <hyperlink r:id="rId2343" ref="T843"/>
    <hyperlink r:id="rId2344" ref="B844"/>
    <hyperlink r:id="rId2345" ref="T844"/>
    <hyperlink r:id="rId2346" ref="U844"/>
    <hyperlink r:id="rId2347" ref="B845"/>
    <hyperlink r:id="rId2348" ref="T845"/>
    <hyperlink r:id="rId2349" ref="B846"/>
    <hyperlink r:id="rId2350" ref="T846"/>
    <hyperlink r:id="rId2351" ref="U846"/>
    <hyperlink r:id="rId2352" ref="B847"/>
    <hyperlink r:id="rId2353" ref="T847"/>
    <hyperlink r:id="rId2354" ref="U847"/>
    <hyperlink r:id="rId2355" ref="B848"/>
    <hyperlink r:id="rId2356" ref="T848"/>
    <hyperlink r:id="rId2357" ref="B849"/>
    <hyperlink r:id="rId2358" ref="T849"/>
    <hyperlink r:id="rId2359" ref="B850"/>
    <hyperlink r:id="rId2360" ref="T850"/>
    <hyperlink r:id="rId2361" ref="U850"/>
    <hyperlink r:id="rId2362" ref="B851"/>
    <hyperlink r:id="rId2363" ref="T851"/>
    <hyperlink r:id="rId2364" ref="U851"/>
    <hyperlink r:id="rId2365" ref="B852"/>
    <hyperlink r:id="rId2366" ref="T852"/>
    <hyperlink r:id="rId2367" ref="U852"/>
    <hyperlink r:id="rId2368" ref="B853"/>
    <hyperlink r:id="rId2369" ref="T853"/>
    <hyperlink r:id="rId2370" ref="U853"/>
    <hyperlink r:id="rId2371" ref="B854"/>
    <hyperlink r:id="rId2372" ref="T854"/>
    <hyperlink r:id="rId2373" ref="U854"/>
    <hyperlink r:id="rId2374" ref="B855"/>
    <hyperlink r:id="rId2375" ref="T855"/>
    <hyperlink r:id="rId2376" ref="U855"/>
    <hyperlink r:id="rId2377" ref="B856"/>
    <hyperlink r:id="rId2378" ref="T856"/>
    <hyperlink r:id="rId2379" ref="U856"/>
    <hyperlink r:id="rId2380" ref="B857"/>
    <hyperlink r:id="rId2381" ref="T857"/>
    <hyperlink r:id="rId2382" ref="U857"/>
    <hyperlink r:id="rId2383" ref="B858"/>
    <hyperlink r:id="rId2384" ref="T858"/>
    <hyperlink r:id="rId2385" ref="U858"/>
    <hyperlink r:id="rId2386" ref="B859"/>
    <hyperlink r:id="rId2387" ref="T859"/>
    <hyperlink r:id="rId2388" ref="U859"/>
    <hyperlink r:id="rId2389" ref="B860"/>
    <hyperlink r:id="rId2390" ref="T860"/>
    <hyperlink r:id="rId2391" ref="U860"/>
    <hyperlink r:id="rId2392" ref="B861"/>
    <hyperlink r:id="rId2393" ref="T861"/>
    <hyperlink r:id="rId2394" ref="U861"/>
    <hyperlink r:id="rId2395" ref="B862"/>
    <hyperlink r:id="rId2396" ref="T862"/>
    <hyperlink r:id="rId2397" ref="U862"/>
    <hyperlink r:id="rId2398" ref="B863"/>
    <hyperlink r:id="rId2399" ref="T863"/>
    <hyperlink r:id="rId2400" ref="U863"/>
    <hyperlink r:id="rId2401" ref="B864"/>
    <hyperlink r:id="rId2402" ref="T864"/>
    <hyperlink r:id="rId2403" ref="U864"/>
    <hyperlink r:id="rId2404" ref="B865"/>
    <hyperlink r:id="rId2405" ref="T865"/>
    <hyperlink r:id="rId2406" ref="U865"/>
    <hyperlink r:id="rId2407" ref="B866"/>
    <hyperlink r:id="rId2408" ref="T866"/>
    <hyperlink r:id="rId2409" ref="U866"/>
    <hyperlink r:id="rId2410" ref="B867"/>
    <hyperlink r:id="rId2411" ref="T867"/>
    <hyperlink r:id="rId2412" ref="U867"/>
    <hyperlink r:id="rId2413" ref="B868"/>
    <hyperlink r:id="rId2414" ref="T868"/>
    <hyperlink r:id="rId2415" ref="U868"/>
    <hyperlink r:id="rId2416" ref="B869"/>
    <hyperlink r:id="rId2417" ref="T869"/>
    <hyperlink r:id="rId2418" ref="U869"/>
    <hyperlink r:id="rId2419" ref="B870"/>
    <hyperlink r:id="rId2420" ref="T870"/>
    <hyperlink r:id="rId2421" ref="U870"/>
    <hyperlink r:id="rId2422" ref="B871"/>
    <hyperlink r:id="rId2423" ref="T871"/>
    <hyperlink r:id="rId2424" ref="U871"/>
    <hyperlink r:id="rId2425" ref="B872"/>
    <hyperlink r:id="rId2426" ref="T872"/>
    <hyperlink r:id="rId2427" ref="U872"/>
    <hyperlink r:id="rId2428" ref="B873"/>
    <hyperlink r:id="rId2429" ref="T873"/>
    <hyperlink r:id="rId2430" ref="U873"/>
    <hyperlink r:id="rId2431" ref="B874"/>
    <hyperlink r:id="rId2432" ref="T874"/>
    <hyperlink r:id="rId2433" ref="U874"/>
    <hyperlink r:id="rId2434" ref="B875"/>
    <hyperlink r:id="rId2435" ref="T875"/>
    <hyperlink r:id="rId2436" ref="U875"/>
    <hyperlink r:id="rId2437" ref="B876"/>
    <hyperlink r:id="rId2438" ref="T876"/>
    <hyperlink r:id="rId2439" ref="U876"/>
    <hyperlink r:id="rId2440" ref="B877"/>
    <hyperlink r:id="rId2441" ref="T877"/>
    <hyperlink r:id="rId2442" ref="U877"/>
    <hyperlink r:id="rId2443" ref="B878"/>
    <hyperlink r:id="rId2444" ref="T878"/>
    <hyperlink r:id="rId2445" ref="U878"/>
    <hyperlink r:id="rId2446" ref="B879"/>
    <hyperlink r:id="rId2447" ref="T879"/>
    <hyperlink r:id="rId2448" ref="U879"/>
    <hyperlink r:id="rId2449" ref="B880"/>
    <hyperlink r:id="rId2450" ref="T880"/>
    <hyperlink r:id="rId2451" ref="U880"/>
    <hyperlink r:id="rId2452" ref="B881"/>
    <hyperlink r:id="rId2453" ref="T881"/>
    <hyperlink r:id="rId2454" ref="B882"/>
    <hyperlink r:id="rId2455" ref="T882"/>
    <hyperlink r:id="rId2456" ref="U882"/>
    <hyperlink r:id="rId2457" ref="B883"/>
    <hyperlink r:id="rId2458" ref="T883"/>
    <hyperlink r:id="rId2459" ref="B884"/>
    <hyperlink r:id="rId2460" ref="T884"/>
    <hyperlink r:id="rId2461" ref="B885"/>
    <hyperlink r:id="rId2462" ref="T885"/>
    <hyperlink r:id="rId2463" ref="B886"/>
    <hyperlink r:id="rId2464" ref="T886"/>
    <hyperlink r:id="rId2465" ref="B887"/>
    <hyperlink r:id="rId2466" ref="T887"/>
    <hyperlink r:id="rId2467" ref="B888"/>
    <hyperlink r:id="rId2468" ref="T888"/>
    <hyperlink r:id="rId2469" ref="U888"/>
    <hyperlink r:id="rId2470" ref="B889"/>
    <hyperlink r:id="rId2471" ref="T889"/>
    <hyperlink r:id="rId2472" ref="U889"/>
    <hyperlink r:id="rId2473" ref="B890"/>
    <hyperlink r:id="rId2474" ref="T890"/>
    <hyperlink r:id="rId2475" ref="U890"/>
    <hyperlink r:id="rId2476" ref="B891"/>
    <hyperlink r:id="rId2477" ref="T891"/>
    <hyperlink r:id="rId2478" ref="U891"/>
    <hyperlink r:id="rId2479" ref="B892"/>
    <hyperlink r:id="rId2480" ref="T892"/>
    <hyperlink r:id="rId2481" ref="U892"/>
    <hyperlink r:id="rId2482" ref="B893"/>
    <hyperlink r:id="rId2483" ref="T893"/>
    <hyperlink r:id="rId2484" ref="U893"/>
    <hyperlink r:id="rId2485" ref="B894"/>
    <hyperlink r:id="rId2486" ref="T894"/>
    <hyperlink r:id="rId2487" ref="U894"/>
    <hyperlink r:id="rId2488" ref="B895"/>
    <hyperlink r:id="rId2489" ref="T895"/>
    <hyperlink r:id="rId2490" ref="U895"/>
    <hyperlink r:id="rId2491" ref="B896"/>
    <hyperlink r:id="rId2492" ref="T896"/>
    <hyperlink r:id="rId2493" ref="U896"/>
    <hyperlink r:id="rId2494" ref="B897"/>
    <hyperlink r:id="rId2495" ref="T897"/>
    <hyperlink r:id="rId2496" ref="U897"/>
    <hyperlink r:id="rId2497" ref="B898"/>
    <hyperlink r:id="rId2498" ref="T898"/>
    <hyperlink r:id="rId2499" ref="U898"/>
    <hyperlink r:id="rId2500" ref="B899"/>
    <hyperlink r:id="rId2501" ref="T899"/>
    <hyperlink r:id="rId2502" ref="U899"/>
    <hyperlink r:id="rId2503" ref="B900"/>
    <hyperlink r:id="rId2504" ref="T900"/>
    <hyperlink r:id="rId2505" ref="U900"/>
    <hyperlink r:id="rId2506" ref="B901"/>
    <hyperlink r:id="rId2507" ref="T901"/>
    <hyperlink r:id="rId2508" ref="B902"/>
    <hyperlink r:id="rId2509" ref="T902"/>
    <hyperlink r:id="rId2510" ref="U902"/>
    <hyperlink r:id="rId2511" ref="B903"/>
    <hyperlink r:id="rId2512" ref="T903"/>
    <hyperlink r:id="rId2513" ref="U903"/>
    <hyperlink r:id="rId2514" ref="B904"/>
    <hyperlink r:id="rId2515" ref="T904"/>
    <hyperlink r:id="rId2516" ref="U904"/>
    <hyperlink r:id="rId2517" ref="B905"/>
    <hyperlink r:id="rId2518" ref="T905"/>
    <hyperlink r:id="rId2519" ref="U905"/>
    <hyperlink r:id="rId2520" ref="B906"/>
    <hyperlink r:id="rId2521" ref="T906"/>
    <hyperlink r:id="rId2522" ref="U906"/>
    <hyperlink r:id="rId2523" ref="B907"/>
    <hyperlink r:id="rId2524" ref="T907"/>
    <hyperlink r:id="rId2525" ref="U907"/>
    <hyperlink r:id="rId2526" ref="B908"/>
    <hyperlink r:id="rId2527" ref="T908"/>
    <hyperlink r:id="rId2528" ref="U908"/>
    <hyperlink r:id="rId2529" ref="B909"/>
    <hyperlink r:id="rId2530" ref="T909"/>
    <hyperlink r:id="rId2531" ref="U909"/>
    <hyperlink r:id="rId2532" ref="B910"/>
    <hyperlink r:id="rId2533" ref="T910"/>
    <hyperlink r:id="rId2534" ref="U910"/>
    <hyperlink r:id="rId2535" ref="B911"/>
    <hyperlink r:id="rId2536" ref="T911"/>
    <hyperlink r:id="rId2537" ref="U911"/>
    <hyperlink r:id="rId2538" ref="B912"/>
    <hyperlink r:id="rId2539" ref="T912"/>
    <hyperlink r:id="rId2540" ref="U912"/>
    <hyperlink r:id="rId2541" ref="B913"/>
    <hyperlink r:id="rId2542" ref="T913"/>
    <hyperlink r:id="rId2543" ref="U913"/>
    <hyperlink r:id="rId2544" ref="B914"/>
    <hyperlink r:id="rId2545" ref="T914"/>
    <hyperlink r:id="rId2546" ref="U914"/>
    <hyperlink r:id="rId2547" ref="B915"/>
    <hyperlink r:id="rId2548" ref="T915"/>
    <hyperlink r:id="rId2549" ref="U915"/>
    <hyperlink r:id="rId2550" ref="B916"/>
    <hyperlink r:id="rId2551" ref="T916"/>
    <hyperlink r:id="rId2552" ref="U916"/>
    <hyperlink r:id="rId2553" ref="B917"/>
    <hyperlink r:id="rId2554" ref="T917"/>
    <hyperlink r:id="rId2555" ref="U917"/>
    <hyperlink r:id="rId2556" ref="B918"/>
    <hyperlink r:id="rId2557" ref="T918"/>
    <hyperlink r:id="rId2558" ref="U918"/>
    <hyperlink r:id="rId2559" ref="B919"/>
    <hyperlink r:id="rId2560" ref="T919"/>
    <hyperlink r:id="rId2561" ref="U919"/>
    <hyperlink r:id="rId2562" ref="B920"/>
    <hyperlink r:id="rId2563" ref="T920"/>
    <hyperlink r:id="rId2564" ref="U920"/>
    <hyperlink r:id="rId2565" ref="B921"/>
    <hyperlink r:id="rId2566" ref="T921"/>
    <hyperlink r:id="rId2567" ref="U921"/>
    <hyperlink r:id="rId2568" ref="B922"/>
    <hyperlink r:id="rId2569" ref="T922"/>
    <hyperlink r:id="rId2570" ref="U922"/>
    <hyperlink r:id="rId2571" ref="B923"/>
    <hyperlink r:id="rId2572" ref="T923"/>
    <hyperlink r:id="rId2573" ref="U923"/>
    <hyperlink r:id="rId2574" ref="B924"/>
    <hyperlink r:id="rId2575" ref="T924"/>
    <hyperlink r:id="rId2576" ref="U924"/>
    <hyperlink r:id="rId2577" ref="B925"/>
    <hyperlink r:id="rId2578" ref="T925"/>
    <hyperlink r:id="rId2579" ref="U925"/>
    <hyperlink r:id="rId2580" ref="B926"/>
    <hyperlink r:id="rId2581" ref="T926"/>
    <hyperlink r:id="rId2582" ref="U926"/>
    <hyperlink r:id="rId2583" ref="B927"/>
    <hyperlink r:id="rId2584" ref="T927"/>
    <hyperlink r:id="rId2585" ref="U927"/>
    <hyperlink r:id="rId2586" ref="B928"/>
    <hyperlink r:id="rId2587" ref="T928"/>
    <hyperlink r:id="rId2588" ref="U928"/>
    <hyperlink r:id="rId2589" ref="B929"/>
    <hyperlink r:id="rId2590" ref="T929"/>
    <hyperlink r:id="rId2591" ref="U929"/>
    <hyperlink r:id="rId2592" ref="B930"/>
    <hyperlink r:id="rId2593" ref="T930"/>
    <hyperlink r:id="rId2594" ref="U930"/>
    <hyperlink r:id="rId2595" ref="B931"/>
    <hyperlink r:id="rId2596" ref="T931"/>
    <hyperlink r:id="rId2597" ref="U931"/>
    <hyperlink r:id="rId2598" ref="B932"/>
    <hyperlink r:id="rId2599" ref="T932"/>
    <hyperlink r:id="rId2600" ref="U932"/>
    <hyperlink r:id="rId2601" ref="B933"/>
    <hyperlink r:id="rId2602" ref="T933"/>
    <hyperlink r:id="rId2603" ref="U933"/>
    <hyperlink r:id="rId2604" ref="B934"/>
    <hyperlink r:id="rId2605" ref="T934"/>
    <hyperlink r:id="rId2606" ref="U934"/>
    <hyperlink r:id="rId2607" ref="B935"/>
    <hyperlink r:id="rId2608" ref="T935"/>
    <hyperlink r:id="rId2609" ref="U935"/>
    <hyperlink r:id="rId2610" ref="B936"/>
    <hyperlink r:id="rId2611" ref="T936"/>
    <hyperlink r:id="rId2612" ref="U936"/>
    <hyperlink r:id="rId2613" ref="B937"/>
    <hyperlink r:id="rId2614" ref="T937"/>
    <hyperlink r:id="rId2615" ref="U937"/>
    <hyperlink r:id="rId2616" ref="B938"/>
    <hyperlink r:id="rId2617" ref="T938"/>
    <hyperlink r:id="rId2618" ref="U938"/>
    <hyperlink r:id="rId2619" ref="B939"/>
    <hyperlink r:id="rId2620" ref="T939"/>
    <hyperlink r:id="rId2621" ref="U939"/>
    <hyperlink r:id="rId2622" ref="B940"/>
    <hyperlink r:id="rId2623" ref="T940"/>
    <hyperlink r:id="rId2624" ref="U940"/>
    <hyperlink r:id="rId2625" ref="B941"/>
    <hyperlink r:id="rId2626" ref="T941"/>
    <hyperlink r:id="rId2627" ref="U941"/>
    <hyperlink r:id="rId2628" ref="B942"/>
    <hyperlink r:id="rId2629" ref="T942"/>
    <hyperlink r:id="rId2630" ref="U942"/>
    <hyperlink r:id="rId2631" ref="B943"/>
    <hyperlink r:id="rId2632" ref="T943"/>
    <hyperlink r:id="rId2633" ref="U943"/>
    <hyperlink r:id="rId2634" ref="B944"/>
    <hyperlink r:id="rId2635" ref="T944"/>
    <hyperlink r:id="rId2636" ref="U944"/>
    <hyperlink r:id="rId2637" ref="B945"/>
    <hyperlink r:id="rId2638" ref="T945"/>
    <hyperlink r:id="rId2639" ref="U945"/>
    <hyperlink r:id="rId2640" ref="B946"/>
    <hyperlink r:id="rId2641" ref="T946"/>
    <hyperlink r:id="rId2642" ref="U946"/>
    <hyperlink r:id="rId2643" ref="B947"/>
    <hyperlink r:id="rId2644" ref="T947"/>
    <hyperlink r:id="rId2645" ref="U947"/>
    <hyperlink r:id="rId2646" ref="B948"/>
    <hyperlink r:id="rId2647" ref="T948"/>
    <hyperlink r:id="rId2648" ref="U948"/>
    <hyperlink r:id="rId2649" ref="B949"/>
    <hyperlink r:id="rId2650" ref="T949"/>
    <hyperlink r:id="rId2651" ref="U949"/>
    <hyperlink r:id="rId2652" ref="B950"/>
    <hyperlink r:id="rId2653" ref="T950"/>
    <hyperlink r:id="rId2654" ref="U950"/>
    <hyperlink r:id="rId2655" ref="B951"/>
    <hyperlink r:id="rId2656" ref="T951"/>
    <hyperlink r:id="rId2657" ref="U951"/>
    <hyperlink r:id="rId2658" ref="B952"/>
    <hyperlink r:id="rId2659" ref="T952"/>
    <hyperlink r:id="rId2660" ref="U952"/>
    <hyperlink r:id="rId2661" ref="B953"/>
    <hyperlink r:id="rId2662" ref="T953"/>
    <hyperlink r:id="rId2663" ref="U953"/>
    <hyperlink r:id="rId2664" ref="B954"/>
    <hyperlink r:id="rId2665" ref="T954"/>
    <hyperlink r:id="rId2666" ref="U954"/>
    <hyperlink r:id="rId2667" ref="B955"/>
    <hyperlink r:id="rId2668" ref="T955"/>
    <hyperlink r:id="rId2669" ref="U955"/>
    <hyperlink r:id="rId2670" ref="B956"/>
    <hyperlink r:id="rId2671" ref="T956"/>
    <hyperlink r:id="rId2672" ref="U956"/>
    <hyperlink r:id="rId2673" ref="B957"/>
    <hyperlink r:id="rId2674" ref="T957"/>
    <hyperlink r:id="rId2675" ref="U957"/>
    <hyperlink r:id="rId2676" ref="B958"/>
    <hyperlink r:id="rId2677" ref="T958"/>
    <hyperlink r:id="rId2678" ref="U958"/>
    <hyperlink r:id="rId2679" ref="B959"/>
    <hyperlink r:id="rId2680" ref="T959"/>
    <hyperlink r:id="rId2681" ref="U959"/>
    <hyperlink r:id="rId2682" ref="B960"/>
    <hyperlink r:id="rId2683" ref="T960"/>
    <hyperlink r:id="rId2684" ref="U960"/>
    <hyperlink r:id="rId2685" ref="B961"/>
    <hyperlink r:id="rId2686" ref="T961"/>
    <hyperlink r:id="rId2687" ref="U961"/>
    <hyperlink r:id="rId2688" ref="B962"/>
    <hyperlink r:id="rId2689" ref="T962"/>
    <hyperlink r:id="rId2690" ref="U962"/>
    <hyperlink r:id="rId2691" ref="B963"/>
    <hyperlink r:id="rId2692" ref="T963"/>
    <hyperlink r:id="rId2693" ref="U963"/>
    <hyperlink r:id="rId2694" ref="B964"/>
    <hyperlink r:id="rId2695" ref="T964"/>
    <hyperlink r:id="rId2696" ref="U964"/>
    <hyperlink r:id="rId2697" ref="B965"/>
    <hyperlink r:id="rId2698" ref="T965"/>
    <hyperlink r:id="rId2699" ref="U965"/>
    <hyperlink r:id="rId2700" ref="B966"/>
    <hyperlink r:id="rId2701" ref="T966"/>
    <hyperlink r:id="rId2702" ref="U966"/>
    <hyperlink r:id="rId2703" ref="B967"/>
    <hyperlink r:id="rId2704" ref="T967"/>
    <hyperlink r:id="rId2705" ref="U967"/>
    <hyperlink r:id="rId2706" ref="B968"/>
    <hyperlink r:id="rId2707" ref="T968"/>
    <hyperlink r:id="rId2708" ref="U968"/>
    <hyperlink r:id="rId2709" ref="B969"/>
    <hyperlink r:id="rId2710" ref="T969"/>
    <hyperlink r:id="rId2711" ref="U969"/>
    <hyperlink r:id="rId2712" ref="B970"/>
    <hyperlink r:id="rId2713" ref="T970"/>
    <hyperlink r:id="rId2714" ref="B971"/>
    <hyperlink r:id="rId2715" ref="T971"/>
    <hyperlink r:id="rId2716" ref="B972"/>
    <hyperlink r:id="rId2717" ref="T972"/>
    <hyperlink r:id="rId2718" ref="B973"/>
    <hyperlink r:id="rId2719" ref="T973"/>
    <hyperlink r:id="rId2720" ref="B974"/>
    <hyperlink r:id="rId2721" ref="T974"/>
    <hyperlink r:id="rId2722" ref="B975"/>
    <hyperlink r:id="rId2723" ref="T975"/>
    <hyperlink r:id="rId2724" ref="U975"/>
    <hyperlink r:id="rId2725" ref="B976"/>
    <hyperlink r:id="rId2726" ref="T976"/>
    <hyperlink r:id="rId2727" ref="B977"/>
    <hyperlink r:id="rId2728" ref="T977"/>
    <hyperlink r:id="rId2729" ref="U977"/>
    <hyperlink r:id="rId2730" ref="B978"/>
    <hyperlink r:id="rId2731" ref="T978"/>
    <hyperlink r:id="rId2732" ref="B979"/>
    <hyperlink r:id="rId2733" ref="T979"/>
    <hyperlink r:id="rId2734" ref="U979"/>
    <hyperlink r:id="rId2735" ref="B980"/>
    <hyperlink r:id="rId2736" ref="T980"/>
    <hyperlink r:id="rId2737" ref="B981"/>
    <hyperlink r:id="rId2738" ref="T981"/>
    <hyperlink r:id="rId2739" ref="U981"/>
    <hyperlink r:id="rId2740" ref="B982"/>
    <hyperlink r:id="rId2741" ref="T982"/>
    <hyperlink r:id="rId2742" ref="B983"/>
    <hyperlink r:id="rId2743" ref="T983"/>
    <hyperlink r:id="rId2744" ref="U983"/>
    <hyperlink r:id="rId2745" ref="B984"/>
    <hyperlink r:id="rId2746" ref="T984"/>
    <hyperlink r:id="rId2747" ref="B985"/>
    <hyperlink r:id="rId2748" ref="T985"/>
    <hyperlink r:id="rId2749" ref="U985"/>
    <hyperlink r:id="rId2750" ref="B986"/>
    <hyperlink r:id="rId2751" ref="T986"/>
    <hyperlink r:id="rId2752" ref="B987"/>
    <hyperlink r:id="rId2753" ref="T987"/>
    <hyperlink r:id="rId2754" ref="U987"/>
    <hyperlink r:id="rId2755" ref="B988"/>
    <hyperlink r:id="rId2756" ref="T988"/>
    <hyperlink r:id="rId2757" ref="B989"/>
    <hyperlink r:id="rId2758" ref="T989"/>
    <hyperlink r:id="rId2759" ref="U989"/>
    <hyperlink r:id="rId2760" ref="B990"/>
    <hyperlink r:id="rId2761" ref="T990"/>
    <hyperlink r:id="rId2762" ref="U990"/>
    <hyperlink r:id="rId2763" ref="B991"/>
    <hyperlink r:id="rId2764" ref="T991"/>
    <hyperlink r:id="rId2765" ref="B992"/>
    <hyperlink r:id="rId2766" ref="T992"/>
    <hyperlink r:id="rId2767" ref="U992"/>
    <hyperlink r:id="rId2768" ref="B993"/>
    <hyperlink r:id="rId2769" ref="T993"/>
    <hyperlink r:id="rId2770" ref="U993"/>
    <hyperlink r:id="rId2771" ref="B994"/>
    <hyperlink r:id="rId2772" ref="T994"/>
    <hyperlink r:id="rId2773" ref="U994"/>
    <hyperlink r:id="rId2774" ref="B995"/>
    <hyperlink r:id="rId2775" ref="T995"/>
    <hyperlink r:id="rId2776" ref="U995"/>
    <hyperlink r:id="rId2777" ref="B996"/>
    <hyperlink r:id="rId2778" ref="T996"/>
    <hyperlink r:id="rId2779" ref="U996"/>
    <hyperlink r:id="rId2780" ref="B997"/>
    <hyperlink r:id="rId2781" ref="T997"/>
    <hyperlink r:id="rId2782" ref="U997"/>
    <hyperlink r:id="rId2783" ref="B998"/>
    <hyperlink r:id="rId2784" ref="T998"/>
    <hyperlink r:id="rId2785" ref="U998"/>
    <hyperlink r:id="rId2786" ref="B999"/>
    <hyperlink r:id="rId2787" ref="T999"/>
    <hyperlink r:id="rId2788" ref="U999"/>
    <hyperlink r:id="rId2789" ref="B1000"/>
    <hyperlink r:id="rId2790" ref="T1000"/>
    <hyperlink r:id="rId2791" ref="U1000"/>
    <hyperlink r:id="rId2792" ref="B1001"/>
    <hyperlink r:id="rId2793" ref="T1001"/>
    <hyperlink r:id="rId2794" ref="U1001"/>
    <hyperlink r:id="rId2795" ref="B1002"/>
    <hyperlink r:id="rId2796" ref="T1002"/>
    <hyperlink r:id="rId2797" ref="U1002"/>
    <hyperlink r:id="rId2798" ref="B1003"/>
    <hyperlink r:id="rId2799" ref="T1003"/>
    <hyperlink r:id="rId2800" ref="U1003"/>
    <hyperlink r:id="rId2801" ref="B1004"/>
    <hyperlink r:id="rId2802" ref="T1004"/>
    <hyperlink r:id="rId2803" ref="B1005"/>
    <hyperlink r:id="rId2804" ref="T1005"/>
    <hyperlink r:id="rId2805" ref="B1006"/>
    <hyperlink r:id="rId2806" ref="T1006"/>
    <hyperlink r:id="rId2807" ref="U1006"/>
    <hyperlink r:id="rId2808" ref="B1007"/>
    <hyperlink r:id="rId2809" ref="T1007"/>
    <hyperlink r:id="rId2810" ref="U1007"/>
    <hyperlink r:id="rId2811" ref="B1008"/>
    <hyperlink r:id="rId2812" ref="T1008"/>
    <hyperlink r:id="rId2813" ref="U1008"/>
    <hyperlink r:id="rId2814" ref="B1009"/>
    <hyperlink r:id="rId2815" ref="T1009"/>
    <hyperlink r:id="rId2816" ref="U1009"/>
    <hyperlink r:id="rId2817" ref="B1010"/>
    <hyperlink r:id="rId2818" ref="T1010"/>
    <hyperlink r:id="rId2819" ref="U1010"/>
    <hyperlink r:id="rId2820" ref="B1011"/>
    <hyperlink r:id="rId2821" ref="T1011"/>
    <hyperlink r:id="rId2822" ref="U1011"/>
    <hyperlink r:id="rId2823" ref="B1012"/>
    <hyperlink r:id="rId2824" ref="T1012"/>
    <hyperlink r:id="rId2825" ref="U1012"/>
    <hyperlink r:id="rId2826" ref="B1013"/>
    <hyperlink r:id="rId2827" ref="T1013"/>
    <hyperlink r:id="rId2828" ref="U1013"/>
    <hyperlink r:id="rId2829" ref="B1014"/>
    <hyperlink r:id="rId2830" ref="T1014"/>
    <hyperlink r:id="rId2831" ref="U1014"/>
    <hyperlink r:id="rId2832" ref="B1015"/>
    <hyperlink r:id="rId2833" ref="T1015"/>
    <hyperlink r:id="rId2834" ref="U1015"/>
    <hyperlink r:id="rId2835" ref="B1016"/>
    <hyperlink r:id="rId2836" ref="T1016"/>
    <hyperlink r:id="rId2837" ref="U1016"/>
    <hyperlink r:id="rId2838" ref="B1017"/>
    <hyperlink r:id="rId2839" ref="T1017"/>
    <hyperlink r:id="rId2840" ref="U1017"/>
    <hyperlink r:id="rId2841" ref="B1018"/>
    <hyperlink r:id="rId2842" ref="T1018"/>
    <hyperlink r:id="rId2843" ref="U1018"/>
    <hyperlink r:id="rId2844" ref="B1019"/>
    <hyperlink r:id="rId2845" ref="T1019"/>
    <hyperlink r:id="rId2846" ref="U1019"/>
    <hyperlink r:id="rId2847" ref="B1020"/>
    <hyperlink r:id="rId2848" ref="T1020"/>
    <hyperlink r:id="rId2849" ref="U1020"/>
    <hyperlink r:id="rId2850" ref="B1021"/>
    <hyperlink r:id="rId2851" ref="T1021"/>
    <hyperlink r:id="rId2852" ref="U1021"/>
    <hyperlink r:id="rId2853" ref="B1022"/>
    <hyperlink r:id="rId2854" ref="T1022"/>
    <hyperlink r:id="rId2855" ref="U1022"/>
    <hyperlink r:id="rId2856" ref="B1023"/>
    <hyperlink r:id="rId2857" ref="T1023"/>
    <hyperlink r:id="rId2858" ref="U1023"/>
    <hyperlink r:id="rId2859" ref="B1024"/>
    <hyperlink r:id="rId2860" ref="T1024"/>
    <hyperlink r:id="rId2861" ref="U1024"/>
    <hyperlink r:id="rId2862" ref="B1025"/>
    <hyperlink r:id="rId2863" ref="T1025"/>
    <hyperlink r:id="rId2864" ref="U1025"/>
    <hyperlink r:id="rId2865" ref="B1026"/>
    <hyperlink r:id="rId2866" ref="T1026"/>
    <hyperlink r:id="rId2867" ref="U1026"/>
    <hyperlink r:id="rId2868" ref="B1027"/>
    <hyperlink r:id="rId2869" ref="T1027"/>
    <hyperlink r:id="rId2870" ref="U1027"/>
    <hyperlink r:id="rId2871" ref="B1028"/>
    <hyperlink r:id="rId2872" ref="T1028"/>
    <hyperlink r:id="rId2873" ref="U1028"/>
    <hyperlink r:id="rId2874" ref="B1029"/>
    <hyperlink r:id="rId2875" ref="T1029"/>
    <hyperlink r:id="rId2876" ref="U1029"/>
    <hyperlink r:id="rId2877" ref="B1030"/>
    <hyperlink r:id="rId2878" ref="T1030"/>
    <hyperlink r:id="rId2879" ref="U1030"/>
    <hyperlink r:id="rId2880" ref="B1031"/>
    <hyperlink r:id="rId2881" ref="T1031"/>
    <hyperlink r:id="rId2882" ref="U1031"/>
    <hyperlink r:id="rId2883" ref="B1032"/>
    <hyperlink r:id="rId2884" ref="T1032"/>
    <hyperlink r:id="rId2885" ref="U1032"/>
    <hyperlink r:id="rId2886" ref="B1033"/>
    <hyperlink r:id="rId2887" ref="T1033"/>
    <hyperlink r:id="rId2888" ref="U1033"/>
    <hyperlink r:id="rId2889" ref="B1034"/>
    <hyperlink r:id="rId2890" ref="T1034"/>
    <hyperlink r:id="rId2891" ref="U1034"/>
    <hyperlink r:id="rId2892" ref="B1035"/>
    <hyperlink r:id="rId2893" ref="T1035"/>
    <hyperlink r:id="rId2894" ref="U1035"/>
    <hyperlink r:id="rId2895" ref="B1036"/>
    <hyperlink r:id="rId2896" ref="T1036"/>
    <hyperlink r:id="rId2897" ref="U1036"/>
    <hyperlink r:id="rId2898" ref="B1037"/>
    <hyperlink r:id="rId2899" ref="T1037"/>
    <hyperlink r:id="rId2900" ref="U1037"/>
    <hyperlink r:id="rId2901" ref="B1038"/>
    <hyperlink r:id="rId2902" ref="T1038"/>
    <hyperlink r:id="rId2903" ref="U1038"/>
    <hyperlink r:id="rId2904" ref="B1039"/>
    <hyperlink r:id="rId2905" ref="T1039"/>
    <hyperlink r:id="rId2906" ref="U1039"/>
    <hyperlink r:id="rId2907" ref="B1040"/>
    <hyperlink r:id="rId2908" ref="T1040"/>
    <hyperlink r:id="rId2909" ref="U1040"/>
    <hyperlink r:id="rId2910" ref="B1041"/>
    <hyperlink r:id="rId2911" ref="T1041"/>
    <hyperlink r:id="rId2912" ref="U1041"/>
    <hyperlink r:id="rId2913" ref="B1042"/>
    <hyperlink r:id="rId2914" ref="T1042"/>
    <hyperlink r:id="rId2915" ref="U1042"/>
    <hyperlink r:id="rId2916" ref="B1043"/>
    <hyperlink r:id="rId2917" ref="T1043"/>
    <hyperlink r:id="rId2918" ref="U1043"/>
    <hyperlink r:id="rId2919" ref="B1044"/>
    <hyperlink r:id="rId2920" ref="T1044"/>
    <hyperlink r:id="rId2921" ref="U1044"/>
    <hyperlink r:id="rId2922" ref="B1045"/>
    <hyperlink r:id="rId2923" ref="T1045"/>
    <hyperlink r:id="rId2924" ref="U1045"/>
    <hyperlink r:id="rId2925" ref="B1046"/>
    <hyperlink r:id="rId2926" ref="T1046"/>
    <hyperlink r:id="rId2927" ref="U1046"/>
    <hyperlink r:id="rId2928" ref="B1047"/>
    <hyperlink r:id="rId2929" ref="T1047"/>
    <hyperlink r:id="rId2930" ref="U1047"/>
    <hyperlink r:id="rId2931" ref="B1048"/>
    <hyperlink r:id="rId2932" ref="T1048"/>
    <hyperlink r:id="rId2933" ref="U1048"/>
    <hyperlink r:id="rId2934" ref="B1049"/>
    <hyperlink r:id="rId2935" ref="T1049"/>
    <hyperlink r:id="rId2936" ref="U1049"/>
    <hyperlink r:id="rId2937" ref="B1050"/>
    <hyperlink r:id="rId2938" ref="T1050"/>
    <hyperlink r:id="rId2939" ref="U1050"/>
    <hyperlink r:id="rId2940" ref="B1051"/>
    <hyperlink r:id="rId2941" ref="T1051"/>
    <hyperlink r:id="rId2942" ref="U1051"/>
    <hyperlink r:id="rId2943" ref="B1052"/>
    <hyperlink r:id="rId2944" ref="T1052"/>
    <hyperlink r:id="rId2945" ref="U1052"/>
    <hyperlink r:id="rId2946" ref="B1053"/>
    <hyperlink r:id="rId2947" ref="T1053"/>
    <hyperlink r:id="rId2948" ref="U1053"/>
    <hyperlink r:id="rId2949" ref="B1054"/>
    <hyperlink r:id="rId2950" ref="T1054"/>
    <hyperlink r:id="rId2951" ref="U1054"/>
    <hyperlink r:id="rId2952" ref="B1055"/>
    <hyperlink r:id="rId2953" ref="T1055"/>
    <hyperlink r:id="rId2954" ref="U1055"/>
    <hyperlink r:id="rId2955" ref="B1056"/>
    <hyperlink r:id="rId2956" ref="T1056"/>
    <hyperlink r:id="rId2957" ref="U1056"/>
    <hyperlink r:id="rId2958" ref="B1057"/>
    <hyperlink r:id="rId2959" ref="T1057"/>
    <hyperlink r:id="rId2960" ref="U1057"/>
    <hyperlink r:id="rId2961" ref="B1058"/>
    <hyperlink r:id="rId2962" ref="T1058"/>
    <hyperlink r:id="rId2963" ref="U1058"/>
    <hyperlink r:id="rId2964" ref="B1059"/>
    <hyperlink r:id="rId2965" ref="T1059"/>
    <hyperlink r:id="rId2966" ref="U1059"/>
    <hyperlink r:id="rId2967" ref="B1060"/>
    <hyperlink r:id="rId2968" ref="T1060"/>
    <hyperlink r:id="rId2969" ref="U1060"/>
    <hyperlink r:id="rId2970" ref="B1061"/>
    <hyperlink r:id="rId2971" ref="T1061"/>
    <hyperlink r:id="rId2972" ref="U1061"/>
    <hyperlink r:id="rId2973" ref="B1062"/>
    <hyperlink r:id="rId2974" ref="T1062"/>
    <hyperlink r:id="rId2975" ref="U1062"/>
    <hyperlink r:id="rId2976" ref="B1063"/>
    <hyperlink r:id="rId2977" ref="T1063"/>
    <hyperlink r:id="rId2978" ref="U1063"/>
    <hyperlink r:id="rId2979" ref="B1064"/>
    <hyperlink r:id="rId2980" ref="T1064"/>
    <hyperlink r:id="rId2981" ref="U1064"/>
    <hyperlink r:id="rId2982" ref="B1065"/>
    <hyperlink r:id="rId2983" ref="T1065"/>
    <hyperlink r:id="rId2984" ref="U1065"/>
    <hyperlink r:id="rId2985" ref="B1066"/>
    <hyperlink r:id="rId2986" ref="T1066"/>
    <hyperlink r:id="rId2987" ref="U1066"/>
    <hyperlink r:id="rId2988" ref="B1067"/>
    <hyperlink r:id="rId2989" ref="T1067"/>
    <hyperlink r:id="rId2990" ref="U1067"/>
    <hyperlink r:id="rId2991" ref="B1068"/>
    <hyperlink r:id="rId2992" ref="T1068"/>
    <hyperlink r:id="rId2993" ref="U1068"/>
    <hyperlink r:id="rId2994" ref="B1069"/>
    <hyperlink r:id="rId2995" ref="T1069"/>
    <hyperlink r:id="rId2996" ref="U1069"/>
    <hyperlink r:id="rId2997" ref="B1070"/>
    <hyperlink r:id="rId2998" ref="T1070"/>
    <hyperlink r:id="rId2999" ref="U1070"/>
    <hyperlink r:id="rId3000" ref="B1071"/>
    <hyperlink r:id="rId3001" ref="T1071"/>
    <hyperlink r:id="rId3002" ref="U1071"/>
    <hyperlink r:id="rId3003" ref="B1072"/>
    <hyperlink r:id="rId3004" ref="T1072"/>
    <hyperlink r:id="rId3005" ref="U1072"/>
    <hyperlink r:id="rId3006" ref="B1073"/>
    <hyperlink r:id="rId3007" ref="T1073"/>
    <hyperlink r:id="rId3008" ref="U1073"/>
    <hyperlink r:id="rId3009" ref="B1074"/>
    <hyperlink r:id="rId3010" ref="T1074"/>
    <hyperlink r:id="rId3011" ref="U1074"/>
    <hyperlink r:id="rId3012" ref="B1075"/>
    <hyperlink r:id="rId3013" ref="T1075"/>
    <hyperlink r:id="rId3014" ref="U1075"/>
    <hyperlink r:id="rId3015" ref="B1076"/>
    <hyperlink r:id="rId3016" ref="T1076"/>
    <hyperlink r:id="rId3017" ref="U1076"/>
    <hyperlink r:id="rId3018" ref="B1077"/>
    <hyperlink r:id="rId3019" ref="T1077"/>
    <hyperlink r:id="rId3020" ref="U1077"/>
    <hyperlink r:id="rId3021" ref="B1078"/>
    <hyperlink r:id="rId3022" ref="T1078"/>
    <hyperlink r:id="rId3023" ref="U1078"/>
    <hyperlink r:id="rId3024" ref="B1079"/>
    <hyperlink r:id="rId3025" ref="T1079"/>
    <hyperlink r:id="rId3026" ref="U1079"/>
    <hyperlink r:id="rId3027" ref="B1080"/>
    <hyperlink r:id="rId3028" ref="T1080"/>
    <hyperlink r:id="rId3029" ref="U1080"/>
    <hyperlink r:id="rId3030" ref="B1081"/>
    <hyperlink r:id="rId3031" ref="T1081"/>
    <hyperlink r:id="rId3032" ref="U1081"/>
    <hyperlink r:id="rId3033" ref="B1082"/>
    <hyperlink r:id="rId3034" ref="T1082"/>
    <hyperlink r:id="rId3035" ref="U1082"/>
    <hyperlink r:id="rId3036" ref="B1083"/>
    <hyperlink r:id="rId3037" ref="T1083"/>
    <hyperlink r:id="rId3038" ref="U1083"/>
    <hyperlink r:id="rId3039" ref="B1084"/>
    <hyperlink r:id="rId3040" ref="T1084"/>
    <hyperlink r:id="rId3041" ref="U1084"/>
    <hyperlink r:id="rId3042" ref="B1085"/>
    <hyperlink r:id="rId3043" ref="T1085"/>
    <hyperlink r:id="rId3044" ref="U1085"/>
    <hyperlink r:id="rId3045" ref="B1086"/>
    <hyperlink r:id="rId3046" ref="T1086"/>
    <hyperlink r:id="rId3047" ref="U1086"/>
    <hyperlink r:id="rId3048" ref="B1087"/>
    <hyperlink r:id="rId3049" ref="T1087"/>
    <hyperlink r:id="rId3050" ref="U1087"/>
    <hyperlink r:id="rId3051" ref="B1088"/>
    <hyperlink r:id="rId3052" ref="T1088"/>
    <hyperlink r:id="rId3053" ref="U1088"/>
    <hyperlink r:id="rId3054" ref="B1089"/>
    <hyperlink r:id="rId3055" ref="T1089"/>
    <hyperlink r:id="rId3056" ref="U1089"/>
    <hyperlink r:id="rId3057" ref="B1090"/>
    <hyperlink r:id="rId3058" ref="T1090"/>
    <hyperlink r:id="rId3059" ref="U1090"/>
    <hyperlink r:id="rId3060" ref="B1091"/>
    <hyperlink r:id="rId3061" ref="T1091"/>
    <hyperlink r:id="rId3062" ref="U1091"/>
    <hyperlink r:id="rId3063" ref="B1092"/>
    <hyperlink r:id="rId3064" ref="T1092"/>
    <hyperlink r:id="rId3065" ref="B1093"/>
    <hyperlink r:id="rId3066" ref="T1093"/>
    <hyperlink r:id="rId3067" ref="U1093"/>
    <hyperlink r:id="rId3068" ref="B1094"/>
    <hyperlink r:id="rId3069" ref="T1094"/>
    <hyperlink r:id="rId3070" ref="U1094"/>
    <hyperlink r:id="rId3071" ref="B1095"/>
    <hyperlink r:id="rId3072" ref="T1095"/>
    <hyperlink r:id="rId3073" ref="U1095"/>
    <hyperlink r:id="rId3074" ref="B1096"/>
    <hyperlink r:id="rId3075" ref="T1096"/>
    <hyperlink r:id="rId3076" ref="U1096"/>
    <hyperlink r:id="rId3077" ref="B1097"/>
    <hyperlink r:id="rId3078" ref="T1097"/>
    <hyperlink r:id="rId3079" ref="U1097"/>
    <hyperlink r:id="rId3080" ref="B1098"/>
    <hyperlink r:id="rId3081" ref="T1098"/>
    <hyperlink r:id="rId3082" ref="U1098"/>
    <hyperlink r:id="rId3083" ref="B1099"/>
    <hyperlink r:id="rId3084" ref="T1099"/>
    <hyperlink r:id="rId3085" ref="U1099"/>
    <hyperlink r:id="rId3086" ref="B1100"/>
    <hyperlink r:id="rId3087" ref="T1100"/>
    <hyperlink r:id="rId3088" ref="U1100"/>
    <hyperlink r:id="rId3089" ref="B1101"/>
    <hyperlink r:id="rId3090" ref="T1101"/>
    <hyperlink r:id="rId3091" ref="U1101"/>
    <hyperlink r:id="rId3092" ref="B1102"/>
    <hyperlink r:id="rId3093" ref="T1102"/>
    <hyperlink r:id="rId3094" ref="U1102"/>
    <hyperlink r:id="rId3095" ref="B1103"/>
    <hyperlink r:id="rId3096" ref="T1103"/>
    <hyperlink r:id="rId3097" ref="U1103"/>
    <hyperlink r:id="rId3098" ref="B1104"/>
    <hyperlink r:id="rId3099" ref="T1104"/>
    <hyperlink r:id="rId3100" ref="U1104"/>
    <hyperlink r:id="rId3101" ref="B1105"/>
    <hyperlink r:id="rId3102" ref="T1105"/>
    <hyperlink r:id="rId3103" ref="U1105"/>
    <hyperlink r:id="rId3104" ref="B1106"/>
    <hyperlink r:id="rId3105" ref="T1106"/>
    <hyperlink r:id="rId3106" ref="U1106"/>
    <hyperlink r:id="rId3107" ref="B1107"/>
    <hyperlink r:id="rId3108" ref="T1107"/>
    <hyperlink r:id="rId3109" ref="U1107"/>
    <hyperlink r:id="rId3110" ref="B1108"/>
    <hyperlink r:id="rId3111" ref="T1108"/>
    <hyperlink r:id="rId3112" ref="U1108"/>
    <hyperlink r:id="rId3113" ref="B1109"/>
    <hyperlink r:id="rId3114" ref="T1109"/>
    <hyperlink r:id="rId3115" ref="U1109"/>
    <hyperlink r:id="rId3116" ref="B1110"/>
    <hyperlink r:id="rId3117" ref="T1110"/>
    <hyperlink r:id="rId3118" ref="U1110"/>
    <hyperlink r:id="rId3119" ref="B1111"/>
    <hyperlink r:id="rId3120" ref="T1111"/>
    <hyperlink r:id="rId3121" ref="U1111"/>
    <hyperlink r:id="rId3122" ref="B1112"/>
    <hyperlink r:id="rId3123" ref="T1112"/>
    <hyperlink r:id="rId3124" ref="U1112"/>
    <hyperlink r:id="rId3125" ref="B1113"/>
    <hyperlink r:id="rId3126" ref="T1113"/>
    <hyperlink r:id="rId3127" ref="U1113"/>
    <hyperlink r:id="rId3128" ref="B1114"/>
    <hyperlink r:id="rId3129" ref="T1114"/>
    <hyperlink r:id="rId3130" ref="U1114"/>
    <hyperlink r:id="rId3131" ref="B1115"/>
    <hyperlink r:id="rId3132" ref="T1115"/>
    <hyperlink r:id="rId3133" ref="U1115"/>
    <hyperlink r:id="rId3134" ref="B1116"/>
    <hyperlink r:id="rId3135" ref="T1116"/>
    <hyperlink r:id="rId3136" ref="U1116"/>
    <hyperlink r:id="rId3137" ref="B1117"/>
    <hyperlink r:id="rId3138" ref="T1117"/>
    <hyperlink r:id="rId3139" ref="U1117"/>
    <hyperlink r:id="rId3140" ref="B1118"/>
    <hyperlink r:id="rId3141" ref="T1118"/>
    <hyperlink r:id="rId3142" ref="U1118"/>
    <hyperlink r:id="rId3143" ref="B1119"/>
    <hyperlink r:id="rId3144" ref="T1119"/>
    <hyperlink r:id="rId3145" ref="U1119"/>
    <hyperlink r:id="rId3146" ref="B1120"/>
    <hyperlink r:id="rId3147" ref="T1120"/>
    <hyperlink r:id="rId3148" ref="U1120"/>
    <hyperlink r:id="rId3149" ref="B1121"/>
    <hyperlink r:id="rId3150" ref="T1121"/>
    <hyperlink r:id="rId3151" ref="U1121"/>
    <hyperlink r:id="rId3152" ref="B1122"/>
    <hyperlink r:id="rId3153" ref="T1122"/>
    <hyperlink r:id="rId3154" ref="U1122"/>
    <hyperlink r:id="rId3155" ref="B1123"/>
    <hyperlink r:id="rId3156" ref="T1123"/>
    <hyperlink r:id="rId3157" ref="U1123"/>
    <hyperlink r:id="rId3158" ref="B1124"/>
    <hyperlink r:id="rId3159" ref="T1124"/>
    <hyperlink r:id="rId3160" ref="U1124"/>
    <hyperlink r:id="rId3161" ref="B1125"/>
    <hyperlink r:id="rId3162" ref="T1125"/>
    <hyperlink r:id="rId3163" ref="U1125"/>
    <hyperlink r:id="rId3164" ref="B1126"/>
    <hyperlink r:id="rId3165" ref="T1126"/>
    <hyperlink r:id="rId3166" ref="U1126"/>
    <hyperlink r:id="rId3167" ref="B1127"/>
    <hyperlink r:id="rId3168" ref="T1127"/>
    <hyperlink r:id="rId3169" ref="U1127"/>
    <hyperlink r:id="rId3170" ref="B1128"/>
    <hyperlink r:id="rId3171" ref="T1128"/>
    <hyperlink r:id="rId3172" ref="U1128"/>
    <hyperlink r:id="rId3173" ref="B1129"/>
    <hyperlink r:id="rId3174" ref="T1129"/>
    <hyperlink r:id="rId3175" ref="U1129"/>
    <hyperlink r:id="rId3176" ref="B1130"/>
    <hyperlink r:id="rId3177" ref="T1130"/>
    <hyperlink r:id="rId3178" ref="U1130"/>
    <hyperlink r:id="rId3179" ref="B1131"/>
    <hyperlink r:id="rId3180" ref="T1131"/>
    <hyperlink r:id="rId3181" ref="U1131"/>
    <hyperlink r:id="rId3182" ref="B1132"/>
    <hyperlink r:id="rId3183" ref="T1132"/>
    <hyperlink r:id="rId3184" ref="U1132"/>
    <hyperlink r:id="rId3185" ref="B1133"/>
    <hyperlink r:id="rId3186" ref="T1133"/>
    <hyperlink r:id="rId3187" ref="U1133"/>
    <hyperlink r:id="rId3188" ref="B1134"/>
    <hyperlink r:id="rId3189" ref="T1134"/>
    <hyperlink r:id="rId3190" ref="U1134"/>
    <hyperlink r:id="rId3191" ref="B1135"/>
    <hyperlink r:id="rId3192" ref="T1135"/>
    <hyperlink r:id="rId3193" ref="U1135"/>
    <hyperlink r:id="rId3194" ref="B1136"/>
    <hyperlink r:id="rId3195" ref="T1136"/>
    <hyperlink r:id="rId3196" ref="U1136"/>
    <hyperlink r:id="rId3197" ref="B1137"/>
    <hyperlink r:id="rId3198" ref="T1137"/>
    <hyperlink r:id="rId3199" ref="U1137"/>
    <hyperlink r:id="rId3200" ref="B1138"/>
    <hyperlink r:id="rId3201" ref="T1138"/>
    <hyperlink r:id="rId3202" ref="U1138"/>
    <hyperlink r:id="rId3203" ref="B1139"/>
    <hyperlink r:id="rId3204" ref="T1139"/>
    <hyperlink r:id="rId3205" ref="U1139"/>
    <hyperlink r:id="rId3206" ref="B1140"/>
    <hyperlink r:id="rId3207" ref="T1140"/>
    <hyperlink r:id="rId3208" ref="U1140"/>
    <hyperlink r:id="rId3209" ref="B1141"/>
    <hyperlink r:id="rId3210" ref="T1141"/>
    <hyperlink r:id="rId3211" ref="U1141"/>
    <hyperlink r:id="rId3212" ref="B1142"/>
    <hyperlink r:id="rId3213" ref="T1142"/>
    <hyperlink r:id="rId3214" ref="U1142"/>
    <hyperlink r:id="rId3215" ref="B1143"/>
    <hyperlink r:id="rId3216" ref="T1143"/>
    <hyperlink r:id="rId3217" ref="U1143"/>
    <hyperlink r:id="rId3218" ref="B1144"/>
    <hyperlink r:id="rId3219" ref="T1144"/>
    <hyperlink r:id="rId3220" ref="U1144"/>
    <hyperlink r:id="rId3221" ref="B1145"/>
    <hyperlink r:id="rId3222" ref="T1145"/>
    <hyperlink r:id="rId3223" ref="U1145"/>
    <hyperlink r:id="rId3224" ref="B1146"/>
    <hyperlink r:id="rId3225" ref="T1146"/>
    <hyperlink r:id="rId3226" ref="U1146"/>
    <hyperlink r:id="rId3227" ref="B1147"/>
    <hyperlink r:id="rId3228" ref="T1147"/>
    <hyperlink r:id="rId3229" ref="U1147"/>
    <hyperlink r:id="rId3230" ref="B1148"/>
    <hyperlink r:id="rId3231" ref="T1148"/>
    <hyperlink r:id="rId3232" ref="U1148"/>
    <hyperlink r:id="rId3233" ref="B1149"/>
    <hyperlink r:id="rId3234" ref="T1149"/>
    <hyperlink r:id="rId3235" ref="U1149"/>
    <hyperlink r:id="rId3236" ref="B1150"/>
    <hyperlink r:id="rId3237" ref="T1150"/>
    <hyperlink r:id="rId3238" ref="U1150"/>
    <hyperlink r:id="rId3239" ref="B1151"/>
    <hyperlink r:id="rId3240" ref="T1151"/>
    <hyperlink r:id="rId3241" ref="U1151"/>
    <hyperlink r:id="rId3242" ref="B1152"/>
    <hyperlink r:id="rId3243" ref="T1152"/>
    <hyperlink r:id="rId3244" ref="U1152"/>
    <hyperlink r:id="rId3245" ref="B1153"/>
    <hyperlink r:id="rId3246" ref="T1153"/>
    <hyperlink r:id="rId3247" ref="U1153"/>
    <hyperlink r:id="rId3248" ref="B1154"/>
    <hyperlink r:id="rId3249" ref="T1154"/>
    <hyperlink r:id="rId3250" ref="U1154"/>
    <hyperlink r:id="rId3251" ref="B1155"/>
    <hyperlink r:id="rId3252" ref="T1155"/>
    <hyperlink r:id="rId3253" ref="U1155"/>
    <hyperlink r:id="rId3254" ref="B1156"/>
    <hyperlink r:id="rId3255" ref="T1156"/>
    <hyperlink r:id="rId3256" ref="U1156"/>
    <hyperlink r:id="rId3257" ref="B1157"/>
    <hyperlink r:id="rId3258" ref="T1157"/>
    <hyperlink r:id="rId3259" ref="U1157"/>
    <hyperlink r:id="rId3260" ref="B1158"/>
    <hyperlink r:id="rId3261" ref="T1158"/>
    <hyperlink r:id="rId3262" ref="U1158"/>
    <hyperlink r:id="rId3263" ref="B1159"/>
    <hyperlink r:id="rId3264" ref="T1159"/>
    <hyperlink r:id="rId3265" ref="U1159"/>
    <hyperlink r:id="rId3266" ref="B1160"/>
    <hyperlink r:id="rId3267" ref="T1160"/>
    <hyperlink r:id="rId3268" ref="U1160"/>
    <hyperlink r:id="rId3269" ref="B1161"/>
    <hyperlink r:id="rId3270" ref="T1161"/>
    <hyperlink r:id="rId3271" ref="U1161"/>
    <hyperlink r:id="rId3272" ref="B1162"/>
    <hyperlink r:id="rId3273" ref="T1162"/>
    <hyperlink r:id="rId3274" ref="U1162"/>
    <hyperlink r:id="rId3275" ref="B1163"/>
    <hyperlink r:id="rId3276" ref="T1163"/>
    <hyperlink r:id="rId3277" ref="U1163"/>
    <hyperlink r:id="rId3278" ref="B1164"/>
    <hyperlink r:id="rId3279" ref="T1164"/>
    <hyperlink r:id="rId3280" ref="B1165"/>
    <hyperlink r:id="rId3281" ref="T1165"/>
    <hyperlink r:id="rId3282" ref="U1165"/>
    <hyperlink r:id="rId3283" ref="B1166"/>
    <hyperlink r:id="rId3284" ref="T1166"/>
    <hyperlink r:id="rId3285" ref="U1166"/>
    <hyperlink r:id="rId3286" ref="B1167"/>
    <hyperlink r:id="rId3287" ref="T1167"/>
    <hyperlink r:id="rId3288" ref="B1168"/>
    <hyperlink r:id="rId3289" ref="T1168"/>
    <hyperlink r:id="rId3290" ref="U1168"/>
    <hyperlink r:id="rId3291" ref="B1169"/>
    <hyperlink r:id="rId3292" ref="T1169"/>
    <hyperlink r:id="rId3293" ref="U1169"/>
    <hyperlink r:id="rId3294" ref="B1170"/>
    <hyperlink r:id="rId3295" ref="T1170"/>
    <hyperlink r:id="rId3296" ref="U1170"/>
    <hyperlink r:id="rId3297" ref="B1171"/>
    <hyperlink r:id="rId3298" ref="T1171"/>
    <hyperlink r:id="rId3299" ref="U1171"/>
    <hyperlink r:id="rId3300" ref="B1172"/>
    <hyperlink r:id="rId3301" ref="T1172"/>
    <hyperlink r:id="rId3302" ref="B1173"/>
    <hyperlink r:id="rId3303" ref="T1173"/>
    <hyperlink r:id="rId3304" ref="B1174"/>
    <hyperlink r:id="rId3305" ref="T1174"/>
    <hyperlink r:id="rId3306" ref="B1175"/>
    <hyperlink r:id="rId3307" ref="T1175"/>
  </hyperlinks>
  <drawing r:id="rId330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2.63"/>
    <col customWidth="1" min="2" max="2" width="37.5"/>
    <col customWidth="1" min="5" max="5" width="13.88"/>
    <col customWidth="1" min="9" max="9" width="31.88"/>
    <col customWidth="1" min="17" max="17" width="34.5"/>
    <col customWidth="1" min="18" max="18" width="26.0"/>
    <col customWidth="1" min="20" max="20" width="25.63"/>
  </cols>
  <sheetData>
    <row r="1" hidden="1">
      <c r="A1" s="1"/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/>
      <c r="H1" s="5" t="s">
        <v>6</v>
      </c>
      <c r="I1" s="5" t="s">
        <v>7</v>
      </c>
      <c r="J1" s="5" t="s">
        <v>9</v>
      </c>
      <c r="K1" s="5"/>
      <c r="L1" s="7"/>
      <c r="M1" s="7"/>
      <c r="N1" s="7"/>
      <c r="O1" s="7"/>
      <c r="P1" s="7"/>
      <c r="Q1" s="7"/>
      <c r="R1" s="7"/>
      <c r="S1" s="7"/>
      <c r="T1" s="7"/>
      <c r="U1" s="97"/>
    </row>
    <row r="2" hidden="1">
      <c r="A2" s="1"/>
      <c r="B2" s="10" t="s">
        <v>12</v>
      </c>
      <c r="C2" s="10" t="s">
        <v>8</v>
      </c>
      <c r="D2" s="10" t="s">
        <v>10</v>
      </c>
      <c r="E2" s="10" t="s">
        <v>16</v>
      </c>
      <c r="F2" s="10" t="s">
        <v>17</v>
      </c>
      <c r="G2" s="10"/>
      <c r="H2" s="11" t="s">
        <v>15</v>
      </c>
      <c r="I2" s="10" t="s">
        <v>22</v>
      </c>
      <c r="J2" s="10" t="s">
        <v>1</v>
      </c>
      <c r="K2" s="10"/>
      <c r="L2" s="10" t="s">
        <v>2</v>
      </c>
      <c r="M2" s="10" t="s">
        <v>24</v>
      </c>
      <c r="N2" s="10" t="s">
        <v>4</v>
      </c>
      <c r="O2" s="12" t="s">
        <v>23</v>
      </c>
      <c r="P2" s="10" t="s">
        <v>5</v>
      </c>
      <c r="Q2" s="13" t="s">
        <v>29</v>
      </c>
      <c r="R2" s="13" t="s">
        <v>31</v>
      </c>
      <c r="S2" s="13" t="s">
        <v>15</v>
      </c>
      <c r="T2" s="14" t="s">
        <v>32</v>
      </c>
      <c r="U2" s="98"/>
    </row>
    <row r="3" hidden="1">
      <c r="A3" s="1"/>
      <c r="B3" s="16">
        <v>221118.0</v>
      </c>
      <c r="C3" s="20" t="s">
        <v>35</v>
      </c>
      <c r="D3" s="22"/>
      <c r="E3" s="22" t="s">
        <v>37</v>
      </c>
      <c r="F3" s="22" t="s">
        <v>39</v>
      </c>
      <c r="G3" s="22"/>
      <c r="H3" s="24" t="s">
        <v>40</v>
      </c>
      <c r="I3" s="22" t="s">
        <v>41</v>
      </c>
      <c r="J3" s="22" t="s">
        <v>42</v>
      </c>
      <c r="K3" s="22"/>
      <c r="L3" s="22" t="s">
        <v>43</v>
      </c>
      <c r="M3" s="22" t="s">
        <v>45</v>
      </c>
      <c r="N3" s="22" t="s">
        <v>46</v>
      </c>
      <c r="O3" s="22"/>
      <c r="P3" s="22" t="s">
        <v>47</v>
      </c>
      <c r="Q3" s="24" t="str">
        <f>J3</f>
        <v>Facebook</v>
      </c>
      <c r="R3" s="26" t="str">
        <f>L3</f>
        <v>FA</v>
      </c>
      <c r="S3" s="28" t="str">
        <f>CONCATENATE(E3,"_",N3,"_",L3,"_",M3,"_",B3,"_",P3)</f>
        <v>Rongfly_HN_FA_TAH_221118_Badt</v>
      </c>
      <c r="T3" s="28" t="str">
        <f>CONCATENATE(F3,"_",E3,B3,"_",P3)</f>
        <v>sinhvien1823_Rongfly221118_Badt</v>
      </c>
      <c r="U3" s="99"/>
    </row>
    <row r="4" hidden="1">
      <c r="A4" s="1"/>
      <c r="B4" s="7"/>
      <c r="C4" s="7"/>
      <c r="D4" s="17"/>
      <c r="E4" s="32" t="s">
        <v>48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97"/>
    </row>
    <row r="5" hidden="1">
      <c r="A5" s="1"/>
      <c r="B5" s="7"/>
      <c r="C5" s="7"/>
      <c r="D5" s="35"/>
      <c r="E5" s="32" t="s">
        <v>49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97"/>
    </row>
    <row r="6" hidden="1">
      <c r="A6" s="1"/>
      <c r="B6" s="7"/>
      <c r="C6" s="7"/>
      <c r="D6" s="36"/>
      <c r="E6" s="37" t="s">
        <v>50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97"/>
    </row>
    <row r="7">
      <c r="A7" s="6"/>
      <c r="B7" s="6" t="s">
        <v>8</v>
      </c>
      <c r="C7" s="39" t="s">
        <v>10</v>
      </c>
      <c r="D7" s="6" t="s">
        <v>1</v>
      </c>
      <c r="E7" s="6" t="s">
        <v>2</v>
      </c>
      <c r="F7" s="6" t="s">
        <v>4</v>
      </c>
      <c r="G7" s="9" t="s">
        <v>11</v>
      </c>
      <c r="H7" s="6" t="s">
        <v>13</v>
      </c>
      <c r="I7" s="6" t="s">
        <v>14</v>
      </c>
      <c r="J7" s="39" t="s">
        <v>15</v>
      </c>
      <c r="K7" s="42" t="s">
        <v>18</v>
      </c>
      <c r="L7" s="39" t="s">
        <v>19</v>
      </c>
      <c r="M7" s="39" t="s">
        <v>20</v>
      </c>
      <c r="N7" s="39" t="s">
        <v>21</v>
      </c>
      <c r="O7" s="42" t="s">
        <v>23</v>
      </c>
      <c r="P7" s="39" t="s">
        <v>25</v>
      </c>
      <c r="Q7" s="6" t="s">
        <v>26</v>
      </c>
      <c r="R7" s="6" t="s">
        <v>27</v>
      </c>
      <c r="S7" s="6" t="s">
        <v>54</v>
      </c>
      <c r="T7" s="39" t="s">
        <v>30</v>
      </c>
      <c r="U7" s="100" t="s">
        <v>1125</v>
      </c>
    </row>
    <row r="8">
      <c r="A8" s="45" t="s">
        <v>33</v>
      </c>
      <c r="B8" s="17" t="s">
        <v>34</v>
      </c>
      <c r="C8" s="46" t="s">
        <v>55</v>
      </c>
      <c r="D8" s="19" t="s">
        <v>36</v>
      </c>
      <c r="E8" s="21" t="s">
        <v>36</v>
      </c>
      <c r="F8" s="19" t="s">
        <v>36</v>
      </c>
      <c r="G8" s="47"/>
      <c r="H8" s="19" t="s">
        <v>36</v>
      </c>
      <c r="I8" s="25" t="s">
        <v>1126</v>
      </c>
      <c r="J8" s="25" t="s">
        <v>44</v>
      </c>
      <c r="K8" s="23" t="s">
        <v>38</v>
      </c>
      <c r="L8" s="19" t="s">
        <v>36</v>
      </c>
      <c r="M8" s="19" t="s">
        <v>36</v>
      </c>
      <c r="N8" s="19" t="s">
        <v>36</v>
      </c>
      <c r="O8" s="19" t="s">
        <v>36</v>
      </c>
      <c r="P8" s="19" t="s">
        <v>36</v>
      </c>
      <c r="Q8" s="47" t="s">
        <v>62</v>
      </c>
      <c r="R8" s="47" t="s">
        <v>63</v>
      </c>
      <c r="S8" s="48" t="s">
        <v>64</v>
      </c>
      <c r="T8" s="49" t="s">
        <v>67</v>
      </c>
      <c r="U8" s="101"/>
    </row>
    <row r="9">
      <c r="A9" s="50">
        <v>44183.0</v>
      </c>
      <c r="B9" s="43" t="s">
        <v>73</v>
      </c>
      <c r="C9" s="58" t="str">
        <f>IFERROR(__xludf.DUMMYFUNCTION("FILTER(VLOOKUP(B9:B226,Data!A:B,2,FALSE),B9:B226&lt;&gt;"""")"),"LD012")</f>
        <v>LD012</v>
      </c>
      <c r="D9" s="44" t="s">
        <v>42</v>
      </c>
      <c r="E9" s="44" t="s">
        <v>53</v>
      </c>
      <c r="F9" s="44" t="s">
        <v>60</v>
      </c>
      <c r="G9" s="44" t="s">
        <v>61</v>
      </c>
      <c r="H9" s="44" t="s">
        <v>1131</v>
      </c>
      <c r="I9" s="44" t="s">
        <v>1132</v>
      </c>
      <c r="J9" s="44" t="s">
        <v>88</v>
      </c>
      <c r="K9" s="44" t="s">
        <v>61</v>
      </c>
      <c r="L9" s="44">
        <v>95360.0</v>
      </c>
      <c r="M9" s="44" t="s">
        <v>116</v>
      </c>
      <c r="N9" s="44" t="s">
        <v>70</v>
      </c>
      <c r="O9" s="44" t="s">
        <v>70</v>
      </c>
      <c r="P9" s="44" t="s">
        <v>70</v>
      </c>
      <c r="Q9" s="58" t="str">
        <f>IFERROR(__xludf.DUMMYFUNCTION("FILTER(IF( A9:A226&lt;&gt;"""",IF(H9:H226&lt;&gt;"""",IF(I9:I226&lt;&gt;"""",IF(L9:L226&lt;&gt;"""",IF(N9:N226&lt;&gt;"""",I9:I226&amp;""_""&amp;L9:L226&amp;""_""&amp;N9:N226&amp;""_""&amp;H9:H226&amp;""_""&amp;TRIM(A9:A226),""!!!""),""!!!""),""!!!""),""!!!""),""!!!""),B9:B226&lt;&gt;"""")"),"Blog_95360_NON_HuyLG_181220")</f>
        <v>Blog_95360_NON_HuyLG_181220</v>
      </c>
      <c r="R9" s="58" t="str">
        <f>IFERROR(__xludf.DUMMYFUNCTION("FILTER(IF( A9:A226&lt;&gt;"""",IF(P9:P226&lt;&gt;"""",IF(F9:F226&lt;&gt;"""",IF(G9:G226&lt;&gt;"""",IF(K9:K226&lt;&gt;"""",P9:P226&amp;""_""&amp;F9:F226&amp;""_""&amp;G9:G226&amp;""_""&amp;K9:K226&amp;""_""&amp;TRIM(A9:A226),""!!!""),""!!!""),""!!!""),""!!!""),""!!!""),B9:B226&lt;&gt;"""")"),"NON_NONE_none_none_181220")</f>
        <v>NON_NONE_none_none_181220</v>
      </c>
      <c r="S9" s="58" t="str">
        <f>IFERROR(__xludf.DUMMYFUNCTION("FILTER(IF( M9:M226&lt;&gt;"""",IF(J9:J226&lt;&gt;"""",IF(O9:O226&lt;&gt;"""",IF(C9:C226&lt;&gt;"""",M9:M226&amp;""_""&amp;J9:J226&amp;""_""&amp;O9:O226&amp;""_""&amp;C9:C226,""!!!""),""!!!""),""!!!""),""!!!""),B9:B226&lt;&gt;"""")"),"khac_Content2_NON_LD012")</f>
        <v>khac_Content2_NON_LD012</v>
      </c>
      <c r="T9" s="103" t="str">
        <f>IFERROR(__xludf.DUMMYFUNCTION("FILTER(B9:B226&amp;if(right(B9:B226,1)=""/"",""?"",""/?"")&amp;""utm_source=""&amp;D9:D226&amp;""&amp;utm_medium=""&amp;E9:E226&amp;""&amp;utm_term=""&amp;R9:R226&amp;""&amp;utm_content=""&amp;S9:S226&amp;""&amp;utm_campaign=""&amp;Q9:Q226,B9:B226&lt;&gt;"""")"),"https://patadovietnam.edu.vn/blog/?utm_source=Facebook&amp;utm_medium=SEE&amp;utm_term=NON_NONE_none_none_181220&amp;utm_content=khac_Content2_NON_LD012&amp;utm_campaign=Blog_95360_NON_HuyLG_181220")</f>
        <v>https://patadovietnam.edu.vn/blog/?utm_source=Facebook&amp;utm_medium=SEE&amp;utm_term=NON_NONE_none_none_181220&amp;utm_content=khac_Content2_NON_LD012&amp;utm_campaign=Blog_95360_NON_HuyLG_181220</v>
      </c>
      <c r="U9" s="97"/>
    </row>
    <row r="10">
      <c r="A10" s="72">
        <v>45027.0</v>
      </c>
      <c r="B10" s="60" t="s">
        <v>1134</v>
      </c>
      <c r="C10" s="67" t="str">
        <f>IFERROR(__xludf.DUMMYFUNCTION("""COMPUTED_VALUE"""),"LD153")</f>
        <v>LD153</v>
      </c>
      <c r="D10" s="55" t="s">
        <v>42</v>
      </c>
      <c r="E10" s="55" t="s">
        <v>79</v>
      </c>
      <c r="F10" s="55" t="s">
        <v>199</v>
      </c>
      <c r="G10" s="55">
        <v>2040.0</v>
      </c>
      <c r="H10" s="55" t="s">
        <v>1137</v>
      </c>
      <c r="I10" s="55" t="s">
        <v>1138</v>
      </c>
      <c r="J10" s="55" t="s">
        <v>1139</v>
      </c>
      <c r="K10" s="55" t="s">
        <v>61</v>
      </c>
      <c r="L10" s="55">
        <v>95360.0</v>
      </c>
      <c r="M10" s="55" t="s">
        <v>78</v>
      </c>
      <c r="N10" s="55" t="s">
        <v>79</v>
      </c>
      <c r="O10" s="55" t="s">
        <v>224</v>
      </c>
      <c r="P10" s="55" t="s">
        <v>110</v>
      </c>
      <c r="Q10" s="67" t="str">
        <f>IFERROR(__xludf.DUMMYFUNCTION("""COMPUTED_VALUE"""),"Vietnam.giaotiep.anhgiaotiep1_95360_MES_NamNH_110423")</f>
        <v>Vietnam.giaotiep.anhgiaotiep1_95360_MES_NamNH_110423</v>
      </c>
      <c r="R10" s="67" t="str">
        <f>IFERROR(__xludf.DUMMYFUNCTION("""COMPUTED_VALUE"""),"NEW_Vietnam_2040_none_110423")</f>
        <v>NEW_Vietnam_2040_none_110423</v>
      </c>
      <c r="S10" s="67" t="str">
        <f>IFERROR(__xludf.DUMMYFUNCTION("""COMPUTED_VALUE"""),"saletructiep_Vietnam.anhgiaotiep1.2040.giaotiep_PTATT_LD153")</f>
        <v>saletructiep_Vietnam.anhgiaotiep1.2040.giaotiep_PTATT_LD153</v>
      </c>
      <c r="T10" s="107" t="str">
        <f>IFERROR(__xludf.DUMMYFUNCTION("""COMPUTED_VALUE"""),"https://patadovietnam.edu.vn/tienganhgiaotiep_hn/?utm_source=Facebook&amp;utm_medium=MES&amp;utm_term=NEW_Vietnam_2040_none_110423&amp;utm_content=saletructiep_Vietnam.anhgiaotiep1.2040.giaotiep_PTATT_LD153&amp;utm_campaign=Vietnam.giaotiep.anhgiaotiep1_95360_MES_NamNH_1"&amp;"10423")</f>
        <v>https://patadovietnam.edu.vn/tienganhgiaotiep_hn/?utm_source=Facebook&amp;utm_medium=MES&amp;utm_term=NEW_Vietnam_2040_none_110423&amp;utm_content=saletructiep_Vietnam.anhgiaotiep1.2040.giaotiep_PTATT_LD153&amp;utm_campaign=Vietnam.giaotiep.anhgiaotiep1_95360_MES_NamNH_110423</v>
      </c>
      <c r="U10" s="110" t="s">
        <v>1143</v>
      </c>
    </row>
    <row r="11">
      <c r="A11" s="72">
        <v>45027.0</v>
      </c>
      <c r="B11" s="60" t="s">
        <v>1134</v>
      </c>
      <c r="C11" s="67" t="str">
        <f>IFERROR(__xludf.DUMMYFUNCTION("""COMPUTED_VALUE"""),"LD153")</f>
        <v>LD153</v>
      </c>
      <c r="D11" s="55" t="s">
        <v>42</v>
      </c>
      <c r="E11" s="55" t="s">
        <v>79</v>
      </c>
      <c r="F11" s="55" t="s">
        <v>107</v>
      </c>
      <c r="G11" s="55">
        <v>2045.0</v>
      </c>
      <c r="H11" s="55" t="s">
        <v>1137</v>
      </c>
      <c r="I11" s="55" t="s">
        <v>1145</v>
      </c>
      <c r="J11" s="55" t="s">
        <v>1146</v>
      </c>
      <c r="K11" s="55" t="s">
        <v>61</v>
      </c>
      <c r="L11" s="55">
        <v>95360.0</v>
      </c>
      <c r="M11" s="55" t="s">
        <v>78</v>
      </c>
      <c r="N11" s="55" t="s">
        <v>79</v>
      </c>
      <c r="O11" s="55" t="s">
        <v>224</v>
      </c>
      <c r="P11" s="55" t="s">
        <v>110</v>
      </c>
      <c r="Q11" s="67" t="str">
        <f>IFERROR(__xludf.DUMMYFUNCTION("""COMPUTED_VALUE"""),"UnitedStates.giaotiep.anhgiaotiep2_95360_MES_NamNH_110423")</f>
        <v>UnitedStates.giaotiep.anhgiaotiep2_95360_MES_NamNH_110423</v>
      </c>
      <c r="R11" s="67" t="str">
        <f>IFERROR(__xludf.DUMMYFUNCTION("""COMPUTED_VALUE"""),"NEW_UnitedStates_2045_none_110423")</f>
        <v>NEW_UnitedStates_2045_none_110423</v>
      </c>
      <c r="S11" s="67" t="str">
        <f>IFERROR(__xludf.DUMMYFUNCTION("""COMPUTED_VALUE"""),"saletructiep_UnitedStates.anhgiaotiep2.2045.giaotiep_PTATT_LD153")</f>
        <v>saletructiep_UnitedStates.anhgiaotiep2.2045.giaotiep_PTATT_LD153</v>
      </c>
      <c r="T11" s="107" t="str">
        <f>IFERROR(__xludf.DUMMYFUNCTION("""COMPUTED_VALUE"""),"https://patadovietnam.edu.vn/tienganhgiaotiep_hn/?utm_source=Facebook&amp;utm_medium=MES&amp;utm_term=NEW_UnitedStates_2045_none_110423&amp;utm_content=saletructiep_UnitedStates.anhgiaotiep2.2045.giaotiep_PTATT_LD153&amp;utm_campaign=UnitedStates.giaotiep.anhgiaotiep2_95"&amp;"360_MES_NamNH_110423")</f>
        <v>https://patadovietnam.edu.vn/tienganhgiaotiep_hn/?utm_source=Facebook&amp;utm_medium=MES&amp;utm_term=NEW_UnitedStates_2045_none_110423&amp;utm_content=saletructiep_UnitedStates.anhgiaotiep2.2045.giaotiep_PTATT_LD153&amp;utm_campaign=UnitedStates.giaotiep.anhgiaotiep2_95360_MES_NamNH_110423</v>
      </c>
      <c r="U11" s="110" t="s">
        <v>1149</v>
      </c>
    </row>
    <row r="12">
      <c r="A12" s="72">
        <v>45027.0</v>
      </c>
      <c r="B12" s="60" t="s">
        <v>1134</v>
      </c>
      <c r="C12" s="67" t="str">
        <f>IFERROR(__xludf.DUMMYFUNCTION("""COMPUTED_VALUE"""),"LD153")</f>
        <v>LD153</v>
      </c>
      <c r="D12" s="55" t="s">
        <v>42</v>
      </c>
      <c r="E12" s="55" t="s">
        <v>79</v>
      </c>
      <c r="F12" s="55" t="s">
        <v>129</v>
      </c>
      <c r="G12" s="55">
        <v>2045.0</v>
      </c>
      <c r="H12" s="55" t="s">
        <v>1137</v>
      </c>
      <c r="I12" s="55" t="s">
        <v>1150</v>
      </c>
      <c r="J12" s="55" t="s">
        <v>1151</v>
      </c>
      <c r="K12" s="55" t="s">
        <v>61</v>
      </c>
      <c r="L12" s="55">
        <v>95360.0</v>
      </c>
      <c r="M12" s="55" t="s">
        <v>78</v>
      </c>
      <c r="N12" s="55" t="s">
        <v>79</v>
      </c>
      <c r="O12" s="55" t="s">
        <v>224</v>
      </c>
      <c r="P12" s="55" t="s">
        <v>110</v>
      </c>
      <c r="Q12" s="67" t="str">
        <f>IFERROR(__xludf.DUMMYFUNCTION("""COMPUTED_VALUE"""),"Australia.giaotiep.anhgiaotiep2_95360_MES_NamNH_110423")</f>
        <v>Australia.giaotiep.anhgiaotiep2_95360_MES_NamNH_110423</v>
      </c>
      <c r="R12" s="67" t="str">
        <f>IFERROR(__xludf.DUMMYFUNCTION("""COMPUTED_VALUE"""),"NEW_Australia_2045_none_110423")</f>
        <v>NEW_Australia_2045_none_110423</v>
      </c>
      <c r="S12" s="67" t="str">
        <f>IFERROR(__xludf.DUMMYFUNCTION("""COMPUTED_VALUE"""),"saletructiep_Australia.anhgiaotiep2.2045.giaotiep_PTATT_LD153")</f>
        <v>saletructiep_Australia.anhgiaotiep2.2045.giaotiep_PTATT_LD153</v>
      </c>
      <c r="T12" s="107" t="str">
        <f>IFERROR(__xludf.DUMMYFUNCTION("""COMPUTED_VALUE"""),"https://patadovietnam.edu.vn/tienganhgiaotiep_hn/?utm_source=Facebook&amp;utm_medium=MES&amp;utm_term=NEW_Australia_2045_none_110423&amp;utm_content=saletructiep_Australia.anhgiaotiep2.2045.giaotiep_PTATT_LD153&amp;utm_campaign=Australia.giaotiep.anhgiaotiep2_95360_MES_N"&amp;"amNH_110423")</f>
        <v>https://patadovietnam.edu.vn/tienganhgiaotiep_hn/?utm_source=Facebook&amp;utm_medium=MES&amp;utm_term=NEW_Australia_2045_none_110423&amp;utm_content=saletructiep_Australia.anhgiaotiep2.2045.giaotiep_PTATT_LD153&amp;utm_campaign=Australia.giaotiep.anhgiaotiep2_95360_MES_NamNH_110423</v>
      </c>
      <c r="U12" s="110" t="s">
        <v>1154</v>
      </c>
    </row>
    <row r="13">
      <c r="A13" s="72">
        <v>45658.0</v>
      </c>
      <c r="B13" s="75" t="s">
        <v>1134</v>
      </c>
      <c r="C13" s="67" t="str">
        <f>IFERROR(__xludf.DUMMYFUNCTION("""COMPUTED_VALUE"""),"LD153")</f>
        <v>LD153</v>
      </c>
      <c r="D13" s="55" t="s">
        <v>1135</v>
      </c>
      <c r="E13" s="55" t="s">
        <v>69</v>
      </c>
      <c r="F13" s="55" t="s">
        <v>133</v>
      </c>
      <c r="G13" s="55">
        <v>1840.0</v>
      </c>
      <c r="H13" s="55" t="s">
        <v>1137</v>
      </c>
      <c r="I13" s="115" t="s">
        <v>1222</v>
      </c>
      <c r="J13" s="60" t="s">
        <v>1223</v>
      </c>
      <c r="K13" s="55" t="s">
        <v>61</v>
      </c>
      <c r="L13" s="55" t="s">
        <v>1141</v>
      </c>
      <c r="M13" s="55" t="s">
        <v>78</v>
      </c>
      <c r="N13" s="55" t="s">
        <v>1135</v>
      </c>
      <c r="O13" s="55" t="s">
        <v>1142</v>
      </c>
      <c r="P13" s="55" t="s">
        <v>110</v>
      </c>
      <c r="Q13" s="67" t="str">
        <f>IFERROR(__xludf.DUMMYFUNCTION("""COMPUTED_VALUE"""),"Japan.giaotiep.M355CVS_PTD_Tiktok_NamNH_010125")</f>
        <v>Japan.giaotiep.M355CVS_PTD_Tiktok_NamNH_010125</v>
      </c>
      <c r="R13" s="67" t="str">
        <f>IFERROR(__xludf.DUMMYFUNCTION("""COMPUTED_VALUE"""),"NEW_Japan_1840_none_010125")</f>
        <v>NEW_Japan_1840_none_010125</v>
      </c>
      <c r="S13" s="67" t="str">
        <f>IFERROR(__xludf.DUMMYFUNCTION("""COMPUTED_VALUE"""),"saletructiep_Japan.C1.1840.M355_THCNGDP_LD153")</f>
        <v>saletructiep_Japan.C1.1840.M355_THCNGDP_LD153</v>
      </c>
      <c r="T13" s="107" t="str">
        <f>IFERROR(__xludf.DUMMYFUNCTION("""COMPUTED_VALUE"""),"https://patadovietnam.edu.vn/tienganhgiaotiep_hn/?utm_source=Tiktok&amp;utm_medium=CVS&amp;utm_term=NEW_Japan_1840_none_010125&amp;utm_content=saletructiep_Japan.C1.1840.M355_THCNGDP_LD153&amp;utm_campaign=Japan.giaotiep.M355CVS_PTD_Tiktok_NamNH_010125")</f>
        <v>https://patadovietnam.edu.vn/tienganhgiaotiep_hn/?utm_source=Tiktok&amp;utm_medium=CVS&amp;utm_term=NEW_Japan_1840_none_010125&amp;utm_content=saletructiep_Japan.C1.1840.M355_THCNGDP_LD153&amp;utm_campaign=Japan.giaotiep.M355CVS_PTD_Tiktok_NamNH_010125</v>
      </c>
      <c r="U13" s="116"/>
    </row>
    <row r="14">
      <c r="A14" s="72">
        <v>45667.0</v>
      </c>
      <c r="B14" s="75" t="s">
        <v>1229</v>
      </c>
      <c r="C14" s="67" t="str">
        <f>IFERROR(__xludf.DUMMYFUNCTION("""COMPUTED_VALUE"""),"LD164")</f>
        <v>LD164</v>
      </c>
      <c r="D14" s="55" t="s">
        <v>1135</v>
      </c>
      <c r="E14" s="55" t="s">
        <v>69</v>
      </c>
      <c r="F14" s="55" t="s">
        <v>133</v>
      </c>
      <c r="G14" s="55">
        <v>1840.0</v>
      </c>
      <c r="H14" s="55" t="s">
        <v>1137</v>
      </c>
      <c r="I14" s="115" t="s">
        <v>1232</v>
      </c>
      <c r="J14" s="95" t="s">
        <v>1233</v>
      </c>
      <c r="K14" s="55" t="s">
        <v>61</v>
      </c>
      <c r="L14" s="55" t="s">
        <v>1141</v>
      </c>
      <c r="M14" s="55" t="s">
        <v>78</v>
      </c>
      <c r="N14" s="55" t="s">
        <v>1135</v>
      </c>
      <c r="O14" s="55" t="s">
        <v>1142</v>
      </c>
      <c r="P14" s="55" t="s">
        <v>110</v>
      </c>
      <c r="Q14" s="67" t="str">
        <f>IFERROR(__xludf.DUMMYFUNCTION("""COMPUTED_VALUE"""),"Japan.giaotiep.M364TTCVS_PTD_Tiktok_NamNH_100125")</f>
        <v>Japan.giaotiep.M364TTCVS_PTD_Tiktok_NamNH_100125</v>
      </c>
      <c r="R14" s="67" t="str">
        <f>IFERROR(__xludf.DUMMYFUNCTION("""COMPUTED_VALUE"""),"NEW_Japan_1840_none_100125")</f>
        <v>NEW_Japan_1840_none_100125</v>
      </c>
      <c r="S14" s="67" t="str">
        <f>IFERROR(__xludf.DUMMYFUNCTION("""COMPUTED_VALUE"""),"saletructiep_Japan.C1.1840.M356_THCNGDP_LD164")</f>
        <v>saletructiep_Japan.C1.1840.M356_THCNGDP_LD164</v>
      </c>
      <c r="T14" s="107" t="str">
        <f>IFERROR(__xludf.DUMMYFUNCTION("""COMPUTED_VALUE"""),"https://patadovietnam.edu.vn/gtjapan_nhn3/?utm_source=Tiktok&amp;utm_medium=CVS&amp;utm_term=NEW_Japan_1840_none_100125&amp;utm_content=saletructiep_Japan.C1.1840.M356_THCNGDP_LD164&amp;utm_campaign=Japan.giaotiep.M364TTCVS_PTD_Tiktok_NamNH_100125")</f>
        <v>https://patadovietnam.edu.vn/gtjapan_nhn3/?utm_source=Tiktok&amp;utm_medium=CVS&amp;utm_term=NEW_Japan_1840_none_100125&amp;utm_content=saletructiep_Japan.C1.1840.M356_THCNGDP_LD164&amp;utm_campaign=Japan.giaotiep.M364TTCVS_PTD_Tiktok_NamNH_100125</v>
      </c>
      <c r="U14" s="118"/>
    </row>
    <row r="15">
      <c r="A15" s="72">
        <v>45667.0</v>
      </c>
      <c r="B15" s="75" t="s">
        <v>1134</v>
      </c>
      <c r="C15" s="67" t="str">
        <f>IFERROR(__xludf.DUMMYFUNCTION("""COMPUTED_VALUE"""),"LD153")</f>
        <v>LD153</v>
      </c>
      <c r="D15" s="55" t="s">
        <v>1135</v>
      </c>
      <c r="E15" s="55" t="s">
        <v>69</v>
      </c>
      <c r="F15" s="55" t="s">
        <v>674</v>
      </c>
      <c r="G15" s="55">
        <v>1840.0</v>
      </c>
      <c r="H15" s="55" t="s">
        <v>1137</v>
      </c>
      <c r="I15" s="115" t="s">
        <v>1238</v>
      </c>
      <c r="J15" s="95" t="s">
        <v>1239</v>
      </c>
      <c r="K15" s="55" t="s">
        <v>61</v>
      </c>
      <c r="L15" s="55" t="s">
        <v>1141</v>
      </c>
      <c r="M15" s="55" t="s">
        <v>78</v>
      </c>
      <c r="N15" s="55" t="s">
        <v>1135</v>
      </c>
      <c r="O15" s="55" t="s">
        <v>1142</v>
      </c>
      <c r="P15" s="55" t="s">
        <v>110</v>
      </c>
      <c r="Q15" s="67" t="str">
        <f>IFERROR(__xludf.DUMMYFUNCTION("""COMPUTED_VALUE"""),"Europe.giaotiep.M364TTCVS_PTD_Tiktok_NamNH_100125")</f>
        <v>Europe.giaotiep.M364TTCVS_PTD_Tiktok_NamNH_100125</v>
      </c>
      <c r="R15" s="67" t="str">
        <f>IFERROR(__xludf.DUMMYFUNCTION("""COMPUTED_VALUE"""),"NEW_Europe_1840_none_100125")</f>
        <v>NEW_Europe_1840_none_100125</v>
      </c>
      <c r="S15" s="67" t="str">
        <f>IFERROR(__xludf.DUMMYFUNCTION("""COMPUTED_VALUE"""),"saletructiep_Japan.C1.1840.M364TTCVS_THCNGDP_LD153")</f>
        <v>saletructiep_Japan.C1.1840.M364TTCVS_THCNGDP_LD153</v>
      </c>
      <c r="T15" s="107" t="str">
        <f>IFERROR(__xludf.DUMMYFUNCTION("""COMPUTED_VALUE"""),"https://patadovietnam.edu.vn/tienganhgiaotiep_hn/?utm_source=Tiktok&amp;utm_medium=CVS&amp;utm_term=NEW_Europe_1840_none_100125&amp;utm_content=saletructiep_Japan.C1.1840.M364TTCVS_THCNGDP_LD153&amp;utm_campaign=Europe.giaotiep.M364TTCVS_PTD_Tiktok_NamNH_100125")</f>
        <v>https://patadovietnam.edu.vn/tienganhgiaotiep_hn/?utm_source=Tiktok&amp;utm_medium=CVS&amp;utm_term=NEW_Europe_1840_none_100125&amp;utm_content=saletructiep_Japan.C1.1840.M364TTCVS_THCNGDP_LD153&amp;utm_campaign=Europe.giaotiep.M364TTCVS_PTD_Tiktok_NamNH_100125</v>
      </c>
      <c r="U15" s="118"/>
    </row>
    <row r="16" hidden="1">
      <c r="A16" s="72">
        <v>45667.0</v>
      </c>
      <c r="B16" s="75" t="s">
        <v>1245</v>
      </c>
      <c r="C16" s="67" t="str">
        <f>IFERROR(__xludf.DUMMYFUNCTION("""COMPUTED_VALUE"""),"LD161")</f>
        <v>LD161</v>
      </c>
      <c r="D16" s="55"/>
      <c r="E16" s="55"/>
      <c r="F16" s="55"/>
      <c r="G16" s="55"/>
      <c r="H16" s="55"/>
      <c r="I16" s="115"/>
      <c r="J16" s="55"/>
      <c r="K16" s="55" t="s">
        <v>61</v>
      </c>
      <c r="L16" s="55" t="s">
        <v>1141</v>
      </c>
      <c r="M16" s="55" t="s">
        <v>78</v>
      </c>
      <c r="N16" s="55" t="s">
        <v>1135</v>
      </c>
      <c r="O16" s="55" t="s">
        <v>1142</v>
      </c>
      <c r="P16" s="55" t="s">
        <v>110</v>
      </c>
      <c r="Q16" s="67" t="str">
        <f>IFERROR(__xludf.DUMMYFUNCTION("""COMPUTED_VALUE"""),"!!!")</f>
        <v>!!!</v>
      </c>
      <c r="R16" s="67" t="str">
        <f>IFERROR(__xludf.DUMMYFUNCTION("""COMPUTED_VALUE"""),"!!!")</f>
        <v>!!!</v>
      </c>
      <c r="S16" s="67" t="str">
        <f>IFERROR(__xludf.DUMMYFUNCTION("""COMPUTED_VALUE"""),"!!!")</f>
        <v>!!!</v>
      </c>
      <c r="T16" s="107" t="str">
        <f>IFERROR(__xludf.DUMMYFUNCTION("""COMPUTED_VALUE"""),"https://patadovietnam.edu.vn/gtusa1_nhn/?utm_source=&amp;utm_medium=&amp;utm_term=!!!&amp;utm_content=!!!&amp;utm_campaign=!!!")</f>
        <v>https://patadovietnam.edu.vn/gtusa1_nhn/?utm_source=&amp;utm_medium=&amp;utm_term=!!!&amp;utm_content=!!!&amp;utm_campaign=!!!</v>
      </c>
      <c r="U16" s="118"/>
    </row>
    <row r="17">
      <c r="A17" s="72">
        <v>45667.0</v>
      </c>
      <c r="B17" s="75" t="s">
        <v>1134</v>
      </c>
      <c r="C17" s="67" t="str">
        <f>IFERROR(__xludf.DUMMYFUNCTION("""COMPUTED_VALUE"""),"LD153")</f>
        <v>LD153</v>
      </c>
      <c r="D17" s="55" t="s">
        <v>1135</v>
      </c>
      <c r="E17" s="55" t="s">
        <v>69</v>
      </c>
      <c r="F17" s="55" t="s">
        <v>625</v>
      </c>
      <c r="G17" s="55">
        <v>1840.0</v>
      </c>
      <c r="H17" s="55" t="s">
        <v>1137</v>
      </c>
      <c r="I17" s="115" t="s">
        <v>1249</v>
      </c>
      <c r="J17" s="95" t="s">
        <v>1250</v>
      </c>
      <c r="K17" s="55" t="s">
        <v>61</v>
      </c>
      <c r="L17" s="55" t="s">
        <v>1141</v>
      </c>
      <c r="M17" s="55" t="s">
        <v>78</v>
      </c>
      <c r="N17" s="55" t="s">
        <v>1135</v>
      </c>
      <c r="O17" s="55" t="s">
        <v>1142</v>
      </c>
      <c r="P17" s="55" t="s">
        <v>110</v>
      </c>
      <c r="Q17" s="67" t="str">
        <f>IFERROR(__xludf.DUMMYFUNCTION("""COMPUTED_VALUE"""),"KoreaSouth.giaotiep.M364TTCVS_PTD_Tiktok_NamNH_100125")</f>
        <v>KoreaSouth.giaotiep.M364TTCVS_PTD_Tiktok_NamNH_100125</v>
      </c>
      <c r="R17" s="67" t="str">
        <f>IFERROR(__xludf.DUMMYFUNCTION("""COMPUTED_VALUE"""),"NEW_KoreaSouth_1840_none_100125")</f>
        <v>NEW_KoreaSouth_1840_none_100125</v>
      </c>
      <c r="S17" s="67" t="str">
        <f>IFERROR(__xludf.DUMMYFUNCTION("""COMPUTED_VALUE"""),"saletructiep_KoreaSouth.C1.1840.M364TTCVS_THCNGDP_LD153")</f>
        <v>saletructiep_KoreaSouth.C1.1840.M364TTCVS_THCNGDP_LD153</v>
      </c>
      <c r="T17" s="107" t="str">
        <f>IFERROR(__xludf.DUMMYFUNCTION("""COMPUTED_VALUE"""),"https://patadovietnam.edu.vn/tienganhgiaotiep_hn/?utm_source=Tiktok&amp;utm_medium=CVS&amp;utm_term=NEW_KoreaSouth_1840_none_100125&amp;utm_content=saletructiep_KoreaSouth.C1.1840.M364TTCVS_THCNGDP_LD153&amp;utm_campaign=KoreaSouth.giaotiep.M364TTCVS_PTD_Tiktok_NamNH_100"&amp;"125")</f>
        <v>https://patadovietnam.edu.vn/tienganhgiaotiep_hn/?utm_source=Tiktok&amp;utm_medium=CVS&amp;utm_term=NEW_KoreaSouth_1840_none_100125&amp;utm_content=saletructiep_KoreaSouth.C1.1840.M364TTCVS_THCNGDP_LD153&amp;utm_campaign=KoreaSouth.giaotiep.M364TTCVS_PTD_Tiktok_NamNH_100125</v>
      </c>
      <c r="U17" s="118"/>
    </row>
    <row r="18">
      <c r="A18" s="72">
        <v>45667.0</v>
      </c>
      <c r="B18" s="75" t="s">
        <v>1245</v>
      </c>
      <c r="C18" s="67" t="str">
        <f>IFERROR(__xludf.DUMMYFUNCTION("""COMPUTED_VALUE"""),"LD161")</f>
        <v>LD161</v>
      </c>
      <c r="D18" s="55" t="s">
        <v>1135</v>
      </c>
      <c r="E18" s="55" t="s">
        <v>79</v>
      </c>
      <c r="F18" s="55" t="s">
        <v>107</v>
      </c>
      <c r="G18" s="55">
        <v>1840.0</v>
      </c>
      <c r="H18" s="55" t="s">
        <v>1137</v>
      </c>
      <c r="I18" s="115" t="s">
        <v>1252</v>
      </c>
      <c r="J18" s="95" t="s">
        <v>1253</v>
      </c>
      <c r="K18" s="55" t="s">
        <v>61</v>
      </c>
      <c r="L18" s="55" t="s">
        <v>1141</v>
      </c>
      <c r="M18" s="55" t="s">
        <v>78</v>
      </c>
      <c r="N18" s="55" t="s">
        <v>1135</v>
      </c>
      <c r="O18" s="55" t="s">
        <v>1142</v>
      </c>
      <c r="P18" s="55" t="s">
        <v>110</v>
      </c>
      <c r="Q18" s="67" t="str">
        <f>IFERROR(__xludf.DUMMYFUNCTION("""COMPUTED_VALUE"""),"UnitedStates.giaotiep.M364TTMES_PTD_Tiktok_NamNH_100125")</f>
        <v>UnitedStates.giaotiep.M364TTMES_PTD_Tiktok_NamNH_100125</v>
      </c>
      <c r="R18" s="67" t="str">
        <f>IFERROR(__xludf.DUMMYFUNCTION("""COMPUTED_VALUE"""),"NEW_UnitedStates_1840_none_100125")</f>
        <v>NEW_UnitedStates_1840_none_100125</v>
      </c>
      <c r="S18" s="67" t="str">
        <f>IFERROR(__xludf.DUMMYFUNCTION("""COMPUTED_VALUE"""),"saletructiep_UnitedStates.C1.1840.M364TTMES_THCNGDP_LD161")</f>
        <v>saletructiep_UnitedStates.C1.1840.M364TTMES_THCNGDP_LD161</v>
      </c>
      <c r="T18" s="107" t="str">
        <f>IFERROR(__xludf.DUMMYFUNCTION("""COMPUTED_VALUE"""),"https://patadovietnam.edu.vn/gtusa1_nhn/?utm_source=Tiktok&amp;utm_medium=MES&amp;utm_term=NEW_UnitedStates_1840_none_100125&amp;utm_content=saletructiep_UnitedStates.C1.1840.M364TTMES_THCNGDP_LD161&amp;utm_campaign=UnitedStates.giaotiep.M364TTMES_PTD_Tiktok_NamNH_100125")</f>
        <v>https://patadovietnam.edu.vn/gtusa1_nhn/?utm_source=Tiktok&amp;utm_medium=MES&amp;utm_term=NEW_UnitedStates_1840_none_100125&amp;utm_content=saletructiep_UnitedStates.C1.1840.M364TTMES_THCNGDP_LD161&amp;utm_campaign=UnitedStates.giaotiep.M364TTMES_PTD_Tiktok_NamNH_100125</v>
      </c>
      <c r="U18" s="118"/>
    </row>
    <row r="19">
      <c r="A19" s="72">
        <v>45667.0</v>
      </c>
      <c r="B19" s="75" t="s">
        <v>1134</v>
      </c>
      <c r="C19" s="67" t="str">
        <f>IFERROR(__xludf.DUMMYFUNCTION("""COMPUTED_VALUE"""),"LD153")</f>
        <v>LD153</v>
      </c>
      <c r="D19" s="55" t="s">
        <v>1135</v>
      </c>
      <c r="E19" s="55" t="s">
        <v>79</v>
      </c>
      <c r="F19" s="55" t="s">
        <v>129</v>
      </c>
      <c r="G19" s="55">
        <v>1840.0</v>
      </c>
      <c r="H19" s="55" t="s">
        <v>1137</v>
      </c>
      <c r="I19" s="115" t="s">
        <v>1257</v>
      </c>
      <c r="J19" s="95" t="s">
        <v>1258</v>
      </c>
      <c r="K19" s="55" t="s">
        <v>61</v>
      </c>
      <c r="L19" s="55" t="s">
        <v>1141</v>
      </c>
      <c r="M19" s="55" t="s">
        <v>78</v>
      </c>
      <c r="N19" s="55" t="s">
        <v>1135</v>
      </c>
      <c r="O19" s="55" t="s">
        <v>1142</v>
      </c>
      <c r="P19" s="55" t="s">
        <v>110</v>
      </c>
      <c r="Q19" s="67" t="str">
        <f>IFERROR(__xludf.DUMMYFUNCTION("""COMPUTED_VALUE"""),"Australia.giaotiep.M364TTMES_PTD_Tiktok_NamNH_100125")</f>
        <v>Australia.giaotiep.M364TTMES_PTD_Tiktok_NamNH_100125</v>
      </c>
      <c r="R19" s="67" t="str">
        <f>IFERROR(__xludf.DUMMYFUNCTION("""COMPUTED_VALUE"""),"NEW_Australia_1840_none_100125")</f>
        <v>NEW_Australia_1840_none_100125</v>
      </c>
      <c r="S19" s="67" t="str">
        <f>IFERROR(__xludf.DUMMYFUNCTION("""COMPUTED_VALUE"""),"saletructiep_Australia.C1.1840.M364TTMES_THCNGDP_LD153")</f>
        <v>saletructiep_Australia.C1.1840.M364TTMES_THCNGDP_LD153</v>
      </c>
      <c r="T19" s="107" t="str">
        <f>IFERROR(__xludf.DUMMYFUNCTION("""COMPUTED_VALUE"""),"https://patadovietnam.edu.vn/tienganhgiaotiep_hn/?utm_source=Tiktok&amp;utm_medium=MES&amp;utm_term=NEW_Australia_1840_none_100125&amp;utm_content=saletructiep_Australia.C1.1840.M364TTMES_THCNGDP_LD153&amp;utm_campaign=Australia.giaotiep.M364TTMES_PTD_Tiktok_NamNH_100125")</f>
        <v>https://patadovietnam.edu.vn/tienganhgiaotiep_hn/?utm_source=Tiktok&amp;utm_medium=MES&amp;utm_term=NEW_Australia_1840_none_100125&amp;utm_content=saletructiep_Australia.C1.1840.M364TTMES_THCNGDP_LD153&amp;utm_campaign=Australia.giaotiep.M364TTMES_PTD_Tiktok_NamNH_100125</v>
      </c>
      <c r="U19" s="118"/>
    </row>
    <row r="20">
      <c r="A20" s="72">
        <v>45667.0</v>
      </c>
      <c r="B20" s="75" t="s">
        <v>1229</v>
      </c>
      <c r="C20" s="67" t="str">
        <f>IFERROR(__xludf.DUMMYFUNCTION("""COMPUTED_VALUE"""),"LD164")</f>
        <v>LD164</v>
      </c>
      <c r="D20" s="55" t="s">
        <v>1135</v>
      </c>
      <c r="E20" s="55" t="s">
        <v>69</v>
      </c>
      <c r="F20" s="55" t="s">
        <v>133</v>
      </c>
      <c r="G20" s="55">
        <v>1840.0</v>
      </c>
      <c r="H20" s="55" t="s">
        <v>1137</v>
      </c>
      <c r="I20" s="115" t="s">
        <v>1266</v>
      </c>
      <c r="J20" s="95" t="s">
        <v>1267</v>
      </c>
      <c r="K20" s="55" t="s">
        <v>61</v>
      </c>
      <c r="L20" s="55" t="s">
        <v>1141</v>
      </c>
      <c r="M20" s="55" t="s">
        <v>78</v>
      </c>
      <c r="N20" s="55" t="s">
        <v>1135</v>
      </c>
      <c r="O20" s="55" t="s">
        <v>1142</v>
      </c>
      <c r="P20" s="55" t="s">
        <v>110</v>
      </c>
      <c r="Q20" s="67" t="str">
        <f>IFERROR(__xludf.DUMMYFUNCTION("""COMPUTED_VALUE"""),"Japan.giaotiep.JHCVS_PTD_Tiktok_NamNH_100125")</f>
        <v>Japan.giaotiep.JHCVS_PTD_Tiktok_NamNH_100125</v>
      </c>
      <c r="R20" s="67" t="str">
        <f>IFERROR(__xludf.DUMMYFUNCTION("""COMPUTED_VALUE"""),"NEW_Japan_1840_none_100125")</f>
        <v>NEW_Japan_1840_none_100125</v>
      </c>
      <c r="S20" s="67" t="str">
        <f>IFERROR(__xludf.DUMMYFUNCTION("""COMPUTED_VALUE"""),"saletructiep_Japan.JHCVS.1840.M356_THCNGDP_LD164")</f>
        <v>saletructiep_Japan.JHCVS.1840.M356_THCNGDP_LD164</v>
      </c>
      <c r="T20" s="107" t="str">
        <f>IFERROR(__xludf.DUMMYFUNCTION("""COMPUTED_VALUE"""),"https://patadovietnam.edu.vn/gtjapan_nhn3/?utm_source=Tiktok&amp;utm_medium=CVS&amp;utm_term=NEW_Japan_1840_none_100125&amp;utm_content=saletructiep_Japan.JHCVS.1840.M356_THCNGDP_LD164&amp;utm_campaign=Japan.giaotiep.JHCVS_PTD_Tiktok_NamNH_100125")</f>
        <v>https://patadovietnam.edu.vn/gtjapan_nhn3/?utm_source=Tiktok&amp;utm_medium=CVS&amp;utm_term=NEW_Japan_1840_none_100125&amp;utm_content=saletructiep_Japan.JHCVS.1840.M356_THCNGDP_LD164&amp;utm_campaign=Japan.giaotiep.JHCVS_PTD_Tiktok_NamNH_100125</v>
      </c>
      <c r="U20" s="118"/>
    </row>
    <row r="21">
      <c r="A21" s="72">
        <v>45667.0</v>
      </c>
      <c r="B21" s="75" t="s">
        <v>1134</v>
      </c>
      <c r="C21" s="67" t="str">
        <f>IFERROR(__xludf.DUMMYFUNCTION("""COMPUTED_VALUE"""),"LD153")</f>
        <v>LD153</v>
      </c>
      <c r="D21" s="55" t="s">
        <v>1135</v>
      </c>
      <c r="E21" s="55" t="s">
        <v>69</v>
      </c>
      <c r="F21" s="55" t="s">
        <v>674</v>
      </c>
      <c r="G21" s="55">
        <v>1840.0</v>
      </c>
      <c r="H21" s="55" t="s">
        <v>1137</v>
      </c>
      <c r="I21" s="115" t="s">
        <v>1275</v>
      </c>
      <c r="J21" s="95" t="s">
        <v>1276</v>
      </c>
      <c r="K21" s="55" t="s">
        <v>61</v>
      </c>
      <c r="L21" s="55" t="s">
        <v>1141</v>
      </c>
      <c r="M21" s="55" t="s">
        <v>78</v>
      </c>
      <c r="N21" s="55" t="s">
        <v>1135</v>
      </c>
      <c r="O21" s="55" t="s">
        <v>1142</v>
      </c>
      <c r="P21" s="55" t="s">
        <v>110</v>
      </c>
      <c r="Q21" s="67" t="str">
        <f>IFERROR(__xludf.DUMMYFUNCTION("""COMPUTED_VALUE"""),"Europe.giaotiep.JHCVS_PTD_Tiktok_NamNH_100125")</f>
        <v>Europe.giaotiep.JHCVS_PTD_Tiktok_NamNH_100125</v>
      </c>
      <c r="R21" s="67" t="str">
        <f>IFERROR(__xludf.DUMMYFUNCTION("""COMPUTED_VALUE"""),"NEW_Europe_1840_none_100125")</f>
        <v>NEW_Europe_1840_none_100125</v>
      </c>
      <c r="S21" s="67" t="str">
        <f>IFERROR(__xludf.DUMMYFUNCTION("""COMPUTED_VALUE"""),"saletructiep_Europe.C1.1840.JHCVS_THCNGDP_LD153")</f>
        <v>saletructiep_Europe.C1.1840.JHCVS_THCNGDP_LD153</v>
      </c>
      <c r="T21" s="107" t="str">
        <f>IFERROR(__xludf.DUMMYFUNCTION("""COMPUTED_VALUE"""),"https://patadovietnam.edu.vn/tienganhgiaotiep_hn/?utm_source=Tiktok&amp;utm_medium=CVS&amp;utm_term=NEW_Europe_1840_none_100125&amp;utm_content=saletructiep_Europe.C1.1840.JHCVS_THCNGDP_LD153&amp;utm_campaign=Europe.giaotiep.JHCVS_PTD_Tiktok_NamNH_100125")</f>
        <v>https://patadovietnam.edu.vn/tienganhgiaotiep_hn/?utm_source=Tiktok&amp;utm_medium=CVS&amp;utm_term=NEW_Europe_1840_none_100125&amp;utm_content=saletructiep_Europe.C1.1840.JHCVS_THCNGDP_LD153&amp;utm_campaign=Europe.giaotiep.JHCVS_PTD_Tiktok_NamNH_100125</v>
      </c>
      <c r="U21" s="118"/>
    </row>
    <row r="22">
      <c r="A22" s="72">
        <v>45667.0</v>
      </c>
      <c r="B22" s="75" t="s">
        <v>1245</v>
      </c>
      <c r="C22" s="67" t="str">
        <f>IFERROR(__xludf.DUMMYFUNCTION("""COMPUTED_VALUE"""),"LD161")</f>
        <v>LD161</v>
      </c>
      <c r="D22" s="55" t="s">
        <v>1135</v>
      </c>
      <c r="E22" s="55" t="s">
        <v>69</v>
      </c>
      <c r="F22" s="55" t="s">
        <v>107</v>
      </c>
      <c r="G22" s="55">
        <v>1840.0</v>
      </c>
      <c r="H22" s="55" t="s">
        <v>1137</v>
      </c>
      <c r="I22" s="115" t="s">
        <v>1278</v>
      </c>
      <c r="J22" s="95" t="s">
        <v>1279</v>
      </c>
      <c r="K22" s="55" t="s">
        <v>61</v>
      </c>
      <c r="L22" s="55" t="s">
        <v>1141</v>
      </c>
      <c r="M22" s="55" t="s">
        <v>78</v>
      </c>
      <c r="N22" s="55" t="s">
        <v>1135</v>
      </c>
      <c r="O22" s="55" t="s">
        <v>1142</v>
      </c>
      <c r="P22" s="55" t="s">
        <v>110</v>
      </c>
      <c r="Q22" s="67" t="str">
        <f>IFERROR(__xludf.DUMMYFUNCTION("""COMPUTED_VALUE"""),"UnitedStates.giaotiep.JHCVS_PTD_Tiktok_NamNH_100125")</f>
        <v>UnitedStates.giaotiep.JHCVS_PTD_Tiktok_NamNH_100125</v>
      </c>
      <c r="R22" s="67" t="str">
        <f>IFERROR(__xludf.DUMMYFUNCTION("""COMPUTED_VALUE"""),"NEW_UnitedStates_1840_none_100125")</f>
        <v>NEW_UnitedStates_1840_none_100125</v>
      </c>
      <c r="S22" s="67" t="str">
        <f>IFERROR(__xludf.DUMMYFUNCTION("""COMPUTED_VALUE"""),"saletructiep_UnitedStates.C1.1840.JHCVS_THCNGDP_LD161")</f>
        <v>saletructiep_UnitedStates.C1.1840.JHCVS_THCNGDP_LD161</v>
      </c>
      <c r="T22" s="107" t="str">
        <f>IFERROR(__xludf.DUMMYFUNCTION("""COMPUTED_VALUE"""),"https://patadovietnam.edu.vn/gtusa1_nhn/?utm_source=Tiktok&amp;utm_medium=CVS&amp;utm_term=NEW_UnitedStates_1840_none_100125&amp;utm_content=saletructiep_UnitedStates.C1.1840.JHCVS_THCNGDP_LD161&amp;utm_campaign=UnitedStates.giaotiep.JHCVS_PTD_Tiktok_NamNH_100125")</f>
        <v>https://patadovietnam.edu.vn/gtusa1_nhn/?utm_source=Tiktok&amp;utm_medium=CVS&amp;utm_term=NEW_UnitedStates_1840_none_100125&amp;utm_content=saletructiep_UnitedStates.C1.1840.JHCVS_THCNGDP_LD161&amp;utm_campaign=UnitedStates.giaotiep.JHCVS_PTD_Tiktok_NamNH_100125</v>
      </c>
      <c r="U22" s="118"/>
    </row>
    <row r="23">
      <c r="A23" s="72">
        <v>45667.0</v>
      </c>
      <c r="B23" s="75" t="s">
        <v>1229</v>
      </c>
      <c r="C23" s="67" t="str">
        <f>IFERROR(__xludf.DUMMYFUNCTION("""COMPUTED_VALUE"""),"LD164")</f>
        <v>LD164</v>
      </c>
      <c r="D23" s="55" t="s">
        <v>1135</v>
      </c>
      <c r="E23" s="55" t="s">
        <v>69</v>
      </c>
      <c r="F23" s="55" t="s">
        <v>133</v>
      </c>
      <c r="G23" s="55">
        <v>1840.0</v>
      </c>
      <c r="H23" s="55" t="s">
        <v>1137</v>
      </c>
      <c r="I23" s="115" t="s">
        <v>1285</v>
      </c>
      <c r="J23" s="95" t="s">
        <v>1286</v>
      </c>
      <c r="K23" s="55" t="s">
        <v>61</v>
      </c>
      <c r="L23" s="55" t="s">
        <v>1141</v>
      </c>
      <c r="M23" s="55" t="s">
        <v>78</v>
      </c>
      <c r="N23" s="55" t="s">
        <v>1135</v>
      </c>
      <c r="O23" s="55" t="s">
        <v>1142</v>
      </c>
      <c r="P23" s="55" t="s">
        <v>110</v>
      </c>
      <c r="Q23" s="67" t="str">
        <f>IFERROR(__xludf.DUMMYFUNCTION("""COMPUTED_VALUE"""),"Japan.giaotiep.M331_PTD_Tiktok_NamNH_100125")</f>
        <v>Japan.giaotiep.M331_PTD_Tiktok_NamNH_100125</v>
      </c>
      <c r="R23" s="67" t="str">
        <f>IFERROR(__xludf.DUMMYFUNCTION("""COMPUTED_VALUE"""),"NEW_Japan_1840_none_100125")</f>
        <v>NEW_Japan_1840_none_100125</v>
      </c>
      <c r="S23" s="67" t="str">
        <f>IFERROR(__xludf.DUMMYFUNCTION("""COMPUTED_VALUE"""),"saletructiep_Japan.M331.1840.M356_THCNGDP_LD164")</f>
        <v>saletructiep_Japan.M331.1840.M356_THCNGDP_LD164</v>
      </c>
      <c r="T23" s="107" t="str">
        <f>IFERROR(__xludf.DUMMYFUNCTION("""COMPUTED_VALUE"""),"https://patadovietnam.edu.vn/gtjapan_nhn3/?utm_source=Tiktok&amp;utm_medium=CVS&amp;utm_term=NEW_Japan_1840_none_100125&amp;utm_content=saletructiep_Japan.M331.1840.M356_THCNGDP_LD164&amp;utm_campaign=Japan.giaotiep.M331_PTD_Tiktok_NamNH_100125")</f>
        <v>https://patadovietnam.edu.vn/gtjapan_nhn3/?utm_source=Tiktok&amp;utm_medium=CVS&amp;utm_term=NEW_Japan_1840_none_100125&amp;utm_content=saletructiep_Japan.M331.1840.M356_THCNGDP_LD164&amp;utm_campaign=Japan.giaotiep.M331_PTD_Tiktok_NamNH_100125</v>
      </c>
      <c r="U23" s="118"/>
    </row>
    <row r="24">
      <c r="A24" s="72">
        <v>45668.0</v>
      </c>
      <c r="B24" s="75" t="s">
        <v>1134</v>
      </c>
      <c r="C24" s="67" t="str">
        <f>IFERROR(__xludf.DUMMYFUNCTION("""COMPUTED_VALUE"""),"LD153")</f>
        <v>LD153</v>
      </c>
      <c r="D24" s="55" t="s">
        <v>1135</v>
      </c>
      <c r="E24" s="55" t="s">
        <v>69</v>
      </c>
      <c r="F24" s="55" t="s">
        <v>674</v>
      </c>
      <c r="G24" s="55">
        <v>1840.0</v>
      </c>
      <c r="H24" s="55" t="s">
        <v>1137</v>
      </c>
      <c r="I24" s="115" t="s">
        <v>1294</v>
      </c>
      <c r="J24" s="95" t="s">
        <v>1295</v>
      </c>
      <c r="K24" s="55" t="s">
        <v>61</v>
      </c>
      <c r="L24" s="55" t="s">
        <v>1141</v>
      </c>
      <c r="M24" s="55" t="s">
        <v>78</v>
      </c>
      <c r="N24" s="55" t="s">
        <v>1135</v>
      </c>
      <c r="O24" s="55" t="s">
        <v>1142</v>
      </c>
      <c r="P24" s="55" t="s">
        <v>110</v>
      </c>
      <c r="Q24" s="67" t="str">
        <f>IFERROR(__xludf.DUMMYFUNCTION("""COMPUTED_VALUE"""),"Europe.giaotiep.M369CVS_PTD_Tiktok_NamNH_110125")</f>
        <v>Europe.giaotiep.M369CVS_PTD_Tiktok_NamNH_110125</v>
      </c>
      <c r="R24" s="67" t="str">
        <f>IFERROR(__xludf.DUMMYFUNCTION("""COMPUTED_VALUE"""),"NEW_Europe_1840_none_110125")</f>
        <v>NEW_Europe_1840_none_110125</v>
      </c>
      <c r="S24" s="67" t="str">
        <f>IFERROR(__xludf.DUMMYFUNCTION("""COMPUTED_VALUE"""),"saletructiep_Europe.C2.1840.M369_THCNGDP_LD153")</f>
        <v>saletructiep_Europe.C2.1840.M369_THCNGDP_LD153</v>
      </c>
      <c r="T24" s="107" t="str">
        <f>IFERROR(__xludf.DUMMYFUNCTION("""COMPUTED_VALUE"""),"https://patadovietnam.edu.vn/tienganhgiaotiep_hn/?utm_source=Tiktok&amp;utm_medium=CVS&amp;utm_term=NEW_Europe_1840_none_110125&amp;utm_content=saletructiep_Europe.C2.1840.M369_THCNGDP_LD153&amp;utm_campaign=Europe.giaotiep.M369CVS_PTD_Tiktok_NamNH_110125")</f>
        <v>https://patadovietnam.edu.vn/tienganhgiaotiep_hn/?utm_source=Tiktok&amp;utm_medium=CVS&amp;utm_term=NEW_Europe_1840_none_110125&amp;utm_content=saletructiep_Europe.C2.1840.M369_THCNGDP_LD153&amp;utm_campaign=Europe.giaotiep.M369CVS_PTD_Tiktok_NamNH_110125</v>
      </c>
      <c r="U24" s="118"/>
    </row>
    <row r="25">
      <c r="A25" s="72">
        <v>45668.0</v>
      </c>
      <c r="B25" s="75" t="s">
        <v>1229</v>
      </c>
      <c r="C25" s="67" t="str">
        <f>IFERROR(__xludf.DUMMYFUNCTION("""COMPUTED_VALUE"""),"LD164")</f>
        <v>LD164</v>
      </c>
      <c r="D25" s="55" t="s">
        <v>1135</v>
      </c>
      <c r="E25" s="55" t="s">
        <v>69</v>
      </c>
      <c r="F25" s="55" t="s">
        <v>133</v>
      </c>
      <c r="G25" s="55">
        <v>1840.0</v>
      </c>
      <c r="H25" s="55" t="s">
        <v>1137</v>
      </c>
      <c r="I25" s="115" t="s">
        <v>1300</v>
      </c>
      <c r="J25" s="95" t="s">
        <v>1301</v>
      </c>
      <c r="K25" s="55" t="s">
        <v>61</v>
      </c>
      <c r="L25" s="55" t="s">
        <v>1141</v>
      </c>
      <c r="M25" s="55" t="s">
        <v>78</v>
      </c>
      <c r="N25" s="55" t="s">
        <v>1135</v>
      </c>
      <c r="O25" s="55" t="s">
        <v>1142</v>
      </c>
      <c r="P25" s="55" t="s">
        <v>110</v>
      </c>
      <c r="Q25" s="67" t="str">
        <f>IFERROR(__xludf.DUMMYFUNCTION("""COMPUTED_VALUE"""),"Japan.giaotiep.M369CVS_PTD_Tiktok_NamNH_110125")</f>
        <v>Japan.giaotiep.M369CVS_PTD_Tiktok_NamNH_110125</v>
      </c>
      <c r="R25" s="67" t="str">
        <f>IFERROR(__xludf.DUMMYFUNCTION("""COMPUTED_VALUE"""),"NEW_Japan_1840_none_110125")</f>
        <v>NEW_Japan_1840_none_110125</v>
      </c>
      <c r="S25" s="67" t="str">
        <f>IFERROR(__xludf.DUMMYFUNCTION("""COMPUTED_VALUE"""),"saletructiep_Japan.M369CVS.1840.M356_THCNGDP_LD164")</f>
        <v>saletructiep_Japan.M369CVS.1840.M356_THCNGDP_LD164</v>
      </c>
      <c r="T25" s="107" t="str">
        <f>IFERROR(__xludf.DUMMYFUNCTION("""COMPUTED_VALUE"""),"https://patadovietnam.edu.vn/gtjapan_nhn3/?utm_source=Tiktok&amp;utm_medium=CVS&amp;utm_term=NEW_Japan_1840_none_110125&amp;utm_content=saletructiep_Japan.M369CVS.1840.M356_THCNGDP_LD164&amp;utm_campaign=Japan.giaotiep.M369CVS_PTD_Tiktok_NamNH_110125")</f>
        <v>https://patadovietnam.edu.vn/gtjapan_nhn3/?utm_source=Tiktok&amp;utm_medium=CVS&amp;utm_term=NEW_Japan_1840_none_110125&amp;utm_content=saletructiep_Japan.M369CVS.1840.M356_THCNGDP_LD164&amp;utm_campaign=Japan.giaotiep.M369CVS_PTD_Tiktok_NamNH_110125</v>
      </c>
      <c r="U25" s="118"/>
    </row>
    <row r="26">
      <c r="A26" s="72">
        <v>45695.0</v>
      </c>
      <c r="B26" s="75" t="s">
        <v>1229</v>
      </c>
      <c r="C26" s="67" t="str">
        <f>IFERROR(__xludf.DUMMYFUNCTION("""COMPUTED_VALUE"""),"LD164")</f>
        <v>LD164</v>
      </c>
      <c r="D26" s="55" t="s">
        <v>1135</v>
      </c>
      <c r="E26" s="55" t="s">
        <v>69</v>
      </c>
      <c r="F26" s="55" t="s">
        <v>133</v>
      </c>
      <c r="G26" s="55">
        <v>1840.0</v>
      </c>
      <c r="H26" s="55" t="s">
        <v>1137</v>
      </c>
      <c r="I26" s="115" t="s">
        <v>1305</v>
      </c>
      <c r="J26" s="95" t="s">
        <v>1306</v>
      </c>
      <c r="K26" s="55" t="s">
        <v>61</v>
      </c>
      <c r="L26" s="55" t="s">
        <v>1141</v>
      </c>
      <c r="M26" s="55" t="s">
        <v>78</v>
      </c>
      <c r="N26" s="55" t="s">
        <v>1135</v>
      </c>
      <c r="O26" s="55" t="s">
        <v>1142</v>
      </c>
      <c r="P26" s="55" t="s">
        <v>110</v>
      </c>
      <c r="Q26" s="67" t="str">
        <f>IFERROR(__xludf.DUMMYFUNCTION("""COMPUTED_VALUE"""),"Japan.giaotiep.TNM123CVS_PTD_Tiktok_NamNH_070225")</f>
        <v>Japan.giaotiep.TNM123CVS_PTD_Tiktok_NamNH_070225</v>
      </c>
      <c r="R26" s="67" t="str">
        <f>IFERROR(__xludf.DUMMYFUNCTION("""COMPUTED_VALUE"""),"NEW_Japan_1840_none_070225")</f>
        <v>NEW_Japan_1840_none_070225</v>
      </c>
      <c r="S26" s="67" t="str">
        <f>IFERROR(__xludf.DUMMYFUNCTION("""COMPUTED_VALUE"""),"saletructiep_Japan.TNM123CVS.1840.M123_THCNGDP_LD164")</f>
        <v>saletructiep_Japan.TNM123CVS.1840.M123_THCNGDP_LD164</v>
      </c>
      <c r="T26" s="107" t="str">
        <f>IFERROR(__xludf.DUMMYFUNCTION("""COMPUTED_VALUE"""),"https://patadovietnam.edu.vn/gtjapan_nhn3/?utm_source=Tiktok&amp;utm_medium=CVS&amp;utm_term=NEW_Japan_1840_none_070225&amp;utm_content=saletructiep_Japan.TNM123CVS.1840.M123_THCNGDP_LD164&amp;utm_campaign=Japan.giaotiep.TNM123CVS_PTD_Tiktok_NamNH_070225")</f>
        <v>https://patadovietnam.edu.vn/gtjapan_nhn3/?utm_source=Tiktok&amp;utm_medium=CVS&amp;utm_term=NEW_Japan_1840_none_070225&amp;utm_content=saletructiep_Japan.TNM123CVS.1840.M123_THCNGDP_LD164&amp;utm_campaign=Japan.giaotiep.TNM123CVS_PTD_Tiktok_NamNH_070225</v>
      </c>
      <c r="U26" s="118"/>
    </row>
    <row r="27">
      <c r="A27" s="72">
        <v>45695.0</v>
      </c>
      <c r="B27" s="75" t="s">
        <v>1229</v>
      </c>
      <c r="C27" s="67" t="str">
        <f>IFERROR(__xludf.DUMMYFUNCTION("""COMPUTED_VALUE"""),"LD164")</f>
        <v>LD164</v>
      </c>
      <c r="D27" s="55" t="s">
        <v>1135</v>
      </c>
      <c r="E27" s="55" t="s">
        <v>79</v>
      </c>
      <c r="F27" s="55" t="s">
        <v>133</v>
      </c>
      <c r="G27" s="55">
        <v>1840.0</v>
      </c>
      <c r="H27" s="55" t="s">
        <v>1137</v>
      </c>
      <c r="I27" s="115" t="s">
        <v>1310</v>
      </c>
      <c r="J27" s="95" t="s">
        <v>1311</v>
      </c>
      <c r="K27" s="55" t="s">
        <v>61</v>
      </c>
      <c r="L27" s="55" t="s">
        <v>1141</v>
      </c>
      <c r="M27" s="55" t="s">
        <v>78</v>
      </c>
      <c r="N27" s="55" t="s">
        <v>1135</v>
      </c>
      <c r="O27" s="55" t="s">
        <v>1142</v>
      </c>
      <c r="P27" s="55" t="s">
        <v>110</v>
      </c>
      <c r="Q27" s="67" t="str">
        <f>IFERROR(__xludf.DUMMYFUNCTION("""COMPUTED_VALUE"""),"Japan.giaotiep.M300MES_PTD_Tiktok_NamNH_070225")</f>
        <v>Japan.giaotiep.M300MES_PTD_Tiktok_NamNH_070225</v>
      </c>
      <c r="R27" s="67" t="str">
        <f>IFERROR(__xludf.DUMMYFUNCTION("""COMPUTED_VALUE"""),"NEW_Japan_1840_none_070225")</f>
        <v>NEW_Japan_1840_none_070225</v>
      </c>
      <c r="S27" s="67" t="str">
        <f>IFERROR(__xludf.DUMMYFUNCTION("""COMPUTED_VALUE"""),"saletructiep_Japan.M300MES.1840.M123_THCNGDP_LD164")</f>
        <v>saletructiep_Japan.M300MES.1840.M123_THCNGDP_LD164</v>
      </c>
      <c r="T27" s="107" t="str">
        <f>IFERROR(__xludf.DUMMYFUNCTION("""COMPUTED_VALUE"""),"https://patadovietnam.edu.vn/gtjapan_nhn3/?utm_source=Tiktok&amp;utm_medium=MES&amp;utm_term=NEW_Japan_1840_none_070225&amp;utm_content=saletructiep_Japan.M300MES.1840.M123_THCNGDP_LD164&amp;utm_campaign=Japan.giaotiep.M300MES_PTD_Tiktok_NamNH_070225")</f>
        <v>https://patadovietnam.edu.vn/gtjapan_nhn3/?utm_source=Tiktok&amp;utm_medium=MES&amp;utm_term=NEW_Japan_1840_none_070225&amp;utm_content=saletructiep_Japan.M300MES.1840.M123_THCNGDP_LD164&amp;utm_campaign=Japan.giaotiep.M300MES_PTD_Tiktok_NamNH_070225</v>
      </c>
      <c r="U27" s="118"/>
    </row>
    <row r="28">
      <c r="A28" s="72">
        <v>45695.0</v>
      </c>
      <c r="B28" s="75" t="s">
        <v>1229</v>
      </c>
      <c r="C28" s="67" t="str">
        <f>IFERROR(__xludf.DUMMYFUNCTION("""COMPUTED_VALUE"""),"LD164")</f>
        <v>LD164</v>
      </c>
      <c r="D28" s="55" t="s">
        <v>1135</v>
      </c>
      <c r="E28" s="55" t="s">
        <v>69</v>
      </c>
      <c r="F28" s="55" t="s">
        <v>133</v>
      </c>
      <c r="G28" s="55">
        <v>1840.0</v>
      </c>
      <c r="H28" s="55" t="s">
        <v>1137</v>
      </c>
      <c r="I28" s="115" t="s">
        <v>1315</v>
      </c>
      <c r="J28" s="95" t="s">
        <v>1316</v>
      </c>
      <c r="K28" s="55" t="s">
        <v>61</v>
      </c>
      <c r="L28" s="55" t="s">
        <v>1141</v>
      </c>
      <c r="M28" s="55" t="s">
        <v>78</v>
      </c>
      <c r="N28" s="55" t="s">
        <v>1135</v>
      </c>
      <c r="O28" s="55" t="s">
        <v>1142</v>
      </c>
      <c r="P28" s="55" t="s">
        <v>110</v>
      </c>
      <c r="Q28" s="67" t="str">
        <f>IFERROR(__xludf.DUMMYFUNCTION("""COMPUTED_VALUE"""),"Japan.giaotiep.M106CVS_PTD_Tiktok_NamNH_070225")</f>
        <v>Japan.giaotiep.M106CVS_PTD_Tiktok_NamNH_070225</v>
      </c>
      <c r="R28" s="67" t="str">
        <f>IFERROR(__xludf.DUMMYFUNCTION("""COMPUTED_VALUE"""),"NEW_Japan_1840_none_070225")</f>
        <v>NEW_Japan_1840_none_070225</v>
      </c>
      <c r="S28" s="67" t="str">
        <f>IFERROR(__xludf.DUMMYFUNCTION("""COMPUTED_VALUE"""),"saletructiep_Japan.M106CVS.1840.M123_THCNGDP_LD164")</f>
        <v>saletructiep_Japan.M106CVS.1840.M123_THCNGDP_LD164</v>
      </c>
      <c r="T28" s="107" t="str">
        <f>IFERROR(__xludf.DUMMYFUNCTION("""COMPUTED_VALUE"""),"https://patadovietnam.edu.vn/gtjapan_nhn3/?utm_source=Tiktok&amp;utm_medium=CVS&amp;utm_term=NEW_Japan_1840_none_070225&amp;utm_content=saletructiep_Japan.M106CVS.1840.M123_THCNGDP_LD164&amp;utm_campaign=Japan.giaotiep.M106CVS_PTD_Tiktok_NamNH_070225")</f>
        <v>https://patadovietnam.edu.vn/gtjapan_nhn3/?utm_source=Tiktok&amp;utm_medium=CVS&amp;utm_term=NEW_Japan_1840_none_070225&amp;utm_content=saletructiep_Japan.M106CVS.1840.M123_THCNGDP_LD164&amp;utm_campaign=Japan.giaotiep.M106CVS_PTD_Tiktok_NamNH_070225</v>
      </c>
      <c r="U28" s="118"/>
    </row>
    <row r="29">
      <c r="A29" s="72">
        <v>45695.0</v>
      </c>
      <c r="B29" s="75" t="s">
        <v>1134</v>
      </c>
      <c r="C29" s="67" t="str">
        <f>IFERROR(__xludf.DUMMYFUNCTION("""COMPUTED_VALUE"""),"LD153")</f>
        <v>LD153</v>
      </c>
      <c r="D29" s="55" t="s">
        <v>1135</v>
      </c>
      <c r="E29" s="55" t="s">
        <v>69</v>
      </c>
      <c r="F29" s="55" t="s">
        <v>133</v>
      </c>
      <c r="G29" s="55">
        <v>1840.0</v>
      </c>
      <c r="H29" s="55" t="s">
        <v>1137</v>
      </c>
      <c r="I29" s="115" t="s">
        <v>1321</v>
      </c>
      <c r="J29" s="95" t="s">
        <v>1322</v>
      </c>
      <c r="K29" s="55" t="s">
        <v>61</v>
      </c>
      <c r="L29" s="55" t="s">
        <v>1141</v>
      </c>
      <c r="M29" s="55" t="s">
        <v>78</v>
      </c>
      <c r="N29" s="55" t="s">
        <v>1135</v>
      </c>
      <c r="O29" s="55" t="s">
        <v>1142</v>
      </c>
      <c r="P29" s="55" t="s">
        <v>110</v>
      </c>
      <c r="Q29" s="67" t="str">
        <f>IFERROR(__xludf.DUMMYFUNCTION("""COMPUTED_VALUE"""),"Japan.giaotiep.M48CVS_PTD_Tiktok_NamNH_070225")</f>
        <v>Japan.giaotiep.M48CVS_PTD_Tiktok_NamNH_070225</v>
      </c>
      <c r="R29" s="67" t="str">
        <f>IFERROR(__xludf.DUMMYFUNCTION("""COMPUTED_VALUE"""),"NEW_Japan_1840_none_070225")</f>
        <v>NEW_Japan_1840_none_070225</v>
      </c>
      <c r="S29" s="67" t="str">
        <f>IFERROR(__xludf.DUMMYFUNCTION("""COMPUTED_VALUE"""),"saletructiep_Japan.M48CVS.1840.M356_THCNGDP_LD153")</f>
        <v>saletructiep_Japan.M48CVS.1840.M356_THCNGDP_LD153</v>
      </c>
      <c r="T29" s="107" t="str">
        <f>IFERROR(__xludf.DUMMYFUNCTION("""COMPUTED_VALUE"""),"https://patadovietnam.edu.vn/tienganhgiaotiep_hn/?utm_source=Tiktok&amp;utm_medium=CVS&amp;utm_term=NEW_Japan_1840_none_070225&amp;utm_content=saletructiep_Japan.M48CVS.1840.M356_THCNGDP_LD153&amp;utm_campaign=Japan.giaotiep.M48CVS_PTD_Tiktok_NamNH_070225")</f>
        <v>https://patadovietnam.edu.vn/tienganhgiaotiep_hn/?utm_source=Tiktok&amp;utm_medium=CVS&amp;utm_term=NEW_Japan_1840_none_070225&amp;utm_content=saletructiep_Japan.M48CVS.1840.M356_THCNGDP_LD153&amp;utm_campaign=Japan.giaotiep.M48CVS_PTD_Tiktok_NamNH_070225</v>
      </c>
      <c r="U29" s="118"/>
    </row>
    <row r="30">
      <c r="A30" s="72">
        <v>45695.0</v>
      </c>
      <c r="B30" s="75" t="s">
        <v>1229</v>
      </c>
      <c r="C30" s="67" t="str">
        <f>IFERROR(__xludf.DUMMYFUNCTION("""COMPUTED_VALUE"""),"LD164")</f>
        <v>LD164</v>
      </c>
      <c r="D30" s="55" t="s">
        <v>1135</v>
      </c>
      <c r="E30" s="55" t="s">
        <v>69</v>
      </c>
      <c r="F30" s="55" t="s">
        <v>133</v>
      </c>
      <c r="G30" s="55">
        <v>1840.0</v>
      </c>
      <c r="H30" s="55" t="s">
        <v>1137</v>
      </c>
      <c r="I30" s="115" t="s">
        <v>1328</v>
      </c>
      <c r="J30" s="95" t="s">
        <v>1329</v>
      </c>
      <c r="K30" s="55" t="s">
        <v>61</v>
      </c>
      <c r="L30" s="55" t="s">
        <v>1141</v>
      </c>
      <c r="M30" s="55" t="s">
        <v>78</v>
      </c>
      <c r="N30" s="55" t="s">
        <v>1135</v>
      </c>
      <c r="O30" s="55" t="s">
        <v>1142</v>
      </c>
      <c r="P30" s="55" t="s">
        <v>110</v>
      </c>
      <c r="Q30" s="67" t="str">
        <f>IFERROR(__xludf.DUMMYFUNCTION("""COMPUTED_VALUE"""),"Japan.giaotiep.M12CVS_PTD_Tiktok_NamNH_070225")</f>
        <v>Japan.giaotiep.M12CVS_PTD_Tiktok_NamNH_070225</v>
      </c>
      <c r="R30" s="67" t="str">
        <f>IFERROR(__xludf.DUMMYFUNCTION("""COMPUTED_VALUE"""),"NEW_Japan_1840_none_070225")</f>
        <v>NEW_Japan_1840_none_070225</v>
      </c>
      <c r="S30" s="67" t="str">
        <f>IFERROR(__xludf.DUMMYFUNCTION("""COMPUTED_VALUE"""),"saletructiep_Japan.M12CVS.1840.M356_THCNGDP_LD164")</f>
        <v>saletructiep_Japan.M12CVS.1840.M356_THCNGDP_LD164</v>
      </c>
      <c r="T30" s="107" t="str">
        <f>IFERROR(__xludf.DUMMYFUNCTION("""COMPUTED_VALUE"""),"https://patadovietnam.edu.vn/gtjapan_nhn3/?utm_source=Tiktok&amp;utm_medium=CVS&amp;utm_term=NEW_Japan_1840_none_070225&amp;utm_content=saletructiep_Japan.M12CVS.1840.M356_THCNGDP_LD164&amp;utm_campaign=Japan.giaotiep.M12CVS_PTD_Tiktok_NamNH_070225")</f>
        <v>https://patadovietnam.edu.vn/gtjapan_nhn3/?utm_source=Tiktok&amp;utm_medium=CVS&amp;utm_term=NEW_Japan_1840_none_070225&amp;utm_content=saletructiep_Japan.M12CVS.1840.M356_THCNGDP_LD164&amp;utm_campaign=Japan.giaotiep.M12CVS_PTD_Tiktok_NamNH_070225</v>
      </c>
      <c r="U30" s="118"/>
    </row>
    <row r="31">
      <c r="A31" s="72">
        <v>45699.0</v>
      </c>
      <c r="B31" s="75" t="s">
        <v>1134</v>
      </c>
      <c r="C31" s="67" t="str">
        <f>IFERROR(__xludf.DUMMYFUNCTION("""COMPUTED_VALUE"""),"LD153")</f>
        <v>LD153</v>
      </c>
      <c r="D31" s="55" t="s">
        <v>1135</v>
      </c>
      <c r="E31" s="55" t="s">
        <v>69</v>
      </c>
      <c r="F31" s="55" t="s">
        <v>674</v>
      </c>
      <c r="G31" s="55">
        <v>1840.0</v>
      </c>
      <c r="H31" s="55" t="s">
        <v>1137</v>
      </c>
      <c r="I31" s="115" t="s">
        <v>1333</v>
      </c>
      <c r="J31" s="95" t="s">
        <v>1334</v>
      </c>
      <c r="K31" s="55" t="s">
        <v>61</v>
      </c>
      <c r="L31" s="55" t="s">
        <v>1141</v>
      </c>
      <c r="M31" s="55" t="s">
        <v>78</v>
      </c>
      <c r="N31" s="55" t="s">
        <v>1135</v>
      </c>
      <c r="O31" s="55" t="s">
        <v>1142</v>
      </c>
      <c r="P31" s="55" t="s">
        <v>110</v>
      </c>
      <c r="Q31" s="67" t="str">
        <f>IFERROR(__xludf.DUMMYFUNCTION("""COMPUTED_VALUE"""),"Europe.giaotiep.M391CVS_PTD_Tiktok_NamNH_110225")</f>
        <v>Europe.giaotiep.M391CVS_PTD_Tiktok_NamNH_110225</v>
      </c>
      <c r="R31" s="67" t="str">
        <f>IFERROR(__xludf.DUMMYFUNCTION("""COMPUTED_VALUE"""),"NEW_Europe_1840_none_110225")</f>
        <v>NEW_Europe_1840_none_110225</v>
      </c>
      <c r="S31" s="67" t="str">
        <f>IFERROR(__xludf.DUMMYFUNCTION("""COMPUTED_VALUE"""),"saletructiep_Europe.C2.1840.M369CVS_THCNGDP_LD153")</f>
        <v>saletructiep_Europe.C2.1840.M369CVS_THCNGDP_LD153</v>
      </c>
      <c r="T31" s="107" t="str">
        <f>IFERROR(__xludf.DUMMYFUNCTION("""COMPUTED_VALUE"""),"https://patadovietnam.edu.vn/tienganhgiaotiep_hn/?utm_source=Tiktok&amp;utm_medium=CVS&amp;utm_term=NEW_Europe_1840_none_110225&amp;utm_content=saletructiep_Europe.C2.1840.M369CVS_THCNGDP_LD153&amp;utm_campaign=Europe.giaotiep.M391CVS_PTD_Tiktok_NamNH_110225")</f>
        <v>https://patadovietnam.edu.vn/tienganhgiaotiep_hn/?utm_source=Tiktok&amp;utm_medium=CVS&amp;utm_term=NEW_Europe_1840_none_110225&amp;utm_content=saletructiep_Europe.C2.1840.M369CVS_THCNGDP_LD153&amp;utm_campaign=Europe.giaotiep.M391CVS_PTD_Tiktok_NamNH_110225</v>
      </c>
      <c r="U31" s="118"/>
    </row>
    <row r="32">
      <c r="A32" s="72">
        <v>45699.0</v>
      </c>
      <c r="B32" s="60" t="s">
        <v>1134</v>
      </c>
      <c r="C32" s="67" t="str">
        <f>IFERROR(__xludf.DUMMYFUNCTION("""COMPUTED_VALUE"""),"LD153")</f>
        <v>LD153</v>
      </c>
      <c r="D32" s="55" t="s">
        <v>1135</v>
      </c>
      <c r="E32" s="55" t="s">
        <v>79</v>
      </c>
      <c r="F32" s="55" t="s">
        <v>674</v>
      </c>
      <c r="G32" s="55">
        <v>1840.0</v>
      </c>
      <c r="H32" s="55" t="s">
        <v>1137</v>
      </c>
      <c r="I32" s="115" t="s">
        <v>1337</v>
      </c>
      <c r="J32" s="95" t="s">
        <v>1338</v>
      </c>
      <c r="K32" s="55" t="s">
        <v>61</v>
      </c>
      <c r="L32" s="55" t="s">
        <v>1141</v>
      </c>
      <c r="M32" s="55" t="s">
        <v>78</v>
      </c>
      <c r="N32" s="55" t="s">
        <v>1135</v>
      </c>
      <c r="O32" s="55" t="s">
        <v>1142</v>
      </c>
      <c r="P32" s="55" t="s">
        <v>110</v>
      </c>
      <c r="Q32" s="67" t="str">
        <f>IFERROR(__xludf.DUMMYFUNCTION("""COMPUTED_VALUE"""),"Europe.giaotiep.M300MES_PTD_Tiktok_NamNH_110225")</f>
        <v>Europe.giaotiep.M300MES_PTD_Tiktok_NamNH_110225</v>
      </c>
      <c r="R32" s="67" t="str">
        <f>IFERROR(__xludf.DUMMYFUNCTION("""COMPUTED_VALUE"""),"NEW_Europe_1840_none_110225")</f>
        <v>NEW_Europe_1840_none_110225</v>
      </c>
      <c r="S32" s="67" t="str">
        <f>IFERROR(__xludf.DUMMYFUNCTION("""COMPUTED_VALUE"""),"saletructiep_Europe.M300MES.1840.M300MES_THCNGDP_LD153")</f>
        <v>saletructiep_Europe.M300MES.1840.M300MES_THCNGDP_LD153</v>
      </c>
      <c r="T32" s="107" t="str">
        <f>IFERROR(__xludf.DUMMYFUNCTION("""COMPUTED_VALUE"""),"https://patadovietnam.edu.vn/tienganhgiaotiep_hn/?utm_source=Tiktok&amp;utm_medium=MES&amp;utm_term=NEW_Europe_1840_none_110225&amp;utm_content=saletructiep_Europe.M300MES.1840.M300MES_THCNGDP_LD153&amp;utm_campaign=Europe.giaotiep.M300MES_PTD_Tiktok_NamNH_110225")</f>
        <v>https://patadovietnam.edu.vn/tienganhgiaotiep_hn/?utm_source=Tiktok&amp;utm_medium=MES&amp;utm_term=NEW_Europe_1840_none_110225&amp;utm_content=saletructiep_Europe.M300MES.1840.M300MES_THCNGDP_LD153&amp;utm_campaign=Europe.giaotiep.M300MES_PTD_Tiktok_NamNH_110225</v>
      </c>
      <c r="U32" s="118"/>
    </row>
    <row r="33">
      <c r="A33" s="72">
        <v>45699.0</v>
      </c>
      <c r="B33" s="75" t="s">
        <v>1229</v>
      </c>
      <c r="C33" s="67" t="str">
        <f>IFERROR(__xludf.DUMMYFUNCTION("""COMPUTED_VALUE"""),"LD164")</f>
        <v>LD164</v>
      </c>
      <c r="D33" s="55" t="s">
        <v>1135</v>
      </c>
      <c r="E33" s="55" t="s">
        <v>69</v>
      </c>
      <c r="F33" s="55" t="s">
        <v>133</v>
      </c>
      <c r="G33" s="55">
        <v>1840.0</v>
      </c>
      <c r="H33" s="55" t="s">
        <v>1137</v>
      </c>
      <c r="I33" s="115" t="s">
        <v>1343</v>
      </c>
      <c r="J33" s="95" t="s">
        <v>1344</v>
      </c>
      <c r="K33" s="55" t="s">
        <v>61</v>
      </c>
      <c r="L33" s="55" t="s">
        <v>1141</v>
      </c>
      <c r="M33" s="55" t="s">
        <v>78</v>
      </c>
      <c r="N33" s="55" t="s">
        <v>1135</v>
      </c>
      <c r="O33" s="55" t="s">
        <v>1142</v>
      </c>
      <c r="P33" s="55" t="s">
        <v>110</v>
      </c>
      <c r="Q33" s="67" t="str">
        <f>IFERROR(__xludf.DUMMYFUNCTION("""COMPUTED_VALUE"""),"Japan.giaotiep.M391CVS_PTD_Tiktok_NamNH_110225")</f>
        <v>Japan.giaotiep.M391CVS_PTD_Tiktok_NamNH_110225</v>
      </c>
      <c r="R33" s="67" t="str">
        <f>IFERROR(__xludf.DUMMYFUNCTION("""COMPUTED_VALUE"""),"NEW_Japan_1840_none_110225")</f>
        <v>NEW_Japan_1840_none_110225</v>
      </c>
      <c r="S33" s="67" t="str">
        <f>IFERROR(__xludf.DUMMYFUNCTION("""COMPUTED_VALUE"""),"saletructiep_Japan.M391CVS.1840.M391_THCNGDP_LD164")</f>
        <v>saletructiep_Japan.M391CVS.1840.M391_THCNGDP_LD164</v>
      </c>
      <c r="T33" s="107" t="str">
        <f>IFERROR(__xludf.DUMMYFUNCTION("""COMPUTED_VALUE"""),"https://patadovietnam.edu.vn/gtjapan_nhn3/?utm_source=Tiktok&amp;utm_medium=CVS&amp;utm_term=NEW_Japan_1840_none_110225&amp;utm_content=saletructiep_Japan.M391CVS.1840.M391_THCNGDP_LD164&amp;utm_campaign=Japan.giaotiep.M391CVS_PTD_Tiktok_NamNH_110225")</f>
        <v>https://patadovietnam.edu.vn/gtjapan_nhn3/?utm_source=Tiktok&amp;utm_medium=CVS&amp;utm_term=NEW_Japan_1840_none_110225&amp;utm_content=saletructiep_Japan.M391CVS.1840.M391_THCNGDP_LD164&amp;utm_campaign=Japan.giaotiep.M391CVS_PTD_Tiktok_NamNH_110225</v>
      </c>
      <c r="U33" s="118"/>
    </row>
    <row r="34">
      <c r="A34" s="72">
        <v>45699.0</v>
      </c>
      <c r="B34" s="75" t="s">
        <v>1229</v>
      </c>
      <c r="C34" s="67" t="str">
        <f>IFERROR(__xludf.DUMMYFUNCTION("""COMPUTED_VALUE"""),"LD164")</f>
        <v>LD164</v>
      </c>
      <c r="D34" s="55" t="s">
        <v>1135</v>
      </c>
      <c r="E34" s="55" t="s">
        <v>79</v>
      </c>
      <c r="F34" s="55" t="s">
        <v>133</v>
      </c>
      <c r="G34" s="55">
        <v>1840.0</v>
      </c>
      <c r="H34" s="55" t="s">
        <v>1137</v>
      </c>
      <c r="I34" s="115" t="s">
        <v>1346</v>
      </c>
      <c r="J34" s="95" t="s">
        <v>1347</v>
      </c>
      <c r="K34" s="55" t="s">
        <v>61</v>
      </c>
      <c r="L34" s="55" t="s">
        <v>1141</v>
      </c>
      <c r="M34" s="55" t="s">
        <v>78</v>
      </c>
      <c r="N34" s="55" t="s">
        <v>1135</v>
      </c>
      <c r="O34" s="55" t="s">
        <v>1142</v>
      </c>
      <c r="P34" s="55" t="s">
        <v>110</v>
      </c>
      <c r="Q34" s="67" t="str">
        <f>IFERROR(__xludf.DUMMYFUNCTION("""COMPUTED_VALUE"""),"Japan.giaotiep.M393MES_PTD_Tiktok_NamNH_110225")</f>
        <v>Japan.giaotiep.M393MES_PTD_Tiktok_NamNH_110225</v>
      </c>
      <c r="R34" s="67" t="str">
        <f>IFERROR(__xludf.DUMMYFUNCTION("""COMPUTED_VALUE"""),"NEW_Japan_1840_none_110225")</f>
        <v>NEW_Japan_1840_none_110225</v>
      </c>
      <c r="S34" s="67" t="str">
        <f>IFERROR(__xludf.DUMMYFUNCTION("""COMPUTED_VALUE"""),"saletructiep_Japan.M393MES.1840.M123_THCNGDP_LD164")</f>
        <v>saletructiep_Japan.M393MES.1840.M123_THCNGDP_LD164</v>
      </c>
      <c r="T34" s="107" t="str">
        <f>IFERROR(__xludf.DUMMYFUNCTION("""COMPUTED_VALUE"""),"https://patadovietnam.edu.vn/gtjapan_nhn3/?utm_source=Tiktok&amp;utm_medium=MES&amp;utm_term=NEW_Japan_1840_none_110225&amp;utm_content=saletructiep_Japan.M393MES.1840.M123_THCNGDP_LD164&amp;utm_campaign=Japan.giaotiep.M393MES_PTD_Tiktok_NamNH_110225")</f>
        <v>https://patadovietnam.edu.vn/gtjapan_nhn3/?utm_source=Tiktok&amp;utm_medium=MES&amp;utm_term=NEW_Japan_1840_none_110225&amp;utm_content=saletructiep_Japan.M393MES.1840.M123_THCNGDP_LD164&amp;utm_campaign=Japan.giaotiep.M393MES_PTD_Tiktok_NamNH_110225</v>
      </c>
      <c r="U34" s="118"/>
    </row>
    <row r="35">
      <c r="A35" s="72">
        <v>45703.0</v>
      </c>
      <c r="B35" s="75" t="s">
        <v>1134</v>
      </c>
      <c r="C35" s="67" t="str">
        <f>IFERROR(__xludf.DUMMYFUNCTION("""COMPUTED_VALUE"""),"LD153")</f>
        <v>LD153</v>
      </c>
      <c r="D35" s="55" t="s">
        <v>1135</v>
      </c>
      <c r="E35" s="55" t="s">
        <v>69</v>
      </c>
      <c r="F35" s="55" t="s">
        <v>625</v>
      </c>
      <c r="G35" s="55">
        <v>1840.0</v>
      </c>
      <c r="H35" s="55" t="s">
        <v>1137</v>
      </c>
      <c r="I35" s="115" t="s">
        <v>1352</v>
      </c>
      <c r="J35" s="95" t="s">
        <v>1354</v>
      </c>
      <c r="K35" s="55" t="s">
        <v>61</v>
      </c>
      <c r="L35" s="55" t="s">
        <v>1141</v>
      </c>
      <c r="M35" s="55" t="s">
        <v>78</v>
      </c>
      <c r="N35" s="55" t="s">
        <v>1135</v>
      </c>
      <c r="O35" s="55" t="s">
        <v>1142</v>
      </c>
      <c r="P35" s="55" t="s">
        <v>110</v>
      </c>
      <c r="Q35" s="67" t="str">
        <f>IFERROR(__xludf.DUMMYFUNCTION("""COMPUTED_VALUE"""),"KoreaSouth.giaotiep.M123CVS_PTD_Tiktok_NamNH_150225")</f>
        <v>KoreaSouth.giaotiep.M123CVS_PTD_Tiktok_NamNH_150225</v>
      </c>
      <c r="R35" s="67" t="str">
        <f>IFERROR(__xludf.DUMMYFUNCTION("""COMPUTED_VALUE"""),"NEW_KoreaSouth_1840_none_150225")</f>
        <v>NEW_KoreaSouth_1840_none_150225</v>
      </c>
      <c r="S35" s="67" t="str">
        <f>IFERROR(__xludf.DUMMYFUNCTION("""COMPUTED_VALUE"""),"saletructiep_KoreaSouth.M123CVS.1840.M123CVS_THCNGDP_LD153")</f>
        <v>saletructiep_KoreaSouth.M123CVS.1840.M123CVS_THCNGDP_LD153</v>
      </c>
      <c r="T35" s="107" t="str">
        <f>IFERROR(__xludf.DUMMYFUNCTION("""COMPUTED_VALUE"""),"https://patadovietnam.edu.vn/tienganhgiaotiep_hn/?utm_source=Tiktok&amp;utm_medium=CVS&amp;utm_term=NEW_KoreaSouth_1840_none_150225&amp;utm_content=saletructiep_KoreaSouth.M123CVS.1840.M123CVS_THCNGDP_LD153&amp;utm_campaign=KoreaSouth.giaotiep.M123CVS_PTD_Tiktok_NamNH_15"&amp;"0225")</f>
        <v>https://patadovietnam.edu.vn/tienganhgiaotiep_hn/?utm_source=Tiktok&amp;utm_medium=CVS&amp;utm_term=NEW_KoreaSouth_1840_none_150225&amp;utm_content=saletructiep_KoreaSouth.M123CVS.1840.M123CVS_THCNGDP_LD153&amp;utm_campaign=KoreaSouth.giaotiep.M123CVS_PTD_Tiktok_NamNH_150225</v>
      </c>
      <c r="U35" s="118"/>
    </row>
    <row r="36">
      <c r="A36" s="72">
        <v>45703.0</v>
      </c>
      <c r="B36" s="75" t="s">
        <v>1245</v>
      </c>
      <c r="C36" s="67" t="str">
        <f>IFERROR(__xludf.DUMMYFUNCTION("""COMPUTED_VALUE"""),"LD161")</f>
        <v>LD161</v>
      </c>
      <c r="D36" s="55" t="s">
        <v>1135</v>
      </c>
      <c r="E36" s="55" t="s">
        <v>69</v>
      </c>
      <c r="F36" s="55" t="s">
        <v>107</v>
      </c>
      <c r="G36" s="55">
        <v>1840.0</v>
      </c>
      <c r="H36" s="55" t="s">
        <v>1137</v>
      </c>
      <c r="I36" s="115" t="s">
        <v>1362</v>
      </c>
      <c r="J36" s="95" t="s">
        <v>1363</v>
      </c>
      <c r="K36" s="55" t="s">
        <v>61</v>
      </c>
      <c r="L36" s="55" t="s">
        <v>1141</v>
      </c>
      <c r="M36" s="55" t="s">
        <v>78</v>
      </c>
      <c r="N36" s="55" t="s">
        <v>1135</v>
      </c>
      <c r="O36" s="55" t="s">
        <v>1142</v>
      </c>
      <c r="P36" s="55" t="s">
        <v>110</v>
      </c>
      <c r="Q36" s="67" t="str">
        <f>IFERROR(__xludf.DUMMYFUNCTION("""COMPUTED_VALUE"""),"UnitedStates.giaotiep.M123CVS_PTD_Tiktok_NamNH_150225")</f>
        <v>UnitedStates.giaotiep.M123CVS_PTD_Tiktok_NamNH_150225</v>
      </c>
      <c r="R36" s="67" t="str">
        <f>IFERROR(__xludf.DUMMYFUNCTION("""COMPUTED_VALUE"""),"NEW_UnitedStates_1840_none_150225")</f>
        <v>NEW_UnitedStates_1840_none_150225</v>
      </c>
      <c r="S36" s="67" t="str">
        <f>IFERROR(__xludf.DUMMYFUNCTION("""COMPUTED_VALUE"""),"saletructiep_UnitedStates.M123CVS.1840.M123CVS_THCNGDP_LD161")</f>
        <v>saletructiep_UnitedStates.M123CVS.1840.M123CVS_THCNGDP_LD161</v>
      </c>
      <c r="T36" s="107" t="str">
        <f>IFERROR(__xludf.DUMMYFUNCTION("""COMPUTED_VALUE"""),"https://patadovietnam.edu.vn/gtusa1_nhn/?utm_source=Tiktok&amp;utm_medium=CVS&amp;utm_term=NEW_UnitedStates_1840_none_150225&amp;utm_content=saletructiep_UnitedStates.M123CVS.1840.M123CVS_THCNGDP_LD161&amp;utm_campaign=UnitedStates.giaotiep.M123CVS_PTD_Tiktok_NamNH_15022"&amp;"5")</f>
        <v>https://patadovietnam.edu.vn/gtusa1_nhn/?utm_source=Tiktok&amp;utm_medium=CVS&amp;utm_term=NEW_UnitedStates_1840_none_150225&amp;utm_content=saletructiep_UnitedStates.M123CVS.1840.M123CVS_THCNGDP_LD161&amp;utm_campaign=UnitedStates.giaotiep.M123CVS_PTD_Tiktok_NamNH_150225</v>
      </c>
      <c r="U36" s="118"/>
    </row>
    <row r="37">
      <c r="A37" s="72">
        <v>45703.0</v>
      </c>
      <c r="B37" s="75" t="s">
        <v>1134</v>
      </c>
      <c r="C37" s="67" t="str">
        <f>IFERROR(__xludf.DUMMYFUNCTION("""COMPUTED_VALUE"""),"LD153")</f>
        <v>LD153</v>
      </c>
      <c r="D37" s="55" t="s">
        <v>1135</v>
      </c>
      <c r="E37" s="55" t="s">
        <v>79</v>
      </c>
      <c r="F37" s="55" t="s">
        <v>129</v>
      </c>
      <c r="G37" s="55">
        <v>1840.0</v>
      </c>
      <c r="H37" s="55" t="s">
        <v>1137</v>
      </c>
      <c r="I37" s="115" t="s">
        <v>1368</v>
      </c>
      <c r="J37" s="95" t="s">
        <v>1369</v>
      </c>
      <c r="K37" s="55" t="s">
        <v>61</v>
      </c>
      <c r="L37" s="55" t="s">
        <v>1141</v>
      </c>
      <c r="M37" s="55" t="s">
        <v>78</v>
      </c>
      <c r="N37" s="55" t="s">
        <v>1135</v>
      </c>
      <c r="O37" s="55" t="s">
        <v>1142</v>
      </c>
      <c r="P37" s="55" t="s">
        <v>110</v>
      </c>
      <c r="Q37" s="67" t="str">
        <f>IFERROR(__xludf.DUMMYFUNCTION("""COMPUTED_VALUE"""),"Australia.giaotiep.M123MES_PTD_Tiktok_NamNH_150225")</f>
        <v>Australia.giaotiep.M123MES_PTD_Tiktok_NamNH_150225</v>
      </c>
      <c r="R37" s="67" t="str">
        <f>IFERROR(__xludf.DUMMYFUNCTION("""COMPUTED_VALUE"""),"NEW_Australia_1840_none_150225")</f>
        <v>NEW_Australia_1840_none_150225</v>
      </c>
      <c r="S37" s="67" t="str">
        <f>IFERROR(__xludf.DUMMYFUNCTION("""COMPUTED_VALUE"""),"saletructiep_Australia.M123MES.1840.M123_THCNGDP_LD153")</f>
        <v>saletructiep_Australia.M123MES.1840.M123_THCNGDP_LD153</v>
      </c>
      <c r="T37" s="107" t="str">
        <f>IFERROR(__xludf.DUMMYFUNCTION("""COMPUTED_VALUE"""),"https://patadovietnam.edu.vn/tienganhgiaotiep_hn/?utm_source=Tiktok&amp;utm_medium=MES&amp;utm_term=NEW_Australia_1840_none_150225&amp;utm_content=saletructiep_Australia.M123MES.1840.M123_THCNGDP_LD153&amp;utm_campaign=Australia.giaotiep.M123MES_PTD_Tiktok_NamNH_150225")</f>
        <v>https://patadovietnam.edu.vn/tienganhgiaotiep_hn/?utm_source=Tiktok&amp;utm_medium=MES&amp;utm_term=NEW_Australia_1840_none_150225&amp;utm_content=saletructiep_Australia.M123MES.1840.M123_THCNGDP_LD153&amp;utm_campaign=Australia.giaotiep.M123MES_PTD_Tiktok_NamNH_150225</v>
      </c>
      <c r="U37" s="118"/>
    </row>
    <row r="38">
      <c r="A38" s="72">
        <v>45703.0</v>
      </c>
      <c r="B38" s="75" t="s">
        <v>1134</v>
      </c>
      <c r="C38" s="67" t="str">
        <f>IFERROR(__xludf.DUMMYFUNCTION("""COMPUTED_VALUE"""),"LD153")</f>
        <v>LD153</v>
      </c>
      <c r="D38" s="55" t="s">
        <v>1135</v>
      </c>
      <c r="E38" s="55" t="s">
        <v>69</v>
      </c>
      <c r="F38" s="55" t="s">
        <v>674</v>
      </c>
      <c r="G38" s="55">
        <v>1840.0</v>
      </c>
      <c r="H38" s="55" t="s">
        <v>1137</v>
      </c>
      <c r="I38" s="115" t="s">
        <v>1376</v>
      </c>
      <c r="J38" s="95" t="s">
        <v>1377</v>
      </c>
      <c r="K38" s="55" t="s">
        <v>61</v>
      </c>
      <c r="L38" s="55" t="s">
        <v>1141</v>
      </c>
      <c r="M38" s="55" t="s">
        <v>78</v>
      </c>
      <c r="N38" s="55" t="s">
        <v>1135</v>
      </c>
      <c r="O38" s="55" t="s">
        <v>1142</v>
      </c>
      <c r="P38" s="55" t="s">
        <v>110</v>
      </c>
      <c r="Q38" s="67" t="str">
        <f>IFERROR(__xludf.DUMMYFUNCTION("""COMPUTED_VALUE"""),"Europe.giaotiep.M123CVS_PTD_Tiktok_NamNH_150225")</f>
        <v>Europe.giaotiep.M123CVS_PTD_Tiktok_NamNH_150225</v>
      </c>
      <c r="R38" s="67" t="str">
        <f>IFERROR(__xludf.DUMMYFUNCTION("""COMPUTED_VALUE"""),"NEW_Europe_1840_none_150225")</f>
        <v>NEW_Europe_1840_none_150225</v>
      </c>
      <c r="S38" s="67" t="str">
        <f>IFERROR(__xludf.DUMMYFUNCTION("""COMPUTED_VALUE"""),"saletructiep_Europe.M123CVS.1840.M123CVS_THCNGDP_LD153")</f>
        <v>saletructiep_Europe.M123CVS.1840.M123CVS_THCNGDP_LD153</v>
      </c>
      <c r="T38" s="107" t="str">
        <f>IFERROR(__xludf.DUMMYFUNCTION("""COMPUTED_VALUE"""),"https://patadovietnam.edu.vn/tienganhgiaotiep_hn/?utm_source=Tiktok&amp;utm_medium=CVS&amp;utm_term=NEW_Europe_1840_none_150225&amp;utm_content=saletructiep_Europe.M123CVS.1840.M123CVS_THCNGDP_LD153&amp;utm_campaign=Europe.giaotiep.M123CVS_PTD_Tiktok_NamNH_150225")</f>
        <v>https://patadovietnam.edu.vn/tienganhgiaotiep_hn/?utm_source=Tiktok&amp;utm_medium=CVS&amp;utm_term=NEW_Europe_1840_none_150225&amp;utm_content=saletructiep_Europe.M123CVS.1840.M123CVS_THCNGDP_LD153&amp;utm_campaign=Europe.giaotiep.M123CVS_PTD_Tiktok_NamNH_150225</v>
      </c>
      <c r="U38" s="118"/>
    </row>
    <row r="39">
      <c r="A39" s="72">
        <v>45703.0</v>
      </c>
      <c r="B39" s="60" t="s">
        <v>1229</v>
      </c>
      <c r="C39" s="67" t="str">
        <f>IFERROR(__xludf.DUMMYFUNCTION("""COMPUTED_VALUE"""),"LD164")</f>
        <v>LD164</v>
      </c>
      <c r="D39" s="55" t="s">
        <v>1135</v>
      </c>
      <c r="E39" s="55" t="s">
        <v>69</v>
      </c>
      <c r="F39" s="55" t="s">
        <v>133</v>
      </c>
      <c r="G39" s="55">
        <v>1840.0</v>
      </c>
      <c r="H39" s="55" t="s">
        <v>1137</v>
      </c>
      <c r="I39" s="115" t="s">
        <v>1385</v>
      </c>
      <c r="J39" s="95" t="s">
        <v>1386</v>
      </c>
      <c r="K39" s="55" t="s">
        <v>61</v>
      </c>
      <c r="L39" s="55" t="s">
        <v>1141</v>
      </c>
      <c r="M39" s="55" t="s">
        <v>78</v>
      </c>
      <c r="N39" s="55" t="s">
        <v>1135</v>
      </c>
      <c r="O39" s="55" t="s">
        <v>1142</v>
      </c>
      <c r="P39" s="55" t="s">
        <v>110</v>
      </c>
      <c r="Q39" s="67" t="str">
        <f>IFERROR(__xludf.DUMMYFUNCTION("""COMPUTED_VALUE"""),"Japan.giaotiep.M382CVS_PTD_Tiktok_NamNH_150225")</f>
        <v>Japan.giaotiep.M382CVS_PTD_Tiktok_NamNH_150225</v>
      </c>
      <c r="R39" s="67" t="str">
        <f>IFERROR(__xludf.DUMMYFUNCTION("""COMPUTED_VALUE"""),"NEW_Japan_1840_none_150225")</f>
        <v>NEW_Japan_1840_none_150225</v>
      </c>
      <c r="S39" s="67" t="str">
        <f>IFERROR(__xludf.DUMMYFUNCTION("""COMPUTED_VALUE"""),"saletructiep_Japan.M382CVS.1840.M382CVS_THCNGDP_LD164")</f>
        <v>saletructiep_Japan.M382CVS.1840.M382CVS_THCNGDP_LD164</v>
      </c>
      <c r="T39" s="107" t="str">
        <f>IFERROR(__xludf.DUMMYFUNCTION("""COMPUTED_VALUE"""),"https://patadovietnam.edu.vn/gtjapan_nhn3/?utm_source=Tiktok&amp;utm_medium=CVS&amp;utm_term=NEW_Japan_1840_none_150225&amp;utm_content=saletructiep_Japan.M382CVS.1840.M382CVS_THCNGDP_LD164&amp;utm_campaign=Japan.giaotiep.M382CVS_PTD_Tiktok_NamNH_150225")</f>
        <v>https://patadovietnam.edu.vn/gtjapan_nhn3/?utm_source=Tiktok&amp;utm_medium=CVS&amp;utm_term=NEW_Japan_1840_none_150225&amp;utm_content=saletructiep_Japan.M382CVS.1840.M382CVS_THCNGDP_LD164&amp;utm_campaign=Japan.giaotiep.M382CVS_PTD_Tiktok_NamNH_150225</v>
      </c>
      <c r="U39" s="118"/>
    </row>
    <row r="40">
      <c r="A40" s="72">
        <v>45703.0</v>
      </c>
      <c r="B40" s="75" t="s">
        <v>1229</v>
      </c>
      <c r="C40" s="67" t="str">
        <f>IFERROR(__xludf.DUMMYFUNCTION("""COMPUTED_VALUE"""),"LD164")</f>
        <v>LD164</v>
      </c>
      <c r="D40" s="55" t="s">
        <v>1135</v>
      </c>
      <c r="E40" s="55" t="s">
        <v>69</v>
      </c>
      <c r="F40" s="55" t="s">
        <v>133</v>
      </c>
      <c r="G40" s="55">
        <v>1840.0</v>
      </c>
      <c r="H40" s="55" t="s">
        <v>1137</v>
      </c>
      <c r="I40" s="115" t="s">
        <v>1391</v>
      </c>
      <c r="J40" s="95" t="s">
        <v>1392</v>
      </c>
      <c r="K40" s="55" t="s">
        <v>61</v>
      </c>
      <c r="L40" s="55" t="s">
        <v>1141</v>
      </c>
      <c r="M40" s="55" t="s">
        <v>78</v>
      </c>
      <c r="N40" s="55" t="s">
        <v>1135</v>
      </c>
      <c r="O40" s="55" t="s">
        <v>1142</v>
      </c>
      <c r="P40" s="55" t="s">
        <v>110</v>
      </c>
      <c r="Q40" s="67" t="str">
        <f>IFERROR(__xludf.DUMMYFUNCTION("""COMPUTED_VALUE"""),"Japan.giaotiep.M384CVS_PTD_Tiktok_NamNH_150225")</f>
        <v>Japan.giaotiep.M384CVS_PTD_Tiktok_NamNH_150225</v>
      </c>
      <c r="R40" s="67" t="str">
        <f>IFERROR(__xludf.DUMMYFUNCTION("""COMPUTED_VALUE"""),"NEW_Japan_1840_none_150225")</f>
        <v>NEW_Japan_1840_none_150225</v>
      </c>
      <c r="S40" s="67" t="str">
        <f>IFERROR(__xludf.DUMMYFUNCTION("""COMPUTED_VALUE"""),"saletructiep_Japan.M384CVS.1840.M384CVS_THCNGDP_LD164")</f>
        <v>saletructiep_Japan.M384CVS.1840.M384CVS_THCNGDP_LD164</v>
      </c>
      <c r="T40" s="107" t="str">
        <f>IFERROR(__xludf.DUMMYFUNCTION("""COMPUTED_VALUE"""),"https://patadovietnam.edu.vn/gtjapan_nhn3/?utm_source=Tiktok&amp;utm_medium=CVS&amp;utm_term=NEW_Japan_1840_none_150225&amp;utm_content=saletructiep_Japan.M384CVS.1840.M384CVS_THCNGDP_LD164&amp;utm_campaign=Japan.giaotiep.M384CVS_PTD_Tiktok_NamNH_150225")</f>
        <v>https://patadovietnam.edu.vn/gtjapan_nhn3/?utm_source=Tiktok&amp;utm_medium=CVS&amp;utm_term=NEW_Japan_1840_none_150225&amp;utm_content=saletructiep_Japan.M384CVS.1840.M384CVS_THCNGDP_LD164&amp;utm_campaign=Japan.giaotiep.M384CVS_PTD_Tiktok_NamNH_150225</v>
      </c>
      <c r="U40" s="118"/>
    </row>
    <row r="41">
      <c r="A41" s="72">
        <v>45708.0</v>
      </c>
      <c r="B41" s="75" t="s">
        <v>1134</v>
      </c>
      <c r="C41" s="67" t="str">
        <f>IFERROR(__xludf.DUMMYFUNCTION("""COMPUTED_VALUE"""),"LD153")</f>
        <v>LD153</v>
      </c>
      <c r="D41" s="55" t="s">
        <v>1135</v>
      </c>
      <c r="E41" s="55" t="s">
        <v>69</v>
      </c>
      <c r="F41" s="55" t="s">
        <v>674</v>
      </c>
      <c r="G41" s="55">
        <v>1840.0</v>
      </c>
      <c r="H41" s="55" t="s">
        <v>1137</v>
      </c>
      <c r="I41" s="115" t="s">
        <v>1396</v>
      </c>
      <c r="J41" s="95" t="s">
        <v>1397</v>
      </c>
      <c r="K41" s="55" t="s">
        <v>61</v>
      </c>
      <c r="L41" s="55" t="s">
        <v>1141</v>
      </c>
      <c r="M41" s="55" t="s">
        <v>78</v>
      </c>
      <c r="N41" s="55" t="s">
        <v>1135</v>
      </c>
      <c r="O41" s="55" t="s">
        <v>1142</v>
      </c>
      <c r="P41" s="55" t="s">
        <v>110</v>
      </c>
      <c r="Q41" s="67" t="str">
        <f>IFERROR(__xludf.DUMMYFUNCTION("""COMPUTED_VALUE"""),"Europe.giaotiep.M382CVS_PTD_Tiktok_NamNH_200225")</f>
        <v>Europe.giaotiep.M382CVS_PTD_Tiktok_NamNH_200225</v>
      </c>
      <c r="R41" s="67" t="str">
        <f>IFERROR(__xludf.DUMMYFUNCTION("""COMPUTED_VALUE"""),"NEW_Europe_1840_none_200225")</f>
        <v>NEW_Europe_1840_none_200225</v>
      </c>
      <c r="S41" s="67" t="str">
        <f>IFERROR(__xludf.DUMMYFUNCTION("""COMPUTED_VALUE"""),"saletructiep_Europe.M382CVS.1840.M382CVS_THCNGDP_LD153")</f>
        <v>saletructiep_Europe.M382CVS.1840.M382CVS_THCNGDP_LD153</v>
      </c>
      <c r="T41" s="107" t="str">
        <f>IFERROR(__xludf.DUMMYFUNCTION("""COMPUTED_VALUE"""),"https://patadovietnam.edu.vn/tienganhgiaotiep_hn/?utm_source=Tiktok&amp;utm_medium=CVS&amp;utm_term=NEW_Europe_1840_none_200225&amp;utm_content=saletructiep_Europe.M382CVS.1840.M382CVS_THCNGDP_LD153&amp;utm_campaign=Europe.giaotiep.M382CVS_PTD_Tiktok_NamNH_200225")</f>
        <v>https://patadovietnam.edu.vn/tienganhgiaotiep_hn/?utm_source=Tiktok&amp;utm_medium=CVS&amp;utm_term=NEW_Europe_1840_none_200225&amp;utm_content=saletructiep_Europe.M382CVS.1840.M382CVS_THCNGDP_LD153&amp;utm_campaign=Europe.giaotiep.M382CVS_PTD_Tiktok_NamNH_200225</v>
      </c>
      <c r="U41" s="118"/>
    </row>
    <row r="42">
      <c r="A42" s="72">
        <v>45708.0</v>
      </c>
      <c r="B42" s="60" t="s">
        <v>1134</v>
      </c>
      <c r="C42" s="67" t="str">
        <f>IFERROR(__xludf.DUMMYFUNCTION("""COMPUTED_VALUE"""),"LD153")</f>
        <v>LD153</v>
      </c>
      <c r="D42" s="55" t="s">
        <v>1135</v>
      </c>
      <c r="E42" s="55" t="s">
        <v>69</v>
      </c>
      <c r="F42" s="55" t="s">
        <v>674</v>
      </c>
      <c r="G42" s="55">
        <v>1840.0</v>
      </c>
      <c r="H42" s="55" t="s">
        <v>1137</v>
      </c>
      <c r="I42" s="115" t="s">
        <v>1403</v>
      </c>
      <c r="J42" s="95" t="s">
        <v>1404</v>
      </c>
      <c r="K42" s="55" t="s">
        <v>61</v>
      </c>
      <c r="L42" s="55" t="s">
        <v>1141</v>
      </c>
      <c r="M42" s="55" t="s">
        <v>78</v>
      </c>
      <c r="N42" s="55" t="s">
        <v>1135</v>
      </c>
      <c r="O42" s="55" t="s">
        <v>1142</v>
      </c>
      <c r="P42" s="55" t="s">
        <v>110</v>
      </c>
      <c r="Q42" s="67" t="str">
        <f>IFERROR(__xludf.DUMMYFUNCTION("""COMPUTED_VALUE"""),"Europe.giaotiep.M384CVS_PTD_Tiktok_NamNH_200225")</f>
        <v>Europe.giaotiep.M384CVS_PTD_Tiktok_NamNH_200225</v>
      </c>
      <c r="R42" s="67" t="str">
        <f>IFERROR(__xludf.DUMMYFUNCTION("""COMPUTED_VALUE"""),"NEW_Europe_1840_none_200225")</f>
        <v>NEW_Europe_1840_none_200225</v>
      </c>
      <c r="S42" s="67" t="str">
        <f>IFERROR(__xludf.DUMMYFUNCTION("""COMPUTED_VALUE"""),"saletructiep_Europe.M384CVS.1840.M384CVS_THCNGDP_LD153")</f>
        <v>saletructiep_Europe.M384CVS.1840.M384CVS_THCNGDP_LD153</v>
      </c>
      <c r="T42" s="107" t="str">
        <f>IFERROR(__xludf.DUMMYFUNCTION("""COMPUTED_VALUE"""),"https://patadovietnam.edu.vn/tienganhgiaotiep_hn/?utm_source=Tiktok&amp;utm_medium=CVS&amp;utm_term=NEW_Europe_1840_none_200225&amp;utm_content=saletructiep_Europe.M384CVS.1840.M384CVS_THCNGDP_LD153&amp;utm_campaign=Europe.giaotiep.M384CVS_PTD_Tiktok_NamNH_200225")</f>
        <v>https://patadovietnam.edu.vn/tienganhgiaotiep_hn/?utm_source=Tiktok&amp;utm_medium=CVS&amp;utm_term=NEW_Europe_1840_none_200225&amp;utm_content=saletructiep_Europe.M384CVS.1840.M384CVS_THCNGDP_LD153&amp;utm_campaign=Europe.giaotiep.M384CVS_PTD_Tiktok_NamNH_200225</v>
      </c>
      <c r="U42" s="118"/>
    </row>
    <row r="43">
      <c r="A43" s="72">
        <v>45708.0</v>
      </c>
      <c r="B43" s="121" t="s">
        <v>1229</v>
      </c>
      <c r="C43" s="67" t="str">
        <f>IFERROR(__xludf.DUMMYFUNCTION("""COMPUTED_VALUE"""),"LD164")</f>
        <v>LD164</v>
      </c>
      <c r="D43" s="55" t="s">
        <v>1135</v>
      </c>
      <c r="E43" s="55" t="s">
        <v>1409</v>
      </c>
      <c r="F43" s="55" t="s">
        <v>133</v>
      </c>
      <c r="G43" s="55">
        <v>1840.0</v>
      </c>
      <c r="H43" s="55" t="s">
        <v>1137</v>
      </c>
      <c r="I43" s="115" t="s">
        <v>1410</v>
      </c>
      <c r="J43" s="95" t="s">
        <v>1411</v>
      </c>
      <c r="K43" s="55" t="s">
        <v>61</v>
      </c>
      <c r="L43" s="55" t="s">
        <v>1141</v>
      </c>
      <c r="M43" s="55" t="s">
        <v>78</v>
      </c>
      <c r="N43" s="55" t="s">
        <v>1135</v>
      </c>
      <c r="O43" s="55" t="s">
        <v>1142</v>
      </c>
      <c r="P43" s="55" t="s">
        <v>110</v>
      </c>
      <c r="Q43" s="67" t="str">
        <f>IFERROR(__xludf.DUMMYFUNCTION("""COMPUTED_VALUE"""),"Japan.giaotiep.M385LEAD_PTD_Tiktok_NamNH_200225")</f>
        <v>Japan.giaotiep.M385LEAD_PTD_Tiktok_NamNH_200225</v>
      </c>
      <c r="R43" s="67" t="str">
        <f>IFERROR(__xludf.DUMMYFUNCTION("""COMPUTED_VALUE"""),"NEW_Japan_1840_none_200225")</f>
        <v>NEW_Japan_1840_none_200225</v>
      </c>
      <c r="S43" s="67" t="str">
        <f>IFERROR(__xludf.DUMMYFUNCTION("""COMPUTED_VALUE"""),"saletructiep_Japan.M385LEAD.1840.M385LEAD_THCNGDP_LD164")</f>
        <v>saletructiep_Japan.M385LEAD.1840.M385LEAD_THCNGDP_LD164</v>
      </c>
      <c r="T43" s="107" t="str">
        <f>IFERROR(__xludf.DUMMYFUNCTION("""COMPUTED_VALUE"""),"https://patadovietnam.edu.vn/gtjapan_nhn3/?utm_source=Tiktok&amp;utm_medium=LEAD&amp;utm_term=NEW_Japan_1840_none_200225&amp;utm_content=saletructiep_Japan.M385LEAD.1840.M385LEAD_THCNGDP_LD164&amp;utm_campaign=Japan.giaotiep.M385LEAD_PTD_Tiktok_NamNH_200225")</f>
        <v>https://patadovietnam.edu.vn/gtjapan_nhn3/?utm_source=Tiktok&amp;utm_medium=LEAD&amp;utm_term=NEW_Japan_1840_none_200225&amp;utm_content=saletructiep_Japan.M385LEAD.1840.M385LEAD_THCNGDP_LD164&amp;utm_campaign=Japan.giaotiep.M385LEAD_PTD_Tiktok_NamNH_200225</v>
      </c>
      <c r="U43" s="118"/>
    </row>
    <row r="44">
      <c r="A44" s="72">
        <v>45708.0</v>
      </c>
      <c r="B44" s="75" t="s">
        <v>1229</v>
      </c>
      <c r="C44" s="67" t="str">
        <f>IFERROR(__xludf.DUMMYFUNCTION("""COMPUTED_VALUE"""),"LD164")</f>
        <v>LD164</v>
      </c>
      <c r="D44" s="55" t="s">
        <v>1135</v>
      </c>
      <c r="E44" s="55" t="s">
        <v>1409</v>
      </c>
      <c r="F44" s="55" t="s">
        <v>133</v>
      </c>
      <c r="G44" s="55">
        <v>1840.0</v>
      </c>
      <c r="H44" s="55" t="s">
        <v>1137</v>
      </c>
      <c r="I44" s="115" t="s">
        <v>1417</v>
      </c>
      <c r="J44" s="95" t="s">
        <v>1418</v>
      </c>
      <c r="K44" s="55" t="s">
        <v>61</v>
      </c>
      <c r="L44" s="55" t="s">
        <v>1141</v>
      </c>
      <c r="M44" s="55" t="s">
        <v>78</v>
      </c>
      <c r="N44" s="55" t="s">
        <v>1135</v>
      </c>
      <c r="O44" s="55" t="s">
        <v>1142</v>
      </c>
      <c r="P44" s="55" t="s">
        <v>110</v>
      </c>
      <c r="Q44" s="67" t="str">
        <f>IFERROR(__xludf.DUMMYFUNCTION("""COMPUTED_VALUE"""),"Japan.giaotiep.M300LEAD_PTD_Tiktok_NamNH_200225")</f>
        <v>Japan.giaotiep.M300LEAD_PTD_Tiktok_NamNH_200225</v>
      </c>
      <c r="R44" s="67" t="str">
        <f>IFERROR(__xludf.DUMMYFUNCTION("""COMPUTED_VALUE"""),"NEW_Japan_1840_none_200225")</f>
        <v>NEW_Japan_1840_none_200225</v>
      </c>
      <c r="S44" s="67" t="str">
        <f>IFERROR(__xludf.DUMMYFUNCTION("""COMPUTED_VALUE"""),"saletructiep_Japan.M300LEAD.1840.M300LEAD_THCNGDP_LD164")</f>
        <v>saletructiep_Japan.M300LEAD.1840.M300LEAD_THCNGDP_LD164</v>
      </c>
      <c r="T44" s="107" t="str">
        <f>IFERROR(__xludf.DUMMYFUNCTION("""COMPUTED_VALUE"""),"https://patadovietnam.edu.vn/gtjapan_nhn3/?utm_source=Tiktok&amp;utm_medium=LEAD&amp;utm_term=NEW_Japan_1840_none_200225&amp;utm_content=saletructiep_Japan.M300LEAD.1840.M300LEAD_THCNGDP_LD164&amp;utm_campaign=Japan.giaotiep.M300LEAD_PTD_Tiktok_NamNH_200225")</f>
        <v>https://patadovietnam.edu.vn/gtjapan_nhn3/?utm_source=Tiktok&amp;utm_medium=LEAD&amp;utm_term=NEW_Japan_1840_none_200225&amp;utm_content=saletructiep_Japan.M300LEAD.1840.M300LEAD_THCNGDP_LD164&amp;utm_campaign=Japan.giaotiep.M300LEAD_PTD_Tiktok_NamNH_200225</v>
      </c>
      <c r="U44" s="118"/>
    </row>
    <row r="45">
      <c r="A45" s="72">
        <v>45708.0</v>
      </c>
      <c r="B45" s="75" t="s">
        <v>1229</v>
      </c>
      <c r="C45" s="67" t="str">
        <f>IFERROR(__xludf.DUMMYFUNCTION("""COMPUTED_VALUE"""),"LD164")</f>
        <v>LD164</v>
      </c>
      <c r="D45" s="55" t="s">
        <v>1135</v>
      </c>
      <c r="E45" s="55" t="s">
        <v>69</v>
      </c>
      <c r="F45" s="55" t="s">
        <v>133</v>
      </c>
      <c r="G45" s="55">
        <v>1840.0</v>
      </c>
      <c r="H45" s="55" t="s">
        <v>1137</v>
      </c>
      <c r="I45" s="115" t="s">
        <v>1425</v>
      </c>
      <c r="J45" s="95" t="s">
        <v>1426</v>
      </c>
      <c r="K45" s="55" t="s">
        <v>61</v>
      </c>
      <c r="L45" s="55" t="s">
        <v>1141</v>
      </c>
      <c r="M45" s="55" t="s">
        <v>78</v>
      </c>
      <c r="N45" s="55" t="s">
        <v>1135</v>
      </c>
      <c r="O45" s="55" t="s">
        <v>1142</v>
      </c>
      <c r="P45" s="55" t="s">
        <v>110</v>
      </c>
      <c r="Q45" s="67" t="str">
        <f>IFERROR(__xludf.DUMMYFUNCTION("""COMPUTED_VALUE"""),"Japan.giaotiep.M392MES_PTD_Tiktok_NamNH_200225")</f>
        <v>Japan.giaotiep.M392MES_PTD_Tiktok_NamNH_200225</v>
      </c>
      <c r="R45" s="67" t="str">
        <f>IFERROR(__xludf.DUMMYFUNCTION("""COMPUTED_VALUE"""),"NEW_Japan_1840_none_200225")</f>
        <v>NEW_Japan_1840_none_200225</v>
      </c>
      <c r="S45" s="67" t="str">
        <f>IFERROR(__xludf.DUMMYFUNCTION("""COMPUTED_VALUE"""),"saletructiep_Japan.M392MES.1840.M392MES_THCNGDP_LD164")</f>
        <v>saletructiep_Japan.M392MES.1840.M392MES_THCNGDP_LD164</v>
      </c>
      <c r="T45" s="107" t="str">
        <f>IFERROR(__xludf.DUMMYFUNCTION("""COMPUTED_VALUE"""),"https://patadovietnam.edu.vn/gtjapan_nhn3/?utm_source=Tiktok&amp;utm_medium=CVS&amp;utm_term=NEW_Japan_1840_none_200225&amp;utm_content=saletructiep_Japan.M392MES.1840.M392MES_THCNGDP_LD164&amp;utm_campaign=Japan.giaotiep.M392MES_PTD_Tiktok_NamNH_200225")</f>
        <v>https://patadovietnam.edu.vn/gtjapan_nhn3/?utm_source=Tiktok&amp;utm_medium=CVS&amp;utm_term=NEW_Japan_1840_none_200225&amp;utm_content=saletructiep_Japan.M392MES.1840.M392MES_THCNGDP_LD164&amp;utm_campaign=Japan.giaotiep.M392MES_PTD_Tiktok_NamNH_200225</v>
      </c>
      <c r="U45" s="118"/>
    </row>
    <row r="46">
      <c r="A46" s="72">
        <v>45716.0</v>
      </c>
      <c r="B46" s="75" t="s">
        <v>1134</v>
      </c>
      <c r="C46" s="67" t="str">
        <f>IFERROR(__xludf.DUMMYFUNCTION("""COMPUTED_VALUE"""),"LD153")</f>
        <v>LD153</v>
      </c>
      <c r="D46" s="55" t="s">
        <v>1135</v>
      </c>
      <c r="E46" s="55" t="s">
        <v>69</v>
      </c>
      <c r="F46" s="55" t="s">
        <v>539</v>
      </c>
      <c r="G46" s="55">
        <v>1840.0</v>
      </c>
      <c r="H46" s="55" t="s">
        <v>1137</v>
      </c>
      <c r="I46" s="115" t="s">
        <v>1431</v>
      </c>
      <c r="J46" s="95" t="s">
        <v>1432</v>
      </c>
      <c r="K46" s="55" t="s">
        <v>61</v>
      </c>
      <c r="L46" s="55" t="s">
        <v>1141</v>
      </c>
      <c r="M46" s="55" t="s">
        <v>78</v>
      </c>
      <c r="N46" s="55" t="s">
        <v>1135</v>
      </c>
      <c r="O46" s="55" t="s">
        <v>1142</v>
      </c>
      <c r="P46" s="55" t="s">
        <v>110</v>
      </c>
      <c r="Q46" s="67" t="str">
        <f>IFERROR(__xludf.DUMMYFUNCTION("""COMPUTED_VALUE"""),"ALL.giaotiep.M300CVS_PTD_Tiktok_NamNH_280225")</f>
        <v>ALL.giaotiep.M300CVS_PTD_Tiktok_NamNH_280225</v>
      </c>
      <c r="R46" s="67" t="str">
        <f>IFERROR(__xludf.DUMMYFUNCTION("""COMPUTED_VALUE"""),"NEW_ALL_1840_none_280225")</f>
        <v>NEW_ALL_1840_none_280225</v>
      </c>
      <c r="S46" s="67" t="str">
        <f>IFERROR(__xludf.DUMMYFUNCTION("""COMPUTED_VALUE"""),"saletructiep_ALL.M300CVS.1840.M300CVS_THCNGDP_LD153")</f>
        <v>saletructiep_ALL.M300CVS.1840.M300CVS_THCNGDP_LD153</v>
      </c>
      <c r="T46" s="107" t="str">
        <f>IFERROR(__xludf.DUMMYFUNCTION("""COMPUTED_VALUE"""),"https://patadovietnam.edu.vn/tienganhgiaotiep_hn/?utm_source=Tiktok&amp;utm_medium=CVS&amp;utm_term=NEW_ALL_1840_none_280225&amp;utm_content=saletructiep_ALL.M300CVS.1840.M300CVS_THCNGDP_LD153&amp;utm_campaign=ALL.giaotiep.M300CVS_PTD_Tiktok_NamNH_280225")</f>
        <v>https://patadovietnam.edu.vn/tienganhgiaotiep_hn/?utm_source=Tiktok&amp;utm_medium=CVS&amp;utm_term=NEW_ALL_1840_none_280225&amp;utm_content=saletructiep_ALL.M300CVS.1840.M300CVS_THCNGDP_LD153&amp;utm_campaign=ALL.giaotiep.M300CVS_PTD_Tiktok_NamNH_280225</v>
      </c>
      <c r="U46" s="118"/>
    </row>
    <row r="47">
      <c r="A47" s="72">
        <v>45716.0</v>
      </c>
      <c r="B47" s="75" t="s">
        <v>1134</v>
      </c>
      <c r="C47" s="67" t="str">
        <f>IFERROR(__xludf.DUMMYFUNCTION("""COMPUTED_VALUE"""),"LD153")</f>
        <v>LD153</v>
      </c>
      <c r="D47" s="55" t="s">
        <v>1135</v>
      </c>
      <c r="E47" s="55" t="s">
        <v>69</v>
      </c>
      <c r="F47" s="55" t="s">
        <v>539</v>
      </c>
      <c r="G47" s="55">
        <v>1840.0</v>
      </c>
      <c r="H47" s="55" t="s">
        <v>1137</v>
      </c>
      <c r="I47" s="115" t="s">
        <v>1438</v>
      </c>
      <c r="J47" s="95" t="s">
        <v>1439</v>
      </c>
      <c r="K47" s="55" t="s">
        <v>61</v>
      </c>
      <c r="L47" s="55" t="s">
        <v>1141</v>
      </c>
      <c r="M47" s="55" t="s">
        <v>78</v>
      </c>
      <c r="N47" s="55" t="s">
        <v>1135</v>
      </c>
      <c r="O47" s="55" t="s">
        <v>1142</v>
      </c>
      <c r="P47" s="55" t="s">
        <v>110</v>
      </c>
      <c r="Q47" s="67" t="str">
        <f>IFERROR(__xludf.DUMMYFUNCTION("""COMPUTED_VALUE"""),"ALL.giaotiep.M123CVS_PTD_Tiktok_NamNH_280225")</f>
        <v>ALL.giaotiep.M123CVS_PTD_Tiktok_NamNH_280225</v>
      </c>
      <c r="R47" s="67" t="str">
        <f>IFERROR(__xludf.DUMMYFUNCTION("""COMPUTED_VALUE"""),"NEW_ALL_1840_none_280225")</f>
        <v>NEW_ALL_1840_none_280225</v>
      </c>
      <c r="S47" s="67" t="str">
        <f>IFERROR(__xludf.DUMMYFUNCTION("""COMPUTED_VALUE"""),"saletructiep_ALL.M123CVS.1840.M123CVS_THCNGDP_LD153")</f>
        <v>saletructiep_ALL.M123CVS.1840.M123CVS_THCNGDP_LD153</v>
      </c>
      <c r="T47" s="107" t="str">
        <f>IFERROR(__xludf.DUMMYFUNCTION("""COMPUTED_VALUE"""),"https://patadovietnam.edu.vn/tienganhgiaotiep_hn/?utm_source=Tiktok&amp;utm_medium=CVS&amp;utm_term=NEW_ALL_1840_none_280225&amp;utm_content=saletructiep_ALL.M123CVS.1840.M123CVS_THCNGDP_LD153&amp;utm_campaign=ALL.giaotiep.M123CVS_PTD_Tiktok_NamNH_280225")</f>
        <v>https://patadovietnam.edu.vn/tienganhgiaotiep_hn/?utm_source=Tiktok&amp;utm_medium=CVS&amp;utm_term=NEW_ALL_1840_none_280225&amp;utm_content=saletructiep_ALL.M123CVS.1840.M123CVS_THCNGDP_LD153&amp;utm_campaign=ALL.giaotiep.M123CVS_PTD_Tiktok_NamNH_280225</v>
      </c>
      <c r="U47" s="118"/>
    </row>
    <row r="48">
      <c r="A48" s="72">
        <v>45716.0</v>
      </c>
      <c r="B48" s="75" t="s">
        <v>1134</v>
      </c>
      <c r="C48" s="67" t="str">
        <f>IFERROR(__xludf.DUMMYFUNCTION("""COMPUTED_VALUE"""),"LD153")</f>
        <v>LD153</v>
      </c>
      <c r="D48" s="55" t="s">
        <v>1135</v>
      </c>
      <c r="E48" s="55" t="s">
        <v>69</v>
      </c>
      <c r="F48" s="55" t="s">
        <v>625</v>
      </c>
      <c r="G48" s="55">
        <v>1840.0</v>
      </c>
      <c r="H48" s="55" t="s">
        <v>1137</v>
      </c>
      <c r="I48" s="115" t="s">
        <v>1446</v>
      </c>
      <c r="J48" s="95" t="s">
        <v>1447</v>
      </c>
      <c r="K48" s="55" t="s">
        <v>61</v>
      </c>
      <c r="L48" s="55" t="s">
        <v>1141</v>
      </c>
      <c r="M48" s="55" t="s">
        <v>78</v>
      </c>
      <c r="N48" s="55" t="s">
        <v>1135</v>
      </c>
      <c r="O48" s="55" t="s">
        <v>1142</v>
      </c>
      <c r="P48" s="55" t="s">
        <v>110</v>
      </c>
      <c r="Q48" s="67" t="str">
        <f>IFERROR(__xludf.DUMMYFUNCTION("""COMPUTED_VALUE"""),"KoreaSouth.giaotiep.M300CVS_PTD_Tiktok_NamNH_280225")</f>
        <v>KoreaSouth.giaotiep.M300CVS_PTD_Tiktok_NamNH_280225</v>
      </c>
      <c r="R48" s="67" t="str">
        <f>IFERROR(__xludf.DUMMYFUNCTION("""COMPUTED_VALUE"""),"NEW_KoreaSouth_1840_none_280225")</f>
        <v>NEW_KoreaSouth_1840_none_280225</v>
      </c>
      <c r="S48" s="67" t="str">
        <f>IFERROR(__xludf.DUMMYFUNCTION("""COMPUTED_VALUE"""),"saletructiep_KoreaSouth.M300CVS.1840.M300CVS_THCNGDP_LD153")</f>
        <v>saletructiep_KoreaSouth.M300CVS.1840.M300CVS_THCNGDP_LD153</v>
      </c>
      <c r="T48" s="107" t="str">
        <f>IFERROR(__xludf.DUMMYFUNCTION("""COMPUTED_VALUE"""),"https://patadovietnam.edu.vn/tienganhgiaotiep_hn/?utm_source=Tiktok&amp;utm_medium=CVS&amp;utm_term=NEW_KoreaSouth_1840_none_280225&amp;utm_content=saletructiep_KoreaSouth.M300CVS.1840.M300CVS_THCNGDP_LD153&amp;utm_campaign=KoreaSouth.giaotiep.M300CVS_PTD_Tiktok_NamNH_28"&amp;"0225")</f>
        <v>https://patadovietnam.edu.vn/tienganhgiaotiep_hn/?utm_source=Tiktok&amp;utm_medium=CVS&amp;utm_term=NEW_KoreaSouth_1840_none_280225&amp;utm_content=saletructiep_KoreaSouth.M300CVS.1840.M300CVS_THCNGDP_LD153&amp;utm_campaign=KoreaSouth.giaotiep.M300CVS_PTD_Tiktok_NamNH_280225</v>
      </c>
      <c r="U48" s="118"/>
    </row>
    <row r="49">
      <c r="A49" s="72">
        <v>45716.0</v>
      </c>
      <c r="B49" s="75" t="s">
        <v>1134</v>
      </c>
      <c r="C49" s="67" t="str">
        <f>IFERROR(__xludf.DUMMYFUNCTION("""COMPUTED_VALUE"""),"LD153")</f>
        <v>LD153</v>
      </c>
      <c r="D49" s="55" t="s">
        <v>1135</v>
      </c>
      <c r="E49" s="55" t="s">
        <v>69</v>
      </c>
      <c r="F49" s="55" t="s">
        <v>625</v>
      </c>
      <c r="G49" s="55">
        <v>1840.0</v>
      </c>
      <c r="H49" s="55" t="s">
        <v>1137</v>
      </c>
      <c r="I49" s="115" t="s">
        <v>1451</v>
      </c>
      <c r="J49" s="95" t="s">
        <v>1452</v>
      </c>
      <c r="K49" s="55" t="s">
        <v>61</v>
      </c>
      <c r="L49" s="55" t="s">
        <v>1141</v>
      </c>
      <c r="M49" s="55" t="s">
        <v>78</v>
      </c>
      <c r="N49" s="55" t="s">
        <v>1135</v>
      </c>
      <c r="O49" s="55" t="s">
        <v>1142</v>
      </c>
      <c r="P49" s="55" t="s">
        <v>110</v>
      </c>
      <c r="Q49" s="67" t="str">
        <f>IFERROR(__xludf.DUMMYFUNCTION("""COMPUTED_VALUE"""),"KoreaSouth.giaotiep.JHCVS_PTD_Tiktok_NamNH_280225")</f>
        <v>KoreaSouth.giaotiep.JHCVS_PTD_Tiktok_NamNH_280225</v>
      </c>
      <c r="R49" s="67" t="str">
        <f>IFERROR(__xludf.DUMMYFUNCTION("""COMPUTED_VALUE"""),"NEW_KoreaSouth_1840_none_280225")</f>
        <v>NEW_KoreaSouth_1840_none_280225</v>
      </c>
      <c r="S49" s="67" t="str">
        <f>IFERROR(__xludf.DUMMYFUNCTION("""COMPUTED_VALUE"""),"saletructiep_KoreaSouth.JHCVS.1840.JHCVS_THCNGDP_LD153")</f>
        <v>saletructiep_KoreaSouth.JHCVS.1840.JHCVS_THCNGDP_LD153</v>
      </c>
      <c r="T49" s="107" t="str">
        <f>IFERROR(__xludf.DUMMYFUNCTION("""COMPUTED_VALUE"""),"https://patadovietnam.edu.vn/tienganhgiaotiep_hn/?utm_source=Tiktok&amp;utm_medium=CVS&amp;utm_term=NEW_KoreaSouth_1840_none_280225&amp;utm_content=saletructiep_KoreaSouth.JHCVS.1840.JHCVS_THCNGDP_LD153&amp;utm_campaign=KoreaSouth.giaotiep.JHCVS_PTD_Tiktok_NamNH_280225")</f>
        <v>https://patadovietnam.edu.vn/tienganhgiaotiep_hn/?utm_source=Tiktok&amp;utm_medium=CVS&amp;utm_term=NEW_KoreaSouth_1840_none_280225&amp;utm_content=saletructiep_KoreaSouth.JHCVS.1840.JHCVS_THCNGDP_LD153&amp;utm_campaign=KoreaSouth.giaotiep.JHCVS_PTD_Tiktok_NamNH_280225</v>
      </c>
      <c r="U49" s="118"/>
    </row>
    <row r="50">
      <c r="A50" s="72">
        <v>45716.0</v>
      </c>
      <c r="B50" s="75" t="s">
        <v>1134</v>
      </c>
      <c r="C50" s="67" t="str">
        <f>IFERROR(__xludf.DUMMYFUNCTION("""COMPUTED_VALUE"""),"LD153")</f>
        <v>LD153</v>
      </c>
      <c r="D50" s="55" t="s">
        <v>1135</v>
      </c>
      <c r="E50" s="55" t="s">
        <v>69</v>
      </c>
      <c r="F50" s="55" t="s">
        <v>674</v>
      </c>
      <c r="G50" s="55">
        <v>1840.0</v>
      </c>
      <c r="H50" s="55" t="s">
        <v>1137</v>
      </c>
      <c r="I50" s="115" t="s">
        <v>1456</v>
      </c>
      <c r="J50" s="95" t="s">
        <v>1457</v>
      </c>
      <c r="K50" s="55" t="s">
        <v>61</v>
      </c>
      <c r="L50" s="55" t="s">
        <v>1141</v>
      </c>
      <c r="M50" s="55" t="s">
        <v>78</v>
      </c>
      <c r="N50" s="55" t="s">
        <v>1135</v>
      </c>
      <c r="O50" s="55" t="s">
        <v>1142</v>
      </c>
      <c r="P50" s="55" t="s">
        <v>110</v>
      </c>
      <c r="Q50" s="67" t="str">
        <f>IFERROR(__xludf.DUMMYFUNCTION("""COMPUTED_VALUE"""),"Europe.giaotiep.M18CVS_PTD_Tiktok_NamNH_280225")</f>
        <v>Europe.giaotiep.M18CVS_PTD_Tiktok_NamNH_280225</v>
      </c>
      <c r="R50" s="67" t="str">
        <f>IFERROR(__xludf.DUMMYFUNCTION("""COMPUTED_VALUE"""),"NEW_Europe_1840_none_280225")</f>
        <v>NEW_Europe_1840_none_280225</v>
      </c>
      <c r="S50" s="67" t="str">
        <f>IFERROR(__xludf.DUMMYFUNCTION("""COMPUTED_VALUE"""),"saletructiep_Europe.M18CVS.1840.M18CVS_THCNGDP_LD153")</f>
        <v>saletructiep_Europe.M18CVS.1840.M18CVS_THCNGDP_LD153</v>
      </c>
      <c r="T50" s="107" t="str">
        <f>IFERROR(__xludf.DUMMYFUNCTION("""COMPUTED_VALUE"""),"https://patadovietnam.edu.vn/tienganhgiaotiep_hn/?utm_source=Tiktok&amp;utm_medium=CVS&amp;utm_term=NEW_Europe_1840_none_280225&amp;utm_content=saletructiep_Europe.M18CVS.1840.M18CVS_THCNGDP_LD153&amp;utm_campaign=Europe.giaotiep.M18CVS_PTD_Tiktok_NamNH_280225")</f>
        <v>https://patadovietnam.edu.vn/tienganhgiaotiep_hn/?utm_source=Tiktok&amp;utm_medium=CVS&amp;utm_term=NEW_Europe_1840_none_280225&amp;utm_content=saletructiep_Europe.M18CVS.1840.M18CVS_THCNGDP_LD153&amp;utm_campaign=Europe.giaotiep.M18CVS_PTD_Tiktok_NamNH_280225</v>
      </c>
      <c r="U50" s="118"/>
    </row>
    <row r="51">
      <c r="A51" s="72">
        <v>45716.0</v>
      </c>
      <c r="B51" s="75" t="s">
        <v>1229</v>
      </c>
      <c r="C51" s="67" t="str">
        <f>IFERROR(__xludf.DUMMYFUNCTION("""COMPUTED_VALUE"""),"LD164")</f>
        <v>LD164</v>
      </c>
      <c r="D51" s="55" t="s">
        <v>1135</v>
      </c>
      <c r="E51" s="55" t="s">
        <v>69</v>
      </c>
      <c r="F51" s="55" t="s">
        <v>133</v>
      </c>
      <c r="G51" s="55">
        <v>1840.0</v>
      </c>
      <c r="H51" s="55" t="s">
        <v>1137</v>
      </c>
      <c r="I51" s="115" t="s">
        <v>1483</v>
      </c>
      <c r="J51" s="95" t="s">
        <v>1484</v>
      </c>
      <c r="K51" s="55" t="s">
        <v>61</v>
      </c>
      <c r="L51" s="55" t="s">
        <v>1141</v>
      </c>
      <c r="M51" s="55" t="s">
        <v>78</v>
      </c>
      <c r="N51" s="55" t="s">
        <v>1135</v>
      </c>
      <c r="O51" s="55" t="s">
        <v>1142</v>
      </c>
      <c r="P51" s="55" t="s">
        <v>110</v>
      </c>
      <c r="Q51" s="67" t="str">
        <f>IFERROR(__xludf.DUMMYFUNCTION("""COMPUTED_VALUE"""),"Japan.giaotiep.M18CVS_PTD_Tiktok_NamNH_280225")</f>
        <v>Japan.giaotiep.M18CVS_PTD_Tiktok_NamNH_280225</v>
      </c>
      <c r="R51" s="67" t="str">
        <f>IFERROR(__xludf.DUMMYFUNCTION("""COMPUTED_VALUE"""),"NEW_Japan_1840_none_280225")</f>
        <v>NEW_Japan_1840_none_280225</v>
      </c>
      <c r="S51" s="67" t="str">
        <f>IFERROR(__xludf.DUMMYFUNCTION("""COMPUTED_VALUE"""),"saletructiep_Japan.M18CVS.1840.M18CVS_THCNGDP_LD164")</f>
        <v>saletructiep_Japan.M18CVS.1840.M18CVS_THCNGDP_LD164</v>
      </c>
      <c r="T51" s="107" t="str">
        <f>IFERROR(__xludf.DUMMYFUNCTION("""COMPUTED_VALUE"""),"https://patadovietnam.edu.vn/gtjapan_nhn3/?utm_source=Tiktok&amp;utm_medium=CVS&amp;utm_term=NEW_Japan_1840_none_280225&amp;utm_content=saletructiep_Japan.M18CVS.1840.M18CVS_THCNGDP_LD164&amp;utm_campaign=Japan.giaotiep.M18CVS_PTD_Tiktok_NamNH_280225")</f>
        <v>https://patadovietnam.edu.vn/gtjapan_nhn3/?utm_source=Tiktok&amp;utm_medium=CVS&amp;utm_term=NEW_Japan_1840_none_280225&amp;utm_content=saletructiep_Japan.M18CVS.1840.M18CVS_THCNGDP_LD164&amp;utm_campaign=Japan.giaotiep.M18CVS_PTD_Tiktok_NamNH_280225</v>
      </c>
      <c r="U51" s="118"/>
    </row>
    <row r="52">
      <c r="A52" s="72">
        <v>45716.0</v>
      </c>
      <c r="B52" s="60" t="s">
        <v>1229</v>
      </c>
      <c r="C52" s="67" t="str">
        <f>IFERROR(__xludf.DUMMYFUNCTION("""COMPUTED_VALUE"""),"LD164")</f>
        <v>LD164</v>
      </c>
      <c r="D52" s="55" t="s">
        <v>1135</v>
      </c>
      <c r="E52" s="55" t="s">
        <v>69</v>
      </c>
      <c r="F52" s="55" t="s">
        <v>133</v>
      </c>
      <c r="G52" s="55">
        <v>1840.0</v>
      </c>
      <c r="H52" s="55" t="s">
        <v>1137</v>
      </c>
      <c r="I52" s="115" t="s">
        <v>1266</v>
      </c>
      <c r="J52" s="95" t="s">
        <v>1490</v>
      </c>
      <c r="K52" s="55" t="s">
        <v>61</v>
      </c>
      <c r="L52" s="55" t="s">
        <v>1141</v>
      </c>
      <c r="M52" s="55" t="s">
        <v>78</v>
      </c>
      <c r="N52" s="55" t="s">
        <v>1135</v>
      </c>
      <c r="O52" s="55" t="s">
        <v>1142</v>
      </c>
      <c r="P52" s="55" t="s">
        <v>110</v>
      </c>
      <c r="Q52" s="67" t="str">
        <f>IFERROR(__xludf.DUMMYFUNCTION("""COMPUTED_VALUE"""),"Japan.giaotiep.JHCVS_PTD_Tiktok_NamNH_280225")</f>
        <v>Japan.giaotiep.JHCVS_PTD_Tiktok_NamNH_280225</v>
      </c>
      <c r="R52" s="67" t="str">
        <f>IFERROR(__xludf.DUMMYFUNCTION("""COMPUTED_VALUE"""),"NEW_Japan_1840_none_280225")</f>
        <v>NEW_Japan_1840_none_280225</v>
      </c>
      <c r="S52" s="67" t="str">
        <f>IFERROR(__xludf.DUMMYFUNCTION("""COMPUTED_VALUE"""),"saletructiep_Japan.JHCVS.1840.JHCVS_THCNGDP_LD164")</f>
        <v>saletructiep_Japan.JHCVS.1840.JHCVS_THCNGDP_LD164</v>
      </c>
      <c r="T52" s="107" t="str">
        <f>IFERROR(__xludf.DUMMYFUNCTION("""COMPUTED_VALUE"""),"https://patadovietnam.edu.vn/gtjapan_nhn3/?utm_source=Tiktok&amp;utm_medium=CVS&amp;utm_term=NEW_Japan_1840_none_280225&amp;utm_content=saletructiep_Japan.JHCVS.1840.JHCVS_THCNGDP_LD164&amp;utm_campaign=Japan.giaotiep.JHCVS_PTD_Tiktok_NamNH_280225")</f>
        <v>https://patadovietnam.edu.vn/gtjapan_nhn3/?utm_source=Tiktok&amp;utm_medium=CVS&amp;utm_term=NEW_Japan_1840_none_280225&amp;utm_content=saletructiep_Japan.JHCVS.1840.JHCVS_THCNGDP_LD164&amp;utm_campaign=Japan.giaotiep.JHCVS_PTD_Tiktok_NamNH_280225</v>
      </c>
      <c r="U52" s="118"/>
    </row>
    <row r="53">
      <c r="A53" s="72">
        <v>45716.0</v>
      </c>
      <c r="B53" s="75" t="s">
        <v>1134</v>
      </c>
      <c r="C53" s="67" t="str">
        <f>IFERROR(__xludf.DUMMYFUNCTION("""COMPUTED_VALUE"""),"LD153")</f>
        <v>LD153</v>
      </c>
      <c r="D53" s="55" t="s">
        <v>1135</v>
      </c>
      <c r="E53" s="55" t="s">
        <v>79</v>
      </c>
      <c r="F53" s="55" t="s">
        <v>674</v>
      </c>
      <c r="G53" s="55">
        <v>1840.0</v>
      </c>
      <c r="H53" s="55" t="s">
        <v>1137</v>
      </c>
      <c r="I53" s="115" t="s">
        <v>1275</v>
      </c>
      <c r="J53" s="95" t="s">
        <v>1497</v>
      </c>
      <c r="K53" s="55" t="s">
        <v>61</v>
      </c>
      <c r="L53" s="55" t="s">
        <v>1141</v>
      </c>
      <c r="M53" s="55" t="s">
        <v>78</v>
      </c>
      <c r="N53" s="55" t="s">
        <v>1135</v>
      </c>
      <c r="O53" s="55" t="s">
        <v>1142</v>
      </c>
      <c r="P53" s="55" t="s">
        <v>110</v>
      </c>
      <c r="Q53" s="67" t="str">
        <f>IFERROR(__xludf.DUMMYFUNCTION("""COMPUTED_VALUE"""),"Europe.giaotiep.JHCVS_PTD_Tiktok_NamNH_280225")</f>
        <v>Europe.giaotiep.JHCVS_PTD_Tiktok_NamNH_280225</v>
      </c>
      <c r="R53" s="67" t="str">
        <f>IFERROR(__xludf.DUMMYFUNCTION("""COMPUTED_VALUE"""),"NEW_Europe_1840_none_280225")</f>
        <v>NEW_Europe_1840_none_280225</v>
      </c>
      <c r="S53" s="67" t="str">
        <f>IFERROR(__xludf.DUMMYFUNCTION("""COMPUTED_VALUE"""),"saletructiep_Europe.JHCVS.1840.MJHCVS_THCNGDP_LD153")</f>
        <v>saletructiep_Europe.JHCVS.1840.MJHCVS_THCNGDP_LD153</v>
      </c>
      <c r="T53" s="107" t="str">
        <f>IFERROR(__xludf.DUMMYFUNCTION("""COMPUTED_VALUE"""),"https://patadovietnam.edu.vn/tienganhgiaotiep_hn/?utm_source=Tiktok&amp;utm_medium=MES&amp;utm_term=NEW_Europe_1840_none_280225&amp;utm_content=saletructiep_Europe.JHCVS.1840.MJHCVS_THCNGDP_LD153&amp;utm_campaign=Europe.giaotiep.JHCVS_PTD_Tiktok_NamNH_280225")</f>
        <v>https://patadovietnam.edu.vn/tienganhgiaotiep_hn/?utm_source=Tiktok&amp;utm_medium=MES&amp;utm_term=NEW_Europe_1840_none_280225&amp;utm_content=saletructiep_Europe.JHCVS.1840.MJHCVS_THCNGDP_LD153&amp;utm_campaign=Europe.giaotiep.JHCVS_PTD_Tiktok_NamNH_280225</v>
      </c>
      <c r="U53" s="118"/>
    </row>
    <row r="54">
      <c r="A54" s="72">
        <v>45716.0</v>
      </c>
      <c r="B54" s="75" t="s">
        <v>1134</v>
      </c>
      <c r="C54" s="67" t="str">
        <f>IFERROR(__xludf.DUMMYFUNCTION("""COMPUTED_VALUE"""),"LD153")</f>
        <v>LD153</v>
      </c>
      <c r="D54" s="55" t="s">
        <v>1135</v>
      </c>
      <c r="E54" s="55" t="s">
        <v>69</v>
      </c>
      <c r="F54" s="55" t="s">
        <v>133</v>
      </c>
      <c r="G54" s="55">
        <v>1840.0</v>
      </c>
      <c r="H54" s="55" t="s">
        <v>1137</v>
      </c>
      <c r="I54" s="115" t="s">
        <v>1502</v>
      </c>
      <c r="J54" s="95" t="s">
        <v>1503</v>
      </c>
      <c r="K54" s="55" t="s">
        <v>61</v>
      </c>
      <c r="L54" s="55" t="s">
        <v>1141</v>
      </c>
      <c r="M54" s="55" t="s">
        <v>78</v>
      </c>
      <c r="N54" s="55" t="s">
        <v>1135</v>
      </c>
      <c r="O54" s="55" t="s">
        <v>1142</v>
      </c>
      <c r="P54" s="55" t="s">
        <v>110</v>
      </c>
      <c r="Q54" s="84" t="str">
        <f>IFERROR(__xludf.DUMMYFUNCTION("""COMPUTED_VALUE"""),"Japan.giaotiep.NGHOA_PTD_Tiktok_NamNH_280225")</f>
        <v>Japan.giaotiep.NGHOA_PTD_Tiktok_NamNH_280225</v>
      </c>
      <c r="R54" s="67" t="str">
        <f>IFERROR(__xludf.DUMMYFUNCTION("""COMPUTED_VALUE"""),"NEW_Japan_1840_none_280225")</f>
        <v>NEW_Japan_1840_none_280225</v>
      </c>
      <c r="S54" s="67" t="str">
        <f>IFERROR(__xludf.DUMMYFUNCTION("""COMPUTED_VALUE"""),"saletructiep_Japan.NGHOA.1840.NGHOA_THCNGDP_LD153")</f>
        <v>saletructiep_Japan.NGHOA.1840.NGHOA_THCNGDP_LD153</v>
      </c>
      <c r="T54" s="107" t="str">
        <f>IFERROR(__xludf.DUMMYFUNCTION("""COMPUTED_VALUE"""),"https://patadovietnam.edu.vn/tienganhgiaotiep_hn/?utm_source=Tiktok&amp;utm_medium=CVS&amp;utm_term=NEW_Japan_1840_none_280225&amp;utm_content=saletructiep_Japan.NGHOA.1840.NGHOA_THCNGDP_LD153&amp;utm_campaign=Japan.giaotiep.NGHOA_PTD_Tiktok_NamNH_280225")</f>
        <v>https://patadovietnam.edu.vn/tienganhgiaotiep_hn/?utm_source=Tiktok&amp;utm_medium=CVS&amp;utm_term=NEW_Japan_1840_none_280225&amp;utm_content=saletructiep_Japan.NGHOA.1840.NGHOA_THCNGDP_LD153&amp;utm_campaign=Japan.giaotiep.NGHOA_PTD_Tiktok_NamNH_280225</v>
      </c>
      <c r="U54" s="118"/>
    </row>
    <row r="55">
      <c r="A55" s="72">
        <v>45716.0</v>
      </c>
      <c r="B55" s="60" t="s">
        <v>1134</v>
      </c>
      <c r="C55" s="67" t="str">
        <f>IFERROR(__xludf.DUMMYFUNCTION("""COMPUTED_VALUE"""),"LD153")</f>
        <v>LD153</v>
      </c>
      <c r="D55" s="55" t="s">
        <v>1135</v>
      </c>
      <c r="E55" s="55" t="s">
        <v>79</v>
      </c>
      <c r="F55" s="55" t="s">
        <v>133</v>
      </c>
      <c r="G55" s="55">
        <v>1840.0</v>
      </c>
      <c r="H55" s="55" t="s">
        <v>1137</v>
      </c>
      <c r="I55" s="115" t="s">
        <v>1509</v>
      </c>
      <c r="J55" s="95" t="s">
        <v>1510</v>
      </c>
      <c r="K55" s="55" t="s">
        <v>61</v>
      </c>
      <c r="L55" s="55" t="s">
        <v>1141</v>
      </c>
      <c r="M55" s="55" t="s">
        <v>78</v>
      </c>
      <c r="N55" s="55" t="s">
        <v>1135</v>
      </c>
      <c r="O55" s="55" t="s">
        <v>1142</v>
      </c>
      <c r="P55" s="55" t="s">
        <v>110</v>
      </c>
      <c r="Q55" s="67" t="str">
        <f>IFERROR(__xludf.DUMMYFUNCTION("""COMPUTED_VALUE"""),"Japan.giaotiep.M404_PTD_Tiktok_NamNH_280225")</f>
        <v>Japan.giaotiep.M404_PTD_Tiktok_NamNH_280225</v>
      </c>
      <c r="R55" s="67" t="str">
        <f>IFERROR(__xludf.DUMMYFUNCTION("""COMPUTED_VALUE"""),"NEW_Japan_1840_none_280225")</f>
        <v>NEW_Japan_1840_none_280225</v>
      </c>
      <c r="S55" s="67" t="str">
        <f>IFERROR(__xludf.DUMMYFUNCTION("""COMPUTED_VALUE"""),"saletructiep_Japan.M404.1840.M404_THCNGDP_LD153")</f>
        <v>saletructiep_Japan.M404.1840.M404_THCNGDP_LD153</v>
      </c>
      <c r="T55" s="107" t="str">
        <f>IFERROR(__xludf.DUMMYFUNCTION("""COMPUTED_VALUE"""),"https://patadovietnam.edu.vn/tienganhgiaotiep_hn/?utm_source=Tiktok&amp;utm_medium=MES&amp;utm_term=NEW_Japan_1840_none_280225&amp;utm_content=saletructiep_Japan.M404.1840.M404_THCNGDP_LD153&amp;utm_campaign=Japan.giaotiep.M404_PTD_Tiktok_NamNH_280225")</f>
        <v>https://patadovietnam.edu.vn/tienganhgiaotiep_hn/?utm_source=Tiktok&amp;utm_medium=MES&amp;utm_term=NEW_Japan_1840_none_280225&amp;utm_content=saletructiep_Japan.M404.1840.M404_THCNGDP_LD153&amp;utm_campaign=Japan.giaotiep.M404_PTD_Tiktok_NamNH_280225</v>
      </c>
      <c r="U55" s="118"/>
    </row>
    <row r="56">
      <c r="A56" s="72">
        <v>45716.0</v>
      </c>
      <c r="B56" s="75" t="s">
        <v>1134</v>
      </c>
      <c r="C56" s="67" t="str">
        <f>IFERROR(__xludf.DUMMYFUNCTION("""COMPUTED_VALUE"""),"LD153")</f>
        <v>LD153</v>
      </c>
      <c r="D56" s="55" t="s">
        <v>1135</v>
      </c>
      <c r="E56" s="55" t="s">
        <v>69</v>
      </c>
      <c r="F56" s="55" t="s">
        <v>625</v>
      </c>
      <c r="G56" s="55">
        <v>1840.0</v>
      </c>
      <c r="H56" s="55" t="s">
        <v>1137</v>
      </c>
      <c r="I56" s="115" t="s">
        <v>1515</v>
      </c>
      <c r="J56" s="95" t="s">
        <v>1516</v>
      </c>
      <c r="K56" s="55" t="s">
        <v>61</v>
      </c>
      <c r="L56" s="55" t="s">
        <v>1141</v>
      </c>
      <c r="M56" s="55" t="s">
        <v>78</v>
      </c>
      <c r="N56" s="55" t="s">
        <v>1135</v>
      </c>
      <c r="O56" s="55" t="s">
        <v>1142</v>
      </c>
      <c r="P56" s="55" t="s">
        <v>110</v>
      </c>
      <c r="Q56" s="67" t="str">
        <f>IFERROR(__xludf.DUMMYFUNCTION("""COMPUTED_VALUE"""),"KoreaSouth.giaotiep.NGHOA_PTD_Tiktok_NamNH_280225")</f>
        <v>KoreaSouth.giaotiep.NGHOA_PTD_Tiktok_NamNH_280225</v>
      </c>
      <c r="R56" s="67" t="str">
        <f>IFERROR(__xludf.DUMMYFUNCTION("""COMPUTED_VALUE"""),"NEW_KoreaSouth_1840_none_280225")</f>
        <v>NEW_KoreaSouth_1840_none_280225</v>
      </c>
      <c r="S56" s="67" t="str">
        <f>IFERROR(__xludf.DUMMYFUNCTION("""COMPUTED_VALUE"""),"saletructiep_KoreaSouth.NGHOA.1840.NGHOA_THCNGDP_LD153")</f>
        <v>saletructiep_KoreaSouth.NGHOA.1840.NGHOA_THCNGDP_LD153</v>
      </c>
      <c r="T56" s="107" t="str">
        <f>IFERROR(__xludf.DUMMYFUNCTION("""COMPUTED_VALUE"""),"https://patadovietnam.edu.vn/tienganhgiaotiep_hn/?utm_source=Tiktok&amp;utm_medium=CVS&amp;utm_term=NEW_KoreaSouth_1840_none_280225&amp;utm_content=saletructiep_KoreaSouth.NGHOA.1840.NGHOA_THCNGDP_LD153&amp;utm_campaign=KoreaSouth.giaotiep.NGHOA_PTD_Tiktok_NamNH_280225")</f>
        <v>https://patadovietnam.edu.vn/tienganhgiaotiep_hn/?utm_source=Tiktok&amp;utm_medium=CVS&amp;utm_term=NEW_KoreaSouth_1840_none_280225&amp;utm_content=saletructiep_KoreaSouth.NGHOA.1840.NGHOA_THCNGDP_LD153&amp;utm_campaign=KoreaSouth.giaotiep.NGHOA_PTD_Tiktok_NamNH_280225</v>
      </c>
      <c r="U56" s="118"/>
    </row>
    <row r="57">
      <c r="A57" s="72">
        <v>45716.0</v>
      </c>
      <c r="B57" s="75" t="s">
        <v>1134</v>
      </c>
      <c r="C57" s="67" t="str">
        <f>IFERROR(__xludf.DUMMYFUNCTION("""COMPUTED_VALUE"""),"LD153")</f>
        <v>LD153</v>
      </c>
      <c r="D57" s="55" t="s">
        <v>1135</v>
      </c>
      <c r="E57" s="55" t="s">
        <v>69</v>
      </c>
      <c r="F57" s="55" t="s">
        <v>674</v>
      </c>
      <c r="G57" s="55">
        <v>1840.0</v>
      </c>
      <c r="H57" s="55" t="s">
        <v>1137</v>
      </c>
      <c r="I57" s="115" t="s">
        <v>1522</v>
      </c>
      <c r="J57" s="95" t="s">
        <v>1523</v>
      </c>
      <c r="K57" s="55" t="s">
        <v>61</v>
      </c>
      <c r="L57" s="55" t="s">
        <v>1141</v>
      </c>
      <c r="M57" s="55" t="s">
        <v>78</v>
      </c>
      <c r="N57" s="55" t="s">
        <v>1135</v>
      </c>
      <c r="O57" s="55" t="s">
        <v>1142</v>
      </c>
      <c r="P57" s="55" t="s">
        <v>110</v>
      </c>
      <c r="Q57" s="67" t="str">
        <f>IFERROR(__xludf.DUMMYFUNCTION("""COMPUTED_VALUE"""),"Europe.giaotiep.NGHOA_PTD_Tiktok_NamNH_280225")</f>
        <v>Europe.giaotiep.NGHOA_PTD_Tiktok_NamNH_280225</v>
      </c>
      <c r="R57" s="67" t="str">
        <f>IFERROR(__xludf.DUMMYFUNCTION("""COMPUTED_VALUE"""),"NEW_Europe_1840_none_280225")</f>
        <v>NEW_Europe_1840_none_280225</v>
      </c>
      <c r="S57" s="67" t="str">
        <f>IFERROR(__xludf.DUMMYFUNCTION("""COMPUTED_VALUE"""),"saletructiep_Europe.NGHOA.1840.NGHOA_THCNGDP_LD153")</f>
        <v>saletructiep_Europe.NGHOA.1840.NGHOA_THCNGDP_LD153</v>
      </c>
      <c r="T57" s="107" t="str">
        <f>IFERROR(__xludf.DUMMYFUNCTION("""COMPUTED_VALUE"""),"https://patadovietnam.edu.vn/tienganhgiaotiep_hn/?utm_source=Tiktok&amp;utm_medium=CVS&amp;utm_term=NEW_Europe_1840_none_280225&amp;utm_content=saletructiep_Europe.NGHOA.1840.NGHOA_THCNGDP_LD153&amp;utm_campaign=Europe.giaotiep.NGHOA_PTD_Tiktok_NamNH_280225")</f>
        <v>https://patadovietnam.edu.vn/tienganhgiaotiep_hn/?utm_source=Tiktok&amp;utm_medium=CVS&amp;utm_term=NEW_Europe_1840_none_280225&amp;utm_content=saletructiep_Europe.NGHOA.1840.NGHOA_THCNGDP_LD153&amp;utm_campaign=Europe.giaotiep.NGHOA_PTD_Tiktok_NamNH_280225</v>
      </c>
      <c r="U57" s="118"/>
    </row>
    <row r="58">
      <c r="A58" s="72">
        <v>45716.0</v>
      </c>
      <c r="B58" s="75" t="s">
        <v>1134</v>
      </c>
      <c r="C58" s="67" t="str">
        <f>IFERROR(__xludf.DUMMYFUNCTION("""COMPUTED_VALUE"""),"LD153")</f>
        <v>LD153</v>
      </c>
      <c r="D58" s="55" t="s">
        <v>1135</v>
      </c>
      <c r="E58" s="55" t="s">
        <v>69</v>
      </c>
      <c r="F58" s="55" t="s">
        <v>674</v>
      </c>
      <c r="G58" s="55">
        <v>1840.0</v>
      </c>
      <c r="H58" s="55" t="s">
        <v>1137</v>
      </c>
      <c r="I58" s="115" t="s">
        <v>1527</v>
      </c>
      <c r="J58" s="95" t="s">
        <v>1528</v>
      </c>
      <c r="K58" s="55" t="s">
        <v>61</v>
      </c>
      <c r="L58" s="55" t="s">
        <v>1141</v>
      </c>
      <c r="M58" s="55" t="s">
        <v>78</v>
      </c>
      <c r="N58" s="55" t="s">
        <v>1135</v>
      </c>
      <c r="O58" s="55" t="s">
        <v>1142</v>
      </c>
      <c r="P58" s="55" t="s">
        <v>110</v>
      </c>
      <c r="Q58" s="67" t="str">
        <f>IFERROR(__xludf.DUMMYFUNCTION("""COMPUTED_VALUE"""),"Europe.giaotiep.M405_PTD_Tiktok_NamNH_280225")</f>
        <v>Europe.giaotiep.M405_PTD_Tiktok_NamNH_280225</v>
      </c>
      <c r="R58" s="67" t="str">
        <f>IFERROR(__xludf.DUMMYFUNCTION("""COMPUTED_VALUE"""),"NEW_Europe_1840_none_280225")</f>
        <v>NEW_Europe_1840_none_280225</v>
      </c>
      <c r="S58" s="67" t="str">
        <f>IFERROR(__xludf.DUMMYFUNCTION("""COMPUTED_VALUE"""),"saletructiep_Europe.M405.1840.M405_THCNGDP_LD153")</f>
        <v>saletructiep_Europe.M405.1840.M405_THCNGDP_LD153</v>
      </c>
      <c r="T58" s="107" t="str">
        <f>IFERROR(__xludf.DUMMYFUNCTION("""COMPUTED_VALUE"""),"https://patadovietnam.edu.vn/tienganhgiaotiep_hn/?utm_source=Tiktok&amp;utm_medium=CVS&amp;utm_term=NEW_Europe_1840_none_280225&amp;utm_content=saletructiep_Europe.M405.1840.M405_THCNGDP_LD153&amp;utm_campaign=Europe.giaotiep.M405_PTD_Tiktok_NamNH_280225")</f>
        <v>https://patadovietnam.edu.vn/tienganhgiaotiep_hn/?utm_source=Tiktok&amp;utm_medium=CVS&amp;utm_term=NEW_Europe_1840_none_280225&amp;utm_content=saletructiep_Europe.M405.1840.M405_THCNGDP_LD153&amp;utm_campaign=Europe.giaotiep.M405_PTD_Tiktok_NamNH_280225</v>
      </c>
      <c r="U58" s="118"/>
    </row>
    <row r="59">
      <c r="A59" s="72">
        <v>45716.0</v>
      </c>
      <c r="B59" s="75" t="s">
        <v>1134</v>
      </c>
      <c r="C59" s="67" t="str">
        <f>IFERROR(__xludf.DUMMYFUNCTION("""COMPUTED_VALUE"""),"LD153")</f>
        <v>LD153</v>
      </c>
      <c r="D59" s="55" t="s">
        <v>1135</v>
      </c>
      <c r="E59" s="55" t="s">
        <v>69</v>
      </c>
      <c r="F59" s="55" t="s">
        <v>674</v>
      </c>
      <c r="G59" s="55">
        <v>1840.0</v>
      </c>
      <c r="H59" s="55" t="s">
        <v>1137</v>
      </c>
      <c r="I59" s="115" t="s">
        <v>1535</v>
      </c>
      <c r="J59" s="95" t="s">
        <v>1536</v>
      </c>
      <c r="K59" s="55" t="s">
        <v>61</v>
      </c>
      <c r="L59" s="55" t="s">
        <v>1141</v>
      </c>
      <c r="M59" s="55" t="s">
        <v>78</v>
      </c>
      <c r="N59" s="55" t="s">
        <v>1135</v>
      </c>
      <c r="O59" s="55" t="s">
        <v>1142</v>
      </c>
      <c r="P59" s="55" t="s">
        <v>110</v>
      </c>
      <c r="Q59" s="67" t="str">
        <f>IFERROR(__xludf.DUMMYFUNCTION("""COMPUTED_VALUE"""),"Europe.giaotiep.M106CVS_PTD_Tiktok_NamNH_280225")</f>
        <v>Europe.giaotiep.M106CVS_PTD_Tiktok_NamNH_280225</v>
      </c>
      <c r="R59" s="67" t="str">
        <f>IFERROR(__xludf.DUMMYFUNCTION("""COMPUTED_VALUE"""),"NEW_Europe_1840_none_280225")</f>
        <v>NEW_Europe_1840_none_280225</v>
      </c>
      <c r="S59" s="67" t="str">
        <f>IFERROR(__xludf.DUMMYFUNCTION("""COMPUTED_VALUE"""),"saletructiep_Europe.M106CVS.1840.M106CVS_THCNGDP_LD153")</f>
        <v>saletructiep_Europe.M106CVS.1840.M106CVS_THCNGDP_LD153</v>
      </c>
      <c r="T59" s="107" t="str">
        <f>IFERROR(__xludf.DUMMYFUNCTION("""COMPUTED_VALUE"""),"https://patadovietnam.edu.vn/tienganhgiaotiep_hn/?utm_source=Tiktok&amp;utm_medium=CVS&amp;utm_term=NEW_Europe_1840_none_280225&amp;utm_content=saletructiep_Europe.M106CVS.1840.M106CVS_THCNGDP_LD153&amp;utm_campaign=Europe.giaotiep.M106CVS_PTD_Tiktok_NamNH_280225")</f>
        <v>https://patadovietnam.edu.vn/tienganhgiaotiep_hn/?utm_source=Tiktok&amp;utm_medium=CVS&amp;utm_term=NEW_Europe_1840_none_280225&amp;utm_content=saletructiep_Europe.M106CVS.1840.M106CVS_THCNGDP_LD153&amp;utm_campaign=Europe.giaotiep.M106CVS_PTD_Tiktok_NamNH_280225</v>
      </c>
      <c r="U59" s="118"/>
    </row>
    <row r="60">
      <c r="A60" s="72">
        <v>45722.0</v>
      </c>
      <c r="B60" s="75" t="s">
        <v>1134</v>
      </c>
      <c r="C60" s="67" t="str">
        <f>IFERROR(__xludf.DUMMYFUNCTION("""COMPUTED_VALUE"""),"LD153")</f>
        <v>LD153</v>
      </c>
      <c r="D60" s="55" t="s">
        <v>1135</v>
      </c>
      <c r="E60" s="55" t="s">
        <v>69</v>
      </c>
      <c r="F60" s="55" t="s">
        <v>539</v>
      </c>
      <c r="G60" s="55">
        <v>1840.0</v>
      </c>
      <c r="H60" s="55" t="s">
        <v>1137</v>
      </c>
      <c r="I60" s="115" t="s">
        <v>1539</v>
      </c>
      <c r="J60" s="95" t="s">
        <v>1540</v>
      </c>
      <c r="K60" s="55" t="s">
        <v>61</v>
      </c>
      <c r="L60" s="55" t="s">
        <v>1141</v>
      </c>
      <c r="M60" s="55" t="s">
        <v>78</v>
      </c>
      <c r="N60" s="55" t="s">
        <v>1135</v>
      </c>
      <c r="O60" s="55" t="s">
        <v>1142</v>
      </c>
      <c r="P60" s="55" t="s">
        <v>110</v>
      </c>
      <c r="Q60" s="67" t="str">
        <f>IFERROR(__xludf.DUMMYFUNCTION("""COMPUTED_VALUE"""),"ALL.giaotiep.M106CVS_PTD_Tiktok_NamNH_060325")</f>
        <v>ALL.giaotiep.M106CVS_PTD_Tiktok_NamNH_060325</v>
      </c>
      <c r="R60" s="67" t="str">
        <f>IFERROR(__xludf.DUMMYFUNCTION("""COMPUTED_VALUE"""),"NEW_ALL_1840_none_060325")</f>
        <v>NEW_ALL_1840_none_060325</v>
      </c>
      <c r="S60" s="67" t="str">
        <f>IFERROR(__xludf.DUMMYFUNCTION("""COMPUTED_VALUE"""),"saletructiep_ALL.M106CVS.1840.M106CVS_THCNGDP_LD153")</f>
        <v>saletructiep_ALL.M106CVS.1840.M106CVS_THCNGDP_LD153</v>
      </c>
      <c r="T60" s="107" t="str">
        <f>IFERROR(__xludf.DUMMYFUNCTION("""COMPUTED_VALUE"""),"https://patadovietnam.edu.vn/tienganhgiaotiep_hn/?utm_source=Tiktok&amp;utm_medium=CVS&amp;utm_term=NEW_ALL_1840_none_060325&amp;utm_content=saletructiep_ALL.M106CVS.1840.M106CVS_THCNGDP_LD153&amp;utm_campaign=ALL.giaotiep.M106CVS_PTD_Tiktok_NamNH_060325")</f>
        <v>https://patadovietnam.edu.vn/tienganhgiaotiep_hn/?utm_source=Tiktok&amp;utm_medium=CVS&amp;utm_term=NEW_ALL_1840_none_060325&amp;utm_content=saletructiep_ALL.M106CVS.1840.M106CVS_THCNGDP_LD153&amp;utm_campaign=ALL.giaotiep.M106CVS_PTD_Tiktok_NamNH_060325</v>
      </c>
      <c r="U60" s="118"/>
    </row>
    <row r="61">
      <c r="A61" s="72">
        <v>45722.0</v>
      </c>
      <c r="B61" s="75" t="s">
        <v>1134</v>
      </c>
      <c r="C61" s="67" t="str">
        <f>IFERROR(__xludf.DUMMYFUNCTION("""COMPUTED_VALUE"""),"LD153")</f>
        <v>LD153</v>
      </c>
      <c r="D61" s="55" t="s">
        <v>1135</v>
      </c>
      <c r="E61" s="55" t="s">
        <v>69</v>
      </c>
      <c r="F61" s="55" t="s">
        <v>539</v>
      </c>
      <c r="G61" s="55">
        <v>1840.0</v>
      </c>
      <c r="H61" s="55" t="s">
        <v>1137</v>
      </c>
      <c r="I61" s="115" t="s">
        <v>1545</v>
      </c>
      <c r="J61" s="95" t="s">
        <v>1546</v>
      </c>
      <c r="K61" s="55" t="s">
        <v>61</v>
      </c>
      <c r="L61" s="55" t="s">
        <v>1141</v>
      </c>
      <c r="M61" s="55" t="s">
        <v>78</v>
      </c>
      <c r="N61" s="55" t="s">
        <v>1135</v>
      </c>
      <c r="O61" s="55" t="s">
        <v>1142</v>
      </c>
      <c r="P61" s="55" t="s">
        <v>110</v>
      </c>
      <c r="Q61" s="67" t="str">
        <f>IFERROR(__xludf.DUMMYFUNCTION("""COMPUTED_VALUE"""),"ALL.giaotiep.M106CVS2_PTD_Tiktok_NamNH_060325")</f>
        <v>ALL.giaotiep.M106CVS2_PTD_Tiktok_NamNH_060325</v>
      </c>
      <c r="R61" s="67" t="str">
        <f>IFERROR(__xludf.DUMMYFUNCTION("""COMPUTED_VALUE"""),"NEW_ALL_1840_none_060325")</f>
        <v>NEW_ALL_1840_none_060325</v>
      </c>
      <c r="S61" s="67" t="str">
        <f>IFERROR(__xludf.DUMMYFUNCTION("""COMPUTED_VALUE"""),"saletructiep_ALL.M106CVS2.1840.M106CVS2_THCNGDP_LD153")</f>
        <v>saletructiep_ALL.M106CVS2.1840.M106CVS2_THCNGDP_LD153</v>
      </c>
      <c r="T61" s="107" t="str">
        <f>IFERROR(__xludf.DUMMYFUNCTION("""COMPUTED_VALUE"""),"https://patadovietnam.edu.vn/tienganhgiaotiep_hn/?utm_source=Tiktok&amp;utm_medium=CVS&amp;utm_term=NEW_ALL_1840_none_060325&amp;utm_content=saletructiep_ALL.M106CVS2.1840.M106CVS2_THCNGDP_LD153&amp;utm_campaign=ALL.giaotiep.M106CVS2_PTD_Tiktok_NamNH_060325")</f>
        <v>https://patadovietnam.edu.vn/tienganhgiaotiep_hn/?utm_source=Tiktok&amp;utm_medium=CVS&amp;utm_term=NEW_ALL_1840_none_060325&amp;utm_content=saletructiep_ALL.M106CVS2.1840.M106CVS2_THCNGDP_LD153&amp;utm_campaign=ALL.giaotiep.M106CVS2_PTD_Tiktok_NamNH_060325</v>
      </c>
      <c r="U61" s="118"/>
    </row>
    <row r="62">
      <c r="A62" s="72">
        <v>45724.0</v>
      </c>
      <c r="B62" s="75" t="s">
        <v>1134</v>
      </c>
      <c r="C62" s="67" t="str">
        <f>IFERROR(__xludf.DUMMYFUNCTION("""COMPUTED_VALUE"""),"LD153")</f>
        <v>LD153</v>
      </c>
      <c r="D62" s="55" t="s">
        <v>1135</v>
      </c>
      <c r="E62" s="55" t="s">
        <v>69</v>
      </c>
      <c r="F62" s="55" t="s">
        <v>625</v>
      </c>
      <c r="G62" s="55">
        <v>1840.0</v>
      </c>
      <c r="H62" s="55" t="s">
        <v>1137</v>
      </c>
      <c r="I62" s="115" t="s">
        <v>1549</v>
      </c>
      <c r="J62" s="95" t="s">
        <v>1551</v>
      </c>
      <c r="K62" s="55" t="s">
        <v>61</v>
      </c>
      <c r="L62" s="55" t="s">
        <v>1141</v>
      </c>
      <c r="M62" s="55" t="s">
        <v>78</v>
      </c>
      <c r="N62" s="55" t="s">
        <v>1135</v>
      </c>
      <c r="O62" s="55" t="s">
        <v>1142</v>
      </c>
      <c r="P62" s="55" t="s">
        <v>110</v>
      </c>
      <c r="Q62" s="67" t="str">
        <f>IFERROR(__xludf.DUMMYFUNCTION("""COMPUTED_VALUE"""),"KoreaSouth.giaotiep.LTKTCVS_PTD_Tiktok_NamNH_080325")</f>
        <v>KoreaSouth.giaotiep.LTKTCVS_PTD_Tiktok_NamNH_080325</v>
      </c>
      <c r="R62" s="67" t="str">
        <f>IFERROR(__xludf.DUMMYFUNCTION("""COMPUTED_VALUE"""),"NEW_KoreaSouth_1840_none_080325")</f>
        <v>NEW_KoreaSouth_1840_none_080325</v>
      </c>
      <c r="S62" s="67" t="str">
        <f>IFERROR(__xludf.DUMMYFUNCTION("""COMPUTED_VALUE"""),"saletructiep_KoreaSouth.LTKTCVS.1840.LTKTCVS_THCNGDP_LD153")</f>
        <v>saletructiep_KoreaSouth.LTKTCVS.1840.LTKTCVS_THCNGDP_LD153</v>
      </c>
      <c r="T62" s="107" t="str">
        <f>IFERROR(__xludf.DUMMYFUNCTION("""COMPUTED_VALUE"""),"https://patadovietnam.edu.vn/tienganhgiaotiep_hn/?utm_source=Tiktok&amp;utm_medium=CVS&amp;utm_term=NEW_KoreaSouth_1840_none_080325&amp;utm_content=saletructiep_KoreaSouth.LTKTCVS.1840.LTKTCVS_THCNGDP_LD153&amp;utm_campaign=KoreaSouth.giaotiep.LTKTCVS_PTD_Tiktok_NamNH_08"&amp;"0325")</f>
        <v>https://patadovietnam.edu.vn/tienganhgiaotiep_hn/?utm_source=Tiktok&amp;utm_medium=CVS&amp;utm_term=NEW_KoreaSouth_1840_none_080325&amp;utm_content=saletructiep_KoreaSouth.LTKTCVS.1840.LTKTCVS_THCNGDP_LD153&amp;utm_campaign=KoreaSouth.giaotiep.LTKTCVS_PTD_Tiktok_NamNH_080325</v>
      </c>
      <c r="U62" s="118"/>
    </row>
    <row r="63">
      <c r="A63" s="72">
        <v>45725.0</v>
      </c>
      <c r="B63" s="75" t="s">
        <v>1229</v>
      </c>
      <c r="C63" s="67" t="str">
        <f>IFERROR(__xludf.DUMMYFUNCTION("""COMPUTED_VALUE"""),"LD164")</f>
        <v>LD164</v>
      </c>
      <c r="D63" s="55" t="s">
        <v>1135</v>
      </c>
      <c r="E63" s="55" t="s">
        <v>69</v>
      </c>
      <c r="F63" s="55" t="s">
        <v>133</v>
      </c>
      <c r="G63" s="55">
        <v>1840.0</v>
      </c>
      <c r="H63" s="55" t="s">
        <v>1137</v>
      </c>
      <c r="I63" s="115" t="s">
        <v>1554</v>
      </c>
      <c r="J63" s="95" t="s">
        <v>1555</v>
      </c>
      <c r="K63" s="55" t="s">
        <v>61</v>
      </c>
      <c r="L63" s="55" t="s">
        <v>1141</v>
      </c>
      <c r="M63" s="55" t="s">
        <v>78</v>
      </c>
      <c r="N63" s="55" t="s">
        <v>1135</v>
      </c>
      <c r="O63" s="55" t="s">
        <v>1142</v>
      </c>
      <c r="P63" s="55" t="s">
        <v>110</v>
      </c>
      <c r="Q63" s="67" t="str">
        <f>IFERROR(__xludf.DUMMYFUNCTION("""COMPUTED_VALUE"""),"Japan.giaotiep.M408CVS_PTD_Tiktok_NamNH_090325")</f>
        <v>Japan.giaotiep.M408CVS_PTD_Tiktok_NamNH_090325</v>
      </c>
      <c r="R63" s="67" t="str">
        <f>IFERROR(__xludf.DUMMYFUNCTION("""COMPUTED_VALUE"""),"NEW_Japan_1840_none_090325")</f>
        <v>NEW_Japan_1840_none_090325</v>
      </c>
      <c r="S63" s="67" t="str">
        <f>IFERROR(__xludf.DUMMYFUNCTION("""COMPUTED_VALUE"""),"saletructiep_Japan.M408CVS.1840.M408CVS_THCNGDP_LD164")</f>
        <v>saletructiep_Japan.M408CVS.1840.M408CVS_THCNGDP_LD164</v>
      </c>
      <c r="T63" s="107" t="str">
        <f>IFERROR(__xludf.DUMMYFUNCTION("""COMPUTED_VALUE"""),"https://patadovietnam.edu.vn/gtjapan_nhn3/?utm_source=Tiktok&amp;utm_medium=CVS&amp;utm_term=NEW_Japan_1840_none_090325&amp;utm_content=saletructiep_Japan.M408CVS.1840.M408CVS_THCNGDP_LD164&amp;utm_campaign=Japan.giaotiep.M408CVS_PTD_Tiktok_NamNH_090325")</f>
        <v>https://patadovietnam.edu.vn/gtjapan_nhn3/?utm_source=Tiktok&amp;utm_medium=CVS&amp;utm_term=NEW_Japan_1840_none_090325&amp;utm_content=saletructiep_Japan.M408CVS.1840.M408CVS_THCNGDP_LD164&amp;utm_campaign=Japan.giaotiep.M408CVS_PTD_Tiktok_NamNH_090325</v>
      </c>
      <c r="U63" s="118"/>
    </row>
    <row r="64">
      <c r="A64" s="72">
        <v>45726.0</v>
      </c>
      <c r="B64" s="75" t="s">
        <v>1229</v>
      </c>
      <c r="C64" s="67" t="str">
        <f>IFERROR(__xludf.DUMMYFUNCTION("""COMPUTED_VALUE"""),"LD164")</f>
        <v>LD164</v>
      </c>
      <c r="D64" s="55" t="s">
        <v>1135</v>
      </c>
      <c r="E64" s="55" t="s">
        <v>79</v>
      </c>
      <c r="F64" s="55" t="s">
        <v>133</v>
      </c>
      <c r="G64" s="55">
        <v>1840.0</v>
      </c>
      <c r="H64" s="55" t="s">
        <v>1137</v>
      </c>
      <c r="I64" s="115" t="s">
        <v>1560</v>
      </c>
      <c r="J64" s="95" t="s">
        <v>1561</v>
      </c>
      <c r="K64" s="55" t="s">
        <v>61</v>
      </c>
      <c r="L64" s="55" t="s">
        <v>1141</v>
      </c>
      <c r="M64" s="55" t="s">
        <v>78</v>
      </c>
      <c r="N64" s="55" t="s">
        <v>1135</v>
      </c>
      <c r="O64" s="55" t="s">
        <v>1142</v>
      </c>
      <c r="P64" s="55" t="s">
        <v>110</v>
      </c>
      <c r="Q64" s="67" t="str">
        <f>IFERROR(__xludf.DUMMYFUNCTION("""COMPUTED_VALUE"""),"Japan.giaotiep.LTKTMES_PTD_Tiktok_NamNH_100325")</f>
        <v>Japan.giaotiep.LTKTMES_PTD_Tiktok_NamNH_100325</v>
      </c>
      <c r="R64" s="67" t="str">
        <f>IFERROR(__xludf.DUMMYFUNCTION("""COMPUTED_VALUE"""),"NEW_Japan_1840_none_100325")</f>
        <v>NEW_Japan_1840_none_100325</v>
      </c>
      <c r="S64" s="67" t="str">
        <f>IFERROR(__xludf.DUMMYFUNCTION("""COMPUTED_VALUE"""),"saletructiep_Japan.LTKTMES.1840.LTKTMES_THCNGDP_LD164")</f>
        <v>saletructiep_Japan.LTKTMES.1840.LTKTMES_THCNGDP_LD164</v>
      </c>
      <c r="T64" s="107" t="str">
        <f>IFERROR(__xludf.DUMMYFUNCTION("""COMPUTED_VALUE"""),"https://patadovietnam.edu.vn/gtjapan_nhn3/?utm_source=Tiktok&amp;utm_medium=MES&amp;utm_term=NEW_Japan_1840_none_100325&amp;utm_content=saletructiep_Japan.LTKTMES.1840.LTKTMES_THCNGDP_LD164&amp;utm_campaign=Japan.giaotiep.LTKTMES_PTD_Tiktok_NamNH_100325")</f>
        <v>https://patadovietnam.edu.vn/gtjapan_nhn3/?utm_source=Tiktok&amp;utm_medium=MES&amp;utm_term=NEW_Japan_1840_none_100325&amp;utm_content=saletructiep_Japan.LTKTMES.1840.LTKTMES_THCNGDP_LD164&amp;utm_campaign=Japan.giaotiep.LTKTMES_PTD_Tiktok_NamNH_100325</v>
      </c>
      <c r="U64" s="118"/>
    </row>
    <row r="65">
      <c r="A65" s="72">
        <v>45735.0</v>
      </c>
      <c r="B65" s="75" t="s">
        <v>1134</v>
      </c>
      <c r="C65" s="67" t="str">
        <f>IFERROR(__xludf.DUMMYFUNCTION("""COMPUTED_VALUE"""),"LD153")</f>
        <v>LD153</v>
      </c>
      <c r="D65" s="55" t="s">
        <v>1135</v>
      </c>
      <c r="E65" s="55" t="s">
        <v>69</v>
      </c>
      <c r="F65" s="55" t="s">
        <v>625</v>
      </c>
      <c r="G65" s="55">
        <v>1840.0</v>
      </c>
      <c r="H65" s="55" t="s">
        <v>1137</v>
      </c>
      <c r="I65" s="115" t="s">
        <v>1566</v>
      </c>
      <c r="J65" s="95" t="s">
        <v>1567</v>
      </c>
      <c r="K65" s="55" t="s">
        <v>61</v>
      </c>
      <c r="L65" s="55" t="s">
        <v>1141</v>
      </c>
      <c r="M65" s="55" t="s">
        <v>78</v>
      </c>
      <c r="N65" s="55" t="s">
        <v>1135</v>
      </c>
      <c r="O65" s="55" t="s">
        <v>1142</v>
      </c>
      <c r="P65" s="55" t="s">
        <v>110</v>
      </c>
      <c r="Q65" s="67" t="str">
        <f>IFERROR(__xludf.DUMMYFUNCTION("""COMPUTED_VALUE"""),"KoreaSouth.giaotiep.M106MES_PTD_Tiktok_NamNH_190325")</f>
        <v>KoreaSouth.giaotiep.M106MES_PTD_Tiktok_NamNH_190325</v>
      </c>
      <c r="R65" s="67" t="str">
        <f>IFERROR(__xludf.DUMMYFUNCTION("""COMPUTED_VALUE"""),"NEW_KoreaSouth_1840_none_190325")</f>
        <v>NEW_KoreaSouth_1840_none_190325</v>
      </c>
      <c r="S65" s="67" t="str">
        <f>IFERROR(__xludf.DUMMYFUNCTION("""COMPUTED_VALUE"""),"saletructiep_KoreaSouth.M106MES.1840.M106MES_THCNGDP_LD153")</f>
        <v>saletructiep_KoreaSouth.M106MES.1840.M106MES_THCNGDP_LD153</v>
      </c>
      <c r="T65" s="107" t="str">
        <f>IFERROR(__xludf.DUMMYFUNCTION("""COMPUTED_VALUE"""),"https://patadovietnam.edu.vn/tienganhgiaotiep_hn/?utm_source=Tiktok&amp;utm_medium=CVS&amp;utm_term=NEW_KoreaSouth_1840_none_190325&amp;utm_content=saletructiep_KoreaSouth.M106MES.1840.M106MES_THCNGDP_LD153&amp;utm_campaign=KoreaSouth.giaotiep.M106MES_PTD_Tiktok_NamNH_19"&amp;"0325")</f>
        <v>https://patadovietnam.edu.vn/tienganhgiaotiep_hn/?utm_source=Tiktok&amp;utm_medium=CVS&amp;utm_term=NEW_KoreaSouth_1840_none_190325&amp;utm_content=saletructiep_KoreaSouth.M106MES.1840.M106MES_THCNGDP_LD153&amp;utm_campaign=KoreaSouth.giaotiep.M106MES_PTD_Tiktok_NamNH_190325</v>
      </c>
      <c r="U65" s="118"/>
    </row>
    <row r="66">
      <c r="A66" s="72">
        <v>45735.0</v>
      </c>
      <c r="B66" s="75" t="s">
        <v>1134</v>
      </c>
      <c r="C66" s="67" t="str">
        <f>IFERROR(__xludf.DUMMYFUNCTION("""COMPUTED_VALUE"""),"LD153")</f>
        <v>LD153</v>
      </c>
      <c r="D66" s="55" t="s">
        <v>1135</v>
      </c>
      <c r="E66" s="55" t="s">
        <v>69</v>
      </c>
      <c r="F66" s="55" t="s">
        <v>674</v>
      </c>
      <c r="G66" s="55">
        <v>1840.0</v>
      </c>
      <c r="H66" s="55" t="s">
        <v>1137</v>
      </c>
      <c r="I66" s="115" t="s">
        <v>1570</v>
      </c>
      <c r="J66" s="95" t="s">
        <v>1571</v>
      </c>
      <c r="K66" s="55" t="s">
        <v>61</v>
      </c>
      <c r="L66" s="55" t="s">
        <v>1141</v>
      </c>
      <c r="M66" s="55" t="s">
        <v>78</v>
      </c>
      <c r="N66" s="55" t="s">
        <v>1135</v>
      </c>
      <c r="O66" s="55" t="s">
        <v>1142</v>
      </c>
      <c r="P66" s="55" t="s">
        <v>110</v>
      </c>
      <c r="Q66" s="67" t="str">
        <f>IFERROR(__xludf.DUMMYFUNCTION("""COMPUTED_VALUE"""),"Europe.giaotiep.LTKTCVS_PTD_Tiktok_NamNH_190325")</f>
        <v>Europe.giaotiep.LTKTCVS_PTD_Tiktok_NamNH_190325</v>
      </c>
      <c r="R66" s="67" t="str">
        <f>IFERROR(__xludf.DUMMYFUNCTION("""COMPUTED_VALUE"""),"NEW_Europe_1840_none_190325")</f>
        <v>NEW_Europe_1840_none_190325</v>
      </c>
      <c r="S66" s="67" t="str">
        <f>IFERROR(__xludf.DUMMYFUNCTION("""COMPUTED_VALUE"""),"saletructiep_Europe.LTKTCVS.1840.LTKTCVS_THCNGDP_LD153")</f>
        <v>saletructiep_Europe.LTKTCVS.1840.LTKTCVS_THCNGDP_LD153</v>
      </c>
      <c r="T66" s="107" t="str">
        <f>IFERROR(__xludf.DUMMYFUNCTION("""COMPUTED_VALUE"""),"https://patadovietnam.edu.vn/tienganhgiaotiep_hn/?utm_source=Tiktok&amp;utm_medium=CVS&amp;utm_term=NEW_Europe_1840_none_190325&amp;utm_content=saletructiep_Europe.LTKTCVS.1840.LTKTCVS_THCNGDP_LD153&amp;utm_campaign=Europe.giaotiep.LTKTCVS_PTD_Tiktok_NamNH_190325")</f>
        <v>https://patadovietnam.edu.vn/tienganhgiaotiep_hn/?utm_source=Tiktok&amp;utm_medium=CVS&amp;utm_term=NEW_Europe_1840_none_190325&amp;utm_content=saletructiep_Europe.LTKTCVS.1840.LTKTCVS_THCNGDP_LD153&amp;utm_campaign=Europe.giaotiep.LTKTCVS_PTD_Tiktok_NamNH_190325</v>
      </c>
      <c r="U66" s="118"/>
    </row>
    <row r="67">
      <c r="A67" s="72">
        <v>45735.0</v>
      </c>
      <c r="B67" s="60" t="s">
        <v>1134</v>
      </c>
      <c r="C67" s="67" t="str">
        <f>IFERROR(__xludf.DUMMYFUNCTION("""COMPUTED_VALUE"""),"LD153")</f>
        <v>LD153</v>
      </c>
      <c r="D67" s="55" t="s">
        <v>1135</v>
      </c>
      <c r="E67" s="55" t="s">
        <v>79</v>
      </c>
      <c r="F67" s="55" t="s">
        <v>674</v>
      </c>
      <c r="G67" s="55">
        <v>1840.0</v>
      </c>
      <c r="H67" s="55" t="s">
        <v>1137</v>
      </c>
      <c r="I67" s="115" t="s">
        <v>1574</v>
      </c>
      <c r="J67" s="95" t="s">
        <v>1575</v>
      </c>
      <c r="K67" s="55" t="s">
        <v>61</v>
      </c>
      <c r="L67" s="55" t="s">
        <v>1141</v>
      </c>
      <c r="M67" s="55" t="s">
        <v>78</v>
      </c>
      <c r="N67" s="55" t="s">
        <v>1135</v>
      </c>
      <c r="O67" s="55" t="s">
        <v>1142</v>
      </c>
      <c r="P67" s="55" t="s">
        <v>110</v>
      </c>
      <c r="Q67" s="67" t="str">
        <f>IFERROR(__xludf.DUMMYFUNCTION("""COMPUTED_VALUE"""),"Europe.giaotiep.M404MES_PTD_Tiktok_NamNH_190325")</f>
        <v>Europe.giaotiep.M404MES_PTD_Tiktok_NamNH_190325</v>
      </c>
      <c r="R67" s="67" t="str">
        <f>IFERROR(__xludf.DUMMYFUNCTION("""COMPUTED_VALUE"""),"NEW_Europe_1840_none_190325")</f>
        <v>NEW_Europe_1840_none_190325</v>
      </c>
      <c r="S67" s="67" t="str">
        <f>IFERROR(__xludf.DUMMYFUNCTION("""COMPUTED_VALUE"""),"saletructiep_Europe.M404MES.1840.M404MES_THCNGDP_LD153")</f>
        <v>saletructiep_Europe.M404MES.1840.M404MES_THCNGDP_LD153</v>
      </c>
      <c r="T67" s="107" t="str">
        <f>IFERROR(__xludf.DUMMYFUNCTION("""COMPUTED_VALUE"""),"https://patadovietnam.edu.vn/tienganhgiaotiep_hn/?utm_source=Tiktok&amp;utm_medium=MES&amp;utm_term=NEW_Europe_1840_none_190325&amp;utm_content=saletructiep_Europe.M404MES.1840.M404MES_THCNGDP_LD153&amp;utm_campaign=Europe.giaotiep.M404MES_PTD_Tiktok_NamNH_190325")</f>
        <v>https://patadovietnam.edu.vn/tienganhgiaotiep_hn/?utm_source=Tiktok&amp;utm_medium=MES&amp;utm_term=NEW_Europe_1840_none_190325&amp;utm_content=saletructiep_Europe.M404MES.1840.M404MES_THCNGDP_LD153&amp;utm_campaign=Europe.giaotiep.M404MES_PTD_Tiktok_NamNH_190325</v>
      </c>
      <c r="U67" s="118"/>
    </row>
    <row r="68">
      <c r="A68" s="72">
        <v>45748.0</v>
      </c>
      <c r="B68" s="75" t="s">
        <v>1229</v>
      </c>
      <c r="C68" s="67" t="str">
        <f>IFERROR(__xludf.DUMMYFUNCTION("""COMPUTED_VALUE"""),"LD164")</f>
        <v>LD164</v>
      </c>
      <c r="D68" s="55" t="s">
        <v>1135</v>
      </c>
      <c r="E68" s="55" t="s">
        <v>79</v>
      </c>
      <c r="F68" s="55" t="s">
        <v>133</v>
      </c>
      <c r="G68" s="55">
        <v>1840.0</v>
      </c>
      <c r="H68" s="55" t="s">
        <v>1137</v>
      </c>
      <c r="I68" s="115" t="s">
        <v>1580</v>
      </c>
      <c r="J68" s="95" t="s">
        <v>1581</v>
      </c>
      <c r="K68" s="55" t="s">
        <v>61</v>
      </c>
      <c r="L68" s="55" t="s">
        <v>1141</v>
      </c>
      <c r="M68" s="55" t="s">
        <v>78</v>
      </c>
      <c r="N68" s="55" t="s">
        <v>1135</v>
      </c>
      <c r="O68" s="55" t="s">
        <v>1142</v>
      </c>
      <c r="P68" s="55" t="s">
        <v>110</v>
      </c>
      <c r="Q68" s="67" t="str">
        <f>IFERROR(__xludf.DUMMYFUNCTION("""COMPUTED_VALUE"""),"Japan.giaotiep.M417MES_PTD_Tiktok_NamNH_010425")</f>
        <v>Japan.giaotiep.M417MES_PTD_Tiktok_NamNH_010425</v>
      </c>
      <c r="R68" s="67" t="str">
        <f>IFERROR(__xludf.DUMMYFUNCTION("""COMPUTED_VALUE"""),"NEW_Japan_1840_none_010425")</f>
        <v>NEW_Japan_1840_none_010425</v>
      </c>
      <c r="S68" s="67" t="str">
        <f>IFERROR(__xludf.DUMMYFUNCTION("""COMPUTED_VALUE"""),"saletructiep_Japan.M417MES.1840.M417MES_THCNGDP_LD164")</f>
        <v>saletructiep_Japan.M417MES.1840.M417MES_THCNGDP_LD164</v>
      </c>
      <c r="T68" s="107" t="str">
        <f>IFERROR(__xludf.DUMMYFUNCTION("""COMPUTED_VALUE"""),"https://patadovietnam.edu.vn/gtjapan_nhn3/?utm_source=Tiktok&amp;utm_medium=MES&amp;utm_term=NEW_Japan_1840_none_010425&amp;utm_content=saletructiep_Japan.M417MES.1840.M417MES_THCNGDP_LD164&amp;utm_campaign=Japan.giaotiep.M417MES_PTD_Tiktok_NamNH_010425")</f>
        <v>https://patadovietnam.edu.vn/gtjapan_nhn3/?utm_source=Tiktok&amp;utm_medium=MES&amp;utm_term=NEW_Japan_1840_none_010425&amp;utm_content=saletructiep_Japan.M417MES.1840.M417MES_THCNGDP_LD164&amp;utm_campaign=Japan.giaotiep.M417MES_PTD_Tiktok_NamNH_010425</v>
      </c>
      <c r="U68" s="118"/>
    </row>
    <row r="69">
      <c r="A69" s="72">
        <v>45748.0</v>
      </c>
      <c r="B69" s="75" t="s">
        <v>1134</v>
      </c>
      <c r="C69" s="67" t="str">
        <f>IFERROR(__xludf.DUMMYFUNCTION("""COMPUTED_VALUE"""),"LD153")</f>
        <v>LD153</v>
      </c>
      <c r="D69" s="55" t="s">
        <v>1135</v>
      </c>
      <c r="E69" s="55" t="s">
        <v>69</v>
      </c>
      <c r="F69" s="55" t="s">
        <v>674</v>
      </c>
      <c r="G69" s="55">
        <v>1840.0</v>
      </c>
      <c r="H69" s="55" t="s">
        <v>1137</v>
      </c>
      <c r="I69" s="115" t="s">
        <v>1583</v>
      </c>
      <c r="J69" s="95" t="s">
        <v>1586</v>
      </c>
      <c r="K69" s="55" t="s">
        <v>61</v>
      </c>
      <c r="L69" s="55" t="s">
        <v>1141</v>
      </c>
      <c r="M69" s="55" t="s">
        <v>78</v>
      </c>
      <c r="N69" s="55" t="s">
        <v>1135</v>
      </c>
      <c r="O69" s="55" t="s">
        <v>1142</v>
      </c>
      <c r="P69" s="55" t="s">
        <v>110</v>
      </c>
      <c r="Q69" s="67" t="str">
        <f>IFERROR(__xludf.DUMMYFUNCTION("""COMPUTED_VALUE"""),"Europe.giaotiep.M417CVS_PTD_Tiktok_NamNH_010425")</f>
        <v>Europe.giaotiep.M417CVS_PTD_Tiktok_NamNH_010425</v>
      </c>
      <c r="R69" s="67" t="str">
        <f>IFERROR(__xludf.DUMMYFUNCTION("""COMPUTED_VALUE"""),"NEW_Europe_1840_none_010425")</f>
        <v>NEW_Europe_1840_none_010425</v>
      </c>
      <c r="S69" s="67" t="str">
        <f>IFERROR(__xludf.DUMMYFUNCTION("""COMPUTED_VALUE"""),"saletructiep_Europe.M417CVS.1840.M417CVS_THCNGDP_LD153")</f>
        <v>saletructiep_Europe.M417CVS.1840.M417CVS_THCNGDP_LD153</v>
      </c>
      <c r="T69" s="107" t="str">
        <f>IFERROR(__xludf.DUMMYFUNCTION("""COMPUTED_VALUE"""),"https://patadovietnam.edu.vn/tienganhgiaotiep_hn/?utm_source=Tiktok&amp;utm_medium=CVS&amp;utm_term=NEW_Europe_1840_none_010425&amp;utm_content=saletructiep_Europe.M417CVS.1840.M417CVS_THCNGDP_LD153&amp;utm_campaign=Europe.giaotiep.M417CVS_PTD_Tiktok_NamNH_010425")</f>
        <v>https://patadovietnam.edu.vn/tienganhgiaotiep_hn/?utm_source=Tiktok&amp;utm_medium=CVS&amp;utm_term=NEW_Europe_1840_none_010425&amp;utm_content=saletructiep_Europe.M417CVS.1840.M417CVS_THCNGDP_LD153&amp;utm_campaign=Europe.giaotiep.M417CVS_PTD_Tiktok_NamNH_010425</v>
      </c>
      <c r="U69" s="118"/>
    </row>
    <row r="70">
      <c r="A70" s="72">
        <v>45748.0</v>
      </c>
      <c r="B70" s="75" t="s">
        <v>1134</v>
      </c>
      <c r="C70" s="67" t="str">
        <f>IFERROR(__xludf.DUMMYFUNCTION("""COMPUTED_VALUE"""),"LD153")</f>
        <v>LD153</v>
      </c>
      <c r="D70" s="55" t="s">
        <v>1135</v>
      </c>
      <c r="E70" s="55" t="s">
        <v>79</v>
      </c>
      <c r="F70" s="55" t="s">
        <v>625</v>
      </c>
      <c r="G70" s="55">
        <v>1840.0</v>
      </c>
      <c r="H70" s="55" t="s">
        <v>1137</v>
      </c>
      <c r="I70" s="115" t="s">
        <v>1592</v>
      </c>
      <c r="J70" s="95" t="s">
        <v>1593</v>
      </c>
      <c r="K70" s="55" t="s">
        <v>61</v>
      </c>
      <c r="L70" s="55" t="s">
        <v>1141</v>
      </c>
      <c r="M70" s="55" t="s">
        <v>78</v>
      </c>
      <c r="N70" s="55" t="s">
        <v>1135</v>
      </c>
      <c r="O70" s="55" t="s">
        <v>1142</v>
      </c>
      <c r="P70" s="55" t="s">
        <v>110</v>
      </c>
      <c r="Q70" s="67" t="str">
        <f>IFERROR(__xludf.DUMMYFUNCTION("""COMPUTED_VALUE"""),"KoreaSouth.giaotiep.M417MES_PTD_Tiktok_NamNH_010425")</f>
        <v>KoreaSouth.giaotiep.M417MES_PTD_Tiktok_NamNH_010425</v>
      </c>
      <c r="R70" s="67" t="str">
        <f>IFERROR(__xludf.DUMMYFUNCTION("""COMPUTED_VALUE"""),"NEW_KoreaSouth_1840_none_010425")</f>
        <v>NEW_KoreaSouth_1840_none_010425</v>
      </c>
      <c r="S70" s="67" t="str">
        <f>IFERROR(__xludf.DUMMYFUNCTION("""COMPUTED_VALUE"""),"saletructiep_KoreaSouth.M417MES.1840.M417MES_THCNGDP_LD153")</f>
        <v>saletructiep_KoreaSouth.M417MES.1840.M417MES_THCNGDP_LD153</v>
      </c>
      <c r="T70" s="107" t="str">
        <f>IFERROR(__xludf.DUMMYFUNCTION("""COMPUTED_VALUE"""),"https://patadovietnam.edu.vn/tienganhgiaotiep_hn/?utm_source=Tiktok&amp;utm_medium=MES&amp;utm_term=NEW_KoreaSouth_1840_none_010425&amp;utm_content=saletructiep_KoreaSouth.M417MES.1840.M417MES_THCNGDP_LD153&amp;utm_campaign=KoreaSouth.giaotiep.M417MES_PTD_Tiktok_NamNH_01"&amp;"0425")</f>
        <v>https://patadovietnam.edu.vn/tienganhgiaotiep_hn/?utm_source=Tiktok&amp;utm_medium=MES&amp;utm_term=NEW_KoreaSouth_1840_none_010425&amp;utm_content=saletructiep_KoreaSouth.M417MES.1840.M417MES_THCNGDP_LD153&amp;utm_campaign=KoreaSouth.giaotiep.M417MES_PTD_Tiktok_NamNH_010425</v>
      </c>
      <c r="U70" s="118"/>
    </row>
    <row r="71">
      <c r="A71" s="72">
        <v>45748.0</v>
      </c>
      <c r="B71" s="75" t="s">
        <v>1134</v>
      </c>
      <c r="C71" s="67" t="str">
        <f>IFERROR(__xludf.DUMMYFUNCTION("""COMPUTED_VALUE"""),"LD153")</f>
        <v>LD153</v>
      </c>
      <c r="D71" s="55" t="s">
        <v>1135</v>
      </c>
      <c r="E71" s="55" t="s">
        <v>79</v>
      </c>
      <c r="F71" s="55" t="s">
        <v>539</v>
      </c>
      <c r="G71" s="55">
        <v>1840.0</v>
      </c>
      <c r="H71" s="55" t="s">
        <v>1137</v>
      </c>
      <c r="I71" s="115" t="s">
        <v>1597</v>
      </c>
      <c r="J71" s="95" t="s">
        <v>1598</v>
      </c>
      <c r="K71" s="55" t="s">
        <v>61</v>
      </c>
      <c r="L71" s="55" t="s">
        <v>1141</v>
      </c>
      <c r="M71" s="55" t="s">
        <v>78</v>
      </c>
      <c r="N71" s="55" t="s">
        <v>1135</v>
      </c>
      <c r="O71" s="55" t="s">
        <v>1142</v>
      </c>
      <c r="P71" s="55" t="s">
        <v>110</v>
      </c>
      <c r="Q71" s="67" t="str">
        <f>IFERROR(__xludf.DUMMYFUNCTION("""COMPUTED_VALUE"""),"ALL.giaotiep.M417MES_PTD_Tiktok_NamNH_010425")</f>
        <v>ALL.giaotiep.M417MES_PTD_Tiktok_NamNH_010425</v>
      </c>
      <c r="R71" s="67" t="str">
        <f>IFERROR(__xludf.DUMMYFUNCTION("""COMPUTED_VALUE"""),"NEW_ALL_1840_none_010425")</f>
        <v>NEW_ALL_1840_none_010425</v>
      </c>
      <c r="S71" s="67" t="str">
        <f>IFERROR(__xludf.DUMMYFUNCTION("""COMPUTED_VALUE"""),"saletructiep_ALL.M417MES.1840.M417MES_THCNGDP_LD153")</f>
        <v>saletructiep_ALL.M417MES.1840.M417MES_THCNGDP_LD153</v>
      </c>
      <c r="T71" s="107" t="str">
        <f>IFERROR(__xludf.DUMMYFUNCTION("""COMPUTED_VALUE"""),"https://patadovietnam.edu.vn/tienganhgiaotiep_hn/?utm_source=Tiktok&amp;utm_medium=MES&amp;utm_term=NEW_ALL_1840_none_010425&amp;utm_content=saletructiep_ALL.M417MES.1840.M417MES_THCNGDP_LD153&amp;utm_campaign=ALL.giaotiep.M417MES_PTD_Tiktok_NamNH_010425")</f>
        <v>https://patadovietnam.edu.vn/tienganhgiaotiep_hn/?utm_source=Tiktok&amp;utm_medium=MES&amp;utm_term=NEW_ALL_1840_none_010425&amp;utm_content=saletructiep_ALL.M417MES.1840.M417MES_THCNGDP_LD153&amp;utm_campaign=ALL.giaotiep.M417MES_PTD_Tiktok_NamNH_010425</v>
      </c>
      <c r="U71" s="118"/>
    </row>
    <row r="72">
      <c r="A72" s="72">
        <v>45748.0</v>
      </c>
      <c r="B72" s="75" t="s">
        <v>1134</v>
      </c>
      <c r="C72" s="67" t="str">
        <f>IFERROR(__xludf.DUMMYFUNCTION("""COMPUTED_VALUE"""),"LD153")</f>
        <v>LD153</v>
      </c>
      <c r="D72" s="55" t="s">
        <v>1135</v>
      </c>
      <c r="E72" s="55" t="s">
        <v>79</v>
      </c>
      <c r="F72" s="55" t="s">
        <v>539</v>
      </c>
      <c r="G72" s="55">
        <v>1840.0</v>
      </c>
      <c r="H72" s="55" t="s">
        <v>1137</v>
      </c>
      <c r="I72" s="115" t="s">
        <v>1617</v>
      </c>
      <c r="J72" s="95" t="s">
        <v>1618</v>
      </c>
      <c r="K72" s="55" t="s">
        <v>61</v>
      </c>
      <c r="L72" s="55" t="s">
        <v>1141</v>
      </c>
      <c r="M72" s="55" t="s">
        <v>78</v>
      </c>
      <c r="N72" s="55" t="s">
        <v>1135</v>
      </c>
      <c r="O72" s="55" t="s">
        <v>1142</v>
      </c>
      <c r="P72" s="55" t="s">
        <v>110</v>
      </c>
      <c r="Q72" s="67" t="str">
        <f>IFERROR(__xludf.DUMMYFUNCTION("""COMPUTED_VALUE"""),"ALL.giaotiep.M417MES2_PTD_Tiktok_NamNH_010425")</f>
        <v>ALL.giaotiep.M417MES2_PTD_Tiktok_NamNH_010425</v>
      </c>
      <c r="R72" s="67" t="str">
        <f>IFERROR(__xludf.DUMMYFUNCTION("""COMPUTED_VALUE"""),"NEW_ALL_1840_none_010425")</f>
        <v>NEW_ALL_1840_none_010425</v>
      </c>
      <c r="S72" s="67" t="str">
        <f>IFERROR(__xludf.DUMMYFUNCTION("""COMPUTED_VALUE"""),"saletructiep_ALL.M417MES2.1840.M417MES2_THCNGDP_LD153")</f>
        <v>saletructiep_ALL.M417MES2.1840.M417MES2_THCNGDP_LD153</v>
      </c>
      <c r="T72" s="107" t="str">
        <f>IFERROR(__xludf.DUMMYFUNCTION("""COMPUTED_VALUE"""),"https://patadovietnam.edu.vn/tienganhgiaotiep_hn/?utm_source=Tiktok&amp;utm_medium=MES&amp;utm_term=NEW_ALL_1840_none_010425&amp;utm_content=saletructiep_ALL.M417MES2.1840.M417MES2_THCNGDP_LD153&amp;utm_campaign=ALL.giaotiep.M417MES2_PTD_Tiktok_NamNH_010425")</f>
        <v>https://patadovietnam.edu.vn/tienganhgiaotiep_hn/?utm_source=Tiktok&amp;utm_medium=MES&amp;utm_term=NEW_ALL_1840_none_010425&amp;utm_content=saletructiep_ALL.M417MES2.1840.M417MES2_THCNGDP_LD153&amp;utm_campaign=ALL.giaotiep.M417MES2_PTD_Tiktok_NamNH_010425</v>
      </c>
      <c r="U72" s="118"/>
    </row>
    <row r="73">
      <c r="A73" s="72">
        <v>45748.0</v>
      </c>
      <c r="B73" s="75" t="s">
        <v>1134</v>
      </c>
      <c r="C73" s="67" t="str">
        <f>IFERROR(__xludf.DUMMYFUNCTION("""COMPUTED_VALUE"""),"LD153")</f>
        <v>LD153</v>
      </c>
      <c r="D73" s="55" t="s">
        <v>1135</v>
      </c>
      <c r="E73" s="55" t="s">
        <v>1625</v>
      </c>
      <c r="F73" s="55" t="s">
        <v>539</v>
      </c>
      <c r="G73" s="55">
        <v>1840.0</v>
      </c>
      <c r="H73" s="55" t="s">
        <v>1137</v>
      </c>
      <c r="I73" s="115" t="s">
        <v>1626</v>
      </c>
      <c r="J73" s="95" t="s">
        <v>1627</v>
      </c>
      <c r="K73" s="55" t="s">
        <v>61</v>
      </c>
      <c r="L73" s="55" t="s">
        <v>1141</v>
      </c>
      <c r="M73" s="55" t="s">
        <v>78</v>
      </c>
      <c r="N73" s="55" t="s">
        <v>1135</v>
      </c>
      <c r="O73" s="55" t="s">
        <v>1142</v>
      </c>
      <c r="P73" s="55" t="s">
        <v>110</v>
      </c>
      <c r="Q73" s="67" t="str">
        <f>IFERROR(__xludf.DUMMYFUNCTION("""COMPUTED_VALUE"""),"ALL.giaotiep.M415xM417xM418_PTD_Tiktok_NamNH_010425")</f>
        <v>ALL.giaotiep.M415xM417xM418_PTD_Tiktok_NamNH_010425</v>
      </c>
      <c r="R73" s="67" t="str">
        <f>IFERROR(__xludf.DUMMYFUNCTION("""COMPUTED_VALUE"""),"NEW_ALL_1840_none_010425")</f>
        <v>NEW_ALL_1840_none_010425</v>
      </c>
      <c r="S73" s="67" t="str">
        <f>IFERROR(__xludf.DUMMYFUNCTION("""COMPUTED_VALUE"""),"saletructiep_ALL.M415xM417xM418.1840.M415xM417xM418_THCNGDP_LD153")</f>
        <v>saletructiep_ALL.M415xM417xM418.1840.M415xM417xM418_THCNGDP_LD153</v>
      </c>
      <c r="T73" s="107" t="str">
        <f>IFERROR(__xludf.DUMMYFUNCTION("""COMPUTED_VALUE"""),"https://patadovietnam.edu.vn/tienganhgiaotiep_hn/?utm_source=Tiktok&amp;utm_medium=REACH&amp;utm_term=NEW_ALL_1840_none_010425&amp;utm_content=saletructiep_ALL.M415xM417xM418.1840.M415xM417xM418_THCNGDP_LD153&amp;utm_campaign=ALL.giaotiep.M415xM417xM418_PTD_Tiktok_NamNH_"&amp;"010425")</f>
        <v>https://patadovietnam.edu.vn/tienganhgiaotiep_hn/?utm_source=Tiktok&amp;utm_medium=REACH&amp;utm_term=NEW_ALL_1840_none_010425&amp;utm_content=saletructiep_ALL.M415xM417xM418.1840.M415xM417xM418_THCNGDP_LD153&amp;utm_campaign=ALL.giaotiep.M415xM417xM418_PTD_Tiktok_NamNH_010425</v>
      </c>
      <c r="U73" s="118"/>
    </row>
    <row r="74">
      <c r="A74" s="72">
        <v>45755.0</v>
      </c>
      <c r="B74" s="75" t="s">
        <v>1134</v>
      </c>
      <c r="C74" s="67" t="str">
        <f>IFERROR(__xludf.DUMMYFUNCTION("""COMPUTED_VALUE"""),"LD153")</f>
        <v>LD153</v>
      </c>
      <c r="D74" s="55" t="s">
        <v>1135</v>
      </c>
      <c r="E74" s="55" t="s">
        <v>79</v>
      </c>
      <c r="F74" s="55" t="s">
        <v>539</v>
      </c>
      <c r="G74" s="55">
        <v>1840.0</v>
      </c>
      <c r="H74" s="55" t="s">
        <v>1137</v>
      </c>
      <c r="I74" s="115" t="s">
        <v>1631</v>
      </c>
      <c r="J74" s="95" t="s">
        <v>1632</v>
      </c>
      <c r="K74" s="55" t="s">
        <v>61</v>
      </c>
      <c r="L74" s="55" t="s">
        <v>1141</v>
      </c>
      <c r="M74" s="55" t="s">
        <v>78</v>
      </c>
      <c r="N74" s="55" t="s">
        <v>1135</v>
      </c>
      <c r="O74" s="55" t="s">
        <v>1142</v>
      </c>
      <c r="P74" s="55" t="s">
        <v>110</v>
      </c>
      <c r="Q74" s="67" t="str">
        <f>IFERROR(__xludf.DUMMYFUNCTION("""COMPUTED_VALUE"""),"ALL.giaotiep.M300MES_PTD_Tiktok_NamNH_080425")</f>
        <v>ALL.giaotiep.M300MES_PTD_Tiktok_NamNH_080425</v>
      </c>
      <c r="R74" s="67" t="str">
        <f>IFERROR(__xludf.DUMMYFUNCTION("""COMPUTED_VALUE"""),"NEW_ALL_1840_none_080425")</f>
        <v>NEW_ALL_1840_none_080425</v>
      </c>
      <c r="S74" s="67" t="str">
        <f>IFERROR(__xludf.DUMMYFUNCTION("""COMPUTED_VALUE"""),"saletructiep_ALL.M300MES.1840.M300MES_THCNGDP_LD153")</f>
        <v>saletructiep_ALL.M300MES.1840.M300MES_THCNGDP_LD153</v>
      </c>
      <c r="T74" s="107" t="str">
        <f>IFERROR(__xludf.DUMMYFUNCTION("""COMPUTED_VALUE"""),"https://patadovietnam.edu.vn/tienganhgiaotiep_hn/?utm_source=Tiktok&amp;utm_medium=MES&amp;utm_term=NEW_ALL_1840_none_080425&amp;utm_content=saletructiep_ALL.M300MES.1840.M300MES_THCNGDP_LD153&amp;utm_campaign=ALL.giaotiep.M300MES_PTD_Tiktok_NamNH_080425")</f>
        <v>https://patadovietnam.edu.vn/tienganhgiaotiep_hn/?utm_source=Tiktok&amp;utm_medium=MES&amp;utm_term=NEW_ALL_1840_none_080425&amp;utm_content=saletructiep_ALL.M300MES.1840.M300MES_THCNGDP_LD153&amp;utm_campaign=ALL.giaotiep.M300MES_PTD_Tiktok_NamNH_080425</v>
      </c>
      <c r="U74" s="118"/>
    </row>
    <row r="75">
      <c r="A75" s="72">
        <v>45755.0</v>
      </c>
      <c r="B75" s="75" t="s">
        <v>1134</v>
      </c>
      <c r="C75" s="67" t="str">
        <f>IFERROR(__xludf.DUMMYFUNCTION("""COMPUTED_VALUE"""),"LD153")</f>
        <v>LD153</v>
      </c>
      <c r="D75" s="55" t="s">
        <v>1135</v>
      </c>
      <c r="E75" s="55" t="s">
        <v>69</v>
      </c>
      <c r="F75" s="55" t="s">
        <v>674</v>
      </c>
      <c r="G75" s="55">
        <v>1840.0</v>
      </c>
      <c r="H75" s="55" t="s">
        <v>1137</v>
      </c>
      <c r="I75" s="115" t="s">
        <v>1636</v>
      </c>
      <c r="J75" s="95" t="s">
        <v>1637</v>
      </c>
      <c r="K75" s="55" t="s">
        <v>61</v>
      </c>
      <c r="L75" s="55" t="s">
        <v>1141</v>
      </c>
      <c r="M75" s="55" t="s">
        <v>78</v>
      </c>
      <c r="N75" s="55" t="s">
        <v>1135</v>
      </c>
      <c r="O75" s="55" t="s">
        <v>1142</v>
      </c>
      <c r="P75" s="55" t="s">
        <v>110</v>
      </c>
      <c r="Q75" s="67" t="str">
        <f>IFERROR(__xludf.DUMMYFUNCTION("""COMPUTED_VALUE"""),"Europe.giaotiep.M416CVS_PTD_Tiktok_NamNH_080425")</f>
        <v>Europe.giaotiep.M416CVS_PTD_Tiktok_NamNH_080425</v>
      </c>
      <c r="R75" s="67" t="str">
        <f>IFERROR(__xludf.DUMMYFUNCTION("""COMPUTED_VALUE"""),"NEW_Europe_1840_none_080425")</f>
        <v>NEW_Europe_1840_none_080425</v>
      </c>
      <c r="S75" s="67" t="str">
        <f>IFERROR(__xludf.DUMMYFUNCTION("""COMPUTED_VALUE"""),"saletructiep_Europe.M416CVS.1840.M416CVS_THCNGDP_LD153")</f>
        <v>saletructiep_Europe.M416CVS.1840.M416CVS_THCNGDP_LD153</v>
      </c>
      <c r="T75" s="107" t="str">
        <f>IFERROR(__xludf.DUMMYFUNCTION("""COMPUTED_VALUE"""),"https://patadovietnam.edu.vn/tienganhgiaotiep_hn/?utm_source=Tiktok&amp;utm_medium=CVS&amp;utm_term=NEW_Europe_1840_none_080425&amp;utm_content=saletructiep_Europe.M416CVS.1840.M416CVS_THCNGDP_LD153&amp;utm_campaign=Europe.giaotiep.M416CVS_PTD_Tiktok_NamNH_080425")</f>
        <v>https://patadovietnam.edu.vn/tienganhgiaotiep_hn/?utm_source=Tiktok&amp;utm_medium=CVS&amp;utm_term=NEW_Europe_1840_none_080425&amp;utm_content=saletructiep_Europe.M416CVS.1840.M416CVS_THCNGDP_LD153&amp;utm_campaign=Europe.giaotiep.M416CVS_PTD_Tiktok_NamNH_080425</v>
      </c>
      <c r="U75" s="118"/>
    </row>
    <row r="76">
      <c r="A76" s="72">
        <v>45755.0</v>
      </c>
      <c r="B76" s="75" t="s">
        <v>1134</v>
      </c>
      <c r="C76" s="67" t="str">
        <f>IFERROR(__xludf.DUMMYFUNCTION("""COMPUTED_VALUE"""),"LD153")</f>
        <v>LD153</v>
      </c>
      <c r="D76" s="55" t="s">
        <v>1135</v>
      </c>
      <c r="E76" s="55" t="s">
        <v>69</v>
      </c>
      <c r="F76" s="55" t="s">
        <v>674</v>
      </c>
      <c r="G76" s="55">
        <v>1840.0</v>
      </c>
      <c r="H76" s="55" t="s">
        <v>1137</v>
      </c>
      <c r="I76" s="115" t="s">
        <v>1643</v>
      </c>
      <c r="J76" s="95" t="s">
        <v>1644</v>
      </c>
      <c r="K76" s="55" t="s">
        <v>61</v>
      </c>
      <c r="L76" s="55" t="s">
        <v>1141</v>
      </c>
      <c r="M76" s="55" t="s">
        <v>78</v>
      </c>
      <c r="N76" s="55" t="s">
        <v>1135</v>
      </c>
      <c r="O76" s="55" t="s">
        <v>1142</v>
      </c>
      <c r="P76" s="55" t="s">
        <v>110</v>
      </c>
      <c r="Q76" s="67" t="str">
        <f>IFERROR(__xludf.DUMMYFUNCTION("""COMPUTED_VALUE"""),"Europe.giaotiep.M410CVS_PTD_Tiktok_NamNH_080425")</f>
        <v>Europe.giaotiep.M410CVS_PTD_Tiktok_NamNH_080425</v>
      </c>
      <c r="R76" s="67" t="str">
        <f>IFERROR(__xludf.DUMMYFUNCTION("""COMPUTED_VALUE"""),"NEW_Europe_1840_none_080425")</f>
        <v>NEW_Europe_1840_none_080425</v>
      </c>
      <c r="S76" s="67" t="str">
        <f>IFERROR(__xludf.DUMMYFUNCTION("""COMPUTED_VALUE"""),"saletructiep_Europe.M410CVS.1840.M410CVS_THCNGDP_LD153")</f>
        <v>saletructiep_Europe.M410CVS.1840.M410CVS_THCNGDP_LD153</v>
      </c>
      <c r="T76" s="107" t="str">
        <f>IFERROR(__xludf.DUMMYFUNCTION("""COMPUTED_VALUE"""),"https://patadovietnam.edu.vn/tienganhgiaotiep_hn/?utm_source=Tiktok&amp;utm_medium=CVS&amp;utm_term=NEW_Europe_1840_none_080425&amp;utm_content=saletructiep_Europe.M410CVS.1840.M410CVS_THCNGDP_LD153&amp;utm_campaign=Europe.giaotiep.M410CVS_PTD_Tiktok_NamNH_080425")</f>
        <v>https://patadovietnam.edu.vn/tienganhgiaotiep_hn/?utm_source=Tiktok&amp;utm_medium=CVS&amp;utm_term=NEW_Europe_1840_none_080425&amp;utm_content=saletructiep_Europe.M410CVS.1840.M410CVS_THCNGDP_LD153&amp;utm_campaign=Europe.giaotiep.M410CVS_PTD_Tiktok_NamNH_080425</v>
      </c>
      <c r="U76" s="118"/>
    </row>
    <row r="77">
      <c r="A77" s="72">
        <v>45755.0</v>
      </c>
      <c r="B77" s="75" t="s">
        <v>1134</v>
      </c>
      <c r="C77" s="67" t="str">
        <f>IFERROR(__xludf.DUMMYFUNCTION("""COMPUTED_VALUE"""),"LD153")</f>
        <v>LD153</v>
      </c>
      <c r="D77" s="55" t="s">
        <v>1135</v>
      </c>
      <c r="E77" s="55" t="s">
        <v>69</v>
      </c>
      <c r="F77" s="55" t="s">
        <v>625</v>
      </c>
      <c r="G77" s="55">
        <v>1840.0</v>
      </c>
      <c r="H77" s="55" t="s">
        <v>1137</v>
      </c>
      <c r="I77" s="115" t="s">
        <v>1649</v>
      </c>
      <c r="J77" s="95" t="s">
        <v>1650</v>
      </c>
      <c r="K77" s="55" t="s">
        <v>61</v>
      </c>
      <c r="L77" s="55" t="s">
        <v>1141</v>
      </c>
      <c r="M77" s="55" t="s">
        <v>78</v>
      </c>
      <c r="N77" s="55" t="s">
        <v>1135</v>
      </c>
      <c r="O77" s="55" t="s">
        <v>1142</v>
      </c>
      <c r="P77" s="55" t="s">
        <v>110</v>
      </c>
      <c r="Q77" s="67" t="str">
        <f>IFERROR(__xludf.DUMMYFUNCTION("""COMPUTED_VALUE"""),"KoreaSouth.giaotiep.M416CVS_PTD_Tiktok_NamNH_080425")</f>
        <v>KoreaSouth.giaotiep.M416CVS_PTD_Tiktok_NamNH_080425</v>
      </c>
      <c r="R77" s="67" t="str">
        <f>IFERROR(__xludf.DUMMYFUNCTION("""COMPUTED_VALUE"""),"NEW_KoreaSouth_1840_none_080425")</f>
        <v>NEW_KoreaSouth_1840_none_080425</v>
      </c>
      <c r="S77" s="67" t="str">
        <f>IFERROR(__xludf.DUMMYFUNCTION("""COMPUTED_VALUE"""),"saletructiep_KoreaSouth.M416CVS.1840.M416CVS_THCNGDP_LD153")</f>
        <v>saletructiep_KoreaSouth.M416CVS.1840.M416CVS_THCNGDP_LD153</v>
      </c>
      <c r="T77" s="107" t="str">
        <f>IFERROR(__xludf.DUMMYFUNCTION("""COMPUTED_VALUE"""),"https://patadovietnam.edu.vn/tienganhgiaotiep_hn/?utm_source=Tiktok&amp;utm_medium=CVS&amp;utm_term=NEW_KoreaSouth_1840_none_080425&amp;utm_content=saletructiep_KoreaSouth.M416CVS.1840.M416CVS_THCNGDP_LD153&amp;utm_campaign=KoreaSouth.giaotiep.M416CVS_PTD_Tiktok_NamNH_08"&amp;"0425")</f>
        <v>https://patadovietnam.edu.vn/tienganhgiaotiep_hn/?utm_source=Tiktok&amp;utm_medium=CVS&amp;utm_term=NEW_KoreaSouth_1840_none_080425&amp;utm_content=saletructiep_KoreaSouth.M416CVS.1840.M416CVS_THCNGDP_LD153&amp;utm_campaign=KoreaSouth.giaotiep.M416CVS_PTD_Tiktok_NamNH_080425</v>
      </c>
      <c r="U77" s="118"/>
    </row>
    <row r="78">
      <c r="A78" s="72">
        <v>45755.0</v>
      </c>
      <c r="B78" s="75" t="s">
        <v>1134</v>
      </c>
      <c r="C78" s="67" t="str">
        <f>IFERROR(__xludf.DUMMYFUNCTION("""COMPUTED_VALUE"""),"LD153")</f>
        <v>LD153</v>
      </c>
      <c r="D78" s="55" t="s">
        <v>1135</v>
      </c>
      <c r="E78" s="55" t="s">
        <v>79</v>
      </c>
      <c r="F78" s="55" t="s">
        <v>625</v>
      </c>
      <c r="G78" s="55">
        <v>1840.0</v>
      </c>
      <c r="H78" s="55" t="s">
        <v>1137</v>
      </c>
      <c r="I78" s="115" t="s">
        <v>1654</v>
      </c>
      <c r="J78" s="95" t="s">
        <v>1655</v>
      </c>
      <c r="K78" s="55" t="s">
        <v>61</v>
      </c>
      <c r="L78" s="55" t="s">
        <v>1141</v>
      </c>
      <c r="M78" s="55" t="s">
        <v>78</v>
      </c>
      <c r="N78" s="55" t="s">
        <v>1135</v>
      </c>
      <c r="O78" s="55" t="s">
        <v>1142</v>
      </c>
      <c r="P78" s="55" t="s">
        <v>110</v>
      </c>
      <c r="Q78" s="67" t="str">
        <f>IFERROR(__xludf.DUMMYFUNCTION("""COMPUTED_VALUE"""),"KoreaSouth.giaotiep.M410MES_PTD_Tiktok_NamNH_080425")</f>
        <v>KoreaSouth.giaotiep.M410MES_PTD_Tiktok_NamNH_080425</v>
      </c>
      <c r="R78" s="67" t="str">
        <f>IFERROR(__xludf.DUMMYFUNCTION("""COMPUTED_VALUE"""),"NEW_KoreaSouth_1840_none_080425")</f>
        <v>NEW_KoreaSouth_1840_none_080425</v>
      </c>
      <c r="S78" s="67" t="str">
        <f>IFERROR(__xludf.DUMMYFUNCTION("""COMPUTED_VALUE"""),"saletructiep_KoreaSouth.M410MES.1840.M410MES_THCNGDP_LD153")</f>
        <v>saletructiep_KoreaSouth.M410MES.1840.M410MES_THCNGDP_LD153</v>
      </c>
      <c r="T78" s="107" t="str">
        <f>IFERROR(__xludf.DUMMYFUNCTION("""COMPUTED_VALUE"""),"https://patadovietnam.edu.vn/tienganhgiaotiep_hn/?utm_source=Tiktok&amp;utm_medium=MES&amp;utm_term=NEW_KoreaSouth_1840_none_080425&amp;utm_content=saletructiep_KoreaSouth.M410MES.1840.M410MES_THCNGDP_LD153&amp;utm_campaign=KoreaSouth.giaotiep.M410MES_PTD_Tiktok_NamNH_08"&amp;"0425")</f>
        <v>https://patadovietnam.edu.vn/tienganhgiaotiep_hn/?utm_source=Tiktok&amp;utm_medium=MES&amp;utm_term=NEW_KoreaSouth_1840_none_080425&amp;utm_content=saletructiep_KoreaSouth.M410MES.1840.M410MES_THCNGDP_LD153&amp;utm_campaign=KoreaSouth.giaotiep.M410MES_PTD_Tiktok_NamNH_080425</v>
      </c>
      <c r="U78" s="118"/>
    </row>
    <row r="79">
      <c r="A79" s="72">
        <v>45755.0</v>
      </c>
      <c r="B79" s="75" t="s">
        <v>1229</v>
      </c>
      <c r="C79" s="67" t="str">
        <f>IFERROR(__xludf.DUMMYFUNCTION("""COMPUTED_VALUE"""),"LD164")</f>
        <v>LD164</v>
      </c>
      <c r="D79" s="55" t="s">
        <v>1135</v>
      </c>
      <c r="E79" s="55" t="s">
        <v>69</v>
      </c>
      <c r="F79" s="55" t="s">
        <v>133</v>
      </c>
      <c r="G79" s="55">
        <v>1840.0</v>
      </c>
      <c r="H79" s="55" t="s">
        <v>1137</v>
      </c>
      <c r="I79" s="115" t="s">
        <v>1661</v>
      </c>
      <c r="J79" s="95" t="s">
        <v>1662</v>
      </c>
      <c r="K79" s="55" t="s">
        <v>61</v>
      </c>
      <c r="L79" s="55" t="s">
        <v>1141</v>
      </c>
      <c r="M79" s="55" t="s">
        <v>78</v>
      </c>
      <c r="N79" s="55" t="s">
        <v>1135</v>
      </c>
      <c r="O79" s="55" t="s">
        <v>1142</v>
      </c>
      <c r="P79" s="55" t="s">
        <v>110</v>
      </c>
      <c r="Q79" s="67" t="str">
        <f>IFERROR(__xludf.DUMMYFUNCTION("""COMPUTED_VALUE"""),"Japan.giaotiep.M416CVS_PTD_Tiktok_NamNH_080425")</f>
        <v>Japan.giaotiep.M416CVS_PTD_Tiktok_NamNH_080425</v>
      </c>
      <c r="R79" s="67" t="str">
        <f>IFERROR(__xludf.DUMMYFUNCTION("""COMPUTED_VALUE"""),"NEW_Japan_1840_none_080425")</f>
        <v>NEW_Japan_1840_none_080425</v>
      </c>
      <c r="S79" s="67" t="str">
        <f>IFERROR(__xludf.DUMMYFUNCTION("""COMPUTED_VALUE"""),"saletructiep_Japan.M416CVS.1840.M416CVS_THCNGDP_LD164")</f>
        <v>saletructiep_Japan.M416CVS.1840.M416CVS_THCNGDP_LD164</v>
      </c>
      <c r="T79" s="107" t="str">
        <f>IFERROR(__xludf.DUMMYFUNCTION("""COMPUTED_VALUE"""),"https://patadovietnam.edu.vn/gtjapan_nhn3/?utm_source=Tiktok&amp;utm_medium=CVS&amp;utm_term=NEW_Japan_1840_none_080425&amp;utm_content=saletructiep_Japan.M416CVS.1840.M416CVS_THCNGDP_LD164&amp;utm_campaign=Japan.giaotiep.M416CVS_PTD_Tiktok_NamNH_080425")</f>
        <v>https://patadovietnam.edu.vn/gtjapan_nhn3/?utm_source=Tiktok&amp;utm_medium=CVS&amp;utm_term=NEW_Japan_1840_none_080425&amp;utm_content=saletructiep_Japan.M416CVS.1840.M416CVS_THCNGDP_LD164&amp;utm_campaign=Japan.giaotiep.M416CVS_PTD_Tiktok_NamNH_080425</v>
      </c>
      <c r="U79" s="118"/>
    </row>
    <row r="80">
      <c r="A80" s="72">
        <v>45755.0</v>
      </c>
      <c r="B80" s="75" t="s">
        <v>1229</v>
      </c>
      <c r="C80" s="67" t="str">
        <f>IFERROR(__xludf.DUMMYFUNCTION("""COMPUTED_VALUE"""),"LD164")</f>
        <v>LD164</v>
      </c>
      <c r="D80" s="55" t="s">
        <v>1135</v>
      </c>
      <c r="E80" s="55" t="s">
        <v>79</v>
      </c>
      <c r="F80" s="55" t="s">
        <v>133</v>
      </c>
      <c r="G80" s="55">
        <v>1840.0</v>
      </c>
      <c r="H80" s="55" t="s">
        <v>1137</v>
      </c>
      <c r="I80" s="115" t="s">
        <v>1669</v>
      </c>
      <c r="J80" s="95" t="s">
        <v>1670</v>
      </c>
      <c r="K80" s="55" t="s">
        <v>61</v>
      </c>
      <c r="L80" s="55" t="s">
        <v>1141</v>
      </c>
      <c r="M80" s="55" t="s">
        <v>78</v>
      </c>
      <c r="N80" s="55" t="s">
        <v>1135</v>
      </c>
      <c r="O80" s="55" t="s">
        <v>1142</v>
      </c>
      <c r="P80" s="55" t="s">
        <v>110</v>
      </c>
      <c r="Q80" s="67" t="str">
        <f>IFERROR(__xludf.DUMMYFUNCTION("""COMPUTED_VALUE"""),"Japan.giaotiep.M410MES_PTD_Tiktok_NamNH_080425")</f>
        <v>Japan.giaotiep.M410MES_PTD_Tiktok_NamNH_080425</v>
      </c>
      <c r="R80" s="67" t="str">
        <f>IFERROR(__xludf.DUMMYFUNCTION("""COMPUTED_VALUE"""),"NEW_Japan_1840_none_080425")</f>
        <v>NEW_Japan_1840_none_080425</v>
      </c>
      <c r="S80" s="67" t="str">
        <f>IFERROR(__xludf.DUMMYFUNCTION("""COMPUTED_VALUE"""),"saletructiep_Japan.M410MES.1840.M410MES_THCNGDP_LD164")</f>
        <v>saletructiep_Japan.M410MES.1840.M410MES_THCNGDP_LD164</v>
      </c>
      <c r="T80" s="107" t="str">
        <f>IFERROR(__xludf.DUMMYFUNCTION("""COMPUTED_VALUE"""),"https://patadovietnam.edu.vn/gtjapan_nhn3/?utm_source=Tiktok&amp;utm_medium=MES&amp;utm_term=NEW_Japan_1840_none_080425&amp;utm_content=saletructiep_Japan.M410MES.1840.M410MES_THCNGDP_LD164&amp;utm_campaign=Japan.giaotiep.M410MES_PTD_Tiktok_NamNH_080425")</f>
        <v>https://patadovietnam.edu.vn/gtjapan_nhn3/?utm_source=Tiktok&amp;utm_medium=MES&amp;utm_term=NEW_Japan_1840_none_080425&amp;utm_content=saletructiep_Japan.M410MES.1840.M410MES_THCNGDP_LD164&amp;utm_campaign=Japan.giaotiep.M410MES_PTD_Tiktok_NamNH_080425</v>
      </c>
      <c r="U80" s="118"/>
    </row>
    <row r="81">
      <c r="A81" s="72">
        <v>45762.0</v>
      </c>
      <c r="B81" s="75" t="s">
        <v>1134</v>
      </c>
      <c r="C81" s="67" t="str">
        <f>IFERROR(__xludf.DUMMYFUNCTION("""COMPUTED_VALUE"""),"LD153")</f>
        <v>LD153</v>
      </c>
      <c r="D81" s="55" t="s">
        <v>1135</v>
      </c>
      <c r="E81" s="55" t="s">
        <v>69</v>
      </c>
      <c r="F81" s="55" t="s">
        <v>674</v>
      </c>
      <c r="G81" s="55">
        <v>1840.0</v>
      </c>
      <c r="H81" s="55" t="s">
        <v>1137</v>
      </c>
      <c r="I81" s="115" t="s">
        <v>1677</v>
      </c>
      <c r="J81" s="95" t="s">
        <v>1678</v>
      </c>
      <c r="K81" s="55" t="s">
        <v>61</v>
      </c>
      <c r="L81" s="55" t="s">
        <v>1141</v>
      </c>
      <c r="M81" s="55" t="s">
        <v>78</v>
      </c>
      <c r="N81" s="55" t="s">
        <v>1135</v>
      </c>
      <c r="O81" s="55" t="s">
        <v>1142</v>
      </c>
      <c r="P81" s="55" t="s">
        <v>110</v>
      </c>
      <c r="Q81" s="67" t="str">
        <f>IFERROR(__xludf.DUMMYFUNCTION("""COMPUTED_VALUE"""),"Europe.giaotiep.M429CVS_PTD_Tiktok_NamNH_150425")</f>
        <v>Europe.giaotiep.M429CVS_PTD_Tiktok_NamNH_150425</v>
      </c>
      <c r="R81" s="67" t="str">
        <f>IFERROR(__xludf.DUMMYFUNCTION("""COMPUTED_VALUE"""),"NEW_Europe_1840_none_150425")</f>
        <v>NEW_Europe_1840_none_150425</v>
      </c>
      <c r="S81" s="67" t="str">
        <f>IFERROR(__xludf.DUMMYFUNCTION("""COMPUTED_VALUE"""),"saletructiep_Europe.M429CVS.1840.M429CVS_THCNGDP_LD153")</f>
        <v>saletructiep_Europe.M429CVS.1840.M429CVS_THCNGDP_LD153</v>
      </c>
      <c r="T81" s="107" t="str">
        <f>IFERROR(__xludf.DUMMYFUNCTION("""COMPUTED_VALUE"""),"https://patadovietnam.edu.vn/tienganhgiaotiep_hn/?utm_source=Tiktok&amp;utm_medium=CVS&amp;utm_term=NEW_Europe_1840_none_150425&amp;utm_content=saletructiep_Europe.M429CVS.1840.M429CVS_THCNGDP_LD153&amp;utm_campaign=Europe.giaotiep.M429CVS_PTD_Tiktok_NamNH_150425")</f>
        <v>https://patadovietnam.edu.vn/tienganhgiaotiep_hn/?utm_source=Tiktok&amp;utm_medium=CVS&amp;utm_term=NEW_Europe_1840_none_150425&amp;utm_content=saletructiep_Europe.M429CVS.1840.M429CVS_THCNGDP_LD153&amp;utm_campaign=Europe.giaotiep.M429CVS_PTD_Tiktok_NamNH_150425</v>
      </c>
      <c r="U81" s="118"/>
    </row>
    <row r="82">
      <c r="A82" s="72">
        <v>45762.0</v>
      </c>
      <c r="B82" s="75" t="s">
        <v>1134</v>
      </c>
      <c r="C82" s="67" t="str">
        <f>IFERROR(__xludf.DUMMYFUNCTION("""COMPUTED_VALUE"""),"LD153")</f>
        <v>LD153</v>
      </c>
      <c r="D82" s="55" t="s">
        <v>1135</v>
      </c>
      <c r="E82" s="55" t="s">
        <v>69</v>
      </c>
      <c r="F82" s="55" t="s">
        <v>674</v>
      </c>
      <c r="G82" s="55">
        <v>1840.0</v>
      </c>
      <c r="H82" s="55" t="s">
        <v>1137</v>
      </c>
      <c r="I82" s="115" t="s">
        <v>1685</v>
      </c>
      <c r="J82" s="95" t="s">
        <v>1686</v>
      </c>
      <c r="K82" s="55" t="s">
        <v>61</v>
      </c>
      <c r="L82" s="55" t="s">
        <v>1141</v>
      </c>
      <c r="M82" s="55" t="s">
        <v>78</v>
      </c>
      <c r="N82" s="55" t="s">
        <v>1135</v>
      </c>
      <c r="O82" s="55" t="s">
        <v>1142</v>
      </c>
      <c r="P82" s="55" t="s">
        <v>110</v>
      </c>
      <c r="Q82" s="67" t="str">
        <f>IFERROR(__xludf.DUMMYFUNCTION("""COMPUTED_VALUE"""),"Europe.giaotiep.M105CVS_PTD_Tiktok_NamNH_150425")</f>
        <v>Europe.giaotiep.M105CVS_PTD_Tiktok_NamNH_150425</v>
      </c>
      <c r="R82" s="67" t="str">
        <f>IFERROR(__xludf.DUMMYFUNCTION("""COMPUTED_VALUE"""),"NEW_Europe_1840_none_150425")</f>
        <v>NEW_Europe_1840_none_150425</v>
      </c>
      <c r="S82" s="67" t="str">
        <f>IFERROR(__xludf.DUMMYFUNCTION("""COMPUTED_VALUE"""),"saletructiep_Europe.M105CVS.1840.M105CVS_THCNGDP_LD153")</f>
        <v>saletructiep_Europe.M105CVS.1840.M105CVS_THCNGDP_LD153</v>
      </c>
      <c r="T82" s="107" t="str">
        <f>IFERROR(__xludf.DUMMYFUNCTION("""COMPUTED_VALUE"""),"https://patadovietnam.edu.vn/tienganhgiaotiep_hn/?utm_source=Tiktok&amp;utm_medium=CVS&amp;utm_term=NEW_Europe_1840_none_150425&amp;utm_content=saletructiep_Europe.M105CVS.1840.M105CVS_THCNGDP_LD153&amp;utm_campaign=Europe.giaotiep.M105CVS_PTD_Tiktok_NamNH_150425")</f>
        <v>https://patadovietnam.edu.vn/tienganhgiaotiep_hn/?utm_source=Tiktok&amp;utm_medium=CVS&amp;utm_term=NEW_Europe_1840_none_150425&amp;utm_content=saletructiep_Europe.M105CVS.1840.M105CVS_THCNGDP_LD153&amp;utm_campaign=Europe.giaotiep.M105CVS_PTD_Tiktok_NamNH_150425</v>
      </c>
      <c r="U82" s="118"/>
    </row>
    <row r="83">
      <c r="A83" s="72">
        <v>45762.0</v>
      </c>
      <c r="B83" s="75" t="s">
        <v>1134</v>
      </c>
      <c r="C83" s="67" t="str">
        <f>IFERROR(__xludf.DUMMYFUNCTION("""COMPUTED_VALUE"""),"LD153")</f>
        <v>LD153</v>
      </c>
      <c r="D83" s="55" t="s">
        <v>1135</v>
      </c>
      <c r="E83" s="55" t="s">
        <v>69</v>
      </c>
      <c r="F83" s="55" t="s">
        <v>625</v>
      </c>
      <c r="G83" s="55">
        <v>1840.0</v>
      </c>
      <c r="H83" s="55" t="s">
        <v>1137</v>
      </c>
      <c r="I83" s="115" t="s">
        <v>1691</v>
      </c>
      <c r="J83" s="95" t="s">
        <v>1692</v>
      </c>
      <c r="K83" s="55" t="s">
        <v>61</v>
      </c>
      <c r="L83" s="55" t="s">
        <v>1141</v>
      </c>
      <c r="M83" s="55" t="s">
        <v>78</v>
      </c>
      <c r="N83" s="55" t="s">
        <v>1135</v>
      </c>
      <c r="O83" s="55" t="s">
        <v>1142</v>
      </c>
      <c r="P83" s="55" t="s">
        <v>110</v>
      </c>
      <c r="Q83" s="67" t="str">
        <f>IFERROR(__xludf.DUMMYFUNCTION("""COMPUTED_VALUE"""),"KoreaSouth.giaotiep.M418CVS_PTD_Tiktok_NamNH_150425")</f>
        <v>KoreaSouth.giaotiep.M418CVS_PTD_Tiktok_NamNH_150425</v>
      </c>
      <c r="R83" s="67" t="str">
        <f>IFERROR(__xludf.DUMMYFUNCTION("""COMPUTED_VALUE"""),"NEW_KoreaSouth_1840_none_150425")</f>
        <v>NEW_KoreaSouth_1840_none_150425</v>
      </c>
      <c r="S83" s="67" t="str">
        <f>IFERROR(__xludf.DUMMYFUNCTION("""COMPUTED_VALUE"""),"saletructiep_KoreaSouth.M418CVS.1840.M418CVS_THCNGDP_LD153")</f>
        <v>saletructiep_KoreaSouth.M418CVS.1840.M418CVS_THCNGDP_LD153</v>
      </c>
      <c r="T83" s="107" t="str">
        <f>IFERROR(__xludf.DUMMYFUNCTION("""COMPUTED_VALUE"""),"https://patadovietnam.edu.vn/tienganhgiaotiep_hn/?utm_source=Tiktok&amp;utm_medium=CVS&amp;utm_term=NEW_KoreaSouth_1840_none_150425&amp;utm_content=saletructiep_KoreaSouth.M418CVS.1840.M418CVS_THCNGDP_LD153&amp;utm_campaign=KoreaSouth.giaotiep.M418CVS_PTD_Tiktok_NamNH_15"&amp;"0425")</f>
        <v>https://patadovietnam.edu.vn/tienganhgiaotiep_hn/?utm_source=Tiktok&amp;utm_medium=CVS&amp;utm_term=NEW_KoreaSouth_1840_none_150425&amp;utm_content=saletructiep_KoreaSouth.M418CVS.1840.M418CVS_THCNGDP_LD153&amp;utm_campaign=KoreaSouth.giaotiep.M418CVS_PTD_Tiktok_NamNH_150425</v>
      </c>
      <c r="U83" s="118"/>
    </row>
    <row r="84">
      <c r="A84" s="72">
        <v>45762.0</v>
      </c>
      <c r="B84" s="75" t="s">
        <v>1134</v>
      </c>
      <c r="C84" s="67" t="str">
        <f>IFERROR(__xludf.DUMMYFUNCTION("""COMPUTED_VALUE"""),"LD153")</f>
        <v>LD153</v>
      </c>
      <c r="D84" s="55" t="s">
        <v>1135</v>
      </c>
      <c r="E84" s="55" t="s">
        <v>69</v>
      </c>
      <c r="F84" s="55" t="s">
        <v>625</v>
      </c>
      <c r="G84" s="55">
        <v>1840.0</v>
      </c>
      <c r="H84" s="55" t="s">
        <v>1137</v>
      </c>
      <c r="I84" s="115" t="s">
        <v>1698</v>
      </c>
      <c r="J84" s="95" t="s">
        <v>1699</v>
      </c>
      <c r="K84" s="55" t="s">
        <v>61</v>
      </c>
      <c r="L84" s="55" t="s">
        <v>1141</v>
      </c>
      <c r="M84" s="55" t="s">
        <v>78</v>
      </c>
      <c r="N84" s="55" t="s">
        <v>1135</v>
      </c>
      <c r="O84" s="55" t="s">
        <v>1142</v>
      </c>
      <c r="P84" s="55" t="s">
        <v>110</v>
      </c>
      <c r="Q84" s="67" t="str">
        <f>IFERROR(__xludf.DUMMYFUNCTION("""COMPUTED_VALUE"""),"KoreaSouth.giaotiep.M425CVS_PTD_Tiktok_NamNH_150425")</f>
        <v>KoreaSouth.giaotiep.M425CVS_PTD_Tiktok_NamNH_150425</v>
      </c>
      <c r="R84" s="67" t="str">
        <f>IFERROR(__xludf.DUMMYFUNCTION("""COMPUTED_VALUE"""),"NEW_KoreaSouth_1840_none_150425")</f>
        <v>NEW_KoreaSouth_1840_none_150425</v>
      </c>
      <c r="S84" s="67" t="str">
        <f>IFERROR(__xludf.DUMMYFUNCTION("""COMPUTED_VALUE"""),"saletructiep_KoreaSouth.M425CVS.1840.M425CVS_THCNGDP_LD153")</f>
        <v>saletructiep_KoreaSouth.M425CVS.1840.M425CVS_THCNGDP_LD153</v>
      </c>
      <c r="T84" s="107" t="str">
        <f>IFERROR(__xludf.DUMMYFUNCTION("""COMPUTED_VALUE"""),"https://patadovietnam.edu.vn/tienganhgiaotiep_hn/?utm_source=Tiktok&amp;utm_medium=CVS&amp;utm_term=NEW_KoreaSouth_1840_none_150425&amp;utm_content=saletructiep_KoreaSouth.M425CVS.1840.M425CVS_THCNGDP_LD153&amp;utm_campaign=KoreaSouth.giaotiep.M425CVS_PTD_Tiktok_NamNH_15"&amp;"0425")</f>
        <v>https://patadovietnam.edu.vn/tienganhgiaotiep_hn/?utm_source=Tiktok&amp;utm_medium=CVS&amp;utm_term=NEW_KoreaSouth_1840_none_150425&amp;utm_content=saletructiep_KoreaSouth.M425CVS.1840.M425CVS_THCNGDP_LD153&amp;utm_campaign=KoreaSouth.giaotiep.M425CVS_PTD_Tiktok_NamNH_150425</v>
      </c>
      <c r="U84" s="118"/>
    </row>
    <row r="85">
      <c r="A85" s="72">
        <v>45786.0</v>
      </c>
      <c r="B85" s="75" t="s">
        <v>1134</v>
      </c>
      <c r="C85" s="67" t="str">
        <f>IFERROR(__xludf.DUMMYFUNCTION("""COMPUTED_VALUE"""),"LD153")</f>
        <v>LD153</v>
      </c>
      <c r="D85" s="55" t="s">
        <v>1135</v>
      </c>
      <c r="E85" s="55" t="s">
        <v>79</v>
      </c>
      <c r="F85" s="55" t="s">
        <v>625</v>
      </c>
      <c r="G85" s="55">
        <v>1840.0</v>
      </c>
      <c r="H85" s="55" t="s">
        <v>1137</v>
      </c>
      <c r="I85" s="115" t="s">
        <v>1729</v>
      </c>
      <c r="J85" s="95" t="s">
        <v>1730</v>
      </c>
      <c r="K85" s="55" t="s">
        <v>61</v>
      </c>
      <c r="L85" s="55" t="s">
        <v>1141</v>
      </c>
      <c r="M85" s="55" t="s">
        <v>78</v>
      </c>
      <c r="N85" s="55" t="s">
        <v>1135</v>
      </c>
      <c r="O85" s="55" t="s">
        <v>1142</v>
      </c>
      <c r="P85" s="55" t="s">
        <v>110</v>
      </c>
      <c r="Q85" s="67" t="str">
        <f>IFERROR(__xludf.DUMMYFUNCTION("""COMPUTED_VALUE"""),"KoreaSouth.giaotiep.M442MES_PTD_Tiktok_NamNH_090525")</f>
        <v>KoreaSouth.giaotiep.M442MES_PTD_Tiktok_NamNH_090525</v>
      </c>
      <c r="R85" s="67" t="str">
        <f>IFERROR(__xludf.DUMMYFUNCTION("""COMPUTED_VALUE"""),"NEW_KoreaSouth_1840_none_090525")</f>
        <v>NEW_KoreaSouth_1840_none_090525</v>
      </c>
      <c r="S85" s="67" t="str">
        <f>IFERROR(__xludf.DUMMYFUNCTION("""COMPUTED_VALUE"""),"saletructiep_KoreaSouth.M442MES.1840.M442MES_THCNGDP_LD153")</f>
        <v>saletructiep_KoreaSouth.M442MES.1840.M442MES_THCNGDP_LD153</v>
      </c>
      <c r="T85" s="107" t="str">
        <f>IFERROR(__xludf.DUMMYFUNCTION("""COMPUTED_VALUE"""),"https://patadovietnam.edu.vn/tienganhgiaotiep_hn/?utm_source=Tiktok&amp;utm_medium=MES&amp;utm_term=NEW_KoreaSouth_1840_none_090525&amp;utm_content=saletructiep_KoreaSouth.M442MES.1840.M442MES_THCNGDP_LD153&amp;utm_campaign=KoreaSouth.giaotiep.M442MES_PTD_Tiktok_NamNH_09"&amp;"0525")</f>
        <v>https://patadovietnam.edu.vn/tienganhgiaotiep_hn/?utm_source=Tiktok&amp;utm_medium=MES&amp;utm_term=NEW_KoreaSouth_1840_none_090525&amp;utm_content=saletructiep_KoreaSouth.M442MES.1840.M442MES_THCNGDP_LD153&amp;utm_campaign=KoreaSouth.giaotiep.M442MES_PTD_Tiktok_NamNH_090525</v>
      </c>
      <c r="U85" s="118"/>
    </row>
    <row r="86">
      <c r="A86" s="72">
        <v>45783.0</v>
      </c>
      <c r="B86" s="75" t="s">
        <v>1134</v>
      </c>
      <c r="C86" s="67" t="str">
        <f>IFERROR(__xludf.DUMMYFUNCTION("""COMPUTED_VALUE"""),"LD153")</f>
        <v>LD153</v>
      </c>
      <c r="D86" s="55" t="s">
        <v>1135</v>
      </c>
      <c r="E86" s="55" t="s">
        <v>79</v>
      </c>
      <c r="F86" s="55" t="s">
        <v>539</v>
      </c>
      <c r="G86" s="55">
        <v>1840.0</v>
      </c>
      <c r="H86" s="55" t="s">
        <v>1137</v>
      </c>
      <c r="I86" s="115" t="s">
        <v>1741</v>
      </c>
      <c r="J86" s="95" t="s">
        <v>1742</v>
      </c>
      <c r="K86" s="55" t="s">
        <v>61</v>
      </c>
      <c r="L86" s="55" t="s">
        <v>1141</v>
      </c>
      <c r="M86" s="55" t="s">
        <v>78</v>
      </c>
      <c r="N86" s="55" t="s">
        <v>1135</v>
      </c>
      <c r="O86" s="55" t="s">
        <v>1142</v>
      </c>
      <c r="P86" s="55" t="s">
        <v>110</v>
      </c>
      <c r="Q86" s="67" t="str">
        <f>IFERROR(__xludf.DUMMYFUNCTION("""COMPUTED_VALUE"""),"ALL.giaotiep.M442MES_PTD_Tiktok_NamNH_060525")</f>
        <v>ALL.giaotiep.M442MES_PTD_Tiktok_NamNH_060525</v>
      </c>
      <c r="R86" s="67" t="str">
        <f>IFERROR(__xludf.DUMMYFUNCTION("""COMPUTED_VALUE"""),"NEW_ALL_1840_none_060525")</f>
        <v>NEW_ALL_1840_none_060525</v>
      </c>
      <c r="S86" s="67" t="str">
        <f>IFERROR(__xludf.DUMMYFUNCTION("""COMPUTED_VALUE"""),"saletructiep_ALL.M442MES.1840.M442MES_THCNGDP_LD153")</f>
        <v>saletructiep_ALL.M442MES.1840.M442MES_THCNGDP_LD153</v>
      </c>
      <c r="T86" s="107" t="str">
        <f>IFERROR(__xludf.DUMMYFUNCTION("""COMPUTED_VALUE"""),"https://patadovietnam.edu.vn/tienganhgiaotiep_hn/?utm_source=Tiktok&amp;utm_medium=MES&amp;utm_term=NEW_ALL_1840_none_060525&amp;utm_content=saletructiep_ALL.M442MES.1840.M442MES_THCNGDP_LD153&amp;utm_campaign=ALL.giaotiep.M442MES_PTD_Tiktok_NamNH_060525")</f>
        <v>https://patadovietnam.edu.vn/tienganhgiaotiep_hn/?utm_source=Tiktok&amp;utm_medium=MES&amp;utm_term=NEW_ALL_1840_none_060525&amp;utm_content=saletructiep_ALL.M442MES.1840.M442MES_THCNGDP_LD153&amp;utm_campaign=ALL.giaotiep.M442MES_PTD_Tiktok_NamNH_060525</v>
      </c>
      <c r="U86" s="118"/>
    </row>
    <row r="87">
      <c r="A87" s="72">
        <v>45786.0</v>
      </c>
      <c r="B87" s="75" t="s">
        <v>1229</v>
      </c>
      <c r="C87" s="67" t="str">
        <f>IFERROR(__xludf.DUMMYFUNCTION("""COMPUTED_VALUE"""),"LD164")</f>
        <v>LD164</v>
      </c>
      <c r="D87" s="55" t="s">
        <v>1135</v>
      </c>
      <c r="E87" s="55" t="s">
        <v>69</v>
      </c>
      <c r="F87" s="55" t="s">
        <v>133</v>
      </c>
      <c r="G87" s="55">
        <v>1840.0</v>
      </c>
      <c r="H87" s="55" t="s">
        <v>1137</v>
      </c>
      <c r="I87" s="115" t="s">
        <v>1749</v>
      </c>
      <c r="J87" s="95" t="s">
        <v>1750</v>
      </c>
      <c r="K87" s="55" t="s">
        <v>61</v>
      </c>
      <c r="L87" s="55" t="s">
        <v>1141</v>
      </c>
      <c r="M87" s="55" t="s">
        <v>78</v>
      </c>
      <c r="N87" s="55" t="s">
        <v>1135</v>
      </c>
      <c r="O87" s="55" t="s">
        <v>1142</v>
      </c>
      <c r="P87" s="55" t="s">
        <v>110</v>
      </c>
      <c r="Q87" s="67" t="str">
        <f>IFERROR(__xludf.DUMMYFUNCTION("""COMPUTED_VALUE"""),"Japan.giaotiep.M442CVS_PTD_Tiktok_NamNH_090525")</f>
        <v>Japan.giaotiep.M442CVS_PTD_Tiktok_NamNH_090525</v>
      </c>
      <c r="R87" s="67" t="str">
        <f>IFERROR(__xludf.DUMMYFUNCTION("""COMPUTED_VALUE"""),"NEW_Japan_1840_none_090525")</f>
        <v>NEW_Japan_1840_none_090525</v>
      </c>
      <c r="S87" s="67" t="str">
        <f>IFERROR(__xludf.DUMMYFUNCTION("""COMPUTED_VALUE"""),"saletructiep_Japan.M442CVS.1840.M442CVS_THCNGDP_LD164")</f>
        <v>saletructiep_Japan.M442CVS.1840.M442CVS_THCNGDP_LD164</v>
      </c>
      <c r="T87" s="107" t="str">
        <f>IFERROR(__xludf.DUMMYFUNCTION("""COMPUTED_VALUE"""),"https://patadovietnam.edu.vn/gtjapan_nhn3/?utm_source=Tiktok&amp;utm_medium=CVS&amp;utm_term=NEW_Japan_1840_none_090525&amp;utm_content=saletructiep_Japan.M442CVS.1840.M442CVS_THCNGDP_LD164&amp;utm_campaign=Japan.giaotiep.M442CVS_PTD_Tiktok_NamNH_090525")</f>
        <v>https://patadovietnam.edu.vn/gtjapan_nhn3/?utm_source=Tiktok&amp;utm_medium=CVS&amp;utm_term=NEW_Japan_1840_none_090525&amp;utm_content=saletructiep_Japan.M442CVS.1840.M442CVS_THCNGDP_LD164&amp;utm_campaign=Japan.giaotiep.M442CVS_PTD_Tiktok_NamNH_090525</v>
      </c>
      <c r="U87" s="118"/>
    </row>
    <row r="88">
      <c r="A88" s="72">
        <v>45786.0</v>
      </c>
      <c r="B88" s="75" t="s">
        <v>1134</v>
      </c>
      <c r="C88" s="67" t="str">
        <f>IFERROR(__xludf.DUMMYFUNCTION("""COMPUTED_VALUE"""),"LD153")</f>
        <v>LD153</v>
      </c>
      <c r="D88" s="55" t="s">
        <v>1135</v>
      </c>
      <c r="E88" s="55" t="s">
        <v>69</v>
      </c>
      <c r="F88" s="55" t="s">
        <v>674</v>
      </c>
      <c r="G88" s="55">
        <v>1840.0</v>
      </c>
      <c r="H88" s="55" t="s">
        <v>1137</v>
      </c>
      <c r="I88" s="115" t="s">
        <v>1759</v>
      </c>
      <c r="J88" s="95" t="s">
        <v>1760</v>
      </c>
      <c r="K88" s="55" t="s">
        <v>61</v>
      </c>
      <c r="L88" s="55" t="s">
        <v>1141</v>
      </c>
      <c r="M88" s="55" t="s">
        <v>78</v>
      </c>
      <c r="N88" s="55" t="s">
        <v>1135</v>
      </c>
      <c r="O88" s="55" t="s">
        <v>1142</v>
      </c>
      <c r="P88" s="55" t="s">
        <v>110</v>
      </c>
      <c r="Q88" s="67" t="str">
        <f>IFERROR(__xludf.DUMMYFUNCTION("""COMPUTED_VALUE"""),"Europe.giaotiep.M442CVS_PTD_Tiktok_NamNH_090525")</f>
        <v>Europe.giaotiep.M442CVS_PTD_Tiktok_NamNH_090525</v>
      </c>
      <c r="R88" s="67" t="str">
        <f>IFERROR(__xludf.DUMMYFUNCTION("""COMPUTED_VALUE"""),"NEW_Europe_1840_none_090525")</f>
        <v>NEW_Europe_1840_none_090525</v>
      </c>
      <c r="S88" s="67" t="str">
        <f>IFERROR(__xludf.DUMMYFUNCTION("""COMPUTED_VALUE"""),"saletructiep_Europe.M442CVS.1840.M442CVS_THCNGDP_LD153")</f>
        <v>saletructiep_Europe.M442CVS.1840.M442CVS_THCNGDP_LD153</v>
      </c>
      <c r="T88" s="107" t="str">
        <f>IFERROR(__xludf.DUMMYFUNCTION("""COMPUTED_VALUE"""),"https://patadovietnam.edu.vn/tienganhgiaotiep_hn/?utm_source=Tiktok&amp;utm_medium=CVS&amp;utm_term=NEW_Europe_1840_none_090525&amp;utm_content=saletructiep_Europe.M442CVS.1840.M442CVS_THCNGDP_LD153&amp;utm_campaign=Europe.giaotiep.M442CVS_PTD_Tiktok_NamNH_090525")</f>
        <v>https://patadovietnam.edu.vn/tienganhgiaotiep_hn/?utm_source=Tiktok&amp;utm_medium=CVS&amp;utm_term=NEW_Europe_1840_none_090525&amp;utm_content=saletructiep_Europe.M442CVS.1840.M442CVS_THCNGDP_LD153&amp;utm_campaign=Europe.giaotiep.M442CVS_PTD_Tiktok_NamNH_090525</v>
      </c>
      <c r="U88" s="118"/>
    </row>
    <row r="89">
      <c r="A89" s="72">
        <v>45789.0</v>
      </c>
      <c r="B89" s="75" t="s">
        <v>1229</v>
      </c>
      <c r="C89" s="67" t="str">
        <f>IFERROR(__xludf.DUMMYFUNCTION("""COMPUTED_VALUE"""),"LD164")</f>
        <v>LD164</v>
      </c>
      <c r="D89" s="55" t="s">
        <v>1135</v>
      </c>
      <c r="E89" s="55" t="s">
        <v>69</v>
      </c>
      <c r="F89" s="55" t="s">
        <v>133</v>
      </c>
      <c r="G89" s="55">
        <v>1840.0</v>
      </c>
      <c r="H89" s="55" t="s">
        <v>1137</v>
      </c>
      <c r="I89" s="115" t="s">
        <v>1771</v>
      </c>
      <c r="J89" s="95" t="s">
        <v>1773</v>
      </c>
      <c r="K89" s="55" t="s">
        <v>61</v>
      </c>
      <c r="L89" s="55" t="s">
        <v>1141</v>
      </c>
      <c r="M89" s="55" t="s">
        <v>78</v>
      </c>
      <c r="N89" s="55" t="s">
        <v>1135</v>
      </c>
      <c r="O89" s="55" t="s">
        <v>1142</v>
      </c>
      <c r="P89" s="55" t="s">
        <v>110</v>
      </c>
      <c r="Q89" s="67" t="str">
        <f>IFERROR(__xludf.DUMMYFUNCTION("""COMPUTED_VALUE"""),"Japan.giaotiep.M447CVS_PTD_Tiktok_NamNH_120525")</f>
        <v>Japan.giaotiep.M447CVS_PTD_Tiktok_NamNH_120525</v>
      </c>
      <c r="R89" s="67" t="str">
        <f>IFERROR(__xludf.DUMMYFUNCTION("""COMPUTED_VALUE"""),"NEW_Japan_1840_none_120525")</f>
        <v>NEW_Japan_1840_none_120525</v>
      </c>
      <c r="S89" s="67" t="str">
        <f>IFERROR(__xludf.DUMMYFUNCTION("""COMPUTED_VALUE"""),"saletructiep_Japan.M447CVS.1840.M447CVS_THCNGDP_LD164")</f>
        <v>saletructiep_Japan.M447CVS.1840.M447CVS_THCNGDP_LD164</v>
      </c>
      <c r="T89" s="107" t="str">
        <f>IFERROR(__xludf.DUMMYFUNCTION("""COMPUTED_VALUE"""),"https://patadovietnam.edu.vn/gtjapan_nhn3/?utm_source=Tiktok&amp;utm_medium=CVS&amp;utm_term=NEW_Japan_1840_none_120525&amp;utm_content=saletructiep_Japan.M447CVS.1840.M447CVS_THCNGDP_LD164&amp;utm_campaign=Japan.giaotiep.M447CVS_PTD_Tiktok_NamNH_120525")</f>
        <v>https://patadovietnam.edu.vn/gtjapan_nhn3/?utm_source=Tiktok&amp;utm_medium=CVS&amp;utm_term=NEW_Japan_1840_none_120525&amp;utm_content=saletructiep_Japan.M447CVS.1840.M447CVS_THCNGDP_LD164&amp;utm_campaign=Japan.giaotiep.M447CVS_PTD_Tiktok_NamNH_120525</v>
      </c>
      <c r="U89" s="118"/>
    </row>
    <row r="90">
      <c r="A90" s="72">
        <v>45786.0</v>
      </c>
      <c r="B90" s="75" t="s">
        <v>1134</v>
      </c>
      <c r="C90" s="67" t="str">
        <f>IFERROR(__xludf.DUMMYFUNCTION("""COMPUTED_VALUE"""),"LD153")</f>
        <v>LD153</v>
      </c>
      <c r="D90" s="55" t="s">
        <v>1135</v>
      </c>
      <c r="E90" s="55" t="s">
        <v>69</v>
      </c>
      <c r="F90" s="55" t="s">
        <v>674</v>
      </c>
      <c r="G90" s="55">
        <v>1840.0</v>
      </c>
      <c r="H90" s="55" t="s">
        <v>1137</v>
      </c>
      <c r="I90" s="115" t="s">
        <v>1779</v>
      </c>
      <c r="J90" s="95" t="s">
        <v>1780</v>
      </c>
      <c r="K90" s="55" t="s">
        <v>61</v>
      </c>
      <c r="L90" s="55" t="s">
        <v>1141</v>
      </c>
      <c r="M90" s="55" t="s">
        <v>78</v>
      </c>
      <c r="N90" s="55" t="s">
        <v>1135</v>
      </c>
      <c r="O90" s="55" t="s">
        <v>1142</v>
      </c>
      <c r="P90" s="55" t="s">
        <v>110</v>
      </c>
      <c r="Q90" s="67" t="str">
        <f>IFERROR(__xludf.DUMMYFUNCTION("""COMPUTED_VALUE"""),"Europe.giaotiep.M447CVS_PTD_Tiktok_NamNH_090525")</f>
        <v>Europe.giaotiep.M447CVS_PTD_Tiktok_NamNH_090525</v>
      </c>
      <c r="R90" s="67" t="str">
        <f>IFERROR(__xludf.DUMMYFUNCTION("""COMPUTED_VALUE"""),"NEW_Europe_1840_none_090525")</f>
        <v>NEW_Europe_1840_none_090525</v>
      </c>
      <c r="S90" s="67" t="str">
        <f>IFERROR(__xludf.DUMMYFUNCTION("""COMPUTED_VALUE"""),"saletructiep_Europe.M447CVS.1840.M447CVS_THCNGDP_LD153")</f>
        <v>saletructiep_Europe.M447CVS.1840.M447CVS_THCNGDP_LD153</v>
      </c>
      <c r="T90" s="107" t="str">
        <f>IFERROR(__xludf.DUMMYFUNCTION("""COMPUTED_VALUE"""),"https://patadovietnam.edu.vn/tienganhgiaotiep_hn/?utm_source=Tiktok&amp;utm_medium=CVS&amp;utm_term=NEW_Europe_1840_none_090525&amp;utm_content=saletructiep_Europe.M447CVS.1840.M447CVS_THCNGDP_LD153&amp;utm_campaign=Europe.giaotiep.M447CVS_PTD_Tiktok_NamNH_090525")</f>
        <v>https://patadovietnam.edu.vn/tienganhgiaotiep_hn/?utm_source=Tiktok&amp;utm_medium=CVS&amp;utm_term=NEW_Europe_1840_none_090525&amp;utm_content=saletructiep_Europe.M447CVS.1840.M447CVS_THCNGDP_LD153&amp;utm_campaign=Europe.giaotiep.M447CVS_PTD_Tiktok_NamNH_090525</v>
      </c>
      <c r="U90" s="118"/>
    </row>
    <row r="91">
      <c r="A91" s="72">
        <v>45786.0</v>
      </c>
      <c r="B91" s="75" t="s">
        <v>1134</v>
      </c>
      <c r="C91" s="67" t="str">
        <f>IFERROR(__xludf.DUMMYFUNCTION("""COMPUTED_VALUE"""),"LD153")</f>
        <v>LD153</v>
      </c>
      <c r="D91" s="55" t="s">
        <v>1135</v>
      </c>
      <c r="E91" s="55" t="s">
        <v>69</v>
      </c>
      <c r="F91" s="55" t="s">
        <v>625</v>
      </c>
      <c r="G91" s="55">
        <v>1840.0</v>
      </c>
      <c r="H91" s="55" t="s">
        <v>1137</v>
      </c>
      <c r="I91" s="115" t="s">
        <v>1788</v>
      </c>
      <c r="J91" s="95" t="s">
        <v>1789</v>
      </c>
      <c r="K91" s="55" t="s">
        <v>61</v>
      </c>
      <c r="L91" s="55" t="s">
        <v>1141</v>
      </c>
      <c r="M91" s="55" t="s">
        <v>78</v>
      </c>
      <c r="N91" s="55" t="s">
        <v>1135</v>
      </c>
      <c r="O91" s="55" t="s">
        <v>1142</v>
      </c>
      <c r="P91" s="55" t="s">
        <v>110</v>
      </c>
      <c r="Q91" s="67" t="str">
        <f>IFERROR(__xludf.DUMMYFUNCTION("""COMPUTED_VALUE"""),"KoreaSouth.giaotiep.M447CVS_PTD_Tiktok_NamNH_090525")</f>
        <v>KoreaSouth.giaotiep.M447CVS_PTD_Tiktok_NamNH_090525</v>
      </c>
      <c r="R91" s="67" t="str">
        <f>IFERROR(__xludf.DUMMYFUNCTION("""COMPUTED_VALUE"""),"NEW_KoreaSouth_1840_none_090525")</f>
        <v>NEW_KoreaSouth_1840_none_090525</v>
      </c>
      <c r="S91" s="67" t="str">
        <f>IFERROR(__xludf.DUMMYFUNCTION("""COMPUTED_VALUE"""),"saletructiep_KoreaSouth.M447CVS.1840.M447CVS_THCNGDP_LD153")</f>
        <v>saletructiep_KoreaSouth.M447CVS.1840.M447CVS_THCNGDP_LD153</v>
      </c>
      <c r="T91" s="107" t="str">
        <f>IFERROR(__xludf.DUMMYFUNCTION("""COMPUTED_VALUE"""),"https://patadovietnam.edu.vn/tienganhgiaotiep_hn/?utm_source=Tiktok&amp;utm_medium=CVS&amp;utm_term=NEW_KoreaSouth_1840_none_090525&amp;utm_content=saletructiep_KoreaSouth.M447CVS.1840.M447CVS_THCNGDP_LD153&amp;utm_campaign=KoreaSouth.giaotiep.M447CVS_PTD_Tiktok_NamNH_09"&amp;"0525")</f>
        <v>https://patadovietnam.edu.vn/tienganhgiaotiep_hn/?utm_source=Tiktok&amp;utm_medium=CVS&amp;utm_term=NEW_KoreaSouth_1840_none_090525&amp;utm_content=saletructiep_KoreaSouth.M447CVS.1840.M447CVS_THCNGDP_LD153&amp;utm_campaign=KoreaSouth.giaotiep.M447CVS_PTD_Tiktok_NamNH_090525</v>
      </c>
      <c r="U91" s="118"/>
    </row>
    <row r="92">
      <c r="A92" s="72">
        <v>45789.0</v>
      </c>
      <c r="B92" s="75" t="s">
        <v>1134</v>
      </c>
      <c r="C92" s="67" t="str">
        <f>IFERROR(__xludf.DUMMYFUNCTION("""COMPUTED_VALUE"""),"LD153")</f>
        <v>LD153</v>
      </c>
      <c r="D92" s="55" t="s">
        <v>1135</v>
      </c>
      <c r="E92" s="55" t="s">
        <v>79</v>
      </c>
      <c r="F92" s="55" t="s">
        <v>539</v>
      </c>
      <c r="G92" s="55">
        <v>1840.0</v>
      </c>
      <c r="H92" s="55" t="s">
        <v>1137</v>
      </c>
      <c r="I92" s="115" t="s">
        <v>1795</v>
      </c>
      <c r="J92" s="95" t="s">
        <v>1796</v>
      </c>
      <c r="K92" s="55" t="s">
        <v>61</v>
      </c>
      <c r="L92" s="55" t="s">
        <v>1141</v>
      </c>
      <c r="M92" s="55" t="s">
        <v>78</v>
      </c>
      <c r="N92" s="55" t="s">
        <v>1135</v>
      </c>
      <c r="O92" s="55" t="s">
        <v>1142</v>
      </c>
      <c r="P92" s="55" t="s">
        <v>110</v>
      </c>
      <c r="Q92" s="67" t="str">
        <f>IFERROR(__xludf.DUMMYFUNCTION("""COMPUTED_VALUE"""),"ALL.giaotiep.M447MES_PTD_Tiktok_NamNH_120525")</f>
        <v>ALL.giaotiep.M447MES_PTD_Tiktok_NamNH_120525</v>
      </c>
      <c r="R92" s="67" t="str">
        <f>IFERROR(__xludf.DUMMYFUNCTION("""COMPUTED_VALUE"""),"NEW_ALL_1840_none_120525")</f>
        <v>NEW_ALL_1840_none_120525</v>
      </c>
      <c r="S92" s="67" t="str">
        <f>IFERROR(__xludf.DUMMYFUNCTION("""COMPUTED_VALUE"""),"saletructiep_ALL.M447CVS.1840.M447CVS_THCNGDP_LD153")</f>
        <v>saletructiep_ALL.M447CVS.1840.M447CVS_THCNGDP_LD153</v>
      </c>
      <c r="T92" s="107" t="str">
        <f>IFERROR(__xludf.DUMMYFUNCTION("""COMPUTED_VALUE"""),"https://patadovietnam.edu.vn/tienganhgiaotiep_hn/?utm_source=Tiktok&amp;utm_medium=MES&amp;utm_term=NEW_ALL_1840_none_120525&amp;utm_content=saletructiep_ALL.M447CVS.1840.M447CVS_THCNGDP_LD153&amp;utm_campaign=ALL.giaotiep.M447MES_PTD_Tiktok_NamNH_120525")</f>
        <v>https://patadovietnam.edu.vn/tienganhgiaotiep_hn/?utm_source=Tiktok&amp;utm_medium=MES&amp;utm_term=NEW_ALL_1840_none_120525&amp;utm_content=saletructiep_ALL.M447CVS.1840.M447CVS_THCNGDP_LD153&amp;utm_campaign=ALL.giaotiep.M447MES_PTD_Tiktok_NamNH_120525</v>
      </c>
      <c r="U92" s="118"/>
    </row>
    <row r="93">
      <c r="A93" s="72">
        <v>45789.0</v>
      </c>
      <c r="B93" s="60" t="s">
        <v>1134</v>
      </c>
      <c r="C93" s="67" t="str">
        <f>IFERROR(__xludf.DUMMYFUNCTION("""COMPUTED_VALUE"""),"LD153")</f>
        <v>LD153</v>
      </c>
      <c r="D93" s="55" t="s">
        <v>1135</v>
      </c>
      <c r="E93" s="55" t="s">
        <v>79</v>
      </c>
      <c r="F93" s="55" t="s">
        <v>539</v>
      </c>
      <c r="G93" s="55">
        <v>1840.0</v>
      </c>
      <c r="H93" s="55" t="s">
        <v>1137</v>
      </c>
      <c r="I93" s="115" t="s">
        <v>1802</v>
      </c>
      <c r="J93" s="95" t="s">
        <v>1803</v>
      </c>
      <c r="K93" s="55" t="s">
        <v>61</v>
      </c>
      <c r="L93" s="55" t="s">
        <v>1141</v>
      </c>
      <c r="M93" s="55" t="s">
        <v>78</v>
      </c>
      <c r="N93" s="55" t="s">
        <v>1135</v>
      </c>
      <c r="O93" s="55" t="s">
        <v>1142</v>
      </c>
      <c r="P93" s="55" t="s">
        <v>110</v>
      </c>
      <c r="Q93" s="67" t="str">
        <f>IFERROR(__xludf.DUMMYFUNCTION("""COMPUTED_VALUE"""),"ALL.giaotiep.M447MES2_PTD_Tiktok_NamNH_120525")</f>
        <v>ALL.giaotiep.M447MES2_PTD_Tiktok_NamNH_120525</v>
      </c>
      <c r="R93" s="67" t="str">
        <f>IFERROR(__xludf.DUMMYFUNCTION("""COMPUTED_VALUE"""),"NEW_ALL_1840_none_120525")</f>
        <v>NEW_ALL_1840_none_120525</v>
      </c>
      <c r="S93" s="67" t="str">
        <f>IFERROR(__xludf.DUMMYFUNCTION("""COMPUTED_VALUE"""),"saletructiep_ALL.M447MES2.1840.M447MES2_THCNGDP_LD153")</f>
        <v>saletructiep_ALL.M447MES2.1840.M447MES2_THCNGDP_LD153</v>
      </c>
      <c r="T93" s="107" t="str">
        <f>IFERROR(__xludf.DUMMYFUNCTION("""COMPUTED_VALUE"""),"https://patadovietnam.edu.vn/tienganhgiaotiep_hn/?utm_source=Tiktok&amp;utm_medium=MES&amp;utm_term=NEW_ALL_1840_none_120525&amp;utm_content=saletructiep_ALL.M447MES2.1840.M447MES2_THCNGDP_LD153&amp;utm_campaign=ALL.giaotiep.M447MES2_PTD_Tiktok_NamNH_120525")</f>
        <v>https://patadovietnam.edu.vn/tienganhgiaotiep_hn/?utm_source=Tiktok&amp;utm_medium=MES&amp;utm_term=NEW_ALL_1840_none_120525&amp;utm_content=saletructiep_ALL.M447MES2.1840.M447MES2_THCNGDP_LD153&amp;utm_campaign=ALL.giaotiep.M447MES2_PTD_Tiktok_NamNH_120525</v>
      </c>
      <c r="U93" s="118"/>
    </row>
    <row r="94">
      <c r="A94" s="72">
        <v>45812.0</v>
      </c>
      <c r="B94" s="75" t="s">
        <v>1229</v>
      </c>
      <c r="C94" s="67" t="str">
        <f>IFERROR(__xludf.DUMMYFUNCTION("""COMPUTED_VALUE"""),"LD164")</f>
        <v>LD164</v>
      </c>
      <c r="D94" s="55" t="s">
        <v>1135</v>
      </c>
      <c r="E94" s="55" t="s">
        <v>79</v>
      </c>
      <c r="F94" s="55" t="s">
        <v>133</v>
      </c>
      <c r="G94" s="55">
        <v>1840.0</v>
      </c>
      <c r="H94" s="55" t="s">
        <v>1137</v>
      </c>
      <c r="I94" s="115" t="s">
        <v>1811</v>
      </c>
      <c r="J94" s="95" t="s">
        <v>1812</v>
      </c>
      <c r="K94" s="55" t="s">
        <v>61</v>
      </c>
      <c r="L94" s="55" t="s">
        <v>1141</v>
      </c>
      <c r="M94" s="55" t="s">
        <v>78</v>
      </c>
      <c r="N94" s="55" t="s">
        <v>1135</v>
      </c>
      <c r="O94" s="55" t="s">
        <v>1142</v>
      </c>
      <c r="P94" s="55" t="s">
        <v>110</v>
      </c>
      <c r="Q94" s="67" t="str">
        <f>IFERROR(__xludf.DUMMYFUNCTION("""COMPUTED_VALUE"""),"Japan.giaotiep.M456MES_PTD_Tiktok_NamNH_040625")</f>
        <v>Japan.giaotiep.M456MES_PTD_Tiktok_NamNH_040625</v>
      </c>
      <c r="R94" s="67" t="str">
        <f>IFERROR(__xludf.DUMMYFUNCTION("""COMPUTED_VALUE"""),"NEW_Japan_1840_none_040625")</f>
        <v>NEW_Japan_1840_none_040625</v>
      </c>
      <c r="S94" s="67" t="str">
        <f>IFERROR(__xludf.DUMMYFUNCTION("""COMPUTED_VALUE"""),"saletructiep_Japan.M456MES.1840.M456MES_THCNGDP_LD164")</f>
        <v>saletructiep_Japan.M456MES.1840.M456MES_THCNGDP_LD164</v>
      </c>
      <c r="T94" s="107" t="str">
        <f>IFERROR(__xludf.DUMMYFUNCTION("""COMPUTED_VALUE"""),"https://patadovietnam.edu.vn/gtjapan_nhn3/?utm_source=Tiktok&amp;utm_medium=MES&amp;utm_term=NEW_Japan_1840_none_040625&amp;utm_content=saletructiep_Japan.M456MES.1840.M456MES_THCNGDP_LD164&amp;utm_campaign=Japan.giaotiep.M456MES_PTD_Tiktok_NamNH_040625")</f>
        <v>https://patadovietnam.edu.vn/gtjapan_nhn3/?utm_source=Tiktok&amp;utm_medium=MES&amp;utm_term=NEW_Japan_1840_none_040625&amp;utm_content=saletructiep_Japan.M456MES.1840.M456MES_THCNGDP_LD164&amp;utm_campaign=Japan.giaotiep.M456MES_PTD_Tiktok_NamNH_040625</v>
      </c>
      <c r="U94" s="118"/>
    </row>
    <row r="95">
      <c r="A95" s="72">
        <v>45812.0</v>
      </c>
      <c r="B95" s="75" t="s">
        <v>1134</v>
      </c>
      <c r="C95" s="67" t="str">
        <f>IFERROR(__xludf.DUMMYFUNCTION("""COMPUTED_VALUE"""),"LD153")</f>
        <v>LD153</v>
      </c>
      <c r="D95" s="55" t="s">
        <v>1135</v>
      </c>
      <c r="E95" s="55" t="s">
        <v>79</v>
      </c>
      <c r="F95" s="55" t="s">
        <v>625</v>
      </c>
      <c r="G95" s="55">
        <v>1840.0</v>
      </c>
      <c r="H95" s="55" t="s">
        <v>1137</v>
      </c>
      <c r="I95" s="115" t="s">
        <v>1820</v>
      </c>
      <c r="J95" s="95" t="s">
        <v>1821</v>
      </c>
      <c r="K95" s="55" t="s">
        <v>61</v>
      </c>
      <c r="L95" s="55" t="s">
        <v>1141</v>
      </c>
      <c r="M95" s="55" t="s">
        <v>78</v>
      </c>
      <c r="N95" s="55" t="s">
        <v>1135</v>
      </c>
      <c r="O95" s="55" t="s">
        <v>1142</v>
      </c>
      <c r="P95" s="55" t="s">
        <v>110</v>
      </c>
      <c r="Q95" s="67" t="str">
        <f>IFERROR(__xludf.DUMMYFUNCTION("""COMPUTED_VALUE"""),"KoreaSouth.giaotiep.M456MES_PTD_Tiktok_NamNH_040625")</f>
        <v>KoreaSouth.giaotiep.M456MES_PTD_Tiktok_NamNH_040625</v>
      </c>
      <c r="R95" s="67" t="str">
        <f>IFERROR(__xludf.DUMMYFUNCTION("""COMPUTED_VALUE"""),"NEW_KoreaSouth_1840_none_040625")</f>
        <v>NEW_KoreaSouth_1840_none_040625</v>
      </c>
      <c r="S95" s="67" t="str">
        <f>IFERROR(__xludf.DUMMYFUNCTION("""COMPUTED_VALUE"""),"saletructiep_KoreaSouth.M456MES.1840.M456MES_THCNGDP_LD153")</f>
        <v>saletructiep_KoreaSouth.M456MES.1840.M456MES_THCNGDP_LD153</v>
      </c>
      <c r="T95" s="107" t="str">
        <f>IFERROR(__xludf.DUMMYFUNCTION("""COMPUTED_VALUE"""),"https://patadovietnam.edu.vn/tienganhgiaotiep_hn/?utm_source=Tiktok&amp;utm_medium=MES&amp;utm_term=NEW_KoreaSouth_1840_none_040625&amp;utm_content=saletructiep_KoreaSouth.M456MES.1840.M456MES_THCNGDP_LD153&amp;utm_campaign=KoreaSouth.giaotiep.M456MES_PTD_Tiktok_NamNH_04"&amp;"0625")</f>
        <v>https://patadovietnam.edu.vn/tienganhgiaotiep_hn/?utm_source=Tiktok&amp;utm_medium=MES&amp;utm_term=NEW_KoreaSouth_1840_none_040625&amp;utm_content=saletructiep_KoreaSouth.M456MES.1840.M456MES_THCNGDP_LD153&amp;utm_campaign=KoreaSouth.giaotiep.M456MES_PTD_Tiktok_NamNH_040625</v>
      </c>
      <c r="U95" s="118"/>
    </row>
    <row r="96">
      <c r="A96" s="72">
        <v>45812.0</v>
      </c>
      <c r="B96" s="75" t="s">
        <v>1134</v>
      </c>
      <c r="C96" s="67" t="str">
        <f>IFERROR(__xludf.DUMMYFUNCTION("""COMPUTED_VALUE"""),"LD153")</f>
        <v>LD153</v>
      </c>
      <c r="D96" s="55" t="s">
        <v>1135</v>
      </c>
      <c r="E96" s="55" t="s">
        <v>79</v>
      </c>
      <c r="F96" s="55" t="s">
        <v>539</v>
      </c>
      <c r="G96" s="55">
        <v>1840.0</v>
      </c>
      <c r="H96" s="55" t="s">
        <v>1137</v>
      </c>
      <c r="I96" s="115" t="s">
        <v>1826</v>
      </c>
      <c r="J96" s="95" t="s">
        <v>1827</v>
      </c>
      <c r="K96" s="55" t="s">
        <v>61</v>
      </c>
      <c r="L96" s="55" t="s">
        <v>1141</v>
      </c>
      <c r="M96" s="55" t="s">
        <v>78</v>
      </c>
      <c r="N96" s="55" t="s">
        <v>1135</v>
      </c>
      <c r="O96" s="55" t="s">
        <v>1142</v>
      </c>
      <c r="P96" s="55" t="s">
        <v>110</v>
      </c>
      <c r="Q96" s="67" t="str">
        <f>IFERROR(__xludf.DUMMYFUNCTION("""COMPUTED_VALUE"""),"ALL.giaotiep.M456MES_PTD_Tiktok_NamNH_040625")</f>
        <v>ALL.giaotiep.M456MES_PTD_Tiktok_NamNH_040625</v>
      </c>
      <c r="R96" s="67" t="str">
        <f>IFERROR(__xludf.DUMMYFUNCTION("""COMPUTED_VALUE"""),"NEW_ALL_1840_none_040625")</f>
        <v>NEW_ALL_1840_none_040625</v>
      </c>
      <c r="S96" s="67" t="str">
        <f>IFERROR(__xludf.DUMMYFUNCTION("""COMPUTED_VALUE"""),"saletructiep_ALL.M456MES.1840.M456MES_THCNGDP_LD153")</f>
        <v>saletructiep_ALL.M456MES.1840.M456MES_THCNGDP_LD153</v>
      </c>
      <c r="T96" s="107" t="str">
        <f>IFERROR(__xludf.DUMMYFUNCTION("""COMPUTED_VALUE"""),"https://patadovietnam.edu.vn/tienganhgiaotiep_hn/?utm_source=Tiktok&amp;utm_medium=MES&amp;utm_term=NEW_ALL_1840_none_040625&amp;utm_content=saletructiep_ALL.M456MES.1840.M456MES_THCNGDP_LD153&amp;utm_campaign=ALL.giaotiep.M456MES_PTD_Tiktok_NamNH_040625")</f>
        <v>https://patadovietnam.edu.vn/tienganhgiaotiep_hn/?utm_source=Tiktok&amp;utm_medium=MES&amp;utm_term=NEW_ALL_1840_none_040625&amp;utm_content=saletructiep_ALL.M456MES.1840.M456MES_THCNGDP_LD153&amp;utm_campaign=ALL.giaotiep.M456MES_PTD_Tiktok_NamNH_040625</v>
      </c>
      <c r="U96" s="118"/>
    </row>
    <row r="97">
      <c r="A97" s="72">
        <v>45812.0</v>
      </c>
      <c r="B97" s="75" t="s">
        <v>1134</v>
      </c>
      <c r="C97" s="67" t="str">
        <f>IFERROR(__xludf.DUMMYFUNCTION("""COMPUTED_VALUE"""),"LD153")</f>
        <v>LD153</v>
      </c>
      <c r="D97" s="55" t="s">
        <v>1135</v>
      </c>
      <c r="E97" s="55" t="s">
        <v>79</v>
      </c>
      <c r="F97" s="55" t="s">
        <v>539</v>
      </c>
      <c r="G97" s="55">
        <v>1840.0</v>
      </c>
      <c r="H97" s="55" t="s">
        <v>1137</v>
      </c>
      <c r="I97" s="115" t="s">
        <v>1833</v>
      </c>
      <c r="J97" s="95" t="s">
        <v>1834</v>
      </c>
      <c r="K97" s="55" t="s">
        <v>61</v>
      </c>
      <c r="L97" s="55" t="s">
        <v>1141</v>
      </c>
      <c r="M97" s="55" t="s">
        <v>78</v>
      </c>
      <c r="N97" s="55" t="s">
        <v>1135</v>
      </c>
      <c r="O97" s="55" t="s">
        <v>1142</v>
      </c>
      <c r="P97" s="55" t="s">
        <v>110</v>
      </c>
      <c r="Q97" s="67" t="str">
        <f>IFERROR(__xludf.DUMMYFUNCTION("""COMPUTED_VALUE"""),"ALL.giaotiep.M456MES2_PTD_Tiktok_NamNH_040625")</f>
        <v>ALL.giaotiep.M456MES2_PTD_Tiktok_NamNH_040625</v>
      </c>
      <c r="R97" s="67" t="str">
        <f>IFERROR(__xludf.DUMMYFUNCTION("""COMPUTED_VALUE"""),"NEW_ALL_1840_none_040625")</f>
        <v>NEW_ALL_1840_none_040625</v>
      </c>
      <c r="S97" s="67" t="str">
        <f>IFERROR(__xludf.DUMMYFUNCTION("""COMPUTED_VALUE"""),"saletructiep_ALL.M456MES2.1840.M456MES2_THCNGDP_LD153")</f>
        <v>saletructiep_ALL.M456MES2.1840.M456MES2_THCNGDP_LD153</v>
      </c>
      <c r="T97" s="107" t="str">
        <f>IFERROR(__xludf.DUMMYFUNCTION("""COMPUTED_VALUE"""),"https://patadovietnam.edu.vn/tienganhgiaotiep_hn/?utm_source=Tiktok&amp;utm_medium=MES&amp;utm_term=NEW_ALL_1840_none_040625&amp;utm_content=saletructiep_ALL.M456MES2.1840.M456MES2_THCNGDP_LD153&amp;utm_campaign=ALL.giaotiep.M456MES2_PTD_Tiktok_NamNH_040625")</f>
        <v>https://patadovietnam.edu.vn/tienganhgiaotiep_hn/?utm_source=Tiktok&amp;utm_medium=MES&amp;utm_term=NEW_ALL_1840_none_040625&amp;utm_content=saletructiep_ALL.M456MES2.1840.M456MES2_THCNGDP_LD153&amp;utm_campaign=ALL.giaotiep.M456MES2_PTD_Tiktok_NamNH_040625</v>
      </c>
      <c r="U97" s="118"/>
    </row>
    <row r="98">
      <c r="A98" s="72">
        <v>45814.0</v>
      </c>
      <c r="B98" s="75" t="s">
        <v>1134</v>
      </c>
      <c r="C98" s="67" t="str">
        <f>IFERROR(__xludf.DUMMYFUNCTION("""COMPUTED_VALUE"""),"LD153")</f>
        <v>LD153</v>
      </c>
      <c r="D98" s="55" t="s">
        <v>1135</v>
      </c>
      <c r="E98" s="55" t="s">
        <v>69</v>
      </c>
      <c r="F98" s="55" t="s">
        <v>674</v>
      </c>
      <c r="G98" s="55">
        <v>1840.0</v>
      </c>
      <c r="H98" s="55" t="s">
        <v>1137</v>
      </c>
      <c r="I98" s="115" t="s">
        <v>1840</v>
      </c>
      <c r="J98" s="95" t="s">
        <v>1841</v>
      </c>
      <c r="K98" s="55" t="s">
        <v>61</v>
      </c>
      <c r="L98" s="55" t="s">
        <v>1141</v>
      </c>
      <c r="M98" s="55" t="s">
        <v>78</v>
      </c>
      <c r="N98" s="55" t="s">
        <v>1135</v>
      </c>
      <c r="O98" s="55" t="s">
        <v>1142</v>
      </c>
      <c r="P98" s="55" t="s">
        <v>110</v>
      </c>
      <c r="Q98" s="67" t="str">
        <f>IFERROR(__xludf.DUMMYFUNCTION("""COMPUTED_VALUE"""),"Europe.giaotiep.M451CVS_PTD_Tiktok_NamNH_060625")</f>
        <v>Europe.giaotiep.M451CVS_PTD_Tiktok_NamNH_060625</v>
      </c>
      <c r="R98" s="67" t="str">
        <f>IFERROR(__xludf.DUMMYFUNCTION("""COMPUTED_VALUE"""),"NEW_Europe_1840_none_060625")</f>
        <v>NEW_Europe_1840_none_060625</v>
      </c>
      <c r="S98" s="67" t="str">
        <f>IFERROR(__xludf.DUMMYFUNCTION("""COMPUTED_VALUE"""),"saletructiep_Europe.M451CVS.1840.M451CVS_THCNGDP_LD153")</f>
        <v>saletructiep_Europe.M451CVS.1840.M451CVS_THCNGDP_LD153</v>
      </c>
      <c r="T98" s="107" t="str">
        <f>IFERROR(__xludf.DUMMYFUNCTION("""COMPUTED_VALUE"""),"https://patadovietnam.edu.vn/tienganhgiaotiep_hn/?utm_source=Tiktok&amp;utm_medium=CVS&amp;utm_term=NEW_Europe_1840_none_060625&amp;utm_content=saletructiep_Europe.M451CVS.1840.M451CVS_THCNGDP_LD153&amp;utm_campaign=Europe.giaotiep.M451CVS_PTD_Tiktok_NamNH_060625")</f>
        <v>https://patadovietnam.edu.vn/tienganhgiaotiep_hn/?utm_source=Tiktok&amp;utm_medium=CVS&amp;utm_term=NEW_Europe_1840_none_060625&amp;utm_content=saletructiep_Europe.M451CVS.1840.M451CVS_THCNGDP_LD153&amp;utm_campaign=Europe.giaotiep.M451CVS_PTD_Tiktok_NamNH_060625</v>
      </c>
      <c r="U98" s="118"/>
    </row>
    <row r="99">
      <c r="A99" s="72">
        <v>45814.0</v>
      </c>
      <c r="B99" s="75" t="s">
        <v>1134</v>
      </c>
      <c r="C99" s="67" t="str">
        <f>IFERROR(__xludf.DUMMYFUNCTION("""COMPUTED_VALUE"""),"LD153")</f>
        <v>LD153</v>
      </c>
      <c r="D99" s="55" t="s">
        <v>1135</v>
      </c>
      <c r="E99" s="55" t="s">
        <v>69</v>
      </c>
      <c r="F99" s="55" t="s">
        <v>674</v>
      </c>
      <c r="G99" s="55">
        <v>1840.0</v>
      </c>
      <c r="H99" s="55" t="s">
        <v>1137</v>
      </c>
      <c r="I99" s="115" t="s">
        <v>1847</v>
      </c>
      <c r="J99" s="95" t="s">
        <v>1848</v>
      </c>
      <c r="K99" s="55" t="s">
        <v>61</v>
      </c>
      <c r="L99" s="55" t="s">
        <v>1141</v>
      </c>
      <c r="M99" s="55" t="s">
        <v>78</v>
      </c>
      <c r="N99" s="55" t="s">
        <v>1135</v>
      </c>
      <c r="O99" s="55" t="s">
        <v>1142</v>
      </c>
      <c r="P99" s="55" t="s">
        <v>110</v>
      </c>
      <c r="Q99" s="67" t="str">
        <f>IFERROR(__xludf.DUMMYFUNCTION("""COMPUTED_VALUE"""),"Europe.giaotiep.M236CVS_PTD_Tiktok_NamNH_060625")</f>
        <v>Europe.giaotiep.M236CVS_PTD_Tiktok_NamNH_060625</v>
      </c>
      <c r="R99" s="67" t="str">
        <f>IFERROR(__xludf.DUMMYFUNCTION("""COMPUTED_VALUE"""),"NEW_Europe_1840_none_060625")</f>
        <v>NEW_Europe_1840_none_060625</v>
      </c>
      <c r="S99" s="67" t="str">
        <f>IFERROR(__xludf.DUMMYFUNCTION("""COMPUTED_VALUE"""),"saletructiep_Europe.M236CVS.1840.M236CVS_THCNGDP_LD153")</f>
        <v>saletructiep_Europe.M236CVS.1840.M236CVS_THCNGDP_LD153</v>
      </c>
      <c r="T99" s="107" t="str">
        <f>IFERROR(__xludf.DUMMYFUNCTION("""COMPUTED_VALUE"""),"https://patadovietnam.edu.vn/tienganhgiaotiep_hn/?utm_source=Tiktok&amp;utm_medium=CVS&amp;utm_term=NEW_Europe_1840_none_060625&amp;utm_content=saletructiep_Europe.M236CVS.1840.M236CVS_THCNGDP_LD153&amp;utm_campaign=Europe.giaotiep.M236CVS_PTD_Tiktok_NamNH_060625")</f>
        <v>https://patadovietnam.edu.vn/tienganhgiaotiep_hn/?utm_source=Tiktok&amp;utm_medium=CVS&amp;utm_term=NEW_Europe_1840_none_060625&amp;utm_content=saletructiep_Europe.M236CVS.1840.M236CVS_THCNGDP_LD153&amp;utm_campaign=Europe.giaotiep.M236CVS_PTD_Tiktok_NamNH_060625</v>
      </c>
      <c r="U99" s="118"/>
    </row>
    <row r="100">
      <c r="A100" s="72">
        <v>45814.0</v>
      </c>
      <c r="B100" s="75" t="s">
        <v>1229</v>
      </c>
      <c r="C100" s="67" t="str">
        <f>IFERROR(__xludf.DUMMYFUNCTION("""COMPUTED_VALUE"""),"LD164")</f>
        <v>LD164</v>
      </c>
      <c r="D100" s="55" t="s">
        <v>1135</v>
      </c>
      <c r="E100" s="55" t="s">
        <v>79</v>
      </c>
      <c r="F100" s="55" t="s">
        <v>133</v>
      </c>
      <c r="G100" s="55">
        <v>1840.0</v>
      </c>
      <c r="H100" s="55" t="s">
        <v>1137</v>
      </c>
      <c r="I100" s="115" t="s">
        <v>1854</v>
      </c>
      <c r="J100" s="95" t="s">
        <v>1855</v>
      </c>
      <c r="K100" s="55" t="s">
        <v>61</v>
      </c>
      <c r="L100" s="55" t="s">
        <v>1141</v>
      </c>
      <c r="M100" s="55" t="s">
        <v>78</v>
      </c>
      <c r="N100" s="55" t="s">
        <v>1135</v>
      </c>
      <c r="O100" s="55" t="s">
        <v>1142</v>
      </c>
      <c r="P100" s="55" t="s">
        <v>110</v>
      </c>
      <c r="Q100" s="67" t="str">
        <f>IFERROR(__xludf.DUMMYFUNCTION("""COMPUTED_VALUE"""),"Japan.giaotiep.M470MES_PTD_Tiktok_NamNH_060625")</f>
        <v>Japan.giaotiep.M470MES_PTD_Tiktok_NamNH_060625</v>
      </c>
      <c r="R100" s="67" t="str">
        <f>IFERROR(__xludf.DUMMYFUNCTION("""COMPUTED_VALUE"""),"NEW_Japan_1840_none_060625")</f>
        <v>NEW_Japan_1840_none_060625</v>
      </c>
      <c r="S100" s="67" t="str">
        <f>IFERROR(__xludf.DUMMYFUNCTION("""COMPUTED_VALUE"""),"saletructiep_Japan.M470MES.1840.M470MES_THCNGDP_LD164")</f>
        <v>saletructiep_Japan.M470MES.1840.M470MES_THCNGDP_LD164</v>
      </c>
      <c r="T100" s="107" t="str">
        <f>IFERROR(__xludf.DUMMYFUNCTION("""COMPUTED_VALUE"""),"https://patadovietnam.edu.vn/gtjapan_nhn3/?utm_source=Tiktok&amp;utm_medium=MES&amp;utm_term=NEW_Japan_1840_none_060625&amp;utm_content=saletructiep_Japan.M470MES.1840.M470MES_THCNGDP_LD164&amp;utm_campaign=Japan.giaotiep.M470MES_PTD_Tiktok_NamNH_060625")</f>
        <v>https://patadovietnam.edu.vn/gtjapan_nhn3/?utm_source=Tiktok&amp;utm_medium=MES&amp;utm_term=NEW_Japan_1840_none_060625&amp;utm_content=saletructiep_Japan.M470MES.1840.M470MES_THCNGDP_LD164&amp;utm_campaign=Japan.giaotiep.M470MES_PTD_Tiktok_NamNH_060625</v>
      </c>
      <c r="U100" s="118"/>
    </row>
    <row r="101">
      <c r="A101" s="72">
        <v>45814.0</v>
      </c>
      <c r="B101" s="60" t="s">
        <v>1229</v>
      </c>
      <c r="C101" s="67" t="str">
        <f>IFERROR(__xludf.DUMMYFUNCTION("""COMPUTED_VALUE"""),"LD164")</f>
        <v>LD164</v>
      </c>
      <c r="D101" s="55" t="s">
        <v>1135</v>
      </c>
      <c r="E101" s="55" t="s">
        <v>79</v>
      </c>
      <c r="F101" s="55" t="s">
        <v>133</v>
      </c>
      <c r="G101" s="55">
        <v>1840.0</v>
      </c>
      <c r="H101" s="55" t="s">
        <v>1137</v>
      </c>
      <c r="I101" s="115" t="s">
        <v>1863</v>
      </c>
      <c r="J101" s="95" t="s">
        <v>1864</v>
      </c>
      <c r="K101" s="55" t="s">
        <v>61</v>
      </c>
      <c r="L101" s="55" t="s">
        <v>1141</v>
      </c>
      <c r="M101" s="55" t="s">
        <v>78</v>
      </c>
      <c r="N101" s="55" t="s">
        <v>1135</v>
      </c>
      <c r="O101" s="55" t="s">
        <v>1142</v>
      </c>
      <c r="P101" s="55" t="s">
        <v>110</v>
      </c>
      <c r="Q101" s="67" t="str">
        <f>IFERROR(__xludf.DUMMYFUNCTION("""COMPUTED_VALUE"""),"Japan.giaotiep.M471MES_PTD_Tiktok_NamNH_060625")</f>
        <v>Japan.giaotiep.M471MES_PTD_Tiktok_NamNH_060625</v>
      </c>
      <c r="R101" s="67" t="str">
        <f>IFERROR(__xludf.DUMMYFUNCTION("""COMPUTED_VALUE"""),"NEW_Japan_1840_none_060625")</f>
        <v>NEW_Japan_1840_none_060625</v>
      </c>
      <c r="S101" s="67" t="str">
        <f>IFERROR(__xludf.DUMMYFUNCTION("""COMPUTED_VALUE"""),"saletructiep_Japan.M471MES.1840.M471MES_THCNGDP_LD164")</f>
        <v>saletructiep_Japan.M471MES.1840.M471MES_THCNGDP_LD164</v>
      </c>
      <c r="T101" s="107" t="str">
        <f>IFERROR(__xludf.DUMMYFUNCTION("""COMPUTED_VALUE"""),"https://patadovietnam.edu.vn/gtjapan_nhn3/?utm_source=Tiktok&amp;utm_medium=MES&amp;utm_term=NEW_Japan_1840_none_060625&amp;utm_content=saletructiep_Japan.M471MES.1840.M471MES_THCNGDP_LD164&amp;utm_campaign=Japan.giaotiep.M471MES_PTD_Tiktok_NamNH_060625")</f>
        <v>https://patadovietnam.edu.vn/gtjapan_nhn3/?utm_source=Tiktok&amp;utm_medium=MES&amp;utm_term=NEW_Japan_1840_none_060625&amp;utm_content=saletructiep_Japan.M471MES.1840.M471MES_THCNGDP_LD164&amp;utm_campaign=Japan.giaotiep.M471MES_PTD_Tiktok_NamNH_060625</v>
      </c>
      <c r="U101" s="118"/>
    </row>
    <row r="102">
      <c r="A102" s="72">
        <v>45814.0</v>
      </c>
      <c r="B102" s="75" t="s">
        <v>1134</v>
      </c>
      <c r="C102" s="67" t="str">
        <f>IFERROR(__xludf.DUMMYFUNCTION("""COMPUTED_VALUE"""),"LD153")</f>
        <v>LD153</v>
      </c>
      <c r="D102" s="55" t="s">
        <v>1135</v>
      </c>
      <c r="E102" s="55" t="s">
        <v>79</v>
      </c>
      <c r="F102" s="55" t="s">
        <v>625</v>
      </c>
      <c r="G102" s="55">
        <v>1840.0</v>
      </c>
      <c r="H102" s="55" t="s">
        <v>1137</v>
      </c>
      <c r="I102" s="115" t="s">
        <v>1870</v>
      </c>
      <c r="J102" s="95" t="s">
        <v>1871</v>
      </c>
      <c r="K102" s="55" t="s">
        <v>61</v>
      </c>
      <c r="L102" s="55" t="s">
        <v>1141</v>
      </c>
      <c r="M102" s="55" t="s">
        <v>78</v>
      </c>
      <c r="N102" s="55" t="s">
        <v>1135</v>
      </c>
      <c r="O102" s="55" t="s">
        <v>1142</v>
      </c>
      <c r="P102" s="55" t="s">
        <v>110</v>
      </c>
      <c r="Q102" s="67" t="str">
        <f>IFERROR(__xludf.DUMMYFUNCTION("""COMPUTED_VALUE"""),"KoreaSouth.giaotiep.M470MES_PTD_Tiktok_NamNH_060625")</f>
        <v>KoreaSouth.giaotiep.M470MES_PTD_Tiktok_NamNH_060625</v>
      </c>
      <c r="R102" s="67" t="str">
        <f>IFERROR(__xludf.DUMMYFUNCTION("""COMPUTED_VALUE"""),"NEW_KoreaSouth_1840_none_060625")</f>
        <v>NEW_KoreaSouth_1840_none_060625</v>
      </c>
      <c r="S102" s="67" t="str">
        <f>IFERROR(__xludf.DUMMYFUNCTION("""COMPUTED_VALUE"""),"saletructiep_KoreaSouth.M470MES.1840.M470MES_THCNGDP_LD153")</f>
        <v>saletructiep_KoreaSouth.M470MES.1840.M470MES_THCNGDP_LD153</v>
      </c>
      <c r="T102" s="107" t="str">
        <f>IFERROR(__xludf.DUMMYFUNCTION("""COMPUTED_VALUE"""),"https://patadovietnam.edu.vn/tienganhgiaotiep_hn/?utm_source=Tiktok&amp;utm_medium=MES&amp;utm_term=NEW_KoreaSouth_1840_none_060625&amp;utm_content=saletructiep_KoreaSouth.M470MES.1840.M470MES_THCNGDP_LD153&amp;utm_campaign=KoreaSouth.giaotiep.M470MES_PTD_Tiktok_NamNH_06"&amp;"0625")</f>
        <v>https://patadovietnam.edu.vn/tienganhgiaotiep_hn/?utm_source=Tiktok&amp;utm_medium=MES&amp;utm_term=NEW_KoreaSouth_1840_none_060625&amp;utm_content=saletructiep_KoreaSouth.M470MES.1840.M470MES_THCNGDP_LD153&amp;utm_campaign=KoreaSouth.giaotiep.M470MES_PTD_Tiktok_NamNH_060625</v>
      </c>
      <c r="U102" s="118"/>
    </row>
    <row r="103">
      <c r="A103" s="72">
        <v>45814.0</v>
      </c>
      <c r="B103" s="75" t="s">
        <v>1229</v>
      </c>
      <c r="C103" s="67" t="str">
        <f>IFERROR(__xludf.DUMMYFUNCTION("""COMPUTED_VALUE"""),"LD164")</f>
        <v>LD164</v>
      </c>
      <c r="D103" s="55" t="s">
        <v>1135</v>
      </c>
      <c r="E103" s="55" t="s">
        <v>79</v>
      </c>
      <c r="F103" s="55" t="s">
        <v>133</v>
      </c>
      <c r="G103" s="55">
        <v>1840.0</v>
      </c>
      <c r="H103" s="55" t="s">
        <v>1137</v>
      </c>
      <c r="I103" s="115" t="s">
        <v>1877</v>
      </c>
      <c r="J103" s="95" t="s">
        <v>1878</v>
      </c>
      <c r="K103" s="55" t="s">
        <v>61</v>
      </c>
      <c r="L103" s="55" t="s">
        <v>1141</v>
      </c>
      <c r="M103" s="55" t="s">
        <v>78</v>
      </c>
      <c r="N103" s="55" t="s">
        <v>1135</v>
      </c>
      <c r="O103" s="55" t="s">
        <v>1142</v>
      </c>
      <c r="P103" s="55" t="s">
        <v>110</v>
      </c>
      <c r="Q103" s="67" t="str">
        <f>IFERROR(__xludf.DUMMYFUNCTION("""COMPUTED_VALUE"""),"Japan.giaotiep.M440MES_PTD_Tiktok_NamNH_060625")</f>
        <v>Japan.giaotiep.M440MES_PTD_Tiktok_NamNH_060625</v>
      </c>
      <c r="R103" s="67" t="str">
        <f>IFERROR(__xludf.DUMMYFUNCTION("""COMPUTED_VALUE"""),"NEW_Japan_1840_none_060625")</f>
        <v>NEW_Japan_1840_none_060625</v>
      </c>
      <c r="S103" s="67" t="str">
        <f>IFERROR(__xludf.DUMMYFUNCTION("""COMPUTED_VALUE"""),"saletructiep_Japan.M440MES.1840.M440MES_THCNGDP_LD164")</f>
        <v>saletructiep_Japan.M440MES.1840.M440MES_THCNGDP_LD164</v>
      </c>
      <c r="T103" s="107" t="str">
        <f>IFERROR(__xludf.DUMMYFUNCTION("""COMPUTED_VALUE"""),"https://patadovietnam.edu.vn/gtjapan_nhn3/?utm_source=Tiktok&amp;utm_medium=MES&amp;utm_term=NEW_Japan_1840_none_060625&amp;utm_content=saletructiep_Japan.M440MES.1840.M440MES_THCNGDP_LD164&amp;utm_campaign=Japan.giaotiep.M440MES_PTD_Tiktok_NamNH_060625")</f>
        <v>https://patadovietnam.edu.vn/gtjapan_nhn3/?utm_source=Tiktok&amp;utm_medium=MES&amp;utm_term=NEW_Japan_1840_none_060625&amp;utm_content=saletructiep_Japan.M440MES.1840.M440MES_THCNGDP_LD164&amp;utm_campaign=Japan.giaotiep.M440MES_PTD_Tiktok_NamNH_060625</v>
      </c>
      <c r="U103" s="118"/>
    </row>
    <row r="104">
      <c r="A104" s="72">
        <v>45814.0</v>
      </c>
      <c r="B104" s="75" t="s">
        <v>1134</v>
      </c>
      <c r="C104" s="67" t="str">
        <f>IFERROR(__xludf.DUMMYFUNCTION("""COMPUTED_VALUE"""),"LD153")</f>
        <v>LD153</v>
      </c>
      <c r="D104" s="55" t="s">
        <v>1135</v>
      </c>
      <c r="E104" s="55" t="s">
        <v>79</v>
      </c>
      <c r="F104" s="55" t="s">
        <v>539</v>
      </c>
      <c r="G104" s="55">
        <v>1840.0</v>
      </c>
      <c r="H104" s="55" t="s">
        <v>1137</v>
      </c>
      <c r="I104" s="115" t="s">
        <v>1886</v>
      </c>
      <c r="J104" s="95" t="s">
        <v>1887</v>
      </c>
      <c r="K104" s="55" t="s">
        <v>61</v>
      </c>
      <c r="L104" s="55" t="s">
        <v>1141</v>
      </c>
      <c r="M104" s="55" t="s">
        <v>78</v>
      </c>
      <c r="N104" s="55" t="s">
        <v>1135</v>
      </c>
      <c r="O104" s="55" t="s">
        <v>1142</v>
      </c>
      <c r="P104" s="55" t="s">
        <v>110</v>
      </c>
      <c r="Q104" s="67" t="str">
        <f>IFERROR(__xludf.DUMMYFUNCTION("""COMPUTED_VALUE"""),"ALL.giaotiep.M440MES_PTD_Tiktok_NamNH_060625")</f>
        <v>ALL.giaotiep.M440MES_PTD_Tiktok_NamNH_060625</v>
      </c>
      <c r="R104" s="67" t="str">
        <f>IFERROR(__xludf.DUMMYFUNCTION("""COMPUTED_VALUE"""),"NEW_ALL_1840_none_060625")</f>
        <v>NEW_ALL_1840_none_060625</v>
      </c>
      <c r="S104" s="67" t="str">
        <f>IFERROR(__xludf.DUMMYFUNCTION("""COMPUTED_VALUE"""),"saletructiep_ALL.M440MES.1840.M440MES_THCNGDP_LD153")</f>
        <v>saletructiep_ALL.M440MES.1840.M440MES_THCNGDP_LD153</v>
      </c>
      <c r="T104" s="107" t="str">
        <f>IFERROR(__xludf.DUMMYFUNCTION("""COMPUTED_VALUE"""),"https://patadovietnam.edu.vn/tienganhgiaotiep_hn/?utm_source=Tiktok&amp;utm_medium=MES&amp;utm_term=NEW_ALL_1840_none_060625&amp;utm_content=saletructiep_ALL.M440MES.1840.M440MES_THCNGDP_LD153&amp;utm_campaign=ALL.giaotiep.M440MES_PTD_Tiktok_NamNH_060625")</f>
        <v>https://patadovietnam.edu.vn/tienganhgiaotiep_hn/?utm_source=Tiktok&amp;utm_medium=MES&amp;utm_term=NEW_ALL_1840_none_060625&amp;utm_content=saletructiep_ALL.M440MES.1840.M440MES_THCNGDP_LD153&amp;utm_campaign=ALL.giaotiep.M440MES_PTD_Tiktok_NamNH_060625</v>
      </c>
      <c r="U104" s="118"/>
    </row>
    <row r="105">
      <c r="A105" s="72">
        <v>45819.0</v>
      </c>
      <c r="B105" s="75" t="s">
        <v>1892</v>
      </c>
      <c r="C105" s="67" t="str">
        <f>IFERROR(__xludf.DUMMYFUNCTION("""COMPUTED_VALUE"""),"LD239")</f>
        <v>LD239</v>
      </c>
      <c r="D105" s="55" t="s">
        <v>1135</v>
      </c>
      <c r="E105" s="55" t="s">
        <v>79</v>
      </c>
      <c r="F105" s="55" t="s">
        <v>133</v>
      </c>
      <c r="G105" s="55">
        <v>1840.0</v>
      </c>
      <c r="H105" s="55" t="s">
        <v>1137</v>
      </c>
      <c r="I105" s="115" t="s">
        <v>1896</v>
      </c>
      <c r="J105" s="95" t="s">
        <v>1897</v>
      </c>
      <c r="K105" s="55" t="s">
        <v>61</v>
      </c>
      <c r="L105" s="55" t="s">
        <v>1141</v>
      </c>
      <c r="M105" s="55" t="s">
        <v>78</v>
      </c>
      <c r="N105" s="55" t="s">
        <v>1135</v>
      </c>
      <c r="O105" s="55" t="s">
        <v>1142</v>
      </c>
      <c r="P105" s="55" t="s">
        <v>110</v>
      </c>
      <c r="Q105" s="67" t="str">
        <f>IFERROR(__xludf.DUMMYFUNCTION("""COMPUTED_VALUE"""),"Japan.Career.M476MES_PTD_Tiktok_NamNH_110625")</f>
        <v>Japan.Career.M476MES_PTD_Tiktok_NamNH_110625</v>
      </c>
      <c r="R105" s="67" t="str">
        <f>IFERROR(__xludf.DUMMYFUNCTION("""COMPUTED_VALUE"""),"NEW_Japan_1840_none_110625")</f>
        <v>NEW_Japan_1840_none_110625</v>
      </c>
      <c r="S105" s="67" t="str">
        <f>IFERROR(__xludf.DUMMYFUNCTION("""COMPUTED_VALUE"""),"saletructiep_Japan.M476MES.1840.Career_THCNGDP_LD239")</f>
        <v>saletructiep_Japan.M476MES.1840.Career_THCNGDP_LD239</v>
      </c>
      <c r="T105" s="107" t="str">
        <f>IFERROR(__xludf.DUMMYFUNCTION("""COMPUTED_VALUE"""),"https://patadovietnam.edu.vn/careereng_nhn/?utm_source=Tiktok&amp;utm_medium=MES&amp;utm_term=NEW_Japan_1840_none_110625&amp;utm_content=saletructiep_Japan.M476MES.1840.Career_THCNGDP_LD239&amp;utm_campaign=Japan.Career.M476MES_PTD_Tiktok_NamNH_110625")</f>
        <v>https://patadovietnam.edu.vn/careereng_nhn/?utm_source=Tiktok&amp;utm_medium=MES&amp;utm_term=NEW_Japan_1840_none_110625&amp;utm_content=saletructiep_Japan.M476MES.1840.Career_THCNGDP_LD239&amp;utm_campaign=Japan.Career.M476MES_PTD_Tiktok_NamNH_110625</v>
      </c>
      <c r="U105" s="118"/>
    </row>
    <row r="106">
      <c r="A106" s="72">
        <v>45819.0</v>
      </c>
      <c r="B106" s="75" t="s">
        <v>1892</v>
      </c>
      <c r="C106" s="67" t="str">
        <f>IFERROR(__xludf.DUMMYFUNCTION("""COMPUTED_VALUE"""),"LD239")</f>
        <v>LD239</v>
      </c>
      <c r="D106" s="55" t="s">
        <v>1135</v>
      </c>
      <c r="E106" s="55" t="s">
        <v>69</v>
      </c>
      <c r="F106" s="55" t="s">
        <v>674</v>
      </c>
      <c r="G106" s="55">
        <v>1840.0</v>
      </c>
      <c r="H106" s="55" t="s">
        <v>1137</v>
      </c>
      <c r="I106" s="115" t="s">
        <v>1902</v>
      </c>
      <c r="J106" s="95" t="s">
        <v>1903</v>
      </c>
      <c r="K106" s="55" t="s">
        <v>61</v>
      </c>
      <c r="L106" s="55" t="s">
        <v>1141</v>
      </c>
      <c r="M106" s="55" t="s">
        <v>78</v>
      </c>
      <c r="N106" s="55" t="s">
        <v>1135</v>
      </c>
      <c r="O106" s="55" t="s">
        <v>1142</v>
      </c>
      <c r="P106" s="55" t="s">
        <v>110</v>
      </c>
      <c r="Q106" s="67" t="str">
        <f>IFERROR(__xludf.DUMMYFUNCTION("""COMPUTED_VALUE"""),"Europe.Career.M473CVS_PTD_Tiktok_NamNH_110625")</f>
        <v>Europe.Career.M473CVS_PTD_Tiktok_NamNH_110625</v>
      </c>
      <c r="R106" s="67" t="str">
        <f>IFERROR(__xludf.DUMMYFUNCTION("""COMPUTED_VALUE"""),"NEW_Europe_1840_none_110625")</f>
        <v>NEW_Europe_1840_none_110625</v>
      </c>
      <c r="S106" s="67" t="str">
        <f>IFERROR(__xludf.DUMMYFUNCTION("""COMPUTED_VALUE"""),"saletructiep_Japan.M473CVS.1840.Career_THCNGDP_LD239")</f>
        <v>saletructiep_Japan.M473CVS.1840.Career_THCNGDP_LD239</v>
      </c>
      <c r="T106" s="107" t="str">
        <f>IFERROR(__xludf.DUMMYFUNCTION("""COMPUTED_VALUE"""),"https://patadovietnam.edu.vn/careereng_nhn/?utm_source=Tiktok&amp;utm_medium=CVS&amp;utm_term=NEW_Europe_1840_none_110625&amp;utm_content=saletructiep_Japan.M473CVS.1840.Career_THCNGDP_LD239&amp;utm_campaign=Europe.Career.M473CVS_PTD_Tiktok_NamNH_110625")</f>
        <v>https://patadovietnam.edu.vn/careereng_nhn/?utm_source=Tiktok&amp;utm_medium=CVS&amp;utm_term=NEW_Europe_1840_none_110625&amp;utm_content=saletructiep_Japan.M473CVS.1840.Career_THCNGDP_LD239&amp;utm_campaign=Europe.Career.M473CVS_PTD_Tiktok_NamNH_110625</v>
      </c>
      <c r="U106" s="118"/>
    </row>
    <row r="107">
      <c r="A107" s="72">
        <v>45820.0</v>
      </c>
      <c r="B107" s="75" t="s">
        <v>1892</v>
      </c>
      <c r="C107" s="67" t="str">
        <f>IFERROR(__xludf.DUMMYFUNCTION("""COMPUTED_VALUE"""),"LD239")</f>
        <v>LD239</v>
      </c>
      <c r="D107" s="55" t="s">
        <v>1135</v>
      </c>
      <c r="E107" s="55" t="s">
        <v>79</v>
      </c>
      <c r="F107" s="55" t="s">
        <v>539</v>
      </c>
      <c r="G107" s="55">
        <v>1840.0</v>
      </c>
      <c r="H107" s="55" t="s">
        <v>1137</v>
      </c>
      <c r="I107" s="115" t="s">
        <v>1910</v>
      </c>
      <c r="J107" s="95" t="s">
        <v>1911</v>
      </c>
      <c r="K107" s="55" t="s">
        <v>61</v>
      </c>
      <c r="L107" s="55" t="s">
        <v>1141</v>
      </c>
      <c r="M107" s="55" t="s">
        <v>78</v>
      </c>
      <c r="N107" s="55" t="s">
        <v>1135</v>
      </c>
      <c r="O107" s="55" t="s">
        <v>1142</v>
      </c>
      <c r="P107" s="55" t="s">
        <v>110</v>
      </c>
      <c r="Q107" s="67" t="str">
        <f>IFERROR(__xludf.DUMMYFUNCTION("""COMPUTED_VALUE"""),"ALL.giaotiep.M473MES_PTD_Tiktok_NamNH_120625")</f>
        <v>ALL.giaotiep.M473MES_PTD_Tiktok_NamNH_120625</v>
      </c>
      <c r="R107" s="67" t="str">
        <f>IFERROR(__xludf.DUMMYFUNCTION("""COMPUTED_VALUE"""),"NEW_ALL_1840_none_120625")</f>
        <v>NEW_ALL_1840_none_120625</v>
      </c>
      <c r="S107" s="67" t="str">
        <f>IFERROR(__xludf.DUMMYFUNCTION("""COMPUTED_VALUE"""),"saletructiep_ALL.M473MES.1840.Career_THCNGDP_LD239")</f>
        <v>saletructiep_ALL.M473MES.1840.Career_THCNGDP_LD239</v>
      </c>
      <c r="T107" s="107" t="str">
        <f>IFERROR(__xludf.DUMMYFUNCTION("""COMPUTED_VALUE"""),"https://patadovietnam.edu.vn/careereng_nhn/?utm_source=Tiktok&amp;utm_medium=MES&amp;utm_term=NEW_ALL_1840_none_120625&amp;utm_content=saletructiep_ALL.M473MES.1840.Career_THCNGDP_LD239&amp;utm_campaign=ALL.giaotiep.M473MES_PTD_Tiktok_NamNH_120625")</f>
        <v>https://patadovietnam.edu.vn/careereng_nhn/?utm_source=Tiktok&amp;utm_medium=MES&amp;utm_term=NEW_ALL_1840_none_120625&amp;utm_content=saletructiep_ALL.M473MES.1840.Career_THCNGDP_LD239&amp;utm_campaign=ALL.giaotiep.M473MES_PTD_Tiktok_NamNH_120625</v>
      </c>
      <c r="U107" s="118"/>
    </row>
    <row r="108">
      <c r="A108" s="72">
        <v>45820.0</v>
      </c>
      <c r="B108" s="75" t="s">
        <v>1892</v>
      </c>
      <c r="C108" s="67" t="str">
        <f>IFERROR(__xludf.DUMMYFUNCTION("""COMPUTED_VALUE"""),"LD239")</f>
        <v>LD239</v>
      </c>
      <c r="D108" s="55" t="s">
        <v>1135</v>
      </c>
      <c r="E108" s="55" t="s">
        <v>79</v>
      </c>
      <c r="F108" s="55" t="s">
        <v>539</v>
      </c>
      <c r="G108" s="55">
        <v>1841.0</v>
      </c>
      <c r="H108" s="55" t="s">
        <v>1137</v>
      </c>
      <c r="I108" s="115" t="s">
        <v>1917</v>
      </c>
      <c r="J108" s="95" t="s">
        <v>1918</v>
      </c>
      <c r="K108" s="55" t="s">
        <v>61</v>
      </c>
      <c r="L108" s="55" t="s">
        <v>1141</v>
      </c>
      <c r="M108" s="55" t="s">
        <v>78</v>
      </c>
      <c r="N108" s="55" t="s">
        <v>1135</v>
      </c>
      <c r="O108" s="55" t="s">
        <v>1142</v>
      </c>
      <c r="P108" s="55" t="s">
        <v>110</v>
      </c>
      <c r="Q108" s="67" t="str">
        <f>IFERROR(__xludf.DUMMYFUNCTION("""COMPUTED_VALUE"""),"ALL.giaotiep.M473MES2_PTD_Tiktok_NamNH_120625")</f>
        <v>ALL.giaotiep.M473MES2_PTD_Tiktok_NamNH_120625</v>
      </c>
      <c r="R108" s="67" t="str">
        <f>IFERROR(__xludf.DUMMYFUNCTION("""COMPUTED_VALUE"""),"NEW_ALL_1841_none_120625")</f>
        <v>NEW_ALL_1841_none_120625</v>
      </c>
      <c r="S108" s="67" t="str">
        <f>IFERROR(__xludf.DUMMYFUNCTION("""COMPUTED_VALUE"""),"saletructiep_ALL.M473MES2.1840.Career_THCNGDP_LD239")</f>
        <v>saletructiep_ALL.M473MES2.1840.Career_THCNGDP_LD239</v>
      </c>
      <c r="T108" s="107" t="str">
        <f>IFERROR(__xludf.DUMMYFUNCTION("""COMPUTED_VALUE"""),"https://patadovietnam.edu.vn/careereng_nhn/?utm_source=Tiktok&amp;utm_medium=MES&amp;utm_term=NEW_ALL_1841_none_120625&amp;utm_content=saletructiep_ALL.M473MES2.1840.Career_THCNGDP_LD239&amp;utm_campaign=ALL.giaotiep.M473MES2_PTD_Tiktok_NamNH_120625")</f>
        <v>https://patadovietnam.edu.vn/careereng_nhn/?utm_source=Tiktok&amp;utm_medium=MES&amp;utm_term=NEW_ALL_1841_none_120625&amp;utm_content=saletructiep_ALL.M473MES2.1840.Career_THCNGDP_LD239&amp;utm_campaign=ALL.giaotiep.M473MES2_PTD_Tiktok_NamNH_120625</v>
      </c>
      <c r="U108" s="118"/>
    </row>
    <row r="109">
      <c r="A109" s="72">
        <v>45820.0</v>
      </c>
      <c r="B109" s="75" t="s">
        <v>1892</v>
      </c>
      <c r="C109" s="67" t="str">
        <f>IFERROR(__xludf.DUMMYFUNCTION("""COMPUTED_VALUE"""),"LD239")</f>
        <v>LD239</v>
      </c>
      <c r="D109" s="55" t="s">
        <v>1135</v>
      </c>
      <c r="E109" s="55" t="s">
        <v>79</v>
      </c>
      <c r="F109" s="55" t="s">
        <v>133</v>
      </c>
      <c r="G109" s="55">
        <v>1840.0</v>
      </c>
      <c r="H109" s="55" t="s">
        <v>1137</v>
      </c>
      <c r="I109" s="115" t="s">
        <v>1922</v>
      </c>
      <c r="J109" s="95" t="s">
        <v>1923</v>
      </c>
      <c r="K109" s="55" t="s">
        <v>61</v>
      </c>
      <c r="L109" s="55" t="s">
        <v>1141</v>
      </c>
      <c r="M109" s="55" t="s">
        <v>78</v>
      </c>
      <c r="N109" s="55" t="s">
        <v>1135</v>
      </c>
      <c r="O109" s="55" t="s">
        <v>1142</v>
      </c>
      <c r="P109" s="55" t="s">
        <v>110</v>
      </c>
      <c r="Q109" s="67" t="str">
        <f>IFERROR(__xludf.DUMMYFUNCTION("""COMPUTED_VALUE"""),"Japan.Career.M473MES_PTD_Tiktok_NamNH_120625")</f>
        <v>Japan.Career.M473MES_PTD_Tiktok_NamNH_120625</v>
      </c>
      <c r="R109" s="67" t="str">
        <f>IFERROR(__xludf.DUMMYFUNCTION("""COMPUTED_VALUE"""),"NEW_Japan_1840_none_120625")</f>
        <v>NEW_Japan_1840_none_120625</v>
      </c>
      <c r="S109" s="67" t="str">
        <f>IFERROR(__xludf.DUMMYFUNCTION("""COMPUTED_VALUE"""),"saletructiep_Japan.M473MES.1840.Career_THCNGDP_LD239")</f>
        <v>saletructiep_Japan.M473MES.1840.Career_THCNGDP_LD239</v>
      </c>
      <c r="T109" s="107" t="str">
        <f>IFERROR(__xludf.DUMMYFUNCTION("""COMPUTED_VALUE"""),"https://patadovietnam.edu.vn/careereng_nhn/?utm_source=Tiktok&amp;utm_medium=MES&amp;utm_term=NEW_Japan_1840_none_120625&amp;utm_content=saletructiep_Japan.M473MES.1840.Career_THCNGDP_LD239&amp;utm_campaign=Japan.Career.M473MES_PTD_Tiktok_NamNH_120625")</f>
        <v>https://patadovietnam.edu.vn/careereng_nhn/?utm_source=Tiktok&amp;utm_medium=MES&amp;utm_term=NEW_Japan_1840_none_120625&amp;utm_content=saletructiep_Japan.M473MES.1840.Career_THCNGDP_LD239&amp;utm_campaign=Japan.Career.M473MES_PTD_Tiktok_NamNH_120625</v>
      </c>
      <c r="U109" s="118"/>
    </row>
    <row r="110">
      <c r="A110" s="72">
        <v>45847.0</v>
      </c>
      <c r="B110" s="75" t="s">
        <v>1134</v>
      </c>
      <c r="C110" s="67" t="str">
        <f>IFERROR(__xludf.DUMMYFUNCTION("""COMPUTED_VALUE"""),"LD153")</f>
        <v>LD153</v>
      </c>
      <c r="D110" s="55" t="s">
        <v>1135</v>
      </c>
      <c r="E110" s="55" t="s">
        <v>79</v>
      </c>
      <c r="F110" s="55" t="s">
        <v>539</v>
      </c>
      <c r="G110" s="55">
        <v>1840.0</v>
      </c>
      <c r="H110" s="55" t="s">
        <v>1137</v>
      </c>
      <c r="I110" s="115" t="s">
        <v>1931</v>
      </c>
      <c r="J110" s="95" t="s">
        <v>1932</v>
      </c>
      <c r="K110" s="55" t="s">
        <v>61</v>
      </c>
      <c r="L110" s="55" t="s">
        <v>1141</v>
      </c>
      <c r="M110" s="55" t="s">
        <v>78</v>
      </c>
      <c r="N110" s="55" t="s">
        <v>1135</v>
      </c>
      <c r="O110" s="55" t="s">
        <v>1142</v>
      </c>
      <c r="P110" s="55" t="s">
        <v>110</v>
      </c>
      <c r="Q110" s="67" t="str">
        <f>IFERROR(__xludf.DUMMYFUNCTION("""COMPUTED_VALUE"""),"ALL.giaotiep.JHMES_PTD_Tiktok_NamNH_090725")</f>
        <v>ALL.giaotiep.JHMES_PTD_Tiktok_NamNH_090725</v>
      </c>
      <c r="R110" s="67" t="str">
        <f>IFERROR(__xludf.DUMMYFUNCTION("""COMPUTED_VALUE"""),"NEW_ALL_1840_none_090725")</f>
        <v>NEW_ALL_1840_none_090725</v>
      </c>
      <c r="S110" s="67" t="str">
        <f>IFERROR(__xludf.DUMMYFUNCTION("""COMPUTED_VALUE"""),"saletructiep_ALL.JHMES.1840.giaotiep_THCNGDP_LD153")</f>
        <v>saletructiep_ALL.JHMES.1840.giaotiep_THCNGDP_LD153</v>
      </c>
      <c r="T110" s="107" t="str">
        <f>IFERROR(__xludf.DUMMYFUNCTION("""COMPUTED_VALUE"""),"https://patadovietnam.edu.vn/tienganhgiaotiep_hn/?utm_source=Tiktok&amp;utm_medium=MES&amp;utm_term=NEW_ALL_1840_none_090725&amp;utm_content=saletructiep_ALL.JHMES.1840.giaotiep_THCNGDP_LD153&amp;utm_campaign=ALL.giaotiep.JHMES_PTD_Tiktok_NamNH_090725")</f>
        <v>https://patadovietnam.edu.vn/tienganhgiaotiep_hn/?utm_source=Tiktok&amp;utm_medium=MES&amp;utm_term=NEW_ALL_1840_none_090725&amp;utm_content=saletructiep_ALL.JHMES.1840.giaotiep_THCNGDP_LD153&amp;utm_campaign=ALL.giaotiep.JHMES_PTD_Tiktok_NamNH_090725</v>
      </c>
      <c r="U110" s="118"/>
    </row>
    <row r="111">
      <c r="A111" s="72">
        <v>45903.0</v>
      </c>
      <c r="B111" s="75" t="s">
        <v>1134</v>
      </c>
      <c r="C111" s="67" t="str">
        <f>IFERROR(__xludf.DUMMYFUNCTION("""COMPUTED_VALUE"""),"LD153")</f>
        <v>LD153</v>
      </c>
      <c r="D111" s="55" t="s">
        <v>1135</v>
      </c>
      <c r="E111" s="55" t="s">
        <v>79</v>
      </c>
      <c r="F111" s="55" t="s">
        <v>674</v>
      </c>
      <c r="G111" s="55">
        <v>1840.0</v>
      </c>
      <c r="H111" s="55" t="s">
        <v>1137</v>
      </c>
      <c r="I111" s="115" t="s">
        <v>1941</v>
      </c>
      <c r="J111" s="95" t="s">
        <v>1942</v>
      </c>
      <c r="K111" s="55" t="s">
        <v>61</v>
      </c>
      <c r="L111" s="55" t="s">
        <v>1141</v>
      </c>
      <c r="M111" s="55" t="s">
        <v>78</v>
      </c>
      <c r="N111" s="55" t="s">
        <v>1135</v>
      </c>
      <c r="O111" s="55" t="s">
        <v>1142</v>
      </c>
      <c r="P111" s="55" t="s">
        <v>110</v>
      </c>
      <c r="Q111" s="67" t="str">
        <f>IFERROR(__xludf.DUMMYFUNCTION("""COMPUTED_VALUE"""),"Europe.giaotiep.M504MES_PTD_Tiktok_NamNH_030925")</f>
        <v>Europe.giaotiep.M504MES_PTD_Tiktok_NamNH_030925</v>
      </c>
      <c r="R111" s="67" t="str">
        <f>IFERROR(__xludf.DUMMYFUNCTION("""COMPUTED_VALUE"""),"NEW_Europe_1840_none_030925")</f>
        <v>NEW_Europe_1840_none_030925</v>
      </c>
      <c r="S111" s="67" t="str">
        <f>IFERROR(__xludf.DUMMYFUNCTION("""COMPUTED_VALUE"""),"saletructiep_Europe.M504MES.1840.giaotiep_THCNGDP_LD153")</f>
        <v>saletructiep_Europe.M504MES.1840.giaotiep_THCNGDP_LD153</v>
      </c>
      <c r="T111" s="107" t="str">
        <f>IFERROR(__xludf.DUMMYFUNCTION("""COMPUTED_VALUE"""),"https://patadovietnam.edu.vn/tienganhgiaotiep_hn/?utm_source=Tiktok&amp;utm_medium=MES&amp;utm_term=NEW_Europe_1840_none_030925&amp;utm_content=saletructiep_Europe.M504MES.1840.giaotiep_THCNGDP_LD153&amp;utm_campaign=Europe.giaotiep.M504MES_PTD_Tiktok_NamNH_030925")</f>
        <v>https://patadovietnam.edu.vn/tienganhgiaotiep_hn/?utm_source=Tiktok&amp;utm_medium=MES&amp;utm_term=NEW_Europe_1840_none_030925&amp;utm_content=saletructiep_Europe.M504MES.1840.giaotiep_THCNGDP_LD153&amp;utm_campaign=Europe.giaotiep.M504MES_PTD_Tiktok_NamNH_030925</v>
      </c>
      <c r="U111" s="118"/>
    </row>
    <row r="112">
      <c r="A112" s="72">
        <v>45904.0</v>
      </c>
      <c r="B112" s="75" t="s">
        <v>1134</v>
      </c>
      <c r="C112" s="67" t="str">
        <f>IFERROR(__xludf.DUMMYFUNCTION("""COMPUTED_VALUE"""),"LD153")</f>
        <v>LD153</v>
      </c>
      <c r="D112" s="55" t="s">
        <v>1135</v>
      </c>
      <c r="E112" s="55" t="s">
        <v>79</v>
      </c>
      <c r="F112" s="55" t="s">
        <v>133</v>
      </c>
      <c r="G112" s="55">
        <v>1840.0</v>
      </c>
      <c r="H112" s="55" t="s">
        <v>1137</v>
      </c>
      <c r="I112" s="115" t="s">
        <v>1947</v>
      </c>
      <c r="J112" s="95" t="s">
        <v>1948</v>
      </c>
      <c r="K112" s="55" t="s">
        <v>61</v>
      </c>
      <c r="L112" s="55" t="s">
        <v>1141</v>
      </c>
      <c r="M112" s="55" t="s">
        <v>78</v>
      </c>
      <c r="N112" s="55" t="s">
        <v>1135</v>
      </c>
      <c r="O112" s="55" t="s">
        <v>1142</v>
      </c>
      <c r="P112" s="55" t="s">
        <v>110</v>
      </c>
      <c r="Q112" s="67" t="str">
        <f>IFERROR(__xludf.DUMMYFUNCTION("""COMPUTED_VALUE"""),"Japan.giaotiep.M504MES_PTD_Tiktok_NamNH_040925")</f>
        <v>Japan.giaotiep.M504MES_PTD_Tiktok_NamNH_040925</v>
      </c>
      <c r="R112" s="67" t="str">
        <f>IFERROR(__xludf.DUMMYFUNCTION("""COMPUTED_VALUE"""),"NEW_Japan_1840_none_040925")</f>
        <v>NEW_Japan_1840_none_040925</v>
      </c>
      <c r="S112" s="67" t="str">
        <f>IFERROR(__xludf.DUMMYFUNCTION("""COMPUTED_VALUE"""),"saletructiep_Japan.M504MES.1840.giaotiep_THCNGDP_LD153")</f>
        <v>saletructiep_Japan.M504MES.1840.giaotiep_THCNGDP_LD153</v>
      </c>
      <c r="T112" s="107" t="str">
        <f>IFERROR(__xludf.DUMMYFUNCTION("""COMPUTED_VALUE"""),"https://patadovietnam.edu.vn/tienganhgiaotiep_hn/?utm_source=Tiktok&amp;utm_medium=MES&amp;utm_term=NEW_Japan_1840_none_040925&amp;utm_content=saletructiep_Japan.M504MES.1840.giaotiep_THCNGDP_LD153&amp;utm_campaign=Japan.giaotiep.M504MES_PTD_Tiktok_NamNH_040925")</f>
        <v>https://patadovietnam.edu.vn/tienganhgiaotiep_hn/?utm_source=Tiktok&amp;utm_medium=MES&amp;utm_term=NEW_Japan_1840_none_040925&amp;utm_content=saletructiep_Japan.M504MES.1840.giaotiep_THCNGDP_LD153&amp;utm_campaign=Japan.giaotiep.M504MES_PTD_Tiktok_NamNH_040925</v>
      </c>
      <c r="U112" s="118"/>
    </row>
    <row r="113">
      <c r="A113" s="72">
        <v>45910.0</v>
      </c>
      <c r="B113" s="75" t="s">
        <v>1134</v>
      </c>
      <c r="C113" s="67" t="str">
        <f>IFERROR(__xludf.DUMMYFUNCTION("""COMPUTED_VALUE"""),"LD153")</f>
        <v>LD153</v>
      </c>
      <c r="D113" s="55" t="s">
        <v>1135</v>
      </c>
      <c r="E113" s="55" t="s">
        <v>69</v>
      </c>
      <c r="F113" s="55" t="s">
        <v>674</v>
      </c>
      <c r="G113" s="55">
        <v>1840.0</v>
      </c>
      <c r="H113" s="55" t="s">
        <v>1137</v>
      </c>
      <c r="I113" s="115" t="s">
        <v>1275</v>
      </c>
      <c r="J113" s="95" t="s">
        <v>1953</v>
      </c>
      <c r="K113" s="55" t="s">
        <v>61</v>
      </c>
      <c r="L113" s="55" t="s">
        <v>1141</v>
      </c>
      <c r="M113" s="55" t="s">
        <v>78</v>
      </c>
      <c r="N113" s="55" t="s">
        <v>1135</v>
      </c>
      <c r="O113" s="55" t="s">
        <v>1142</v>
      </c>
      <c r="P113" s="55" t="s">
        <v>110</v>
      </c>
      <c r="Q113" s="67" t="str">
        <f>IFERROR(__xludf.DUMMYFUNCTION("""COMPUTED_VALUE"""),"Europe.giaotiep.JHCVS_PTD_Tiktok_NamNH_100925")</f>
        <v>Europe.giaotiep.JHCVS_PTD_Tiktok_NamNH_100925</v>
      </c>
      <c r="R113" s="67" t="str">
        <f>IFERROR(__xludf.DUMMYFUNCTION("""COMPUTED_VALUE"""),"NEW_Europe_1840_none_100925")</f>
        <v>NEW_Europe_1840_none_100925</v>
      </c>
      <c r="S113" s="67" t="str">
        <f>IFERROR(__xludf.DUMMYFUNCTION("""COMPUTED_VALUE"""),"saletructiep_Europe.JHCVS.1840.giaotiep_THCNGDP_LD153")</f>
        <v>saletructiep_Europe.JHCVS.1840.giaotiep_THCNGDP_LD153</v>
      </c>
      <c r="T113" s="107" t="str">
        <f>IFERROR(__xludf.DUMMYFUNCTION("""COMPUTED_VALUE"""),"https://patadovietnam.edu.vn/tienganhgiaotiep_hn/?utm_source=Tiktok&amp;utm_medium=CVS&amp;utm_term=NEW_Europe_1840_none_100925&amp;utm_content=saletructiep_Europe.JHCVS.1840.giaotiep_THCNGDP_LD153&amp;utm_campaign=Europe.giaotiep.JHCVS_PTD_Tiktok_NamNH_100925")</f>
        <v>https://patadovietnam.edu.vn/tienganhgiaotiep_hn/?utm_source=Tiktok&amp;utm_medium=CVS&amp;utm_term=NEW_Europe_1840_none_100925&amp;utm_content=saletructiep_Europe.JHCVS.1840.giaotiep_THCNGDP_LD153&amp;utm_campaign=Europe.giaotiep.JHCVS_PTD_Tiktok_NamNH_100925</v>
      </c>
      <c r="U113" s="118"/>
    </row>
    <row r="114">
      <c r="A114" s="72">
        <v>45910.0</v>
      </c>
      <c r="B114" s="75" t="s">
        <v>1229</v>
      </c>
      <c r="C114" s="67" t="str">
        <f>IFERROR(__xludf.DUMMYFUNCTION("""COMPUTED_VALUE"""),"LD164")</f>
        <v>LD164</v>
      </c>
      <c r="D114" s="55" t="s">
        <v>1135</v>
      </c>
      <c r="E114" s="55" t="s">
        <v>69</v>
      </c>
      <c r="F114" s="55" t="s">
        <v>133</v>
      </c>
      <c r="G114" s="55">
        <v>1840.0</v>
      </c>
      <c r="H114" s="55" t="s">
        <v>1137</v>
      </c>
      <c r="I114" s="115" t="s">
        <v>1962</v>
      </c>
      <c r="J114" s="95" t="s">
        <v>1963</v>
      </c>
      <c r="K114" s="55" t="s">
        <v>61</v>
      </c>
      <c r="L114" s="55" t="s">
        <v>1141</v>
      </c>
      <c r="M114" s="55" t="s">
        <v>78</v>
      </c>
      <c r="N114" s="55" t="s">
        <v>1135</v>
      </c>
      <c r="O114" s="55" t="s">
        <v>1142</v>
      </c>
      <c r="P114" s="55" t="s">
        <v>110</v>
      </c>
      <c r="Q114" s="67" t="str">
        <f>IFERROR(__xludf.DUMMYFUNCTION("""COMPUTED_VALUE"""),"Japan.giaotiep.M393CVS_PTD_Tiktok_NamNH_100925")</f>
        <v>Japan.giaotiep.M393CVS_PTD_Tiktok_NamNH_100925</v>
      </c>
      <c r="R114" s="67" t="str">
        <f>IFERROR(__xludf.DUMMYFUNCTION("""COMPUTED_VALUE"""),"NEW_Japan_1840_none_100925")</f>
        <v>NEW_Japan_1840_none_100925</v>
      </c>
      <c r="S114" s="67" t="str">
        <f>IFERROR(__xludf.DUMMYFUNCTION("""COMPUTED_VALUE"""),"saletructiep_Japan.M393CVS.1840.giaotiep_THCNGDP_LD164")</f>
        <v>saletructiep_Japan.M393CVS.1840.giaotiep_THCNGDP_LD164</v>
      </c>
      <c r="T114" s="107" t="str">
        <f>IFERROR(__xludf.DUMMYFUNCTION("""COMPUTED_VALUE"""),"https://patadovietnam.edu.vn/gtjapan_nhn3/?utm_source=Tiktok&amp;utm_medium=CVS&amp;utm_term=NEW_Japan_1840_none_100925&amp;utm_content=saletructiep_Japan.M393CVS.1840.giaotiep_THCNGDP_LD164&amp;utm_campaign=Japan.giaotiep.M393CVS_PTD_Tiktok_NamNH_100925")</f>
        <v>https://patadovietnam.edu.vn/gtjapan_nhn3/?utm_source=Tiktok&amp;utm_medium=CVS&amp;utm_term=NEW_Japan_1840_none_100925&amp;utm_content=saletructiep_Japan.M393CVS.1840.giaotiep_THCNGDP_LD164&amp;utm_campaign=Japan.giaotiep.M393CVS_PTD_Tiktok_NamNH_100925</v>
      </c>
      <c r="U114" s="118"/>
    </row>
    <row r="115">
      <c r="A115" s="72">
        <v>45915.0</v>
      </c>
      <c r="B115" s="75" t="s">
        <v>1134</v>
      </c>
      <c r="C115" s="67" t="str">
        <f>IFERROR(__xludf.DUMMYFUNCTION("""COMPUTED_VALUE"""),"LD153")</f>
        <v>LD153</v>
      </c>
      <c r="D115" s="55" t="s">
        <v>1135</v>
      </c>
      <c r="E115" s="55" t="s">
        <v>79</v>
      </c>
      <c r="F115" s="55" t="s">
        <v>539</v>
      </c>
      <c r="G115" s="55">
        <v>1841.0</v>
      </c>
      <c r="H115" s="55" t="s">
        <v>1137</v>
      </c>
      <c r="I115" s="115" t="s">
        <v>1968</v>
      </c>
      <c r="J115" s="95" t="s">
        <v>1969</v>
      </c>
      <c r="K115" s="55" t="s">
        <v>61</v>
      </c>
      <c r="L115" s="55" t="s">
        <v>1141</v>
      </c>
      <c r="M115" s="55" t="s">
        <v>78</v>
      </c>
      <c r="N115" s="55" t="s">
        <v>1135</v>
      </c>
      <c r="O115" s="55" t="s">
        <v>1142</v>
      </c>
      <c r="P115" s="55" t="s">
        <v>110</v>
      </c>
      <c r="Q115" s="67" t="str">
        <f>IFERROR(__xludf.DUMMYFUNCTION("""COMPUTED_VALUE"""),"ALL.giaotiep.M529MES_PTD_Tiktok_NamNH_150925")</f>
        <v>ALL.giaotiep.M529MES_PTD_Tiktok_NamNH_150925</v>
      </c>
      <c r="R115" s="67" t="str">
        <f>IFERROR(__xludf.DUMMYFUNCTION("""COMPUTED_VALUE"""),"NEW_ALL_1841_none_150925")</f>
        <v>NEW_ALL_1841_none_150925</v>
      </c>
      <c r="S115" s="67" t="str">
        <f>IFERROR(__xludf.DUMMYFUNCTION("""COMPUTED_VALUE"""),"saletructiep_ALL.M529MES.1840.giaotiep_THCNGDP_LD153")</f>
        <v>saletructiep_ALL.M529MES.1840.giaotiep_THCNGDP_LD153</v>
      </c>
      <c r="T115" s="107" t="str">
        <f>IFERROR(__xludf.DUMMYFUNCTION("""COMPUTED_VALUE"""),"https://patadovietnam.edu.vn/tienganhgiaotiep_hn/?utm_source=Tiktok&amp;utm_medium=MES&amp;utm_term=NEW_ALL_1841_none_150925&amp;utm_content=saletructiep_ALL.M529MES.1840.giaotiep_THCNGDP_LD153&amp;utm_campaign=ALL.giaotiep.M529MES_PTD_Tiktok_NamNH_150925")</f>
        <v>https://patadovietnam.edu.vn/tienganhgiaotiep_hn/?utm_source=Tiktok&amp;utm_medium=MES&amp;utm_term=NEW_ALL_1841_none_150925&amp;utm_content=saletructiep_ALL.M529MES.1840.giaotiep_THCNGDP_LD153&amp;utm_campaign=ALL.giaotiep.M529MES_PTD_Tiktok_NamNH_150925</v>
      </c>
      <c r="U115" s="118"/>
    </row>
    <row r="116">
      <c r="A116" s="72">
        <v>45915.0</v>
      </c>
      <c r="B116" s="75" t="s">
        <v>1134</v>
      </c>
      <c r="C116" s="67" t="str">
        <f>IFERROR(__xludf.DUMMYFUNCTION("""COMPUTED_VALUE"""),"LD153")</f>
        <v>LD153</v>
      </c>
      <c r="D116" s="55" t="s">
        <v>1135</v>
      </c>
      <c r="E116" s="55" t="s">
        <v>79</v>
      </c>
      <c r="F116" s="55" t="s">
        <v>674</v>
      </c>
      <c r="G116" s="55">
        <v>1841.0</v>
      </c>
      <c r="H116" s="55" t="s">
        <v>1137</v>
      </c>
      <c r="I116" s="115" t="s">
        <v>1974</v>
      </c>
      <c r="J116" s="95" t="s">
        <v>1975</v>
      </c>
      <c r="K116" s="55" t="s">
        <v>61</v>
      </c>
      <c r="L116" s="55" t="s">
        <v>1141</v>
      </c>
      <c r="M116" s="55" t="s">
        <v>78</v>
      </c>
      <c r="N116" s="55" t="s">
        <v>1135</v>
      </c>
      <c r="O116" s="55" t="s">
        <v>1142</v>
      </c>
      <c r="P116" s="55" t="s">
        <v>110</v>
      </c>
      <c r="Q116" s="67" t="str">
        <f>IFERROR(__xludf.DUMMYFUNCTION("""COMPUTED_VALUE"""),"Europe.giaotiep.M529MES_PTD_Tiktok_NamNH_150925")</f>
        <v>Europe.giaotiep.M529MES_PTD_Tiktok_NamNH_150925</v>
      </c>
      <c r="R116" s="67" t="str">
        <f>IFERROR(__xludf.DUMMYFUNCTION("""COMPUTED_VALUE"""),"NEW_Europe_1841_none_150925")</f>
        <v>NEW_Europe_1841_none_150925</v>
      </c>
      <c r="S116" s="67" t="str">
        <f>IFERROR(__xludf.DUMMYFUNCTION("""COMPUTED_VALUE"""),"saletructiep_Europe.M529MES.1840.giaotiep_THCNGDP_LD153")</f>
        <v>saletructiep_Europe.M529MES.1840.giaotiep_THCNGDP_LD153</v>
      </c>
      <c r="T116" s="107" t="str">
        <f>IFERROR(__xludf.DUMMYFUNCTION("""COMPUTED_VALUE"""),"https://patadovietnam.edu.vn/tienganhgiaotiep_hn/?utm_source=Tiktok&amp;utm_medium=MES&amp;utm_term=NEW_Europe_1841_none_150925&amp;utm_content=saletructiep_Europe.M529MES.1840.giaotiep_THCNGDP_LD153&amp;utm_campaign=Europe.giaotiep.M529MES_PTD_Tiktok_NamNH_150925")</f>
        <v>https://patadovietnam.edu.vn/tienganhgiaotiep_hn/?utm_source=Tiktok&amp;utm_medium=MES&amp;utm_term=NEW_Europe_1841_none_150925&amp;utm_content=saletructiep_Europe.M529MES.1840.giaotiep_THCNGDP_LD153&amp;utm_campaign=Europe.giaotiep.M529MES_PTD_Tiktok_NamNH_150925</v>
      </c>
      <c r="U116" s="118"/>
    </row>
    <row r="117">
      <c r="A117" s="72">
        <v>45915.0</v>
      </c>
      <c r="B117" s="75" t="s">
        <v>1134</v>
      </c>
      <c r="C117" s="67" t="str">
        <f>IFERROR(__xludf.DUMMYFUNCTION("""COMPUTED_VALUE"""),"LD153")</f>
        <v>LD153</v>
      </c>
      <c r="D117" s="55" t="s">
        <v>1135</v>
      </c>
      <c r="E117" s="55" t="s">
        <v>79</v>
      </c>
      <c r="F117" s="55" t="s">
        <v>133</v>
      </c>
      <c r="G117" s="55">
        <v>1841.0</v>
      </c>
      <c r="H117" s="55" t="s">
        <v>1137</v>
      </c>
      <c r="I117" s="115" t="s">
        <v>1985</v>
      </c>
      <c r="J117" s="95" t="s">
        <v>1986</v>
      </c>
      <c r="K117" s="55" t="s">
        <v>61</v>
      </c>
      <c r="L117" s="55" t="s">
        <v>1141</v>
      </c>
      <c r="M117" s="55" t="s">
        <v>78</v>
      </c>
      <c r="N117" s="55" t="s">
        <v>1135</v>
      </c>
      <c r="O117" s="55" t="s">
        <v>1142</v>
      </c>
      <c r="P117" s="55" t="s">
        <v>110</v>
      </c>
      <c r="Q117" s="67" t="str">
        <f>IFERROR(__xludf.DUMMYFUNCTION("""COMPUTED_VALUE"""),"Japan.giaotiep.M529MES_PTD_Tiktok_NamNH_150925")</f>
        <v>Japan.giaotiep.M529MES_PTD_Tiktok_NamNH_150925</v>
      </c>
      <c r="R117" s="67" t="str">
        <f>IFERROR(__xludf.DUMMYFUNCTION("""COMPUTED_VALUE"""),"NEW_Japan_1841_none_150925")</f>
        <v>NEW_Japan_1841_none_150925</v>
      </c>
      <c r="S117" s="67" t="str">
        <f>IFERROR(__xludf.DUMMYFUNCTION("""COMPUTED_VALUE"""),"saletructiep_Japan.M529MES.1840.giaotiep_THCNGDP_LD153")</f>
        <v>saletructiep_Japan.M529MES.1840.giaotiep_THCNGDP_LD153</v>
      </c>
      <c r="T117" s="107" t="str">
        <f>IFERROR(__xludf.DUMMYFUNCTION("""COMPUTED_VALUE"""),"https://patadovietnam.edu.vn/tienganhgiaotiep_hn/?utm_source=Tiktok&amp;utm_medium=MES&amp;utm_term=NEW_Japan_1841_none_150925&amp;utm_content=saletructiep_Japan.M529MES.1840.giaotiep_THCNGDP_LD153&amp;utm_campaign=Japan.giaotiep.M529MES_PTD_Tiktok_NamNH_150925")</f>
        <v>https://patadovietnam.edu.vn/tienganhgiaotiep_hn/?utm_source=Tiktok&amp;utm_medium=MES&amp;utm_term=NEW_Japan_1841_none_150925&amp;utm_content=saletructiep_Japan.M529MES.1840.giaotiep_THCNGDP_LD153&amp;utm_campaign=Japan.giaotiep.M529MES_PTD_Tiktok_NamNH_150925</v>
      </c>
      <c r="U117" s="118"/>
    </row>
    <row r="118">
      <c r="A118" s="72">
        <v>45915.0</v>
      </c>
      <c r="B118" s="75" t="s">
        <v>1134</v>
      </c>
      <c r="C118" s="67" t="str">
        <f>IFERROR(__xludf.DUMMYFUNCTION("""COMPUTED_VALUE"""),"LD153")</f>
        <v>LD153</v>
      </c>
      <c r="D118" s="55" t="s">
        <v>1135</v>
      </c>
      <c r="E118" s="55" t="s">
        <v>79</v>
      </c>
      <c r="F118" s="55" t="s">
        <v>133</v>
      </c>
      <c r="G118" s="55">
        <v>1841.0</v>
      </c>
      <c r="H118" s="55" t="s">
        <v>1137</v>
      </c>
      <c r="I118" s="115" t="s">
        <v>1991</v>
      </c>
      <c r="J118" s="95" t="s">
        <v>1992</v>
      </c>
      <c r="K118" s="55" t="s">
        <v>61</v>
      </c>
      <c r="L118" s="55" t="s">
        <v>1141</v>
      </c>
      <c r="M118" s="55" t="s">
        <v>78</v>
      </c>
      <c r="N118" s="55" t="s">
        <v>1135</v>
      </c>
      <c r="O118" s="55" t="s">
        <v>1142</v>
      </c>
      <c r="P118" s="55" t="s">
        <v>110</v>
      </c>
      <c r="Q118" s="67" t="str">
        <f>IFERROR(__xludf.DUMMYFUNCTION("""COMPUTED_VALUE"""),"Japan.giaotiep.M529MES2_PTD_Tiktok_NamNH_150925")</f>
        <v>Japan.giaotiep.M529MES2_PTD_Tiktok_NamNH_150925</v>
      </c>
      <c r="R118" s="67" t="str">
        <f>IFERROR(__xludf.DUMMYFUNCTION("""COMPUTED_VALUE"""),"NEW_Japan_1841_none_150925")</f>
        <v>NEW_Japan_1841_none_150925</v>
      </c>
      <c r="S118" s="67" t="str">
        <f>IFERROR(__xludf.DUMMYFUNCTION("""COMPUTED_VALUE"""),"saletructiep_Japan.M529MES2.1840.giaotiep_THCNGDP_LD153")</f>
        <v>saletructiep_Japan.M529MES2.1840.giaotiep_THCNGDP_LD153</v>
      </c>
      <c r="T118" s="107" t="str">
        <f>IFERROR(__xludf.DUMMYFUNCTION("""COMPUTED_VALUE"""),"https://patadovietnam.edu.vn/tienganhgiaotiep_hn/?utm_source=Tiktok&amp;utm_medium=MES&amp;utm_term=NEW_Japan_1841_none_150925&amp;utm_content=saletructiep_Japan.M529MES2.1840.giaotiep_THCNGDP_LD153&amp;utm_campaign=Japan.giaotiep.M529MES2_PTD_Tiktok_NamNH_150925")</f>
        <v>https://patadovietnam.edu.vn/tienganhgiaotiep_hn/?utm_source=Tiktok&amp;utm_medium=MES&amp;utm_term=NEW_Japan_1841_none_150925&amp;utm_content=saletructiep_Japan.M529MES2.1840.giaotiep_THCNGDP_LD153&amp;utm_campaign=Japan.giaotiep.M529MES2_PTD_Tiktok_NamNH_150925</v>
      </c>
      <c r="U118" s="118"/>
    </row>
    <row r="119">
      <c r="A119" s="72">
        <v>45915.0</v>
      </c>
      <c r="B119" s="75" t="s">
        <v>1134</v>
      </c>
      <c r="C119" s="67" t="str">
        <f>IFERROR(__xludf.DUMMYFUNCTION("""COMPUTED_VALUE"""),"LD153")</f>
        <v>LD153</v>
      </c>
      <c r="D119" s="55" t="s">
        <v>1135</v>
      </c>
      <c r="E119" s="55" t="s">
        <v>79</v>
      </c>
      <c r="F119" s="55" t="s">
        <v>625</v>
      </c>
      <c r="G119" s="55">
        <v>1841.0</v>
      </c>
      <c r="H119" s="55" t="s">
        <v>1137</v>
      </c>
      <c r="I119" s="115" t="s">
        <v>1999</v>
      </c>
      <c r="J119" s="95" t="s">
        <v>2000</v>
      </c>
      <c r="K119" s="55" t="s">
        <v>61</v>
      </c>
      <c r="L119" s="55" t="s">
        <v>1141</v>
      </c>
      <c r="M119" s="55" t="s">
        <v>78</v>
      </c>
      <c r="N119" s="55" t="s">
        <v>1135</v>
      </c>
      <c r="O119" s="55" t="s">
        <v>1142</v>
      </c>
      <c r="P119" s="55" t="s">
        <v>110</v>
      </c>
      <c r="Q119" s="67" t="str">
        <f>IFERROR(__xludf.DUMMYFUNCTION("""COMPUTED_VALUE"""),"KoreaSouth.giaotiep.M529MES_PTD_Tiktok_NamNH_150925")</f>
        <v>KoreaSouth.giaotiep.M529MES_PTD_Tiktok_NamNH_150925</v>
      </c>
      <c r="R119" s="67" t="str">
        <f>IFERROR(__xludf.DUMMYFUNCTION("""COMPUTED_VALUE"""),"NEW_KoreaSouth_1841_none_150925")</f>
        <v>NEW_KoreaSouth_1841_none_150925</v>
      </c>
      <c r="S119" s="67" t="str">
        <f>IFERROR(__xludf.DUMMYFUNCTION("""COMPUTED_VALUE"""),"saletructiep_KoreaSouth.M529MES.1840.giaotiep_THCNGDP_LD153")</f>
        <v>saletructiep_KoreaSouth.M529MES.1840.giaotiep_THCNGDP_LD153</v>
      </c>
      <c r="T119" s="107" t="str">
        <f>IFERROR(__xludf.DUMMYFUNCTION("""COMPUTED_VALUE"""),"https://patadovietnam.edu.vn/tienganhgiaotiep_hn/?utm_source=Tiktok&amp;utm_medium=MES&amp;utm_term=NEW_KoreaSouth_1841_none_150925&amp;utm_content=saletructiep_KoreaSouth.M529MES.1840.giaotiep_THCNGDP_LD153&amp;utm_campaign=KoreaSouth.giaotiep.M529MES_PTD_Tiktok_NamNH_1"&amp;"50925")</f>
        <v>https://patadovietnam.edu.vn/tienganhgiaotiep_hn/?utm_source=Tiktok&amp;utm_medium=MES&amp;utm_term=NEW_KoreaSouth_1841_none_150925&amp;utm_content=saletructiep_KoreaSouth.M529MES.1840.giaotiep_THCNGDP_LD153&amp;utm_campaign=KoreaSouth.giaotiep.M529MES_PTD_Tiktok_NamNH_150925</v>
      </c>
      <c r="U119" s="118"/>
    </row>
    <row r="120">
      <c r="A120" s="72">
        <v>45917.0</v>
      </c>
      <c r="B120" s="75" t="s">
        <v>1134</v>
      </c>
      <c r="C120" s="67" t="str">
        <f>IFERROR(__xludf.DUMMYFUNCTION("""COMPUTED_VALUE"""),"LD153")</f>
        <v>LD153</v>
      </c>
      <c r="D120" s="55" t="s">
        <v>1135</v>
      </c>
      <c r="E120" s="55" t="s">
        <v>79</v>
      </c>
      <c r="F120" s="55" t="s">
        <v>133</v>
      </c>
      <c r="G120" s="55">
        <v>1841.0</v>
      </c>
      <c r="H120" s="55" t="s">
        <v>1137</v>
      </c>
      <c r="I120" s="115" t="s">
        <v>2019</v>
      </c>
      <c r="J120" s="95" t="s">
        <v>2020</v>
      </c>
      <c r="K120" s="55" t="s">
        <v>61</v>
      </c>
      <c r="L120" s="55" t="s">
        <v>1141</v>
      </c>
      <c r="M120" s="55" t="s">
        <v>78</v>
      </c>
      <c r="N120" s="55" t="s">
        <v>1135</v>
      </c>
      <c r="O120" s="55" t="s">
        <v>1142</v>
      </c>
      <c r="P120" s="55" t="s">
        <v>110</v>
      </c>
      <c r="Q120" s="67" t="str">
        <f>IFERROR(__xludf.DUMMYFUNCTION("""COMPUTED_VALUE"""),"Japan.giaotiep.M534MES_PTD_Tiktok_NamNH_170925")</f>
        <v>Japan.giaotiep.M534MES_PTD_Tiktok_NamNH_170925</v>
      </c>
      <c r="R120" s="67" t="str">
        <f>IFERROR(__xludf.DUMMYFUNCTION("""COMPUTED_VALUE"""),"NEW_Japan_1841_none_170925")</f>
        <v>NEW_Japan_1841_none_170925</v>
      </c>
      <c r="S120" s="67" t="str">
        <f>IFERROR(__xludf.DUMMYFUNCTION("""COMPUTED_VALUE"""),"saletructiep_Japan.M534MES.1840.giaotiep_THCNGDP_LD153")</f>
        <v>saletructiep_Japan.M534MES.1840.giaotiep_THCNGDP_LD153</v>
      </c>
      <c r="T120" s="107" t="str">
        <f>IFERROR(__xludf.DUMMYFUNCTION("""COMPUTED_VALUE"""),"https://patadovietnam.edu.vn/tienganhgiaotiep_hn/?utm_source=Tiktok&amp;utm_medium=MES&amp;utm_term=NEW_Japan_1841_none_170925&amp;utm_content=saletructiep_Japan.M534MES.1840.giaotiep_THCNGDP_LD153&amp;utm_campaign=Japan.giaotiep.M534MES_PTD_Tiktok_NamNH_170925")</f>
        <v>https://patadovietnam.edu.vn/tienganhgiaotiep_hn/?utm_source=Tiktok&amp;utm_medium=MES&amp;utm_term=NEW_Japan_1841_none_170925&amp;utm_content=saletructiep_Japan.M534MES.1840.giaotiep_THCNGDP_LD153&amp;utm_campaign=Japan.giaotiep.M534MES_PTD_Tiktok_NamNH_170925</v>
      </c>
      <c r="U120" s="118"/>
    </row>
    <row r="121">
      <c r="A121" s="72">
        <v>45917.0</v>
      </c>
      <c r="B121" s="75" t="s">
        <v>1134</v>
      </c>
      <c r="C121" s="67" t="str">
        <f>IFERROR(__xludf.DUMMYFUNCTION("""COMPUTED_VALUE"""),"LD153")</f>
        <v>LD153</v>
      </c>
      <c r="D121" s="55" t="s">
        <v>1135</v>
      </c>
      <c r="E121" s="55" t="s">
        <v>79</v>
      </c>
      <c r="F121" s="55" t="s">
        <v>674</v>
      </c>
      <c r="G121" s="55">
        <v>1841.0</v>
      </c>
      <c r="H121" s="55" t="s">
        <v>1137</v>
      </c>
      <c r="I121" s="115" t="s">
        <v>2025</v>
      </c>
      <c r="J121" s="95" t="s">
        <v>2026</v>
      </c>
      <c r="K121" s="55" t="s">
        <v>61</v>
      </c>
      <c r="L121" s="55" t="s">
        <v>1141</v>
      </c>
      <c r="M121" s="55" t="s">
        <v>78</v>
      </c>
      <c r="N121" s="55" t="s">
        <v>1135</v>
      </c>
      <c r="O121" s="55" t="s">
        <v>1142</v>
      </c>
      <c r="P121" s="55" t="s">
        <v>110</v>
      </c>
      <c r="Q121" s="67" t="str">
        <f>IFERROR(__xludf.DUMMYFUNCTION("""COMPUTED_VALUE"""),"Europe.giaotiep.M534MES_PTD_Tiktok_NamNH_170925")</f>
        <v>Europe.giaotiep.M534MES_PTD_Tiktok_NamNH_170925</v>
      </c>
      <c r="R121" s="67" t="str">
        <f>IFERROR(__xludf.DUMMYFUNCTION("""COMPUTED_VALUE"""),"NEW_Europe_1841_none_170925")</f>
        <v>NEW_Europe_1841_none_170925</v>
      </c>
      <c r="S121" s="67" t="str">
        <f>IFERROR(__xludf.DUMMYFUNCTION("""COMPUTED_VALUE"""),"saletructiep_Europe.M534MES.1840.giaotiep_THCNGDP_LD153")</f>
        <v>saletructiep_Europe.M534MES.1840.giaotiep_THCNGDP_LD153</v>
      </c>
      <c r="T121" s="107" t="str">
        <f>IFERROR(__xludf.DUMMYFUNCTION("""COMPUTED_VALUE"""),"https://patadovietnam.edu.vn/tienganhgiaotiep_hn/?utm_source=Tiktok&amp;utm_medium=MES&amp;utm_term=NEW_Europe_1841_none_170925&amp;utm_content=saletructiep_Europe.M534MES.1840.giaotiep_THCNGDP_LD153&amp;utm_campaign=Europe.giaotiep.M534MES_PTD_Tiktok_NamNH_170925")</f>
        <v>https://patadovietnam.edu.vn/tienganhgiaotiep_hn/?utm_source=Tiktok&amp;utm_medium=MES&amp;utm_term=NEW_Europe_1841_none_170925&amp;utm_content=saletructiep_Europe.M534MES.1840.giaotiep_THCNGDP_LD153&amp;utm_campaign=Europe.giaotiep.M534MES_PTD_Tiktok_NamNH_170925</v>
      </c>
      <c r="U121" s="118"/>
    </row>
    <row r="122">
      <c r="A122" s="72">
        <v>45917.0</v>
      </c>
      <c r="B122" s="75" t="s">
        <v>1134</v>
      </c>
      <c r="C122" s="67" t="str">
        <f>IFERROR(__xludf.DUMMYFUNCTION("""COMPUTED_VALUE"""),"LD153")</f>
        <v>LD153</v>
      </c>
      <c r="D122" s="55" t="s">
        <v>1135</v>
      </c>
      <c r="E122" s="55" t="s">
        <v>79</v>
      </c>
      <c r="F122" s="55" t="s">
        <v>539</v>
      </c>
      <c r="G122" s="55">
        <v>1841.0</v>
      </c>
      <c r="H122" s="55" t="s">
        <v>1137</v>
      </c>
      <c r="I122" s="115" t="s">
        <v>2034</v>
      </c>
      <c r="J122" s="95" t="s">
        <v>2036</v>
      </c>
      <c r="K122" s="55" t="s">
        <v>61</v>
      </c>
      <c r="L122" s="55" t="s">
        <v>1141</v>
      </c>
      <c r="M122" s="55" t="s">
        <v>78</v>
      </c>
      <c r="N122" s="55" t="s">
        <v>1135</v>
      </c>
      <c r="O122" s="55" t="s">
        <v>1142</v>
      </c>
      <c r="P122" s="55" t="s">
        <v>110</v>
      </c>
      <c r="Q122" s="67" t="str">
        <f>IFERROR(__xludf.DUMMYFUNCTION("""COMPUTED_VALUE"""),"ALL.giaotiep.M534MES_PTD_Tiktok_NamNH_170925")</f>
        <v>ALL.giaotiep.M534MES_PTD_Tiktok_NamNH_170925</v>
      </c>
      <c r="R122" s="67" t="str">
        <f>IFERROR(__xludf.DUMMYFUNCTION("""COMPUTED_VALUE"""),"NEW_ALL_1841_none_170925")</f>
        <v>NEW_ALL_1841_none_170925</v>
      </c>
      <c r="S122" s="67" t="str">
        <f>IFERROR(__xludf.DUMMYFUNCTION("""COMPUTED_VALUE"""),"saletructiep_ALL.M534MES.1840.giaotiep_THCNGDP_LD153")</f>
        <v>saletructiep_ALL.M534MES.1840.giaotiep_THCNGDP_LD153</v>
      </c>
      <c r="T122" s="107" t="str">
        <f>IFERROR(__xludf.DUMMYFUNCTION("""COMPUTED_VALUE"""),"https://patadovietnam.edu.vn/tienganhgiaotiep_hn/?utm_source=Tiktok&amp;utm_medium=MES&amp;utm_term=NEW_ALL_1841_none_170925&amp;utm_content=saletructiep_ALL.M534MES.1840.giaotiep_THCNGDP_LD153&amp;utm_campaign=ALL.giaotiep.M534MES_PTD_Tiktok_NamNH_170925")</f>
        <v>https://patadovietnam.edu.vn/tienganhgiaotiep_hn/?utm_source=Tiktok&amp;utm_medium=MES&amp;utm_term=NEW_ALL_1841_none_170925&amp;utm_content=saletructiep_ALL.M534MES.1840.giaotiep_THCNGDP_LD153&amp;utm_campaign=ALL.giaotiep.M534MES_PTD_Tiktok_NamNH_170925</v>
      </c>
      <c r="U122" s="118"/>
    </row>
    <row r="123">
      <c r="A123" s="72">
        <v>45918.0</v>
      </c>
      <c r="B123" s="75" t="s">
        <v>1134</v>
      </c>
      <c r="C123" s="67" t="str">
        <f>IFERROR(__xludf.DUMMYFUNCTION("""COMPUTED_VALUE"""),"LD153")</f>
        <v>LD153</v>
      </c>
      <c r="D123" s="55" t="s">
        <v>1135</v>
      </c>
      <c r="E123" s="55" t="s">
        <v>79</v>
      </c>
      <c r="F123" s="55" t="s">
        <v>539</v>
      </c>
      <c r="G123" s="55">
        <v>1841.0</v>
      </c>
      <c r="H123" s="55" t="s">
        <v>1137</v>
      </c>
      <c r="I123" s="115" t="s">
        <v>2039</v>
      </c>
      <c r="J123" s="95" t="s">
        <v>2040</v>
      </c>
      <c r="K123" s="55" t="s">
        <v>61</v>
      </c>
      <c r="L123" s="55" t="s">
        <v>1141</v>
      </c>
      <c r="M123" s="55" t="s">
        <v>78</v>
      </c>
      <c r="N123" s="55" t="s">
        <v>1135</v>
      </c>
      <c r="O123" s="55" t="s">
        <v>1142</v>
      </c>
      <c r="P123" s="55" t="s">
        <v>110</v>
      </c>
      <c r="Q123" s="67" t="str">
        <f>IFERROR(__xludf.DUMMYFUNCTION("""COMPUTED_VALUE"""),"ALL.giaotiep.M526MES_PTD_Tiktok_NamNH_180925")</f>
        <v>ALL.giaotiep.M526MES_PTD_Tiktok_NamNH_180925</v>
      </c>
      <c r="R123" s="67" t="str">
        <f>IFERROR(__xludf.DUMMYFUNCTION("""COMPUTED_VALUE"""),"NEW_ALL_1841_none_180925")</f>
        <v>NEW_ALL_1841_none_180925</v>
      </c>
      <c r="S123" s="67" t="str">
        <f>IFERROR(__xludf.DUMMYFUNCTION("""COMPUTED_VALUE"""),"saletructiep_ALL.M526MES.1840.giaotiep_THCNGDP_LD153")</f>
        <v>saletructiep_ALL.M526MES.1840.giaotiep_THCNGDP_LD153</v>
      </c>
      <c r="T123" s="107" t="str">
        <f>IFERROR(__xludf.DUMMYFUNCTION("""COMPUTED_VALUE"""),"https://patadovietnam.edu.vn/tienganhgiaotiep_hn/?utm_source=Tiktok&amp;utm_medium=MES&amp;utm_term=NEW_ALL_1841_none_180925&amp;utm_content=saletructiep_ALL.M526MES.1840.giaotiep_THCNGDP_LD153&amp;utm_campaign=ALL.giaotiep.M526MES_PTD_Tiktok_NamNH_180925")</f>
        <v>https://patadovietnam.edu.vn/tienganhgiaotiep_hn/?utm_source=Tiktok&amp;utm_medium=MES&amp;utm_term=NEW_ALL_1841_none_180925&amp;utm_content=saletructiep_ALL.M526MES.1840.giaotiep_THCNGDP_LD153&amp;utm_campaign=ALL.giaotiep.M526MES_PTD_Tiktok_NamNH_180925</v>
      </c>
      <c r="U123" s="118"/>
    </row>
    <row r="124">
      <c r="A124" s="72">
        <v>45917.0</v>
      </c>
      <c r="B124" s="75" t="s">
        <v>1134</v>
      </c>
      <c r="C124" s="67" t="str">
        <f>IFERROR(__xludf.DUMMYFUNCTION("""COMPUTED_VALUE"""),"LD153")</f>
        <v>LD153</v>
      </c>
      <c r="D124" s="55" t="s">
        <v>1135</v>
      </c>
      <c r="E124" s="55" t="s">
        <v>79</v>
      </c>
      <c r="F124" s="55" t="s">
        <v>133</v>
      </c>
      <c r="G124" s="55">
        <v>1841.0</v>
      </c>
      <c r="H124" s="55" t="s">
        <v>1137</v>
      </c>
      <c r="I124" s="115" t="s">
        <v>2046</v>
      </c>
      <c r="J124" s="95" t="s">
        <v>2047</v>
      </c>
      <c r="K124" s="55" t="s">
        <v>61</v>
      </c>
      <c r="L124" s="55" t="s">
        <v>1141</v>
      </c>
      <c r="M124" s="55" t="s">
        <v>78</v>
      </c>
      <c r="N124" s="55" t="s">
        <v>1135</v>
      </c>
      <c r="O124" s="55" t="s">
        <v>1142</v>
      </c>
      <c r="P124" s="55" t="s">
        <v>110</v>
      </c>
      <c r="Q124" s="67" t="str">
        <f>IFERROR(__xludf.DUMMYFUNCTION("""COMPUTED_VALUE"""),"Japan.giaotiep.M526MES_PTD_Tiktok_NamNH_170925")</f>
        <v>Japan.giaotiep.M526MES_PTD_Tiktok_NamNH_170925</v>
      </c>
      <c r="R124" s="67" t="str">
        <f>IFERROR(__xludf.DUMMYFUNCTION("""COMPUTED_VALUE"""),"NEW_Japan_1841_none_170925")</f>
        <v>NEW_Japan_1841_none_170925</v>
      </c>
      <c r="S124" s="67" t="str">
        <f>IFERROR(__xludf.DUMMYFUNCTION("""COMPUTED_VALUE"""),"saletructiep_Japan.M526MES.1840.giaotiep_THCNGDP_LD153")</f>
        <v>saletructiep_Japan.M526MES.1840.giaotiep_THCNGDP_LD153</v>
      </c>
      <c r="T124" s="107" t="str">
        <f>IFERROR(__xludf.DUMMYFUNCTION("""COMPUTED_VALUE"""),"https://patadovietnam.edu.vn/tienganhgiaotiep_hn/?utm_source=Tiktok&amp;utm_medium=MES&amp;utm_term=NEW_Japan_1841_none_170925&amp;utm_content=saletructiep_Japan.M526MES.1840.giaotiep_THCNGDP_LD153&amp;utm_campaign=Japan.giaotiep.M526MES_PTD_Tiktok_NamNH_170925")</f>
        <v>https://patadovietnam.edu.vn/tienganhgiaotiep_hn/?utm_source=Tiktok&amp;utm_medium=MES&amp;utm_term=NEW_Japan_1841_none_170925&amp;utm_content=saletructiep_Japan.M526MES.1840.giaotiep_THCNGDP_LD153&amp;utm_campaign=Japan.giaotiep.M526MES_PTD_Tiktok_NamNH_170925</v>
      </c>
      <c r="U124" s="118"/>
    </row>
    <row r="125">
      <c r="A125" s="72">
        <v>45917.0</v>
      </c>
      <c r="B125" s="75" t="s">
        <v>1134</v>
      </c>
      <c r="C125" s="67" t="str">
        <f>IFERROR(__xludf.DUMMYFUNCTION("""COMPUTED_VALUE"""),"LD153")</f>
        <v>LD153</v>
      </c>
      <c r="D125" s="55" t="s">
        <v>1135</v>
      </c>
      <c r="E125" s="55" t="s">
        <v>79</v>
      </c>
      <c r="F125" s="55" t="s">
        <v>674</v>
      </c>
      <c r="G125" s="55">
        <v>1841.0</v>
      </c>
      <c r="H125" s="55" t="s">
        <v>1137</v>
      </c>
      <c r="I125" s="115" t="s">
        <v>2054</v>
      </c>
      <c r="J125" s="95" t="s">
        <v>2055</v>
      </c>
      <c r="K125" s="55" t="s">
        <v>61</v>
      </c>
      <c r="L125" s="55" t="s">
        <v>1141</v>
      </c>
      <c r="M125" s="55" t="s">
        <v>78</v>
      </c>
      <c r="N125" s="55" t="s">
        <v>1135</v>
      </c>
      <c r="O125" s="55" t="s">
        <v>1142</v>
      </c>
      <c r="P125" s="55" t="s">
        <v>110</v>
      </c>
      <c r="Q125" s="67" t="str">
        <f>IFERROR(__xludf.DUMMYFUNCTION("""COMPUTED_VALUE"""),"Europe.giaotiep.M526MES_PTD_Tiktok_NamNH_170925")</f>
        <v>Europe.giaotiep.M526MES_PTD_Tiktok_NamNH_170925</v>
      </c>
      <c r="R125" s="67" t="str">
        <f>IFERROR(__xludf.DUMMYFUNCTION("""COMPUTED_VALUE"""),"NEW_Europe_1841_none_170925")</f>
        <v>NEW_Europe_1841_none_170925</v>
      </c>
      <c r="S125" s="67" t="str">
        <f>IFERROR(__xludf.DUMMYFUNCTION("""COMPUTED_VALUE"""),"saletructiep_Europe.M526MES.1840.giaotiep_THCNGDP_LD153")</f>
        <v>saletructiep_Europe.M526MES.1840.giaotiep_THCNGDP_LD153</v>
      </c>
      <c r="T125" s="107" t="str">
        <f>IFERROR(__xludf.DUMMYFUNCTION("""COMPUTED_VALUE"""),"https://patadovietnam.edu.vn/tienganhgiaotiep_hn/?utm_source=Tiktok&amp;utm_medium=MES&amp;utm_term=NEW_Europe_1841_none_170925&amp;utm_content=saletructiep_Europe.M526MES.1840.giaotiep_THCNGDP_LD153&amp;utm_campaign=Europe.giaotiep.M526MES_PTD_Tiktok_NamNH_170925")</f>
        <v>https://patadovietnam.edu.vn/tienganhgiaotiep_hn/?utm_source=Tiktok&amp;utm_medium=MES&amp;utm_term=NEW_Europe_1841_none_170925&amp;utm_content=saletructiep_Europe.M526MES.1840.giaotiep_THCNGDP_LD153&amp;utm_campaign=Europe.giaotiep.M526MES_PTD_Tiktok_NamNH_170925</v>
      </c>
      <c r="U125" s="118"/>
    </row>
    <row r="126">
      <c r="A126" s="72">
        <v>45919.0</v>
      </c>
      <c r="B126" s="75" t="s">
        <v>1134</v>
      </c>
      <c r="C126" s="67" t="str">
        <f>IFERROR(__xludf.DUMMYFUNCTION("""COMPUTED_VALUE"""),"LD153")</f>
        <v>LD153</v>
      </c>
      <c r="D126" s="55" t="s">
        <v>1135</v>
      </c>
      <c r="E126" s="55" t="s">
        <v>79</v>
      </c>
      <c r="F126" s="55" t="s">
        <v>539</v>
      </c>
      <c r="G126" s="55">
        <v>1841.0</v>
      </c>
      <c r="H126" s="55" t="s">
        <v>1137</v>
      </c>
      <c r="I126" s="115" t="s">
        <v>2057</v>
      </c>
      <c r="J126" s="95" t="s">
        <v>2058</v>
      </c>
      <c r="K126" s="55" t="s">
        <v>61</v>
      </c>
      <c r="L126" s="55" t="s">
        <v>1141</v>
      </c>
      <c r="M126" s="55" t="s">
        <v>78</v>
      </c>
      <c r="N126" s="55" t="s">
        <v>1135</v>
      </c>
      <c r="O126" s="55" t="s">
        <v>1142</v>
      </c>
      <c r="P126" s="55" t="s">
        <v>110</v>
      </c>
      <c r="Q126" s="67" t="str">
        <f>IFERROR(__xludf.DUMMYFUNCTION("""COMPUTED_VALUE"""),"ALL.giaotiep.M526MES2_PTD_Tiktok_NamNH_190925")</f>
        <v>ALL.giaotiep.M526MES2_PTD_Tiktok_NamNH_190925</v>
      </c>
      <c r="R126" s="67" t="str">
        <f>IFERROR(__xludf.DUMMYFUNCTION("""COMPUTED_VALUE"""),"NEW_ALL_1841_none_190925")</f>
        <v>NEW_ALL_1841_none_190925</v>
      </c>
      <c r="S126" s="67" t="str">
        <f>IFERROR(__xludf.DUMMYFUNCTION("""COMPUTED_VALUE"""),"saletructiep_ALL.M526MES2.1840.giaotiep_THCNGDP_LD153")</f>
        <v>saletructiep_ALL.M526MES2.1840.giaotiep_THCNGDP_LD153</v>
      </c>
      <c r="T126" s="107" t="str">
        <f>IFERROR(__xludf.DUMMYFUNCTION("""COMPUTED_VALUE"""),"https://patadovietnam.edu.vn/tienganhgiaotiep_hn/?utm_source=Tiktok&amp;utm_medium=MES&amp;utm_term=NEW_ALL_1841_none_190925&amp;utm_content=saletructiep_ALL.M526MES2.1840.giaotiep_THCNGDP_LD153&amp;utm_campaign=ALL.giaotiep.M526MES2_PTD_Tiktok_NamNH_190925")</f>
        <v>https://patadovietnam.edu.vn/tienganhgiaotiep_hn/?utm_source=Tiktok&amp;utm_medium=MES&amp;utm_term=NEW_ALL_1841_none_190925&amp;utm_content=saletructiep_ALL.M526MES2.1840.giaotiep_THCNGDP_LD153&amp;utm_campaign=ALL.giaotiep.M526MES2_PTD_Tiktok_NamNH_190925</v>
      </c>
      <c r="U126" s="118"/>
    </row>
    <row r="127">
      <c r="A127" s="72">
        <v>45922.0</v>
      </c>
      <c r="B127" s="75" t="s">
        <v>1134</v>
      </c>
      <c r="C127" s="67" t="str">
        <f>IFERROR(__xludf.DUMMYFUNCTION("""COMPUTED_VALUE"""),"LD153")</f>
        <v>LD153</v>
      </c>
      <c r="D127" s="55" t="s">
        <v>1135</v>
      </c>
      <c r="E127" s="55" t="s">
        <v>79</v>
      </c>
      <c r="F127" s="55" t="s">
        <v>539</v>
      </c>
      <c r="G127" s="55">
        <v>1841.0</v>
      </c>
      <c r="H127" s="55" t="s">
        <v>1137</v>
      </c>
      <c r="I127" s="115" t="s">
        <v>2063</v>
      </c>
      <c r="J127" s="95" t="s">
        <v>2064</v>
      </c>
      <c r="K127" s="55" t="s">
        <v>61</v>
      </c>
      <c r="L127" s="55" t="s">
        <v>1141</v>
      </c>
      <c r="M127" s="55" t="s">
        <v>78</v>
      </c>
      <c r="N127" s="55" t="s">
        <v>1135</v>
      </c>
      <c r="O127" s="55" t="s">
        <v>1142</v>
      </c>
      <c r="P127" s="55" t="s">
        <v>110</v>
      </c>
      <c r="Q127" s="67" t="str">
        <f>IFERROR(__xludf.DUMMYFUNCTION("""COMPUTED_VALUE"""),"ALL.giaotiep.M540MES_PTD_Tiktok_NamNH_220925")</f>
        <v>ALL.giaotiep.M540MES_PTD_Tiktok_NamNH_220925</v>
      </c>
      <c r="R127" s="67" t="str">
        <f>IFERROR(__xludf.DUMMYFUNCTION("""COMPUTED_VALUE"""),"NEW_ALL_1841_none_220925")</f>
        <v>NEW_ALL_1841_none_220925</v>
      </c>
      <c r="S127" s="67" t="str">
        <f>IFERROR(__xludf.DUMMYFUNCTION("""COMPUTED_VALUE"""),"saletructiep_ALL.M540MES.1840.giaotiep_THCNGDP_LD153")</f>
        <v>saletructiep_ALL.M540MES.1840.giaotiep_THCNGDP_LD153</v>
      </c>
      <c r="T127" s="107" t="str">
        <f>IFERROR(__xludf.DUMMYFUNCTION("""COMPUTED_VALUE"""),"https://patadovietnam.edu.vn/tienganhgiaotiep_hn/?utm_source=Tiktok&amp;utm_medium=MES&amp;utm_term=NEW_ALL_1841_none_220925&amp;utm_content=saletructiep_ALL.M540MES.1840.giaotiep_THCNGDP_LD153&amp;utm_campaign=ALL.giaotiep.M540MES_PTD_Tiktok_NamNH_220925")</f>
        <v>https://patadovietnam.edu.vn/tienganhgiaotiep_hn/?utm_source=Tiktok&amp;utm_medium=MES&amp;utm_term=NEW_ALL_1841_none_220925&amp;utm_content=saletructiep_ALL.M540MES.1840.giaotiep_THCNGDP_LD153&amp;utm_campaign=ALL.giaotiep.M540MES_PTD_Tiktok_NamNH_220925</v>
      </c>
      <c r="U127" s="118"/>
    </row>
    <row r="128">
      <c r="A128" s="72">
        <v>45938.0</v>
      </c>
      <c r="B128" s="75" t="s">
        <v>1134</v>
      </c>
      <c r="C128" s="67" t="str">
        <f>IFERROR(__xludf.DUMMYFUNCTION("""COMPUTED_VALUE"""),"LD153")</f>
        <v>LD153</v>
      </c>
      <c r="D128" s="55" t="s">
        <v>1135</v>
      </c>
      <c r="E128" s="55" t="s">
        <v>79</v>
      </c>
      <c r="F128" s="55" t="s">
        <v>539</v>
      </c>
      <c r="G128" s="55">
        <v>1841.0</v>
      </c>
      <c r="H128" s="55" t="s">
        <v>1137</v>
      </c>
      <c r="I128" s="115" t="s">
        <v>2071</v>
      </c>
      <c r="J128" s="95" t="s">
        <v>2072</v>
      </c>
      <c r="K128" s="55" t="s">
        <v>61</v>
      </c>
      <c r="L128" s="55" t="s">
        <v>1141</v>
      </c>
      <c r="M128" s="55" t="s">
        <v>78</v>
      </c>
      <c r="N128" s="55" t="s">
        <v>1135</v>
      </c>
      <c r="O128" s="55" t="s">
        <v>1142</v>
      </c>
      <c r="P128" s="55" t="s">
        <v>110</v>
      </c>
      <c r="Q128" s="67" t="str">
        <f>IFERROR(__xludf.DUMMYFUNCTION("""COMPUTED_VALUE"""),"ALL.giaotiep.M536xM543MES_PTD_Tiktok_NamNH_081025")</f>
        <v>ALL.giaotiep.M536xM543MES_PTD_Tiktok_NamNH_081025</v>
      </c>
      <c r="R128" s="67" t="str">
        <f>IFERROR(__xludf.DUMMYFUNCTION("""COMPUTED_VALUE"""),"NEW_ALL_1841_none_081025")</f>
        <v>NEW_ALL_1841_none_081025</v>
      </c>
      <c r="S128" s="67" t="str">
        <f>IFERROR(__xludf.DUMMYFUNCTION("""COMPUTED_VALUE"""),"saletructiep_ALL.M536xM543MES.1840.giaotiep_THCNGDP_LD153")</f>
        <v>saletructiep_ALL.M536xM543MES.1840.giaotiep_THCNGDP_LD153</v>
      </c>
      <c r="T128" s="107" t="str">
        <f>IFERROR(__xludf.DUMMYFUNCTION("""COMPUTED_VALUE"""),"https://patadovietnam.edu.vn/tienganhgiaotiep_hn/?utm_source=Tiktok&amp;utm_medium=MES&amp;utm_term=NEW_ALL_1841_none_081025&amp;utm_content=saletructiep_ALL.M536xM543MES.1840.giaotiep_THCNGDP_LD153&amp;utm_campaign=ALL.giaotiep.M536xM543MES_PTD_Tiktok_NamNH_081025")</f>
        <v>https://patadovietnam.edu.vn/tienganhgiaotiep_hn/?utm_source=Tiktok&amp;utm_medium=MES&amp;utm_term=NEW_ALL_1841_none_081025&amp;utm_content=saletructiep_ALL.M536xM543MES.1840.giaotiep_THCNGDP_LD153&amp;utm_campaign=ALL.giaotiep.M536xM543MES_PTD_Tiktok_NamNH_081025</v>
      </c>
      <c r="U128" s="118"/>
    </row>
    <row r="129">
      <c r="A129" s="72">
        <v>45938.0</v>
      </c>
      <c r="B129" s="75" t="s">
        <v>1134</v>
      </c>
      <c r="C129" s="67" t="str">
        <f>IFERROR(__xludf.DUMMYFUNCTION("""COMPUTED_VALUE"""),"LD153")</f>
        <v>LD153</v>
      </c>
      <c r="D129" s="55" t="s">
        <v>1135</v>
      </c>
      <c r="E129" s="55" t="s">
        <v>79</v>
      </c>
      <c r="F129" s="55" t="s">
        <v>133</v>
      </c>
      <c r="G129" s="55">
        <v>1841.0</v>
      </c>
      <c r="H129" s="55" t="s">
        <v>1137</v>
      </c>
      <c r="I129" s="115" t="s">
        <v>2075</v>
      </c>
      <c r="J129" s="95" t="s">
        <v>2076</v>
      </c>
      <c r="K129" s="55" t="s">
        <v>61</v>
      </c>
      <c r="L129" s="55" t="s">
        <v>1141</v>
      </c>
      <c r="M129" s="55" t="s">
        <v>78</v>
      </c>
      <c r="N129" s="55" t="s">
        <v>1135</v>
      </c>
      <c r="O129" s="55" t="s">
        <v>1142</v>
      </c>
      <c r="P129" s="55" t="s">
        <v>110</v>
      </c>
      <c r="Q129" s="67" t="str">
        <f>IFERROR(__xludf.DUMMYFUNCTION("""COMPUTED_VALUE"""),"Japan.giaotiep.M536xM543MES_PTD_Tiktok_NamNH_081025")</f>
        <v>Japan.giaotiep.M536xM543MES_PTD_Tiktok_NamNH_081025</v>
      </c>
      <c r="R129" s="67" t="str">
        <f>IFERROR(__xludf.DUMMYFUNCTION("""COMPUTED_VALUE"""),"NEW_Japan_1841_none_081025")</f>
        <v>NEW_Japan_1841_none_081025</v>
      </c>
      <c r="S129" s="67" t="str">
        <f>IFERROR(__xludf.DUMMYFUNCTION("""COMPUTED_VALUE"""),"saletructiep_Japan.M536xM543MES.1840.giaotiep_THCNGDP_LD153")</f>
        <v>saletructiep_Japan.M536xM543MES.1840.giaotiep_THCNGDP_LD153</v>
      </c>
      <c r="T129" s="107" t="str">
        <f>IFERROR(__xludf.DUMMYFUNCTION("""COMPUTED_VALUE"""),"https://patadovietnam.edu.vn/tienganhgiaotiep_hn/?utm_source=Tiktok&amp;utm_medium=MES&amp;utm_term=NEW_Japan_1841_none_081025&amp;utm_content=saletructiep_Japan.M536xM543MES.1840.giaotiep_THCNGDP_LD153&amp;utm_campaign=Japan.giaotiep.M536xM543MES_PTD_Tiktok_NamNH_081025")</f>
        <v>https://patadovietnam.edu.vn/tienganhgiaotiep_hn/?utm_source=Tiktok&amp;utm_medium=MES&amp;utm_term=NEW_Japan_1841_none_081025&amp;utm_content=saletructiep_Japan.M536xM543MES.1840.giaotiep_THCNGDP_LD153&amp;utm_campaign=Japan.giaotiep.M536xM543MES_PTD_Tiktok_NamNH_081025</v>
      </c>
      <c r="U129" s="118"/>
    </row>
    <row r="130">
      <c r="A130" s="72">
        <v>45938.0</v>
      </c>
      <c r="B130" s="75" t="s">
        <v>1134</v>
      </c>
      <c r="C130" s="67" t="str">
        <f>IFERROR(__xludf.DUMMYFUNCTION("""COMPUTED_VALUE"""),"LD153")</f>
        <v>LD153</v>
      </c>
      <c r="D130" s="55" t="s">
        <v>1135</v>
      </c>
      <c r="E130" s="55" t="s">
        <v>79</v>
      </c>
      <c r="F130" s="55" t="s">
        <v>674</v>
      </c>
      <c r="G130" s="55">
        <v>1841.0</v>
      </c>
      <c r="H130" s="55" t="s">
        <v>1137</v>
      </c>
      <c r="I130" s="115" t="s">
        <v>2081</v>
      </c>
      <c r="J130" s="95" t="s">
        <v>2082</v>
      </c>
      <c r="K130" s="55" t="s">
        <v>61</v>
      </c>
      <c r="L130" s="55" t="s">
        <v>1141</v>
      </c>
      <c r="M130" s="55" t="s">
        <v>78</v>
      </c>
      <c r="N130" s="55" t="s">
        <v>1135</v>
      </c>
      <c r="O130" s="55" t="s">
        <v>1142</v>
      </c>
      <c r="P130" s="55" t="s">
        <v>110</v>
      </c>
      <c r="Q130" s="67" t="str">
        <f>IFERROR(__xludf.DUMMYFUNCTION("""COMPUTED_VALUE"""),"Europe.giaotiep.M536xM543MES_PTD_Tiktok_NamNH_081025")</f>
        <v>Europe.giaotiep.M536xM543MES_PTD_Tiktok_NamNH_081025</v>
      </c>
      <c r="R130" s="67" t="str">
        <f>IFERROR(__xludf.DUMMYFUNCTION("""COMPUTED_VALUE"""),"NEW_Europe_1841_none_081025")</f>
        <v>NEW_Europe_1841_none_081025</v>
      </c>
      <c r="S130" s="67" t="str">
        <f>IFERROR(__xludf.DUMMYFUNCTION("""COMPUTED_VALUE"""),"saletructiep_Europe.M536xM543MES.1840.giaotiep_THCNGDP_LD153")</f>
        <v>saletructiep_Europe.M536xM543MES.1840.giaotiep_THCNGDP_LD153</v>
      </c>
      <c r="T130" s="107" t="str">
        <f>IFERROR(__xludf.DUMMYFUNCTION("""COMPUTED_VALUE"""),"https://patadovietnam.edu.vn/tienganhgiaotiep_hn/?utm_source=Tiktok&amp;utm_medium=MES&amp;utm_term=NEW_Europe_1841_none_081025&amp;utm_content=saletructiep_Europe.M536xM543MES.1840.giaotiep_THCNGDP_LD153&amp;utm_campaign=Europe.giaotiep.M536xM543MES_PTD_Tiktok_NamNH_081"&amp;"025")</f>
        <v>https://patadovietnam.edu.vn/tienganhgiaotiep_hn/?utm_source=Tiktok&amp;utm_medium=MES&amp;utm_term=NEW_Europe_1841_none_081025&amp;utm_content=saletructiep_Europe.M536xM543MES.1840.giaotiep_THCNGDP_LD153&amp;utm_campaign=Europe.giaotiep.M536xM543MES_PTD_Tiktok_NamNH_081025</v>
      </c>
      <c r="U130" s="118"/>
    </row>
    <row r="131">
      <c r="A131" s="72">
        <v>45951.0</v>
      </c>
      <c r="B131" s="75" t="s">
        <v>1134</v>
      </c>
      <c r="C131" s="67" t="str">
        <f>IFERROR(__xludf.DUMMYFUNCTION("""COMPUTED_VALUE"""),"LD153")</f>
        <v>LD153</v>
      </c>
      <c r="D131" s="55" t="s">
        <v>1135</v>
      </c>
      <c r="E131" s="55" t="s">
        <v>79</v>
      </c>
      <c r="F131" s="55" t="s">
        <v>674</v>
      </c>
      <c r="G131" s="55">
        <v>1841.0</v>
      </c>
      <c r="H131" s="55" t="s">
        <v>1137</v>
      </c>
      <c r="I131" s="115" t="s">
        <v>2089</v>
      </c>
      <c r="J131" s="95" t="s">
        <v>2090</v>
      </c>
      <c r="K131" s="55" t="s">
        <v>61</v>
      </c>
      <c r="L131" s="55" t="s">
        <v>1141</v>
      </c>
      <c r="M131" s="55" t="s">
        <v>78</v>
      </c>
      <c r="N131" s="55" t="s">
        <v>1135</v>
      </c>
      <c r="O131" s="55" t="s">
        <v>1142</v>
      </c>
      <c r="P131" s="55" t="s">
        <v>110</v>
      </c>
      <c r="Q131" s="67" t="str">
        <f>IFERROR(__xludf.DUMMYFUNCTION("""COMPUTED_VALUE"""),"Europe.giaotiep.M553xM555MES_PTD_Tiktok_NamNH_211025")</f>
        <v>Europe.giaotiep.M553xM555MES_PTD_Tiktok_NamNH_211025</v>
      </c>
      <c r="R131" s="67" t="str">
        <f>IFERROR(__xludf.DUMMYFUNCTION("""COMPUTED_VALUE"""),"NEW_Europe_1841_none_211025")</f>
        <v>NEW_Europe_1841_none_211025</v>
      </c>
      <c r="S131" s="67" t="str">
        <f>IFERROR(__xludf.DUMMYFUNCTION("""COMPUTED_VALUE"""),"saletructiep_Europe.M553xM555MES.1840.giaotiep_THCNGDP_LD153")</f>
        <v>saletructiep_Europe.M553xM555MES.1840.giaotiep_THCNGDP_LD153</v>
      </c>
      <c r="T131" s="107" t="str">
        <f>IFERROR(__xludf.DUMMYFUNCTION("""COMPUTED_VALUE"""),"https://patadovietnam.edu.vn/tienganhgiaotiep_hn/?utm_source=Tiktok&amp;utm_medium=MES&amp;utm_term=NEW_Europe_1841_none_211025&amp;utm_content=saletructiep_Europe.M553xM555MES.1840.giaotiep_THCNGDP_LD153&amp;utm_campaign=Europe.giaotiep.M553xM555MES_PTD_Tiktok_NamNH_211"&amp;"025")</f>
        <v>https://patadovietnam.edu.vn/tienganhgiaotiep_hn/?utm_source=Tiktok&amp;utm_medium=MES&amp;utm_term=NEW_Europe_1841_none_211025&amp;utm_content=saletructiep_Europe.M553xM555MES.1840.giaotiep_THCNGDP_LD153&amp;utm_campaign=Europe.giaotiep.M553xM555MES_PTD_Tiktok_NamNH_211025</v>
      </c>
      <c r="U131" s="118"/>
    </row>
    <row r="132">
      <c r="A132" s="72">
        <v>45951.0</v>
      </c>
      <c r="B132" s="75" t="s">
        <v>1134</v>
      </c>
      <c r="C132" s="67" t="str">
        <f>IFERROR(__xludf.DUMMYFUNCTION("""COMPUTED_VALUE"""),"LD153")</f>
        <v>LD153</v>
      </c>
      <c r="D132" s="55" t="s">
        <v>1135</v>
      </c>
      <c r="E132" s="55" t="s">
        <v>79</v>
      </c>
      <c r="F132" s="55" t="s">
        <v>133</v>
      </c>
      <c r="G132" s="55">
        <v>1841.0</v>
      </c>
      <c r="H132" s="55" t="s">
        <v>1137</v>
      </c>
      <c r="I132" s="115" t="s">
        <v>2093</v>
      </c>
      <c r="J132" s="95" t="s">
        <v>2094</v>
      </c>
      <c r="K132" s="55" t="s">
        <v>61</v>
      </c>
      <c r="L132" s="55" t="s">
        <v>1141</v>
      </c>
      <c r="M132" s="55" t="s">
        <v>78</v>
      </c>
      <c r="N132" s="55" t="s">
        <v>1135</v>
      </c>
      <c r="O132" s="55" t="s">
        <v>1142</v>
      </c>
      <c r="P132" s="55" t="s">
        <v>110</v>
      </c>
      <c r="Q132" s="67" t="str">
        <f>IFERROR(__xludf.DUMMYFUNCTION("""COMPUTED_VALUE"""),"Japan.giaotiep.M553xM555MES_PTD_Tiktok_NamNH_211025")</f>
        <v>Japan.giaotiep.M553xM555MES_PTD_Tiktok_NamNH_211025</v>
      </c>
      <c r="R132" s="67" t="str">
        <f>IFERROR(__xludf.DUMMYFUNCTION("""COMPUTED_VALUE"""),"NEW_Japan_1841_none_211025")</f>
        <v>NEW_Japan_1841_none_211025</v>
      </c>
      <c r="S132" s="67" t="str">
        <f>IFERROR(__xludf.DUMMYFUNCTION("""COMPUTED_VALUE"""),"saletructiep_Japan.M553xM555MES.1840.giaotiep_THCNGDP_LD153")</f>
        <v>saletructiep_Japan.M553xM555MES.1840.giaotiep_THCNGDP_LD153</v>
      </c>
      <c r="T132" s="107" t="str">
        <f>IFERROR(__xludf.DUMMYFUNCTION("""COMPUTED_VALUE"""),"https://patadovietnam.edu.vn/tienganhgiaotiep_hn/?utm_source=Tiktok&amp;utm_medium=MES&amp;utm_term=NEW_Japan_1841_none_211025&amp;utm_content=saletructiep_Japan.M553xM555MES.1840.giaotiep_THCNGDP_LD153&amp;utm_campaign=Japan.giaotiep.M553xM555MES_PTD_Tiktok_NamNH_211025")</f>
        <v>https://patadovietnam.edu.vn/tienganhgiaotiep_hn/?utm_source=Tiktok&amp;utm_medium=MES&amp;utm_term=NEW_Japan_1841_none_211025&amp;utm_content=saletructiep_Japan.M553xM555MES.1840.giaotiep_THCNGDP_LD153&amp;utm_campaign=Japan.giaotiep.M553xM555MES_PTD_Tiktok_NamNH_211025</v>
      </c>
      <c r="U132" s="118"/>
    </row>
    <row r="133">
      <c r="A133" s="72">
        <v>45951.0</v>
      </c>
      <c r="B133" s="75" t="s">
        <v>1134</v>
      </c>
      <c r="C133" s="67" t="str">
        <f>IFERROR(__xludf.DUMMYFUNCTION("""COMPUTED_VALUE"""),"LD153")</f>
        <v>LD153</v>
      </c>
      <c r="D133" s="55" t="s">
        <v>1135</v>
      </c>
      <c r="E133" s="55" t="s">
        <v>79</v>
      </c>
      <c r="F133" s="55" t="s">
        <v>539</v>
      </c>
      <c r="G133" s="55">
        <v>1841.0</v>
      </c>
      <c r="H133" s="55" t="s">
        <v>1137</v>
      </c>
      <c r="I133" s="115" t="s">
        <v>2099</v>
      </c>
      <c r="J133" s="95" t="s">
        <v>2100</v>
      </c>
      <c r="K133" s="55" t="s">
        <v>61</v>
      </c>
      <c r="L133" s="55" t="s">
        <v>1141</v>
      </c>
      <c r="M133" s="55" t="s">
        <v>78</v>
      </c>
      <c r="N133" s="55" t="s">
        <v>1135</v>
      </c>
      <c r="O133" s="55" t="s">
        <v>1142</v>
      </c>
      <c r="P133" s="55" t="s">
        <v>110</v>
      </c>
      <c r="Q133" s="67" t="str">
        <f>IFERROR(__xludf.DUMMYFUNCTION("""COMPUTED_VALUE"""),"ALL.giaotiep.M553xM555MES_PTD_Tiktok_NamNH_211025")</f>
        <v>ALL.giaotiep.M553xM555MES_PTD_Tiktok_NamNH_211025</v>
      </c>
      <c r="R133" s="67" t="str">
        <f>IFERROR(__xludf.DUMMYFUNCTION("""COMPUTED_VALUE"""),"NEW_ALL_1841_none_211025")</f>
        <v>NEW_ALL_1841_none_211025</v>
      </c>
      <c r="S133" s="67" t="str">
        <f>IFERROR(__xludf.DUMMYFUNCTION("""COMPUTED_VALUE"""),"saletructiep_ALL.M553xM555MES.1840.giaotiep_THCNGDP_LD153")</f>
        <v>saletructiep_ALL.M553xM555MES.1840.giaotiep_THCNGDP_LD153</v>
      </c>
      <c r="T133" s="107" t="str">
        <f>IFERROR(__xludf.DUMMYFUNCTION("""COMPUTED_VALUE"""),"https://patadovietnam.edu.vn/tienganhgiaotiep_hn/?utm_source=Tiktok&amp;utm_medium=MES&amp;utm_term=NEW_ALL_1841_none_211025&amp;utm_content=saletructiep_ALL.M553xM555MES.1840.giaotiep_THCNGDP_LD153&amp;utm_campaign=ALL.giaotiep.M553xM555MES_PTD_Tiktok_NamNH_211025")</f>
        <v>https://patadovietnam.edu.vn/tienganhgiaotiep_hn/?utm_source=Tiktok&amp;utm_medium=MES&amp;utm_term=NEW_ALL_1841_none_211025&amp;utm_content=saletructiep_ALL.M553xM555MES.1840.giaotiep_THCNGDP_LD153&amp;utm_campaign=ALL.giaotiep.M553xM555MES_PTD_Tiktok_NamNH_211025</v>
      </c>
      <c r="U133" s="118"/>
    </row>
    <row r="134">
      <c r="A134" s="72">
        <v>45964.0</v>
      </c>
      <c r="B134" s="75" t="s">
        <v>1134</v>
      </c>
      <c r="C134" s="67" t="str">
        <f>IFERROR(__xludf.DUMMYFUNCTION("""COMPUTED_VALUE"""),"LD153")</f>
        <v>LD153</v>
      </c>
      <c r="D134" s="55" t="s">
        <v>1135</v>
      </c>
      <c r="E134" s="55" t="s">
        <v>79</v>
      </c>
      <c r="F134" s="55" t="s">
        <v>539</v>
      </c>
      <c r="G134" s="55">
        <v>1841.0</v>
      </c>
      <c r="H134" s="55" t="s">
        <v>1137</v>
      </c>
      <c r="I134" s="115" t="s">
        <v>2107</v>
      </c>
      <c r="J134" s="95" t="s">
        <v>2108</v>
      </c>
      <c r="K134" s="55" t="s">
        <v>61</v>
      </c>
      <c r="L134" s="55" t="s">
        <v>1141</v>
      </c>
      <c r="M134" s="55" t="s">
        <v>78</v>
      </c>
      <c r="N134" s="55" t="s">
        <v>1135</v>
      </c>
      <c r="O134" s="55" t="s">
        <v>1142</v>
      </c>
      <c r="P134" s="55" t="s">
        <v>110</v>
      </c>
      <c r="Q134" s="67" t="str">
        <f>IFERROR(__xludf.DUMMYFUNCTION("""COMPUTED_VALUE"""),"ALL.giaotiep.M539MES_PTD_Tiktok_NamNH_031125")</f>
        <v>ALL.giaotiep.M539MES_PTD_Tiktok_NamNH_031125</v>
      </c>
      <c r="R134" s="67" t="str">
        <f>IFERROR(__xludf.DUMMYFUNCTION("""COMPUTED_VALUE"""),"NEW_ALL_1841_none_031125")</f>
        <v>NEW_ALL_1841_none_031125</v>
      </c>
      <c r="S134" s="67" t="str">
        <f>IFERROR(__xludf.DUMMYFUNCTION("""COMPUTED_VALUE"""),"saletructiep_ALL.M539MES.1840.giaotiep_THCNGDP_LD153")</f>
        <v>saletructiep_ALL.M539MES.1840.giaotiep_THCNGDP_LD153</v>
      </c>
      <c r="T134" s="107" t="str">
        <f>IFERROR(__xludf.DUMMYFUNCTION("""COMPUTED_VALUE"""),"https://patadovietnam.edu.vn/tienganhgiaotiep_hn/?utm_source=Tiktok&amp;utm_medium=MES&amp;utm_term=NEW_ALL_1841_none_031125&amp;utm_content=saletructiep_ALL.M539MES.1840.giaotiep_THCNGDP_LD153&amp;utm_campaign=ALL.giaotiep.M539MES_PTD_Tiktok_NamNH_031125")</f>
        <v>https://patadovietnam.edu.vn/tienganhgiaotiep_hn/?utm_source=Tiktok&amp;utm_medium=MES&amp;utm_term=NEW_ALL_1841_none_031125&amp;utm_content=saletructiep_ALL.M539MES.1840.giaotiep_THCNGDP_LD153&amp;utm_campaign=ALL.giaotiep.M539MES_PTD_Tiktok_NamNH_031125</v>
      </c>
      <c r="U134" s="118"/>
    </row>
    <row r="135">
      <c r="A135" s="72">
        <v>45964.0</v>
      </c>
      <c r="B135" s="75" t="s">
        <v>1134</v>
      </c>
      <c r="C135" s="67" t="str">
        <f>IFERROR(__xludf.DUMMYFUNCTION("""COMPUTED_VALUE"""),"LD153")</f>
        <v>LD153</v>
      </c>
      <c r="D135" s="55" t="s">
        <v>1135</v>
      </c>
      <c r="E135" s="55" t="s">
        <v>79</v>
      </c>
      <c r="F135" s="55" t="s">
        <v>133</v>
      </c>
      <c r="G135" s="55">
        <v>1841.0</v>
      </c>
      <c r="H135" s="55" t="s">
        <v>1137</v>
      </c>
      <c r="I135" s="115" t="s">
        <v>2111</v>
      </c>
      <c r="J135" s="95" t="s">
        <v>2113</v>
      </c>
      <c r="K135" s="55" t="s">
        <v>61</v>
      </c>
      <c r="L135" s="55" t="s">
        <v>1141</v>
      </c>
      <c r="M135" s="55" t="s">
        <v>78</v>
      </c>
      <c r="N135" s="55" t="s">
        <v>1135</v>
      </c>
      <c r="O135" s="55" t="s">
        <v>1142</v>
      </c>
      <c r="P135" s="55" t="s">
        <v>110</v>
      </c>
      <c r="Q135" s="67" t="str">
        <f>IFERROR(__xludf.DUMMYFUNCTION("""COMPUTED_VALUE"""),"Japan.giaotiep.M539MES_PTD_Tiktok_NamNH_031125")</f>
        <v>Japan.giaotiep.M539MES_PTD_Tiktok_NamNH_031125</v>
      </c>
      <c r="R135" s="67" t="str">
        <f>IFERROR(__xludf.DUMMYFUNCTION("""COMPUTED_VALUE"""),"NEW_Japan_1841_none_031125")</f>
        <v>NEW_Japan_1841_none_031125</v>
      </c>
      <c r="S135" s="67" t="str">
        <f>IFERROR(__xludf.DUMMYFUNCTION("""COMPUTED_VALUE"""),"saletructiep_Japan.M539MES.1840.giaotiep_THCNGDP_LD153")</f>
        <v>saletructiep_Japan.M539MES.1840.giaotiep_THCNGDP_LD153</v>
      </c>
      <c r="T135" s="107" t="str">
        <f>IFERROR(__xludf.DUMMYFUNCTION("""COMPUTED_VALUE"""),"https://patadovietnam.edu.vn/tienganhgiaotiep_hn/?utm_source=Tiktok&amp;utm_medium=MES&amp;utm_term=NEW_Japan_1841_none_031125&amp;utm_content=saletructiep_Japan.M539MES.1840.giaotiep_THCNGDP_LD153&amp;utm_campaign=Japan.giaotiep.M539MES_PTD_Tiktok_NamNH_031125")</f>
        <v>https://patadovietnam.edu.vn/tienganhgiaotiep_hn/?utm_source=Tiktok&amp;utm_medium=MES&amp;utm_term=NEW_Japan_1841_none_031125&amp;utm_content=saletructiep_Japan.M539MES.1840.giaotiep_THCNGDP_LD153&amp;utm_campaign=Japan.giaotiep.M539MES_PTD_Tiktok_NamNH_031125</v>
      </c>
      <c r="U135" s="118"/>
    </row>
    <row r="136">
      <c r="A136" s="72">
        <v>45964.0</v>
      </c>
      <c r="B136" s="75" t="s">
        <v>1134</v>
      </c>
      <c r="C136" s="67" t="str">
        <f>IFERROR(__xludf.DUMMYFUNCTION("""COMPUTED_VALUE"""),"LD153")</f>
        <v>LD153</v>
      </c>
      <c r="D136" s="55" t="s">
        <v>1135</v>
      </c>
      <c r="E136" s="55" t="s">
        <v>79</v>
      </c>
      <c r="F136" s="55" t="s">
        <v>674</v>
      </c>
      <c r="G136" s="55">
        <v>1841.0</v>
      </c>
      <c r="H136" s="55" t="s">
        <v>1137</v>
      </c>
      <c r="I136" s="115" t="s">
        <v>2118</v>
      </c>
      <c r="J136" s="95" t="s">
        <v>2119</v>
      </c>
      <c r="K136" s="55" t="s">
        <v>61</v>
      </c>
      <c r="L136" s="55" t="s">
        <v>1141</v>
      </c>
      <c r="M136" s="55" t="s">
        <v>78</v>
      </c>
      <c r="N136" s="55" t="s">
        <v>1135</v>
      </c>
      <c r="O136" s="55" t="s">
        <v>1142</v>
      </c>
      <c r="P136" s="55" t="s">
        <v>110</v>
      </c>
      <c r="Q136" s="67" t="str">
        <f>IFERROR(__xludf.DUMMYFUNCTION("""COMPUTED_VALUE"""),"Europe.giaotiep.M539MES_PTD_Tiktok_NamNH_031125")</f>
        <v>Europe.giaotiep.M539MES_PTD_Tiktok_NamNH_031125</v>
      </c>
      <c r="R136" s="67" t="str">
        <f>IFERROR(__xludf.DUMMYFUNCTION("""COMPUTED_VALUE"""),"NEW_Europe_1841_none_031125")</f>
        <v>NEW_Europe_1841_none_031125</v>
      </c>
      <c r="S136" s="67" t="str">
        <f>IFERROR(__xludf.DUMMYFUNCTION("""COMPUTED_VALUE"""),"saletructiep_Europe.M539MES.1840.giaotiep_THCNGDP_LD153")</f>
        <v>saletructiep_Europe.M539MES.1840.giaotiep_THCNGDP_LD153</v>
      </c>
      <c r="T136" s="107" t="str">
        <f>IFERROR(__xludf.DUMMYFUNCTION("""COMPUTED_VALUE"""),"https://patadovietnam.edu.vn/tienganhgiaotiep_hn/?utm_source=Tiktok&amp;utm_medium=MES&amp;utm_term=NEW_Europe_1841_none_031125&amp;utm_content=saletructiep_Europe.M539MES.1840.giaotiep_THCNGDP_LD153&amp;utm_campaign=Europe.giaotiep.M539MES_PTD_Tiktok_NamNH_031125")</f>
        <v>https://patadovietnam.edu.vn/tienganhgiaotiep_hn/?utm_source=Tiktok&amp;utm_medium=MES&amp;utm_term=NEW_Europe_1841_none_031125&amp;utm_content=saletructiep_Europe.M539MES.1840.giaotiep_THCNGDP_LD153&amp;utm_campaign=Europe.giaotiep.M539MES_PTD_Tiktok_NamNH_031125</v>
      </c>
      <c r="U136" s="118"/>
    </row>
    <row r="137">
      <c r="A137" s="72">
        <v>45964.0</v>
      </c>
      <c r="B137" s="75" t="s">
        <v>1134</v>
      </c>
      <c r="C137" s="67" t="str">
        <f>IFERROR(__xludf.DUMMYFUNCTION("""COMPUTED_VALUE"""),"LD153")</f>
        <v>LD153</v>
      </c>
      <c r="D137" s="55" t="s">
        <v>1135</v>
      </c>
      <c r="E137" s="55" t="s">
        <v>79</v>
      </c>
      <c r="F137" s="55" t="s">
        <v>164</v>
      </c>
      <c r="G137" s="55">
        <v>1841.0</v>
      </c>
      <c r="H137" s="55" t="s">
        <v>1137</v>
      </c>
      <c r="I137" s="115" t="s">
        <v>2124</v>
      </c>
      <c r="J137" s="95" t="s">
        <v>2125</v>
      </c>
      <c r="K137" s="55" t="s">
        <v>61</v>
      </c>
      <c r="L137" s="55" t="s">
        <v>1141</v>
      </c>
      <c r="M137" s="55" t="s">
        <v>78</v>
      </c>
      <c r="N137" s="55" t="s">
        <v>1135</v>
      </c>
      <c r="O137" s="55" t="s">
        <v>1142</v>
      </c>
      <c r="P137" s="55" t="s">
        <v>110</v>
      </c>
      <c r="Q137" s="67" t="str">
        <f>IFERROR(__xludf.DUMMYFUNCTION("""COMPUTED_VALUE"""),"Taiwan.giaotiep.M539MES_PTD_Tiktok_NamNH_031125")</f>
        <v>Taiwan.giaotiep.M539MES_PTD_Tiktok_NamNH_031125</v>
      </c>
      <c r="R137" s="67" t="str">
        <f>IFERROR(__xludf.DUMMYFUNCTION("""COMPUTED_VALUE"""),"NEW_Taiwan_1841_none_031125")</f>
        <v>NEW_Taiwan_1841_none_031125</v>
      </c>
      <c r="S137" s="67" t="str">
        <f>IFERROR(__xludf.DUMMYFUNCTION("""COMPUTED_VALUE"""),"saletructiep_Taiwan.M539MES.1840.giaotiep_THCNGDP_LD153")</f>
        <v>saletructiep_Taiwan.M539MES.1840.giaotiep_THCNGDP_LD153</v>
      </c>
      <c r="T137" s="107" t="str">
        <f>IFERROR(__xludf.DUMMYFUNCTION("""COMPUTED_VALUE"""),"https://patadovietnam.edu.vn/tienganhgiaotiep_hn/?utm_source=Tiktok&amp;utm_medium=MES&amp;utm_term=NEW_Taiwan_1841_none_031125&amp;utm_content=saletructiep_Taiwan.M539MES.1840.giaotiep_THCNGDP_LD153&amp;utm_campaign=Taiwan.giaotiep.M539MES_PTD_Tiktok_NamNH_031125")</f>
        <v>https://patadovietnam.edu.vn/tienganhgiaotiep_hn/?utm_source=Tiktok&amp;utm_medium=MES&amp;utm_term=NEW_Taiwan_1841_none_031125&amp;utm_content=saletructiep_Taiwan.M539MES.1840.giaotiep_THCNGDP_LD153&amp;utm_campaign=Taiwan.giaotiep.M539MES_PTD_Tiktok_NamNH_031125</v>
      </c>
      <c r="U137" s="118"/>
    </row>
    <row r="138">
      <c r="A138" s="72">
        <v>45973.0</v>
      </c>
      <c r="B138" s="75" t="s">
        <v>1134</v>
      </c>
      <c r="C138" s="67" t="str">
        <f>IFERROR(__xludf.DUMMYFUNCTION("""COMPUTED_VALUE"""),"LD153")</f>
        <v>LD153</v>
      </c>
      <c r="D138" s="55" t="s">
        <v>1135</v>
      </c>
      <c r="E138" s="55" t="s">
        <v>79</v>
      </c>
      <c r="F138" s="55" t="s">
        <v>674</v>
      </c>
      <c r="G138" s="55">
        <v>1841.0</v>
      </c>
      <c r="H138" s="55" t="s">
        <v>1137</v>
      </c>
      <c r="I138" s="115" t="s">
        <v>2132</v>
      </c>
      <c r="J138" s="95" t="s">
        <v>2133</v>
      </c>
      <c r="K138" s="55" t="s">
        <v>61</v>
      </c>
      <c r="L138" s="55" t="s">
        <v>1141</v>
      </c>
      <c r="M138" s="55" t="s">
        <v>78</v>
      </c>
      <c r="N138" s="55" t="s">
        <v>1135</v>
      </c>
      <c r="O138" s="55" t="s">
        <v>1142</v>
      </c>
      <c r="P138" s="55" t="s">
        <v>110</v>
      </c>
      <c r="Q138" s="67" t="str">
        <f>IFERROR(__xludf.DUMMYFUNCTION("""COMPUTED_VALUE"""),"Europe.giaotiep.M561MES_PTD_Tiktok_NamNH_121125")</f>
        <v>Europe.giaotiep.M561MES_PTD_Tiktok_NamNH_121125</v>
      </c>
      <c r="R138" s="67" t="str">
        <f>IFERROR(__xludf.DUMMYFUNCTION("""COMPUTED_VALUE"""),"NEW_Europe_1841_none_121125")</f>
        <v>NEW_Europe_1841_none_121125</v>
      </c>
      <c r="S138" s="67" t="str">
        <f>IFERROR(__xludf.DUMMYFUNCTION("""COMPUTED_VALUE"""),"saletructiep_Europe.M561MES.1840.giaotiep_THCNGDP_LD153")</f>
        <v>saletructiep_Europe.M561MES.1840.giaotiep_THCNGDP_LD153</v>
      </c>
      <c r="T138" s="107" t="str">
        <f>IFERROR(__xludf.DUMMYFUNCTION("""COMPUTED_VALUE"""),"https://patadovietnam.edu.vn/tienganhgiaotiep_hn/?utm_source=Tiktok&amp;utm_medium=MES&amp;utm_term=NEW_Europe_1841_none_121125&amp;utm_content=saletructiep_Europe.M561MES.1840.giaotiep_THCNGDP_LD153&amp;utm_campaign=Europe.giaotiep.M561MES_PTD_Tiktok_NamNH_121125")</f>
        <v>https://patadovietnam.edu.vn/tienganhgiaotiep_hn/?utm_source=Tiktok&amp;utm_medium=MES&amp;utm_term=NEW_Europe_1841_none_121125&amp;utm_content=saletructiep_Europe.M561MES.1840.giaotiep_THCNGDP_LD153&amp;utm_campaign=Europe.giaotiep.M561MES_PTD_Tiktok_NamNH_121125</v>
      </c>
      <c r="U138" s="118"/>
    </row>
    <row r="139">
      <c r="A139" s="72">
        <v>45973.0</v>
      </c>
      <c r="B139" s="75" t="s">
        <v>1134</v>
      </c>
      <c r="C139" s="67" t="str">
        <f>IFERROR(__xludf.DUMMYFUNCTION("""COMPUTED_VALUE"""),"LD153")</f>
        <v>LD153</v>
      </c>
      <c r="D139" s="55" t="s">
        <v>1135</v>
      </c>
      <c r="E139" s="55" t="s">
        <v>79</v>
      </c>
      <c r="F139" s="55" t="s">
        <v>133</v>
      </c>
      <c r="G139" s="55">
        <v>1841.0</v>
      </c>
      <c r="H139" s="55" t="s">
        <v>1137</v>
      </c>
      <c r="I139" s="115" t="s">
        <v>2138</v>
      </c>
      <c r="J139" s="95" t="s">
        <v>2139</v>
      </c>
      <c r="K139" s="55" t="s">
        <v>61</v>
      </c>
      <c r="L139" s="55" t="s">
        <v>1141</v>
      </c>
      <c r="M139" s="55" t="s">
        <v>78</v>
      </c>
      <c r="N139" s="55" t="s">
        <v>1135</v>
      </c>
      <c r="O139" s="55" t="s">
        <v>1142</v>
      </c>
      <c r="P139" s="55" t="s">
        <v>110</v>
      </c>
      <c r="Q139" s="67" t="str">
        <f>IFERROR(__xludf.DUMMYFUNCTION("""COMPUTED_VALUE"""),"Japan.giaotiep.M561MES_PTD_Tiktok_NamNH_121125")</f>
        <v>Japan.giaotiep.M561MES_PTD_Tiktok_NamNH_121125</v>
      </c>
      <c r="R139" s="67" t="str">
        <f>IFERROR(__xludf.DUMMYFUNCTION("""COMPUTED_VALUE"""),"NEW_Japan_1841_none_121125")</f>
        <v>NEW_Japan_1841_none_121125</v>
      </c>
      <c r="S139" s="67" t="str">
        <f>IFERROR(__xludf.DUMMYFUNCTION("""COMPUTED_VALUE"""),"saletructiep_Japan.M561MES.1840.giaotiep_THCNGDP_LD153")</f>
        <v>saletructiep_Japan.M561MES.1840.giaotiep_THCNGDP_LD153</v>
      </c>
      <c r="T139" s="107" t="str">
        <f>IFERROR(__xludf.DUMMYFUNCTION("""COMPUTED_VALUE"""),"https://patadovietnam.edu.vn/tienganhgiaotiep_hn/?utm_source=Tiktok&amp;utm_medium=MES&amp;utm_term=NEW_Japan_1841_none_121125&amp;utm_content=saletructiep_Japan.M561MES.1840.giaotiep_THCNGDP_LD153&amp;utm_campaign=Japan.giaotiep.M561MES_PTD_Tiktok_NamNH_121125")</f>
        <v>https://patadovietnam.edu.vn/tienganhgiaotiep_hn/?utm_source=Tiktok&amp;utm_medium=MES&amp;utm_term=NEW_Japan_1841_none_121125&amp;utm_content=saletructiep_Japan.M561MES.1840.giaotiep_THCNGDP_LD153&amp;utm_campaign=Japan.giaotiep.M561MES_PTD_Tiktok_NamNH_121125</v>
      </c>
      <c r="U139" s="118"/>
    </row>
    <row r="140">
      <c r="A140" s="72">
        <v>45973.0</v>
      </c>
      <c r="B140" s="75" t="s">
        <v>1134</v>
      </c>
      <c r="C140" s="67" t="str">
        <f>IFERROR(__xludf.DUMMYFUNCTION("""COMPUTED_VALUE"""),"LD153")</f>
        <v>LD153</v>
      </c>
      <c r="D140" s="55" t="s">
        <v>1135</v>
      </c>
      <c r="E140" s="55" t="s">
        <v>79</v>
      </c>
      <c r="F140" s="55" t="s">
        <v>539</v>
      </c>
      <c r="G140" s="55">
        <v>1841.0</v>
      </c>
      <c r="H140" s="55" t="s">
        <v>1137</v>
      </c>
      <c r="I140" s="115" t="s">
        <v>2143</v>
      </c>
      <c r="J140" s="95" t="s">
        <v>2144</v>
      </c>
      <c r="K140" s="55" t="s">
        <v>61</v>
      </c>
      <c r="L140" s="55" t="s">
        <v>1141</v>
      </c>
      <c r="M140" s="55" t="s">
        <v>78</v>
      </c>
      <c r="N140" s="55" t="s">
        <v>1135</v>
      </c>
      <c r="O140" s="55" t="s">
        <v>1142</v>
      </c>
      <c r="P140" s="55" t="s">
        <v>110</v>
      </c>
      <c r="Q140" s="67" t="str">
        <f>IFERROR(__xludf.DUMMYFUNCTION("""COMPUTED_VALUE"""),"ALL.giaotiep.M561MES_PTD_Tiktok_NamNH_121125")</f>
        <v>ALL.giaotiep.M561MES_PTD_Tiktok_NamNH_121125</v>
      </c>
      <c r="R140" s="67" t="str">
        <f>IFERROR(__xludf.DUMMYFUNCTION("""COMPUTED_VALUE"""),"NEW_ALL_1841_none_121125")</f>
        <v>NEW_ALL_1841_none_121125</v>
      </c>
      <c r="S140" s="67" t="str">
        <f>IFERROR(__xludf.DUMMYFUNCTION("""COMPUTED_VALUE"""),"saletructiep_ALL.M561MES.1840.giaotiep_THCNGDP_LD153")</f>
        <v>saletructiep_ALL.M561MES.1840.giaotiep_THCNGDP_LD153</v>
      </c>
      <c r="T140" s="107" t="str">
        <f>IFERROR(__xludf.DUMMYFUNCTION("""COMPUTED_VALUE"""),"https://patadovietnam.edu.vn/tienganhgiaotiep_hn/?utm_source=Tiktok&amp;utm_medium=MES&amp;utm_term=NEW_ALL_1841_none_121125&amp;utm_content=saletructiep_ALL.M561MES.1840.giaotiep_THCNGDP_LD153&amp;utm_campaign=ALL.giaotiep.M561MES_PTD_Tiktok_NamNH_121125")</f>
        <v>https://patadovietnam.edu.vn/tienganhgiaotiep_hn/?utm_source=Tiktok&amp;utm_medium=MES&amp;utm_term=NEW_ALL_1841_none_121125&amp;utm_content=saletructiep_ALL.M561MES.1840.giaotiep_THCNGDP_LD153&amp;utm_campaign=ALL.giaotiep.M561MES_PTD_Tiktok_NamNH_121125</v>
      </c>
      <c r="U140" s="118"/>
    </row>
    <row r="141">
      <c r="A141" s="72">
        <v>45973.0</v>
      </c>
      <c r="B141" s="75" t="s">
        <v>1134</v>
      </c>
      <c r="C141" s="67" t="str">
        <f>IFERROR(__xludf.DUMMYFUNCTION("""COMPUTED_VALUE"""),"LD153")</f>
        <v>LD153</v>
      </c>
      <c r="D141" s="55" t="s">
        <v>1135</v>
      </c>
      <c r="E141" s="55" t="s">
        <v>79</v>
      </c>
      <c r="F141" s="55" t="s">
        <v>625</v>
      </c>
      <c r="G141" s="55">
        <v>1841.0</v>
      </c>
      <c r="H141" s="55" t="s">
        <v>1137</v>
      </c>
      <c r="I141" s="115" t="s">
        <v>2150</v>
      </c>
      <c r="J141" s="95" t="s">
        <v>2151</v>
      </c>
      <c r="K141" s="55" t="s">
        <v>61</v>
      </c>
      <c r="L141" s="55" t="s">
        <v>1141</v>
      </c>
      <c r="M141" s="55" t="s">
        <v>78</v>
      </c>
      <c r="N141" s="55" t="s">
        <v>1135</v>
      </c>
      <c r="O141" s="55" t="s">
        <v>1142</v>
      </c>
      <c r="P141" s="55" t="s">
        <v>110</v>
      </c>
      <c r="Q141" s="67" t="str">
        <f>IFERROR(__xludf.DUMMYFUNCTION("""COMPUTED_VALUE"""),"KoreaSouth.giaotiep.M561MES_PTD_Tiktok_NamNH_121125")</f>
        <v>KoreaSouth.giaotiep.M561MES_PTD_Tiktok_NamNH_121125</v>
      </c>
      <c r="R141" s="67" t="str">
        <f>IFERROR(__xludf.DUMMYFUNCTION("""COMPUTED_VALUE"""),"NEW_KoreaSouth_1841_none_121125")</f>
        <v>NEW_KoreaSouth_1841_none_121125</v>
      </c>
      <c r="S141" s="67" t="str">
        <f>IFERROR(__xludf.DUMMYFUNCTION("""COMPUTED_VALUE"""),"saletructiep_KoreaSouth.M561MES.1840.giaotiep_THCNGDP_LD153")</f>
        <v>saletructiep_KoreaSouth.M561MES.1840.giaotiep_THCNGDP_LD153</v>
      </c>
      <c r="T141" s="107" t="str">
        <f>IFERROR(__xludf.DUMMYFUNCTION("""COMPUTED_VALUE"""),"https://patadovietnam.edu.vn/tienganhgiaotiep_hn/?utm_source=Tiktok&amp;utm_medium=MES&amp;utm_term=NEW_KoreaSouth_1841_none_121125&amp;utm_content=saletructiep_KoreaSouth.M561MES.1840.giaotiep_THCNGDP_LD153&amp;utm_campaign=KoreaSouth.giaotiep.M561MES_PTD_Tiktok_NamNH_1"&amp;"21125")</f>
        <v>https://patadovietnam.edu.vn/tienganhgiaotiep_hn/?utm_source=Tiktok&amp;utm_medium=MES&amp;utm_term=NEW_KoreaSouth_1841_none_121125&amp;utm_content=saletructiep_KoreaSouth.M561MES.1840.giaotiep_THCNGDP_LD153&amp;utm_campaign=KoreaSouth.giaotiep.M561MES_PTD_Tiktok_NamNH_121125</v>
      </c>
      <c r="U141" s="118"/>
    </row>
    <row r="142">
      <c r="A142" s="72">
        <v>45978.0</v>
      </c>
      <c r="B142" s="75" t="s">
        <v>1134</v>
      </c>
      <c r="C142" s="67" t="str">
        <f>IFERROR(__xludf.DUMMYFUNCTION("""COMPUTED_VALUE"""),"LD153")</f>
        <v>LD153</v>
      </c>
      <c r="D142" s="55" t="s">
        <v>1135</v>
      </c>
      <c r="E142" s="55" t="s">
        <v>79</v>
      </c>
      <c r="F142" s="55" t="s">
        <v>674</v>
      </c>
      <c r="G142" s="55">
        <v>1841.0</v>
      </c>
      <c r="H142" s="55" t="s">
        <v>1137</v>
      </c>
      <c r="I142" s="115" t="s">
        <v>2155</v>
      </c>
      <c r="J142" s="95" t="s">
        <v>2156</v>
      </c>
      <c r="K142" s="55" t="s">
        <v>61</v>
      </c>
      <c r="L142" s="55" t="s">
        <v>1141</v>
      </c>
      <c r="M142" s="55" t="s">
        <v>78</v>
      </c>
      <c r="N142" s="55" t="s">
        <v>1135</v>
      </c>
      <c r="O142" s="55" t="s">
        <v>1142</v>
      </c>
      <c r="P142" s="55" t="s">
        <v>110</v>
      </c>
      <c r="Q142" s="67" t="str">
        <f>IFERROR(__xludf.DUMMYFUNCTION("""COMPUTED_VALUE"""),"Europe.giaotiep.M566MES_PTD_Tiktok_NamNH_171125")</f>
        <v>Europe.giaotiep.M566MES_PTD_Tiktok_NamNH_171125</v>
      </c>
      <c r="R142" s="67" t="str">
        <f>IFERROR(__xludf.DUMMYFUNCTION("""COMPUTED_VALUE"""),"NEW_Europe_1841_none_171125")</f>
        <v>NEW_Europe_1841_none_171125</v>
      </c>
      <c r="S142" s="67" t="str">
        <f>IFERROR(__xludf.DUMMYFUNCTION("""COMPUTED_VALUE"""),"saletructiep_Europe.M566MES.1840.giaotiep_THCNGDP_LD153")</f>
        <v>saletructiep_Europe.M566MES.1840.giaotiep_THCNGDP_LD153</v>
      </c>
      <c r="T142" s="107" t="str">
        <f>IFERROR(__xludf.DUMMYFUNCTION("""COMPUTED_VALUE"""),"https://patadovietnam.edu.vn/tienganhgiaotiep_hn/?utm_source=Tiktok&amp;utm_medium=MES&amp;utm_term=NEW_Europe_1841_none_171125&amp;utm_content=saletructiep_Europe.M566MES.1840.giaotiep_THCNGDP_LD153&amp;utm_campaign=Europe.giaotiep.M566MES_PTD_Tiktok_NamNH_171125")</f>
        <v>https://patadovietnam.edu.vn/tienganhgiaotiep_hn/?utm_source=Tiktok&amp;utm_medium=MES&amp;utm_term=NEW_Europe_1841_none_171125&amp;utm_content=saletructiep_Europe.M566MES.1840.giaotiep_THCNGDP_LD153&amp;utm_campaign=Europe.giaotiep.M566MES_PTD_Tiktok_NamNH_171125</v>
      </c>
      <c r="U142" s="118"/>
    </row>
    <row r="143">
      <c r="A143" s="72">
        <v>45978.0</v>
      </c>
      <c r="B143" s="75" t="s">
        <v>1134</v>
      </c>
      <c r="C143" s="67" t="str">
        <f>IFERROR(__xludf.DUMMYFUNCTION("""COMPUTED_VALUE"""),"LD153")</f>
        <v>LD153</v>
      </c>
      <c r="D143" s="55" t="s">
        <v>1135</v>
      </c>
      <c r="E143" s="55" t="s">
        <v>79</v>
      </c>
      <c r="F143" s="55" t="s">
        <v>539</v>
      </c>
      <c r="G143" s="55">
        <v>1841.0</v>
      </c>
      <c r="H143" s="55" t="s">
        <v>1137</v>
      </c>
      <c r="I143" s="115" t="s">
        <v>2162</v>
      </c>
      <c r="J143" s="95" t="s">
        <v>2164</v>
      </c>
      <c r="K143" s="55" t="s">
        <v>61</v>
      </c>
      <c r="L143" s="55" t="s">
        <v>1141</v>
      </c>
      <c r="M143" s="55" t="s">
        <v>78</v>
      </c>
      <c r="N143" s="55" t="s">
        <v>1135</v>
      </c>
      <c r="O143" s="55" t="s">
        <v>1142</v>
      </c>
      <c r="P143" s="55" t="s">
        <v>110</v>
      </c>
      <c r="Q143" s="67" t="str">
        <f>IFERROR(__xludf.DUMMYFUNCTION("""COMPUTED_VALUE"""),"ALL.giaotiep.M566MES_PTD_Tiktok_NamNH_171125")</f>
        <v>ALL.giaotiep.M566MES_PTD_Tiktok_NamNH_171125</v>
      </c>
      <c r="R143" s="67" t="str">
        <f>IFERROR(__xludf.DUMMYFUNCTION("""COMPUTED_VALUE"""),"NEW_ALL_1841_none_171125")</f>
        <v>NEW_ALL_1841_none_171125</v>
      </c>
      <c r="S143" s="67" t="str">
        <f>IFERROR(__xludf.DUMMYFUNCTION("""COMPUTED_VALUE"""),"saletructiep_ALL.M566MES.1840.giaotiep_THCNGDP_LD153")</f>
        <v>saletructiep_ALL.M566MES.1840.giaotiep_THCNGDP_LD153</v>
      </c>
      <c r="T143" s="107" t="str">
        <f>IFERROR(__xludf.DUMMYFUNCTION("""COMPUTED_VALUE"""),"https://patadovietnam.edu.vn/tienganhgiaotiep_hn/?utm_source=Tiktok&amp;utm_medium=MES&amp;utm_term=NEW_ALL_1841_none_171125&amp;utm_content=saletructiep_ALL.M566MES.1840.giaotiep_THCNGDP_LD153&amp;utm_campaign=ALL.giaotiep.M566MES_PTD_Tiktok_NamNH_171125")</f>
        <v>https://patadovietnam.edu.vn/tienganhgiaotiep_hn/?utm_source=Tiktok&amp;utm_medium=MES&amp;utm_term=NEW_ALL_1841_none_171125&amp;utm_content=saletructiep_ALL.M566MES.1840.giaotiep_THCNGDP_LD153&amp;utm_campaign=ALL.giaotiep.M566MES_PTD_Tiktok_NamNH_171125</v>
      </c>
      <c r="U143" s="118"/>
    </row>
    <row r="144">
      <c r="A144" s="72">
        <v>45978.0</v>
      </c>
      <c r="B144" s="75" t="s">
        <v>1134</v>
      </c>
      <c r="C144" s="67" t="str">
        <f>IFERROR(__xludf.DUMMYFUNCTION("""COMPUTED_VALUE"""),"LD153")</f>
        <v>LD153</v>
      </c>
      <c r="D144" s="55" t="s">
        <v>1135</v>
      </c>
      <c r="E144" s="55" t="s">
        <v>79</v>
      </c>
      <c r="F144" s="55" t="s">
        <v>133</v>
      </c>
      <c r="G144" s="55">
        <v>1841.0</v>
      </c>
      <c r="H144" s="55" t="s">
        <v>1137</v>
      </c>
      <c r="I144" s="115" t="s">
        <v>2169</v>
      </c>
      <c r="J144" s="95" t="s">
        <v>2171</v>
      </c>
      <c r="K144" s="55" t="s">
        <v>61</v>
      </c>
      <c r="L144" s="55" t="s">
        <v>1141</v>
      </c>
      <c r="M144" s="55" t="s">
        <v>78</v>
      </c>
      <c r="N144" s="55" t="s">
        <v>1135</v>
      </c>
      <c r="O144" s="55" t="s">
        <v>1142</v>
      </c>
      <c r="P144" s="55" t="s">
        <v>110</v>
      </c>
      <c r="Q144" s="67" t="str">
        <f>IFERROR(__xludf.DUMMYFUNCTION("""COMPUTED_VALUE"""),"Japan.giaotiep.M566MES_PTD_Tiktok_NamNH_171125")</f>
        <v>Japan.giaotiep.M566MES_PTD_Tiktok_NamNH_171125</v>
      </c>
      <c r="R144" s="67" t="str">
        <f>IFERROR(__xludf.DUMMYFUNCTION("""COMPUTED_VALUE"""),"NEW_Japan_1841_none_171125")</f>
        <v>NEW_Japan_1841_none_171125</v>
      </c>
      <c r="S144" s="67" t="str">
        <f>IFERROR(__xludf.DUMMYFUNCTION("""COMPUTED_VALUE"""),"saletructiep_Japan.M566MES.1840.giaotiep_THCNGDP_LD153")</f>
        <v>saletructiep_Japan.M566MES.1840.giaotiep_THCNGDP_LD153</v>
      </c>
      <c r="T144" s="107" t="str">
        <f>IFERROR(__xludf.DUMMYFUNCTION("""COMPUTED_VALUE"""),"https://patadovietnam.edu.vn/tienganhgiaotiep_hn/?utm_source=Tiktok&amp;utm_medium=MES&amp;utm_term=NEW_Japan_1841_none_171125&amp;utm_content=saletructiep_Japan.M566MES.1840.giaotiep_THCNGDP_LD153&amp;utm_campaign=Japan.giaotiep.M566MES_PTD_Tiktok_NamNH_171125")</f>
        <v>https://patadovietnam.edu.vn/tienganhgiaotiep_hn/?utm_source=Tiktok&amp;utm_medium=MES&amp;utm_term=NEW_Japan_1841_none_171125&amp;utm_content=saletructiep_Japan.M566MES.1840.giaotiep_THCNGDP_LD153&amp;utm_campaign=Japan.giaotiep.M566MES_PTD_Tiktok_NamNH_171125</v>
      </c>
      <c r="U144" s="118"/>
    </row>
    <row r="145">
      <c r="A145" s="72">
        <v>45994.0</v>
      </c>
      <c r="B145" s="75" t="s">
        <v>1134</v>
      </c>
      <c r="C145" s="67" t="str">
        <f>IFERROR(__xludf.DUMMYFUNCTION("""COMPUTED_VALUE"""),"LD153")</f>
        <v>LD153</v>
      </c>
      <c r="D145" s="55" t="s">
        <v>1135</v>
      </c>
      <c r="E145" s="55" t="s">
        <v>79</v>
      </c>
      <c r="F145" s="55" t="s">
        <v>133</v>
      </c>
      <c r="G145" s="55">
        <v>1841.0</v>
      </c>
      <c r="H145" s="55" t="s">
        <v>1137</v>
      </c>
      <c r="I145" s="115" t="s">
        <v>2175</v>
      </c>
      <c r="J145" s="95" t="s">
        <v>2176</v>
      </c>
      <c r="K145" s="55" t="s">
        <v>61</v>
      </c>
      <c r="L145" s="55" t="s">
        <v>1141</v>
      </c>
      <c r="M145" s="55" t="s">
        <v>78</v>
      </c>
      <c r="N145" s="55" t="s">
        <v>1135</v>
      </c>
      <c r="O145" s="55" t="s">
        <v>1142</v>
      </c>
      <c r="P145" s="55" t="s">
        <v>110</v>
      </c>
      <c r="Q145" s="67" t="str">
        <f>IFERROR(__xludf.DUMMYFUNCTION("""COMPUTED_VALUE"""),"Japan.giaotiep.M565_PTD_Tiktok_NamNH_031225")</f>
        <v>Japan.giaotiep.M565_PTD_Tiktok_NamNH_031225</v>
      </c>
      <c r="R145" s="67" t="str">
        <f>IFERROR(__xludf.DUMMYFUNCTION("""COMPUTED_VALUE"""),"NEW_Japan_1841_none_031225")</f>
        <v>NEW_Japan_1841_none_031225</v>
      </c>
      <c r="S145" s="67" t="str">
        <f>IFERROR(__xludf.DUMMYFUNCTION("""COMPUTED_VALUE"""),"saletructiep_Japan.M565.1840.giaotiep_THCNGDP_LD153")</f>
        <v>saletructiep_Japan.M565.1840.giaotiep_THCNGDP_LD153</v>
      </c>
      <c r="T145" s="107" t="str">
        <f>IFERROR(__xludf.DUMMYFUNCTION("""COMPUTED_VALUE"""),"https://patadovietnam.edu.vn/tienganhgiaotiep_hn/?utm_source=Tiktok&amp;utm_medium=MES&amp;utm_term=NEW_Japan_1841_none_031225&amp;utm_content=saletructiep_Japan.M565.1840.giaotiep_THCNGDP_LD153&amp;utm_campaign=Japan.giaotiep.M565_PTD_Tiktok_NamNH_031225")</f>
        <v>https://patadovietnam.edu.vn/tienganhgiaotiep_hn/?utm_source=Tiktok&amp;utm_medium=MES&amp;utm_term=NEW_Japan_1841_none_031225&amp;utm_content=saletructiep_Japan.M565.1840.giaotiep_THCNGDP_LD153&amp;utm_campaign=Japan.giaotiep.M565_PTD_Tiktok_NamNH_031225</v>
      </c>
      <c r="U145" s="118"/>
    </row>
    <row r="146">
      <c r="A146" s="72">
        <v>45994.0</v>
      </c>
      <c r="B146" s="75" t="s">
        <v>1134</v>
      </c>
      <c r="C146" s="67" t="str">
        <f>IFERROR(__xludf.DUMMYFUNCTION("""COMPUTED_VALUE"""),"LD153")</f>
        <v>LD153</v>
      </c>
      <c r="D146" s="55" t="s">
        <v>1135</v>
      </c>
      <c r="E146" s="55" t="s">
        <v>79</v>
      </c>
      <c r="F146" s="55" t="s">
        <v>133</v>
      </c>
      <c r="G146" s="55">
        <v>1841.0</v>
      </c>
      <c r="H146" s="55" t="s">
        <v>1137</v>
      </c>
      <c r="I146" s="115" t="s">
        <v>2181</v>
      </c>
      <c r="J146" s="95" t="s">
        <v>2182</v>
      </c>
      <c r="K146" s="55" t="s">
        <v>61</v>
      </c>
      <c r="L146" s="55" t="s">
        <v>1141</v>
      </c>
      <c r="M146" s="55" t="s">
        <v>78</v>
      </c>
      <c r="N146" s="55" t="s">
        <v>1135</v>
      </c>
      <c r="O146" s="55" t="s">
        <v>1142</v>
      </c>
      <c r="P146" s="55" t="s">
        <v>110</v>
      </c>
      <c r="Q146" s="67" t="str">
        <f>IFERROR(__xludf.DUMMYFUNCTION("""COMPUTED_VALUE"""),"Japan.giaotiep.M596_PTD_Tiktok_NamNH_031225")</f>
        <v>Japan.giaotiep.M596_PTD_Tiktok_NamNH_031225</v>
      </c>
      <c r="R146" s="67" t="str">
        <f>IFERROR(__xludf.DUMMYFUNCTION("""COMPUTED_VALUE"""),"NEW_Japan_1841_none_031225")</f>
        <v>NEW_Japan_1841_none_031225</v>
      </c>
      <c r="S146" s="67" t="str">
        <f>IFERROR(__xludf.DUMMYFUNCTION("""COMPUTED_VALUE"""),"saletructiep_Japan.M596.1840.giaotiep_THCNGDP_LD153")</f>
        <v>saletructiep_Japan.M596.1840.giaotiep_THCNGDP_LD153</v>
      </c>
      <c r="T146" s="107" t="str">
        <f>IFERROR(__xludf.DUMMYFUNCTION("""COMPUTED_VALUE"""),"https://patadovietnam.edu.vn/tienganhgiaotiep_hn/?utm_source=Tiktok&amp;utm_medium=MES&amp;utm_term=NEW_Japan_1841_none_031225&amp;utm_content=saletructiep_Japan.M596.1840.giaotiep_THCNGDP_LD153&amp;utm_campaign=Japan.giaotiep.M596_PTD_Tiktok_NamNH_031225")</f>
        <v>https://patadovietnam.edu.vn/tienganhgiaotiep_hn/?utm_source=Tiktok&amp;utm_medium=MES&amp;utm_term=NEW_Japan_1841_none_031225&amp;utm_content=saletructiep_Japan.M596.1840.giaotiep_THCNGDP_LD153&amp;utm_campaign=Japan.giaotiep.M596_PTD_Tiktok_NamNH_031225</v>
      </c>
      <c r="U146" s="118"/>
    </row>
    <row r="147">
      <c r="A147" s="72">
        <v>45994.0</v>
      </c>
      <c r="B147" s="75" t="s">
        <v>1134</v>
      </c>
      <c r="C147" s="67" t="str">
        <f>IFERROR(__xludf.DUMMYFUNCTION("""COMPUTED_VALUE"""),"LD153")</f>
        <v>LD153</v>
      </c>
      <c r="D147" s="55" t="s">
        <v>1135</v>
      </c>
      <c r="E147" s="55" t="s">
        <v>79</v>
      </c>
      <c r="F147" s="55" t="s">
        <v>539</v>
      </c>
      <c r="G147" s="55">
        <v>1841.0</v>
      </c>
      <c r="H147" s="55" t="s">
        <v>1137</v>
      </c>
      <c r="I147" s="115" t="s">
        <v>2185</v>
      </c>
      <c r="J147" s="95" t="s">
        <v>2186</v>
      </c>
      <c r="K147" s="55" t="s">
        <v>61</v>
      </c>
      <c r="L147" s="55" t="s">
        <v>1141</v>
      </c>
      <c r="M147" s="55" t="s">
        <v>78</v>
      </c>
      <c r="N147" s="55" t="s">
        <v>1135</v>
      </c>
      <c r="O147" s="55" t="s">
        <v>1142</v>
      </c>
      <c r="P147" s="55" t="s">
        <v>110</v>
      </c>
      <c r="Q147" s="67" t="str">
        <f>IFERROR(__xludf.DUMMYFUNCTION("""COMPUTED_VALUE"""),"ALL.giaotiep.M565_PTD_Tiktok_NamNH_031225")</f>
        <v>ALL.giaotiep.M565_PTD_Tiktok_NamNH_031225</v>
      </c>
      <c r="R147" s="67" t="str">
        <f>IFERROR(__xludf.DUMMYFUNCTION("""COMPUTED_VALUE"""),"NEW_ALL_1841_none_031225")</f>
        <v>NEW_ALL_1841_none_031225</v>
      </c>
      <c r="S147" s="67" t="str">
        <f>IFERROR(__xludf.DUMMYFUNCTION("""COMPUTED_VALUE"""),"saletructiep_ALL.M565.1840.giaotiep_THCNGDP_LD153")</f>
        <v>saletructiep_ALL.M565.1840.giaotiep_THCNGDP_LD153</v>
      </c>
      <c r="T147" s="107" t="str">
        <f>IFERROR(__xludf.DUMMYFUNCTION("""COMPUTED_VALUE"""),"https://patadovietnam.edu.vn/tienganhgiaotiep_hn/?utm_source=Tiktok&amp;utm_medium=MES&amp;utm_term=NEW_ALL_1841_none_031225&amp;utm_content=saletructiep_ALL.M565.1840.giaotiep_THCNGDP_LD153&amp;utm_campaign=ALL.giaotiep.M565_PTD_Tiktok_NamNH_031225")</f>
        <v>https://patadovietnam.edu.vn/tienganhgiaotiep_hn/?utm_source=Tiktok&amp;utm_medium=MES&amp;utm_term=NEW_ALL_1841_none_031225&amp;utm_content=saletructiep_ALL.M565.1840.giaotiep_THCNGDP_LD153&amp;utm_campaign=ALL.giaotiep.M565_PTD_Tiktok_NamNH_031225</v>
      </c>
      <c r="U147" s="118"/>
    </row>
    <row r="148">
      <c r="A148" s="72">
        <v>45994.0</v>
      </c>
      <c r="B148" s="75" t="s">
        <v>1134</v>
      </c>
      <c r="C148" s="67" t="str">
        <f>IFERROR(__xludf.DUMMYFUNCTION("""COMPUTED_VALUE"""),"LD153")</f>
        <v>LD153</v>
      </c>
      <c r="D148" s="55" t="s">
        <v>1135</v>
      </c>
      <c r="E148" s="55" t="s">
        <v>79</v>
      </c>
      <c r="F148" s="55" t="s">
        <v>539</v>
      </c>
      <c r="G148" s="55">
        <v>1841.0</v>
      </c>
      <c r="H148" s="55" t="s">
        <v>1137</v>
      </c>
      <c r="I148" s="115" t="s">
        <v>2190</v>
      </c>
      <c r="J148" s="95" t="s">
        <v>2191</v>
      </c>
      <c r="K148" s="55" t="s">
        <v>61</v>
      </c>
      <c r="L148" s="55" t="s">
        <v>1141</v>
      </c>
      <c r="M148" s="55" t="s">
        <v>78</v>
      </c>
      <c r="N148" s="55" t="s">
        <v>1135</v>
      </c>
      <c r="O148" s="55" t="s">
        <v>1142</v>
      </c>
      <c r="P148" s="55" t="s">
        <v>110</v>
      </c>
      <c r="Q148" s="67" t="str">
        <f>IFERROR(__xludf.DUMMYFUNCTION("""COMPUTED_VALUE"""),"ALL.giaotiep.M596_PTD_Tiktok_NamNH_031225")</f>
        <v>ALL.giaotiep.M596_PTD_Tiktok_NamNH_031225</v>
      </c>
      <c r="R148" s="67" t="str">
        <f>IFERROR(__xludf.DUMMYFUNCTION("""COMPUTED_VALUE"""),"NEW_ALL_1841_none_031225")</f>
        <v>NEW_ALL_1841_none_031225</v>
      </c>
      <c r="S148" s="67" t="str">
        <f>IFERROR(__xludf.DUMMYFUNCTION("""COMPUTED_VALUE"""),"saletructiep_ALL.M596.1840.giaotiep_THCNGDP_LD153")</f>
        <v>saletructiep_ALL.M596.1840.giaotiep_THCNGDP_LD153</v>
      </c>
      <c r="T148" s="107" t="str">
        <f>IFERROR(__xludf.DUMMYFUNCTION("""COMPUTED_VALUE"""),"https://patadovietnam.edu.vn/tienganhgiaotiep_hn/?utm_source=Tiktok&amp;utm_medium=MES&amp;utm_term=NEW_ALL_1841_none_031225&amp;utm_content=saletructiep_ALL.M596.1840.giaotiep_THCNGDP_LD153&amp;utm_campaign=ALL.giaotiep.M596_PTD_Tiktok_NamNH_031225")</f>
        <v>https://patadovietnam.edu.vn/tienganhgiaotiep_hn/?utm_source=Tiktok&amp;utm_medium=MES&amp;utm_term=NEW_ALL_1841_none_031225&amp;utm_content=saletructiep_ALL.M596.1840.giaotiep_THCNGDP_LD153&amp;utm_campaign=ALL.giaotiep.M596_PTD_Tiktok_NamNH_031225</v>
      </c>
      <c r="U148" s="118"/>
    </row>
    <row r="149">
      <c r="A149" s="72">
        <v>45994.0</v>
      </c>
      <c r="B149" s="75" t="s">
        <v>1134</v>
      </c>
      <c r="C149" s="67" t="str">
        <f>IFERROR(__xludf.DUMMYFUNCTION("""COMPUTED_VALUE"""),"LD153")</f>
        <v>LD153</v>
      </c>
      <c r="D149" s="55" t="s">
        <v>1135</v>
      </c>
      <c r="E149" s="55" t="s">
        <v>79</v>
      </c>
      <c r="F149" s="55" t="s">
        <v>674</v>
      </c>
      <c r="G149" s="55">
        <v>1841.0</v>
      </c>
      <c r="H149" s="55" t="s">
        <v>1137</v>
      </c>
      <c r="I149" s="115" t="s">
        <v>2195</v>
      </c>
      <c r="J149" s="95" t="s">
        <v>2196</v>
      </c>
      <c r="K149" s="55" t="s">
        <v>61</v>
      </c>
      <c r="L149" s="55" t="s">
        <v>1141</v>
      </c>
      <c r="M149" s="55" t="s">
        <v>78</v>
      </c>
      <c r="N149" s="55" t="s">
        <v>1135</v>
      </c>
      <c r="O149" s="55" t="s">
        <v>1142</v>
      </c>
      <c r="P149" s="55" t="s">
        <v>110</v>
      </c>
      <c r="Q149" s="67" t="str">
        <f>IFERROR(__xludf.DUMMYFUNCTION("""COMPUTED_VALUE"""),"Europe.giaotiep.M565_PTD_Tiktok_NamNH_031225")</f>
        <v>Europe.giaotiep.M565_PTD_Tiktok_NamNH_031225</v>
      </c>
      <c r="R149" s="67" t="str">
        <f>IFERROR(__xludf.DUMMYFUNCTION("""COMPUTED_VALUE"""),"NEW_Europe_1841_none_031225")</f>
        <v>NEW_Europe_1841_none_031225</v>
      </c>
      <c r="S149" s="67" t="str">
        <f>IFERROR(__xludf.DUMMYFUNCTION("""COMPUTED_VALUE"""),"saletructiep_Europe.M565.1840.giaotiep_THCNGDP_LD153")</f>
        <v>saletructiep_Europe.M565.1840.giaotiep_THCNGDP_LD153</v>
      </c>
      <c r="T149" s="107" t="str">
        <f>IFERROR(__xludf.DUMMYFUNCTION("""COMPUTED_VALUE"""),"https://patadovietnam.edu.vn/tienganhgiaotiep_hn/?utm_source=Tiktok&amp;utm_medium=MES&amp;utm_term=NEW_Europe_1841_none_031225&amp;utm_content=saletructiep_Europe.M565.1840.giaotiep_THCNGDP_LD153&amp;utm_campaign=Europe.giaotiep.M565_PTD_Tiktok_NamNH_031225")</f>
        <v>https://patadovietnam.edu.vn/tienganhgiaotiep_hn/?utm_source=Tiktok&amp;utm_medium=MES&amp;utm_term=NEW_Europe_1841_none_031225&amp;utm_content=saletructiep_Europe.M565.1840.giaotiep_THCNGDP_LD153&amp;utm_campaign=Europe.giaotiep.M565_PTD_Tiktok_NamNH_031225</v>
      </c>
      <c r="U149" s="118"/>
    </row>
    <row r="150">
      <c r="A150" s="72">
        <v>45994.0</v>
      </c>
      <c r="B150" s="75" t="s">
        <v>1134</v>
      </c>
      <c r="C150" s="67" t="str">
        <f>IFERROR(__xludf.DUMMYFUNCTION("""COMPUTED_VALUE"""),"LD153")</f>
        <v>LD153</v>
      </c>
      <c r="D150" s="55" t="s">
        <v>1135</v>
      </c>
      <c r="E150" s="55" t="s">
        <v>79</v>
      </c>
      <c r="F150" s="55" t="s">
        <v>674</v>
      </c>
      <c r="G150" s="55">
        <v>1841.0</v>
      </c>
      <c r="H150" s="55" t="s">
        <v>1137</v>
      </c>
      <c r="I150" s="115" t="s">
        <v>2203</v>
      </c>
      <c r="J150" s="95" t="s">
        <v>2204</v>
      </c>
      <c r="K150" s="55" t="s">
        <v>61</v>
      </c>
      <c r="L150" s="55" t="s">
        <v>1141</v>
      </c>
      <c r="M150" s="55" t="s">
        <v>78</v>
      </c>
      <c r="N150" s="55" t="s">
        <v>1135</v>
      </c>
      <c r="O150" s="55" t="s">
        <v>1142</v>
      </c>
      <c r="P150" s="55" t="s">
        <v>110</v>
      </c>
      <c r="Q150" s="67" t="str">
        <f>IFERROR(__xludf.DUMMYFUNCTION("""COMPUTED_VALUE"""),"Europe.giaotiep.M596_PTD_Tiktok_NamNH_031225")</f>
        <v>Europe.giaotiep.M596_PTD_Tiktok_NamNH_031225</v>
      </c>
      <c r="R150" s="67" t="str">
        <f>IFERROR(__xludf.DUMMYFUNCTION("""COMPUTED_VALUE"""),"NEW_Europe_1841_none_031225")</f>
        <v>NEW_Europe_1841_none_031225</v>
      </c>
      <c r="S150" s="67" t="str">
        <f>IFERROR(__xludf.DUMMYFUNCTION("""COMPUTED_VALUE"""),"saletructiep_Europe.M596.1840.giaotiep_THCNGDP_LD153")</f>
        <v>saletructiep_Europe.M596.1840.giaotiep_THCNGDP_LD153</v>
      </c>
      <c r="T150" s="107" t="str">
        <f>IFERROR(__xludf.DUMMYFUNCTION("""COMPUTED_VALUE"""),"https://patadovietnam.edu.vn/tienganhgiaotiep_hn/?utm_source=Tiktok&amp;utm_medium=MES&amp;utm_term=NEW_Europe_1841_none_031225&amp;utm_content=saletructiep_Europe.M596.1840.giaotiep_THCNGDP_LD153&amp;utm_campaign=Europe.giaotiep.M596_PTD_Tiktok_NamNH_031225")</f>
        <v>https://patadovietnam.edu.vn/tienganhgiaotiep_hn/?utm_source=Tiktok&amp;utm_medium=MES&amp;utm_term=NEW_Europe_1841_none_031225&amp;utm_content=saletructiep_Europe.M596.1840.giaotiep_THCNGDP_LD153&amp;utm_campaign=Europe.giaotiep.M596_PTD_Tiktok_NamNH_031225</v>
      </c>
      <c r="U150" s="118"/>
    </row>
    <row r="151">
      <c r="A151" s="72">
        <v>46001.0</v>
      </c>
      <c r="B151" s="75" t="s">
        <v>1134</v>
      </c>
      <c r="C151" s="67" t="str">
        <f>IFERROR(__xludf.DUMMYFUNCTION("""COMPUTED_VALUE"""),"LD153")</f>
        <v>LD153</v>
      </c>
      <c r="D151" s="55" t="s">
        <v>1135</v>
      </c>
      <c r="E151" s="55" t="s">
        <v>79</v>
      </c>
      <c r="F151" s="55" t="s">
        <v>133</v>
      </c>
      <c r="G151" s="55">
        <v>1841.0</v>
      </c>
      <c r="H151" s="55" t="s">
        <v>1137</v>
      </c>
      <c r="I151" s="115" t="s">
        <v>2210</v>
      </c>
      <c r="J151" s="95" t="s">
        <v>2211</v>
      </c>
      <c r="K151" s="55" t="s">
        <v>61</v>
      </c>
      <c r="L151" s="55" t="s">
        <v>1141</v>
      </c>
      <c r="M151" s="55" t="s">
        <v>78</v>
      </c>
      <c r="N151" s="55" t="s">
        <v>1135</v>
      </c>
      <c r="O151" s="55" t="s">
        <v>1142</v>
      </c>
      <c r="P151" s="55" t="s">
        <v>110</v>
      </c>
      <c r="Q151" s="67" t="str">
        <f>IFERROR(__xludf.DUMMYFUNCTION("""COMPUTED_VALUE"""),"Japan.giaotiep.P251_PTD_Tiktok_NamNH_101225")</f>
        <v>Japan.giaotiep.P251_PTD_Tiktok_NamNH_101225</v>
      </c>
      <c r="R151" s="67" t="str">
        <f>IFERROR(__xludf.DUMMYFUNCTION("""COMPUTED_VALUE"""),"NEW_Japan_1841_none_101225")</f>
        <v>NEW_Japan_1841_none_101225</v>
      </c>
      <c r="S151" s="67" t="str">
        <f>IFERROR(__xludf.DUMMYFUNCTION("""COMPUTED_VALUE"""),"saletructiep_Japan.P251.1840.giaotiep_THCNGDP_LD153")</f>
        <v>saletructiep_Japan.P251.1840.giaotiep_THCNGDP_LD153</v>
      </c>
      <c r="T151" s="107" t="str">
        <f>IFERROR(__xludf.DUMMYFUNCTION("""COMPUTED_VALUE"""),"https://patadovietnam.edu.vn/tienganhgiaotiep_hn/?utm_source=Tiktok&amp;utm_medium=MES&amp;utm_term=NEW_Japan_1841_none_101225&amp;utm_content=saletructiep_Japan.P251.1840.giaotiep_THCNGDP_LD153&amp;utm_campaign=Japan.giaotiep.P251_PTD_Tiktok_NamNH_101225")</f>
        <v>https://patadovietnam.edu.vn/tienganhgiaotiep_hn/?utm_source=Tiktok&amp;utm_medium=MES&amp;utm_term=NEW_Japan_1841_none_101225&amp;utm_content=saletructiep_Japan.P251.1840.giaotiep_THCNGDP_LD153&amp;utm_campaign=Japan.giaotiep.P251_PTD_Tiktok_NamNH_101225</v>
      </c>
      <c r="U151" s="118"/>
    </row>
    <row r="152">
      <c r="A152" s="72">
        <v>46001.0</v>
      </c>
      <c r="B152" s="75" t="s">
        <v>1134</v>
      </c>
      <c r="C152" s="67" t="str">
        <f>IFERROR(__xludf.DUMMYFUNCTION("""COMPUTED_VALUE"""),"LD153")</f>
        <v>LD153</v>
      </c>
      <c r="D152" s="55" t="s">
        <v>1135</v>
      </c>
      <c r="E152" s="55" t="s">
        <v>79</v>
      </c>
      <c r="F152" s="55" t="s">
        <v>539</v>
      </c>
      <c r="G152" s="55">
        <v>1841.0</v>
      </c>
      <c r="H152" s="55" t="s">
        <v>1137</v>
      </c>
      <c r="I152" s="115" t="s">
        <v>2215</v>
      </c>
      <c r="J152" s="95" t="s">
        <v>2216</v>
      </c>
      <c r="K152" s="55" t="s">
        <v>61</v>
      </c>
      <c r="L152" s="55" t="s">
        <v>1141</v>
      </c>
      <c r="M152" s="55" t="s">
        <v>78</v>
      </c>
      <c r="N152" s="55" t="s">
        <v>1135</v>
      </c>
      <c r="O152" s="55" t="s">
        <v>1142</v>
      </c>
      <c r="P152" s="55" t="s">
        <v>110</v>
      </c>
      <c r="Q152" s="67" t="str">
        <f>IFERROR(__xludf.DUMMYFUNCTION("""COMPUTED_VALUE"""),"ALL.giaotiep.P250_PTD_Tiktok_NamNH_101225")</f>
        <v>ALL.giaotiep.P250_PTD_Tiktok_NamNH_101225</v>
      </c>
      <c r="R152" s="67" t="str">
        <f>IFERROR(__xludf.DUMMYFUNCTION("""COMPUTED_VALUE"""),"NEW_ALL_1841_none_101225")</f>
        <v>NEW_ALL_1841_none_101225</v>
      </c>
      <c r="S152" s="67" t="str">
        <f>IFERROR(__xludf.DUMMYFUNCTION("""COMPUTED_VALUE"""),"saletructiep_ALL.P250.1840.giaotiep_THCNGDP_LD153")</f>
        <v>saletructiep_ALL.P250.1840.giaotiep_THCNGDP_LD153</v>
      </c>
      <c r="T152" s="107" t="str">
        <f>IFERROR(__xludf.DUMMYFUNCTION("""COMPUTED_VALUE"""),"https://patadovietnam.edu.vn/tienganhgiaotiep_hn/?utm_source=Tiktok&amp;utm_medium=MES&amp;utm_term=NEW_ALL_1841_none_101225&amp;utm_content=saletructiep_ALL.P250.1840.giaotiep_THCNGDP_LD153&amp;utm_campaign=ALL.giaotiep.P250_PTD_Tiktok_NamNH_101225")</f>
        <v>https://patadovietnam.edu.vn/tienganhgiaotiep_hn/?utm_source=Tiktok&amp;utm_medium=MES&amp;utm_term=NEW_ALL_1841_none_101225&amp;utm_content=saletructiep_ALL.P250.1840.giaotiep_THCNGDP_LD153&amp;utm_campaign=ALL.giaotiep.P250_PTD_Tiktok_NamNH_101225</v>
      </c>
      <c r="U152" s="118"/>
    </row>
    <row r="153">
      <c r="A153" s="72">
        <v>46001.0</v>
      </c>
      <c r="B153" s="75" t="s">
        <v>1134</v>
      </c>
      <c r="C153" s="67" t="str">
        <f>IFERROR(__xludf.DUMMYFUNCTION("""COMPUTED_VALUE"""),"LD153")</f>
        <v>LD153</v>
      </c>
      <c r="D153" s="55" t="s">
        <v>1135</v>
      </c>
      <c r="E153" s="55" t="s">
        <v>79</v>
      </c>
      <c r="F153" s="55" t="s">
        <v>674</v>
      </c>
      <c r="G153" s="55">
        <v>1841.0</v>
      </c>
      <c r="H153" s="55" t="s">
        <v>1137</v>
      </c>
      <c r="I153" s="115" t="s">
        <v>2219</v>
      </c>
      <c r="J153" s="95" t="s">
        <v>2220</v>
      </c>
      <c r="K153" s="55" t="s">
        <v>61</v>
      </c>
      <c r="L153" s="55" t="s">
        <v>1141</v>
      </c>
      <c r="M153" s="55" t="s">
        <v>78</v>
      </c>
      <c r="N153" s="55" t="s">
        <v>1135</v>
      </c>
      <c r="O153" s="55" t="s">
        <v>1142</v>
      </c>
      <c r="P153" s="55" t="s">
        <v>110</v>
      </c>
      <c r="Q153" s="67" t="str">
        <f>IFERROR(__xludf.DUMMYFUNCTION("""COMPUTED_VALUE"""),"Europe.giaotiep.P249_PTD_Tiktok_NamNH_101225")</f>
        <v>Europe.giaotiep.P249_PTD_Tiktok_NamNH_101225</v>
      </c>
      <c r="R153" s="67" t="str">
        <f>IFERROR(__xludf.DUMMYFUNCTION("""COMPUTED_VALUE"""),"NEW_Europe_1841_none_101225")</f>
        <v>NEW_Europe_1841_none_101225</v>
      </c>
      <c r="S153" s="67" t="str">
        <f>IFERROR(__xludf.DUMMYFUNCTION("""COMPUTED_VALUE"""),"saletructiep_Europe.P249.1840.giaotiep_THCNGDP_LD153")</f>
        <v>saletructiep_Europe.P249.1840.giaotiep_THCNGDP_LD153</v>
      </c>
      <c r="T153" s="107" t="str">
        <f>IFERROR(__xludf.DUMMYFUNCTION("""COMPUTED_VALUE"""),"https://patadovietnam.edu.vn/tienganhgiaotiep_hn/?utm_source=Tiktok&amp;utm_medium=MES&amp;utm_term=NEW_Europe_1841_none_101225&amp;utm_content=saletructiep_Europe.P249.1840.giaotiep_THCNGDP_LD153&amp;utm_campaign=Europe.giaotiep.P249_PTD_Tiktok_NamNH_101225")</f>
        <v>https://patadovietnam.edu.vn/tienganhgiaotiep_hn/?utm_source=Tiktok&amp;utm_medium=MES&amp;utm_term=NEW_Europe_1841_none_101225&amp;utm_content=saletructiep_Europe.P249.1840.giaotiep_THCNGDP_LD153&amp;utm_campaign=Europe.giaotiep.P249_PTD_Tiktok_NamNH_101225</v>
      </c>
      <c r="U153" s="118"/>
    </row>
    <row r="154">
      <c r="A154" s="72">
        <v>46003.0</v>
      </c>
      <c r="B154" s="75" t="s">
        <v>1134</v>
      </c>
      <c r="C154" s="67" t="str">
        <f>IFERROR(__xludf.DUMMYFUNCTION("""COMPUTED_VALUE"""),"LD153")</f>
        <v>LD153</v>
      </c>
      <c r="D154" s="55" t="s">
        <v>1135</v>
      </c>
      <c r="E154" s="55" t="s">
        <v>79</v>
      </c>
      <c r="F154" s="55" t="s">
        <v>539</v>
      </c>
      <c r="G154" s="55">
        <v>1841.0</v>
      </c>
      <c r="H154" s="55" t="s">
        <v>1137</v>
      </c>
      <c r="I154" s="115" t="s">
        <v>2225</v>
      </c>
      <c r="J154" s="95" t="s">
        <v>2226</v>
      </c>
      <c r="K154" s="55" t="s">
        <v>61</v>
      </c>
      <c r="L154" s="55" t="s">
        <v>1141</v>
      </c>
      <c r="M154" s="55" t="s">
        <v>78</v>
      </c>
      <c r="N154" s="55" t="s">
        <v>1135</v>
      </c>
      <c r="O154" s="55" t="s">
        <v>1142</v>
      </c>
      <c r="P154" s="55" t="s">
        <v>110</v>
      </c>
      <c r="Q154" s="67" t="str">
        <f>IFERROR(__xludf.DUMMYFUNCTION("""COMPUTED_VALUE"""),"ALL.giaotiep.P282_PTD_Tiktok_NamNH_121225")</f>
        <v>ALL.giaotiep.P282_PTD_Tiktok_NamNH_121225</v>
      </c>
      <c r="R154" s="67" t="str">
        <f>IFERROR(__xludf.DUMMYFUNCTION("""COMPUTED_VALUE"""),"NEW_ALL_1841_none_121225")</f>
        <v>NEW_ALL_1841_none_121225</v>
      </c>
      <c r="S154" s="67" t="str">
        <f>IFERROR(__xludf.DUMMYFUNCTION("""COMPUTED_VALUE"""),"saletructiep_ALL.P282.1840.giaotiep_THCNGDP_LD153")</f>
        <v>saletructiep_ALL.P282.1840.giaotiep_THCNGDP_LD153</v>
      </c>
      <c r="T154" s="107" t="str">
        <f>IFERROR(__xludf.DUMMYFUNCTION("""COMPUTED_VALUE"""),"https://patadovietnam.edu.vn/tienganhgiaotiep_hn/?utm_source=Tiktok&amp;utm_medium=MES&amp;utm_term=NEW_ALL_1841_none_121225&amp;utm_content=saletructiep_ALL.P282.1840.giaotiep_THCNGDP_LD153&amp;utm_campaign=ALL.giaotiep.P282_PTD_Tiktok_NamNH_121225")</f>
        <v>https://patadovietnam.edu.vn/tienganhgiaotiep_hn/?utm_source=Tiktok&amp;utm_medium=MES&amp;utm_term=NEW_ALL_1841_none_121225&amp;utm_content=saletructiep_ALL.P282.1840.giaotiep_THCNGDP_LD153&amp;utm_campaign=ALL.giaotiep.P282_PTD_Tiktok_NamNH_121225</v>
      </c>
      <c r="U154" s="118"/>
    </row>
    <row r="155">
      <c r="A155" s="72">
        <v>46003.0</v>
      </c>
      <c r="B155" s="75" t="s">
        <v>1134</v>
      </c>
      <c r="C155" s="67" t="str">
        <f>IFERROR(__xludf.DUMMYFUNCTION("""COMPUTED_VALUE"""),"LD153")</f>
        <v>LD153</v>
      </c>
      <c r="D155" s="55" t="s">
        <v>1135</v>
      </c>
      <c r="E155" s="55" t="s">
        <v>79</v>
      </c>
      <c r="F155" s="55" t="s">
        <v>674</v>
      </c>
      <c r="G155" s="55">
        <v>1841.0</v>
      </c>
      <c r="H155" s="55" t="s">
        <v>1137</v>
      </c>
      <c r="I155" s="115" t="s">
        <v>2230</v>
      </c>
      <c r="J155" s="95" t="s">
        <v>2231</v>
      </c>
      <c r="K155" s="55" t="s">
        <v>61</v>
      </c>
      <c r="L155" s="55" t="s">
        <v>1141</v>
      </c>
      <c r="M155" s="55" t="s">
        <v>78</v>
      </c>
      <c r="N155" s="55" t="s">
        <v>1135</v>
      </c>
      <c r="O155" s="55" t="s">
        <v>1142</v>
      </c>
      <c r="P155" s="55" t="s">
        <v>110</v>
      </c>
      <c r="Q155" s="67" t="str">
        <f>IFERROR(__xludf.DUMMYFUNCTION("""COMPUTED_VALUE"""),"Europe.giaotiep.P283_PTD_Tiktok_NamNH_121225")</f>
        <v>Europe.giaotiep.P283_PTD_Tiktok_NamNH_121225</v>
      </c>
      <c r="R155" s="67" t="str">
        <f>IFERROR(__xludf.DUMMYFUNCTION("""COMPUTED_VALUE"""),"NEW_Europe_1841_none_121225")</f>
        <v>NEW_Europe_1841_none_121225</v>
      </c>
      <c r="S155" s="67" t="str">
        <f>IFERROR(__xludf.DUMMYFUNCTION("""COMPUTED_VALUE"""),"saletructiep_Europe.P283.1840.giaotiep_THCNGDP_LD153")</f>
        <v>saletructiep_Europe.P283.1840.giaotiep_THCNGDP_LD153</v>
      </c>
      <c r="T155" s="107" t="str">
        <f>IFERROR(__xludf.DUMMYFUNCTION("""COMPUTED_VALUE"""),"https://patadovietnam.edu.vn/tienganhgiaotiep_hn/?utm_source=Tiktok&amp;utm_medium=MES&amp;utm_term=NEW_Europe_1841_none_121225&amp;utm_content=saletructiep_Europe.P283.1840.giaotiep_THCNGDP_LD153&amp;utm_campaign=Europe.giaotiep.P283_PTD_Tiktok_NamNH_121225")</f>
        <v>https://patadovietnam.edu.vn/tienganhgiaotiep_hn/?utm_source=Tiktok&amp;utm_medium=MES&amp;utm_term=NEW_Europe_1841_none_121225&amp;utm_content=saletructiep_Europe.P283.1840.giaotiep_THCNGDP_LD153&amp;utm_campaign=Europe.giaotiep.P283_PTD_Tiktok_NamNH_121225</v>
      </c>
      <c r="U155" s="118"/>
    </row>
    <row r="156">
      <c r="A156" s="72">
        <v>46003.0</v>
      </c>
      <c r="B156" s="75" t="s">
        <v>1134</v>
      </c>
      <c r="C156" s="67" t="str">
        <f>IFERROR(__xludf.DUMMYFUNCTION("""COMPUTED_VALUE"""),"LD153")</f>
        <v>LD153</v>
      </c>
      <c r="D156" s="55" t="s">
        <v>1135</v>
      </c>
      <c r="E156" s="55" t="s">
        <v>79</v>
      </c>
      <c r="F156" s="55" t="s">
        <v>133</v>
      </c>
      <c r="G156" s="55">
        <v>1841.0</v>
      </c>
      <c r="H156" s="55" t="s">
        <v>1137</v>
      </c>
      <c r="I156" s="115" t="s">
        <v>2236</v>
      </c>
      <c r="J156" s="95" t="s">
        <v>2237</v>
      </c>
      <c r="K156" s="55" t="s">
        <v>61</v>
      </c>
      <c r="L156" s="55" t="s">
        <v>1141</v>
      </c>
      <c r="M156" s="55" t="s">
        <v>78</v>
      </c>
      <c r="N156" s="55" t="s">
        <v>1135</v>
      </c>
      <c r="O156" s="55" t="s">
        <v>1142</v>
      </c>
      <c r="P156" s="55" t="s">
        <v>110</v>
      </c>
      <c r="Q156" s="67" t="str">
        <f>IFERROR(__xludf.DUMMYFUNCTION("""COMPUTED_VALUE"""),"Japan.giaotiep.P284_PTD_Tiktok_NamNH_121225")</f>
        <v>Japan.giaotiep.P284_PTD_Tiktok_NamNH_121225</v>
      </c>
      <c r="R156" s="67" t="str">
        <f>IFERROR(__xludf.DUMMYFUNCTION("""COMPUTED_VALUE"""),"NEW_Japan_1841_none_121225")</f>
        <v>NEW_Japan_1841_none_121225</v>
      </c>
      <c r="S156" s="67" t="str">
        <f>IFERROR(__xludf.DUMMYFUNCTION("""COMPUTED_VALUE"""),"saletructiep_Japan.P284.1840.giaotiep_THCNGDP_LD153")</f>
        <v>saletructiep_Japan.P284.1840.giaotiep_THCNGDP_LD153</v>
      </c>
      <c r="T156" s="107" t="str">
        <f>IFERROR(__xludf.DUMMYFUNCTION("""COMPUTED_VALUE"""),"https://patadovietnam.edu.vn/tienganhgiaotiep_hn/?utm_source=Tiktok&amp;utm_medium=MES&amp;utm_term=NEW_Japan_1841_none_121225&amp;utm_content=saletructiep_Japan.P284.1840.giaotiep_THCNGDP_LD153&amp;utm_campaign=Japan.giaotiep.P284_PTD_Tiktok_NamNH_121225")</f>
        <v>https://patadovietnam.edu.vn/tienganhgiaotiep_hn/?utm_source=Tiktok&amp;utm_medium=MES&amp;utm_term=NEW_Japan_1841_none_121225&amp;utm_content=saletructiep_Japan.P284.1840.giaotiep_THCNGDP_LD153&amp;utm_campaign=Japan.giaotiep.P284_PTD_Tiktok_NamNH_121225</v>
      </c>
      <c r="U156" s="118"/>
    </row>
    <row r="157">
      <c r="A157" s="72">
        <v>46008.0</v>
      </c>
      <c r="B157" s="75" t="s">
        <v>1134</v>
      </c>
      <c r="C157" s="67" t="str">
        <f>IFERROR(__xludf.DUMMYFUNCTION("""COMPUTED_VALUE"""),"LD153")</f>
        <v>LD153</v>
      </c>
      <c r="D157" s="55" t="s">
        <v>1135</v>
      </c>
      <c r="E157" s="55" t="s">
        <v>79</v>
      </c>
      <c r="F157" s="55" t="s">
        <v>133</v>
      </c>
      <c r="G157" s="55">
        <v>1841.0</v>
      </c>
      <c r="H157" s="55" t="s">
        <v>1137</v>
      </c>
      <c r="I157" s="115" t="s">
        <v>2242</v>
      </c>
      <c r="J157" s="95" t="s">
        <v>2243</v>
      </c>
      <c r="K157" s="55" t="s">
        <v>61</v>
      </c>
      <c r="L157" s="55" t="s">
        <v>1141</v>
      </c>
      <c r="M157" s="55" t="s">
        <v>78</v>
      </c>
      <c r="N157" s="55" t="s">
        <v>1135</v>
      </c>
      <c r="O157" s="55" t="s">
        <v>1142</v>
      </c>
      <c r="P157" s="55" t="s">
        <v>110</v>
      </c>
      <c r="Q157" s="67" t="str">
        <f>IFERROR(__xludf.DUMMYFUNCTION("""COMPUTED_VALUE"""),"Japan.giaotiep.P301_PTD_Tiktok_NamNH_171225")</f>
        <v>Japan.giaotiep.P301_PTD_Tiktok_NamNH_171225</v>
      </c>
      <c r="R157" s="67" t="str">
        <f>IFERROR(__xludf.DUMMYFUNCTION("""COMPUTED_VALUE"""),"NEW_Japan_1841_none_171225")</f>
        <v>NEW_Japan_1841_none_171225</v>
      </c>
      <c r="S157" s="67" t="str">
        <f>IFERROR(__xludf.DUMMYFUNCTION("""COMPUTED_VALUE"""),"saletructiep_Japan.P301.1840.giaotiep_THCNGDP_LD153")</f>
        <v>saletructiep_Japan.P301.1840.giaotiep_THCNGDP_LD153</v>
      </c>
      <c r="T157" s="107" t="str">
        <f>IFERROR(__xludf.DUMMYFUNCTION("""COMPUTED_VALUE"""),"https://patadovietnam.edu.vn/tienganhgiaotiep_hn/?utm_source=Tiktok&amp;utm_medium=MES&amp;utm_term=NEW_Japan_1841_none_171225&amp;utm_content=saletructiep_Japan.P301.1840.giaotiep_THCNGDP_LD153&amp;utm_campaign=Japan.giaotiep.P301_PTD_Tiktok_NamNH_171225")</f>
        <v>https://patadovietnam.edu.vn/tienganhgiaotiep_hn/?utm_source=Tiktok&amp;utm_medium=MES&amp;utm_term=NEW_Japan_1841_none_171225&amp;utm_content=saletructiep_Japan.P301.1840.giaotiep_THCNGDP_LD153&amp;utm_campaign=Japan.giaotiep.P301_PTD_Tiktok_NamNH_171225</v>
      </c>
      <c r="U157" s="118"/>
    </row>
    <row r="158">
      <c r="A158" s="72">
        <v>46014.0</v>
      </c>
      <c r="B158" s="75" t="s">
        <v>1134</v>
      </c>
      <c r="C158" s="67" t="str">
        <f>IFERROR(__xludf.DUMMYFUNCTION("""COMPUTED_VALUE"""),"LD153")</f>
        <v>LD153</v>
      </c>
      <c r="D158" s="55" t="s">
        <v>1135</v>
      </c>
      <c r="E158" s="55" t="s">
        <v>79</v>
      </c>
      <c r="F158" s="55" t="s">
        <v>133</v>
      </c>
      <c r="G158" s="55">
        <v>1841.0</v>
      </c>
      <c r="H158" s="55" t="s">
        <v>1137</v>
      </c>
      <c r="I158" s="115" t="s">
        <v>2249</v>
      </c>
      <c r="J158" s="95" t="s">
        <v>2250</v>
      </c>
      <c r="K158" s="55" t="s">
        <v>61</v>
      </c>
      <c r="L158" s="55" t="s">
        <v>1141</v>
      </c>
      <c r="M158" s="55" t="s">
        <v>78</v>
      </c>
      <c r="N158" s="55" t="s">
        <v>1135</v>
      </c>
      <c r="O158" s="55" t="s">
        <v>1142</v>
      </c>
      <c r="P158" s="55" t="s">
        <v>110</v>
      </c>
      <c r="Q158" s="67" t="str">
        <f>IFERROR(__xludf.DUMMYFUNCTION("""COMPUTED_VALUE"""),"Japan.giaotiep.P328_PTD_Tiktok_NamNH_231225")</f>
        <v>Japan.giaotiep.P328_PTD_Tiktok_NamNH_231225</v>
      </c>
      <c r="R158" s="67" t="str">
        <f>IFERROR(__xludf.DUMMYFUNCTION("""COMPUTED_VALUE"""),"NEW_Japan_1841_none_231225")</f>
        <v>NEW_Japan_1841_none_231225</v>
      </c>
      <c r="S158" s="67" t="str">
        <f>IFERROR(__xludf.DUMMYFUNCTION("""COMPUTED_VALUE"""),"saletructiep_Japan.P328.1840.giaotiep_THCNGDP_LD153")</f>
        <v>saletructiep_Japan.P328.1840.giaotiep_THCNGDP_LD153</v>
      </c>
      <c r="T158" s="107" t="str">
        <f>IFERROR(__xludf.DUMMYFUNCTION("""COMPUTED_VALUE"""),"https://patadovietnam.edu.vn/tienganhgiaotiep_hn/?utm_source=Tiktok&amp;utm_medium=MES&amp;utm_term=NEW_Japan_1841_none_231225&amp;utm_content=saletructiep_Japan.P328.1840.giaotiep_THCNGDP_LD153&amp;utm_campaign=Japan.giaotiep.P328_PTD_Tiktok_NamNH_231225")</f>
        <v>https://patadovietnam.edu.vn/tienganhgiaotiep_hn/?utm_source=Tiktok&amp;utm_medium=MES&amp;utm_term=NEW_Japan_1841_none_231225&amp;utm_content=saletructiep_Japan.P328.1840.giaotiep_THCNGDP_LD153&amp;utm_campaign=Japan.giaotiep.P328_PTD_Tiktok_NamNH_231225</v>
      </c>
      <c r="U158" s="118"/>
    </row>
    <row r="159">
      <c r="A159" s="72">
        <v>46015.0</v>
      </c>
      <c r="B159" s="75" t="s">
        <v>1134</v>
      </c>
      <c r="C159" s="67" t="str">
        <f>IFERROR(__xludf.DUMMYFUNCTION("""COMPUTED_VALUE"""),"LD153")</f>
        <v>LD153</v>
      </c>
      <c r="D159" s="55" t="s">
        <v>1135</v>
      </c>
      <c r="E159" s="55" t="s">
        <v>79</v>
      </c>
      <c r="F159" s="55" t="s">
        <v>674</v>
      </c>
      <c r="G159" s="55">
        <v>1841.0</v>
      </c>
      <c r="H159" s="55" t="s">
        <v>1137</v>
      </c>
      <c r="I159" s="115" t="s">
        <v>2253</v>
      </c>
      <c r="J159" s="95" t="s">
        <v>2255</v>
      </c>
      <c r="K159" s="55" t="s">
        <v>61</v>
      </c>
      <c r="L159" s="55" t="s">
        <v>1141</v>
      </c>
      <c r="M159" s="55" t="s">
        <v>78</v>
      </c>
      <c r="N159" s="55" t="s">
        <v>1135</v>
      </c>
      <c r="O159" s="55" t="s">
        <v>1142</v>
      </c>
      <c r="P159" s="55" t="s">
        <v>110</v>
      </c>
      <c r="Q159" s="67" t="str">
        <f>IFERROR(__xludf.DUMMYFUNCTION("""COMPUTED_VALUE"""),"Europe.giaotiep.P332_PTD_Tiktok_NamNH_241225")</f>
        <v>Europe.giaotiep.P332_PTD_Tiktok_NamNH_241225</v>
      </c>
      <c r="R159" s="67" t="str">
        <f>IFERROR(__xludf.DUMMYFUNCTION("""COMPUTED_VALUE"""),"NEW_Europe_1841_none_241225")</f>
        <v>NEW_Europe_1841_none_241225</v>
      </c>
      <c r="S159" s="67" t="str">
        <f>IFERROR(__xludf.DUMMYFUNCTION("""COMPUTED_VALUE"""),"saletructiep_Europe.P332.1840.giaotiep_THCNGDP_LD153")</f>
        <v>saletructiep_Europe.P332.1840.giaotiep_THCNGDP_LD153</v>
      </c>
      <c r="T159" s="107" t="str">
        <f>IFERROR(__xludf.DUMMYFUNCTION("""COMPUTED_VALUE"""),"https://patadovietnam.edu.vn/tienganhgiaotiep_hn/?utm_source=Tiktok&amp;utm_medium=MES&amp;utm_term=NEW_Europe_1841_none_241225&amp;utm_content=saletructiep_Europe.P332.1840.giaotiep_THCNGDP_LD153&amp;utm_campaign=Europe.giaotiep.P332_PTD_Tiktok_NamNH_241225")</f>
        <v>https://patadovietnam.edu.vn/tienganhgiaotiep_hn/?utm_source=Tiktok&amp;utm_medium=MES&amp;utm_term=NEW_Europe_1841_none_241225&amp;utm_content=saletructiep_Europe.P332.1840.giaotiep_THCNGDP_LD153&amp;utm_campaign=Europe.giaotiep.P332_PTD_Tiktok_NamNH_241225</v>
      </c>
      <c r="U159" s="118"/>
    </row>
    <row r="160">
      <c r="A160" s="72">
        <v>46015.0</v>
      </c>
      <c r="B160" s="75" t="s">
        <v>1134</v>
      </c>
      <c r="C160" s="67" t="str">
        <f>IFERROR(__xludf.DUMMYFUNCTION("""COMPUTED_VALUE"""),"LD153")</f>
        <v>LD153</v>
      </c>
      <c r="D160" s="55" t="s">
        <v>1135</v>
      </c>
      <c r="E160" s="55" t="s">
        <v>79</v>
      </c>
      <c r="F160" s="55" t="s">
        <v>539</v>
      </c>
      <c r="G160" s="55">
        <v>1841.0</v>
      </c>
      <c r="H160" s="55" t="s">
        <v>1137</v>
      </c>
      <c r="I160" s="115" t="s">
        <v>2258</v>
      </c>
      <c r="J160" s="95" t="s">
        <v>2259</v>
      </c>
      <c r="K160" s="55" t="s">
        <v>61</v>
      </c>
      <c r="L160" s="55" t="s">
        <v>1141</v>
      </c>
      <c r="M160" s="55" t="s">
        <v>78</v>
      </c>
      <c r="N160" s="55" t="s">
        <v>1135</v>
      </c>
      <c r="O160" s="55" t="s">
        <v>1142</v>
      </c>
      <c r="P160" s="55" t="s">
        <v>110</v>
      </c>
      <c r="Q160" s="67" t="str">
        <f>IFERROR(__xludf.DUMMYFUNCTION("""COMPUTED_VALUE"""),"ALL.giaotiep.P333_PTD_Tiktok_NamNH_241225")</f>
        <v>ALL.giaotiep.P333_PTD_Tiktok_NamNH_241225</v>
      </c>
      <c r="R160" s="67" t="str">
        <f>IFERROR(__xludf.DUMMYFUNCTION("""COMPUTED_VALUE"""),"NEW_ALL_1841_none_241225")</f>
        <v>NEW_ALL_1841_none_241225</v>
      </c>
      <c r="S160" s="67" t="str">
        <f>IFERROR(__xludf.DUMMYFUNCTION("""COMPUTED_VALUE"""),"saletructiep_ALL.P333.1840.giaotiep_THCNGDP_LD153")</f>
        <v>saletructiep_ALL.P333.1840.giaotiep_THCNGDP_LD153</v>
      </c>
      <c r="T160" s="107" t="str">
        <f>IFERROR(__xludf.DUMMYFUNCTION("""COMPUTED_VALUE"""),"https://patadovietnam.edu.vn/tienganhgiaotiep_hn/?utm_source=Tiktok&amp;utm_medium=MES&amp;utm_term=NEW_ALL_1841_none_241225&amp;utm_content=saletructiep_ALL.P333.1840.giaotiep_THCNGDP_LD153&amp;utm_campaign=ALL.giaotiep.P333_PTD_Tiktok_NamNH_241225")</f>
        <v>https://patadovietnam.edu.vn/tienganhgiaotiep_hn/?utm_source=Tiktok&amp;utm_medium=MES&amp;utm_term=NEW_ALL_1841_none_241225&amp;utm_content=saletructiep_ALL.P333.1840.giaotiep_THCNGDP_LD153&amp;utm_campaign=ALL.giaotiep.P333_PTD_Tiktok_NamNH_241225</v>
      </c>
      <c r="U160" s="118"/>
    </row>
    <row r="161">
      <c r="A161" s="72">
        <v>46015.0</v>
      </c>
      <c r="B161" s="75" t="s">
        <v>1134</v>
      </c>
      <c r="C161" s="67" t="str">
        <f>IFERROR(__xludf.DUMMYFUNCTION("""COMPUTED_VALUE"""),"LD153")</f>
        <v>LD153</v>
      </c>
      <c r="D161" s="55" t="s">
        <v>1135</v>
      </c>
      <c r="E161" s="55" t="s">
        <v>79</v>
      </c>
      <c r="F161" s="55" t="s">
        <v>539</v>
      </c>
      <c r="G161" s="55">
        <v>1841.0</v>
      </c>
      <c r="H161" s="55" t="s">
        <v>1137</v>
      </c>
      <c r="I161" s="115" t="s">
        <v>2262</v>
      </c>
      <c r="J161" s="95" t="s">
        <v>2263</v>
      </c>
      <c r="K161" s="55" t="s">
        <v>61</v>
      </c>
      <c r="L161" s="55" t="s">
        <v>1141</v>
      </c>
      <c r="M161" s="55" t="s">
        <v>78</v>
      </c>
      <c r="N161" s="55" t="s">
        <v>1135</v>
      </c>
      <c r="O161" s="55" t="s">
        <v>1142</v>
      </c>
      <c r="P161" s="55" t="s">
        <v>110</v>
      </c>
      <c r="Q161" s="67" t="str">
        <f>IFERROR(__xludf.DUMMYFUNCTION("""COMPUTED_VALUE"""),"ALL.giaotiep.P334_PTD_Tiktok_NamNH_241225")</f>
        <v>ALL.giaotiep.P334_PTD_Tiktok_NamNH_241225</v>
      </c>
      <c r="R161" s="67" t="str">
        <f>IFERROR(__xludf.DUMMYFUNCTION("""COMPUTED_VALUE"""),"NEW_ALL_1841_none_241225")</f>
        <v>NEW_ALL_1841_none_241225</v>
      </c>
      <c r="S161" s="67" t="str">
        <f>IFERROR(__xludf.DUMMYFUNCTION("""COMPUTED_VALUE"""),"saletructiep_ALL.P334.1840.giaotiep_THCNGDP_LD153")</f>
        <v>saletructiep_ALL.P334.1840.giaotiep_THCNGDP_LD153</v>
      </c>
      <c r="T161" s="107" t="str">
        <f>IFERROR(__xludf.DUMMYFUNCTION("""COMPUTED_VALUE"""),"https://patadovietnam.edu.vn/tienganhgiaotiep_hn/?utm_source=Tiktok&amp;utm_medium=MES&amp;utm_term=NEW_ALL_1841_none_241225&amp;utm_content=saletructiep_ALL.P334.1840.giaotiep_THCNGDP_LD153&amp;utm_campaign=ALL.giaotiep.P334_PTD_Tiktok_NamNH_241225")</f>
        <v>https://patadovietnam.edu.vn/tienganhgiaotiep_hn/?utm_source=Tiktok&amp;utm_medium=MES&amp;utm_term=NEW_ALL_1841_none_241225&amp;utm_content=saletructiep_ALL.P334.1840.giaotiep_THCNGDP_LD153&amp;utm_campaign=ALL.giaotiep.P334_PTD_Tiktok_NamNH_241225</v>
      </c>
      <c r="U161" s="118"/>
    </row>
    <row r="162">
      <c r="A162" s="72">
        <v>46015.0</v>
      </c>
      <c r="B162" s="75" t="s">
        <v>1134</v>
      </c>
      <c r="C162" s="67" t="str">
        <f>IFERROR(__xludf.DUMMYFUNCTION("""COMPUTED_VALUE"""),"LD153")</f>
        <v>LD153</v>
      </c>
      <c r="D162" s="55" t="s">
        <v>1135</v>
      </c>
      <c r="E162" s="55" t="s">
        <v>79</v>
      </c>
      <c r="F162" s="55" t="s">
        <v>539</v>
      </c>
      <c r="G162" s="55">
        <v>1841.0</v>
      </c>
      <c r="H162" s="55" t="s">
        <v>1137</v>
      </c>
      <c r="I162" s="115" t="s">
        <v>2266</v>
      </c>
      <c r="J162" s="95" t="s">
        <v>2267</v>
      </c>
      <c r="K162" s="55" t="s">
        <v>61</v>
      </c>
      <c r="L162" s="55" t="s">
        <v>1141</v>
      </c>
      <c r="M162" s="55" t="s">
        <v>78</v>
      </c>
      <c r="N162" s="55" t="s">
        <v>1135</v>
      </c>
      <c r="O162" s="55" t="s">
        <v>1142</v>
      </c>
      <c r="P162" s="55" t="s">
        <v>110</v>
      </c>
      <c r="Q162" s="67" t="str">
        <f>IFERROR(__xludf.DUMMYFUNCTION("""COMPUTED_VALUE"""),"ALL.giaotiep.P342_PTD_Tiktok_NamNH_241225")</f>
        <v>ALL.giaotiep.P342_PTD_Tiktok_NamNH_241225</v>
      </c>
      <c r="R162" s="67" t="str">
        <f>IFERROR(__xludf.DUMMYFUNCTION("""COMPUTED_VALUE"""),"NEW_ALL_1841_none_241225")</f>
        <v>NEW_ALL_1841_none_241225</v>
      </c>
      <c r="S162" s="67" t="str">
        <f>IFERROR(__xludf.DUMMYFUNCTION("""COMPUTED_VALUE"""),"saletructiep_ALL.P342.1840.giaotiep_THCNGDP_LD153")</f>
        <v>saletructiep_ALL.P342.1840.giaotiep_THCNGDP_LD153</v>
      </c>
      <c r="T162" s="107" t="str">
        <f>IFERROR(__xludf.DUMMYFUNCTION("""COMPUTED_VALUE"""),"https://patadovietnam.edu.vn/tienganhgiaotiep_hn/?utm_source=Tiktok&amp;utm_medium=MES&amp;utm_term=NEW_ALL_1841_none_241225&amp;utm_content=saletructiep_ALL.P342.1840.giaotiep_THCNGDP_LD153&amp;utm_campaign=ALL.giaotiep.P342_PTD_Tiktok_NamNH_241225")</f>
        <v>https://patadovietnam.edu.vn/tienganhgiaotiep_hn/?utm_source=Tiktok&amp;utm_medium=MES&amp;utm_term=NEW_ALL_1841_none_241225&amp;utm_content=saletructiep_ALL.P342.1840.giaotiep_THCNGDP_LD153&amp;utm_campaign=ALL.giaotiep.P342_PTD_Tiktok_NamNH_241225</v>
      </c>
      <c r="U162" s="118"/>
    </row>
    <row r="163">
      <c r="A163" s="72">
        <v>46027.0</v>
      </c>
      <c r="B163" s="75" t="s">
        <v>1134</v>
      </c>
      <c r="C163" s="67" t="str">
        <f>IFERROR(__xludf.DUMMYFUNCTION("""COMPUTED_VALUE"""),"LD153")</f>
        <v>LD153</v>
      </c>
      <c r="D163" s="55" t="s">
        <v>1135</v>
      </c>
      <c r="E163" s="55" t="s">
        <v>79</v>
      </c>
      <c r="F163" s="55" t="s">
        <v>133</v>
      </c>
      <c r="G163" s="55">
        <v>1841.0</v>
      </c>
      <c r="H163" s="55" t="s">
        <v>1137</v>
      </c>
      <c r="I163" s="115" t="s">
        <v>2272</v>
      </c>
      <c r="J163" s="95" t="s">
        <v>2273</v>
      </c>
      <c r="K163" s="55" t="s">
        <v>61</v>
      </c>
      <c r="L163" s="55" t="s">
        <v>1141</v>
      </c>
      <c r="M163" s="55" t="s">
        <v>78</v>
      </c>
      <c r="N163" s="55" t="s">
        <v>1135</v>
      </c>
      <c r="O163" s="55" t="s">
        <v>1142</v>
      </c>
      <c r="P163" s="55" t="s">
        <v>110</v>
      </c>
      <c r="Q163" s="67" t="str">
        <f>IFERROR(__xludf.DUMMYFUNCTION("""COMPUTED_VALUE"""),"Japan.giaotiep.P371_PTD_Tiktok_NamNH_050126")</f>
        <v>Japan.giaotiep.P371_PTD_Tiktok_NamNH_050126</v>
      </c>
      <c r="R163" s="67" t="str">
        <f>IFERROR(__xludf.DUMMYFUNCTION("""COMPUTED_VALUE"""),"NEW_Japan_1841_none_050126")</f>
        <v>NEW_Japan_1841_none_050126</v>
      </c>
      <c r="S163" s="67" t="str">
        <f>IFERROR(__xludf.DUMMYFUNCTION("""COMPUTED_VALUE"""),"saletructiep_Japan.P371.1840.giaotiep_THCNGDP_LD153")</f>
        <v>saletructiep_Japan.P371.1840.giaotiep_THCNGDP_LD153</v>
      </c>
      <c r="T163" s="107" t="str">
        <f>IFERROR(__xludf.DUMMYFUNCTION("""COMPUTED_VALUE"""),"https://patadovietnam.edu.vn/tienganhgiaotiep_hn/?utm_source=Tiktok&amp;utm_medium=MES&amp;utm_term=NEW_Japan_1841_none_050126&amp;utm_content=saletructiep_Japan.P371.1840.giaotiep_THCNGDP_LD153&amp;utm_campaign=Japan.giaotiep.P371_PTD_Tiktok_NamNH_050126")</f>
        <v>https://patadovietnam.edu.vn/tienganhgiaotiep_hn/?utm_source=Tiktok&amp;utm_medium=MES&amp;utm_term=NEW_Japan_1841_none_050126&amp;utm_content=saletructiep_Japan.P371.1840.giaotiep_THCNGDP_LD153&amp;utm_campaign=Japan.giaotiep.P371_PTD_Tiktok_NamNH_050126</v>
      </c>
      <c r="U163" s="118"/>
    </row>
    <row r="164">
      <c r="A164" s="72">
        <v>46027.0</v>
      </c>
      <c r="B164" s="75" t="s">
        <v>1134</v>
      </c>
      <c r="C164" s="67" t="str">
        <f>IFERROR(__xludf.DUMMYFUNCTION("""COMPUTED_VALUE"""),"LD153")</f>
        <v>LD153</v>
      </c>
      <c r="D164" s="55" t="s">
        <v>1135</v>
      </c>
      <c r="E164" s="55" t="s">
        <v>79</v>
      </c>
      <c r="F164" s="55" t="s">
        <v>674</v>
      </c>
      <c r="G164" s="55">
        <v>1841.0</v>
      </c>
      <c r="H164" s="55" t="s">
        <v>1137</v>
      </c>
      <c r="I164" s="115" t="s">
        <v>2278</v>
      </c>
      <c r="J164" s="95" t="s">
        <v>2279</v>
      </c>
      <c r="K164" s="55" t="s">
        <v>61</v>
      </c>
      <c r="L164" s="55" t="s">
        <v>1141</v>
      </c>
      <c r="M164" s="55" t="s">
        <v>78</v>
      </c>
      <c r="N164" s="55" t="s">
        <v>1135</v>
      </c>
      <c r="O164" s="55" t="s">
        <v>1142</v>
      </c>
      <c r="P164" s="55" t="s">
        <v>110</v>
      </c>
      <c r="Q164" s="67" t="str">
        <f>IFERROR(__xludf.DUMMYFUNCTION("""COMPUTED_VALUE"""),"Europe.giaotiep.P372_PTD_Tiktok_NamNH_050126")</f>
        <v>Europe.giaotiep.P372_PTD_Tiktok_NamNH_050126</v>
      </c>
      <c r="R164" s="67" t="str">
        <f>IFERROR(__xludf.DUMMYFUNCTION("""COMPUTED_VALUE"""),"NEW_Europe_1841_none_050126")</f>
        <v>NEW_Europe_1841_none_050126</v>
      </c>
      <c r="S164" s="67" t="str">
        <f>IFERROR(__xludf.DUMMYFUNCTION("""COMPUTED_VALUE"""),"saletructiep_Europe.P372.1840.giaotiep_THCNGDP_LD153")</f>
        <v>saletructiep_Europe.P372.1840.giaotiep_THCNGDP_LD153</v>
      </c>
      <c r="T164" s="107" t="str">
        <f>IFERROR(__xludf.DUMMYFUNCTION("""COMPUTED_VALUE"""),"https://patadovietnam.edu.vn/tienganhgiaotiep_hn/?utm_source=Tiktok&amp;utm_medium=MES&amp;utm_term=NEW_Europe_1841_none_050126&amp;utm_content=saletructiep_Europe.P372.1840.giaotiep_THCNGDP_LD153&amp;utm_campaign=Europe.giaotiep.P372_PTD_Tiktok_NamNH_050126")</f>
        <v>https://patadovietnam.edu.vn/tienganhgiaotiep_hn/?utm_source=Tiktok&amp;utm_medium=MES&amp;utm_term=NEW_Europe_1841_none_050126&amp;utm_content=saletructiep_Europe.P372.1840.giaotiep_THCNGDP_LD153&amp;utm_campaign=Europe.giaotiep.P372_PTD_Tiktok_NamNH_050126</v>
      </c>
      <c r="U164" s="118"/>
    </row>
    <row r="165">
      <c r="A165" s="72">
        <v>46027.0</v>
      </c>
      <c r="B165" s="75" t="s">
        <v>1134</v>
      </c>
      <c r="C165" s="67" t="str">
        <f>IFERROR(__xludf.DUMMYFUNCTION("""COMPUTED_VALUE"""),"LD153")</f>
        <v>LD153</v>
      </c>
      <c r="D165" s="55" t="s">
        <v>1135</v>
      </c>
      <c r="E165" s="55" t="s">
        <v>79</v>
      </c>
      <c r="F165" s="55" t="s">
        <v>539</v>
      </c>
      <c r="G165" s="55">
        <v>1841.0</v>
      </c>
      <c r="H165" s="55" t="s">
        <v>1137</v>
      </c>
      <c r="I165" s="115" t="s">
        <v>2284</v>
      </c>
      <c r="J165" s="95" t="s">
        <v>2285</v>
      </c>
      <c r="K165" s="55" t="s">
        <v>61</v>
      </c>
      <c r="L165" s="55" t="s">
        <v>1141</v>
      </c>
      <c r="M165" s="55" t="s">
        <v>78</v>
      </c>
      <c r="N165" s="55" t="s">
        <v>1135</v>
      </c>
      <c r="O165" s="55" t="s">
        <v>1142</v>
      </c>
      <c r="P165" s="55" t="s">
        <v>110</v>
      </c>
      <c r="Q165" s="67" t="str">
        <f>IFERROR(__xludf.DUMMYFUNCTION("""COMPUTED_VALUE"""),"ALL.giaotiep.P373_PTD_Tiktok_NamNH_050126")</f>
        <v>ALL.giaotiep.P373_PTD_Tiktok_NamNH_050126</v>
      </c>
      <c r="R165" s="67" t="str">
        <f>IFERROR(__xludf.DUMMYFUNCTION("""COMPUTED_VALUE"""),"NEW_ALL_1841_none_050126")</f>
        <v>NEW_ALL_1841_none_050126</v>
      </c>
      <c r="S165" s="67" t="str">
        <f>IFERROR(__xludf.DUMMYFUNCTION("""COMPUTED_VALUE"""),"saletructiep_ALL.P373.1840.giaotiep_THCNGDP_LD153")</f>
        <v>saletructiep_ALL.P373.1840.giaotiep_THCNGDP_LD153</v>
      </c>
      <c r="T165" s="107" t="str">
        <f>IFERROR(__xludf.DUMMYFUNCTION("""COMPUTED_VALUE"""),"https://patadovietnam.edu.vn/tienganhgiaotiep_hn/?utm_source=Tiktok&amp;utm_medium=MES&amp;utm_term=NEW_ALL_1841_none_050126&amp;utm_content=saletructiep_ALL.P373.1840.giaotiep_THCNGDP_LD153&amp;utm_campaign=ALL.giaotiep.P373_PTD_Tiktok_NamNH_050126")</f>
        <v>https://patadovietnam.edu.vn/tienganhgiaotiep_hn/?utm_source=Tiktok&amp;utm_medium=MES&amp;utm_term=NEW_ALL_1841_none_050126&amp;utm_content=saletructiep_ALL.P373.1840.giaotiep_THCNGDP_LD153&amp;utm_campaign=ALL.giaotiep.P373_PTD_Tiktok_NamNH_050126</v>
      </c>
      <c r="U165" s="118"/>
    </row>
    <row r="166">
      <c r="A166" s="72">
        <v>46028.0</v>
      </c>
      <c r="B166" s="75" t="s">
        <v>1134</v>
      </c>
      <c r="C166" s="67" t="str">
        <f>IFERROR(__xludf.DUMMYFUNCTION("""COMPUTED_VALUE"""),"LD153")</f>
        <v>LD153</v>
      </c>
      <c r="D166" s="55" t="s">
        <v>1135</v>
      </c>
      <c r="E166" s="55" t="s">
        <v>79</v>
      </c>
      <c r="F166" s="55" t="s">
        <v>133</v>
      </c>
      <c r="G166" s="55">
        <v>1841.0</v>
      </c>
      <c r="H166" s="55" t="s">
        <v>1137</v>
      </c>
      <c r="I166" s="115" t="s">
        <v>2289</v>
      </c>
      <c r="J166" s="95" t="s">
        <v>2291</v>
      </c>
      <c r="K166" s="55" t="s">
        <v>61</v>
      </c>
      <c r="L166" s="55" t="s">
        <v>1141</v>
      </c>
      <c r="M166" s="55" t="s">
        <v>78</v>
      </c>
      <c r="N166" s="55" t="s">
        <v>1135</v>
      </c>
      <c r="O166" s="55" t="s">
        <v>1142</v>
      </c>
      <c r="P166" s="55" t="s">
        <v>110</v>
      </c>
      <c r="Q166" s="67" t="str">
        <f>IFERROR(__xludf.DUMMYFUNCTION("""COMPUTED_VALUE"""),"Japan.giaotiep.P375_PTD_Tiktok_NamNH_060126")</f>
        <v>Japan.giaotiep.P375_PTD_Tiktok_NamNH_060126</v>
      </c>
      <c r="R166" s="67" t="str">
        <f>IFERROR(__xludf.DUMMYFUNCTION("""COMPUTED_VALUE"""),"NEW_Japan_1841_none_060126")</f>
        <v>NEW_Japan_1841_none_060126</v>
      </c>
      <c r="S166" s="67" t="str">
        <f>IFERROR(__xludf.DUMMYFUNCTION("""COMPUTED_VALUE"""),"saletructiep_Japan.P375.1840.giaotiep_THCNGDP_LD153")</f>
        <v>saletructiep_Japan.P375.1840.giaotiep_THCNGDP_LD153</v>
      </c>
      <c r="T166" s="107" t="str">
        <f>IFERROR(__xludf.DUMMYFUNCTION("""COMPUTED_VALUE"""),"https://patadovietnam.edu.vn/tienganhgiaotiep_hn/?utm_source=Tiktok&amp;utm_medium=MES&amp;utm_term=NEW_Japan_1841_none_060126&amp;utm_content=saletructiep_Japan.P375.1840.giaotiep_THCNGDP_LD153&amp;utm_campaign=Japan.giaotiep.P375_PTD_Tiktok_NamNH_060126")</f>
        <v>https://patadovietnam.edu.vn/tienganhgiaotiep_hn/?utm_source=Tiktok&amp;utm_medium=MES&amp;utm_term=NEW_Japan_1841_none_060126&amp;utm_content=saletructiep_Japan.P375.1840.giaotiep_THCNGDP_LD153&amp;utm_campaign=Japan.giaotiep.P375_PTD_Tiktok_NamNH_060126</v>
      </c>
      <c r="U166" s="118"/>
    </row>
    <row r="167">
      <c r="A167" s="72">
        <v>46028.0</v>
      </c>
      <c r="B167" s="75" t="s">
        <v>1134</v>
      </c>
      <c r="C167" s="67" t="str">
        <f>IFERROR(__xludf.DUMMYFUNCTION("""COMPUTED_VALUE"""),"LD153")</f>
        <v>LD153</v>
      </c>
      <c r="D167" s="55" t="s">
        <v>1135</v>
      </c>
      <c r="E167" s="55" t="s">
        <v>79</v>
      </c>
      <c r="F167" s="55" t="s">
        <v>674</v>
      </c>
      <c r="G167" s="55">
        <v>1841.0</v>
      </c>
      <c r="H167" s="55" t="s">
        <v>1137</v>
      </c>
      <c r="I167" s="115" t="s">
        <v>2297</v>
      </c>
      <c r="J167" s="95" t="s">
        <v>2298</v>
      </c>
      <c r="K167" s="55" t="s">
        <v>61</v>
      </c>
      <c r="L167" s="55" t="s">
        <v>1141</v>
      </c>
      <c r="M167" s="55" t="s">
        <v>78</v>
      </c>
      <c r="N167" s="55" t="s">
        <v>1135</v>
      </c>
      <c r="O167" s="55" t="s">
        <v>1142</v>
      </c>
      <c r="P167" s="55" t="s">
        <v>110</v>
      </c>
      <c r="Q167" s="67" t="str">
        <f>IFERROR(__xludf.DUMMYFUNCTION("""COMPUTED_VALUE"""),"Europe.giaotiep.P379_PTD_Tiktok_NamNH_060126")</f>
        <v>Europe.giaotiep.P379_PTD_Tiktok_NamNH_060126</v>
      </c>
      <c r="R167" s="67" t="str">
        <f>IFERROR(__xludf.DUMMYFUNCTION("""COMPUTED_VALUE"""),"NEW_Europe_1841_none_060126")</f>
        <v>NEW_Europe_1841_none_060126</v>
      </c>
      <c r="S167" s="67" t="str">
        <f>IFERROR(__xludf.DUMMYFUNCTION("""COMPUTED_VALUE"""),"saletructiep_Europe.P379.1840.giaotiep_THCNGDP_LD153")</f>
        <v>saletructiep_Europe.P379.1840.giaotiep_THCNGDP_LD153</v>
      </c>
      <c r="T167" s="107" t="str">
        <f>IFERROR(__xludf.DUMMYFUNCTION("""COMPUTED_VALUE"""),"https://patadovietnam.edu.vn/tienganhgiaotiep_hn/?utm_source=Tiktok&amp;utm_medium=MES&amp;utm_term=NEW_Europe_1841_none_060126&amp;utm_content=saletructiep_Europe.P379.1840.giaotiep_THCNGDP_LD153&amp;utm_campaign=Europe.giaotiep.P379_PTD_Tiktok_NamNH_060126")</f>
        <v>https://patadovietnam.edu.vn/tienganhgiaotiep_hn/?utm_source=Tiktok&amp;utm_medium=MES&amp;utm_term=NEW_Europe_1841_none_060126&amp;utm_content=saletructiep_Europe.P379.1840.giaotiep_THCNGDP_LD153&amp;utm_campaign=Europe.giaotiep.P379_PTD_Tiktok_NamNH_060126</v>
      </c>
      <c r="U167" s="118"/>
    </row>
    <row r="168">
      <c r="A168" s="72">
        <v>46028.0</v>
      </c>
      <c r="B168" s="75" t="s">
        <v>1134</v>
      </c>
      <c r="C168" s="67" t="str">
        <f>IFERROR(__xludf.DUMMYFUNCTION("""COMPUTED_VALUE"""),"LD153")</f>
        <v>LD153</v>
      </c>
      <c r="D168" s="55" t="s">
        <v>1135</v>
      </c>
      <c r="E168" s="55" t="s">
        <v>79</v>
      </c>
      <c r="F168" s="55" t="s">
        <v>539</v>
      </c>
      <c r="G168" s="55">
        <v>1841.0</v>
      </c>
      <c r="H168" s="55" t="s">
        <v>1137</v>
      </c>
      <c r="I168" s="115" t="s">
        <v>2303</v>
      </c>
      <c r="J168" s="95" t="s">
        <v>2304</v>
      </c>
      <c r="K168" s="55" t="s">
        <v>61</v>
      </c>
      <c r="L168" s="55" t="s">
        <v>1141</v>
      </c>
      <c r="M168" s="55" t="s">
        <v>78</v>
      </c>
      <c r="N168" s="55" t="s">
        <v>1135</v>
      </c>
      <c r="O168" s="55" t="s">
        <v>1142</v>
      </c>
      <c r="P168" s="55" t="s">
        <v>110</v>
      </c>
      <c r="Q168" s="67" t="str">
        <f>IFERROR(__xludf.DUMMYFUNCTION("""COMPUTED_VALUE"""),"ALL.giaotiep.P380_PTD_Tiktok_NamNH_060126")</f>
        <v>ALL.giaotiep.P380_PTD_Tiktok_NamNH_060126</v>
      </c>
      <c r="R168" s="67" t="str">
        <f>IFERROR(__xludf.DUMMYFUNCTION("""COMPUTED_VALUE"""),"NEW_ALL_1841_none_060126")</f>
        <v>NEW_ALL_1841_none_060126</v>
      </c>
      <c r="S168" s="67" t="str">
        <f>IFERROR(__xludf.DUMMYFUNCTION("""COMPUTED_VALUE"""),"saletructiep_ALL.P380.1840.giaotiep_THCNGDP_LD153")</f>
        <v>saletructiep_ALL.P380.1840.giaotiep_THCNGDP_LD153</v>
      </c>
      <c r="T168" s="107" t="str">
        <f>IFERROR(__xludf.DUMMYFUNCTION("""COMPUTED_VALUE"""),"https://patadovietnam.edu.vn/tienganhgiaotiep_hn/?utm_source=Tiktok&amp;utm_medium=MES&amp;utm_term=NEW_ALL_1841_none_060126&amp;utm_content=saletructiep_ALL.P380.1840.giaotiep_THCNGDP_LD153&amp;utm_campaign=ALL.giaotiep.P380_PTD_Tiktok_NamNH_060126")</f>
        <v>https://patadovietnam.edu.vn/tienganhgiaotiep_hn/?utm_source=Tiktok&amp;utm_medium=MES&amp;utm_term=NEW_ALL_1841_none_060126&amp;utm_content=saletructiep_ALL.P380.1840.giaotiep_THCNGDP_LD153&amp;utm_campaign=ALL.giaotiep.P380_PTD_Tiktok_NamNH_060126</v>
      </c>
      <c r="U168" s="118"/>
    </row>
    <row r="169">
      <c r="A169" s="72">
        <v>46028.0</v>
      </c>
      <c r="B169" s="75" t="s">
        <v>1134</v>
      </c>
      <c r="C169" s="67" t="str">
        <f>IFERROR(__xludf.DUMMYFUNCTION("""COMPUTED_VALUE"""),"LD153")</f>
        <v>LD153</v>
      </c>
      <c r="D169" s="55" t="s">
        <v>1135</v>
      </c>
      <c r="E169" s="55" t="s">
        <v>79</v>
      </c>
      <c r="F169" s="55" t="s">
        <v>539</v>
      </c>
      <c r="G169" s="55">
        <v>1841.0</v>
      </c>
      <c r="H169" s="55" t="s">
        <v>1137</v>
      </c>
      <c r="I169" s="115" t="s">
        <v>2308</v>
      </c>
      <c r="J169" s="95" t="s">
        <v>2309</v>
      </c>
      <c r="K169" s="55" t="s">
        <v>61</v>
      </c>
      <c r="L169" s="55" t="s">
        <v>1141</v>
      </c>
      <c r="M169" s="55" t="s">
        <v>78</v>
      </c>
      <c r="N169" s="55" t="s">
        <v>1135</v>
      </c>
      <c r="O169" s="55" t="s">
        <v>1142</v>
      </c>
      <c r="P169" s="55" t="s">
        <v>110</v>
      </c>
      <c r="Q169" s="67" t="str">
        <f>IFERROR(__xludf.DUMMYFUNCTION("""COMPUTED_VALUE"""),"ALL.giaotiep.P381_PTD_Tiktok_NamNH_060126")</f>
        <v>ALL.giaotiep.P381_PTD_Tiktok_NamNH_060126</v>
      </c>
      <c r="R169" s="67" t="str">
        <f>IFERROR(__xludf.DUMMYFUNCTION("""COMPUTED_VALUE"""),"NEW_ALL_1841_none_060126")</f>
        <v>NEW_ALL_1841_none_060126</v>
      </c>
      <c r="S169" s="67" t="str">
        <f>IFERROR(__xludf.DUMMYFUNCTION("""COMPUTED_VALUE"""),"saletructiep_ALL.P381.1840.giaotiep_THCNGDP_LD153")</f>
        <v>saletructiep_ALL.P381.1840.giaotiep_THCNGDP_LD153</v>
      </c>
      <c r="T169" s="107" t="str">
        <f>IFERROR(__xludf.DUMMYFUNCTION("""COMPUTED_VALUE"""),"https://patadovietnam.edu.vn/tienganhgiaotiep_hn/?utm_source=Tiktok&amp;utm_medium=MES&amp;utm_term=NEW_ALL_1841_none_060126&amp;utm_content=saletructiep_ALL.P381.1840.giaotiep_THCNGDP_LD153&amp;utm_campaign=ALL.giaotiep.P381_PTD_Tiktok_NamNH_060126")</f>
        <v>https://patadovietnam.edu.vn/tienganhgiaotiep_hn/?utm_source=Tiktok&amp;utm_medium=MES&amp;utm_term=NEW_ALL_1841_none_060126&amp;utm_content=saletructiep_ALL.P381.1840.giaotiep_THCNGDP_LD153&amp;utm_campaign=ALL.giaotiep.P381_PTD_Tiktok_NamNH_060126</v>
      </c>
      <c r="U169" s="118"/>
    </row>
    <row r="170">
      <c r="A170" s="72">
        <v>46029.0</v>
      </c>
      <c r="B170" s="75" t="s">
        <v>1134</v>
      </c>
      <c r="C170" s="67" t="str">
        <f>IFERROR(__xludf.DUMMYFUNCTION("""COMPUTED_VALUE"""),"LD153")</f>
        <v>LD153</v>
      </c>
      <c r="D170" s="55" t="s">
        <v>1135</v>
      </c>
      <c r="E170" s="55" t="s">
        <v>79</v>
      </c>
      <c r="F170" s="55" t="s">
        <v>674</v>
      </c>
      <c r="G170" s="55">
        <v>1841.0</v>
      </c>
      <c r="H170" s="55" t="s">
        <v>1137</v>
      </c>
      <c r="I170" s="115" t="s">
        <v>2316</v>
      </c>
      <c r="J170" s="95" t="s">
        <v>2317</v>
      </c>
      <c r="K170" s="55" t="s">
        <v>61</v>
      </c>
      <c r="L170" s="55" t="s">
        <v>1141</v>
      </c>
      <c r="M170" s="55" t="s">
        <v>78</v>
      </c>
      <c r="N170" s="55" t="s">
        <v>1135</v>
      </c>
      <c r="O170" s="55" t="s">
        <v>1142</v>
      </c>
      <c r="P170" s="55" t="s">
        <v>110</v>
      </c>
      <c r="Q170" s="67" t="str">
        <f>IFERROR(__xludf.DUMMYFUNCTION("""COMPUTED_VALUE"""),"Europe.giaotiep.P386_PTD_Tiktok_NamNH_070126")</f>
        <v>Europe.giaotiep.P386_PTD_Tiktok_NamNH_070126</v>
      </c>
      <c r="R170" s="67" t="str">
        <f>IFERROR(__xludf.DUMMYFUNCTION("""COMPUTED_VALUE"""),"NEW_Europe_1841_none_070126")</f>
        <v>NEW_Europe_1841_none_070126</v>
      </c>
      <c r="S170" s="67" t="str">
        <f>IFERROR(__xludf.DUMMYFUNCTION("""COMPUTED_VALUE"""),"saletructiep_Europe.P386.1840.giaotiep_THCNGDP_LD153")</f>
        <v>saletructiep_Europe.P386.1840.giaotiep_THCNGDP_LD153</v>
      </c>
      <c r="T170" s="107" t="str">
        <f>IFERROR(__xludf.DUMMYFUNCTION("""COMPUTED_VALUE"""),"https://patadovietnam.edu.vn/tienganhgiaotiep_hn/?utm_source=Tiktok&amp;utm_medium=MES&amp;utm_term=NEW_Europe_1841_none_070126&amp;utm_content=saletructiep_Europe.P386.1840.giaotiep_THCNGDP_LD153&amp;utm_campaign=Europe.giaotiep.P386_PTD_Tiktok_NamNH_070126")</f>
        <v>https://patadovietnam.edu.vn/tienganhgiaotiep_hn/?utm_source=Tiktok&amp;utm_medium=MES&amp;utm_term=NEW_Europe_1841_none_070126&amp;utm_content=saletructiep_Europe.P386.1840.giaotiep_THCNGDP_LD153&amp;utm_campaign=Europe.giaotiep.P386_PTD_Tiktok_NamNH_070126</v>
      </c>
      <c r="U170" s="118"/>
    </row>
    <row r="171">
      <c r="A171" s="72">
        <v>46029.0</v>
      </c>
      <c r="B171" s="75" t="s">
        <v>1134</v>
      </c>
      <c r="C171" s="67" t="str">
        <f>IFERROR(__xludf.DUMMYFUNCTION("""COMPUTED_VALUE"""),"LD153")</f>
        <v>LD153</v>
      </c>
      <c r="D171" s="55" t="s">
        <v>1135</v>
      </c>
      <c r="E171" s="55" t="s">
        <v>79</v>
      </c>
      <c r="F171" s="55" t="s">
        <v>133</v>
      </c>
      <c r="G171" s="55">
        <v>1841.0</v>
      </c>
      <c r="H171" s="55" t="s">
        <v>1137</v>
      </c>
      <c r="I171" s="115" t="s">
        <v>2324</v>
      </c>
      <c r="J171" s="95" t="s">
        <v>2325</v>
      </c>
      <c r="K171" s="55" t="s">
        <v>61</v>
      </c>
      <c r="L171" s="55" t="s">
        <v>1141</v>
      </c>
      <c r="M171" s="55" t="s">
        <v>78</v>
      </c>
      <c r="N171" s="55" t="s">
        <v>1135</v>
      </c>
      <c r="O171" s="55" t="s">
        <v>1142</v>
      </c>
      <c r="P171" s="55" t="s">
        <v>110</v>
      </c>
      <c r="Q171" s="67" t="str">
        <f>IFERROR(__xludf.DUMMYFUNCTION("""COMPUTED_VALUE"""),"Japan.giaotiep.P387_PTD_Tiktok_NamNH_070126")</f>
        <v>Japan.giaotiep.P387_PTD_Tiktok_NamNH_070126</v>
      </c>
      <c r="R171" s="67" t="str">
        <f>IFERROR(__xludf.DUMMYFUNCTION("""COMPUTED_VALUE"""),"NEW_Japan_1841_none_070126")</f>
        <v>NEW_Japan_1841_none_070126</v>
      </c>
      <c r="S171" s="67" t="str">
        <f>IFERROR(__xludf.DUMMYFUNCTION("""COMPUTED_VALUE"""),"saletructiep_Japan.P387.1840.giaotiep_THCNGDP_LD153")</f>
        <v>saletructiep_Japan.P387.1840.giaotiep_THCNGDP_LD153</v>
      </c>
      <c r="T171" s="107" t="str">
        <f>IFERROR(__xludf.DUMMYFUNCTION("""COMPUTED_VALUE"""),"https://patadovietnam.edu.vn/tienganhgiaotiep_hn/?utm_source=Tiktok&amp;utm_medium=MES&amp;utm_term=NEW_Japan_1841_none_070126&amp;utm_content=saletructiep_Japan.P387.1840.giaotiep_THCNGDP_LD153&amp;utm_campaign=Japan.giaotiep.P387_PTD_Tiktok_NamNH_070126")</f>
        <v>https://patadovietnam.edu.vn/tienganhgiaotiep_hn/?utm_source=Tiktok&amp;utm_medium=MES&amp;utm_term=NEW_Japan_1841_none_070126&amp;utm_content=saletructiep_Japan.P387.1840.giaotiep_THCNGDP_LD153&amp;utm_campaign=Japan.giaotiep.P387_PTD_Tiktok_NamNH_070126</v>
      </c>
      <c r="U171" s="118"/>
    </row>
    <row r="172">
      <c r="A172" s="72">
        <v>46029.0</v>
      </c>
      <c r="B172" s="75" t="s">
        <v>1134</v>
      </c>
      <c r="C172" s="67" t="str">
        <f>IFERROR(__xludf.DUMMYFUNCTION("""COMPUTED_VALUE"""),"LD153")</f>
        <v>LD153</v>
      </c>
      <c r="D172" s="55" t="s">
        <v>1135</v>
      </c>
      <c r="E172" s="55" t="s">
        <v>79</v>
      </c>
      <c r="F172" s="55" t="s">
        <v>539</v>
      </c>
      <c r="G172" s="55">
        <v>1841.0</v>
      </c>
      <c r="H172" s="55" t="s">
        <v>1137</v>
      </c>
      <c r="I172" s="115" t="s">
        <v>2329</v>
      </c>
      <c r="J172" s="95" t="s">
        <v>2330</v>
      </c>
      <c r="K172" s="55" t="s">
        <v>61</v>
      </c>
      <c r="L172" s="55" t="s">
        <v>1141</v>
      </c>
      <c r="M172" s="55" t="s">
        <v>78</v>
      </c>
      <c r="N172" s="55" t="s">
        <v>1135</v>
      </c>
      <c r="O172" s="55" t="s">
        <v>1142</v>
      </c>
      <c r="P172" s="55" t="s">
        <v>110</v>
      </c>
      <c r="Q172" s="67" t="str">
        <f>IFERROR(__xludf.DUMMYFUNCTION("""COMPUTED_VALUE"""),"ALL.giaotiep.P388_PTD_Tiktok_NamNH_070126")</f>
        <v>ALL.giaotiep.P388_PTD_Tiktok_NamNH_070126</v>
      </c>
      <c r="R172" s="67" t="str">
        <f>IFERROR(__xludf.DUMMYFUNCTION("""COMPUTED_VALUE"""),"NEW_ALL_1841_none_070126")</f>
        <v>NEW_ALL_1841_none_070126</v>
      </c>
      <c r="S172" s="67" t="str">
        <f>IFERROR(__xludf.DUMMYFUNCTION("""COMPUTED_VALUE"""),"saletructiep_ALL.P388.1840.giaotiep_THCNGDP_LD153")</f>
        <v>saletructiep_ALL.P388.1840.giaotiep_THCNGDP_LD153</v>
      </c>
      <c r="T172" s="107" t="str">
        <f>IFERROR(__xludf.DUMMYFUNCTION("""COMPUTED_VALUE"""),"https://patadovietnam.edu.vn/tienganhgiaotiep_hn/?utm_source=Tiktok&amp;utm_medium=MES&amp;utm_term=NEW_ALL_1841_none_070126&amp;utm_content=saletructiep_ALL.P388.1840.giaotiep_THCNGDP_LD153&amp;utm_campaign=ALL.giaotiep.P388_PTD_Tiktok_NamNH_070126")</f>
        <v>https://patadovietnam.edu.vn/tienganhgiaotiep_hn/?utm_source=Tiktok&amp;utm_medium=MES&amp;utm_term=NEW_ALL_1841_none_070126&amp;utm_content=saletructiep_ALL.P388.1840.giaotiep_THCNGDP_LD153&amp;utm_campaign=ALL.giaotiep.P388_PTD_Tiktok_NamNH_070126</v>
      </c>
      <c r="U172" s="118"/>
    </row>
    <row r="173">
      <c r="A173" s="72">
        <v>46031.0</v>
      </c>
      <c r="B173" s="75" t="s">
        <v>1134</v>
      </c>
      <c r="C173" s="67" t="str">
        <f>IFERROR(__xludf.DUMMYFUNCTION("""COMPUTED_VALUE"""),"LD153")</f>
        <v>LD153</v>
      </c>
      <c r="D173" s="55" t="s">
        <v>1135</v>
      </c>
      <c r="E173" s="55" t="s">
        <v>79</v>
      </c>
      <c r="F173" s="55" t="s">
        <v>674</v>
      </c>
      <c r="G173" s="55">
        <v>1841.0</v>
      </c>
      <c r="H173" s="55" t="s">
        <v>1137</v>
      </c>
      <c r="I173" s="115" t="s">
        <v>2337</v>
      </c>
      <c r="J173" s="95" t="s">
        <v>2338</v>
      </c>
      <c r="K173" s="55" t="s">
        <v>61</v>
      </c>
      <c r="L173" s="55" t="s">
        <v>1141</v>
      </c>
      <c r="M173" s="55" t="s">
        <v>78</v>
      </c>
      <c r="N173" s="55" t="s">
        <v>1135</v>
      </c>
      <c r="O173" s="55" t="s">
        <v>1142</v>
      </c>
      <c r="P173" s="55" t="s">
        <v>110</v>
      </c>
      <c r="Q173" s="67" t="str">
        <f>IFERROR(__xludf.DUMMYFUNCTION("""COMPUTED_VALUE"""),"Europe.giaotiep.P394_PTD_Tiktok_NamNH_090126")</f>
        <v>Europe.giaotiep.P394_PTD_Tiktok_NamNH_090126</v>
      </c>
      <c r="R173" s="67" t="str">
        <f>IFERROR(__xludf.DUMMYFUNCTION("""COMPUTED_VALUE"""),"NEW_Europe_1841_none_090126")</f>
        <v>NEW_Europe_1841_none_090126</v>
      </c>
      <c r="S173" s="67" t="str">
        <f>IFERROR(__xludf.DUMMYFUNCTION("""COMPUTED_VALUE"""),"saletructiep_Europe.P394.1840.giaotiep_THCNGDP_LD153")</f>
        <v>saletructiep_Europe.P394.1840.giaotiep_THCNGDP_LD153</v>
      </c>
      <c r="T173" s="107" t="str">
        <f>IFERROR(__xludf.DUMMYFUNCTION("""COMPUTED_VALUE"""),"https://patadovietnam.edu.vn/tienganhgiaotiep_hn/?utm_source=Tiktok&amp;utm_medium=MES&amp;utm_term=NEW_Europe_1841_none_090126&amp;utm_content=saletructiep_Europe.P394.1840.giaotiep_THCNGDP_LD153&amp;utm_campaign=Europe.giaotiep.P394_PTD_Tiktok_NamNH_090126")</f>
        <v>https://patadovietnam.edu.vn/tienganhgiaotiep_hn/?utm_source=Tiktok&amp;utm_medium=MES&amp;utm_term=NEW_Europe_1841_none_090126&amp;utm_content=saletructiep_Europe.P394.1840.giaotiep_THCNGDP_LD153&amp;utm_campaign=Europe.giaotiep.P394_PTD_Tiktok_NamNH_090126</v>
      </c>
      <c r="U173" s="118"/>
    </row>
    <row r="174">
      <c r="A174" s="72">
        <v>46031.0</v>
      </c>
      <c r="B174" s="75" t="s">
        <v>1134</v>
      </c>
      <c r="C174" s="67" t="str">
        <f>IFERROR(__xludf.DUMMYFUNCTION("""COMPUTED_VALUE"""),"LD153")</f>
        <v>LD153</v>
      </c>
      <c r="D174" s="55" t="s">
        <v>1135</v>
      </c>
      <c r="E174" s="55" t="s">
        <v>79</v>
      </c>
      <c r="F174" s="55" t="s">
        <v>133</v>
      </c>
      <c r="G174" s="55">
        <v>1841.0</v>
      </c>
      <c r="H174" s="55" t="s">
        <v>1137</v>
      </c>
      <c r="I174" s="115" t="s">
        <v>2344</v>
      </c>
      <c r="J174" s="95" t="s">
        <v>2345</v>
      </c>
      <c r="K174" s="55" t="s">
        <v>61</v>
      </c>
      <c r="L174" s="55" t="s">
        <v>1141</v>
      </c>
      <c r="M174" s="55" t="s">
        <v>78</v>
      </c>
      <c r="N174" s="55" t="s">
        <v>1135</v>
      </c>
      <c r="O174" s="55" t="s">
        <v>1142</v>
      </c>
      <c r="P174" s="55" t="s">
        <v>110</v>
      </c>
      <c r="Q174" s="67" t="str">
        <f>IFERROR(__xludf.DUMMYFUNCTION("""COMPUTED_VALUE"""),"Japan.giaotiep.P395_PTD_Tiktok_NamNH_090126")</f>
        <v>Japan.giaotiep.P395_PTD_Tiktok_NamNH_090126</v>
      </c>
      <c r="R174" s="67" t="str">
        <f>IFERROR(__xludf.DUMMYFUNCTION("""COMPUTED_VALUE"""),"NEW_Japan_1841_none_090126")</f>
        <v>NEW_Japan_1841_none_090126</v>
      </c>
      <c r="S174" s="67" t="str">
        <f>IFERROR(__xludf.DUMMYFUNCTION("""COMPUTED_VALUE"""),"saletructiep_Japan.P395.1840.giaotiep_THCNGDP_LD153")</f>
        <v>saletructiep_Japan.P395.1840.giaotiep_THCNGDP_LD153</v>
      </c>
      <c r="T174" s="107" t="str">
        <f>IFERROR(__xludf.DUMMYFUNCTION("""COMPUTED_VALUE"""),"https://patadovietnam.edu.vn/tienganhgiaotiep_hn/?utm_source=Tiktok&amp;utm_medium=MES&amp;utm_term=NEW_Japan_1841_none_090126&amp;utm_content=saletructiep_Japan.P395.1840.giaotiep_THCNGDP_LD153&amp;utm_campaign=Japan.giaotiep.P395_PTD_Tiktok_NamNH_090126")</f>
        <v>https://patadovietnam.edu.vn/tienganhgiaotiep_hn/?utm_source=Tiktok&amp;utm_medium=MES&amp;utm_term=NEW_Japan_1841_none_090126&amp;utm_content=saletructiep_Japan.P395.1840.giaotiep_THCNGDP_LD153&amp;utm_campaign=Japan.giaotiep.P395_PTD_Tiktok_NamNH_090126</v>
      </c>
      <c r="U174" s="118"/>
    </row>
    <row r="175">
      <c r="A175" s="72">
        <v>46031.0</v>
      </c>
      <c r="B175" s="75" t="s">
        <v>1134</v>
      </c>
      <c r="C175" s="67" t="str">
        <f>IFERROR(__xludf.DUMMYFUNCTION("""COMPUTED_VALUE"""),"LD153")</f>
        <v>LD153</v>
      </c>
      <c r="D175" s="55" t="s">
        <v>1135</v>
      </c>
      <c r="E175" s="55" t="s">
        <v>79</v>
      </c>
      <c r="F175" s="55" t="s">
        <v>539</v>
      </c>
      <c r="G175" s="55">
        <v>1841.0</v>
      </c>
      <c r="H175" s="55" t="s">
        <v>1137</v>
      </c>
      <c r="I175" s="115" t="s">
        <v>2350</v>
      </c>
      <c r="J175" s="95" t="s">
        <v>2351</v>
      </c>
      <c r="K175" s="55" t="s">
        <v>61</v>
      </c>
      <c r="L175" s="55" t="s">
        <v>1141</v>
      </c>
      <c r="M175" s="55" t="s">
        <v>78</v>
      </c>
      <c r="N175" s="55" t="s">
        <v>1135</v>
      </c>
      <c r="O175" s="55" t="s">
        <v>1142</v>
      </c>
      <c r="P175" s="55" t="s">
        <v>110</v>
      </c>
      <c r="Q175" s="67" t="str">
        <f>IFERROR(__xludf.DUMMYFUNCTION("""COMPUTED_VALUE"""),"ALL.giaotiep.P396_PTD_Tiktok_NamNH_090126")</f>
        <v>ALL.giaotiep.P396_PTD_Tiktok_NamNH_090126</v>
      </c>
      <c r="R175" s="67" t="str">
        <f>IFERROR(__xludf.DUMMYFUNCTION("""COMPUTED_VALUE"""),"NEW_ALL_1841_none_090126")</f>
        <v>NEW_ALL_1841_none_090126</v>
      </c>
      <c r="S175" s="67" t="str">
        <f>IFERROR(__xludf.DUMMYFUNCTION("""COMPUTED_VALUE"""),"saletructiep_ALL.P396.1840.giaotiep_THCNGDP_LD153")</f>
        <v>saletructiep_ALL.P396.1840.giaotiep_THCNGDP_LD153</v>
      </c>
      <c r="T175" s="107" t="str">
        <f>IFERROR(__xludf.DUMMYFUNCTION("""COMPUTED_VALUE"""),"https://patadovietnam.edu.vn/tienganhgiaotiep_hn/?utm_source=Tiktok&amp;utm_medium=MES&amp;utm_term=NEW_ALL_1841_none_090126&amp;utm_content=saletructiep_ALL.P396.1840.giaotiep_THCNGDP_LD153&amp;utm_campaign=ALL.giaotiep.P396_PTD_Tiktok_NamNH_090126")</f>
        <v>https://patadovietnam.edu.vn/tienganhgiaotiep_hn/?utm_source=Tiktok&amp;utm_medium=MES&amp;utm_term=NEW_ALL_1841_none_090126&amp;utm_content=saletructiep_ALL.P396.1840.giaotiep_THCNGDP_LD153&amp;utm_campaign=ALL.giaotiep.P396_PTD_Tiktok_NamNH_090126</v>
      </c>
      <c r="U175" s="118"/>
    </row>
    <row r="176">
      <c r="A176" s="72">
        <v>46037.0</v>
      </c>
      <c r="B176" s="75" t="s">
        <v>1134</v>
      </c>
      <c r="C176" s="67" t="str">
        <f>IFERROR(__xludf.DUMMYFUNCTION("""COMPUTED_VALUE"""),"LD153")</f>
        <v>LD153</v>
      </c>
      <c r="D176" s="55" t="s">
        <v>1135</v>
      </c>
      <c r="E176" s="55" t="s">
        <v>79</v>
      </c>
      <c r="F176" s="55" t="s">
        <v>674</v>
      </c>
      <c r="G176" s="55">
        <v>1841.0</v>
      </c>
      <c r="H176" s="55" t="s">
        <v>1137</v>
      </c>
      <c r="I176" s="115" t="s">
        <v>2355</v>
      </c>
      <c r="J176" s="95" t="s">
        <v>2356</v>
      </c>
      <c r="K176" s="55" t="s">
        <v>61</v>
      </c>
      <c r="L176" s="55" t="s">
        <v>1141</v>
      </c>
      <c r="M176" s="55" t="s">
        <v>78</v>
      </c>
      <c r="N176" s="55" t="s">
        <v>1135</v>
      </c>
      <c r="O176" s="55" t="s">
        <v>1142</v>
      </c>
      <c r="P176" s="55" t="s">
        <v>110</v>
      </c>
      <c r="Q176" s="67" t="str">
        <f>IFERROR(__xludf.DUMMYFUNCTION("""COMPUTED_VALUE"""),"Europe.giaotiep.P411_PTD_Tiktok_NamNH_150126")</f>
        <v>Europe.giaotiep.P411_PTD_Tiktok_NamNH_150126</v>
      </c>
      <c r="R176" s="67" t="str">
        <f>IFERROR(__xludf.DUMMYFUNCTION("""COMPUTED_VALUE"""),"NEW_Europe_1841_none_150126")</f>
        <v>NEW_Europe_1841_none_150126</v>
      </c>
      <c r="S176" s="67" t="str">
        <f>IFERROR(__xludf.DUMMYFUNCTION("""COMPUTED_VALUE"""),"saletructiep_Europe.P411.1840.giaotiep_THCNGDP_LD153")</f>
        <v>saletructiep_Europe.P411.1840.giaotiep_THCNGDP_LD153</v>
      </c>
      <c r="T176" s="107" t="str">
        <f>IFERROR(__xludf.DUMMYFUNCTION("""COMPUTED_VALUE"""),"https://patadovietnam.edu.vn/tienganhgiaotiep_hn/?utm_source=Tiktok&amp;utm_medium=MES&amp;utm_term=NEW_Europe_1841_none_150126&amp;utm_content=saletructiep_Europe.P411.1840.giaotiep_THCNGDP_LD153&amp;utm_campaign=Europe.giaotiep.P411_PTD_Tiktok_NamNH_150126")</f>
        <v>https://patadovietnam.edu.vn/tienganhgiaotiep_hn/?utm_source=Tiktok&amp;utm_medium=MES&amp;utm_term=NEW_Europe_1841_none_150126&amp;utm_content=saletructiep_Europe.P411.1840.giaotiep_THCNGDP_LD153&amp;utm_campaign=Europe.giaotiep.P411_PTD_Tiktok_NamNH_150126</v>
      </c>
      <c r="U176" s="118"/>
    </row>
    <row r="177">
      <c r="A177" s="72">
        <v>46037.0</v>
      </c>
      <c r="B177" s="75" t="s">
        <v>1134</v>
      </c>
      <c r="C177" s="67" t="str">
        <f>IFERROR(__xludf.DUMMYFUNCTION("""COMPUTED_VALUE"""),"LD153")</f>
        <v>LD153</v>
      </c>
      <c r="D177" s="55" t="s">
        <v>1135</v>
      </c>
      <c r="E177" s="55" t="s">
        <v>79</v>
      </c>
      <c r="F177" s="55" t="s">
        <v>539</v>
      </c>
      <c r="G177" s="55">
        <v>1841.0</v>
      </c>
      <c r="H177" s="55" t="s">
        <v>1137</v>
      </c>
      <c r="I177" s="115" t="s">
        <v>2360</v>
      </c>
      <c r="J177" s="95" t="s">
        <v>2361</v>
      </c>
      <c r="K177" s="55" t="s">
        <v>61</v>
      </c>
      <c r="L177" s="55" t="s">
        <v>1141</v>
      </c>
      <c r="M177" s="55" t="s">
        <v>78</v>
      </c>
      <c r="N177" s="55" t="s">
        <v>1135</v>
      </c>
      <c r="O177" s="55" t="s">
        <v>1142</v>
      </c>
      <c r="P177" s="55" t="s">
        <v>110</v>
      </c>
      <c r="Q177" s="67" t="str">
        <f>IFERROR(__xludf.DUMMYFUNCTION("""COMPUTED_VALUE"""),"ALL.giaotiep.P412_PTD_Tiktok_NamNH_150126")</f>
        <v>ALL.giaotiep.P412_PTD_Tiktok_NamNH_150126</v>
      </c>
      <c r="R177" s="67" t="str">
        <f>IFERROR(__xludf.DUMMYFUNCTION("""COMPUTED_VALUE"""),"NEW_ALL_1841_none_150126")</f>
        <v>NEW_ALL_1841_none_150126</v>
      </c>
      <c r="S177" s="67" t="str">
        <f>IFERROR(__xludf.DUMMYFUNCTION("""COMPUTED_VALUE"""),"saletructiep_ALL.P412.1840.giaotiep_THCNGDP_LD153")</f>
        <v>saletructiep_ALL.P412.1840.giaotiep_THCNGDP_LD153</v>
      </c>
      <c r="T177" s="107" t="str">
        <f>IFERROR(__xludf.DUMMYFUNCTION("""COMPUTED_VALUE"""),"https://patadovietnam.edu.vn/tienganhgiaotiep_hn/?utm_source=Tiktok&amp;utm_medium=MES&amp;utm_term=NEW_ALL_1841_none_150126&amp;utm_content=saletructiep_ALL.P412.1840.giaotiep_THCNGDP_LD153&amp;utm_campaign=ALL.giaotiep.P412_PTD_Tiktok_NamNH_150126")</f>
        <v>https://patadovietnam.edu.vn/tienganhgiaotiep_hn/?utm_source=Tiktok&amp;utm_medium=MES&amp;utm_term=NEW_ALL_1841_none_150126&amp;utm_content=saletructiep_ALL.P412.1840.giaotiep_THCNGDP_LD153&amp;utm_campaign=ALL.giaotiep.P412_PTD_Tiktok_NamNH_150126</v>
      </c>
      <c r="U177" s="118"/>
    </row>
    <row r="178">
      <c r="A178" s="72">
        <v>46042.0</v>
      </c>
      <c r="B178" s="75" t="s">
        <v>1134</v>
      </c>
      <c r="C178" s="67" t="str">
        <f>IFERROR(__xludf.DUMMYFUNCTION("""COMPUTED_VALUE"""),"LD153")</f>
        <v>LD153</v>
      </c>
      <c r="D178" s="55" t="s">
        <v>1135</v>
      </c>
      <c r="E178" s="55" t="s">
        <v>79</v>
      </c>
      <c r="F178" s="55" t="s">
        <v>674</v>
      </c>
      <c r="G178" s="55">
        <v>1841.0</v>
      </c>
      <c r="H178" s="55" t="s">
        <v>1137</v>
      </c>
      <c r="I178" s="115" t="s">
        <v>2364</v>
      </c>
      <c r="J178" s="95" t="s">
        <v>2365</v>
      </c>
      <c r="K178" s="55" t="s">
        <v>61</v>
      </c>
      <c r="L178" s="55" t="s">
        <v>1141</v>
      </c>
      <c r="M178" s="55" t="s">
        <v>78</v>
      </c>
      <c r="N178" s="55" t="s">
        <v>1135</v>
      </c>
      <c r="O178" s="55" t="s">
        <v>1142</v>
      </c>
      <c r="P178" s="55" t="s">
        <v>110</v>
      </c>
      <c r="Q178" s="67" t="str">
        <f>IFERROR(__xludf.DUMMYFUNCTION("""COMPUTED_VALUE"""),"Europe.giaotiep.P432_PTD_Tiktok_NamNH_200126")</f>
        <v>Europe.giaotiep.P432_PTD_Tiktok_NamNH_200126</v>
      </c>
      <c r="R178" s="67" t="str">
        <f>IFERROR(__xludf.DUMMYFUNCTION("""COMPUTED_VALUE"""),"NEW_Europe_1841_none_200126")</f>
        <v>NEW_Europe_1841_none_200126</v>
      </c>
      <c r="S178" s="67" t="str">
        <f>IFERROR(__xludf.DUMMYFUNCTION("""COMPUTED_VALUE"""),"saletructiep_Europe.P432.1840.giaotiep_THCNGDP_LD153")</f>
        <v>saletructiep_Europe.P432.1840.giaotiep_THCNGDP_LD153</v>
      </c>
      <c r="T178" s="107" t="str">
        <f>IFERROR(__xludf.DUMMYFUNCTION("""COMPUTED_VALUE"""),"https://patadovietnam.edu.vn/tienganhgiaotiep_hn/?utm_source=Tiktok&amp;utm_medium=MES&amp;utm_term=NEW_Europe_1841_none_200126&amp;utm_content=saletructiep_Europe.P432.1840.giaotiep_THCNGDP_LD153&amp;utm_campaign=Europe.giaotiep.P432_PTD_Tiktok_NamNH_200126")</f>
        <v>https://patadovietnam.edu.vn/tienganhgiaotiep_hn/?utm_source=Tiktok&amp;utm_medium=MES&amp;utm_term=NEW_Europe_1841_none_200126&amp;utm_content=saletructiep_Europe.P432.1840.giaotiep_THCNGDP_LD153&amp;utm_campaign=Europe.giaotiep.P432_PTD_Tiktok_NamNH_200126</v>
      </c>
      <c r="U178" s="118"/>
    </row>
    <row r="179">
      <c r="A179" s="72">
        <v>46042.0</v>
      </c>
      <c r="B179" s="75" t="s">
        <v>1134</v>
      </c>
      <c r="C179" s="67" t="str">
        <f>IFERROR(__xludf.DUMMYFUNCTION("""COMPUTED_VALUE"""),"LD153")</f>
        <v>LD153</v>
      </c>
      <c r="D179" s="55" t="s">
        <v>1135</v>
      </c>
      <c r="E179" s="55" t="s">
        <v>79</v>
      </c>
      <c r="F179" s="55" t="s">
        <v>133</v>
      </c>
      <c r="G179" s="55">
        <v>1841.0</v>
      </c>
      <c r="H179" s="55" t="s">
        <v>1137</v>
      </c>
      <c r="I179" s="115" t="s">
        <v>2369</v>
      </c>
      <c r="J179" s="95" t="s">
        <v>2370</v>
      </c>
      <c r="K179" s="55" t="s">
        <v>61</v>
      </c>
      <c r="L179" s="55" t="s">
        <v>1141</v>
      </c>
      <c r="M179" s="55" t="s">
        <v>78</v>
      </c>
      <c r="N179" s="55" t="s">
        <v>1135</v>
      </c>
      <c r="O179" s="55" t="s">
        <v>1142</v>
      </c>
      <c r="P179" s="55" t="s">
        <v>110</v>
      </c>
      <c r="Q179" s="67" t="str">
        <f>IFERROR(__xludf.DUMMYFUNCTION("""COMPUTED_VALUE"""),"Japan.giaotiep.P433_PTD_Tiktok_NamNH_200126")</f>
        <v>Japan.giaotiep.P433_PTD_Tiktok_NamNH_200126</v>
      </c>
      <c r="R179" s="67" t="str">
        <f>IFERROR(__xludf.DUMMYFUNCTION("""COMPUTED_VALUE"""),"NEW_Japan_1841_none_200126")</f>
        <v>NEW_Japan_1841_none_200126</v>
      </c>
      <c r="S179" s="67" t="str">
        <f>IFERROR(__xludf.DUMMYFUNCTION("""COMPUTED_VALUE"""),"saletructiep_Japan.P433.1840.giaotiep_THCNGDP_LD153")</f>
        <v>saletructiep_Japan.P433.1840.giaotiep_THCNGDP_LD153</v>
      </c>
      <c r="T179" s="107" t="str">
        <f>IFERROR(__xludf.DUMMYFUNCTION("""COMPUTED_VALUE"""),"https://patadovietnam.edu.vn/tienganhgiaotiep_hn/?utm_source=Tiktok&amp;utm_medium=MES&amp;utm_term=NEW_Japan_1841_none_200126&amp;utm_content=saletructiep_Japan.P433.1840.giaotiep_THCNGDP_LD153&amp;utm_campaign=Japan.giaotiep.P433_PTD_Tiktok_NamNH_200126")</f>
        <v>https://patadovietnam.edu.vn/tienganhgiaotiep_hn/?utm_source=Tiktok&amp;utm_medium=MES&amp;utm_term=NEW_Japan_1841_none_200126&amp;utm_content=saletructiep_Japan.P433.1840.giaotiep_THCNGDP_LD153&amp;utm_campaign=Japan.giaotiep.P433_PTD_Tiktok_NamNH_200126</v>
      </c>
      <c r="U179" s="118"/>
    </row>
    <row r="180">
      <c r="A180" s="72">
        <v>46042.0</v>
      </c>
      <c r="B180" s="75" t="s">
        <v>1134</v>
      </c>
      <c r="C180" s="67" t="str">
        <f>IFERROR(__xludf.DUMMYFUNCTION("""COMPUTED_VALUE"""),"LD153")</f>
        <v>LD153</v>
      </c>
      <c r="D180" s="55" t="s">
        <v>1135</v>
      </c>
      <c r="E180" s="55" t="s">
        <v>79</v>
      </c>
      <c r="F180" s="55" t="s">
        <v>539</v>
      </c>
      <c r="G180" s="55">
        <v>1841.0</v>
      </c>
      <c r="H180" s="55" t="s">
        <v>1137</v>
      </c>
      <c r="I180" s="115" t="s">
        <v>2372</v>
      </c>
      <c r="J180" s="95" t="s">
        <v>2373</v>
      </c>
      <c r="K180" s="55" t="s">
        <v>61</v>
      </c>
      <c r="L180" s="55" t="s">
        <v>1141</v>
      </c>
      <c r="M180" s="55" t="s">
        <v>78</v>
      </c>
      <c r="N180" s="55" t="s">
        <v>1135</v>
      </c>
      <c r="O180" s="55" t="s">
        <v>1142</v>
      </c>
      <c r="P180" s="55" t="s">
        <v>110</v>
      </c>
      <c r="Q180" s="67" t="str">
        <f>IFERROR(__xludf.DUMMYFUNCTION("""COMPUTED_VALUE"""),"ALL.giaotiep.P434_PTD_Tiktok_NamNH_200126")</f>
        <v>ALL.giaotiep.P434_PTD_Tiktok_NamNH_200126</v>
      </c>
      <c r="R180" s="67" t="str">
        <f>IFERROR(__xludf.DUMMYFUNCTION("""COMPUTED_VALUE"""),"NEW_ALL_1841_none_200126")</f>
        <v>NEW_ALL_1841_none_200126</v>
      </c>
      <c r="S180" s="67" t="str">
        <f>IFERROR(__xludf.DUMMYFUNCTION("""COMPUTED_VALUE"""),"saletructiep_ALL.P434.1840.giaotiep_THCNGDP_LD153")</f>
        <v>saletructiep_ALL.P434.1840.giaotiep_THCNGDP_LD153</v>
      </c>
      <c r="T180" s="107" t="str">
        <f>IFERROR(__xludf.DUMMYFUNCTION("""COMPUTED_VALUE"""),"https://patadovietnam.edu.vn/tienganhgiaotiep_hn/?utm_source=Tiktok&amp;utm_medium=MES&amp;utm_term=NEW_ALL_1841_none_200126&amp;utm_content=saletructiep_ALL.P434.1840.giaotiep_THCNGDP_LD153&amp;utm_campaign=ALL.giaotiep.P434_PTD_Tiktok_NamNH_200126")</f>
        <v>https://patadovietnam.edu.vn/tienganhgiaotiep_hn/?utm_source=Tiktok&amp;utm_medium=MES&amp;utm_term=NEW_ALL_1841_none_200126&amp;utm_content=saletructiep_ALL.P434.1840.giaotiep_THCNGDP_LD153&amp;utm_campaign=ALL.giaotiep.P434_PTD_Tiktok_NamNH_200126</v>
      </c>
      <c r="U180" s="118"/>
    </row>
    <row r="181">
      <c r="A181" s="72">
        <v>46055.0</v>
      </c>
      <c r="B181" s="75" t="s">
        <v>1134</v>
      </c>
      <c r="C181" s="67" t="str">
        <f>IFERROR(__xludf.DUMMYFUNCTION("""COMPUTED_VALUE"""),"LD153")</f>
        <v>LD153</v>
      </c>
      <c r="D181" s="55" t="s">
        <v>1135</v>
      </c>
      <c r="E181" s="55" t="s">
        <v>79</v>
      </c>
      <c r="F181" s="55" t="s">
        <v>133</v>
      </c>
      <c r="G181" s="55">
        <v>1841.0</v>
      </c>
      <c r="H181" s="55" t="s">
        <v>1137</v>
      </c>
      <c r="I181" s="115" t="s">
        <v>2376</v>
      </c>
      <c r="J181" s="95" t="s">
        <v>2377</v>
      </c>
      <c r="K181" s="55" t="s">
        <v>61</v>
      </c>
      <c r="L181" s="55" t="s">
        <v>1141</v>
      </c>
      <c r="M181" s="55" t="s">
        <v>78</v>
      </c>
      <c r="N181" s="55" t="s">
        <v>1135</v>
      </c>
      <c r="O181" s="55" t="s">
        <v>1142</v>
      </c>
      <c r="P181" s="55" t="s">
        <v>110</v>
      </c>
      <c r="Q181" s="67" t="str">
        <f>IFERROR(__xludf.DUMMYFUNCTION("""COMPUTED_VALUE"""),"Japan.giaotiep.P477_PTD_Tiktok_NamNH_020226")</f>
        <v>Japan.giaotiep.P477_PTD_Tiktok_NamNH_020226</v>
      </c>
      <c r="R181" s="67" t="str">
        <f>IFERROR(__xludf.DUMMYFUNCTION("""COMPUTED_VALUE"""),"NEW_Japan_1841_none_020226")</f>
        <v>NEW_Japan_1841_none_020226</v>
      </c>
      <c r="S181" s="67" t="str">
        <f>IFERROR(__xludf.DUMMYFUNCTION("""COMPUTED_VALUE"""),"saletructiep_Japan.P477.1840.giaotiep_THCNGDP_LD153")</f>
        <v>saletructiep_Japan.P477.1840.giaotiep_THCNGDP_LD153</v>
      </c>
      <c r="T181" s="107" t="str">
        <f>IFERROR(__xludf.DUMMYFUNCTION("""COMPUTED_VALUE"""),"https://patadovietnam.edu.vn/tienganhgiaotiep_hn/?utm_source=Tiktok&amp;utm_medium=MES&amp;utm_term=NEW_Japan_1841_none_020226&amp;utm_content=saletructiep_Japan.P477.1840.giaotiep_THCNGDP_LD153&amp;utm_campaign=Japan.giaotiep.P477_PTD_Tiktok_NamNH_020226")</f>
        <v>https://patadovietnam.edu.vn/tienganhgiaotiep_hn/?utm_source=Tiktok&amp;utm_medium=MES&amp;utm_term=NEW_Japan_1841_none_020226&amp;utm_content=saletructiep_Japan.P477.1840.giaotiep_THCNGDP_LD153&amp;utm_campaign=Japan.giaotiep.P477_PTD_Tiktok_NamNH_020226</v>
      </c>
      <c r="U181" s="118"/>
    </row>
    <row r="182">
      <c r="A182" s="72">
        <v>46055.0</v>
      </c>
      <c r="B182" s="75" t="s">
        <v>1134</v>
      </c>
      <c r="C182" s="67" t="str">
        <f>IFERROR(__xludf.DUMMYFUNCTION("""COMPUTED_VALUE"""),"LD153")</f>
        <v>LD153</v>
      </c>
      <c r="D182" s="55" t="s">
        <v>1135</v>
      </c>
      <c r="E182" s="55" t="s">
        <v>79</v>
      </c>
      <c r="F182" s="55" t="s">
        <v>539</v>
      </c>
      <c r="G182" s="55">
        <v>1841.0</v>
      </c>
      <c r="H182" s="55" t="s">
        <v>1137</v>
      </c>
      <c r="I182" s="115" t="s">
        <v>2380</v>
      </c>
      <c r="J182" s="95" t="s">
        <v>2381</v>
      </c>
      <c r="K182" s="55" t="s">
        <v>61</v>
      </c>
      <c r="L182" s="55" t="s">
        <v>1141</v>
      </c>
      <c r="M182" s="55" t="s">
        <v>78</v>
      </c>
      <c r="N182" s="55" t="s">
        <v>1135</v>
      </c>
      <c r="O182" s="55" t="s">
        <v>1142</v>
      </c>
      <c r="P182" s="55" t="s">
        <v>110</v>
      </c>
      <c r="Q182" s="67" t="str">
        <f>IFERROR(__xludf.DUMMYFUNCTION("""COMPUTED_VALUE"""),"ALL.giaotiep.P478_PTD_Tiktok_NamNH_020226")</f>
        <v>ALL.giaotiep.P478_PTD_Tiktok_NamNH_020226</v>
      </c>
      <c r="R182" s="67" t="str">
        <f>IFERROR(__xludf.DUMMYFUNCTION("""COMPUTED_VALUE"""),"NEW_ALL_1841_none_020226")</f>
        <v>NEW_ALL_1841_none_020226</v>
      </c>
      <c r="S182" s="67" t="str">
        <f>IFERROR(__xludf.DUMMYFUNCTION("""COMPUTED_VALUE"""),"saletructiep_ALL.P478.1840.giaotiep_THCNGDP_LD153")</f>
        <v>saletructiep_ALL.P478.1840.giaotiep_THCNGDP_LD153</v>
      </c>
      <c r="T182" s="107" t="str">
        <f>IFERROR(__xludf.DUMMYFUNCTION("""COMPUTED_VALUE"""),"https://patadovietnam.edu.vn/tienganhgiaotiep_hn/?utm_source=Tiktok&amp;utm_medium=MES&amp;utm_term=NEW_ALL_1841_none_020226&amp;utm_content=saletructiep_ALL.P478.1840.giaotiep_THCNGDP_LD153&amp;utm_campaign=ALL.giaotiep.P478_PTD_Tiktok_NamNH_020226")</f>
        <v>https://patadovietnam.edu.vn/tienganhgiaotiep_hn/?utm_source=Tiktok&amp;utm_medium=MES&amp;utm_term=NEW_ALL_1841_none_020226&amp;utm_content=saletructiep_ALL.P478.1840.giaotiep_THCNGDP_LD153&amp;utm_campaign=ALL.giaotiep.P478_PTD_Tiktok_NamNH_020226</v>
      </c>
      <c r="U182" s="118"/>
    </row>
    <row r="183" ht="29.25" customHeight="1">
      <c r="A183" s="72">
        <v>46055.0</v>
      </c>
      <c r="B183" s="75" t="s">
        <v>1134</v>
      </c>
      <c r="C183" s="67" t="str">
        <f>IFERROR(__xludf.DUMMYFUNCTION("""COMPUTED_VALUE"""),"LD153")</f>
        <v>LD153</v>
      </c>
      <c r="D183" s="55" t="s">
        <v>1135</v>
      </c>
      <c r="E183" s="55" t="s">
        <v>79</v>
      </c>
      <c r="F183" s="55" t="s">
        <v>674</v>
      </c>
      <c r="G183" s="55">
        <v>1841.0</v>
      </c>
      <c r="H183" s="55" t="s">
        <v>1137</v>
      </c>
      <c r="I183" s="115" t="s">
        <v>2385</v>
      </c>
      <c r="J183" s="95" t="s">
        <v>2386</v>
      </c>
      <c r="K183" s="55" t="s">
        <v>61</v>
      </c>
      <c r="L183" s="55" t="s">
        <v>1141</v>
      </c>
      <c r="M183" s="55" t="s">
        <v>78</v>
      </c>
      <c r="N183" s="55" t="s">
        <v>1135</v>
      </c>
      <c r="O183" s="55" t="s">
        <v>1142</v>
      </c>
      <c r="P183" s="55" t="s">
        <v>110</v>
      </c>
      <c r="Q183" s="67" t="str">
        <f>IFERROR(__xludf.DUMMYFUNCTION("""COMPUTED_VALUE"""),"Europe.giaotiep.P479_PTD_Tiktok_NamNH_020226")</f>
        <v>Europe.giaotiep.P479_PTD_Tiktok_NamNH_020226</v>
      </c>
      <c r="R183" s="67" t="str">
        <f>IFERROR(__xludf.DUMMYFUNCTION("""COMPUTED_VALUE"""),"NEW_Europe_1841_none_020226")</f>
        <v>NEW_Europe_1841_none_020226</v>
      </c>
      <c r="S183" s="67" t="str">
        <f>IFERROR(__xludf.DUMMYFUNCTION("""COMPUTED_VALUE"""),"saletructiep_Europe.P479.1840.giaotiep_THCNGDP_LD153")</f>
        <v>saletructiep_Europe.P479.1840.giaotiep_THCNGDP_LD153</v>
      </c>
      <c r="T183" s="107" t="str">
        <f>IFERROR(__xludf.DUMMYFUNCTION("""COMPUTED_VALUE"""),"https://patadovietnam.edu.vn/tienganhgiaotiep_hn/?utm_source=Tiktok&amp;utm_medium=MES&amp;utm_term=NEW_Europe_1841_none_020226&amp;utm_content=saletructiep_Europe.P479.1840.giaotiep_THCNGDP_LD153&amp;utm_campaign=Europe.giaotiep.P479_PTD_Tiktok_NamNH_020226")</f>
        <v>https://patadovietnam.edu.vn/tienganhgiaotiep_hn/?utm_source=Tiktok&amp;utm_medium=MES&amp;utm_term=NEW_Europe_1841_none_020226&amp;utm_content=saletructiep_Europe.P479.1840.giaotiep_THCNGDP_LD153&amp;utm_campaign=Europe.giaotiep.P479_PTD_Tiktok_NamNH_020226</v>
      </c>
      <c r="U183" s="118"/>
    </row>
    <row r="184">
      <c r="A184" s="72">
        <v>46056.0</v>
      </c>
      <c r="B184" s="60" t="s">
        <v>1134</v>
      </c>
      <c r="C184" s="67" t="str">
        <f>IFERROR(__xludf.DUMMYFUNCTION("""COMPUTED_VALUE"""),"LD153")</f>
        <v>LD153</v>
      </c>
      <c r="D184" s="55" t="s">
        <v>1135</v>
      </c>
      <c r="E184" s="55" t="s">
        <v>79</v>
      </c>
      <c r="F184" s="55" t="s">
        <v>133</v>
      </c>
      <c r="G184" s="55">
        <v>1841.0</v>
      </c>
      <c r="H184" s="55" t="s">
        <v>1137</v>
      </c>
      <c r="I184" s="115" t="s">
        <v>2389</v>
      </c>
      <c r="J184" s="95" t="s">
        <v>2390</v>
      </c>
      <c r="K184" s="55" t="s">
        <v>61</v>
      </c>
      <c r="L184" s="55" t="s">
        <v>1141</v>
      </c>
      <c r="M184" s="55" t="s">
        <v>78</v>
      </c>
      <c r="N184" s="55" t="s">
        <v>1135</v>
      </c>
      <c r="O184" s="55" t="s">
        <v>1142</v>
      </c>
      <c r="P184" s="55" t="s">
        <v>110</v>
      </c>
      <c r="Q184" s="67" t="str">
        <f>IFERROR(__xludf.DUMMYFUNCTION("""COMPUTED_VALUE"""),"Japan.giaotiep.P483_PTD_Tiktok_NamNH_030226")</f>
        <v>Japan.giaotiep.P483_PTD_Tiktok_NamNH_030226</v>
      </c>
      <c r="R184" s="67" t="str">
        <f>IFERROR(__xludf.DUMMYFUNCTION("""COMPUTED_VALUE"""),"NEW_Japan_1841_none_030226")</f>
        <v>NEW_Japan_1841_none_030226</v>
      </c>
      <c r="S184" s="67" t="str">
        <f>IFERROR(__xludf.DUMMYFUNCTION("""COMPUTED_VALUE"""),"saletructiep_Japan.P483.1840.giaotiep_THCNGDP_LD153")</f>
        <v>saletructiep_Japan.P483.1840.giaotiep_THCNGDP_LD153</v>
      </c>
      <c r="T184" s="107" t="str">
        <f>IFERROR(__xludf.DUMMYFUNCTION("""COMPUTED_VALUE"""),"https://patadovietnam.edu.vn/tienganhgiaotiep_hn/?utm_source=Tiktok&amp;utm_medium=MES&amp;utm_term=NEW_Japan_1841_none_030226&amp;utm_content=saletructiep_Japan.P483.1840.giaotiep_THCNGDP_LD153&amp;utm_campaign=Japan.giaotiep.P483_PTD_Tiktok_NamNH_030226")</f>
        <v>https://patadovietnam.edu.vn/tienganhgiaotiep_hn/?utm_source=Tiktok&amp;utm_medium=MES&amp;utm_term=NEW_Japan_1841_none_030226&amp;utm_content=saletructiep_Japan.P483.1840.giaotiep_THCNGDP_LD153&amp;utm_campaign=Japan.giaotiep.P483_PTD_Tiktok_NamNH_030226</v>
      </c>
      <c r="U184" s="118"/>
    </row>
    <row r="185">
      <c r="A185" s="72">
        <v>46056.0</v>
      </c>
      <c r="B185" s="60" t="s">
        <v>1134</v>
      </c>
      <c r="C185" s="67" t="str">
        <f>IFERROR(__xludf.DUMMYFUNCTION("""COMPUTED_VALUE"""),"LD153")</f>
        <v>LD153</v>
      </c>
      <c r="D185" s="55" t="s">
        <v>1135</v>
      </c>
      <c r="E185" s="55" t="s">
        <v>79</v>
      </c>
      <c r="F185" s="55" t="s">
        <v>539</v>
      </c>
      <c r="G185" s="55">
        <v>1841.0</v>
      </c>
      <c r="H185" s="55" t="s">
        <v>1137</v>
      </c>
      <c r="I185" s="115" t="s">
        <v>2394</v>
      </c>
      <c r="J185" s="95" t="s">
        <v>2395</v>
      </c>
      <c r="K185" s="55" t="s">
        <v>61</v>
      </c>
      <c r="L185" s="55" t="s">
        <v>1141</v>
      </c>
      <c r="M185" s="55" t="s">
        <v>78</v>
      </c>
      <c r="N185" s="55" t="s">
        <v>1135</v>
      </c>
      <c r="O185" s="55" t="s">
        <v>1142</v>
      </c>
      <c r="P185" s="55" t="s">
        <v>110</v>
      </c>
      <c r="Q185" s="67" t="str">
        <f>IFERROR(__xludf.DUMMYFUNCTION("""COMPUTED_VALUE"""),"ALL.giaotiep.P484_PTD_Tiktok_NamNH_030226")</f>
        <v>ALL.giaotiep.P484_PTD_Tiktok_NamNH_030226</v>
      </c>
      <c r="R185" s="67" t="str">
        <f>IFERROR(__xludf.DUMMYFUNCTION("""COMPUTED_VALUE"""),"NEW_ALL_1841_none_030226")</f>
        <v>NEW_ALL_1841_none_030226</v>
      </c>
      <c r="S185" s="67" t="str">
        <f>IFERROR(__xludf.DUMMYFUNCTION("""COMPUTED_VALUE"""),"saletructiep_ALL.P484.1840.giaotiep_THCNGDP_LD153")</f>
        <v>saletructiep_ALL.P484.1840.giaotiep_THCNGDP_LD153</v>
      </c>
      <c r="T185" s="107" t="str">
        <f>IFERROR(__xludf.DUMMYFUNCTION("""COMPUTED_VALUE"""),"https://patadovietnam.edu.vn/tienganhgiaotiep_hn/?utm_source=Tiktok&amp;utm_medium=MES&amp;utm_term=NEW_ALL_1841_none_030226&amp;utm_content=saletructiep_ALL.P484.1840.giaotiep_THCNGDP_LD153&amp;utm_campaign=ALL.giaotiep.P484_PTD_Tiktok_NamNH_030226")</f>
        <v>https://patadovietnam.edu.vn/tienganhgiaotiep_hn/?utm_source=Tiktok&amp;utm_medium=MES&amp;utm_term=NEW_ALL_1841_none_030226&amp;utm_content=saletructiep_ALL.P484.1840.giaotiep_THCNGDP_LD153&amp;utm_campaign=ALL.giaotiep.P484_PTD_Tiktok_NamNH_030226</v>
      </c>
      <c r="U185" s="118"/>
    </row>
    <row r="186">
      <c r="A186" s="72">
        <v>46056.0</v>
      </c>
      <c r="B186" s="60" t="s">
        <v>1134</v>
      </c>
      <c r="C186" s="67" t="str">
        <f>IFERROR(__xludf.DUMMYFUNCTION("""COMPUTED_VALUE"""),"LD153")</f>
        <v>LD153</v>
      </c>
      <c r="D186" s="55" t="s">
        <v>1135</v>
      </c>
      <c r="E186" s="55" t="s">
        <v>79</v>
      </c>
      <c r="F186" s="55" t="s">
        <v>539</v>
      </c>
      <c r="G186" s="55">
        <v>1841.0</v>
      </c>
      <c r="H186" s="55" t="s">
        <v>1137</v>
      </c>
      <c r="I186" s="115" t="s">
        <v>2397</v>
      </c>
      <c r="J186" s="95" t="s">
        <v>2398</v>
      </c>
      <c r="K186" s="55" t="s">
        <v>61</v>
      </c>
      <c r="L186" s="55" t="s">
        <v>1141</v>
      </c>
      <c r="M186" s="55" t="s">
        <v>78</v>
      </c>
      <c r="N186" s="55" t="s">
        <v>1135</v>
      </c>
      <c r="O186" s="55" t="s">
        <v>1142</v>
      </c>
      <c r="P186" s="55" t="s">
        <v>110</v>
      </c>
      <c r="Q186" s="67" t="str">
        <f>IFERROR(__xludf.DUMMYFUNCTION("""COMPUTED_VALUE"""),"ALL.giaotiep.P485_PTD_Tiktok_NamNH_030226")</f>
        <v>ALL.giaotiep.P485_PTD_Tiktok_NamNH_030226</v>
      </c>
      <c r="R186" s="67" t="str">
        <f>IFERROR(__xludf.DUMMYFUNCTION("""COMPUTED_VALUE"""),"NEW_ALL_1841_none_030226")</f>
        <v>NEW_ALL_1841_none_030226</v>
      </c>
      <c r="S186" s="67" t="str">
        <f>IFERROR(__xludf.DUMMYFUNCTION("""COMPUTED_VALUE"""),"saletructiep_ALL.P485.1840.giaotiep_THCNGDP_LD153")</f>
        <v>saletructiep_ALL.P485.1840.giaotiep_THCNGDP_LD153</v>
      </c>
      <c r="T186" s="107" t="str">
        <f>IFERROR(__xludf.DUMMYFUNCTION("""COMPUTED_VALUE"""),"https://patadovietnam.edu.vn/tienganhgiaotiep_hn/?utm_source=Tiktok&amp;utm_medium=MES&amp;utm_term=NEW_ALL_1841_none_030226&amp;utm_content=saletructiep_ALL.P485.1840.giaotiep_THCNGDP_LD153&amp;utm_campaign=ALL.giaotiep.P485_PTD_Tiktok_NamNH_030226")</f>
        <v>https://patadovietnam.edu.vn/tienganhgiaotiep_hn/?utm_source=Tiktok&amp;utm_medium=MES&amp;utm_term=NEW_ALL_1841_none_030226&amp;utm_content=saletructiep_ALL.P485.1840.giaotiep_THCNGDP_LD153&amp;utm_campaign=ALL.giaotiep.P485_PTD_Tiktok_NamNH_030226</v>
      </c>
      <c r="U186" s="118"/>
    </row>
    <row r="187">
      <c r="A187" s="72">
        <v>46064.0</v>
      </c>
      <c r="B187" s="60" t="s">
        <v>1134</v>
      </c>
      <c r="C187" s="67" t="str">
        <f>IFERROR(__xludf.DUMMYFUNCTION("""COMPUTED_VALUE"""),"LD153")</f>
        <v>LD153</v>
      </c>
      <c r="D187" s="55" t="s">
        <v>1135</v>
      </c>
      <c r="E187" s="55" t="s">
        <v>79</v>
      </c>
      <c r="F187" s="55" t="s">
        <v>133</v>
      </c>
      <c r="G187" s="55">
        <v>1841.0</v>
      </c>
      <c r="H187" s="55" t="s">
        <v>1137</v>
      </c>
      <c r="I187" s="115" t="s">
        <v>2402</v>
      </c>
      <c r="J187" s="95" t="s">
        <v>2404</v>
      </c>
      <c r="K187" s="55" t="s">
        <v>61</v>
      </c>
      <c r="L187" s="55" t="s">
        <v>1141</v>
      </c>
      <c r="M187" s="55" t="s">
        <v>78</v>
      </c>
      <c r="N187" s="55" t="s">
        <v>1135</v>
      </c>
      <c r="O187" s="55" t="s">
        <v>1142</v>
      </c>
      <c r="P187" s="55" t="s">
        <v>110</v>
      </c>
      <c r="Q187" s="67" t="str">
        <f>IFERROR(__xludf.DUMMYFUNCTION("""COMPUTED_VALUE"""),"Japan.giaotiep.P522_PTD_Tiktok_NamNH_110226")</f>
        <v>Japan.giaotiep.P522_PTD_Tiktok_NamNH_110226</v>
      </c>
      <c r="R187" s="67" t="str">
        <f>IFERROR(__xludf.DUMMYFUNCTION("""COMPUTED_VALUE"""),"NEW_Japan_1841_none_110226")</f>
        <v>NEW_Japan_1841_none_110226</v>
      </c>
      <c r="S187" s="67" t="str">
        <f>IFERROR(__xludf.DUMMYFUNCTION("""COMPUTED_VALUE"""),"saletructiep_Japan.P522.1840.giaotiep_THCNGDP_LD153")</f>
        <v>saletructiep_Japan.P522.1840.giaotiep_THCNGDP_LD153</v>
      </c>
      <c r="T187" s="107" t="str">
        <f>IFERROR(__xludf.DUMMYFUNCTION("""COMPUTED_VALUE"""),"https://patadovietnam.edu.vn/tienganhgiaotiep_hn/?utm_source=Tiktok&amp;utm_medium=MES&amp;utm_term=NEW_Japan_1841_none_110226&amp;utm_content=saletructiep_Japan.P522.1840.giaotiep_THCNGDP_LD153&amp;utm_campaign=Japan.giaotiep.P522_PTD_Tiktok_NamNH_110226")</f>
        <v>https://patadovietnam.edu.vn/tienganhgiaotiep_hn/?utm_source=Tiktok&amp;utm_medium=MES&amp;utm_term=NEW_Japan_1841_none_110226&amp;utm_content=saletructiep_Japan.P522.1840.giaotiep_THCNGDP_LD153&amp;utm_campaign=Japan.giaotiep.P522_PTD_Tiktok_NamNH_110226</v>
      </c>
      <c r="U187" s="118"/>
    </row>
    <row r="188">
      <c r="A188" s="72">
        <v>46083.0</v>
      </c>
      <c r="B188" s="60" t="s">
        <v>1134</v>
      </c>
      <c r="C188" s="67" t="str">
        <f>IFERROR(__xludf.DUMMYFUNCTION("""COMPUTED_VALUE"""),"LD153")</f>
        <v>LD153</v>
      </c>
      <c r="D188" s="55" t="s">
        <v>1135</v>
      </c>
      <c r="E188" s="55" t="s">
        <v>79</v>
      </c>
      <c r="F188" s="55" t="s">
        <v>133</v>
      </c>
      <c r="G188" s="55">
        <v>1841.0</v>
      </c>
      <c r="H188" s="55" t="s">
        <v>1137</v>
      </c>
      <c r="I188" s="115" t="s">
        <v>2406</v>
      </c>
      <c r="J188" s="95" t="s">
        <v>2407</v>
      </c>
      <c r="K188" s="55" t="s">
        <v>61</v>
      </c>
      <c r="L188" s="55" t="s">
        <v>1141</v>
      </c>
      <c r="M188" s="55" t="s">
        <v>78</v>
      </c>
      <c r="N188" s="55" t="s">
        <v>1135</v>
      </c>
      <c r="O188" s="55" t="s">
        <v>1142</v>
      </c>
      <c r="P188" s="55" t="s">
        <v>110</v>
      </c>
      <c r="Q188" s="67" t="str">
        <f>IFERROR(__xludf.DUMMYFUNCTION("""COMPUTED_VALUE"""),"Japan.giaotiep.P561_PTD_Tiktok_NamNH_020326")</f>
        <v>Japan.giaotiep.P561_PTD_Tiktok_NamNH_020326</v>
      </c>
      <c r="R188" s="67" t="str">
        <f>IFERROR(__xludf.DUMMYFUNCTION("""COMPUTED_VALUE"""),"NEW_Japan_1841_none_020326")</f>
        <v>NEW_Japan_1841_none_020326</v>
      </c>
      <c r="S188" s="67" t="str">
        <f>IFERROR(__xludf.DUMMYFUNCTION("""COMPUTED_VALUE"""),"saletructiep_Japan.P561.1840.giaotiep_THCNGDP_LD153")</f>
        <v>saletructiep_Japan.P561.1840.giaotiep_THCNGDP_LD153</v>
      </c>
      <c r="T188" s="107" t="str">
        <f>IFERROR(__xludf.DUMMYFUNCTION("""COMPUTED_VALUE"""),"https://patadovietnam.edu.vn/tienganhgiaotiep_hn/?utm_source=Tiktok&amp;utm_medium=MES&amp;utm_term=NEW_Japan_1841_none_020326&amp;utm_content=saletructiep_Japan.P561.1840.giaotiep_THCNGDP_LD153&amp;utm_campaign=Japan.giaotiep.P561_PTD_Tiktok_NamNH_020326")</f>
        <v>https://patadovietnam.edu.vn/tienganhgiaotiep_hn/?utm_source=Tiktok&amp;utm_medium=MES&amp;utm_term=NEW_Japan_1841_none_020326&amp;utm_content=saletructiep_Japan.P561.1840.giaotiep_THCNGDP_LD153&amp;utm_campaign=Japan.giaotiep.P561_PTD_Tiktok_NamNH_020326</v>
      </c>
      <c r="U188" s="118"/>
    </row>
    <row r="189">
      <c r="A189" s="72">
        <v>46083.0</v>
      </c>
      <c r="B189" s="75" t="s">
        <v>1134</v>
      </c>
      <c r="C189" s="67" t="str">
        <f>IFERROR(__xludf.DUMMYFUNCTION("""COMPUTED_VALUE"""),"LD153")</f>
        <v>LD153</v>
      </c>
      <c r="D189" s="55" t="s">
        <v>1135</v>
      </c>
      <c r="E189" s="55" t="s">
        <v>79</v>
      </c>
      <c r="F189" s="55" t="s">
        <v>674</v>
      </c>
      <c r="G189" s="55">
        <v>1841.0</v>
      </c>
      <c r="H189" s="55" t="s">
        <v>1137</v>
      </c>
      <c r="I189" s="115" t="s">
        <v>2410</v>
      </c>
      <c r="J189" s="95" t="s">
        <v>2411</v>
      </c>
      <c r="K189" s="55" t="s">
        <v>61</v>
      </c>
      <c r="L189" s="55" t="s">
        <v>1141</v>
      </c>
      <c r="M189" s="55" t="s">
        <v>78</v>
      </c>
      <c r="N189" s="55" t="s">
        <v>1135</v>
      </c>
      <c r="O189" s="55" t="s">
        <v>1142</v>
      </c>
      <c r="P189" s="55" t="s">
        <v>110</v>
      </c>
      <c r="Q189" s="67" t="str">
        <f>IFERROR(__xludf.DUMMYFUNCTION("""COMPUTED_VALUE"""),"Europe.giaotiep.P562_PTD_Tiktok_NamNH_020326")</f>
        <v>Europe.giaotiep.P562_PTD_Tiktok_NamNH_020326</v>
      </c>
      <c r="R189" s="67" t="str">
        <f>IFERROR(__xludf.DUMMYFUNCTION("""COMPUTED_VALUE"""),"NEW_Europe_1841_none_020326")</f>
        <v>NEW_Europe_1841_none_020326</v>
      </c>
      <c r="S189" s="67" t="str">
        <f>IFERROR(__xludf.DUMMYFUNCTION("""COMPUTED_VALUE"""),"saletructiep_Europe.P562.1840.giaotiep_THCNGDP_LD153")</f>
        <v>saletructiep_Europe.P562.1840.giaotiep_THCNGDP_LD153</v>
      </c>
      <c r="T189" s="107" t="str">
        <f>IFERROR(__xludf.DUMMYFUNCTION("""COMPUTED_VALUE"""),"https://patadovietnam.edu.vn/tienganhgiaotiep_hn/?utm_source=Tiktok&amp;utm_medium=MES&amp;utm_term=NEW_Europe_1841_none_020326&amp;utm_content=saletructiep_Europe.P562.1840.giaotiep_THCNGDP_LD153&amp;utm_campaign=Europe.giaotiep.P562_PTD_Tiktok_NamNH_020326")</f>
        <v>https://patadovietnam.edu.vn/tienganhgiaotiep_hn/?utm_source=Tiktok&amp;utm_medium=MES&amp;utm_term=NEW_Europe_1841_none_020326&amp;utm_content=saletructiep_Europe.P562.1840.giaotiep_THCNGDP_LD153&amp;utm_campaign=Europe.giaotiep.P562_PTD_Tiktok_NamNH_020326</v>
      </c>
      <c r="U189" s="118"/>
    </row>
    <row r="190">
      <c r="A190" s="72">
        <v>46083.0</v>
      </c>
      <c r="B190" s="75" t="s">
        <v>1134</v>
      </c>
      <c r="C190" s="67" t="str">
        <f>IFERROR(__xludf.DUMMYFUNCTION("""COMPUTED_VALUE"""),"LD153")</f>
        <v>LD153</v>
      </c>
      <c r="D190" s="55" t="s">
        <v>1135</v>
      </c>
      <c r="E190" s="55" t="s">
        <v>79</v>
      </c>
      <c r="F190" s="55" t="s">
        <v>539</v>
      </c>
      <c r="G190" s="55">
        <v>1841.0</v>
      </c>
      <c r="H190" s="55" t="s">
        <v>1137</v>
      </c>
      <c r="I190" s="115" t="s">
        <v>2414</v>
      </c>
      <c r="J190" s="95" t="s">
        <v>2415</v>
      </c>
      <c r="K190" s="55" t="s">
        <v>61</v>
      </c>
      <c r="L190" s="55" t="s">
        <v>1141</v>
      </c>
      <c r="M190" s="55" t="s">
        <v>78</v>
      </c>
      <c r="N190" s="55" t="s">
        <v>1135</v>
      </c>
      <c r="O190" s="55" t="s">
        <v>1142</v>
      </c>
      <c r="P190" s="55" t="s">
        <v>110</v>
      </c>
      <c r="Q190" s="67" t="str">
        <f>IFERROR(__xludf.DUMMYFUNCTION("""COMPUTED_VALUE"""),"ALL.giaotiep.P563_PTD_Tiktok_NamNH_020326")</f>
        <v>ALL.giaotiep.P563_PTD_Tiktok_NamNH_020326</v>
      </c>
      <c r="R190" s="67" t="str">
        <f>IFERROR(__xludf.DUMMYFUNCTION("""COMPUTED_VALUE"""),"NEW_ALL_1841_none_020326")</f>
        <v>NEW_ALL_1841_none_020326</v>
      </c>
      <c r="S190" s="67" t="str">
        <f>IFERROR(__xludf.DUMMYFUNCTION("""COMPUTED_VALUE"""),"saletructiep_ALL.P563.1840.giaotiep_THCNGDP_LD153")</f>
        <v>saletructiep_ALL.P563.1840.giaotiep_THCNGDP_LD153</v>
      </c>
      <c r="T190" s="107" t="str">
        <f>IFERROR(__xludf.DUMMYFUNCTION("""COMPUTED_VALUE"""),"https://patadovietnam.edu.vn/tienganhgiaotiep_hn/?utm_source=Tiktok&amp;utm_medium=MES&amp;utm_term=NEW_ALL_1841_none_020326&amp;utm_content=saletructiep_ALL.P563.1840.giaotiep_THCNGDP_LD153&amp;utm_campaign=ALL.giaotiep.P563_PTD_Tiktok_NamNH_020326")</f>
        <v>https://patadovietnam.edu.vn/tienganhgiaotiep_hn/?utm_source=Tiktok&amp;utm_medium=MES&amp;utm_term=NEW_ALL_1841_none_020326&amp;utm_content=saletructiep_ALL.P563.1840.giaotiep_THCNGDP_LD153&amp;utm_campaign=ALL.giaotiep.P563_PTD_Tiktok_NamNH_020326</v>
      </c>
      <c r="U190" s="118"/>
    </row>
    <row r="191">
      <c r="A191" s="72">
        <v>46118.0</v>
      </c>
      <c r="B191" s="75" t="s">
        <v>1134</v>
      </c>
      <c r="C191" s="67" t="str">
        <f>IFERROR(__xludf.DUMMYFUNCTION("""COMPUTED_VALUE"""),"LD153")</f>
        <v>LD153</v>
      </c>
      <c r="D191" s="55" t="s">
        <v>1135</v>
      </c>
      <c r="E191" s="55" t="s">
        <v>79</v>
      </c>
      <c r="F191" s="55" t="s">
        <v>674</v>
      </c>
      <c r="G191" s="55">
        <v>1841.0</v>
      </c>
      <c r="H191" s="55" t="s">
        <v>1137</v>
      </c>
      <c r="I191" s="115" t="s">
        <v>2418</v>
      </c>
      <c r="J191" s="95" t="s">
        <v>2419</v>
      </c>
      <c r="K191" s="55" t="s">
        <v>61</v>
      </c>
      <c r="L191" s="55" t="s">
        <v>1141</v>
      </c>
      <c r="M191" s="55" t="s">
        <v>78</v>
      </c>
      <c r="N191" s="55" t="s">
        <v>1135</v>
      </c>
      <c r="O191" s="55" t="s">
        <v>1142</v>
      </c>
      <c r="P191" s="55" t="s">
        <v>110</v>
      </c>
      <c r="Q191" s="67" t="str">
        <f>IFERROR(__xludf.DUMMYFUNCTION("""COMPUTED_VALUE"""),"Europe.giaotiep.P684_PTD_Tiktok_NamNH_060426")</f>
        <v>Europe.giaotiep.P684_PTD_Tiktok_NamNH_060426</v>
      </c>
      <c r="R191" s="67" t="str">
        <f>IFERROR(__xludf.DUMMYFUNCTION("""COMPUTED_VALUE"""),"NEW_Europe_1841_none_060426")</f>
        <v>NEW_Europe_1841_none_060426</v>
      </c>
      <c r="S191" s="67" t="str">
        <f>IFERROR(__xludf.DUMMYFUNCTION("""COMPUTED_VALUE"""),"saletructiep_Europe.P684.1840.giaotiep_THCNGDP_LD153")</f>
        <v>saletructiep_Europe.P684.1840.giaotiep_THCNGDP_LD153</v>
      </c>
      <c r="T191" s="107" t="str">
        <f>IFERROR(__xludf.DUMMYFUNCTION("""COMPUTED_VALUE"""),"https://patadovietnam.edu.vn/tienganhgiaotiep_hn/?utm_source=Tiktok&amp;utm_medium=MES&amp;utm_term=NEW_Europe_1841_none_060426&amp;utm_content=saletructiep_Europe.P684.1840.giaotiep_THCNGDP_LD153&amp;utm_campaign=Europe.giaotiep.P684_PTD_Tiktok_NamNH_060426")</f>
        <v>https://patadovietnam.edu.vn/tienganhgiaotiep_hn/?utm_source=Tiktok&amp;utm_medium=MES&amp;utm_term=NEW_Europe_1841_none_060426&amp;utm_content=saletructiep_Europe.P684.1840.giaotiep_THCNGDP_LD153&amp;utm_campaign=Europe.giaotiep.P684_PTD_Tiktok_NamNH_060426</v>
      </c>
      <c r="U191" s="118"/>
    </row>
    <row r="192">
      <c r="A192" s="72">
        <v>46118.0</v>
      </c>
      <c r="B192" s="75" t="s">
        <v>1134</v>
      </c>
      <c r="C192" s="67" t="str">
        <f>IFERROR(__xludf.DUMMYFUNCTION("""COMPUTED_VALUE"""),"LD153")</f>
        <v>LD153</v>
      </c>
      <c r="D192" s="55" t="s">
        <v>1135</v>
      </c>
      <c r="E192" s="55" t="s">
        <v>79</v>
      </c>
      <c r="F192" s="55" t="s">
        <v>133</v>
      </c>
      <c r="G192" s="55">
        <v>1841.0</v>
      </c>
      <c r="H192" s="55" t="s">
        <v>1137</v>
      </c>
      <c r="I192" s="115" t="s">
        <v>2424</v>
      </c>
      <c r="J192" s="95" t="s">
        <v>2425</v>
      </c>
      <c r="K192" s="55" t="s">
        <v>61</v>
      </c>
      <c r="L192" s="55" t="s">
        <v>1141</v>
      </c>
      <c r="M192" s="55" t="s">
        <v>78</v>
      </c>
      <c r="N192" s="55" t="s">
        <v>1135</v>
      </c>
      <c r="O192" s="55" t="s">
        <v>1142</v>
      </c>
      <c r="P192" s="55" t="s">
        <v>110</v>
      </c>
      <c r="Q192" s="67" t="str">
        <f>IFERROR(__xludf.DUMMYFUNCTION("""COMPUTED_VALUE"""),"Japan.giaotiep.P685_PTD_Tiktok_NamNH_060426")</f>
        <v>Japan.giaotiep.P685_PTD_Tiktok_NamNH_060426</v>
      </c>
      <c r="R192" s="67" t="str">
        <f>IFERROR(__xludf.DUMMYFUNCTION("""COMPUTED_VALUE"""),"NEW_Japan_1841_none_060426")</f>
        <v>NEW_Japan_1841_none_060426</v>
      </c>
      <c r="S192" s="67" t="str">
        <f>IFERROR(__xludf.DUMMYFUNCTION("""COMPUTED_VALUE"""),"saletructiep_Japan.P685.1840.giaotiep_THCNGDP_LD153")</f>
        <v>saletructiep_Japan.P685.1840.giaotiep_THCNGDP_LD153</v>
      </c>
      <c r="T192" s="107" t="str">
        <f>IFERROR(__xludf.DUMMYFUNCTION("""COMPUTED_VALUE"""),"https://patadovietnam.edu.vn/tienganhgiaotiep_hn/?utm_source=Tiktok&amp;utm_medium=MES&amp;utm_term=NEW_Japan_1841_none_060426&amp;utm_content=saletructiep_Japan.P685.1840.giaotiep_THCNGDP_LD153&amp;utm_campaign=Japan.giaotiep.P685_PTD_Tiktok_NamNH_060426")</f>
        <v>https://patadovietnam.edu.vn/tienganhgiaotiep_hn/?utm_source=Tiktok&amp;utm_medium=MES&amp;utm_term=NEW_Japan_1841_none_060426&amp;utm_content=saletructiep_Japan.P685.1840.giaotiep_THCNGDP_LD153&amp;utm_campaign=Japan.giaotiep.P685_PTD_Tiktok_NamNH_060426</v>
      </c>
      <c r="U192" s="118"/>
    </row>
    <row r="193">
      <c r="A193" s="72">
        <v>46118.0</v>
      </c>
      <c r="B193" s="75" t="s">
        <v>1134</v>
      </c>
      <c r="C193" s="67" t="str">
        <f>IFERROR(__xludf.DUMMYFUNCTION("""COMPUTED_VALUE"""),"LD153")</f>
        <v>LD153</v>
      </c>
      <c r="D193" s="55" t="s">
        <v>1135</v>
      </c>
      <c r="E193" s="55" t="s">
        <v>79</v>
      </c>
      <c r="F193" s="55" t="s">
        <v>539</v>
      </c>
      <c r="G193" s="55">
        <v>1841.0</v>
      </c>
      <c r="H193" s="55" t="s">
        <v>1137</v>
      </c>
      <c r="I193" s="115" t="s">
        <v>2429</v>
      </c>
      <c r="J193" s="95" t="s">
        <v>2430</v>
      </c>
      <c r="K193" s="55" t="s">
        <v>61</v>
      </c>
      <c r="L193" s="55" t="s">
        <v>1141</v>
      </c>
      <c r="M193" s="55" t="s">
        <v>78</v>
      </c>
      <c r="N193" s="55" t="s">
        <v>1135</v>
      </c>
      <c r="O193" s="55" t="s">
        <v>1142</v>
      </c>
      <c r="P193" s="55" t="s">
        <v>110</v>
      </c>
      <c r="Q193" s="67" t="str">
        <f>IFERROR(__xludf.DUMMYFUNCTION("""COMPUTED_VALUE"""),"ALL.giaotiep.P686_PTD_Tiktok_NamNH_060426")</f>
        <v>ALL.giaotiep.P686_PTD_Tiktok_NamNH_060426</v>
      </c>
      <c r="R193" s="67" t="str">
        <f>IFERROR(__xludf.DUMMYFUNCTION("""COMPUTED_VALUE"""),"NEW_ALL_1841_none_060426")</f>
        <v>NEW_ALL_1841_none_060426</v>
      </c>
      <c r="S193" s="67" t="str">
        <f>IFERROR(__xludf.DUMMYFUNCTION("""COMPUTED_VALUE"""),"saletructiep_ALL.P686.1840.giaotiep_THCNGDP_LD153")</f>
        <v>saletructiep_ALL.P686.1840.giaotiep_THCNGDP_LD153</v>
      </c>
      <c r="T193" s="107" t="str">
        <f>IFERROR(__xludf.DUMMYFUNCTION("""COMPUTED_VALUE"""),"https://patadovietnam.edu.vn/tienganhgiaotiep_hn/?utm_source=Tiktok&amp;utm_medium=MES&amp;utm_term=NEW_ALL_1841_none_060426&amp;utm_content=saletructiep_ALL.P686.1840.giaotiep_THCNGDP_LD153&amp;utm_campaign=ALL.giaotiep.P686_PTD_Tiktok_NamNH_060426")</f>
        <v>https://patadovietnam.edu.vn/tienganhgiaotiep_hn/?utm_source=Tiktok&amp;utm_medium=MES&amp;utm_term=NEW_ALL_1841_none_060426&amp;utm_content=saletructiep_ALL.P686.1840.giaotiep_THCNGDP_LD153&amp;utm_campaign=ALL.giaotiep.P686_PTD_Tiktok_NamNH_060426</v>
      </c>
      <c r="U193" s="118"/>
    </row>
    <row r="194">
      <c r="A194" s="72">
        <v>46118.0</v>
      </c>
      <c r="B194" s="112" t="s">
        <v>2434</v>
      </c>
      <c r="C194" s="67" t="str">
        <f>IFERROR(__xludf.DUMMYFUNCTION("""COMPUTED_VALUE"""),"LD267")</f>
        <v>LD267</v>
      </c>
      <c r="D194" s="55" t="s">
        <v>1135</v>
      </c>
      <c r="E194" s="55" t="s">
        <v>69</v>
      </c>
      <c r="F194" s="55" t="s">
        <v>674</v>
      </c>
      <c r="G194" s="55">
        <v>1841.0</v>
      </c>
      <c r="H194" s="55" t="s">
        <v>1137</v>
      </c>
      <c r="I194" s="115" t="s">
        <v>2437</v>
      </c>
      <c r="J194" s="95" t="s">
        <v>2438</v>
      </c>
      <c r="K194" s="55" t="s">
        <v>61</v>
      </c>
      <c r="L194" s="55" t="s">
        <v>1141</v>
      </c>
      <c r="M194" s="55" t="s">
        <v>78</v>
      </c>
      <c r="N194" s="55" t="s">
        <v>1135</v>
      </c>
      <c r="O194" s="55" t="s">
        <v>1142</v>
      </c>
      <c r="P194" s="55" t="s">
        <v>110</v>
      </c>
      <c r="Q194" s="67" t="str">
        <f>IFERROR(__xludf.DUMMYFUNCTION("""COMPUTED_VALUE"""),"Europe.giaotiep.P700_PTD_Tiktok_NamNH_060426")</f>
        <v>Europe.giaotiep.P700_PTD_Tiktok_NamNH_060426</v>
      </c>
      <c r="R194" s="67" t="str">
        <f>IFERROR(__xludf.DUMMYFUNCTION("""COMPUTED_VALUE"""),"NEW_Europe_1841_none_060426")</f>
        <v>NEW_Europe_1841_none_060426</v>
      </c>
      <c r="S194" s="67" t="str">
        <f>IFERROR(__xludf.DUMMYFUNCTION("""COMPUTED_VALUE"""),"saletructiep_Europe.P700.1840.giaotiep_THCNGDP_LD267")</f>
        <v>saletructiep_Europe.P700.1840.giaotiep_THCNGDP_LD267</v>
      </c>
      <c r="T194" s="107" t="str">
        <f>IFERROR(__xludf.DUMMYFUNCTION("""COMPUTED_VALUE"""),"https://patado.edu.vn/tienganhgiaotiep1_hn/?utm_source=Tiktok&amp;utm_medium=CVS&amp;utm_term=NEW_Europe_1841_none_060426&amp;utm_content=saletructiep_Europe.P700.1840.giaotiep_THCNGDP_LD267&amp;utm_campaign=Europe.giaotiep.P700_PTD_Tiktok_NamNH_060426")</f>
        <v>https://patado.edu.vn/tienganhgiaotiep1_hn/?utm_source=Tiktok&amp;utm_medium=CVS&amp;utm_term=NEW_Europe_1841_none_060426&amp;utm_content=saletructiep_Europe.P700.1840.giaotiep_THCNGDP_LD267&amp;utm_campaign=Europe.giaotiep.P700_PTD_Tiktok_NamNH_060426</v>
      </c>
      <c r="U194" s="118"/>
    </row>
    <row r="195">
      <c r="A195" s="72">
        <v>46118.0</v>
      </c>
      <c r="B195" s="112" t="s">
        <v>2434</v>
      </c>
      <c r="C195" s="67" t="str">
        <f>IFERROR(__xludf.DUMMYFUNCTION("""COMPUTED_VALUE"""),"LD267")</f>
        <v>LD267</v>
      </c>
      <c r="D195" s="55" t="s">
        <v>1135</v>
      </c>
      <c r="E195" s="55" t="s">
        <v>69</v>
      </c>
      <c r="F195" s="55" t="s">
        <v>539</v>
      </c>
      <c r="G195" s="55">
        <v>1841.0</v>
      </c>
      <c r="H195" s="55" t="s">
        <v>1137</v>
      </c>
      <c r="I195" s="115" t="s">
        <v>2443</v>
      </c>
      <c r="J195" s="95" t="s">
        <v>2444</v>
      </c>
      <c r="K195" s="55" t="s">
        <v>61</v>
      </c>
      <c r="L195" s="55" t="s">
        <v>1141</v>
      </c>
      <c r="M195" s="55" t="s">
        <v>78</v>
      </c>
      <c r="N195" s="55" t="s">
        <v>1135</v>
      </c>
      <c r="O195" s="55" t="s">
        <v>1142</v>
      </c>
      <c r="P195" s="55" t="s">
        <v>110</v>
      </c>
      <c r="Q195" s="67" t="str">
        <f>IFERROR(__xludf.DUMMYFUNCTION("""COMPUTED_VALUE"""),"ALL.giaotiep.P701_PTD_Tiktok_NamNH_060426")</f>
        <v>ALL.giaotiep.P701_PTD_Tiktok_NamNH_060426</v>
      </c>
      <c r="R195" s="67" t="str">
        <f>IFERROR(__xludf.DUMMYFUNCTION("""COMPUTED_VALUE"""),"NEW_ALL_1841_none_060426")</f>
        <v>NEW_ALL_1841_none_060426</v>
      </c>
      <c r="S195" s="67" t="str">
        <f>IFERROR(__xludf.DUMMYFUNCTION("""COMPUTED_VALUE"""),"saletructiep_ALL.P701.1840.giaotiep_THCNGDP_LD267")</f>
        <v>saletructiep_ALL.P701.1840.giaotiep_THCNGDP_LD267</v>
      </c>
      <c r="T195" s="107" t="str">
        <f>IFERROR(__xludf.DUMMYFUNCTION("""COMPUTED_VALUE"""),"https://patado.edu.vn/tienganhgiaotiep1_hn/?utm_source=Tiktok&amp;utm_medium=CVS&amp;utm_term=NEW_ALL_1841_none_060426&amp;utm_content=saletructiep_ALL.P701.1840.giaotiep_THCNGDP_LD267&amp;utm_campaign=ALL.giaotiep.P701_PTD_Tiktok_NamNH_060426")</f>
        <v>https://patado.edu.vn/tienganhgiaotiep1_hn/?utm_source=Tiktok&amp;utm_medium=CVS&amp;utm_term=NEW_ALL_1841_none_060426&amp;utm_content=saletructiep_ALL.P701.1840.giaotiep_THCNGDP_LD267&amp;utm_campaign=ALL.giaotiep.P701_PTD_Tiktok_NamNH_060426</v>
      </c>
      <c r="U195" s="118"/>
    </row>
    <row r="196">
      <c r="A196" s="72">
        <v>46125.0</v>
      </c>
      <c r="B196" s="112" t="s">
        <v>2434</v>
      </c>
      <c r="C196" s="67" t="str">
        <f>IFERROR(__xludf.DUMMYFUNCTION("""COMPUTED_VALUE"""),"LD267")</f>
        <v>LD267</v>
      </c>
      <c r="D196" s="55" t="s">
        <v>1135</v>
      </c>
      <c r="E196" s="55" t="s">
        <v>69</v>
      </c>
      <c r="F196" s="55" t="s">
        <v>539</v>
      </c>
      <c r="G196" s="55">
        <v>1841.0</v>
      </c>
      <c r="H196" s="55" t="s">
        <v>1137</v>
      </c>
      <c r="I196" s="115" t="s">
        <v>2450</v>
      </c>
      <c r="J196" s="95" t="s">
        <v>2451</v>
      </c>
      <c r="K196" s="55" t="s">
        <v>61</v>
      </c>
      <c r="L196" s="55" t="s">
        <v>1141</v>
      </c>
      <c r="M196" s="55" t="s">
        <v>78</v>
      </c>
      <c r="N196" s="55" t="s">
        <v>1135</v>
      </c>
      <c r="O196" s="55" t="s">
        <v>1142</v>
      </c>
      <c r="P196" s="55" t="s">
        <v>110</v>
      </c>
      <c r="Q196" s="67" t="str">
        <f>IFERROR(__xludf.DUMMYFUNCTION("""COMPUTED_VALUE"""),"ALL.giaotiep.P702_PTD_Tiktok_NamNH_130426")</f>
        <v>ALL.giaotiep.P702_PTD_Tiktok_NamNH_130426</v>
      </c>
      <c r="R196" s="67" t="str">
        <f>IFERROR(__xludf.DUMMYFUNCTION("""COMPUTED_VALUE"""),"NEW_ALL_1841_none_130426")</f>
        <v>NEW_ALL_1841_none_130426</v>
      </c>
      <c r="S196" s="67" t="str">
        <f>IFERROR(__xludf.DUMMYFUNCTION("""COMPUTED_VALUE"""),"saletructiep_ALL.P702.1840.giaotiep_THCNGDP_LD267")</f>
        <v>saletructiep_ALL.P702.1840.giaotiep_THCNGDP_LD267</v>
      </c>
      <c r="T196" s="107" t="str">
        <f>IFERROR(__xludf.DUMMYFUNCTION("""COMPUTED_VALUE"""),"https://patado.edu.vn/tienganhgiaotiep1_hn/?utm_source=Tiktok&amp;utm_medium=CVS&amp;utm_term=NEW_ALL_1841_none_130426&amp;utm_content=saletructiep_ALL.P702.1840.giaotiep_THCNGDP_LD267&amp;utm_campaign=ALL.giaotiep.P702_PTD_Tiktok_NamNH_130426")</f>
        <v>https://patado.edu.vn/tienganhgiaotiep1_hn/?utm_source=Tiktok&amp;utm_medium=CVS&amp;utm_term=NEW_ALL_1841_none_130426&amp;utm_content=saletructiep_ALL.P702.1840.giaotiep_THCNGDP_LD267&amp;utm_campaign=ALL.giaotiep.P702_PTD_Tiktok_NamNH_130426</v>
      </c>
      <c r="U196" s="118"/>
    </row>
    <row r="197">
      <c r="A197" s="72">
        <v>46125.0</v>
      </c>
      <c r="B197" s="75" t="s">
        <v>1229</v>
      </c>
      <c r="C197" s="67" t="str">
        <f>IFERROR(__xludf.DUMMYFUNCTION("""COMPUTED_VALUE"""),"LD164")</f>
        <v>LD164</v>
      </c>
      <c r="D197" s="55" t="s">
        <v>1135</v>
      </c>
      <c r="E197" s="55" t="s">
        <v>69</v>
      </c>
      <c r="F197" s="55" t="s">
        <v>133</v>
      </c>
      <c r="G197" s="55">
        <v>1841.0</v>
      </c>
      <c r="H197" s="55" t="s">
        <v>1137</v>
      </c>
      <c r="I197" s="115" t="s">
        <v>2458</v>
      </c>
      <c r="J197" s="95" t="s">
        <v>2459</v>
      </c>
      <c r="K197" s="55" t="s">
        <v>61</v>
      </c>
      <c r="L197" s="55" t="s">
        <v>1141</v>
      </c>
      <c r="M197" s="55" t="s">
        <v>78</v>
      </c>
      <c r="N197" s="55" t="s">
        <v>1135</v>
      </c>
      <c r="O197" s="55" t="s">
        <v>1142</v>
      </c>
      <c r="P197" s="55" t="s">
        <v>110</v>
      </c>
      <c r="Q197" s="67" t="str">
        <f>IFERROR(__xludf.DUMMYFUNCTION("""COMPUTED_VALUE"""),"Japan.giaotiep.P703_PTD_Tiktok_NamNH_130426")</f>
        <v>Japan.giaotiep.P703_PTD_Tiktok_NamNH_130426</v>
      </c>
      <c r="R197" s="67" t="str">
        <f>IFERROR(__xludf.DUMMYFUNCTION("""COMPUTED_VALUE"""),"NEW_Japan_1841_none_130426")</f>
        <v>NEW_Japan_1841_none_130426</v>
      </c>
      <c r="S197" s="67" t="str">
        <f>IFERROR(__xludf.DUMMYFUNCTION("""COMPUTED_VALUE"""),"saletructiep_Japan.P703.1840.giaotiep_THCNGDP_LD164")</f>
        <v>saletructiep_Japan.P703.1840.giaotiep_THCNGDP_LD164</v>
      </c>
      <c r="T197" s="107" t="str">
        <f>IFERROR(__xludf.DUMMYFUNCTION("""COMPUTED_VALUE"""),"https://patadovietnam.edu.vn/gtjapan_nhn3/?utm_source=Tiktok&amp;utm_medium=CVS&amp;utm_term=NEW_Japan_1841_none_130426&amp;utm_content=saletructiep_Japan.P703.1840.giaotiep_THCNGDP_LD164&amp;utm_campaign=Japan.giaotiep.P703_PTD_Tiktok_NamNH_130426")</f>
        <v>https://patadovietnam.edu.vn/gtjapan_nhn3/?utm_source=Tiktok&amp;utm_medium=CVS&amp;utm_term=NEW_Japan_1841_none_130426&amp;utm_content=saletructiep_Japan.P703.1840.giaotiep_THCNGDP_LD164&amp;utm_campaign=Japan.giaotiep.P703_PTD_Tiktok_NamNH_130426</v>
      </c>
      <c r="U197" s="118"/>
    </row>
    <row r="198">
      <c r="A198" s="72">
        <v>46127.0</v>
      </c>
      <c r="B198" s="112" t="s">
        <v>2434</v>
      </c>
      <c r="C198" s="67" t="str">
        <f>IFERROR(__xludf.DUMMYFUNCTION("""COMPUTED_VALUE"""),"LD267")</f>
        <v>LD267</v>
      </c>
      <c r="D198" s="55" t="s">
        <v>1135</v>
      </c>
      <c r="E198" s="55" t="s">
        <v>79</v>
      </c>
      <c r="F198" s="55" t="s">
        <v>539</v>
      </c>
      <c r="G198" s="55">
        <v>1841.0</v>
      </c>
      <c r="H198" s="55" t="s">
        <v>1137</v>
      </c>
      <c r="I198" s="115" t="s">
        <v>2463</v>
      </c>
      <c r="J198" s="95" t="s">
        <v>2464</v>
      </c>
      <c r="K198" s="55" t="s">
        <v>61</v>
      </c>
      <c r="L198" s="55" t="s">
        <v>1141</v>
      </c>
      <c r="M198" s="55" t="s">
        <v>78</v>
      </c>
      <c r="N198" s="55" t="s">
        <v>1135</v>
      </c>
      <c r="O198" s="55" t="s">
        <v>1142</v>
      </c>
      <c r="P198" s="55" t="s">
        <v>110</v>
      </c>
      <c r="Q198" s="67" t="str">
        <f>IFERROR(__xludf.DUMMYFUNCTION("""COMPUTED_VALUE"""),"ALL.giaotiep.P716_PTD_Tiktok_NamNH_150426")</f>
        <v>ALL.giaotiep.P716_PTD_Tiktok_NamNH_150426</v>
      </c>
      <c r="R198" s="67" t="str">
        <f>IFERROR(__xludf.DUMMYFUNCTION("""COMPUTED_VALUE"""),"NEW_ALL_1841_none_150426")</f>
        <v>NEW_ALL_1841_none_150426</v>
      </c>
      <c r="S198" s="67" t="str">
        <f>IFERROR(__xludf.DUMMYFUNCTION("""COMPUTED_VALUE"""),"saletructiep_ALL.P716.1840.giaotiep_THCNGDP_LD267")</f>
        <v>saletructiep_ALL.P716.1840.giaotiep_THCNGDP_LD267</v>
      </c>
      <c r="T198" s="107" t="str">
        <f>IFERROR(__xludf.DUMMYFUNCTION("""COMPUTED_VALUE"""),"https://patado.edu.vn/tienganhgiaotiep1_hn/?utm_source=Tiktok&amp;utm_medium=MES&amp;utm_term=NEW_ALL_1841_none_150426&amp;utm_content=saletructiep_ALL.P716.1840.giaotiep_THCNGDP_LD267&amp;utm_campaign=ALL.giaotiep.P716_PTD_Tiktok_NamNH_150426")</f>
        <v>https://patado.edu.vn/tienganhgiaotiep1_hn/?utm_source=Tiktok&amp;utm_medium=MES&amp;utm_term=NEW_ALL_1841_none_150426&amp;utm_content=saletructiep_ALL.P716.1840.giaotiep_THCNGDP_LD267&amp;utm_campaign=ALL.giaotiep.P716_PTD_Tiktok_NamNH_150426</v>
      </c>
      <c r="U198" s="118"/>
    </row>
    <row r="199">
      <c r="A199" s="72">
        <v>46127.0</v>
      </c>
      <c r="B199" s="112" t="s">
        <v>2434</v>
      </c>
      <c r="C199" s="67" t="str">
        <f>IFERROR(__xludf.DUMMYFUNCTION("""COMPUTED_VALUE"""),"LD267")</f>
        <v>LD267</v>
      </c>
      <c r="D199" s="55" t="s">
        <v>1135</v>
      </c>
      <c r="E199" s="55" t="s">
        <v>79</v>
      </c>
      <c r="F199" s="55" t="s">
        <v>539</v>
      </c>
      <c r="G199" s="55">
        <v>1841.0</v>
      </c>
      <c r="H199" s="55" t="s">
        <v>1137</v>
      </c>
      <c r="I199" s="115" t="s">
        <v>2469</v>
      </c>
      <c r="J199" s="95" t="s">
        <v>2470</v>
      </c>
      <c r="K199" s="55" t="s">
        <v>61</v>
      </c>
      <c r="L199" s="55" t="s">
        <v>1141</v>
      </c>
      <c r="M199" s="55" t="s">
        <v>78</v>
      </c>
      <c r="N199" s="55" t="s">
        <v>1135</v>
      </c>
      <c r="O199" s="55" t="s">
        <v>1142</v>
      </c>
      <c r="P199" s="55" t="s">
        <v>110</v>
      </c>
      <c r="Q199" s="67" t="str">
        <f>IFERROR(__xludf.DUMMYFUNCTION("""COMPUTED_VALUE"""),"ALL.giaotiep.P717_PTD_Tiktok_NamNH_150426")</f>
        <v>ALL.giaotiep.P717_PTD_Tiktok_NamNH_150426</v>
      </c>
      <c r="R199" s="67" t="str">
        <f>IFERROR(__xludf.DUMMYFUNCTION("""COMPUTED_VALUE"""),"NEW_ALL_1841_none_150426")</f>
        <v>NEW_ALL_1841_none_150426</v>
      </c>
      <c r="S199" s="67" t="str">
        <f>IFERROR(__xludf.DUMMYFUNCTION("""COMPUTED_VALUE"""),"saletructiep_ALL.P717.1840.giaotiep_THCNGDP_LD267")</f>
        <v>saletructiep_ALL.P717.1840.giaotiep_THCNGDP_LD267</v>
      </c>
      <c r="T199" s="107" t="str">
        <f>IFERROR(__xludf.DUMMYFUNCTION("""COMPUTED_VALUE"""),"https://patado.edu.vn/tienganhgiaotiep1_hn/?utm_source=Tiktok&amp;utm_medium=MES&amp;utm_term=NEW_ALL_1841_none_150426&amp;utm_content=saletructiep_ALL.P717.1840.giaotiep_THCNGDP_LD267&amp;utm_campaign=ALL.giaotiep.P717_PTD_Tiktok_NamNH_150426")</f>
        <v>https://patado.edu.vn/tienganhgiaotiep1_hn/?utm_source=Tiktok&amp;utm_medium=MES&amp;utm_term=NEW_ALL_1841_none_150426&amp;utm_content=saletructiep_ALL.P717.1840.giaotiep_THCNGDP_LD267&amp;utm_campaign=ALL.giaotiep.P717_PTD_Tiktok_NamNH_150426</v>
      </c>
      <c r="U199" s="118"/>
    </row>
    <row r="200">
      <c r="A200" s="72">
        <v>46127.0</v>
      </c>
      <c r="B200" s="75" t="s">
        <v>1229</v>
      </c>
      <c r="C200" s="67" t="str">
        <f>IFERROR(__xludf.DUMMYFUNCTION("""COMPUTED_VALUE"""),"LD164")</f>
        <v>LD164</v>
      </c>
      <c r="D200" s="55" t="s">
        <v>1135</v>
      </c>
      <c r="E200" s="55" t="s">
        <v>79</v>
      </c>
      <c r="F200" s="55" t="s">
        <v>133</v>
      </c>
      <c r="G200" s="55">
        <v>1841.0</v>
      </c>
      <c r="H200" s="55" t="s">
        <v>1137</v>
      </c>
      <c r="I200" s="115" t="s">
        <v>2479</v>
      </c>
      <c r="J200" s="95" t="s">
        <v>2480</v>
      </c>
      <c r="K200" s="55" t="s">
        <v>61</v>
      </c>
      <c r="L200" s="55" t="s">
        <v>1141</v>
      </c>
      <c r="M200" s="55" t="s">
        <v>78</v>
      </c>
      <c r="N200" s="55" t="s">
        <v>1135</v>
      </c>
      <c r="O200" s="55" t="s">
        <v>1142</v>
      </c>
      <c r="P200" s="55" t="s">
        <v>110</v>
      </c>
      <c r="Q200" s="67" t="str">
        <f>IFERROR(__xludf.DUMMYFUNCTION("""COMPUTED_VALUE"""),"Japan.giaotiep.P718_PTD_Tiktok_NamNH_150426")</f>
        <v>Japan.giaotiep.P718_PTD_Tiktok_NamNH_150426</v>
      </c>
      <c r="R200" s="67" t="str">
        <f>IFERROR(__xludf.DUMMYFUNCTION("""COMPUTED_VALUE"""),"NEW_Japan_1841_none_150426")</f>
        <v>NEW_Japan_1841_none_150426</v>
      </c>
      <c r="S200" s="67" t="str">
        <f>IFERROR(__xludf.DUMMYFUNCTION("""COMPUTED_VALUE"""),"saletructiep_Japan.P718.1840.giaotiep_THCNGDP_LD164")</f>
        <v>saletructiep_Japan.P718.1840.giaotiep_THCNGDP_LD164</v>
      </c>
      <c r="T200" s="107" t="str">
        <f>IFERROR(__xludf.DUMMYFUNCTION("""COMPUTED_VALUE"""),"https://patadovietnam.edu.vn/gtjapan_nhn3/?utm_source=Tiktok&amp;utm_medium=MES&amp;utm_term=NEW_Japan_1841_none_150426&amp;utm_content=saletructiep_Japan.P718.1840.giaotiep_THCNGDP_LD164&amp;utm_campaign=Japan.giaotiep.P718_PTD_Tiktok_NamNH_150426")</f>
        <v>https://patadovietnam.edu.vn/gtjapan_nhn3/?utm_source=Tiktok&amp;utm_medium=MES&amp;utm_term=NEW_Japan_1841_none_150426&amp;utm_content=saletructiep_Japan.P718.1840.giaotiep_THCNGDP_LD164&amp;utm_campaign=Japan.giaotiep.P718_PTD_Tiktok_NamNH_150426</v>
      </c>
      <c r="U200" s="118"/>
    </row>
    <row r="201">
      <c r="A201" s="72">
        <v>46147.0</v>
      </c>
      <c r="B201" s="75" t="s">
        <v>1229</v>
      </c>
      <c r="C201" s="67" t="str">
        <f>IFERROR(__xludf.DUMMYFUNCTION("""COMPUTED_VALUE"""),"LD164")</f>
        <v>LD164</v>
      </c>
      <c r="D201" s="55" t="s">
        <v>1135</v>
      </c>
      <c r="E201" s="55" t="s">
        <v>79</v>
      </c>
      <c r="F201" s="55" t="s">
        <v>133</v>
      </c>
      <c r="G201" s="55">
        <v>1841.0</v>
      </c>
      <c r="H201" s="55" t="s">
        <v>1137</v>
      </c>
      <c r="I201" s="115" t="s">
        <v>2236</v>
      </c>
      <c r="J201" s="95" t="s">
        <v>2237</v>
      </c>
      <c r="K201" s="55" t="s">
        <v>61</v>
      </c>
      <c r="L201" s="55" t="s">
        <v>1141</v>
      </c>
      <c r="M201" s="55" t="s">
        <v>78</v>
      </c>
      <c r="N201" s="55" t="s">
        <v>1135</v>
      </c>
      <c r="O201" s="55" t="s">
        <v>1142</v>
      </c>
      <c r="P201" s="55" t="s">
        <v>110</v>
      </c>
      <c r="Q201" s="67" t="str">
        <f>IFERROR(__xludf.DUMMYFUNCTION("""COMPUTED_VALUE"""),"Japan.giaotiep.P284_PTD_Tiktok_NamNH_050526")</f>
        <v>Japan.giaotiep.P284_PTD_Tiktok_NamNH_050526</v>
      </c>
      <c r="R201" s="67" t="str">
        <f>IFERROR(__xludf.DUMMYFUNCTION("""COMPUTED_VALUE"""),"NEW_Japan_1841_none_050526")</f>
        <v>NEW_Japan_1841_none_050526</v>
      </c>
      <c r="S201" s="67" t="str">
        <f>IFERROR(__xludf.DUMMYFUNCTION("""COMPUTED_VALUE"""),"saletructiep_Japan.P284.1840.giaotiep_THCNGDP_LD164")</f>
        <v>saletructiep_Japan.P284.1840.giaotiep_THCNGDP_LD164</v>
      </c>
      <c r="T201" s="107" t="str">
        <f>IFERROR(__xludf.DUMMYFUNCTION("""COMPUTED_VALUE"""),"https://patadovietnam.edu.vn/gtjapan_nhn3/?utm_source=Tiktok&amp;utm_medium=MES&amp;utm_term=NEW_Japan_1841_none_050526&amp;utm_content=saletructiep_Japan.P284.1840.giaotiep_THCNGDP_LD164&amp;utm_campaign=Japan.giaotiep.P284_PTD_Tiktok_NamNH_050526")</f>
        <v>https://patadovietnam.edu.vn/gtjapan_nhn3/?utm_source=Tiktok&amp;utm_medium=MES&amp;utm_term=NEW_Japan_1841_none_050526&amp;utm_content=saletructiep_Japan.P284.1840.giaotiep_THCNGDP_LD164&amp;utm_campaign=Japan.giaotiep.P284_PTD_Tiktok_NamNH_050526</v>
      </c>
      <c r="U201" s="118"/>
    </row>
    <row r="202">
      <c r="A202" s="72">
        <v>46147.0</v>
      </c>
      <c r="B202" s="75" t="s">
        <v>1229</v>
      </c>
      <c r="C202" s="67" t="str">
        <f>IFERROR(__xludf.DUMMYFUNCTION("""COMPUTED_VALUE"""),"LD164")</f>
        <v>LD164</v>
      </c>
      <c r="D202" s="55" t="s">
        <v>1135</v>
      </c>
      <c r="E202" s="55" t="s">
        <v>79</v>
      </c>
      <c r="F202" s="55" t="s">
        <v>133</v>
      </c>
      <c r="G202" s="55">
        <v>1841.0</v>
      </c>
      <c r="H202" s="55" t="s">
        <v>1137</v>
      </c>
      <c r="I202" s="115" t="s">
        <v>2490</v>
      </c>
      <c r="J202" s="95" t="s">
        <v>2491</v>
      </c>
      <c r="K202" s="55" t="s">
        <v>61</v>
      </c>
      <c r="L202" s="55" t="s">
        <v>1141</v>
      </c>
      <c r="M202" s="55" t="s">
        <v>78</v>
      </c>
      <c r="N202" s="55" t="s">
        <v>1135</v>
      </c>
      <c r="O202" s="55" t="s">
        <v>1142</v>
      </c>
      <c r="P202" s="55" t="s">
        <v>110</v>
      </c>
      <c r="Q202" s="67" t="str">
        <f>IFERROR(__xludf.DUMMYFUNCTION("""COMPUTED_VALUE"""),"Japan.giaotiep.P776_PTD_Tiktok_NamNH_050526")</f>
        <v>Japan.giaotiep.P776_PTD_Tiktok_NamNH_050526</v>
      </c>
      <c r="R202" s="67" t="str">
        <f>IFERROR(__xludf.DUMMYFUNCTION("""COMPUTED_VALUE"""),"NEW_Japan_1841_none_050526")</f>
        <v>NEW_Japan_1841_none_050526</v>
      </c>
      <c r="S202" s="67" t="str">
        <f>IFERROR(__xludf.DUMMYFUNCTION("""COMPUTED_VALUE"""),"saletructiep_Japan.P776.1840.giaotiep_THCNGDP_LD164")</f>
        <v>saletructiep_Japan.P776.1840.giaotiep_THCNGDP_LD164</v>
      </c>
      <c r="T202" s="107" t="str">
        <f>IFERROR(__xludf.DUMMYFUNCTION("""COMPUTED_VALUE"""),"https://patadovietnam.edu.vn/gtjapan_nhn3/?utm_source=Tiktok&amp;utm_medium=MES&amp;utm_term=NEW_Japan_1841_none_050526&amp;utm_content=saletructiep_Japan.P776.1840.giaotiep_THCNGDP_LD164&amp;utm_campaign=Japan.giaotiep.P776_PTD_Tiktok_NamNH_050526")</f>
        <v>https://patadovietnam.edu.vn/gtjapan_nhn3/?utm_source=Tiktok&amp;utm_medium=MES&amp;utm_term=NEW_Japan_1841_none_050526&amp;utm_content=saletructiep_Japan.P776.1840.giaotiep_THCNGDP_LD164&amp;utm_campaign=Japan.giaotiep.P776_PTD_Tiktok_NamNH_050526</v>
      </c>
      <c r="U202" s="118"/>
    </row>
    <row r="203">
      <c r="A203" s="72">
        <v>46147.0</v>
      </c>
      <c r="B203" s="112" t="s">
        <v>2434</v>
      </c>
      <c r="C203" s="67" t="str">
        <f>IFERROR(__xludf.DUMMYFUNCTION("""COMPUTED_VALUE"""),"LD267")</f>
        <v>LD267</v>
      </c>
      <c r="D203" s="55" t="s">
        <v>1135</v>
      </c>
      <c r="E203" s="55" t="s">
        <v>79</v>
      </c>
      <c r="F203" s="55" t="s">
        <v>674</v>
      </c>
      <c r="G203" s="55">
        <v>1841.0</v>
      </c>
      <c r="H203" s="55" t="s">
        <v>1137</v>
      </c>
      <c r="I203" s="115" t="s">
        <v>2496</v>
      </c>
      <c r="J203" s="95" t="s">
        <v>2497</v>
      </c>
      <c r="K203" s="55" t="s">
        <v>61</v>
      </c>
      <c r="L203" s="55" t="s">
        <v>1141</v>
      </c>
      <c r="M203" s="55" t="s">
        <v>78</v>
      </c>
      <c r="N203" s="55" t="s">
        <v>1135</v>
      </c>
      <c r="O203" s="55" t="s">
        <v>1142</v>
      </c>
      <c r="P203" s="55" t="s">
        <v>110</v>
      </c>
      <c r="Q203" s="67" t="str">
        <f>IFERROR(__xludf.DUMMYFUNCTION("""COMPUTED_VALUE"""),"Europe.giaotiep.P777_PTD_Tiktok_NamNH_050526")</f>
        <v>Europe.giaotiep.P777_PTD_Tiktok_NamNH_050526</v>
      </c>
      <c r="R203" s="67" t="str">
        <f>IFERROR(__xludf.DUMMYFUNCTION("""COMPUTED_VALUE"""),"NEW_Europe_1841_none_050526")</f>
        <v>NEW_Europe_1841_none_050526</v>
      </c>
      <c r="S203" s="67" t="str">
        <f>IFERROR(__xludf.DUMMYFUNCTION("""COMPUTED_VALUE"""),"saletructiep_Europe.P777.1840.giaotiep_THCNGDP_LD267")</f>
        <v>saletructiep_Europe.P777.1840.giaotiep_THCNGDP_LD267</v>
      </c>
      <c r="T203" s="107" t="str">
        <f>IFERROR(__xludf.DUMMYFUNCTION("""COMPUTED_VALUE"""),"https://patado.edu.vn/tienganhgiaotiep1_hn/?utm_source=Tiktok&amp;utm_medium=MES&amp;utm_term=NEW_Europe_1841_none_050526&amp;utm_content=saletructiep_Europe.P777.1840.giaotiep_THCNGDP_LD267&amp;utm_campaign=Europe.giaotiep.P777_PTD_Tiktok_NamNH_050526")</f>
        <v>https://patado.edu.vn/tienganhgiaotiep1_hn/?utm_source=Tiktok&amp;utm_medium=MES&amp;utm_term=NEW_Europe_1841_none_050526&amp;utm_content=saletructiep_Europe.P777.1840.giaotiep_THCNGDP_LD267&amp;utm_campaign=Europe.giaotiep.P777_PTD_Tiktok_NamNH_050526</v>
      </c>
      <c r="U203" s="118"/>
    </row>
    <row r="204">
      <c r="A204" s="72">
        <v>46147.0</v>
      </c>
      <c r="B204" s="60" t="s">
        <v>1134</v>
      </c>
      <c r="C204" s="67" t="str">
        <f>IFERROR(__xludf.DUMMYFUNCTION("""COMPUTED_VALUE"""),"LD153")</f>
        <v>LD153</v>
      </c>
      <c r="D204" s="55" t="s">
        <v>1135</v>
      </c>
      <c r="E204" s="55" t="s">
        <v>79</v>
      </c>
      <c r="F204" s="55" t="s">
        <v>539</v>
      </c>
      <c r="G204" s="55">
        <v>1841.0</v>
      </c>
      <c r="H204" s="55" t="s">
        <v>1137</v>
      </c>
      <c r="I204" s="115" t="s">
        <v>2502</v>
      </c>
      <c r="J204" s="95" t="s">
        <v>2503</v>
      </c>
      <c r="K204" s="55" t="s">
        <v>61</v>
      </c>
      <c r="L204" s="55" t="s">
        <v>1141</v>
      </c>
      <c r="M204" s="55" t="s">
        <v>78</v>
      </c>
      <c r="N204" s="55" t="s">
        <v>1135</v>
      </c>
      <c r="O204" s="55" t="s">
        <v>1142</v>
      </c>
      <c r="P204" s="55" t="s">
        <v>110</v>
      </c>
      <c r="Q204" s="67" t="str">
        <f>IFERROR(__xludf.DUMMYFUNCTION("""COMPUTED_VALUE"""),"ALL.giaotiep.P778_PTD_Tiktok_NamNH_050526")</f>
        <v>ALL.giaotiep.P778_PTD_Tiktok_NamNH_050526</v>
      </c>
      <c r="R204" s="67" t="str">
        <f>IFERROR(__xludf.DUMMYFUNCTION("""COMPUTED_VALUE"""),"NEW_ALL_1841_none_050526")</f>
        <v>NEW_ALL_1841_none_050526</v>
      </c>
      <c r="S204" s="67" t="str">
        <f>IFERROR(__xludf.DUMMYFUNCTION("""COMPUTED_VALUE"""),"saletructiep_ALL.P778.1840.giaotiep_THCNGDP_LD153")</f>
        <v>saletructiep_ALL.P778.1840.giaotiep_THCNGDP_LD153</v>
      </c>
      <c r="T204" s="107" t="str">
        <f>IFERROR(__xludf.DUMMYFUNCTION("""COMPUTED_VALUE"""),"https://patadovietnam.edu.vn/tienganhgiaotiep_hn/?utm_source=Tiktok&amp;utm_medium=MES&amp;utm_term=NEW_ALL_1841_none_050526&amp;utm_content=saletructiep_ALL.P778.1840.giaotiep_THCNGDP_LD153&amp;utm_campaign=ALL.giaotiep.P778_PTD_Tiktok_NamNH_050526")</f>
        <v>https://patadovietnam.edu.vn/tienganhgiaotiep_hn/?utm_source=Tiktok&amp;utm_medium=MES&amp;utm_term=NEW_ALL_1841_none_050526&amp;utm_content=saletructiep_ALL.P778.1840.giaotiep_THCNGDP_LD153&amp;utm_campaign=ALL.giaotiep.P778_PTD_Tiktok_NamNH_050526</v>
      </c>
      <c r="U204" s="118"/>
    </row>
    <row r="205">
      <c r="A205" s="72">
        <v>46150.0</v>
      </c>
      <c r="B205" s="112" t="s">
        <v>2434</v>
      </c>
      <c r="C205" s="67" t="str">
        <f>IFERROR(__xludf.DUMMYFUNCTION("""COMPUTED_VALUE"""),"LD267")</f>
        <v>LD267</v>
      </c>
      <c r="D205" s="55" t="s">
        <v>1135</v>
      </c>
      <c r="E205" s="55" t="s">
        <v>69</v>
      </c>
      <c r="F205" s="55" t="s">
        <v>539</v>
      </c>
      <c r="G205" s="55">
        <v>1841.0</v>
      </c>
      <c r="H205" s="55" t="s">
        <v>1137</v>
      </c>
      <c r="I205" s="115" t="s">
        <v>2508</v>
      </c>
      <c r="J205" s="95" t="s">
        <v>2509</v>
      </c>
      <c r="K205" s="55" t="s">
        <v>61</v>
      </c>
      <c r="L205" s="55" t="s">
        <v>1141</v>
      </c>
      <c r="M205" s="55" t="s">
        <v>78</v>
      </c>
      <c r="N205" s="55" t="s">
        <v>1135</v>
      </c>
      <c r="O205" s="55" t="s">
        <v>1142</v>
      </c>
      <c r="P205" s="55" t="s">
        <v>110</v>
      </c>
      <c r="Q205" s="67" t="str">
        <f>IFERROR(__xludf.DUMMYFUNCTION("""COMPUTED_VALUE"""),"ALL.giaotiep.P795_PTD_Tiktok_NamNH_080526")</f>
        <v>ALL.giaotiep.P795_PTD_Tiktok_NamNH_080526</v>
      </c>
      <c r="R205" s="67" t="str">
        <f>IFERROR(__xludf.DUMMYFUNCTION("""COMPUTED_VALUE"""),"NEW_ALL_1841_none_080526")</f>
        <v>NEW_ALL_1841_none_080526</v>
      </c>
      <c r="S205" s="67" t="str">
        <f>IFERROR(__xludf.DUMMYFUNCTION("""COMPUTED_VALUE"""),"saletructiep_ALL.P795.1840.giaotiep_THCNGDP_LD267")</f>
        <v>saletructiep_ALL.P795.1840.giaotiep_THCNGDP_LD267</v>
      </c>
      <c r="T205" s="107" t="str">
        <f>IFERROR(__xludf.DUMMYFUNCTION("""COMPUTED_VALUE"""),"https://patado.edu.vn/tienganhgiaotiep1_hn/?utm_source=Tiktok&amp;utm_medium=CVS&amp;utm_term=NEW_ALL_1841_none_080526&amp;utm_content=saletructiep_ALL.P795.1840.giaotiep_THCNGDP_LD267&amp;utm_campaign=ALL.giaotiep.P795_PTD_Tiktok_NamNH_080526")</f>
        <v>https://patado.edu.vn/tienganhgiaotiep1_hn/?utm_source=Tiktok&amp;utm_medium=CVS&amp;utm_term=NEW_ALL_1841_none_080526&amp;utm_content=saletructiep_ALL.P795.1840.giaotiep_THCNGDP_LD267&amp;utm_campaign=ALL.giaotiep.P795_PTD_Tiktok_NamNH_080526</v>
      </c>
      <c r="U205" s="118"/>
    </row>
    <row r="206">
      <c r="A206" s="72">
        <v>46150.0</v>
      </c>
      <c r="B206" s="112" t="s">
        <v>2434</v>
      </c>
      <c r="C206" s="67" t="str">
        <f>IFERROR(__xludf.DUMMYFUNCTION("""COMPUTED_VALUE"""),"LD267")</f>
        <v>LD267</v>
      </c>
      <c r="D206" s="55" t="s">
        <v>1135</v>
      </c>
      <c r="E206" s="55" t="s">
        <v>69</v>
      </c>
      <c r="F206" s="55" t="s">
        <v>539</v>
      </c>
      <c r="G206" s="55">
        <v>1841.0</v>
      </c>
      <c r="H206" s="55" t="s">
        <v>1137</v>
      </c>
      <c r="I206" s="115" t="s">
        <v>2515</v>
      </c>
      <c r="J206" s="95" t="s">
        <v>2517</v>
      </c>
      <c r="K206" s="55" t="s">
        <v>61</v>
      </c>
      <c r="L206" s="55" t="s">
        <v>1141</v>
      </c>
      <c r="M206" s="55" t="s">
        <v>78</v>
      </c>
      <c r="N206" s="55" t="s">
        <v>1135</v>
      </c>
      <c r="O206" s="55" t="s">
        <v>1142</v>
      </c>
      <c r="P206" s="55" t="s">
        <v>110</v>
      </c>
      <c r="Q206" s="67" t="str">
        <f>IFERROR(__xludf.DUMMYFUNCTION("""COMPUTED_VALUE"""),"ALL.giaotiep.P796_PTD_Tiktok_NamNH_080526")</f>
        <v>ALL.giaotiep.P796_PTD_Tiktok_NamNH_080526</v>
      </c>
      <c r="R206" s="67" t="str">
        <f>IFERROR(__xludf.DUMMYFUNCTION("""COMPUTED_VALUE"""),"NEW_ALL_1841_none_080526")</f>
        <v>NEW_ALL_1841_none_080526</v>
      </c>
      <c r="S206" s="67" t="str">
        <f>IFERROR(__xludf.DUMMYFUNCTION("""COMPUTED_VALUE"""),"saletructiep_ALL.P796.1840.giaotiep_THCNGDP_LD267")</f>
        <v>saletructiep_ALL.P796.1840.giaotiep_THCNGDP_LD267</v>
      </c>
      <c r="T206" s="107" t="str">
        <f>IFERROR(__xludf.DUMMYFUNCTION("""COMPUTED_VALUE"""),"https://patado.edu.vn/tienganhgiaotiep1_hn/?utm_source=Tiktok&amp;utm_medium=CVS&amp;utm_term=NEW_ALL_1841_none_080526&amp;utm_content=saletructiep_ALL.P796.1840.giaotiep_THCNGDP_LD267&amp;utm_campaign=ALL.giaotiep.P796_PTD_Tiktok_NamNH_080526")</f>
        <v>https://patado.edu.vn/tienganhgiaotiep1_hn/?utm_source=Tiktok&amp;utm_medium=CVS&amp;utm_term=NEW_ALL_1841_none_080526&amp;utm_content=saletructiep_ALL.P796.1840.giaotiep_THCNGDP_LD267&amp;utm_campaign=ALL.giaotiep.P796_PTD_Tiktok_NamNH_080526</v>
      </c>
      <c r="U206" s="118"/>
    </row>
    <row r="207">
      <c r="A207" s="72">
        <v>46150.0</v>
      </c>
      <c r="B207" s="112" t="s">
        <v>2434</v>
      </c>
      <c r="C207" s="67" t="str">
        <f>IFERROR(__xludf.DUMMYFUNCTION("""COMPUTED_VALUE"""),"LD267")</f>
        <v>LD267</v>
      </c>
      <c r="D207" s="55" t="s">
        <v>1135</v>
      </c>
      <c r="E207" s="55" t="s">
        <v>79</v>
      </c>
      <c r="F207" s="55" t="s">
        <v>133</v>
      </c>
      <c r="G207" s="55">
        <v>1841.0</v>
      </c>
      <c r="H207" s="55" t="s">
        <v>1137</v>
      </c>
      <c r="I207" s="115" t="s">
        <v>2523</v>
      </c>
      <c r="J207" s="95" t="s">
        <v>2524</v>
      </c>
      <c r="K207" s="55" t="s">
        <v>61</v>
      </c>
      <c r="L207" s="55" t="s">
        <v>1141</v>
      </c>
      <c r="M207" s="55" t="s">
        <v>78</v>
      </c>
      <c r="N207" s="55" t="s">
        <v>1135</v>
      </c>
      <c r="O207" s="55" t="s">
        <v>1142</v>
      </c>
      <c r="P207" s="55" t="s">
        <v>110</v>
      </c>
      <c r="Q207" s="67" t="str">
        <f>IFERROR(__xludf.DUMMYFUNCTION("""COMPUTED_VALUE"""),"Japan.giaotiep.P797_PTD_Tiktok_NamNH_080526")</f>
        <v>Japan.giaotiep.P797_PTD_Tiktok_NamNH_080526</v>
      </c>
      <c r="R207" s="67" t="str">
        <f>IFERROR(__xludf.DUMMYFUNCTION("""COMPUTED_VALUE"""),"NEW_Japan_1841_none_080526")</f>
        <v>NEW_Japan_1841_none_080526</v>
      </c>
      <c r="S207" s="67" t="str">
        <f>IFERROR(__xludf.DUMMYFUNCTION("""COMPUTED_VALUE"""),"saletructiep_Japan.P797.1840.giaotiep_THCNGDP_LD267")</f>
        <v>saletructiep_Japan.P797.1840.giaotiep_THCNGDP_LD267</v>
      </c>
      <c r="T207" s="107" t="str">
        <f>IFERROR(__xludf.DUMMYFUNCTION("""COMPUTED_VALUE"""),"https://patado.edu.vn/tienganhgiaotiep1_hn/?utm_source=Tiktok&amp;utm_medium=MES&amp;utm_term=NEW_Japan_1841_none_080526&amp;utm_content=saletructiep_Japan.P797.1840.giaotiep_THCNGDP_LD267&amp;utm_campaign=Japan.giaotiep.P797_PTD_Tiktok_NamNH_080526")</f>
        <v>https://patado.edu.vn/tienganhgiaotiep1_hn/?utm_source=Tiktok&amp;utm_medium=MES&amp;utm_term=NEW_Japan_1841_none_080526&amp;utm_content=saletructiep_Japan.P797.1840.giaotiep_THCNGDP_LD267&amp;utm_campaign=Japan.giaotiep.P797_PTD_Tiktok_NamNH_080526</v>
      </c>
      <c r="U207" s="118"/>
    </row>
    <row r="208">
      <c r="A208" s="72">
        <v>46150.0</v>
      </c>
      <c r="B208" s="112" t="s">
        <v>2434</v>
      </c>
      <c r="C208" s="67" t="str">
        <f>IFERROR(__xludf.DUMMYFUNCTION("""COMPUTED_VALUE"""),"LD267")</f>
        <v>LD267</v>
      </c>
      <c r="D208" s="55" t="s">
        <v>1135</v>
      </c>
      <c r="E208" s="55" t="s">
        <v>69</v>
      </c>
      <c r="F208" s="55" t="s">
        <v>674</v>
      </c>
      <c r="G208" s="55">
        <v>1841.0</v>
      </c>
      <c r="H208" s="55" t="s">
        <v>1137</v>
      </c>
      <c r="I208" s="115" t="s">
        <v>2530</v>
      </c>
      <c r="J208" s="95" t="s">
        <v>2531</v>
      </c>
      <c r="K208" s="55" t="s">
        <v>61</v>
      </c>
      <c r="L208" s="55" t="s">
        <v>1141</v>
      </c>
      <c r="M208" s="55" t="s">
        <v>78</v>
      </c>
      <c r="N208" s="55" t="s">
        <v>1135</v>
      </c>
      <c r="O208" s="55" t="s">
        <v>1142</v>
      </c>
      <c r="P208" s="55" t="s">
        <v>110</v>
      </c>
      <c r="Q208" s="67" t="str">
        <f>IFERROR(__xludf.DUMMYFUNCTION("""COMPUTED_VALUE"""),"Europe.giaotiep.P798_PTD_Tiktok_NamNH_080526")</f>
        <v>Europe.giaotiep.P798_PTD_Tiktok_NamNH_080526</v>
      </c>
      <c r="R208" s="67" t="str">
        <f>IFERROR(__xludf.DUMMYFUNCTION("""COMPUTED_VALUE"""),"NEW_Europe_1841_none_080526")</f>
        <v>NEW_Europe_1841_none_080526</v>
      </c>
      <c r="S208" s="67" t="str">
        <f>IFERROR(__xludf.DUMMYFUNCTION("""COMPUTED_VALUE"""),"saletructiep_Europe.P798.1840.giaotiep_THCNGDP_LD267")</f>
        <v>saletructiep_Europe.P798.1840.giaotiep_THCNGDP_LD267</v>
      </c>
      <c r="T208" s="107" t="str">
        <f>IFERROR(__xludf.DUMMYFUNCTION("""COMPUTED_VALUE"""),"https://patado.edu.vn/tienganhgiaotiep1_hn/?utm_source=Tiktok&amp;utm_medium=CVS&amp;utm_term=NEW_Europe_1841_none_080526&amp;utm_content=saletructiep_Europe.P798.1840.giaotiep_THCNGDP_LD267&amp;utm_campaign=Europe.giaotiep.P798_PTD_Tiktok_NamNH_080526")</f>
        <v>https://patado.edu.vn/tienganhgiaotiep1_hn/?utm_source=Tiktok&amp;utm_medium=CVS&amp;utm_term=NEW_Europe_1841_none_080526&amp;utm_content=saletructiep_Europe.P798.1840.giaotiep_THCNGDP_LD267&amp;utm_campaign=Europe.giaotiep.P798_PTD_Tiktok_NamNH_080526</v>
      </c>
      <c r="U208" s="118"/>
    </row>
    <row r="209">
      <c r="A209" s="72">
        <v>46181.0</v>
      </c>
      <c r="B209" s="112" t="s">
        <v>2434</v>
      </c>
      <c r="C209" s="67" t="str">
        <f>IFERROR(__xludf.DUMMYFUNCTION("""COMPUTED_VALUE"""),"LD267")</f>
        <v>LD267</v>
      </c>
      <c r="D209" s="55" t="s">
        <v>1135</v>
      </c>
      <c r="E209" s="55" t="s">
        <v>79</v>
      </c>
      <c r="F209" s="55" t="s">
        <v>539</v>
      </c>
      <c r="G209" s="55">
        <v>1841.0</v>
      </c>
      <c r="H209" s="55" t="s">
        <v>1137</v>
      </c>
      <c r="I209" s="115" t="s">
        <v>2537</v>
      </c>
      <c r="J209" s="95" t="s">
        <v>2538</v>
      </c>
      <c r="K209" s="55" t="s">
        <v>61</v>
      </c>
      <c r="L209" s="55" t="s">
        <v>1141</v>
      </c>
      <c r="M209" s="55" t="s">
        <v>78</v>
      </c>
      <c r="N209" s="55" t="s">
        <v>1135</v>
      </c>
      <c r="O209" s="55" t="s">
        <v>1142</v>
      </c>
      <c r="P209" s="55" t="s">
        <v>110</v>
      </c>
      <c r="Q209" s="67" t="str">
        <f>IFERROR(__xludf.DUMMYFUNCTION("""COMPUTED_VALUE"""),"ALL.giaotiep.P882_PTD_Tiktok_NamNH_080626")</f>
        <v>ALL.giaotiep.P882_PTD_Tiktok_NamNH_080626</v>
      </c>
      <c r="R209" s="67" t="str">
        <f>IFERROR(__xludf.DUMMYFUNCTION("""COMPUTED_VALUE"""),"NEW_ALL_1841_none_080626")</f>
        <v>NEW_ALL_1841_none_080626</v>
      </c>
      <c r="S209" s="67" t="str">
        <f>IFERROR(__xludf.DUMMYFUNCTION("""COMPUTED_VALUE"""),"saletructiep_ALL.P882.1840.giaotiep_THCNGDP_LD267")</f>
        <v>saletructiep_ALL.P882.1840.giaotiep_THCNGDP_LD267</v>
      </c>
      <c r="T209" s="107" t="str">
        <f>IFERROR(__xludf.DUMMYFUNCTION("""COMPUTED_VALUE"""),"https://patado.edu.vn/tienganhgiaotiep1_hn/?utm_source=Tiktok&amp;utm_medium=MES&amp;utm_term=NEW_ALL_1841_none_080626&amp;utm_content=saletructiep_ALL.P882.1840.giaotiep_THCNGDP_LD267&amp;utm_campaign=ALL.giaotiep.P882_PTD_Tiktok_NamNH_080626")</f>
        <v>https://patado.edu.vn/tienganhgiaotiep1_hn/?utm_source=Tiktok&amp;utm_medium=MES&amp;utm_term=NEW_ALL_1841_none_080626&amp;utm_content=saletructiep_ALL.P882.1840.giaotiep_THCNGDP_LD267&amp;utm_campaign=ALL.giaotiep.P882_PTD_Tiktok_NamNH_080626</v>
      </c>
      <c r="U209" s="118"/>
    </row>
    <row r="210">
      <c r="A210" s="72">
        <v>46181.0</v>
      </c>
      <c r="B210" s="112" t="s">
        <v>2543</v>
      </c>
      <c r="C210" s="67" t="str">
        <f>IFERROR(__xludf.DUMMYFUNCTION("""COMPUTED_VALUE"""),"LD265")</f>
        <v>LD265</v>
      </c>
      <c r="D210" s="55" t="s">
        <v>1135</v>
      </c>
      <c r="E210" s="55" t="s">
        <v>79</v>
      </c>
      <c r="F210" s="55" t="s">
        <v>133</v>
      </c>
      <c r="G210" s="55">
        <v>1841.0</v>
      </c>
      <c r="H210" s="55" t="s">
        <v>1137</v>
      </c>
      <c r="I210" s="115" t="s">
        <v>2544</v>
      </c>
      <c r="J210" s="95" t="s">
        <v>2545</v>
      </c>
      <c r="K210" s="55" t="s">
        <v>61</v>
      </c>
      <c r="L210" s="55" t="s">
        <v>1141</v>
      </c>
      <c r="M210" s="55" t="s">
        <v>78</v>
      </c>
      <c r="N210" s="55" t="s">
        <v>1135</v>
      </c>
      <c r="O210" s="55" t="s">
        <v>1142</v>
      </c>
      <c r="P210" s="55" t="s">
        <v>110</v>
      </c>
      <c r="Q210" s="67" t="str">
        <f>IFERROR(__xludf.DUMMYFUNCTION("""COMPUTED_VALUE"""),"Japan.giaotiep.P883_PTD_Tiktok_NamNH_080626")</f>
        <v>Japan.giaotiep.P883_PTD_Tiktok_NamNH_080626</v>
      </c>
      <c r="R210" s="67" t="str">
        <f>IFERROR(__xludf.DUMMYFUNCTION("""COMPUTED_VALUE"""),"NEW_Japan_1841_none_080626")</f>
        <v>NEW_Japan_1841_none_080626</v>
      </c>
      <c r="S210" s="67" t="str">
        <f>IFERROR(__xludf.DUMMYFUNCTION("""COMPUTED_VALUE"""),"saletructiep_Japan.P883.1840.giaotiep_THCNGDP_LD265")</f>
        <v>saletructiep_Japan.P883.1840.giaotiep_THCNGDP_LD265</v>
      </c>
      <c r="T210" s="107" t="str">
        <f>IFERROR(__xludf.DUMMYFUNCTION("""COMPUTED_VALUE"""),"https://patado.edu.vn/gtjapan_nhn3/?utm_source=Tiktok&amp;utm_medium=MES&amp;utm_term=NEW_Japan_1841_none_080626&amp;utm_content=saletructiep_Japan.P883.1840.giaotiep_THCNGDP_LD265&amp;utm_campaign=Japan.giaotiep.P883_PTD_Tiktok_NamNH_080626")</f>
        <v>https://patado.edu.vn/gtjapan_nhn3/?utm_source=Tiktok&amp;utm_medium=MES&amp;utm_term=NEW_Japan_1841_none_080626&amp;utm_content=saletructiep_Japan.P883.1840.giaotiep_THCNGDP_LD265&amp;utm_campaign=Japan.giaotiep.P883_PTD_Tiktok_NamNH_080626</v>
      </c>
      <c r="U210" s="118"/>
    </row>
    <row r="211">
      <c r="A211" s="72">
        <v>46181.0</v>
      </c>
      <c r="B211" s="112" t="s">
        <v>2434</v>
      </c>
      <c r="C211" s="67" t="str">
        <f>IFERROR(__xludf.DUMMYFUNCTION("""COMPUTED_VALUE"""),"LD267")</f>
        <v>LD267</v>
      </c>
      <c r="D211" s="55" t="s">
        <v>1135</v>
      </c>
      <c r="E211" s="55" t="s">
        <v>79</v>
      </c>
      <c r="F211" s="55" t="s">
        <v>674</v>
      </c>
      <c r="G211" s="55">
        <v>1841.0</v>
      </c>
      <c r="H211" s="55" t="s">
        <v>1137</v>
      </c>
      <c r="I211" s="115" t="s">
        <v>2547</v>
      </c>
      <c r="J211" s="95" t="s">
        <v>2548</v>
      </c>
      <c r="K211" s="55" t="s">
        <v>61</v>
      </c>
      <c r="L211" s="55" t="s">
        <v>1141</v>
      </c>
      <c r="M211" s="55" t="s">
        <v>78</v>
      </c>
      <c r="N211" s="55" t="s">
        <v>1135</v>
      </c>
      <c r="O211" s="55" t="s">
        <v>1142</v>
      </c>
      <c r="P211" s="55" t="s">
        <v>110</v>
      </c>
      <c r="Q211" s="67" t="str">
        <f>IFERROR(__xludf.DUMMYFUNCTION("""COMPUTED_VALUE"""),"Europe.giaotiep.P884_PTD_Tiktok_NamNH_080626")</f>
        <v>Europe.giaotiep.P884_PTD_Tiktok_NamNH_080626</v>
      </c>
      <c r="R211" s="67" t="str">
        <f>IFERROR(__xludf.DUMMYFUNCTION("""COMPUTED_VALUE"""),"NEW_Europe_1841_none_080626")</f>
        <v>NEW_Europe_1841_none_080626</v>
      </c>
      <c r="S211" s="67" t="str">
        <f>IFERROR(__xludf.DUMMYFUNCTION("""COMPUTED_VALUE"""),"saletructiep_Europe.P884.1840.giaotiep_THCNGDP_LD267")</f>
        <v>saletructiep_Europe.P884.1840.giaotiep_THCNGDP_LD267</v>
      </c>
      <c r="T211" s="107" t="str">
        <f>IFERROR(__xludf.DUMMYFUNCTION("""COMPUTED_VALUE"""),"https://patado.edu.vn/tienganhgiaotiep1_hn/?utm_source=Tiktok&amp;utm_medium=MES&amp;utm_term=NEW_Europe_1841_none_080626&amp;utm_content=saletructiep_Europe.P884.1840.giaotiep_THCNGDP_LD267&amp;utm_campaign=Europe.giaotiep.P884_PTD_Tiktok_NamNH_080626")</f>
        <v>https://patado.edu.vn/tienganhgiaotiep1_hn/?utm_source=Tiktok&amp;utm_medium=MES&amp;utm_term=NEW_Europe_1841_none_080626&amp;utm_content=saletructiep_Europe.P884.1840.giaotiep_THCNGDP_LD267&amp;utm_campaign=Europe.giaotiep.P884_PTD_Tiktok_NamNH_080626</v>
      </c>
      <c r="U211" s="118"/>
    </row>
    <row r="212">
      <c r="A212" s="72">
        <v>46184.0</v>
      </c>
      <c r="B212" s="112" t="s">
        <v>2434</v>
      </c>
      <c r="C212" s="67" t="str">
        <f>IFERROR(__xludf.DUMMYFUNCTION("""COMPUTED_VALUE"""),"LD267")</f>
        <v>LD267</v>
      </c>
      <c r="D212" s="55" t="s">
        <v>1135</v>
      </c>
      <c r="E212" s="55" t="s">
        <v>79</v>
      </c>
      <c r="F212" s="55" t="s">
        <v>539</v>
      </c>
      <c r="G212" s="55">
        <v>1841.0</v>
      </c>
      <c r="H212" s="55" t="s">
        <v>1137</v>
      </c>
      <c r="I212" s="115" t="s">
        <v>2552</v>
      </c>
      <c r="J212" s="95" t="s">
        <v>2553</v>
      </c>
      <c r="K212" s="55" t="s">
        <v>61</v>
      </c>
      <c r="L212" s="55" t="s">
        <v>1141</v>
      </c>
      <c r="M212" s="55" t="s">
        <v>78</v>
      </c>
      <c r="N212" s="55" t="s">
        <v>1135</v>
      </c>
      <c r="O212" s="55" t="s">
        <v>1142</v>
      </c>
      <c r="P212" s="55" t="s">
        <v>110</v>
      </c>
      <c r="Q212" s="67" t="str">
        <f>IFERROR(__xludf.DUMMYFUNCTION("""COMPUTED_VALUE"""),"ALL.giaotiep.P896_PTD_Tiktok_NamNH_110626")</f>
        <v>ALL.giaotiep.P896_PTD_Tiktok_NamNH_110626</v>
      </c>
      <c r="R212" s="67" t="str">
        <f>IFERROR(__xludf.DUMMYFUNCTION("""COMPUTED_VALUE"""),"NEW_ALL_1841_none_110626")</f>
        <v>NEW_ALL_1841_none_110626</v>
      </c>
      <c r="S212" s="67" t="str">
        <f>IFERROR(__xludf.DUMMYFUNCTION("""COMPUTED_VALUE"""),"saletructiep_ALL.P896.1840.giaotiep_THCNGDP_LD267")</f>
        <v>saletructiep_ALL.P896.1840.giaotiep_THCNGDP_LD267</v>
      </c>
      <c r="T212" s="107" t="str">
        <f>IFERROR(__xludf.DUMMYFUNCTION("""COMPUTED_VALUE"""),"https://patado.edu.vn/tienganhgiaotiep1_hn/?utm_source=Tiktok&amp;utm_medium=MES&amp;utm_term=NEW_ALL_1841_none_110626&amp;utm_content=saletructiep_ALL.P896.1840.giaotiep_THCNGDP_LD267&amp;utm_campaign=ALL.giaotiep.P896_PTD_Tiktok_NamNH_110626")</f>
        <v>https://patado.edu.vn/tienganhgiaotiep1_hn/?utm_source=Tiktok&amp;utm_medium=MES&amp;utm_term=NEW_ALL_1841_none_110626&amp;utm_content=saletructiep_ALL.P896.1840.giaotiep_THCNGDP_LD267&amp;utm_campaign=ALL.giaotiep.P896_PTD_Tiktok_NamNH_110626</v>
      </c>
      <c r="U212" s="118"/>
    </row>
    <row r="213">
      <c r="A213" s="72">
        <v>46184.0</v>
      </c>
      <c r="B213" s="112" t="s">
        <v>2543</v>
      </c>
      <c r="C213" s="67" t="str">
        <f>IFERROR(__xludf.DUMMYFUNCTION("""COMPUTED_VALUE"""),"LD265")</f>
        <v>LD265</v>
      </c>
      <c r="D213" s="55" t="s">
        <v>1135</v>
      </c>
      <c r="E213" s="55" t="s">
        <v>79</v>
      </c>
      <c r="F213" s="55" t="s">
        <v>133</v>
      </c>
      <c r="G213" s="55">
        <v>1841.0</v>
      </c>
      <c r="H213" s="55" t="s">
        <v>1137</v>
      </c>
      <c r="I213" s="115" t="s">
        <v>2558</v>
      </c>
      <c r="J213" s="95" t="s">
        <v>2559</v>
      </c>
      <c r="K213" s="55" t="s">
        <v>61</v>
      </c>
      <c r="L213" s="55" t="s">
        <v>1141</v>
      </c>
      <c r="M213" s="55" t="s">
        <v>78</v>
      </c>
      <c r="N213" s="55" t="s">
        <v>1135</v>
      </c>
      <c r="O213" s="55" t="s">
        <v>1142</v>
      </c>
      <c r="P213" s="55" t="s">
        <v>110</v>
      </c>
      <c r="Q213" s="67" t="str">
        <f>IFERROR(__xludf.DUMMYFUNCTION("""COMPUTED_VALUE"""),"Japan.giaotiep.P897_PTD_Tiktok_NamNH_110626")</f>
        <v>Japan.giaotiep.P897_PTD_Tiktok_NamNH_110626</v>
      </c>
      <c r="R213" s="67" t="str">
        <f>IFERROR(__xludf.DUMMYFUNCTION("""COMPUTED_VALUE"""),"NEW_Japan_1841_none_110626")</f>
        <v>NEW_Japan_1841_none_110626</v>
      </c>
      <c r="S213" s="67" t="str">
        <f>IFERROR(__xludf.DUMMYFUNCTION("""COMPUTED_VALUE"""),"saletructiep_Japan.P897.1840.giaotiep_THCNGDP_LD265")</f>
        <v>saletructiep_Japan.P897.1840.giaotiep_THCNGDP_LD265</v>
      </c>
      <c r="T213" s="107" t="str">
        <f>IFERROR(__xludf.DUMMYFUNCTION("""COMPUTED_VALUE"""),"https://patado.edu.vn/gtjapan_nhn3/?utm_source=Tiktok&amp;utm_medium=MES&amp;utm_term=NEW_Japan_1841_none_110626&amp;utm_content=saletructiep_Japan.P897.1840.giaotiep_THCNGDP_LD265&amp;utm_campaign=Japan.giaotiep.P897_PTD_Tiktok_NamNH_110626")</f>
        <v>https://patado.edu.vn/gtjapan_nhn3/?utm_source=Tiktok&amp;utm_medium=MES&amp;utm_term=NEW_Japan_1841_none_110626&amp;utm_content=saletructiep_Japan.P897.1840.giaotiep_THCNGDP_LD265&amp;utm_campaign=Japan.giaotiep.P897_PTD_Tiktok_NamNH_110626</v>
      </c>
      <c r="U213" s="118"/>
    </row>
    <row r="214">
      <c r="A214" s="72">
        <v>46205.0</v>
      </c>
      <c r="B214" s="112" t="s">
        <v>2434</v>
      </c>
      <c r="C214" s="67" t="str">
        <f>IFERROR(__xludf.DUMMYFUNCTION("""COMPUTED_VALUE"""),"LD267")</f>
        <v>LD267</v>
      </c>
      <c r="D214" s="55" t="s">
        <v>1135</v>
      </c>
      <c r="E214" s="55" t="s">
        <v>79</v>
      </c>
      <c r="F214" s="55" t="s">
        <v>133</v>
      </c>
      <c r="G214" s="55">
        <v>1841.0</v>
      </c>
      <c r="H214" s="55" t="s">
        <v>1137</v>
      </c>
      <c r="I214" s="115" t="s">
        <v>2562</v>
      </c>
      <c r="J214" s="95" t="s">
        <v>2563</v>
      </c>
      <c r="K214" s="55" t="s">
        <v>61</v>
      </c>
      <c r="L214" s="55" t="s">
        <v>1141</v>
      </c>
      <c r="M214" s="55" t="s">
        <v>78</v>
      </c>
      <c r="N214" s="55" t="s">
        <v>1135</v>
      </c>
      <c r="O214" s="55" t="s">
        <v>1142</v>
      </c>
      <c r="P214" s="55" t="s">
        <v>110</v>
      </c>
      <c r="Q214" s="67" t="str">
        <f>IFERROR(__xludf.DUMMYFUNCTION("""COMPUTED_VALUE"""),"Japan.giaotiep.P968_PTD_Tiktok_NamNH_020726")</f>
        <v>Japan.giaotiep.P968_PTD_Tiktok_NamNH_020726</v>
      </c>
      <c r="R214" s="67" t="str">
        <f>IFERROR(__xludf.DUMMYFUNCTION("""COMPUTED_VALUE"""),"NEW_Japan_1841_none_020726")</f>
        <v>NEW_Japan_1841_none_020726</v>
      </c>
      <c r="S214" s="67" t="str">
        <f>IFERROR(__xludf.DUMMYFUNCTION("""COMPUTED_VALUE"""),"saletructiep_Japan.P968.1840.giaotiep_THCNGDP_LD267")</f>
        <v>saletructiep_Japan.P968.1840.giaotiep_THCNGDP_LD267</v>
      </c>
      <c r="T214" s="107" t="str">
        <f>IFERROR(__xludf.DUMMYFUNCTION("""COMPUTED_VALUE"""),"https://patado.edu.vn/tienganhgiaotiep1_hn/?utm_source=Tiktok&amp;utm_medium=MES&amp;utm_term=NEW_Japan_1841_none_020726&amp;utm_content=saletructiep_Japan.P968.1840.giaotiep_THCNGDP_LD267&amp;utm_campaign=Japan.giaotiep.P968_PTD_Tiktok_NamNH_020726")</f>
        <v>https://patado.edu.vn/tienganhgiaotiep1_hn/?utm_source=Tiktok&amp;utm_medium=MES&amp;utm_term=NEW_Japan_1841_none_020726&amp;utm_content=saletructiep_Japan.P968.1840.giaotiep_THCNGDP_LD267&amp;utm_campaign=Japan.giaotiep.P968_PTD_Tiktok_NamNH_020726</v>
      </c>
      <c r="U214" s="118"/>
    </row>
    <row r="215">
      <c r="A215" s="72">
        <v>46205.0</v>
      </c>
      <c r="B215" s="112" t="s">
        <v>2434</v>
      </c>
      <c r="C215" s="67" t="str">
        <f>IFERROR(__xludf.DUMMYFUNCTION("""COMPUTED_VALUE"""),"LD267")</f>
        <v>LD267</v>
      </c>
      <c r="D215" s="55" t="s">
        <v>1135</v>
      </c>
      <c r="E215" s="55" t="s">
        <v>79</v>
      </c>
      <c r="F215" s="55" t="s">
        <v>674</v>
      </c>
      <c r="G215" s="55">
        <v>1841.0</v>
      </c>
      <c r="H215" s="55" t="s">
        <v>1137</v>
      </c>
      <c r="I215" s="115" t="s">
        <v>2566</v>
      </c>
      <c r="J215" s="95" t="s">
        <v>2567</v>
      </c>
      <c r="K215" s="55" t="s">
        <v>61</v>
      </c>
      <c r="L215" s="55" t="s">
        <v>1141</v>
      </c>
      <c r="M215" s="55" t="s">
        <v>78</v>
      </c>
      <c r="N215" s="55" t="s">
        <v>1135</v>
      </c>
      <c r="O215" s="55" t="s">
        <v>1142</v>
      </c>
      <c r="P215" s="55" t="s">
        <v>110</v>
      </c>
      <c r="Q215" s="67" t="str">
        <f>IFERROR(__xludf.DUMMYFUNCTION("""COMPUTED_VALUE"""),"Europe.giaotiep.P969_PTD_Tiktok_NamNH_020726")</f>
        <v>Europe.giaotiep.P969_PTD_Tiktok_NamNH_020726</v>
      </c>
      <c r="R215" s="67" t="str">
        <f>IFERROR(__xludf.DUMMYFUNCTION("""COMPUTED_VALUE"""),"NEW_Europe_1841_none_020726")</f>
        <v>NEW_Europe_1841_none_020726</v>
      </c>
      <c r="S215" s="67" t="str">
        <f>IFERROR(__xludf.DUMMYFUNCTION("""COMPUTED_VALUE"""),"saletructiep_Europe.P969.1840.giaotiep_THCNGDP_LD267")</f>
        <v>saletructiep_Europe.P969.1840.giaotiep_THCNGDP_LD267</v>
      </c>
      <c r="T215" s="107" t="str">
        <f>IFERROR(__xludf.DUMMYFUNCTION("""COMPUTED_VALUE"""),"https://patado.edu.vn/tienganhgiaotiep1_hn/?utm_source=Tiktok&amp;utm_medium=MES&amp;utm_term=NEW_Europe_1841_none_020726&amp;utm_content=saletructiep_Europe.P969.1840.giaotiep_THCNGDP_LD267&amp;utm_campaign=Europe.giaotiep.P969_PTD_Tiktok_NamNH_020726")</f>
        <v>https://patado.edu.vn/tienganhgiaotiep1_hn/?utm_source=Tiktok&amp;utm_medium=MES&amp;utm_term=NEW_Europe_1841_none_020726&amp;utm_content=saletructiep_Europe.P969.1840.giaotiep_THCNGDP_LD267&amp;utm_campaign=Europe.giaotiep.P969_PTD_Tiktok_NamNH_020726</v>
      </c>
      <c r="U215" s="118"/>
    </row>
    <row r="216">
      <c r="A216" s="72">
        <v>46205.0</v>
      </c>
      <c r="B216" s="112" t="s">
        <v>2434</v>
      </c>
      <c r="C216" s="67" t="str">
        <f>IFERROR(__xludf.DUMMYFUNCTION("""COMPUTED_VALUE"""),"LD267")</f>
        <v>LD267</v>
      </c>
      <c r="D216" s="55" t="s">
        <v>1135</v>
      </c>
      <c r="E216" s="55" t="s">
        <v>79</v>
      </c>
      <c r="F216" s="55" t="s">
        <v>539</v>
      </c>
      <c r="G216" s="55">
        <v>1841.0</v>
      </c>
      <c r="H216" s="55" t="s">
        <v>1137</v>
      </c>
      <c r="I216" s="115" t="s">
        <v>2572</v>
      </c>
      <c r="J216" s="95" t="s">
        <v>2573</v>
      </c>
      <c r="K216" s="55" t="s">
        <v>61</v>
      </c>
      <c r="L216" s="55" t="s">
        <v>1141</v>
      </c>
      <c r="M216" s="55" t="s">
        <v>78</v>
      </c>
      <c r="N216" s="55" t="s">
        <v>1135</v>
      </c>
      <c r="O216" s="55" t="s">
        <v>1142</v>
      </c>
      <c r="P216" s="55" t="s">
        <v>110</v>
      </c>
      <c r="Q216" s="67" t="str">
        <f>IFERROR(__xludf.DUMMYFUNCTION("""COMPUTED_VALUE"""),"ALL.giaotiep.P970_PTD_Tiktok_NamNH_020726")</f>
        <v>ALL.giaotiep.P970_PTD_Tiktok_NamNH_020726</v>
      </c>
      <c r="R216" s="67" t="str">
        <f>IFERROR(__xludf.DUMMYFUNCTION("""COMPUTED_VALUE"""),"NEW_ALL_1841_none_020726")</f>
        <v>NEW_ALL_1841_none_020726</v>
      </c>
      <c r="S216" s="67" t="str">
        <f>IFERROR(__xludf.DUMMYFUNCTION("""COMPUTED_VALUE"""),"saletructiep_ALL.P970.1840.giaotiep_THCNGDP_LD267")</f>
        <v>saletructiep_ALL.P970.1840.giaotiep_THCNGDP_LD267</v>
      </c>
      <c r="T216" s="107" t="str">
        <f>IFERROR(__xludf.DUMMYFUNCTION("""COMPUTED_VALUE"""),"https://patado.edu.vn/tienganhgiaotiep1_hn/?utm_source=Tiktok&amp;utm_medium=MES&amp;utm_term=NEW_ALL_1841_none_020726&amp;utm_content=saletructiep_ALL.P970.1840.giaotiep_THCNGDP_LD267&amp;utm_campaign=ALL.giaotiep.P970_PTD_Tiktok_NamNH_020726")</f>
        <v>https://patado.edu.vn/tienganhgiaotiep1_hn/?utm_source=Tiktok&amp;utm_medium=MES&amp;utm_term=NEW_ALL_1841_none_020726&amp;utm_content=saletructiep_ALL.P970.1840.giaotiep_THCNGDP_LD267&amp;utm_campaign=ALL.giaotiep.P970_PTD_Tiktok_NamNH_020726</v>
      </c>
      <c r="U216" s="118"/>
    </row>
    <row r="217">
      <c r="A217" s="72">
        <v>46297.0</v>
      </c>
      <c r="B217" s="112" t="s">
        <v>2434</v>
      </c>
      <c r="C217" s="67" t="str">
        <f>IFERROR(__xludf.DUMMYFUNCTION("""COMPUTED_VALUE"""),"LD267")</f>
        <v>LD267</v>
      </c>
      <c r="D217" s="55" t="s">
        <v>1135</v>
      </c>
      <c r="E217" s="55" t="s">
        <v>79</v>
      </c>
      <c r="F217" s="55" t="s">
        <v>674</v>
      </c>
      <c r="G217" s="55">
        <v>1841.0</v>
      </c>
      <c r="H217" s="55" t="s">
        <v>1137</v>
      </c>
      <c r="I217" s="115" t="s">
        <v>2575</v>
      </c>
      <c r="J217" s="95" t="s">
        <v>2576</v>
      </c>
      <c r="K217" s="55" t="s">
        <v>61</v>
      </c>
      <c r="L217" s="55" t="s">
        <v>1141</v>
      </c>
      <c r="M217" s="55" t="s">
        <v>78</v>
      </c>
      <c r="N217" s="55" t="s">
        <v>1135</v>
      </c>
      <c r="O217" s="55" t="s">
        <v>1142</v>
      </c>
      <c r="P217" s="55" t="s">
        <v>110</v>
      </c>
      <c r="Q217" s="67" t="str">
        <f>IFERROR(__xludf.DUMMYFUNCTION("""COMPUTED_VALUE"""),"Europe.giaotiep.P971_PTD_Tiktok_NamNH_021026")</f>
        <v>Europe.giaotiep.P971_PTD_Tiktok_NamNH_021026</v>
      </c>
      <c r="R217" s="67" t="str">
        <f>IFERROR(__xludf.DUMMYFUNCTION("""COMPUTED_VALUE"""),"NEW_Europe_1841_none_021026")</f>
        <v>NEW_Europe_1841_none_021026</v>
      </c>
      <c r="S217" s="67" t="str">
        <f>IFERROR(__xludf.DUMMYFUNCTION("""COMPUTED_VALUE"""),"saletructiep_Europe.P971.1840.giaotiep_THCNGDP_LD267")</f>
        <v>saletructiep_Europe.P971.1840.giaotiep_THCNGDP_LD267</v>
      </c>
      <c r="T217" s="107" t="str">
        <f>IFERROR(__xludf.DUMMYFUNCTION("""COMPUTED_VALUE"""),"https://patado.edu.vn/tienganhgiaotiep1_hn/?utm_source=Tiktok&amp;utm_medium=MES&amp;utm_term=NEW_Europe_1841_none_021026&amp;utm_content=saletructiep_Europe.P971.1840.giaotiep_THCNGDP_LD267&amp;utm_campaign=Europe.giaotiep.P971_PTD_Tiktok_NamNH_021026")</f>
        <v>https://patado.edu.vn/tienganhgiaotiep1_hn/?utm_source=Tiktok&amp;utm_medium=MES&amp;utm_term=NEW_Europe_1841_none_021026&amp;utm_content=saletructiep_Europe.P971.1840.giaotiep_THCNGDP_LD267&amp;utm_campaign=Europe.giaotiep.P971_PTD_Tiktok_NamNH_021026</v>
      </c>
      <c r="U217" s="118"/>
    </row>
    <row r="218">
      <c r="A218" s="72">
        <v>46297.0</v>
      </c>
      <c r="B218" s="112" t="s">
        <v>2434</v>
      </c>
      <c r="C218" s="67" t="str">
        <f>IFERROR(__xludf.DUMMYFUNCTION("""COMPUTED_VALUE"""),"LD267")</f>
        <v>LD267</v>
      </c>
      <c r="D218" s="55" t="s">
        <v>1135</v>
      </c>
      <c r="E218" s="55" t="s">
        <v>79</v>
      </c>
      <c r="F218" s="55" t="s">
        <v>133</v>
      </c>
      <c r="G218" s="55">
        <v>1841.0</v>
      </c>
      <c r="H218" s="55" t="s">
        <v>1137</v>
      </c>
      <c r="I218" s="115" t="s">
        <v>2582</v>
      </c>
      <c r="J218" s="95" t="s">
        <v>2584</v>
      </c>
      <c r="K218" s="55" t="s">
        <v>61</v>
      </c>
      <c r="L218" s="55" t="s">
        <v>1141</v>
      </c>
      <c r="M218" s="55" t="s">
        <v>78</v>
      </c>
      <c r="N218" s="55" t="s">
        <v>1135</v>
      </c>
      <c r="O218" s="55" t="s">
        <v>1142</v>
      </c>
      <c r="P218" s="55" t="s">
        <v>110</v>
      </c>
      <c r="Q218" s="67" t="str">
        <f>IFERROR(__xludf.DUMMYFUNCTION("""COMPUTED_VALUE"""),"Japan.giaotiep.P972_PTD_Tiktok_NamNH_021026")</f>
        <v>Japan.giaotiep.P972_PTD_Tiktok_NamNH_021026</v>
      </c>
      <c r="R218" s="67" t="str">
        <f>IFERROR(__xludf.DUMMYFUNCTION("""COMPUTED_VALUE"""),"NEW_Japan_1841_none_021026")</f>
        <v>NEW_Japan_1841_none_021026</v>
      </c>
      <c r="S218" s="67" t="str">
        <f>IFERROR(__xludf.DUMMYFUNCTION("""COMPUTED_VALUE"""),"saletructiep_Japan.P972.1840.giaotiep_THCNGDP_LD267")</f>
        <v>saletructiep_Japan.P972.1840.giaotiep_THCNGDP_LD267</v>
      </c>
      <c r="T218" s="107" t="str">
        <f>IFERROR(__xludf.DUMMYFUNCTION("""COMPUTED_VALUE"""),"https://patado.edu.vn/tienganhgiaotiep1_hn/?utm_source=Tiktok&amp;utm_medium=MES&amp;utm_term=NEW_Japan_1841_none_021026&amp;utm_content=saletructiep_Japan.P972.1840.giaotiep_THCNGDP_LD267&amp;utm_campaign=Japan.giaotiep.P972_PTD_Tiktok_NamNH_021026")</f>
        <v>https://patado.edu.vn/tienganhgiaotiep1_hn/?utm_source=Tiktok&amp;utm_medium=MES&amp;utm_term=NEW_Japan_1841_none_021026&amp;utm_content=saletructiep_Japan.P972.1840.giaotiep_THCNGDP_LD267&amp;utm_campaign=Japan.giaotiep.P972_PTD_Tiktok_NamNH_021026</v>
      </c>
      <c r="U218" s="118"/>
    </row>
    <row r="219">
      <c r="A219" s="72">
        <v>46297.0</v>
      </c>
      <c r="B219" s="112" t="s">
        <v>2434</v>
      </c>
      <c r="C219" s="67" t="str">
        <f>IFERROR(__xludf.DUMMYFUNCTION("""COMPUTED_VALUE"""),"LD267")</f>
        <v>LD267</v>
      </c>
      <c r="D219" s="55" t="s">
        <v>1135</v>
      </c>
      <c r="E219" s="55" t="s">
        <v>79</v>
      </c>
      <c r="F219" s="55" t="s">
        <v>539</v>
      </c>
      <c r="G219" s="55">
        <v>1841.0</v>
      </c>
      <c r="H219" s="55" t="s">
        <v>1137</v>
      </c>
      <c r="I219" s="115" t="s">
        <v>2587</v>
      </c>
      <c r="J219" s="95" t="s">
        <v>2588</v>
      </c>
      <c r="K219" s="55" t="s">
        <v>61</v>
      </c>
      <c r="L219" s="55" t="s">
        <v>1141</v>
      </c>
      <c r="M219" s="55" t="s">
        <v>78</v>
      </c>
      <c r="N219" s="55" t="s">
        <v>1135</v>
      </c>
      <c r="O219" s="55" t="s">
        <v>1142</v>
      </c>
      <c r="P219" s="55" t="s">
        <v>110</v>
      </c>
      <c r="Q219" s="67" t="str">
        <f>IFERROR(__xludf.DUMMYFUNCTION("""COMPUTED_VALUE"""),"ALL.giaotiep.P973_PTD_Tiktok_NamNH_021026")</f>
        <v>ALL.giaotiep.P973_PTD_Tiktok_NamNH_021026</v>
      </c>
      <c r="R219" s="67" t="str">
        <f>IFERROR(__xludf.DUMMYFUNCTION("""COMPUTED_VALUE"""),"NEW_ALL_1841_none_021026")</f>
        <v>NEW_ALL_1841_none_021026</v>
      </c>
      <c r="S219" s="67" t="str">
        <f>IFERROR(__xludf.DUMMYFUNCTION("""COMPUTED_VALUE"""),"saletructiep_ALL.P973.1840.giaotiep_THCNGDP_LD267")</f>
        <v>saletructiep_ALL.P973.1840.giaotiep_THCNGDP_LD267</v>
      </c>
      <c r="T219" s="107" t="str">
        <f>IFERROR(__xludf.DUMMYFUNCTION("""COMPUTED_VALUE"""),"https://patado.edu.vn/tienganhgiaotiep1_hn/?utm_source=Tiktok&amp;utm_medium=MES&amp;utm_term=NEW_ALL_1841_none_021026&amp;utm_content=saletructiep_ALL.P973.1840.giaotiep_THCNGDP_LD267&amp;utm_campaign=ALL.giaotiep.P973_PTD_Tiktok_NamNH_021026")</f>
        <v>https://patado.edu.vn/tienganhgiaotiep1_hn/?utm_source=Tiktok&amp;utm_medium=MES&amp;utm_term=NEW_ALL_1841_none_021026&amp;utm_content=saletructiep_ALL.P973.1840.giaotiep_THCNGDP_LD267&amp;utm_campaign=ALL.giaotiep.P973_PTD_Tiktok_NamNH_021026</v>
      </c>
      <c r="U219" s="118"/>
    </row>
    <row r="220">
      <c r="A220" s="72">
        <v>46302.0</v>
      </c>
      <c r="B220" s="112" t="s">
        <v>2434</v>
      </c>
      <c r="C220" s="67" t="str">
        <f>IFERROR(__xludf.DUMMYFUNCTION("""COMPUTED_VALUE"""),"LD267")</f>
        <v>LD267</v>
      </c>
      <c r="D220" s="55" t="s">
        <v>1135</v>
      </c>
      <c r="E220" s="55" t="s">
        <v>79</v>
      </c>
      <c r="F220" s="55" t="s">
        <v>674</v>
      </c>
      <c r="G220" s="55">
        <v>1841.0</v>
      </c>
      <c r="H220" s="55" t="s">
        <v>1137</v>
      </c>
      <c r="I220" s="115" t="s">
        <v>2591</v>
      </c>
      <c r="J220" s="95" t="s">
        <v>2593</v>
      </c>
      <c r="K220" s="55" t="s">
        <v>61</v>
      </c>
      <c r="L220" s="55" t="s">
        <v>1141</v>
      </c>
      <c r="M220" s="55" t="s">
        <v>78</v>
      </c>
      <c r="N220" s="55" t="s">
        <v>1135</v>
      </c>
      <c r="O220" s="55" t="s">
        <v>1142</v>
      </c>
      <c r="P220" s="55" t="s">
        <v>110</v>
      </c>
      <c r="Q220" s="67" t="str">
        <f>IFERROR(__xludf.DUMMYFUNCTION("""COMPUTED_VALUE"""),"Europe.giaotiep.P974_PTD_Tiktok_NamNH_071026")</f>
        <v>Europe.giaotiep.P974_PTD_Tiktok_NamNH_071026</v>
      </c>
      <c r="R220" s="67" t="str">
        <f>IFERROR(__xludf.DUMMYFUNCTION("""COMPUTED_VALUE"""),"NEW_Europe_1841_none_071026")</f>
        <v>NEW_Europe_1841_none_071026</v>
      </c>
      <c r="S220" s="67" t="str">
        <f>IFERROR(__xludf.DUMMYFUNCTION("""COMPUTED_VALUE"""),"saletructiep_Europe.P974.1840.giaotiep_THCNGDP_LD267")</f>
        <v>saletructiep_Europe.P974.1840.giaotiep_THCNGDP_LD267</v>
      </c>
      <c r="T220" s="107" t="str">
        <f>IFERROR(__xludf.DUMMYFUNCTION("""COMPUTED_VALUE"""),"https://patado.edu.vn/tienganhgiaotiep1_hn/?utm_source=Tiktok&amp;utm_medium=MES&amp;utm_term=NEW_Europe_1841_none_071026&amp;utm_content=saletructiep_Europe.P974.1840.giaotiep_THCNGDP_LD267&amp;utm_campaign=Europe.giaotiep.P974_PTD_Tiktok_NamNH_071026")</f>
        <v>https://patado.edu.vn/tienganhgiaotiep1_hn/?utm_source=Tiktok&amp;utm_medium=MES&amp;utm_term=NEW_Europe_1841_none_071026&amp;utm_content=saletructiep_Europe.P974.1840.giaotiep_THCNGDP_LD267&amp;utm_campaign=Europe.giaotiep.P974_PTD_Tiktok_NamNH_071026</v>
      </c>
      <c r="U220" s="118"/>
    </row>
    <row r="221">
      <c r="A221" s="72">
        <v>46302.0</v>
      </c>
      <c r="B221" s="112" t="s">
        <v>2434</v>
      </c>
      <c r="C221" s="67" t="str">
        <f>IFERROR(__xludf.DUMMYFUNCTION("""COMPUTED_VALUE"""),"LD267")</f>
        <v>LD267</v>
      </c>
      <c r="D221" s="55" t="s">
        <v>1135</v>
      </c>
      <c r="E221" s="55" t="s">
        <v>79</v>
      </c>
      <c r="F221" s="55" t="s">
        <v>133</v>
      </c>
      <c r="G221" s="55">
        <v>1841.0</v>
      </c>
      <c r="H221" s="55" t="s">
        <v>1137</v>
      </c>
      <c r="I221" s="115" t="s">
        <v>2598</v>
      </c>
      <c r="J221" s="95" t="s">
        <v>2599</v>
      </c>
      <c r="K221" s="55" t="s">
        <v>61</v>
      </c>
      <c r="L221" s="55" t="s">
        <v>1141</v>
      </c>
      <c r="M221" s="55" t="s">
        <v>78</v>
      </c>
      <c r="N221" s="55" t="s">
        <v>1135</v>
      </c>
      <c r="O221" s="55" t="s">
        <v>1142</v>
      </c>
      <c r="P221" s="55" t="s">
        <v>110</v>
      </c>
      <c r="Q221" s="67" t="str">
        <f>IFERROR(__xludf.DUMMYFUNCTION("""COMPUTED_VALUE"""),"Japan.giaotiep.P975_PTD_Tiktok_NamNH_071026")</f>
        <v>Japan.giaotiep.P975_PTD_Tiktok_NamNH_071026</v>
      </c>
      <c r="R221" s="67" t="str">
        <f>IFERROR(__xludf.DUMMYFUNCTION("""COMPUTED_VALUE"""),"NEW_Japan_1841_none_071026")</f>
        <v>NEW_Japan_1841_none_071026</v>
      </c>
      <c r="S221" s="67" t="str">
        <f>IFERROR(__xludf.DUMMYFUNCTION("""COMPUTED_VALUE"""),"saletructiep_Japan.P975.1840.giaotiep_THCNGDP_LD267")</f>
        <v>saletructiep_Japan.P975.1840.giaotiep_THCNGDP_LD267</v>
      </c>
      <c r="T221" s="107" t="str">
        <f>IFERROR(__xludf.DUMMYFUNCTION("""COMPUTED_VALUE"""),"https://patado.edu.vn/tienganhgiaotiep1_hn/?utm_source=Tiktok&amp;utm_medium=MES&amp;utm_term=NEW_Japan_1841_none_071026&amp;utm_content=saletructiep_Japan.P975.1840.giaotiep_THCNGDP_LD267&amp;utm_campaign=Japan.giaotiep.P975_PTD_Tiktok_NamNH_071026")</f>
        <v>https://patado.edu.vn/tienganhgiaotiep1_hn/?utm_source=Tiktok&amp;utm_medium=MES&amp;utm_term=NEW_Japan_1841_none_071026&amp;utm_content=saletructiep_Japan.P975.1840.giaotiep_THCNGDP_LD267&amp;utm_campaign=Japan.giaotiep.P975_PTD_Tiktok_NamNH_071026</v>
      </c>
      <c r="U221" s="118"/>
    </row>
    <row r="222">
      <c r="A222" s="72">
        <v>46302.0</v>
      </c>
      <c r="B222" s="112" t="s">
        <v>2434</v>
      </c>
      <c r="C222" s="67" t="str">
        <f>IFERROR(__xludf.DUMMYFUNCTION("""COMPUTED_VALUE"""),"LD267")</f>
        <v>LD267</v>
      </c>
      <c r="D222" s="55" t="s">
        <v>1135</v>
      </c>
      <c r="E222" s="55" t="s">
        <v>79</v>
      </c>
      <c r="F222" s="55" t="s">
        <v>539</v>
      </c>
      <c r="G222" s="55">
        <v>1841.0</v>
      </c>
      <c r="H222" s="55" t="s">
        <v>1137</v>
      </c>
      <c r="I222" s="115" t="s">
        <v>2606</v>
      </c>
      <c r="J222" s="95" t="s">
        <v>2608</v>
      </c>
      <c r="K222" s="55" t="s">
        <v>61</v>
      </c>
      <c r="L222" s="55" t="s">
        <v>1141</v>
      </c>
      <c r="M222" s="55" t="s">
        <v>78</v>
      </c>
      <c r="N222" s="55" t="s">
        <v>1135</v>
      </c>
      <c r="O222" s="55" t="s">
        <v>1142</v>
      </c>
      <c r="P222" s="55" t="s">
        <v>110</v>
      </c>
      <c r="Q222" s="67" t="str">
        <f>IFERROR(__xludf.DUMMYFUNCTION("""COMPUTED_VALUE"""),"ALL.giaotiep.P976_PTD_Tiktok_NamNH_071026")</f>
        <v>ALL.giaotiep.P976_PTD_Tiktok_NamNH_071026</v>
      </c>
      <c r="R222" s="67" t="str">
        <f>IFERROR(__xludf.DUMMYFUNCTION("""COMPUTED_VALUE"""),"NEW_ALL_1841_none_071026")</f>
        <v>NEW_ALL_1841_none_071026</v>
      </c>
      <c r="S222" s="67" t="str">
        <f>IFERROR(__xludf.DUMMYFUNCTION("""COMPUTED_VALUE"""),"saletructiep_ALL.P976.1840.giaotiep_THCNGDP_LD267")</f>
        <v>saletructiep_ALL.P976.1840.giaotiep_THCNGDP_LD267</v>
      </c>
      <c r="T222" s="107" t="str">
        <f>IFERROR(__xludf.DUMMYFUNCTION("""COMPUTED_VALUE"""),"https://patado.edu.vn/tienganhgiaotiep1_hn/?utm_source=Tiktok&amp;utm_medium=MES&amp;utm_term=NEW_ALL_1841_none_071026&amp;utm_content=saletructiep_ALL.P976.1840.giaotiep_THCNGDP_LD267&amp;utm_campaign=ALL.giaotiep.P976_PTD_Tiktok_NamNH_071026")</f>
        <v>https://patado.edu.vn/tienganhgiaotiep1_hn/?utm_source=Tiktok&amp;utm_medium=MES&amp;utm_term=NEW_ALL_1841_none_071026&amp;utm_content=saletructiep_ALL.P976.1840.giaotiep_THCNGDP_LD267&amp;utm_campaign=ALL.giaotiep.P976_PTD_Tiktok_NamNH_071026</v>
      </c>
      <c r="U222" s="118"/>
    </row>
    <row r="223">
      <c r="A223" s="72"/>
      <c r="B223" s="55"/>
      <c r="C223" s="67"/>
      <c r="D223" s="55"/>
      <c r="E223" s="55"/>
      <c r="F223" s="55"/>
      <c r="G223" s="55"/>
      <c r="H223" s="55"/>
      <c r="I223" s="115"/>
      <c r="J223" s="95"/>
      <c r="K223" s="55"/>
      <c r="L223" s="55"/>
      <c r="M223" s="55"/>
      <c r="N223" s="55"/>
      <c r="O223" s="55"/>
      <c r="P223" s="55"/>
      <c r="Q223" s="67"/>
      <c r="R223" s="67"/>
      <c r="S223" s="67"/>
      <c r="T223" s="67"/>
      <c r="U223" s="118"/>
    </row>
    <row r="224">
      <c r="A224" s="72"/>
      <c r="B224" s="55"/>
      <c r="C224" s="67"/>
      <c r="D224" s="55"/>
      <c r="E224" s="55"/>
      <c r="F224" s="55"/>
      <c r="G224" s="55"/>
      <c r="H224" s="55"/>
      <c r="I224" s="115"/>
      <c r="J224" s="95"/>
      <c r="K224" s="55"/>
      <c r="L224" s="55"/>
      <c r="M224" s="55"/>
      <c r="N224" s="55"/>
      <c r="O224" s="55"/>
      <c r="P224" s="55"/>
      <c r="Q224" s="67"/>
      <c r="R224" s="67"/>
      <c r="S224" s="67"/>
      <c r="T224" s="67"/>
      <c r="U224" s="118"/>
    </row>
    <row r="225">
      <c r="A225" s="72"/>
      <c r="B225" s="55"/>
      <c r="C225" s="67"/>
      <c r="D225" s="55"/>
      <c r="E225" s="55"/>
      <c r="F225" s="55"/>
      <c r="G225" s="55"/>
      <c r="H225" s="55"/>
      <c r="I225" s="115"/>
      <c r="J225" s="95"/>
      <c r="K225" s="55"/>
      <c r="L225" s="55"/>
      <c r="M225" s="55"/>
      <c r="N225" s="55"/>
      <c r="O225" s="55"/>
      <c r="P225" s="55"/>
      <c r="Q225" s="67"/>
      <c r="R225" s="67"/>
      <c r="S225" s="67"/>
      <c r="T225" s="67"/>
      <c r="U225" s="118"/>
    </row>
    <row r="226">
      <c r="A226" s="72"/>
      <c r="B226" s="55"/>
      <c r="C226" s="67"/>
      <c r="D226" s="55"/>
      <c r="E226" s="55"/>
      <c r="F226" s="55"/>
      <c r="G226" s="55"/>
      <c r="H226" s="55"/>
      <c r="I226" s="115"/>
      <c r="J226" s="95"/>
      <c r="K226" s="55"/>
      <c r="L226" s="55"/>
      <c r="M226" s="55"/>
      <c r="N226" s="55"/>
      <c r="O226" s="55"/>
      <c r="P226" s="55"/>
      <c r="Q226" s="67"/>
      <c r="R226" s="67"/>
      <c r="S226" s="67"/>
      <c r="T226" s="67"/>
      <c r="U226" s="118"/>
    </row>
  </sheetData>
  <customSheetViews>
    <customSheetView guid="{24EFF1FC-519A-4255-99C0-8464DF1D4EED}" filter="1" showAutoFilter="1">
      <autoFilter ref="$A$1:$U$14"/>
    </customSheetView>
    <customSheetView guid="{B9FC2153-85FE-4597-B01F-2D8A49A1D991}" filter="1" showAutoFilter="1">
      <autoFilter ref="$A$1:$U$14"/>
    </customSheetView>
  </customSheetViews>
  <dataValidations>
    <dataValidation type="list" allowBlank="1" showErrorMessage="1" sqref="D9:D226">
      <formula1>Data!$C$2:$C226</formula1>
    </dataValidation>
    <dataValidation type="list" allowBlank="1" showErrorMessage="1" sqref="E9:E226">
      <formula1>Data!$D$2:$D226</formula1>
    </dataValidation>
    <dataValidation type="list" allowBlank="1" showErrorMessage="1" sqref="N9:N226">
      <formula1>Data!$K$3:$K226</formula1>
    </dataValidation>
    <dataValidation type="list" allowBlank="1" showErrorMessage="1" sqref="B9:B42 B44:B193 B197 B200:B202 B204 B223:B226">
      <formula1>Data!$A$2:$A226</formula1>
    </dataValidation>
    <dataValidation type="list" allowBlank="1" showErrorMessage="1" sqref="O9:O226">
      <formula1>Data!$O$2:$O226</formula1>
    </dataValidation>
    <dataValidation type="list" allowBlank="1" showErrorMessage="1" sqref="M9:M226">
      <formula1>Data!$P$2:$P226</formula1>
    </dataValidation>
    <dataValidation type="custom" allowBlank="1" showDropDown="1" sqref="A9:A226">
      <formula1>OR(NOT(ISERROR(DATEVALUE(A9))), AND(ISNUMBER(A9), LEFT(CELL("format", A9))="D"))</formula1>
    </dataValidation>
    <dataValidation type="list" allowBlank="1" showErrorMessage="1" sqref="L9:L226">
      <formula1>Data!$I$2:$I226</formula1>
    </dataValidation>
    <dataValidation type="list" allowBlank="1" showErrorMessage="1" sqref="F9:F226">
      <formula1>Data!$F$2:$F226</formula1>
    </dataValidation>
    <dataValidation type="list" allowBlank="1" showErrorMessage="1" sqref="H9:H226">
      <formula1>Data!$H$2:$H226</formula1>
    </dataValidation>
    <dataValidation type="list" allowBlank="1" showErrorMessage="1" sqref="P9:P226">
      <formula1>Data!$M$2:$M226</formula1>
    </dataValidation>
  </dataValidations>
  <hyperlinks>
    <hyperlink r:id="rId1" ref="C3"/>
    <hyperlink r:id="rId2" ref="B9"/>
    <hyperlink r:id="rId3" ref="B10"/>
    <hyperlink r:id="rId4" ref="T10"/>
    <hyperlink r:id="rId5" ref="U10"/>
    <hyperlink r:id="rId6" ref="B11"/>
    <hyperlink r:id="rId7" ref="T11"/>
    <hyperlink r:id="rId8" ref="U11"/>
    <hyperlink r:id="rId9" ref="B12"/>
    <hyperlink r:id="rId10" ref="T12"/>
    <hyperlink r:id="rId11" ref="U12"/>
    <hyperlink r:id="rId12" ref="B13"/>
    <hyperlink r:id="rId13" ref="J13"/>
    <hyperlink r:id="rId14" ref="T13"/>
    <hyperlink r:id="rId15" ref="B14"/>
    <hyperlink r:id="rId16" ref="T14"/>
    <hyperlink r:id="rId17" ref="B15"/>
    <hyperlink r:id="rId18" ref="T15"/>
    <hyperlink r:id="rId19" ref="B16"/>
    <hyperlink r:id="rId20" ref="T16"/>
    <hyperlink r:id="rId21" ref="B17"/>
    <hyperlink r:id="rId22" ref="T17"/>
    <hyperlink r:id="rId23" ref="B18"/>
    <hyperlink r:id="rId24" ref="T18"/>
    <hyperlink r:id="rId25" ref="B19"/>
    <hyperlink r:id="rId26" ref="T19"/>
    <hyperlink r:id="rId27" ref="B20"/>
    <hyperlink r:id="rId28" ref="T20"/>
    <hyperlink r:id="rId29" ref="B21"/>
    <hyperlink r:id="rId30" ref="T21"/>
    <hyperlink r:id="rId31" ref="B22"/>
    <hyperlink r:id="rId32" ref="T22"/>
    <hyperlink r:id="rId33" ref="B23"/>
    <hyperlink r:id="rId34" ref="T23"/>
    <hyperlink r:id="rId35" ref="B24"/>
    <hyperlink r:id="rId36" ref="T24"/>
    <hyperlink r:id="rId37" ref="B25"/>
    <hyperlink r:id="rId38" ref="T25"/>
    <hyperlink r:id="rId39" ref="B26"/>
    <hyperlink r:id="rId40" ref="T26"/>
    <hyperlink r:id="rId41" ref="B27"/>
    <hyperlink r:id="rId42" ref="T27"/>
    <hyperlink r:id="rId43" ref="B28"/>
    <hyperlink r:id="rId44" ref="T28"/>
    <hyperlink r:id="rId45" ref="B29"/>
    <hyperlink r:id="rId46" ref="T29"/>
    <hyperlink r:id="rId47" ref="B30"/>
    <hyperlink r:id="rId48" ref="T30"/>
    <hyperlink r:id="rId49" ref="B31"/>
    <hyperlink r:id="rId50" ref="T31"/>
    <hyperlink r:id="rId51" ref="B32"/>
    <hyperlink r:id="rId52" ref="T32"/>
    <hyperlink r:id="rId53" ref="B33"/>
    <hyperlink r:id="rId54" ref="T33"/>
    <hyperlink r:id="rId55" ref="B34"/>
    <hyperlink r:id="rId56" ref="T34"/>
    <hyperlink r:id="rId57" ref="B35"/>
    <hyperlink r:id="rId58" ref="T35"/>
    <hyperlink r:id="rId59" ref="B36"/>
    <hyperlink r:id="rId60" ref="T36"/>
    <hyperlink r:id="rId61" ref="B37"/>
    <hyperlink r:id="rId62" ref="T37"/>
    <hyperlink r:id="rId63" ref="B38"/>
    <hyperlink r:id="rId64" ref="T38"/>
    <hyperlink r:id="rId65" ref="B39"/>
    <hyperlink r:id="rId66" ref="T39"/>
    <hyperlink r:id="rId67" ref="B40"/>
    <hyperlink r:id="rId68" ref="T40"/>
    <hyperlink r:id="rId69" ref="B41"/>
    <hyperlink r:id="rId70" ref="T41"/>
    <hyperlink r:id="rId71" ref="B42"/>
    <hyperlink r:id="rId72" ref="T42"/>
    <hyperlink r:id="rId73" ref="B43"/>
    <hyperlink r:id="rId74" ref="T43"/>
    <hyperlink r:id="rId75" ref="B44"/>
    <hyperlink r:id="rId76" ref="T44"/>
    <hyperlink r:id="rId77" ref="B45"/>
    <hyperlink r:id="rId78" ref="T45"/>
    <hyperlink r:id="rId79" ref="B46"/>
    <hyperlink r:id="rId80" ref="T46"/>
    <hyperlink r:id="rId81" ref="B47"/>
    <hyperlink r:id="rId82" ref="T47"/>
    <hyperlink r:id="rId83" ref="B48"/>
    <hyperlink r:id="rId84" ref="T48"/>
    <hyperlink r:id="rId85" ref="B49"/>
    <hyperlink r:id="rId86" ref="T49"/>
    <hyperlink r:id="rId87" ref="B50"/>
    <hyperlink r:id="rId88" ref="T50"/>
    <hyperlink r:id="rId89" ref="B51"/>
    <hyperlink r:id="rId90" ref="T51"/>
    <hyperlink r:id="rId91" ref="B52"/>
    <hyperlink r:id="rId92" ref="T52"/>
    <hyperlink r:id="rId93" ref="B53"/>
    <hyperlink r:id="rId94" ref="T53"/>
    <hyperlink r:id="rId95" ref="B54"/>
    <hyperlink r:id="rId96" ref="T54"/>
    <hyperlink r:id="rId97" ref="B55"/>
    <hyperlink r:id="rId98" ref="T55"/>
    <hyperlink r:id="rId99" ref="B56"/>
    <hyperlink r:id="rId100" ref="T56"/>
    <hyperlink r:id="rId101" ref="B57"/>
    <hyperlink r:id="rId102" ref="T57"/>
    <hyperlink r:id="rId103" ref="B58"/>
    <hyperlink r:id="rId104" ref="T58"/>
    <hyperlink r:id="rId105" ref="B59"/>
    <hyperlink r:id="rId106" ref="T59"/>
    <hyperlink r:id="rId107" ref="B60"/>
    <hyperlink r:id="rId108" ref="T60"/>
    <hyperlink r:id="rId109" ref="B61"/>
    <hyperlink r:id="rId110" ref="T61"/>
    <hyperlink r:id="rId111" ref="B62"/>
    <hyperlink r:id="rId112" ref="T62"/>
    <hyperlink r:id="rId113" ref="B63"/>
    <hyperlink r:id="rId114" ref="T63"/>
    <hyperlink r:id="rId115" ref="B64"/>
    <hyperlink r:id="rId116" ref="T64"/>
    <hyperlink r:id="rId117" ref="B65"/>
    <hyperlink r:id="rId118" ref="T65"/>
    <hyperlink r:id="rId119" ref="B66"/>
    <hyperlink r:id="rId120" ref="T66"/>
    <hyperlink r:id="rId121" ref="B67"/>
    <hyperlink r:id="rId122" ref="T67"/>
    <hyperlink r:id="rId123" ref="B68"/>
    <hyperlink r:id="rId124" ref="T68"/>
    <hyperlink r:id="rId125" ref="B69"/>
    <hyperlink r:id="rId126" ref="T69"/>
    <hyperlink r:id="rId127" ref="B70"/>
    <hyperlink r:id="rId128" ref="T70"/>
    <hyperlink r:id="rId129" ref="B71"/>
    <hyperlink r:id="rId130" ref="T71"/>
    <hyperlink r:id="rId131" ref="B72"/>
    <hyperlink r:id="rId132" ref="T72"/>
    <hyperlink r:id="rId133" ref="B73"/>
    <hyperlink r:id="rId134" ref="T73"/>
    <hyperlink r:id="rId135" ref="B74"/>
    <hyperlink r:id="rId136" ref="T74"/>
    <hyperlink r:id="rId137" ref="B75"/>
    <hyperlink r:id="rId138" ref="T75"/>
    <hyperlink r:id="rId139" ref="B76"/>
    <hyperlink r:id="rId140" ref="T76"/>
    <hyperlink r:id="rId141" ref="B77"/>
    <hyperlink r:id="rId142" ref="T77"/>
    <hyperlink r:id="rId143" ref="B78"/>
    <hyperlink r:id="rId144" ref="T78"/>
    <hyperlink r:id="rId145" ref="B79"/>
    <hyperlink r:id="rId146" ref="T79"/>
    <hyperlink r:id="rId147" ref="B80"/>
    <hyperlink r:id="rId148" ref="T80"/>
    <hyperlink r:id="rId149" ref="B81"/>
    <hyperlink r:id="rId150" ref="T81"/>
    <hyperlink r:id="rId151" ref="B82"/>
    <hyperlink r:id="rId152" ref="T82"/>
    <hyperlink r:id="rId153" ref="B83"/>
    <hyperlink r:id="rId154" ref="T83"/>
    <hyperlink r:id="rId155" ref="B84"/>
    <hyperlink r:id="rId156" ref="T84"/>
    <hyperlink r:id="rId157" ref="B85"/>
    <hyperlink r:id="rId158" ref="T85"/>
    <hyperlink r:id="rId159" ref="B86"/>
    <hyperlink r:id="rId160" ref="T86"/>
    <hyperlink r:id="rId161" ref="B87"/>
    <hyperlink r:id="rId162" ref="T87"/>
    <hyperlink r:id="rId163" ref="B88"/>
    <hyperlink r:id="rId164" ref="T88"/>
    <hyperlink r:id="rId165" ref="B89"/>
    <hyperlink r:id="rId166" ref="T89"/>
    <hyperlink r:id="rId167" ref="B90"/>
    <hyperlink r:id="rId168" ref="T90"/>
    <hyperlink r:id="rId169" ref="B91"/>
    <hyperlink r:id="rId170" ref="T91"/>
    <hyperlink r:id="rId171" ref="B92"/>
    <hyperlink r:id="rId172" ref="T92"/>
    <hyperlink r:id="rId173" ref="B93"/>
    <hyperlink r:id="rId174" ref="T93"/>
    <hyperlink r:id="rId175" ref="B94"/>
    <hyperlink r:id="rId176" ref="T94"/>
    <hyperlink r:id="rId177" ref="B95"/>
    <hyperlink r:id="rId178" ref="T95"/>
    <hyperlink r:id="rId179" ref="B96"/>
    <hyperlink r:id="rId180" ref="T96"/>
    <hyperlink r:id="rId181" ref="B97"/>
    <hyperlink r:id="rId182" ref="T97"/>
    <hyperlink r:id="rId183" ref="B98"/>
    <hyperlink r:id="rId184" ref="T98"/>
    <hyperlink r:id="rId185" ref="B99"/>
    <hyperlink r:id="rId186" ref="T99"/>
    <hyperlink r:id="rId187" ref="B100"/>
    <hyperlink r:id="rId188" ref="T100"/>
    <hyperlink r:id="rId189" ref="B101"/>
    <hyperlink r:id="rId190" ref="T101"/>
    <hyperlink r:id="rId191" ref="B102"/>
    <hyperlink r:id="rId192" ref="T102"/>
    <hyperlink r:id="rId193" ref="B103"/>
    <hyperlink r:id="rId194" ref="T103"/>
    <hyperlink r:id="rId195" ref="B104"/>
    <hyperlink r:id="rId196" ref="T104"/>
    <hyperlink r:id="rId197" ref="B105"/>
    <hyperlink r:id="rId198" ref="T105"/>
    <hyperlink r:id="rId199" ref="B106"/>
    <hyperlink r:id="rId200" ref="T106"/>
    <hyperlink r:id="rId201" ref="B107"/>
    <hyperlink r:id="rId202" ref="T107"/>
    <hyperlink r:id="rId203" ref="B108"/>
    <hyperlink r:id="rId204" ref="T108"/>
    <hyperlink r:id="rId205" ref="B109"/>
    <hyperlink r:id="rId206" ref="T109"/>
    <hyperlink r:id="rId207" ref="B110"/>
    <hyperlink r:id="rId208" ref="T110"/>
    <hyperlink r:id="rId209" ref="B111"/>
    <hyperlink r:id="rId210" ref="T111"/>
    <hyperlink r:id="rId211" ref="B112"/>
    <hyperlink r:id="rId212" ref="T112"/>
    <hyperlink r:id="rId213" ref="B113"/>
    <hyperlink r:id="rId214" ref="T113"/>
    <hyperlink r:id="rId215" ref="B114"/>
    <hyperlink r:id="rId216" ref="T114"/>
    <hyperlink r:id="rId217" ref="B115"/>
    <hyperlink r:id="rId218" ref="T115"/>
    <hyperlink r:id="rId219" ref="B116"/>
    <hyperlink r:id="rId220" ref="T116"/>
    <hyperlink r:id="rId221" ref="B117"/>
    <hyperlink r:id="rId222" ref="T117"/>
    <hyperlink r:id="rId223" ref="B118"/>
    <hyperlink r:id="rId224" ref="T118"/>
    <hyperlink r:id="rId225" ref="B119"/>
    <hyperlink r:id="rId226" ref="T119"/>
    <hyperlink r:id="rId227" ref="B120"/>
    <hyperlink r:id="rId228" ref="T120"/>
    <hyperlink r:id="rId229" ref="B121"/>
    <hyperlink r:id="rId230" ref="T121"/>
    <hyperlink r:id="rId231" ref="B122"/>
    <hyperlink r:id="rId232" ref="T122"/>
    <hyperlink r:id="rId233" ref="B123"/>
    <hyperlink r:id="rId234" ref="T123"/>
    <hyperlink r:id="rId235" ref="B124"/>
    <hyperlink r:id="rId236" ref="T124"/>
    <hyperlink r:id="rId237" ref="B125"/>
    <hyperlink r:id="rId238" ref="T125"/>
    <hyperlink r:id="rId239" ref="B126"/>
    <hyperlink r:id="rId240" ref="T126"/>
    <hyperlink r:id="rId241" ref="B127"/>
    <hyperlink r:id="rId242" ref="T127"/>
    <hyperlink r:id="rId243" ref="B128"/>
    <hyperlink r:id="rId244" ref="T128"/>
    <hyperlink r:id="rId245" ref="B129"/>
    <hyperlink r:id="rId246" ref="T129"/>
    <hyperlink r:id="rId247" ref="B130"/>
    <hyperlink r:id="rId248" ref="T130"/>
    <hyperlink r:id="rId249" ref="B131"/>
    <hyperlink r:id="rId250" ref="T131"/>
    <hyperlink r:id="rId251" ref="B132"/>
    <hyperlink r:id="rId252" ref="T132"/>
    <hyperlink r:id="rId253" ref="B133"/>
    <hyperlink r:id="rId254" ref="T133"/>
    <hyperlink r:id="rId255" ref="B134"/>
    <hyperlink r:id="rId256" ref="T134"/>
    <hyperlink r:id="rId257" ref="B135"/>
    <hyperlink r:id="rId258" ref="T135"/>
    <hyperlink r:id="rId259" ref="B136"/>
    <hyperlink r:id="rId260" ref="T136"/>
    <hyperlink r:id="rId261" ref="B137"/>
    <hyperlink r:id="rId262" ref="T137"/>
    <hyperlink r:id="rId263" ref="B138"/>
    <hyperlink r:id="rId264" ref="T138"/>
    <hyperlink r:id="rId265" ref="B139"/>
    <hyperlink r:id="rId266" ref="T139"/>
    <hyperlink r:id="rId267" ref="B140"/>
    <hyperlink r:id="rId268" ref="T140"/>
    <hyperlink r:id="rId269" ref="B141"/>
    <hyperlink r:id="rId270" ref="T141"/>
    <hyperlink r:id="rId271" ref="B142"/>
    <hyperlink r:id="rId272" ref="T142"/>
    <hyperlink r:id="rId273" ref="B143"/>
    <hyperlink r:id="rId274" ref="T143"/>
    <hyperlink r:id="rId275" ref="B144"/>
    <hyperlink r:id="rId276" ref="T144"/>
    <hyperlink r:id="rId277" ref="B145"/>
    <hyperlink r:id="rId278" ref="T145"/>
    <hyperlink r:id="rId279" ref="B146"/>
    <hyperlink r:id="rId280" ref="T146"/>
    <hyperlink r:id="rId281" ref="B147"/>
    <hyperlink r:id="rId282" ref="T147"/>
    <hyperlink r:id="rId283" ref="B148"/>
    <hyperlink r:id="rId284" ref="T148"/>
    <hyperlink r:id="rId285" ref="B149"/>
    <hyperlink r:id="rId286" ref="T149"/>
    <hyperlink r:id="rId287" ref="B150"/>
    <hyperlink r:id="rId288" ref="T150"/>
    <hyperlink r:id="rId289" ref="B151"/>
    <hyperlink r:id="rId290" ref="T151"/>
    <hyperlink r:id="rId291" ref="B152"/>
    <hyperlink r:id="rId292" ref="T152"/>
    <hyperlink r:id="rId293" ref="B153"/>
    <hyperlink r:id="rId294" ref="T153"/>
    <hyperlink r:id="rId295" ref="B154"/>
    <hyperlink r:id="rId296" ref="T154"/>
    <hyperlink r:id="rId297" ref="B155"/>
    <hyperlink r:id="rId298" ref="T155"/>
    <hyperlink r:id="rId299" ref="B156"/>
    <hyperlink r:id="rId300" ref="T156"/>
    <hyperlink r:id="rId301" ref="B157"/>
    <hyperlink r:id="rId302" ref="T157"/>
    <hyperlink r:id="rId303" ref="B158"/>
    <hyperlink r:id="rId304" ref="T158"/>
    <hyperlink r:id="rId305" ref="B159"/>
    <hyperlink r:id="rId306" ref="T159"/>
    <hyperlink r:id="rId307" ref="B160"/>
    <hyperlink r:id="rId308" ref="T160"/>
    <hyperlink r:id="rId309" ref="B161"/>
    <hyperlink r:id="rId310" ref="T161"/>
    <hyperlink r:id="rId311" ref="B162"/>
    <hyperlink r:id="rId312" ref="T162"/>
    <hyperlink r:id="rId313" ref="B163"/>
    <hyperlink r:id="rId314" ref="T163"/>
    <hyperlink r:id="rId315" ref="B164"/>
    <hyperlink r:id="rId316" ref="T164"/>
    <hyperlink r:id="rId317" ref="B165"/>
    <hyperlink r:id="rId318" ref="T165"/>
    <hyperlink r:id="rId319" ref="B166"/>
    <hyperlink r:id="rId320" ref="T166"/>
    <hyperlink r:id="rId321" ref="B167"/>
    <hyperlink r:id="rId322" ref="T167"/>
    <hyperlink r:id="rId323" ref="B168"/>
    <hyperlink r:id="rId324" ref="T168"/>
    <hyperlink r:id="rId325" ref="B169"/>
    <hyperlink r:id="rId326" ref="T169"/>
    <hyperlink r:id="rId327" ref="B170"/>
    <hyperlink r:id="rId328" ref="T170"/>
    <hyperlink r:id="rId329" ref="B171"/>
    <hyperlink r:id="rId330" ref="T171"/>
    <hyperlink r:id="rId331" ref="B172"/>
    <hyperlink r:id="rId332" ref="T172"/>
    <hyperlink r:id="rId333" ref="B173"/>
    <hyperlink r:id="rId334" ref="T173"/>
    <hyperlink r:id="rId335" ref="B174"/>
    <hyperlink r:id="rId336" ref="T174"/>
    <hyperlink r:id="rId337" ref="B175"/>
    <hyperlink r:id="rId338" ref="T175"/>
    <hyperlink r:id="rId339" ref="B176"/>
    <hyperlink r:id="rId340" ref="T176"/>
    <hyperlink r:id="rId341" ref="B177"/>
    <hyperlink r:id="rId342" ref="T177"/>
    <hyperlink r:id="rId343" ref="B178"/>
    <hyperlink r:id="rId344" ref="T178"/>
    <hyperlink r:id="rId345" ref="B179"/>
    <hyperlink r:id="rId346" ref="T179"/>
    <hyperlink r:id="rId347" ref="B180"/>
    <hyperlink r:id="rId348" ref="T180"/>
    <hyperlink r:id="rId349" ref="B181"/>
    <hyperlink r:id="rId350" ref="T181"/>
    <hyperlink r:id="rId351" ref="B182"/>
    <hyperlink r:id="rId352" ref="T182"/>
    <hyperlink r:id="rId353" ref="B183"/>
    <hyperlink r:id="rId354" ref="T183"/>
    <hyperlink r:id="rId355" ref="B184"/>
    <hyperlink r:id="rId356" ref="T184"/>
    <hyperlink r:id="rId357" ref="B185"/>
    <hyperlink r:id="rId358" ref="T185"/>
    <hyperlink r:id="rId359" ref="B186"/>
    <hyperlink r:id="rId360" ref="T186"/>
    <hyperlink r:id="rId361" ref="B187"/>
    <hyperlink r:id="rId362" ref="T187"/>
    <hyperlink r:id="rId363" ref="B188"/>
    <hyperlink r:id="rId364" ref="T188"/>
    <hyperlink r:id="rId365" ref="B189"/>
    <hyperlink r:id="rId366" ref="T189"/>
    <hyperlink r:id="rId367" ref="B190"/>
    <hyperlink r:id="rId368" ref="T190"/>
    <hyperlink r:id="rId369" ref="B191"/>
    <hyperlink r:id="rId370" ref="T191"/>
    <hyperlink r:id="rId371" ref="B192"/>
    <hyperlink r:id="rId372" ref="T192"/>
    <hyperlink r:id="rId373" ref="B193"/>
    <hyperlink r:id="rId374" ref="T193"/>
    <hyperlink r:id="rId375" ref="B194"/>
    <hyperlink r:id="rId376" ref="T194"/>
    <hyperlink r:id="rId377" ref="B195"/>
    <hyperlink r:id="rId378" ref="T195"/>
    <hyperlink r:id="rId379" ref="B196"/>
    <hyperlink r:id="rId380" ref="T196"/>
    <hyperlink r:id="rId381" ref="B197"/>
    <hyperlink r:id="rId382" ref="T197"/>
    <hyperlink r:id="rId383" ref="B198"/>
    <hyperlink r:id="rId384" ref="T198"/>
    <hyperlink r:id="rId385" ref="B199"/>
    <hyperlink r:id="rId386" ref="T199"/>
    <hyperlink r:id="rId387" ref="B200"/>
    <hyperlink r:id="rId388" ref="T200"/>
    <hyperlink r:id="rId389" ref="B201"/>
    <hyperlink r:id="rId390" ref="T201"/>
    <hyperlink r:id="rId391" ref="B202"/>
    <hyperlink r:id="rId392" ref="T202"/>
    <hyperlink r:id="rId393" ref="B203"/>
    <hyperlink r:id="rId394" ref="T203"/>
    <hyperlink r:id="rId395" ref="B204"/>
    <hyperlink r:id="rId396" ref="T204"/>
    <hyperlink r:id="rId397" ref="B205"/>
    <hyperlink r:id="rId398" ref="T205"/>
    <hyperlink r:id="rId399" ref="B206"/>
    <hyperlink r:id="rId400" ref="T206"/>
    <hyperlink r:id="rId401" ref="B207"/>
    <hyperlink r:id="rId402" ref="T207"/>
    <hyperlink r:id="rId403" ref="B208"/>
    <hyperlink r:id="rId404" ref="T208"/>
    <hyperlink r:id="rId405" ref="B209"/>
    <hyperlink r:id="rId406" ref="T209"/>
    <hyperlink r:id="rId407" ref="B210"/>
    <hyperlink r:id="rId408" ref="T210"/>
    <hyperlink r:id="rId409" ref="B211"/>
    <hyperlink r:id="rId410" ref="T211"/>
    <hyperlink r:id="rId411" ref="B212"/>
    <hyperlink r:id="rId412" ref="T212"/>
    <hyperlink r:id="rId413" ref="B213"/>
    <hyperlink r:id="rId414" ref="T213"/>
    <hyperlink r:id="rId415" ref="B214"/>
    <hyperlink r:id="rId416" ref="T214"/>
    <hyperlink r:id="rId417" ref="B215"/>
    <hyperlink r:id="rId418" ref="T215"/>
    <hyperlink r:id="rId419" ref="B216"/>
    <hyperlink r:id="rId420" ref="T216"/>
    <hyperlink r:id="rId421" ref="B217"/>
    <hyperlink r:id="rId422" ref="T217"/>
    <hyperlink r:id="rId423" ref="B218"/>
    <hyperlink r:id="rId424" ref="T218"/>
    <hyperlink r:id="rId425" ref="B219"/>
    <hyperlink r:id="rId426" ref="T219"/>
    <hyperlink r:id="rId427" ref="B220"/>
    <hyperlink r:id="rId428" ref="T220"/>
    <hyperlink r:id="rId429" ref="B221"/>
    <hyperlink r:id="rId430" ref="T221"/>
    <hyperlink r:id="rId431" ref="B222"/>
    <hyperlink r:id="rId432" ref="T222"/>
  </hyperlinks>
  <drawing r:id="rId43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2.63"/>
    <col customWidth="1" min="2" max="2" width="37.5"/>
    <col customWidth="1" min="5" max="5" width="13.88"/>
    <col customWidth="1" min="9" max="9" width="31.88"/>
    <col customWidth="1" min="10" max="10" width="28.13"/>
    <col customWidth="1" min="17" max="17" width="34.5"/>
    <col customWidth="1" min="18" max="18" width="26.0"/>
    <col customWidth="1" min="20" max="20" width="25.63"/>
  </cols>
  <sheetData>
    <row r="1" hidden="1">
      <c r="A1" s="1"/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/>
      <c r="H1" s="5" t="s">
        <v>6</v>
      </c>
      <c r="I1" s="5" t="s">
        <v>7</v>
      </c>
      <c r="J1" s="5" t="s">
        <v>9</v>
      </c>
      <c r="K1" s="5"/>
      <c r="L1" s="7"/>
      <c r="M1" s="7"/>
      <c r="N1" s="7"/>
      <c r="O1" s="7"/>
      <c r="P1" s="7"/>
      <c r="Q1" s="7"/>
      <c r="R1" s="7"/>
      <c r="S1" s="7"/>
      <c r="T1" s="7"/>
      <c r="U1" s="97"/>
    </row>
    <row r="2" hidden="1">
      <c r="A2" s="1"/>
      <c r="B2" s="10" t="s">
        <v>12</v>
      </c>
      <c r="C2" s="10" t="s">
        <v>8</v>
      </c>
      <c r="D2" s="10" t="s">
        <v>10</v>
      </c>
      <c r="E2" s="10" t="s">
        <v>16</v>
      </c>
      <c r="F2" s="10" t="s">
        <v>17</v>
      </c>
      <c r="G2" s="10"/>
      <c r="H2" s="11" t="s">
        <v>15</v>
      </c>
      <c r="I2" s="10" t="s">
        <v>22</v>
      </c>
      <c r="J2" s="10" t="s">
        <v>1</v>
      </c>
      <c r="K2" s="10"/>
      <c r="L2" s="10" t="s">
        <v>2</v>
      </c>
      <c r="M2" s="10" t="s">
        <v>24</v>
      </c>
      <c r="N2" s="10" t="s">
        <v>4</v>
      </c>
      <c r="O2" s="12" t="s">
        <v>23</v>
      </c>
      <c r="P2" s="10" t="s">
        <v>5</v>
      </c>
      <c r="Q2" s="13" t="s">
        <v>29</v>
      </c>
      <c r="R2" s="13" t="s">
        <v>31</v>
      </c>
      <c r="S2" s="13" t="s">
        <v>15</v>
      </c>
      <c r="T2" s="14" t="s">
        <v>32</v>
      </c>
      <c r="U2" s="98"/>
    </row>
    <row r="3" hidden="1">
      <c r="A3" s="1"/>
      <c r="B3" s="16">
        <v>221118.0</v>
      </c>
      <c r="C3" s="20" t="s">
        <v>35</v>
      </c>
      <c r="D3" s="22"/>
      <c r="E3" s="22" t="s">
        <v>37</v>
      </c>
      <c r="F3" s="22" t="s">
        <v>39</v>
      </c>
      <c r="G3" s="22"/>
      <c r="H3" s="24" t="s">
        <v>40</v>
      </c>
      <c r="I3" s="22" t="s">
        <v>41</v>
      </c>
      <c r="J3" s="22" t="s">
        <v>42</v>
      </c>
      <c r="K3" s="22"/>
      <c r="L3" s="22" t="s">
        <v>43</v>
      </c>
      <c r="M3" s="22" t="s">
        <v>45</v>
      </c>
      <c r="N3" s="22" t="s">
        <v>46</v>
      </c>
      <c r="O3" s="22"/>
      <c r="P3" s="22" t="s">
        <v>47</v>
      </c>
      <c r="Q3" s="24" t="str">
        <f>J3</f>
        <v>Facebook</v>
      </c>
      <c r="R3" s="26" t="str">
        <f>L3</f>
        <v>FA</v>
      </c>
      <c r="S3" s="28" t="str">
        <f>CONCATENATE(E3,"_",N3,"_",L3,"_",M3,"_",B3,"_",P3)</f>
        <v>Rongfly_HN_FA_TAH_221118_Badt</v>
      </c>
      <c r="T3" s="28" t="str">
        <f>CONCATENATE(F3,"_",E3,B3,"_",P3)</f>
        <v>sinhvien1823_Rongfly221118_Badt</v>
      </c>
      <c r="U3" s="99"/>
    </row>
    <row r="4" hidden="1">
      <c r="A4" s="1"/>
      <c r="B4" s="7"/>
      <c r="C4" s="7"/>
      <c r="D4" s="17"/>
      <c r="E4" s="32" t="s">
        <v>48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97"/>
    </row>
    <row r="5" hidden="1">
      <c r="A5" s="1"/>
      <c r="B5" s="7"/>
      <c r="C5" s="7"/>
      <c r="D5" s="35"/>
      <c r="E5" s="32" t="s">
        <v>49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97"/>
    </row>
    <row r="6" hidden="1">
      <c r="A6" s="1"/>
      <c r="B6" s="7"/>
      <c r="C6" s="7"/>
      <c r="D6" s="36"/>
      <c r="E6" s="37" t="s">
        <v>50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97"/>
    </row>
    <row r="7">
      <c r="A7" s="9" t="s">
        <v>0</v>
      </c>
      <c r="B7" s="6" t="s">
        <v>8</v>
      </c>
      <c r="C7" s="39" t="s">
        <v>10</v>
      </c>
      <c r="D7" s="6" t="s">
        <v>1</v>
      </c>
      <c r="E7" s="6" t="s">
        <v>2</v>
      </c>
      <c r="F7" s="6" t="s">
        <v>4</v>
      </c>
      <c r="G7" s="9" t="s">
        <v>11</v>
      </c>
      <c r="H7" s="6" t="s">
        <v>13</v>
      </c>
      <c r="I7" s="6" t="s">
        <v>14</v>
      </c>
      <c r="J7" s="39" t="s">
        <v>15</v>
      </c>
      <c r="K7" s="42" t="s">
        <v>18</v>
      </c>
      <c r="L7" s="39" t="s">
        <v>19</v>
      </c>
      <c r="M7" s="39" t="s">
        <v>20</v>
      </c>
      <c r="N7" s="39" t="s">
        <v>21</v>
      </c>
      <c r="O7" s="42" t="s">
        <v>23</v>
      </c>
      <c r="P7" s="39" t="s">
        <v>25</v>
      </c>
      <c r="Q7" s="6" t="s">
        <v>26</v>
      </c>
      <c r="R7" s="6" t="s">
        <v>27</v>
      </c>
      <c r="S7" s="6" t="s">
        <v>54</v>
      </c>
      <c r="T7" s="39" t="s">
        <v>30</v>
      </c>
      <c r="U7" s="100" t="s">
        <v>1125</v>
      </c>
    </row>
    <row r="8">
      <c r="A8" s="45" t="s">
        <v>33</v>
      </c>
      <c r="B8" s="17" t="s">
        <v>34</v>
      </c>
      <c r="C8" s="46" t="s">
        <v>55</v>
      </c>
      <c r="D8" s="19" t="s">
        <v>36</v>
      </c>
      <c r="E8" s="21" t="s">
        <v>36</v>
      </c>
      <c r="F8" s="19" t="s">
        <v>36</v>
      </c>
      <c r="G8" s="47"/>
      <c r="H8" s="19" t="s">
        <v>36</v>
      </c>
      <c r="I8" s="25" t="s">
        <v>1126</v>
      </c>
      <c r="J8" s="25" t="s">
        <v>44</v>
      </c>
      <c r="K8" s="23" t="s">
        <v>38</v>
      </c>
      <c r="L8" s="19" t="s">
        <v>36</v>
      </c>
      <c r="M8" s="19" t="s">
        <v>36</v>
      </c>
      <c r="N8" s="19" t="s">
        <v>36</v>
      </c>
      <c r="O8" s="19" t="s">
        <v>36</v>
      </c>
      <c r="P8" s="19" t="s">
        <v>36</v>
      </c>
      <c r="Q8" s="47" t="s">
        <v>62</v>
      </c>
      <c r="R8" s="47" t="s">
        <v>63</v>
      </c>
      <c r="S8" s="48" t="s">
        <v>64</v>
      </c>
      <c r="T8" s="49" t="s">
        <v>67</v>
      </c>
      <c r="U8" s="101"/>
    </row>
    <row r="9">
      <c r="A9" s="50">
        <v>44183.0</v>
      </c>
      <c r="B9" s="43" t="s">
        <v>73</v>
      </c>
      <c r="C9" s="58" t="str">
        <f>IFERROR(__xludf.DUMMYFUNCTION("FILTER(VLOOKUP(B9:B1015,Data!A:B,2,FALSE),B9:B1015&lt;&gt;"""")"),"LD012")</f>
        <v>LD012</v>
      </c>
      <c r="D9" s="44" t="s">
        <v>42</v>
      </c>
      <c r="E9" s="44" t="s">
        <v>53</v>
      </c>
      <c r="F9" s="44" t="s">
        <v>60</v>
      </c>
      <c r="G9" s="44" t="s">
        <v>61</v>
      </c>
      <c r="H9" s="44" t="s">
        <v>1131</v>
      </c>
      <c r="I9" s="44" t="s">
        <v>1132</v>
      </c>
      <c r="J9" s="44" t="s">
        <v>88</v>
      </c>
      <c r="K9" s="44" t="s">
        <v>61</v>
      </c>
      <c r="L9" s="44">
        <v>95360.0</v>
      </c>
      <c r="M9" s="44" t="s">
        <v>116</v>
      </c>
      <c r="N9" s="44" t="s">
        <v>70</v>
      </c>
      <c r="O9" s="44" t="s">
        <v>70</v>
      </c>
      <c r="P9" s="44" t="s">
        <v>70</v>
      </c>
      <c r="Q9" s="58" t="str">
        <f>IFERROR(__xludf.DUMMYFUNCTION("FILTER(IF( A9:A1015&lt;&gt;"""",IF(H9:H1015&lt;&gt;"""",IF(I9:I1015&lt;&gt;"""",IF(L9:L1015&lt;&gt;"""",IF(N9:N1015&lt;&gt;"""",I9:I1015&amp;""_""&amp;L9:L1015&amp;""_""&amp;N9:N1015&amp;""_""&amp;H9:H1015&amp;""_""&amp;TRIM(A9:A1015),""!!!""),""!!!""),""!!!""),""!!!""),""!!!""),B9:B1015&lt;&gt;"""")"),"Blog_95360_NON_HuyLG_181220")</f>
        <v>Blog_95360_NON_HuyLG_181220</v>
      </c>
      <c r="R9" s="58" t="str">
        <f>IFERROR(__xludf.DUMMYFUNCTION("FILTER(IF( A9:A1015&lt;&gt;"""",IF(P9:P1015&lt;&gt;"""",IF(F9:F1015&lt;&gt;"""",IF(G9:G1015&lt;&gt;"""",IF(K9:K1015&lt;&gt;"""",P9:P1015&amp;""_""&amp;F9:F1015&amp;""_""&amp;G9:G1015&amp;""_""&amp;K9:K1015&amp;""_""&amp;TRIM(A9:A1015),""!!!""),""!!!""),""!!!""),""!!!""),""!!!""),B9:B1015&lt;&gt;"""")"),"NON_NONE_none_none_181220")</f>
        <v>NON_NONE_none_none_181220</v>
      </c>
      <c r="S9" s="58" t="str">
        <f>IFERROR(__xludf.DUMMYFUNCTION("FILTER(IF( M9:M1015&lt;&gt;"""",IF(J9:J1015&lt;&gt;"""",IF(O9:O1015&lt;&gt;"""",IF(C9:C1015&lt;&gt;"""",M9:M1015&amp;""_""&amp;J9:J1015&amp;""_""&amp;O9:O1015&amp;""_""&amp;C9:C1015,""!!!""),""!!!""),""!!!""),""!!!""),B9:B1015&lt;&gt;"""")"),"khac_Content2_NON_LD012")</f>
        <v>khac_Content2_NON_LD012</v>
      </c>
      <c r="T9" s="103" t="str">
        <f>IFERROR(__xludf.DUMMYFUNCTION("FILTER(B9:B1015&amp;if(right(B9:B1015,1)=""/"",""?"",""/?"")&amp;""utm_source=""&amp;D9:D1015&amp;""&amp;utm_medium=""&amp;E9:E1015&amp;""&amp;utm_term=""&amp;R9:R1015&amp;""&amp;utm_content=""&amp;S9:S1015&amp;""&amp;utm_campaign=""&amp;Q9:Q1015,B9:B1015&lt;&gt;"""")"),"https://patadovietnam.edu.vn/blog/?utm_source=Facebook&amp;utm_medium=SEE&amp;utm_term=NON_NONE_none_none_181220&amp;utm_content=khac_Content2_NON_LD012&amp;utm_campaign=Blog_95360_NON_HuyLG_181220")</f>
        <v>https://patadovietnam.edu.vn/blog/?utm_source=Facebook&amp;utm_medium=SEE&amp;utm_term=NON_NONE_none_none_181220&amp;utm_content=khac_Content2_NON_LD012&amp;utm_campaign=Blog_95360_NON_HuyLG_181220</v>
      </c>
      <c r="U9" s="97"/>
    </row>
    <row r="10">
      <c r="A10" s="72">
        <v>45027.0</v>
      </c>
      <c r="B10" s="60" t="s">
        <v>1134</v>
      </c>
      <c r="C10" s="67" t="str">
        <f>IFERROR(__xludf.DUMMYFUNCTION("""COMPUTED_VALUE"""),"LD153")</f>
        <v>LD153</v>
      </c>
      <c r="D10" s="55" t="s">
        <v>42</v>
      </c>
      <c r="E10" s="55" t="s">
        <v>79</v>
      </c>
      <c r="F10" s="55" t="s">
        <v>199</v>
      </c>
      <c r="G10" s="55">
        <v>2040.0</v>
      </c>
      <c r="H10" s="55" t="s">
        <v>1137</v>
      </c>
      <c r="I10" s="55" t="s">
        <v>1138</v>
      </c>
      <c r="J10" s="55" t="s">
        <v>1139</v>
      </c>
      <c r="K10" s="55" t="s">
        <v>61</v>
      </c>
      <c r="L10" s="55">
        <v>95360.0</v>
      </c>
      <c r="M10" s="55" t="s">
        <v>78</v>
      </c>
      <c r="N10" s="55" t="s">
        <v>79</v>
      </c>
      <c r="O10" s="55" t="s">
        <v>224</v>
      </c>
      <c r="P10" s="55" t="s">
        <v>110</v>
      </c>
      <c r="Q10" s="67" t="str">
        <f>IFERROR(__xludf.DUMMYFUNCTION("""COMPUTED_VALUE"""),"Vietnam.giaotiep.anhgiaotiep1_95360_MES_NamNH_110423")</f>
        <v>Vietnam.giaotiep.anhgiaotiep1_95360_MES_NamNH_110423</v>
      </c>
      <c r="R10" s="67" t="str">
        <f>IFERROR(__xludf.DUMMYFUNCTION("""COMPUTED_VALUE"""),"NEW_Vietnam_2040_none_110423")</f>
        <v>NEW_Vietnam_2040_none_110423</v>
      </c>
      <c r="S10" s="67" t="str">
        <f>IFERROR(__xludf.DUMMYFUNCTION("""COMPUTED_VALUE"""),"saletructiep_Vietnam.anhgiaotiep1.2040.giaotiep_PTATT_LD153")</f>
        <v>saletructiep_Vietnam.anhgiaotiep1.2040.giaotiep_PTATT_LD153</v>
      </c>
      <c r="T10" s="107" t="str">
        <f>IFERROR(__xludf.DUMMYFUNCTION("""COMPUTED_VALUE"""),"https://patadovietnam.edu.vn/tienganhgiaotiep_hn/?utm_source=Facebook&amp;utm_medium=MES&amp;utm_term=NEW_Vietnam_2040_none_110423&amp;utm_content=saletructiep_Vietnam.anhgiaotiep1.2040.giaotiep_PTATT_LD153&amp;utm_campaign=Vietnam.giaotiep.anhgiaotiep1_95360_MES_NamNH_1"&amp;"10423")</f>
        <v>https://patadovietnam.edu.vn/tienganhgiaotiep_hn/?utm_source=Facebook&amp;utm_medium=MES&amp;utm_term=NEW_Vietnam_2040_none_110423&amp;utm_content=saletructiep_Vietnam.anhgiaotiep1.2040.giaotiep_PTATT_LD153&amp;utm_campaign=Vietnam.giaotiep.anhgiaotiep1_95360_MES_NamNH_110423</v>
      </c>
      <c r="U10" s="110" t="s">
        <v>1143</v>
      </c>
    </row>
    <row r="11">
      <c r="A11" s="72">
        <v>45027.0</v>
      </c>
      <c r="B11" s="60" t="s">
        <v>1134</v>
      </c>
      <c r="C11" s="67" t="str">
        <f>IFERROR(__xludf.DUMMYFUNCTION("""COMPUTED_VALUE"""),"LD153")</f>
        <v>LD153</v>
      </c>
      <c r="D11" s="55" t="s">
        <v>42</v>
      </c>
      <c r="E11" s="55" t="s">
        <v>79</v>
      </c>
      <c r="F11" s="55" t="s">
        <v>107</v>
      </c>
      <c r="G11" s="55">
        <v>2045.0</v>
      </c>
      <c r="H11" s="55" t="s">
        <v>1137</v>
      </c>
      <c r="I11" s="55" t="s">
        <v>1145</v>
      </c>
      <c r="J11" s="55" t="s">
        <v>1146</v>
      </c>
      <c r="K11" s="55" t="s">
        <v>61</v>
      </c>
      <c r="L11" s="55">
        <v>95360.0</v>
      </c>
      <c r="M11" s="55" t="s">
        <v>78</v>
      </c>
      <c r="N11" s="55" t="s">
        <v>79</v>
      </c>
      <c r="O11" s="55" t="s">
        <v>224</v>
      </c>
      <c r="P11" s="55" t="s">
        <v>110</v>
      </c>
      <c r="Q11" s="67" t="str">
        <f>IFERROR(__xludf.DUMMYFUNCTION("""COMPUTED_VALUE"""),"UnitedStates.giaotiep.anhgiaotiep2_95360_MES_NamNH_110423")</f>
        <v>UnitedStates.giaotiep.anhgiaotiep2_95360_MES_NamNH_110423</v>
      </c>
      <c r="R11" s="67" t="str">
        <f>IFERROR(__xludf.DUMMYFUNCTION("""COMPUTED_VALUE"""),"NEW_UnitedStates_2045_none_110423")</f>
        <v>NEW_UnitedStates_2045_none_110423</v>
      </c>
      <c r="S11" s="67" t="str">
        <f>IFERROR(__xludf.DUMMYFUNCTION("""COMPUTED_VALUE"""),"saletructiep_UnitedStates.anhgiaotiep2.2045.giaotiep_PTATT_LD153")</f>
        <v>saletructiep_UnitedStates.anhgiaotiep2.2045.giaotiep_PTATT_LD153</v>
      </c>
      <c r="T11" s="107" t="str">
        <f>IFERROR(__xludf.DUMMYFUNCTION("""COMPUTED_VALUE"""),"https://patadovietnam.edu.vn/tienganhgiaotiep_hn/?utm_source=Facebook&amp;utm_medium=MES&amp;utm_term=NEW_UnitedStates_2045_none_110423&amp;utm_content=saletructiep_UnitedStates.anhgiaotiep2.2045.giaotiep_PTATT_LD153&amp;utm_campaign=UnitedStates.giaotiep.anhgiaotiep2_95"&amp;"360_MES_NamNH_110423")</f>
        <v>https://patadovietnam.edu.vn/tienganhgiaotiep_hn/?utm_source=Facebook&amp;utm_medium=MES&amp;utm_term=NEW_UnitedStates_2045_none_110423&amp;utm_content=saletructiep_UnitedStates.anhgiaotiep2.2045.giaotiep_PTATT_LD153&amp;utm_campaign=UnitedStates.giaotiep.anhgiaotiep2_95360_MES_NamNH_110423</v>
      </c>
      <c r="U11" s="110" t="s">
        <v>1149</v>
      </c>
    </row>
    <row r="12">
      <c r="A12" s="72">
        <v>46021.0</v>
      </c>
      <c r="B12" s="60" t="s">
        <v>1256</v>
      </c>
      <c r="C12" s="67" t="str">
        <f>IFERROR(__xludf.DUMMYFUNCTION("""COMPUTED_VALUE"""),"LD255")</f>
        <v>LD255</v>
      </c>
      <c r="D12" s="55" t="s">
        <v>42</v>
      </c>
      <c r="E12" s="55" t="s">
        <v>79</v>
      </c>
      <c r="F12" s="55" t="s">
        <v>107</v>
      </c>
      <c r="G12" s="55">
        <v>2045.0</v>
      </c>
      <c r="H12" s="55" t="s">
        <v>1261</v>
      </c>
      <c r="I12" s="55" t="s">
        <v>1262</v>
      </c>
      <c r="J12" s="55" t="s">
        <v>1263</v>
      </c>
      <c r="K12" s="55" t="s">
        <v>61</v>
      </c>
      <c r="L12" s="55" t="s">
        <v>1264</v>
      </c>
      <c r="M12" s="55" t="s">
        <v>78</v>
      </c>
      <c r="N12" s="55" t="s">
        <v>79</v>
      </c>
      <c r="O12" s="55" t="s">
        <v>1142</v>
      </c>
      <c r="P12" s="55" t="s">
        <v>110</v>
      </c>
      <c r="Q12" s="67" t="str">
        <f>IFERROR(__xludf.DUMMYFUNCTION("""COMPUTED_VALUE"""),"UnitedStates.giaotiep.M498_LHV.9822_MES_HoaNT_301225")</f>
        <v>UnitedStates.giaotiep.M498_LHV.9822_MES_HoaNT_301225</v>
      </c>
      <c r="R12" s="67" t="str">
        <f>IFERROR(__xludf.DUMMYFUNCTION("""COMPUTED_VALUE"""),"NEW_UnitedStates_2045_none_301225")</f>
        <v>NEW_UnitedStates_2045_none_301225</v>
      </c>
      <c r="S12" s="67" t="str">
        <f>IFERROR(__xludf.DUMMYFUNCTION("""COMPUTED_VALUE"""),"saletructiep_UnitedStates.M498.2045.giaotiep_THCNGDP_LD255")</f>
        <v>saletructiep_UnitedStates.M498.2045.giaotiep_THCNGDP_LD255</v>
      </c>
      <c r="T12" s="107" t="str">
        <f>IFERROR(__xludf.DUMMYFUNCTION("""COMPUTED_VALUE"""),"https://patadovietnam.edu.vn/khoa-giao-tiep-unitedstates/?utm_source=Facebook&amp;utm_medium=MES&amp;utm_term=NEW_UnitedStates_2045_none_301225&amp;utm_content=saletructiep_UnitedStates.M498.2045.giaotiep_THCNGDP_LD255&amp;utm_campaign=UnitedStates.giaotiep.M498_LHV.9822"&amp;"_MES_HoaNT_301225")</f>
        <v>https://patadovietnam.edu.vn/khoa-giao-tiep-unitedstates/?utm_source=Facebook&amp;utm_medium=MES&amp;utm_term=NEW_UnitedStates_2045_none_301225&amp;utm_content=saletructiep_UnitedStates.M498.2045.giaotiep_THCNGDP_LD255&amp;utm_campaign=UnitedStates.giaotiep.M498_LHV.9822_MES_HoaNT_301225</v>
      </c>
      <c r="U12" s="110" t="s">
        <v>1268</v>
      </c>
    </row>
    <row r="13">
      <c r="A13" s="72">
        <v>46021.0</v>
      </c>
      <c r="B13" s="60" t="s">
        <v>1270</v>
      </c>
      <c r="C13" s="67" t="str">
        <f>IFERROR(__xludf.DUMMYFUNCTION("""COMPUTED_VALUE"""),"LD252")</f>
        <v>LD252</v>
      </c>
      <c r="D13" s="55" t="s">
        <v>42</v>
      </c>
      <c r="E13" s="55" t="s">
        <v>79</v>
      </c>
      <c r="F13" s="55" t="s">
        <v>133</v>
      </c>
      <c r="G13" s="55">
        <v>2045.0</v>
      </c>
      <c r="H13" s="55" t="s">
        <v>1261</v>
      </c>
      <c r="I13" s="55" t="s">
        <v>1273</v>
      </c>
      <c r="J13" s="55" t="s">
        <v>1274</v>
      </c>
      <c r="K13" s="55" t="s">
        <v>61</v>
      </c>
      <c r="L13" s="55" t="s">
        <v>1264</v>
      </c>
      <c r="M13" s="55" t="s">
        <v>78</v>
      </c>
      <c r="N13" s="55" t="s">
        <v>79</v>
      </c>
      <c r="O13" s="55" t="s">
        <v>1142</v>
      </c>
      <c r="P13" s="55" t="s">
        <v>110</v>
      </c>
      <c r="Q13" s="67" t="str">
        <f>IFERROR(__xludf.DUMMYFUNCTION("""COMPUTED_VALUE"""),"Japan.giaotiep.M498_LHV.9822_MES_HoaNT_301225")</f>
        <v>Japan.giaotiep.M498_LHV.9822_MES_HoaNT_301225</v>
      </c>
      <c r="R13" s="67" t="str">
        <f>IFERROR(__xludf.DUMMYFUNCTION("""COMPUTED_VALUE"""),"NEW_Japan_2045_none_301225")</f>
        <v>NEW_Japan_2045_none_301225</v>
      </c>
      <c r="S13" s="67" t="str">
        <f>IFERROR(__xludf.DUMMYFUNCTION("""COMPUTED_VALUE"""),"saletructiep_Japan.M498.2045.giaotiep_THCNGDP_LD252")</f>
        <v>saletructiep_Japan.M498.2045.giaotiep_THCNGDP_LD252</v>
      </c>
      <c r="T13" s="107" t="str">
        <f>IFERROR(__xludf.DUMMYFUNCTION("""COMPUTED_VALUE"""),"https://patadovietnam.edu.vn/tieng-anh-giao-tiep-japan/?utm_source=Facebook&amp;utm_medium=MES&amp;utm_term=NEW_Japan_2045_none_301225&amp;utm_content=saletructiep_Japan.M498.2045.giaotiep_THCNGDP_LD252&amp;utm_campaign=Japan.giaotiep.M498_LHV.9822_MES_HoaNT_301225")</f>
        <v>https://patadovietnam.edu.vn/tieng-anh-giao-tiep-japan/?utm_source=Facebook&amp;utm_medium=MES&amp;utm_term=NEW_Japan_2045_none_301225&amp;utm_content=saletructiep_Japan.M498.2045.giaotiep_THCNGDP_LD252&amp;utm_campaign=Japan.giaotiep.M498_LHV.9822_MES_HoaNT_301225</v>
      </c>
      <c r="U13" s="110" t="s">
        <v>1280</v>
      </c>
    </row>
    <row r="14">
      <c r="A14" s="72">
        <v>46027.0</v>
      </c>
      <c r="B14" s="60" t="s">
        <v>1281</v>
      </c>
      <c r="C14" s="67" t="str">
        <f>IFERROR(__xludf.DUMMYFUNCTION("""COMPUTED_VALUE"""),"LD257")</f>
        <v>LD257</v>
      </c>
      <c r="D14" s="55" t="s">
        <v>42</v>
      </c>
      <c r="E14" s="55" t="s">
        <v>79</v>
      </c>
      <c r="F14" s="55" t="s">
        <v>133</v>
      </c>
      <c r="G14" s="55">
        <v>2045.0</v>
      </c>
      <c r="H14" s="55" t="s">
        <v>1261</v>
      </c>
      <c r="I14" s="55" t="s">
        <v>1283</v>
      </c>
      <c r="J14" s="55" t="s">
        <v>1284</v>
      </c>
      <c r="K14" s="55" t="s">
        <v>61</v>
      </c>
      <c r="L14" s="55" t="s">
        <v>1264</v>
      </c>
      <c r="M14" s="55" t="s">
        <v>78</v>
      </c>
      <c r="N14" s="55" t="s">
        <v>79</v>
      </c>
      <c r="O14" s="55" t="s">
        <v>1142</v>
      </c>
      <c r="P14" s="55" t="s">
        <v>110</v>
      </c>
      <c r="Q14" s="67" t="str">
        <f>IFERROR(__xludf.DUMMYFUNCTION("""COMPUTED_VALUE"""),"Japan.giaotiep.M609_LHV.9822_MES_HoaNT_050126")</f>
        <v>Japan.giaotiep.M609_LHV.9822_MES_HoaNT_050126</v>
      </c>
      <c r="R14" s="67" t="str">
        <f>IFERROR(__xludf.DUMMYFUNCTION("""COMPUTED_VALUE"""),"NEW_Japan_2045_none_050126")</f>
        <v>NEW_Japan_2045_none_050126</v>
      </c>
      <c r="S14" s="67" t="str">
        <f>IFERROR(__xludf.DUMMYFUNCTION("""COMPUTED_VALUE"""),"saletructiep_Japan.M609.2045.giaotiep_THCNGDP_LD257")</f>
        <v>saletructiep_Japan.M609.2045.giaotiep_THCNGDP_LD257</v>
      </c>
      <c r="T14" s="107" t="str">
        <f>IFERROR(__xludf.DUMMYFUNCTION("""COMPUTED_VALUE"""),"https://patadovietnam.edu.vn/khoa-tieng-anh-giao-tiep-o-nhat-ban/?utm_source=Facebook&amp;utm_medium=MES&amp;utm_term=NEW_Japan_2045_none_050126&amp;utm_content=saletructiep_Japan.M609.2045.giaotiep_THCNGDP_LD257&amp;utm_campaign=Japan.giaotiep.M609_LHV.9822_MES_HoaNT_05"&amp;"0126")</f>
        <v>https://patadovietnam.edu.vn/khoa-tieng-anh-giao-tiep-o-nhat-ban/?utm_source=Facebook&amp;utm_medium=MES&amp;utm_term=NEW_Japan_2045_none_050126&amp;utm_content=saletructiep_Japan.M609.2045.giaotiep_THCNGDP_LD257&amp;utm_campaign=Japan.giaotiep.M609_LHV.9822_MES_HoaNT_050126</v>
      </c>
      <c r="U14" s="110" t="s">
        <v>1289</v>
      </c>
    </row>
    <row r="15">
      <c r="A15" s="72">
        <v>46027.0</v>
      </c>
      <c r="B15" s="60" t="s">
        <v>1290</v>
      </c>
      <c r="C15" s="67" t="str">
        <f>IFERROR(__xludf.DUMMYFUNCTION("""COMPUTED_VALUE"""),"LD256")</f>
        <v>LD256</v>
      </c>
      <c r="D15" s="55" t="s">
        <v>42</v>
      </c>
      <c r="E15" s="55" t="s">
        <v>79</v>
      </c>
      <c r="F15" s="55" t="s">
        <v>164</v>
      </c>
      <c r="G15" s="55">
        <v>2045.0</v>
      </c>
      <c r="H15" s="55" t="s">
        <v>1261</v>
      </c>
      <c r="I15" s="55" t="s">
        <v>1291</v>
      </c>
      <c r="J15" s="55" t="s">
        <v>1292</v>
      </c>
      <c r="K15" s="55" t="s">
        <v>61</v>
      </c>
      <c r="L15" s="55" t="s">
        <v>1264</v>
      </c>
      <c r="M15" s="55" t="s">
        <v>78</v>
      </c>
      <c r="N15" s="55" t="s">
        <v>79</v>
      </c>
      <c r="O15" s="55" t="s">
        <v>1142</v>
      </c>
      <c r="P15" s="55" t="s">
        <v>110</v>
      </c>
      <c r="Q15" s="67" t="str">
        <f>IFERROR(__xludf.DUMMYFUNCTION("""COMPUTED_VALUE"""),"Taiwan.giaotiep.M599_LHV.9822_MES_HoaNT_050126")</f>
        <v>Taiwan.giaotiep.M599_LHV.9822_MES_HoaNT_050126</v>
      </c>
      <c r="R15" s="67" t="str">
        <f>IFERROR(__xludf.DUMMYFUNCTION("""COMPUTED_VALUE"""),"NEW_Taiwan_2045_none_050126")</f>
        <v>NEW_Taiwan_2045_none_050126</v>
      </c>
      <c r="S15" s="67" t="str">
        <f>IFERROR(__xludf.DUMMYFUNCTION("""COMPUTED_VALUE"""),"saletructiep_Taiwan.M599.2045.giaotiep_THCNGDP_LD256")</f>
        <v>saletructiep_Taiwan.M599.2045.giaotiep_THCNGDP_LD256</v>
      </c>
      <c r="T15" s="107" t="str">
        <f>IFERROR(__xludf.DUMMYFUNCTION("""COMPUTED_VALUE"""),"https://patadovietnam.edu.vn/khoa-giao-tiep-tieng-anh-online-all/?utm_source=Facebook&amp;utm_medium=MES&amp;utm_term=NEW_Taiwan_2045_none_050126&amp;utm_content=saletructiep_Taiwan.M599.2045.giaotiep_THCNGDP_LD256&amp;utm_campaign=Taiwan.giaotiep.M599_LHV.9822_MES_HoaNT"&amp;"_050126")</f>
        <v>https://patadovietnam.edu.vn/khoa-giao-tiep-tieng-anh-online-all/?utm_source=Facebook&amp;utm_medium=MES&amp;utm_term=NEW_Taiwan_2045_none_050126&amp;utm_content=saletructiep_Taiwan.M599.2045.giaotiep_THCNGDP_LD256&amp;utm_campaign=Taiwan.giaotiep.M599_LHV.9822_MES_HoaNT_050126</v>
      </c>
      <c r="U15" s="116"/>
    </row>
    <row r="16">
      <c r="A16" s="72">
        <v>46027.0</v>
      </c>
      <c r="B16" s="60" t="s">
        <v>1290</v>
      </c>
      <c r="C16" s="67" t="str">
        <f>IFERROR(__xludf.DUMMYFUNCTION("""COMPUTED_VALUE"""),"LD256")</f>
        <v>LD256</v>
      </c>
      <c r="D16" s="55" t="s">
        <v>42</v>
      </c>
      <c r="E16" s="55" t="s">
        <v>79</v>
      </c>
      <c r="F16" s="55" t="s">
        <v>625</v>
      </c>
      <c r="G16" s="55">
        <v>2045.0</v>
      </c>
      <c r="H16" s="55" t="s">
        <v>1261</v>
      </c>
      <c r="I16" s="55" t="s">
        <v>1298</v>
      </c>
      <c r="J16" s="55" t="s">
        <v>1299</v>
      </c>
      <c r="K16" s="55" t="s">
        <v>61</v>
      </c>
      <c r="L16" s="55" t="s">
        <v>1264</v>
      </c>
      <c r="M16" s="55" t="s">
        <v>78</v>
      </c>
      <c r="N16" s="55" t="s">
        <v>79</v>
      </c>
      <c r="O16" s="55" t="s">
        <v>1142</v>
      </c>
      <c r="P16" s="55" t="s">
        <v>110</v>
      </c>
      <c r="Q16" s="67" t="str">
        <f>IFERROR(__xludf.DUMMYFUNCTION("""COMPUTED_VALUE"""),"KoreaSouth.giaotiep.M599_LHV.9822_MES_HoaNT_050126")</f>
        <v>KoreaSouth.giaotiep.M599_LHV.9822_MES_HoaNT_050126</v>
      </c>
      <c r="R16" s="67" t="str">
        <f>IFERROR(__xludf.DUMMYFUNCTION("""COMPUTED_VALUE"""),"NEW_KoreaSouth_2045_none_050126")</f>
        <v>NEW_KoreaSouth_2045_none_050126</v>
      </c>
      <c r="S16" s="67" t="str">
        <f>IFERROR(__xludf.DUMMYFUNCTION("""COMPUTED_VALUE"""),"saletructiep_KoreaSouth.M599.2045.giaotiep_THCNGDP_LD256")</f>
        <v>saletructiep_KoreaSouth.M599.2045.giaotiep_THCNGDP_LD256</v>
      </c>
      <c r="T16" s="107" t="str">
        <f>IFERROR(__xludf.DUMMYFUNCTION("""COMPUTED_VALUE"""),"https://patadovietnam.edu.vn/khoa-giao-tiep-tieng-anh-online-all/?utm_source=Facebook&amp;utm_medium=MES&amp;utm_term=NEW_KoreaSouth_2045_none_050126&amp;utm_content=saletructiep_KoreaSouth.M599.2045.giaotiep_THCNGDP_LD256&amp;utm_campaign=KoreaSouth.giaotiep.M599_LHV.98"&amp;"22_MES_HoaNT_050126")</f>
        <v>https://patadovietnam.edu.vn/khoa-giao-tiep-tieng-anh-online-all/?utm_source=Facebook&amp;utm_medium=MES&amp;utm_term=NEW_KoreaSouth_2045_none_050126&amp;utm_content=saletructiep_KoreaSouth.M599.2045.giaotiep_THCNGDP_LD256&amp;utm_campaign=KoreaSouth.giaotiep.M599_LHV.9822_MES_HoaNT_050126</v>
      </c>
      <c r="U16" s="110" t="s">
        <v>1302</v>
      </c>
    </row>
    <row r="17">
      <c r="A17" s="72">
        <v>46027.0</v>
      </c>
      <c r="B17" s="60" t="s">
        <v>1290</v>
      </c>
      <c r="C17" s="67" t="str">
        <f>IFERROR(__xludf.DUMMYFUNCTION("""COMPUTED_VALUE"""),"LD256")</f>
        <v>LD256</v>
      </c>
      <c r="D17" s="55" t="s">
        <v>42</v>
      </c>
      <c r="E17" s="55" t="s">
        <v>79</v>
      </c>
      <c r="F17" s="55" t="s">
        <v>129</v>
      </c>
      <c r="G17" s="55">
        <v>2045.0</v>
      </c>
      <c r="H17" s="55" t="s">
        <v>1261</v>
      </c>
      <c r="I17" s="55" t="s">
        <v>1303</v>
      </c>
      <c r="J17" s="55" t="s">
        <v>1304</v>
      </c>
      <c r="K17" s="55" t="s">
        <v>61</v>
      </c>
      <c r="L17" s="55" t="s">
        <v>1264</v>
      </c>
      <c r="M17" s="55" t="s">
        <v>78</v>
      </c>
      <c r="N17" s="55" t="s">
        <v>79</v>
      </c>
      <c r="O17" s="55" t="s">
        <v>1142</v>
      </c>
      <c r="P17" s="55" t="s">
        <v>110</v>
      </c>
      <c r="Q17" s="67" t="str">
        <f>IFERROR(__xludf.DUMMYFUNCTION("""COMPUTED_VALUE"""),"Australia.giaotiep.M494_LHV.9822_MES_HoaNT_050126")</f>
        <v>Australia.giaotiep.M494_LHV.9822_MES_HoaNT_050126</v>
      </c>
      <c r="R17" s="67" t="str">
        <f>IFERROR(__xludf.DUMMYFUNCTION("""COMPUTED_VALUE"""),"NEW_Australia_2045_none_050126")</f>
        <v>NEW_Australia_2045_none_050126</v>
      </c>
      <c r="S17" s="67" t="str">
        <f>IFERROR(__xludf.DUMMYFUNCTION("""COMPUTED_VALUE"""),"saletructiep_Australia.M494.2045.giaotiep_THCNGDP_LD256")</f>
        <v>saletructiep_Australia.M494.2045.giaotiep_THCNGDP_LD256</v>
      </c>
      <c r="T17" s="107" t="str">
        <f>IFERROR(__xludf.DUMMYFUNCTION("""COMPUTED_VALUE"""),"https://patadovietnam.edu.vn/khoa-giao-tiep-tieng-anh-online-all/?utm_source=Facebook&amp;utm_medium=MES&amp;utm_term=NEW_Australia_2045_none_050126&amp;utm_content=saletructiep_Australia.M494.2045.giaotiep_THCNGDP_LD256&amp;utm_campaign=Australia.giaotiep.M494_LHV.9822_"&amp;"MES_HoaNT_050126")</f>
        <v>https://patadovietnam.edu.vn/khoa-giao-tiep-tieng-anh-online-all/?utm_source=Facebook&amp;utm_medium=MES&amp;utm_term=NEW_Australia_2045_none_050126&amp;utm_content=saletructiep_Australia.M494.2045.giaotiep_THCNGDP_LD256&amp;utm_campaign=Australia.giaotiep.M494_LHV.9822_MES_HoaNT_050126</v>
      </c>
      <c r="U17" s="110" t="s">
        <v>1307</v>
      </c>
    </row>
    <row r="18">
      <c r="A18" s="72">
        <v>46028.0</v>
      </c>
      <c r="B18" s="60" t="s">
        <v>1290</v>
      </c>
      <c r="C18" s="67" t="str">
        <f>IFERROR(__xludf.DUMMYFUNCTION("""COMPUTED_VALUE"""),"LD256")</f>
        <v>LD256</v>
      </c>
      <c r="D18" s="55" t="s">
        <v>42</v>
      </c>
      <c r="E18" s="55" t="s">
        <v>79</v>
      </c>
      <c r="F18" s="55" t="s">
        <v>539</v>
      </c>
      <c r="G18" s="55" t="s">
        <v>61</v>
      </c>
      <c r="H18" s="55" t="s">
        <v>1261</v>
      </c>
      <c r="I18" s="55" t="s">
        <v>1308</v>
      </c>
      <c r="J18" s="55" t="s">
        <v>1309</v>
      </c>
      <c r="K18" s="55" t="s">
        <v>61</v>
      </c>
      <c r="L18" s="55" t="s">
        <v>1264</v>
      </c>
      <c r="M18" s="55" t="s">
        <v>78</v>
      </c>
      <c r="N18" s="55" t="s">
        <v>79</v>
      </c>
      <c r="O18" s="55" t="s">
        <v>1142</v>
      </c>
      <c r="P18" s="55" t="s">
        <v>110</v>
      </c>
      <c r="Q18" s="67" t="str">
        <f>IFERROR(__xludf.DUMMYFUNCTION("""COMPUTED_VALUE"""),"ALL.giaotiep.M498_LHV.9822_MES_HoaNT_060126")</f>
        <v>ALL.giaotiep.M498_LHV.9822_MES_HoaNT_060126</v>
      </c>
      <c r="R18" s="67" t="str">
        <f>IFERROR(__xludf.DUMMYFUNCTION("""COMPUTED_VALUE"""),"NEW_ALL_none_none_060126")</f>
        <v>NEW_ALL_none_none_060126</v>
      </c>
      <c r="S18" s="67" t="str">
        <f>IFERROR(__xludf.DUMMYFUNCTION("""COMPUTED_VALUE"""),"saletructiep_ALL.M498.none.giaotiep_THCNGDP_LD256")</f>
        <v>saletructiep_ALL.M498.none.giaotiep_THCNGDP_LD256</v>
      </c>
      <c r="T18" s="107" t="str">
        <f>IFERROR(__xludf.DUMMYFUNCTION("""COMPUTED_VALUE"""),"https://patadovietnam.edu.vn/khoa-giao-tiep-tieng-anh-online-all/?utm_source=Facebook&amp;utm_medium=MES&amp;utm_term=NEW_ALL_none_none_060126&amp;utm_content=saletructiep_ALL.M498.none.giaotiep_THCNGDP_LD256&amp;utm_campaign=ALL.giaotiep.M498_LHV.9822_MES_HoaNT_060126")</f>
        <v>https://patadovietnam.edu.vn/khoa-giao-tiep-tieng-anh-online-all/?utm_source=Facebook&amp;utm_medium=MES&amp;utm_term=NEW_ALL_none_none_060126&amp;utm_content=saletructiep_ALL.M498.none.giaotiep_THCNGDP_LD256&amp;utm_campaign=ALL.giaotiep.M498_LHV.9822_MES_HoaNT_060126</v>
      </c>
      <c r="U18" s="110" t="s">
        <v>1312</v>
      </c>
    </row>
    <row r="19">
      <c r="A19" s="72">
        <v>46028.0</v>
      </c>
      <c r="B19" s="60" t="s">
        <v>1290</v>
      </c>
      <c r="C19" s="67" t="str">
        <f>IFERROR(__xludf.DUMMYFUNCTION("""COMPUTED_VALUE"""),"LD256")</f>
        <v>LD256</v>
      </c>
      <c r="D19" s="55" t="s">
        <v>42</v>
      </c>
      <c r="E19" s="55" t="s">
        <v>79</v>
      </c>
      <c r="F19" s="55" t="s">
        <v>674</v>
      </c>
      <c r="G19" s="55" t="s">
        <v>61</v>
      </c>
      <c r="H19" s="55" t="s">
        <v>1261</v>
      </c>
      <c r="I19" s="55" t="s">
        <v>1313</v>
      </c>
      <c r="J19" s="55" t="s">
        <v>1314</v>
      </c>
      <c r="K19" s="55" t="s">
        <v>61</v>
      </c>
      <c r="L19" s="55" t="s">
        <v>1264</v>
      </c>
      <c r="M19" s="55" t="s">
        <v>78</v>
      </c>
      <c r="N19" s="55" t="s">
        <v>79</v>
      </c>
      <c r="O19" s="55" t="s">
        <v>1142</v>
      </c>
      <c r="P19" s="55" t="s">
        <v>110</v>
      </c>
      <c r="Q19" s="67" t="str">
        <f>IFERROR(__xludf.DUMMYFUNCTION("""COMPUTED_VALUE"""),"Europe.giaotiep.M599_LHV.9822_MES_HoaNT_060126")</f>
        <v>Europe.giaotiep.M599_LHV.9822_MES_HoaNT_060126</v>
      </c>
      <c r="R19" s="67" t="str">
        <f>IFERROR(__xludf.DUMMYFUNCTION("""COMPUTED_VALUE"""),"NEW_Europe_none_none_060126")</f>
        <v>NEW_Europe_none_none_060126</v>
      </c>
      <c r="S19" s="67" t="str">
        <f>IFERROR(__xludf.DUMMYFUNCTION("""COMPUTED_VALUE"""),"saletructiep_Europe.M599.none.giaotiep_THCNGDP_LD256")</f>
        <v>saletructiep_Europe.M599.none.giaotiep_THCNGDP_LD256</v>
      </c>
      <c r="T19" s="107" t="str">
        <f>IFERROR(__xludf.DUMMYFUNCTION("""COMPUTED_VALUE"""),"https://patadovietnam.edu.vn/khoa-giao-tiep-tieng-anh-online-all/?utm_source=Facebook&amp;utm_medium=MES&amp;utm_term=NEW_Europe_none_none_060126&amp;utm_content=saletructiep_Europe.M599.none.giaotiep_THCNGDP_LD256&amp;utm_campaign=Europe.giaotiep.M599_LHV.9822_MES_HoaNT"&amp;"_060126")</f>
        <v>https://patadovietnam.edu.vn/khoa-giao-tiep-tieng-anh-online-all/?utm_source=Facebook&amp;utm_medium=MES&amp;utm_term=NEW_Europe_none_none_060126&amp;utm_content=saletructiep_Europe.M599.none.giaotiep_THCNGDP_LD256&amp;utm_campaign=Europe.giaotiep.M599_LHV.9822_MES_HoaNT_060126</v>
      </c>
      <c r="U19" s="110" t="s">
        <v>1318</v>
      </c>
    </row>
    <row r="20">
      <c r="A20" s="72">
        <v>46028.0</v>
      </c>
      <c r="B20" s="60" t="s">
        <v>1256</v>
      </c>
      <c r="C20" s="67" t="str">
        <f>IFERROR(__xludf.DUMMYFUNCTION("""COMPUTED_VALUE"""),"LD255")</f>
        <v>LD255</v>
      </c>
      <c r="D20" s="55" t="s">
        <v>42</v>
      </c>
      <c r="E20" s="55" t="s">
        <v>69</v>
      </c>
      <c r="F20" s="55" t="s">
        <v>107</v>
      </c>
      <c r="G20" s="55" t="s">
        <v>61</v>
      </c>
      <c r="H20" s="55" t="s">
        <v>1261</v>
      </c>
      <c r="I20" s="55" t="s">
        <v>1323</v>
      </c>
      <c r="J20" s="55" t="s">
        <v>1324</v>
      </c>
      <c r="K20" s="55" t="s">
        <v>61</v>
      </c>
      <c r="L20" s="55" t="s">
        <v>1264</v>
      </c>
      <c r="M20" s="55" t="s">
        <v>78</v>
      </c>
      <c r="N20" s="55" t="s">
        <v>69</v>
      </c>
      <c r="O20" s="55" t="s">
        <v>1142</v>
      </c>
      <c r="P20" s="55" t="s">
        <v>110</v>
      </c>
      <c r="Q20" s="67" t="str">
        <f>IFERROR(__xludf.DUMMYFUNCTION("""COMPUTED_VALUE"""),"UnitedStates.giaotiep.M601_LHV.9822_CVS_HoaNT_060126")</f>
        <v>UnitedStates.giaotiep.M601_LHV.9822_CVS_HoaNT_060126</v>
      </c>
      <c r="R20" s="67" t="str">
        <f>IFERROR(__xludf.DUMMYFUNCTION("""COMPUTED_VALUE"""),"NEW_UnitedStates_none_none_060126")</f>
        <v>NEW_UnitedStates_none_none_060126</v>
      </c>
      <c r="S20" s="67" t="str">
        <f>IFERROR(__xludf.DUMMYFUNCTION("""COMPUTED_VALUE"""),"saletructiep_UnitedStates.M601.none.giaotiep_THCNGDP_LD255")</f>
        <v>saletructiep_UnitedStates.M601.none.giaotiep_THCNGDP_LD255</v>
      </c>
      <c r="T20" s="107" t="str">
        <f>IFERROR(__xludf.DUMMYFUNCTION("""COMPUTED_VALUE"""),"https://patadovietnam.edu.vn/khoa-giao-tiep-unitedstates/?utm_source=Facebook&amp;utm_medium=CVS&amp;utm_term=NEW_UnitedStates_none_none_060126&amp;utm_content=saletructiep_UnitedStates.M601.none.giaotiep_THCNGDP_LD255&amp;utm_campaign=UnitedStates.giaotiep.M601_LHV.9822"&amp;"_CVS_HoaNT_060126")</f>
        <v>https://patadovietnam.edu.vn/khoa-giao-tiep-unitedstates/?utm_source=Facebook&amp;utm_medium=CVS&amp;utm_term=NEW_UnitedStates_none_none_060126&amp;utm_content=saletructiep_UnitedStates.M601.none.giaotiep_THCNGDP_LD255&amp;utm_campaign=UnitedStates.giaotiep.M601_LHV.9822_CVS_HoaNT_060126</v>
      </c>
      <c r="U20" s="110" t="s">
        <v>1326</v>
      </c>
    </row>
    <row r="21">
      <c r="A21" s="72">
        <v>46029.0</v>
      </c>
      <c r="B21" s="60" t="s">
        <v>1290</v>
      </c>
      <c r="C21" s="67" t="str">
        <f>IFERROR(__xludf.DUMMYFUNCTION("""COMPUTED_VALUE"""),"LD256")</f>
        <v>LD256</v>
      </c>
      <c r="D21" s="55" t="s">
        <v>42</v>
      </c>
      <c r="E21" s="55" t="s">
        <v>79</v>
      </c>
      <c r="F21" s="55" t="s">
        <v>129</v>
      </c>
      <c r="G21" s="55" t="s">
        <v>61</v>
      </c>
      <c r="H21" s="55" t="s">
        <v>1261</v>
      </c>
      <c r="I21" s="55" t="s">
        <v>1330</v>
      </c>
      <c r="J21" s="55" t="s">
        <v>1331</v>
      </c>
      <c r="K21" s="55" t="s">
        <v>61</v>
      </c>
      <c r="L21" s="55" t="s">
        <v>1264</v>
      </c>
      <c r="M21" s="55" t="s">
        <v>78</v>
      </c>
      <c r="N21" s="55" t="s">
        <v>79</v>
      </c>
      <c r="O21" s="55" t="s">
        <v>1142</v>
      </c>
      <c r="P21" s="55" t="s">
        <v>110</v>
      </c>
      <c r="Q21" s="67" t="str">
        <f>IFERROR(__xludf.DUMMYFUNCTION("""COMPUTED_VALUE"""),"Australia.giaotiep.M512_LHV.9822_MES_HoaNT_070126")</f>
        <v>Australia.giaotiep.M512_LHV.9822_MES_HoaNT_070126</v>
      </c>
      <c r="R21" s="67" t="str">
        <f>IFERROR(__xludf.DUMMYFUNCTION("""COMPUTED_VALUE"""),"NEW_Australia_none_none_070126")</f>
        <v>NEW_Australia_none_none_070126</v>
      </c>
      <c r="S21" s="67" t="str">
        <f>IFERROR(__xludf.DUMMYFUNCTION("""COMPUTED_VALUE"""),"saletructiep_Australia.M512.none.giaotiep_THCNGDP_LD256")</f>
        <v>saletructiep_Australia.M512.none.giaotiep_THCNGDP_LD256</v>
      </c>
      <c r="T21" s="107" t="str">
        <f>IFERROR(__xludf.DUMMYFUNCTION("""COMPUTED_VALUE"""),"https://patadovietnam.edu.vn/khoa-giao-tiep-tieng-anh-online-all/?utm_source=Facebook&amp;utm_medium=MES&amp;utm_term=NEW_Australia_none_none_070126&amp;utm_content=saletructiep_Australia.M512.none.giaotiep_THCNGDP_LD256&amp;utm_campaign=Australia.giaotiep.M512_LHV.9822_"&amp;"MES_HoaNT_070126")</f>
        <v>https://patadovietnam.edu.vn/khoa-giao-tiep-tieng-anh-online-all/?utm_source=Facebook&amp;utm_medium=MES&amp;utm_term=NEW_Australia_none_none_070126&amp;utm_content=saletructiep_Australia.M512.none.giaotiep_THCNGDP_LD256&amp;utm_campaign=Australia.giaotiep.M512_LHV.9822_MES_HoaNT_070126</v>
      </c>
      <c r="U21" s="110" t="s">
        <v>1332</v>
      </c>
    </row>
    <row r="22">
      <c r="A22" s="72">
        <v>46029.0</v>
      </c>
      <c r="B22" s="60" t="s">
        <v>1290</v>
      </c>
      <c r="C22" s="67" t="str">
        <f>IFERROR(__xludf.DUMMYFUNCTION("""COMPUTED_VALUE"""),"LD256")</f>
        <v>LD256</v>
      </c>
      <c r="D22" s="55" t="s">
        <v>42</v>
      </c>
      <c r="E22" s="55" t="s">
        <v>79</v>
      </c>
      <c r="F22" s="55" t="s">
        <v>625</v>
      </c>
      <c r="G22" s="55" t="s">
        <v>61</v>
      </c>
      <c r="H22" s="55" t="s">
        <v>1261</v>
      </c>
      <c r="I22" s="55" t="s">
        <v>1335</v>
      </c>
      <c r="J22" s="55" t="s">
        <v>1336</v>
      </c>
      <c r="K22" s="55" t="s">
        <v>61</v>
      </c>
      <c r="L22" s="55" t="s">
        <v>1264</v>
      </c>
      <c r="M22" s="55" t="s">
        <v>78</v>
      </c>
      <c r="N22" s="55" t="s">
        <v>79</v>
      </c>
      <c r="O22" s="55" t="s">
        <v>1142</v>
      </c>
      <c r="P22" s="55" t="s">
        <v>110</v>
      </c>
      <c r="Q22" s="67" t="str">
        <f>IFERROR(__xludf.DUMMYFUNCTION("""COMPUTED_VALUE"""),"KoreaSouth.giaotiep.M520_LHV.9822_MES_HoaNT_070126")</f>
        <v>KoreaSouth.giaotiep.M520_LHV.9822_MES_HoaNT_070126</v>
      </c>
      <c r="R22" s="67" t="str">
        <f>IFERROR(__xludf.DUMMYFUNCTION("""COMPUTED_VALUE"""),"NEW_KoreaSouth_none_none_070126")</f>
        <v>NEW_KoreaSouth_none_none_070126</v>
      </c>
      <c r="S22" s="67" t="str">
        <f>IFERROR(__xludf.DUMMYFUNCTION("""COMPUTED_VALUE"""),"saletructiep_KoreaSouth.M520.none.giaotiep_THCNGDP_LD256")</f>
        <v>saletructiep_KoreaSouth.M520.none.giaotiep_THCNGDP_LD256</v>
      </c>
      <c r="T22" s="107" t="str">
        <f>IFERROR(__xludf.DUMMYFUNCTION("""COMPUTED_VALUE"""),"https://patadovietnam.edu.vn/khoa-giao-tiep-tieng-anh-online-all/?utm_source=Facebook&amp;utm_medium=MES&amp;utm_term=NEW_KoreaSouth_none_none_070126&amp;utm_content=saletructiep_KoreaSouth.M520.none.giaotiep_THCNGDP_LD256&amp;utm_campaign=KoreaSouth.giaotiep.M520_LHV.98"&amp;"22_MES_HoaNT_070126")</f>
        <v>https://patadovietnam.edu.vn/khoa-giao-tiep-tieng-anh-online-all/?utm_source=Facebook&amp;utm_medium=MES&amp;utm_term=NEW_KoreaSouth_none_none_070126&amp;utm_content=saletructiep_KoreaSouth.M520.none.giaotiep_THCNGDP_LD256&amp;utm_campaign=KoreaSouth.giaotiep.M520_LHV.9822_MES_HoaNT_070126</v>
      </c>
      <c r="U22" s="110" t="s">
        <v>1339</v>
      </c>
    </row>
    <row r="23">
      <c r="A23" s="72">
        <v>46029.0</v>
      </c>
      <c r="B23" s="60" t="s">
        <v>1281</v>
      </c>
      <c r="C23" s="67" t="str">
        <f>IFERROR(__xludf.DUMMYFUNCTION("""COMPUTED_VALUE"""),"LD257")</f>
        <v>LD257</v>
      </c>
      <c r="D23" s="55" t="s">
        <v>42</v>
      </c>
      <c r="E23" s="55" t="s">
        <v>79</v>
      </c>
      <c r="F23" s="55" t="s">
        <v>133</v>
      </c>
      <c r="G23" s="55">
        <v>2045.0</v>
      </c>
      <c r="H23" s="55" t="s">
        <v>1261</v>
      </c>
      <c r="I23" s="55" t="s">
        <v>1341</v>
      </c>
      <c r="J23" s="55" t="s">
        <v>1342</v>
      </c>
      <c r="K23" s="55" t="s">
        <v>61</v>
      </c>
      <c r="L23" s="55" t="s">
        <v>1264</v>
      </c>
      <c r="M23" s="55" t="s">
        <v>78</v>
      </c>
      <c r="N23" s="55" t="s">
        <v>79</v>
      </c>
      <c r="O23" s="55" t="s">
        <v>1142</v>
      </c>
      <c r="P23" s="55" t="s">
        <v>110</v>
      </c>
      <c r="Q23" s="67" t="str">
        <f>IFERROR(__xludf.DUMMYFUNCTION("""COMPUTED_VALUE"""),"Japan.giaotiep.M520_LHV.9822_MES_HoaNT_070126")</f>
        <v>Japan.giaotiep.M520_LHV.9822_MES_HoaNT_070126</v>
      </c>
      <c r="R23" s="67" t="str">
        <f>IFERROR(__xludf.DUMMYFUNCTION("""COMPUTED_VALUE"""),"NEW_Japan_2045_none_070126")</f>
        <v>NEW_Japan_2045_none_070126</v>
      </c>
      <c r="S23" s="67" t="str">
        <f>IFERROR(__xludf.DUMMYFUNCTION("""COMPUTED_VALUE"""),"saletructiep_Japan.M520.2045.giaotiep_THCNGDP_LD257")</f>
        <v>saletructiep_Japan.M520.2045.giaotiep_THCNGDP_LD257</v>
      </c>
      <c r="T23" s="107" t="str">
        <f>IFERROR(__xludf.DUMMYFUNCTION("""COMPUTED_VALUE"""),"https://patadovietnam.edu.vn/khoa-tieng-anh-giao-tiep-o-nhat-ban/?utm_source=Facebook&amp;utm_medium=MES&amp;utm_term=NEW_Japan_2045_none_070126&amp;utm_content=saletructiep_Japan.M520.2045.giaotiep_THCNGDP_LD257&amp;utm_campaign=Japan.giaotiep.M520_LHV.9822_MES_HoaNT_07"&amp;"0126")</f>
        <v>https://patadovietnam.edu.vn/khoa-tieng-anh-giao-tiep-o-nhat-ban/?utm_source=Facebook&amp;utm_medium=MES&amp;utm_term=NEW_Japan_2045_none_070126&amp;utm_content=saletructiep_Japan.M520.2045.giaotiep_THCNGDP_LD257&amp;utm_campaign=Japan.giaotiep.M520_LHV.9822_MES_HoaNT_070126</v>
      </c>
      <c r="U23" s="110" t="s">
        <v>1345</v>
      </c>
    </row>
    <row r="24">
      <c r="A24" s="72">
        <v>46029.0</v>
      </c>
      <c r="B24" s="60" t="s">
        <v>1281</v>
      </c>
      <c r="C24" s="67" t="str">
        <f>IFERROR(__xludf.DUMMYFUNCTION("""COMPUTED_VALUE"""),"LD257")</f>
        <v>LD257</v>
      </c>
      <c r="D24" s="55" t="s">
        <v>42</v>
      </c>
      <c r="E24" s="55" t="s">
        <v>69</v>
      </c>
      <c r="F24" s="55" t="s">
        <v>133</v>
      </c>
      <c r="G24" s="55">
        <v>2045.0</v>
      </c>
      <c r="H24" s="55" t="s">
        <v>1261</v>
      </c>
      <c r="I24" s="55" t="s">
        <v>1341</v>
      </c>
      <c r="J24" s="55" t="s">
        <v>1342</v>
      </c>
      <c r="K24" s="55" t="s">
        <v>61</v>
      </c>
      <c r="L24" s="55" t="s">
        <v>1264</v>
      </c>
      <c r="M24" s="55" t="s">
        <v>78</v>
      </c>
      <c r="N24" s="55" t="s">
        <v>69</v>
      </c>
      <c r="O24" s="55" t="s">
        <v>1142</v>
      </c>
      <c r="P24" s="55" t="s">
        <v>110</v>
      </c>
      <c r="Q24" s="67" t="str">
        <f>IFERROR(__xludf.DUMMYFUNCTION("""COMPUTED_VALUE"""),"Japan.giaotiep.M520_LHV.9822_CVS_HoaNT_070126")</f>
        <v>Japan.giaotiep.M520_LHV.9822_CVS_HoaNT_070126</v>
      </c>
      <c r="R24" s="67" t="str">
        <f>IFERROR(__xludf.DUMMYFUNCTION("""COMPUTED_VALUE"""),"NEW_Japan_2045_none_070126")</f>
        <v>NEW_Japan_2045_none_070126</v>
      </c>
      <c r="S24" s="67" t="str">
        <f>IFERROR(__xludf.DUMMYFUNCTION("""COMPUTED_VALUE"""),"saletructiep_Japan.M520.2045.giaotiep_THCNGDP_LD257")</f>
        <v>saletructiep_Japan.M520.2045.giaotiep_THCNGDP_LD257</v>
      </c>
      <c r="T24" s="107" t="str">
        <f>IFERROR(__xludf.DUMMYFUNCTION("""COMPUTED_VALUE"""),"https://patadovietnam.edu.vn/khoa-tieng-anh-giao-tiep-o-nhat-ban/?utm_source=Facebook&amp;utm_medium=CVS&amp;utm_term=NEW_Japan_2045_none_070126&amp;utm_content=saletructiep_Japan.M520.2045.giaotiep_THCNGDP_LD257&amp;utm_campaign=Japan.giaotiep.M520_LHV.9822_CVS_HoaNT_07"&amp;"0126")</f>
        <v>https://patadovietnam.edu.vn/khoa-tieng-anh-giao-tiep-o-nhat-ban/?utm_source=Facebook&amp;utm_medium=CVS&amp;utm_term=NEW_Japan_2045_none_070126&amp;utm_content=saletructiep_Japan.M520.2045.giaotiep_THCNGDP_LD257&amp;utm_campaign=Japan.giaotiep.M520_LHV.9822_CVS_HoaNT_070126</v>
      </c>
      <c r="U24" s="110" t="s">
        <v>1350</v>
      </c>
    </row>
    <row r="25">
      <c r="A25" s="72">
        <v>46029.0</v>
      </c>
      <c r="B25" s="60" t="s">
        <v>1290</v>
      </c>
      <c r="C25" s="67" t="str">
        <f>IFERROR(__xludf.DUMMYFUNCTION("""COMPUTED_VALUE"""),"LD256")</f>
        <v>LD256</v>
      </c>
      <c r="D25" s="55" t="s">
        <v>42</v>
      </c>
      <c r="E25" s="55" t="s">
        <v>69</v>
      </c>
      <c r="F25" s="55" t="s">
        <v>674</v>
      </c>
      <c r="G25" s="55">
        <v>2045.0</v>
      </c>
      <c r="H25" s="55" t="s">
        <v>1261</v>
      </c>
      <c r="I25" s="55" t="s">
        <v>1351</v>
      </c>
      <c r="J25" s="55" t="s">
        <v>1353</v>
      </c>
      <c r="K25" s="55" t="s">
        <v>61</v>
      </c>
      <c r="L25" s="55" t="s">
        <v>1264</v>
      </c>
      <c r="M25" s="55" t="s">
        <v>78</v>
      </c>
      <c r="N25" s="55" t="s">
        <v>69</v>
      </c>
      <c r="O25" s="55" t="s">
        <v>1142</v>
      </c>
      <c r="P25" s="55" t="s">
        <v>110</v>
      </c>
      <c r="Q25" s="67" t="str">
        <f>IFERROR(__xludf.DUMMYFUNCTION("""COMPUTED_VALUE"""),"Europe.giaotiep.M520_LHV.9822_CVS_HoaNT_070126")</f>
        <v>Europe.giaotiep.M520_LHV.9822_CVS_HoaNT_070126</v>
      </c>
      <c r="R25" s="67" t="str">
        <f>IFERROR(__xludf.DUMMYFUNCTION("""COMPUTED_VALUE"""),"NEW_Europe_2045_none_070126")</f>
        <v>NEW_Europe_2045_none_070126</v>
      </c>
      <c r="S25" s="67" t="str">
        <f>IFERROR(__xludf.DUMMYFUNCTION("""COMPUTED_VALUE"""),"saletructiep_Europe.M520.2045.giaotiep_THCNGDP_LD256")</f>
        <v>saletructiep_Europe.M520.2045.giaotiep_THCNGDP_LD256</v>
      </c>
      <c r="T25" s="107" t="str">
        <f>IFERROR(__xludf.DUMMYFUNCTION("""COMPUTED_VALUE"""),"https://patadovietnam.edu.vn/khoa-giao-tiep-tieng-anh-online-all/?utm_source=Facebook&amp;utm_medium=CVS&amp;utm_term=NEW_Europe_2045_none_070126&amp;utm_content=saletructiep_Europe.M520.2045.giaotiep_THCNGDP_LD256&amp;utm_campaign=Europe.giaotiep.M520_LHV.9822_CVS_HoaNT"&amp;"_070126")</f>
        <v>https://patadovietnam.edu.vn/khoa-giao-tiep-tieng-anh-online-all/?utm_source=Facebook&amp;utm_medium=CVS&amp;utm_term=NEW_Europe_2045_none_070126&amp;utm_content=saletructiep_Europe.M520.2045.giaotiep_THCNGDP_LD256&amp;utm_campaign=Europe.giaotiep.M520_LHV.9822_CVS_HoaNT_070126</v>
      </c>
      <c r="U25" s="110" t="s">
        <v>1357</v>
      </c>
    </row>
    <row r="26">
      <c r="A26" s="72">
        <v>46030.0</v>
      </c>
      <c r="B26" s="60" t="s">
        <v>1290</v>
      </c>
      <c r="C26" s="67" t="str">
        <f>IFERROR(__xludf.DUMMYFUNCTION("""COMPUTED_VALUE"""),"LD256")</f>
        <v>LD256</v>
      </c>
      <c r="D26" s="55" t="s">
        <v>42</v>
      </c>
      <c r="E26" s="55" t="s">
        <v>69</v>
      </c>
      <c r="F26" s="55" t="s">
        <v>539</v>
      </c>
      <c r="G26" s="55">
        <v>2045.0</v>
      </c>
      <c r="H26" s="55" t="s">
        <v>1261</v>
      </c>
      <c r="I26" s="55" t="s">
        <v>1358</v>
      </c>
      <c r="J26" s="55" t="s">
        <v>1359</v>
      </c>
      <c r="K26" s="55" t="s">
        <v>61</v>
      </c>
      <c r="L26" s="55" t="s">
        <v>1264</v>
      </c>
      <c r="M26" s="55" t="s">
        <v>78</v>
      </c>
      <c r="N26" s="55" t="s">
        <v>69</v>
      </c>
      <c r="O26" s="55" t="s">
        <v>1142</v>
      </c>
      <c r="P26" s="55" t="s">
        <v>110</v>
      </c>
      <c r="Q26" s="67" t="str">
        <f>IFERROR(__xludf.DUMMYFUNCTION("""COMPUTED_VALUE"""),"ALL.giaotiep.M520_LHV.9822_CVS_HoaNT_080126")</f>
        <v>ALL.giaotiep.M520_LHV.9822_CVS_HoaNT_080126</v>
      </c>
      <c r="R26" s="67" t="str">
        <f>IFERROR(__xludf.DUMMYFUNCTION("""COMPUTED_VALUE"""),"NEW_ALL_2045_none_080126")</f>
        <v>NEW_ALL_2045_none_080126</v>
      </c>
      <c r="S26" s="67" t="str">
        <f>IFERROR(__xludf.DUMMYFUNCTION("""COMPUTED_VALUE"""),"saletructiep_ALL.M520.none.giaotiep_THCNGDP_LD256")</f>
        <v>saletructiep_ALL.M520.none.giaotiep_THCNGDP_LD256</v>
      </c>
      <c r="T26" s="107" t="str">
        <f>IFERROR(__xludf.DUMMYFUNCTION("""COMPUTED_VALUE"""),"https://patadovietnam.edu.vn/khoa-giao-tiep-tieng-anh-online-all/?utm_source=Facebook&amp;utm_medium=CVS&amp;utm_term=NEW_ALL_2045_none_080126&amp;utm_content=saletructiep_ALL.M520.none.giaotiep_THCNGDP_LD256&amp;utm_campaign=ALL.giaotiep.M520_LHV.9822_CVS_HoaNT_080126")</f>
        <v>https://patadovietnam.edu.vn/khoa-giao-tiep-tieng-anh-online-all/?utm_source=Facebook&amp;utm_medium=CVS&amp;utm_term=NEW_ALL_2045_none_080126&amp;utm_content=saletructiep_ALL.M520.none.giaotiep_THCNGDP_LD256&amp;utm_campaign=ALL.giaotiep.M520_LHV.9822_CVS_HoaNT_080126</v>
      </c>
      <c r="U26" s="110" t="s">
        <v>1364</v>
      </c>
    </row>
    <row r="27">
      <c r="A27" s="72">
        <v>46030.0</v>
      </c>
      <c r="B27" s="60" t="s">
        <v>1290</v>
      </c>
      <c r="C27" s="67" t="str">
        <f>IFERROR(__xludf.DUMMYFUNCTION("""COMPUTED_VALUE"""),"LD256")</f>
        <v>LD256</v>
      </c>
      <c r="D27" s="55" t="s">
        <v>42</v>
      </c>
      <c r="E27" s="55" t="s">
        <v>69</v>
      </c>
      <c r="F27" s="55" t="s">
        <v>129</v>
      </c>
      <c r="G27" s="55">
        <v>2045.0</v>
      </c>
      <c r="H27" s="55" t="s">
        <v>1261</v>
      </c>
      <c r="I27" s="55" t="s">
        <v>1366</v>
      </c>
      <c r="J27" s="55" t="s">
        <v>1367</v>
      </c>
      <c r="K27" s="55" t="s">
        <v>61</v>
      </c>
      <c r="L27" s="55" t="s">
        <v>1264</v>
      </c>
      <c r="M27" s="55" t="s">
        <v>78</v>
      </c>
      <c r="N27" s="55" t="s">
        <v>69</v>
      </c>
      <c r="O27" s="55" t="s">
        <v>1142</v>
      </c>
      <c r="P27" s="55" t="s">
        <v>110</v>
      </c>
      <c r="Q27" s="67" t="str">
        <f>IFERROR(__xludf.DUMMYFUNCTION("""COMPUTED_VALUE"""),"Australia.giaotiep.M520_LHV.9822_CVS_HoaNT_080126")</f>
        <v>Australia.giaotiep.M520_LHV.9822_CVS_HoaNT_080126</v>
      </c>
      <c r="R27" s="67" t="str">
        <f>IFERROR(__xludf.DUMMYFUNCTION("""COMPUTED_VALUE"""),"NEW_Australia_2045_none_080126")</f>
        <v>NEW_Australia_2045_none_080126</v>
      </c>
      <c r="S27" s="67" t="str">
        <f>IFERROR(__xludf.DUMMYFUNCTION("""COMPUTED_VALUE"""),"saletructiep_Australia.M520.2045.giaotiep_THCNGDP_LD256")</f>
        <v>saletructiep_Australia.M520.2045.giaotiep_THCNGDP_LD256</v>
      </c>
      <c r="T27" s="107" t="str">
        <f>IFERROR(__xludf.DUMMYFUNCTION("""COMPUTED_VALUE"""),"https://patadovietnam.edu.vn/khoa-giao-tiep-tieng-anh-online-all/?utm_source=Facebook&amp;utm_medium=CVS&amp;utm_term=NEW_Australia_2045_none_080126&amp;utm_content=saletructiep_Australia.M520.2045.giaotiep_THCNGDP_LD256&amp;utm_campaign=Australia.giaotiep.M520_LHV.9822_"&amp;"CVS_HoaNT_080126")</f>
        <v>https://patadovietnam.edu.vn/khoa-giao-tiep-tieng-anh-online-all/?utm_source=Facebook&amp;utm_medium=CVS&amp;utm_term=NEW_Australia_2045_none_080126&amp;utm_content=saletructiep_Australia.M520.2045.giaotiep_THCNGDP_LD256&amp;utm_campaign=Australia.giaotiep.M520_LHV.9822_CVS_HoaNT_080126</v>
      </c>
      <c r="U27" s="110" t="s">
        <v>1372</v>
      </c>
    </row>
    <row r="28">
      <c r="A28" s="72">
        <v>46032.0</v>
      </c>
      <c r="B28" s="60" t="s">
        <v>1290</v>
      </c>
      <c r="C28" s="67" t="str">
        <f>IFERROR(__xludf.DUMMYFUNCTION("""COMPUTED_VALUE"""),"LD256")</f>
        <v>LD256</v>
      </c>
      <c r="D28" s="55" t="s">
        <v>42</v>
      </c>
      <c r="E28" s="55" t="s">
        <v>69</v>
      </c>
      <c r="F28" s="55" t="s">
        <v>674</v>
      </c>
      <c r="G28" s="55">
        <v>3055.0</v>
      </c>
      <c r="H28" s="55" t="s">
        <v>1261</v>
      </c>
      <c r="I28" s="55" t="s">
        <v>1373</v>
      </c>
      <c r="J28" s="55" t="s">
        <v>1374</v>
      </c>
      <c r="K28" s="55" t="s">
        <v>61</v>
      </c>
      <c r="L28" s="55" t="s">
        <v>1264</v>
      </c>
      <c r="M28" s="55" t="s">
        <v>78</v>
      </c>
      <c r="N28" s="55" t="s">
        <v>69</v>
      </c>
      <c r="O28" s="55" t="s">
        <v>1142</v>
      </c>
      <c r="P28" s="55" t="s">
        <v>110</v>
      </c>
      <c r="Q28" s="67" t="str">
        <f>IFERROR(__xludf.DUMMYFUNCTION("""COMPUTED_VALUE"""),"Europe.giaotiep.M105_LHV.9822_CVS_HoaNT_100126")</f>
        <v>Europe.giaotiep.M105_LHV.9822_CVS_HoaNT_100126</v>
      </c>
      <c r="R28" s="67" t="str">
        <f>IFERROR(__xludf.DUMMYFUNCTION("""COMPUTED_VALUE"""),"NEW_Europe_3055_none_100126")</f>
        <v>NEW_Europe_3055_none_100126</v>
      </c>
      <c r="S28" s="67" t="str">
        <f>IFERROR(__xludf.DUMMYFUNCTION("""COMPUTED_VALUE"""),"saletructiep_Europe.M105.3055.giaotiep_THCNGDP_LD256")</f>
        <v>saletructiep_Europe.M105.3055.giaotiep_THCNGDP_LD256</v>
      </c>
      <c r="T28" s="107" t="str">
        <f>IFERROR(__xludf.DUMMYFUNCTION("""COMPUTED_VALUE"""),"https://patadovietnam.edu.vn/khoa-giao-tiep-tieng-anh-online-all/?utm_source=Facebook&amp;utm_medium=CVS&amp;utm_term=NEW_Europe_3055_none_100126&amp;utm_content=saletructiep_Europe.M105.3055.giaotiep_THCNGDP_LD256&amp;utm_campaign=Europe.giaotiep.M105_LHV.9822_CVS_HoaNT"&amp;"_100126")</f>
        <v>https://patadovietnam.edu.vn/khoa-giao-tiep-tieng-anh-online-all/?utm_source=Facebook&amp;utm_medium=CVS&amp;utm_term=NEW_Europe_3055_none_100126&amp;utm_content=saletructiep_Europe.M105.3055.giaotiep_THCNGDP_LD256&amp;utm_campaign=Europe.giaotiep.M105_LHV.9822_CVS_HoaNT_100126</v>
      </c>
      <c r="U28" s="110" t="s">
        <v>1378</v>
      </c>
    </row>
    <row r="29">
      <c r="A29" s="72">
        <v>46032.0</v>
      </c>
      <c r="B29" s="60" t="s">
        <v>1256</v>
      </c>
      <c r="C29" s="67" t="str">
        <f>IFERROR(__xludf.DUMMYFUNCTION("""COMPUTED_VALUE"""),"LD255")</f>
        <v>LD255</v>
      </c>
      <c r="D29" s="55" t="s">
        <v>42</v>
      </c>
      <c r="E29" s="55" t="s">
        <v>79</v>
      </c>
      <c r="F29" s="55" t="s">
        <v>107</v>
      </c>
      <c r="G29" s="55">
        <v>3555.0</v>
      </c>
      <c r="H29" s="55" t="s">
        <v>1261</v>
      </c>
      <c r="I29" s="55" t="s">
        <v>1380</v>
      </c>
      <c r="J29" s="55" t="s">
        <v>1381</v>
      </c>
      <c r="K29" s="55" t="s">
        <v>61</v>
      </c>
      <c r="L29" s="55" t="s">
        <v>1264</v>
      </c>
      <c r="M29" s="55" t="s">
        <v>78</v>
      </c>
      <c r="N29" s="55" t="s">
        <v>79</v>
      </c>
      <c r="O29" s="55" t="s">
        <v>1142</v>
      </c>
      <c r="P29" s="55" t="s">
        <v>110</v>
      </c>
      <c r="Q29" s="67" t="str">
        <f>IFERROR(__xludf.DUMMYFUNCTION("""COMPUTED_VALUE"""),"UnitedStates.giaotiep.M332_LHV.9822_MES_HoaNT_100126")</f>
        <v>UnitedStates.giaotiep.M332_LHV.9822_MES_HoaNT_100126</v>
      </c>
      <c r="R29" s="67" t="str">
        <f>IFERROR(__xludf.DUMMYFUNCTION("""COMPUTED_VALUE"""),"NEW_UnitedStates_3555_none_100126")</f>
        <v>NEW_UnitedStates_3555_none_100126</v>
      </c>
      <c r="S29" s="67" t="str">
        <f>IFERROR(__xludf.DUMMYFUNCTION("""COMPUTED_VALUE"""),"saletructiep_UnitedStates.M332.3555.giaotiep_THCNGDP_LD255")</f>
        <v>saletructiep_UnitedStates.M332.3555.giaotiep_THCNGDP_LD255</v>
      </c>
      <c r="T29" s="107" t="str">
        <f>IFERROR(__xludf.DUMMYFUNCTION("""COMPUTED_VALUE"""),"https://patadovietnam.edu.vn/khoa-giao-tiep-unitedstates/?utm_source=Facebook&amp;utm_medium=MES&amp;utm_term=NEW_UnitedStates_3555_none_100126&amp;utm_content=saletructiep_UnitedStates.M332.3555.giaotiep_THCNGDP_LD255&amp;utm_campaign=UnitedStates.giaotiep.M332_LHV.9822"&amp;"_MES_HoaNT_100126")</f>
        <v>https://patadovietnam.edu.vn/khoa-giao-tiep-unitedstates/?utm_source=Facebook&amp;utm_medium=MES&amp;utm_term=NEW_UnitedStates_3555_none_100126&amp;utm_content=saletructiep_UnitedStates.M332.3555.giaotiep_THCNGDP_LD255&amp;utm_campaign=UnitedStates.giaotiep.M332_LHV.9822_MES_HoaNT_100126</v>
      </c>
      <c r="U29" s="110" t="s">
        <v>1384</v>
      </c>
    </row>
    <row r="30">
      <c r="A30" s="72">
        <v>46033.0</v>
      </c>
      <c r="B30" s="60" t="s">
        <v>1290</v>
      </c>
      <c r="C30" s="67" t="str">
        <f>IFERROR(__xludf.DUMMYFUNCTION("""COMPUTED_VALUE"""),"LD256")</f>
        <v>LD256</v>
      </c>
      <c r="D30" s="55" t="s">
        <v>42</v>
      </c>
      <c r="E30" s="55" t="s">
        <v>79</v>
      </c>
      <c r="F30" s="55" t="s">
        <v>674</v>
      </c>
      <c r="G30" s="55">
        <v>2040.0</v>
      </c>
      <c r="H30" s="55" t="s">
        <v>1261</v>
      </c>
      <c r="I30" s="55" t="s">
        <v>1387</v>
      </c>
      <c r="J30" s="55" t="s">
        <v>1388</v>
      </c>
      <c r="K30" s="55" t="s">
        <v>61</v>
      </c>
      <c r="L30" s="55" t="s">
        <v>1264</v>
      </c>
      <c r="M30" s="55" t="s">
        <v>78</v>
      </c>
      <c r="N30" s="55" t="s">
        <v>79</v>
      </c>
      <c r="O30" s="55" t="s">
        <v>1142</v>
      </c>
      <c r="P30" s="55" t="s">
        <v>110</v>
      </c>
      <c r="Q30" s="67" t="str">
        <f>IFERROR(__xludf.DUMMYFUNCTION("""COMPUTED_VALUE"""),"Europe.giaotiep.M200_LHV.9822_MES_HoaNT_110126")</f>
        <v>Europe.giaotiep.M200_LHV.9822_MES_HoaNT_110126</v>
      </c>
      <c r="R30" s="67" t="str">
        <f>IFERROR(__xludf.DUMMYFUNCTION("""COMPUTED_VALUE"""),"NEW_Europe_2040_none_110126")</f>
        <v>NEW_Europe_2040_none_110126</v>
      </c>
      <c r="S30" s="67" t="str">
        <f>IFERROR(__xludf.DUMMYFUNCTION("""COMPUTED_VALUE"""),"saletructiep_Europe.M200.2040.giaotiep_THCNGDP_LD256")</f>
        <v>saletructiep_Europe.M200.2040.giaotiep_THCNGDP_LD256</v>
      </c>
      <c r="T30" s="107" t="str">
        <f>IFERROR(__xludf.DUMMYFUNCTION("""COMPUTED_VALUE"""),"https://patadovietnam.edu.vn/khoa-giao-tiep-tieng-anh-online-all/?utm_source=Facebook&amp;utm_medium=MES&amp;utm_term=NEW_Europe_2040_none_110126&amp;utm_content=saletructiep_Europe.M200.2040.giaotiep_THCNGDP_LD256&amp;utm_campaign=Europe.giaotiep.M200_LHV.9822_MES_HoaNT"&amp;"_110126")</f>
        <v>https://patadovietnam.edu.vn/khoa-giao-tiep-tieng-anh-online-all/?utm_source=Facebook&amp;utm_medium=MES&amp;utm_term=NEW_Europe_2040_none_110126&amp;utm_content=saletructiep_Europe.M200.2040.giaotiep_THCNGDP_LD256&amp;utm_campaign=Europe.giaotiep.M200_LHV.9822_MES_HoaNT_110126</v>
      </c>
      <c r="U30" s="110" t="s">
        <v>1390</v>
      </c>
    </row>
    <row r="31">
      <c r="A31" s="72">
        <v>46033.0</v>
      </c>
      <c r="B31" s="60" t="s">
        <v>1290</v>
      </c>
      <c r="C31" s="67" t="str">
        <f>IFERROR(__xludf.DUMMYFUNCTION("""COMPUTED_VALUE"""),"LD256")</f>
        <v>LD256</v>
      </c>
      <c r="D31" s="55" t="s">
        <v>42</v>
      </c>
      <c r="E31" s="55" t="s">
        <v>69</v>
      </c>
      <c r="F31" s="55" t="s">
        <v>129</v>
      </c>
      <c r="G31" s="55">
        <v>2040.0</v>
      </c>
      <c r="H31" s="55" t="s">
        <v>1261</v>
      </c>
      <c r="I31" s="55" t="s">
        <v>1393</v>
      </c>
      <c r="J31" s="55" t="s">
        <v>1394</v>
      </c>
      <c r="K31" s="55" t="s">
        <v>61</v>
      </c>
      <c r="L31" s="55" t="s">
        <v>1264</v>
      </c>
      <c r="M31" s="55" t="s">
        <v>78</v>
      </c>
      <c r="N31" s="55" t="s">
        <v>69</v>
      </c>
      <c r="O31" s="55" t="s">
        <v>1142</v>
      </c>
      <c r="P31" s="55" t="s">
        <v>110</v>
      </c>
      <c r="Q31" s="67" t="str">
        <f>IFERROR(__xludf.DUMMYFUNCTION("""COMPUTED_VALUE"""),"Australia.giaotiep.M200_LHV.9822_CVS_HoaNT_110126")</f>
        <v>Australia.giaotiep.M200_LHV.9822_CVS_HoaNT_110126</v>
      </c>
      <c r="R31" s="67" t="str">
        <f>IFERROR(__xludf.DUMMYFUNCTION("""COMPUTED_VALUE"""),"NEW_Australia_2040_none_110126")</f>
        <v>NEW_Australia_2040_none_110126</v>
      </c>
      <c r="S31" s="67" t="str">
        <f>IFERROR(__xludf.DUMMYFUNCTION("""COMPUTED_VALUE"""),"saletructiep_Australia.M200.2040.giaotiep_THCNGDP_LD256")</f>
        <v>saletructiep_Australia.M200.2040.giaotiep_THCNGDP_LD256</v>
      </c>
      <c r="T31" s="107" t="str">
        <f>IFERROR(__xludf.DUMMYFUNCTION("""COMPUTED_VALUE"""),"https://patadovietnam.edu.vn/khoa-giao-tiep-tieng-anh-online-all/?utm_source=Facebook&amp;utm_medium=CVS&amp;utm_term=NEW_Australia_2040_none_110126&amp;utm_content=saletructiep_Australia.M200.2040.giaotiep_THCNGDP_LD256&amp;utm_campaign=Australia.giaotiep.M200_LHV.9822_"&amp;"CVS_HoaNT_110126")</f>
        <v>https://patadovietnam.edu.vn/khoa-giao-tiep-tieng-anh-online-all/?utm_source=Facebook&amp;utm_medium=CVS&amp;utm_term=NEW_Australia_2040_none_110126&amp;utm_content=saletructiep_Australia.M200.2040.giaotiep_THCNGDP_LD256&amp;utm_campaign=Australia.giaotiep.M200_LHV.9822_CVS_HoaNT_110126</v>
      </c>
      <c r="U31" s="110" t="s">
        <v>1395</v>
      </c>
    </row>
    <row r="32">
      <c r="A32" s="72">
        <v>46033.0</v>
      </c>
      <c r="B32" s="60" t="s">
        <v>1290</v>
      </c>
      <c r="C32" s="67" t="str">
        <f>IFERROR(__xludf.DUMMYFUNCTION("""COMPUTED_VALUE"""),"LD256")</f>
        <v>LD256</v>
      </c>
      <c r="D32" s="55" t="s">
        <v>42</v>
      </c>
      <c r="E32" s="55" t="s">
        <v>69</v>
      </c>
      <c r="F32" s="55" t="s">
        <v>539</v>
      </c>
      <c r="G32" s="55">
        <v>2040.0</v>
      </c>
      <c r="H32" s="55" t="s">
        <v>1261</v>
      </c>
      <c r="I32" s="55" t="s">
        <v>1398</v>
      </c>
      <c r="J32" s="55" t="s">
        <v>1399</v>
      </c>
      <c r="K32" s="55" t="s">
        <v>61</v>
      </c>
      <c r="L32" s="55" t="s">
        <v>1264</v>
      </c>
      <c r="M32" s="55" t="s">
        <v>78</v>
      </c>
      <c r="N32" s="55" t="s">
        <v>69</v>
      </c>
      <c r="O32" s="55" t="s">
        <v>1142</v>
      </c>
      <c r="P32" s="55" t="s">
        <v>110</v>
      </c>
      <c r="Q32" s="67" t="str">
        <f>IFERROR(__xludf.DUMMYFUNCTION("""COMPUTED_VALUE"""),"ALL.giaotiep.M200_LHV.9822_CVS_HoaNT_110126")</f>
        <v>ALL.giaotiep.M200_LHV.9822_CVS_HoaNT_110126</v>
      </c>
      <c r="R32" s="67" t="str">
        <f>IFERROR(__xludf.DUMMYFUNCTION("""COMPUTED_VALUE"""),"NEW_ALL_2040_none_110126")</f>
        <v>NEW_ALL_2040_none_110126</v>
      </c>
      <c r="S32" s="67" t="str">
        <f>IFERROR(__xludf.DUMMYFUNCTION("""COMPUTED_VALUE"""),"saletructiep_ALL.M200.2040.giaotiep_THCNGDP_LD256")</f>
        <v>saletructiep_ALL.M200.2040.giaotiep_THCNGDP_LD256</v>
      </c>
      <c r="T32" s="107" t="str">
        <f>IFERROR(__xludf.DUMMYFUNCTION("""COMPUTED_VALUE"""),"https://patadovietnam.edu.vn/khoa-giao-tiep-tieng-anh-online-all/?utm_source=Facebook&amp;utm_medium=CVS&amp;utm_term=NEW_ALL_2040_none_110126&amp;utm_content=saletructiep_ALL.M200.2040.giaotiep_THCNGDP_LD256&amp;utm_campaign=ALL.giaotiep.M200_LHV.9822_CVS_HoaNT_110126")</f>
        <v>https://patadovietnam.edu.vn/khoa-giao-tiep-tieng-anh-online-all/?utm_source=Facebook&amp;utm_medium=CVS&amp;utm_term=NEW_ALL_2040_none_110126&amp;utm_content=saletructiep_ALL.M200.2040.giaotiep_THCNGDP_LD256&amp;utm_campaign=ALL.giaotiep.M200_LHV.9822_CVS_HoaNT_110126</v>
      </c>
      <c r="U32" s="110" t="s">
        <v>1401</v>
      </c>
    </row>
    <row r="33">
      <c r="A33" s="72">
        <v>46033.0</v>
      </c>
      <c r="B33" s="60" t="s">
        <v>1290</v>
      </c>
      <c r="C33" s="67" t="str">
        <f>IFERROR(__xludf.DUMMYFUNCTION("""COMPUTED_VALUE"""),"LD256")</f>
        <v>LD256</v>
      </c>
      <c r="D33" s="55" t="s">
        <v>42</v>
      </c>
      <c r="E33" s="55" t="s">
        <v>69</v>
      </c>
      <c r="F33" s="55" t="s">
        <v>625</v>
      </c>
      <c r="G33" s="55">
        <v>2040.0</v>
      </c>
      <c r="H33" s="55" t="s">
        <v>1261</v>
      </c>
      <c r="I33" s="55" t="s">
        <v>1405</v>
      </c>
      <c r="J33" s="55" t="s">
        <v>1406</v>
      </c>
      <c r="K33" s="55" t="s">
        <v>61</v>
      </c>
      <c r="L33" s="55" t="s">
        <v>1264</v>
      </c>
      <c r="M33" s="55" t="s">
        <v>78</v>
      </c>
      <c r="N33" s="55" t="s">
        <v>69</v>
      </c>
      <c r="O33" s="55" t="s">
        <v>1142</v>
      </c>
      <c r="P33" s="55" t="s">
        <v>110</v>
      </c>
      <c r="Q33" s="67" t="str">
        <f>IFERROR(__xludf.DUMMYFUNCTION("""COMPUTED_VALUE"""),"KoreaSouth.giaotiep.M200_LHV.9822_CVS_HoaNT_110126")</f>
        <v>KoreaSouth.giaotiep.M200_LHV.9822_CVS_HoaNT_110126</v>
      </c>
      <c r="R33" s="67" t="str">
        <f>IFERROR(__xludf.DUMMYFUNCTION("""COMPUTED_VALUE"""),"NEW_KoreaSouth_2040_none_110126")</f>
        <v>NEW_KoreaSouth_2040_none_110126</v>
      </c>
      <c r="S33" s="67" t="str">
        <f>IFERROR(__xludf.DUMMYFUNCTION("""COMPUTED_VALUE"""),"saletructiep_KoreaSouth.M200.2040.giaotiep_THCNGDP_LD256")</f>
        <v>saletructiep_KoreaSouth.M200.2040.giaotiep_THCNGDP_LD256</v>
      </c>
      <c r="T33" s="107" t="str">
        <f>IFERROR(__xludf.DUMMYFUNCTION("""COMPUTED_VALUE"""),"https://patadovietnam.edu.vn/khoa-giao-tiep-tieng-anh-online-all/?utm_source=Facebook&amp;utm_medium=CVS&amp;utm_term=NEW_KoreaSouth_2040_none_110126&amp;utm_content=saletructiep_KoreaSouth.M200.2040.giaotiep_THCNGDP_LD256&amp;utm_campaign=KoreaSouth.giaotiep.M200_LHV.98"&amp;"22_CVS_HoaNT_110126")</f>
        <v>https://patadovietnam.edu.vn/khoa-giao-tiep-tieng-anh-online-all/?utm_source=Facebook&amp;utm_medium=CVS&amp;utm_term=NEW_KoreaSouth_2040_none_110126&amp;utm_content=saletructiep_KoreaSouth.M200.2040.giaotiep_THCNGDP_LD256&amp;utm_campaign=KoreaSouth.giaotiep.M200_LHV.9822_CVS_HoaNT_110126</v>
      </c>
      <c r="U33" s="110" t="s">
        <v>1408</v>
      </c>
    </row>
    <row r="34">
      <c r="A34" s="72">
        <v>46033.0</v>
      </c>
      <c r="B34" s="60" t="s">
        <v>1281</v>
      </c>
      <c r="C34" s="67" t="str">
        <f>IFERROR(__xludf.DUMMYFUNCTION("""COMPUTED_VALUE"""),"LD257")</f>
        <v>LD257</v>
      </c>
      <c r="D34" s="55" t="s">
        <v>42</v>
      </c>
      <c r="E34" s="55" t="s">
        <v>69</v>
      </c>
      <c r="F34" s="55" t="s">
        <v>133</v>
      </c>
      <c r="G34" s="55">
        <v>2040.0</v>
      </c>
      <c r="H34" s="55" t="s">
        <v>1261</v>
      </c>
      <c r="I34" s="55" t="s">
        <v>1412</v>
      </c>
      <c r="J34" s="55" t="s">
        <v>1413</v>
      </c>
      <c r="K34" s="55" t="s">
        <v>61</v>
      </c>
      <c r="L34" s="55" t="s">
        <v>1264</v>
      </c>
      <c r="M34" s="55" t="s">
        <v>78</v>
      </c>
      <c r="N34" s="55" t="s">
        <v>69</v>
      </c>
      <c r="O34" s="55" t="s">
        <v>1142</v>
      </c>
      <c r="P34" s="55" t="s">
        <v>110</v>
      </c>
      <c r="Q34" s="67" t="str">
        <f>IFERROR(__xludf.DUMMYFUNCTION("""COMPUTED_VALUE"""),"Japan.giaotiep.M200_LHV.9822_CVS_HoaNT_110126")</f>
        <v>Japan.giaotiep.M200_LHV.9822_CVS_HoaNT_110126</v>
      </c>
      <c r="R34" s="67" t="str">
        <f>IFERROR(__xludf.DUMMYFUNCTION("""COMPUTED_VALUE"""),"NEW_Japan_2040_none_110126")</f>
        <v>NEW_Japan_2040_none_110126</v>
      </c>
      <c r="S34" s="67" t="str">
        <f>IFERROR(__xludf.DUMMYFUNCTION("""COMPUTED_VALUE"""),"saletructiep_Japan.M200.2040.giaotiep_THCNGDP_LD257")</f>
        <v>saletructiep_Japan.M200.2040.giaotiep_THCNGDP_LD257</v>
      </c>
      <c r="T34" s="107" t="str">
        <f>IFERROR(__xludf.DUMMYFUNCTION("""COMPUTED_VALUE"""),"https://patadovietnam.edu.vn/khoa-tieng-anh-giao-tiep-o-nhat-ban/?utm_source=Facebook&amp;utm_medium=CVS&amp;utm_term=NEW_Japan_2040_none_110126&amp;utm_content=saletructiep_Japan.M200.2040.giaotiep_THCNGDP_LD257&amp;utm_campaign=Japan.giaotiep.M200_LHV.9822_CVS_HoaNT_11"&amp;"0126")</f>
        <v>https://patadovietnam.edu.vn/khoa-tieng-anh-giao-tiep-o-nhat-ban/?utm_source=Facebook&amp;utm_medium=CVS&amp;utm_term=NEW_Japan_2040_none_110126&amp;utm_content=saletructiep_Japan.M200.2040.giaotiep_THCNGDP_LD257&amp;utm_campaign=Japan.giaotiep.M200_LHV.9822_CVS_HoaNT_110126</v>
      </c>
      <c r="U34" s="110" t="s">
        <v>1415</v>
      </c>
    </row>
    <row r="35">
      <c r="A35" s="72">
        <v>46035.0</v>
      </c>
      <c r="B35" s="60" t="s">
        <v>1281</v>
      </c>
      <c r="C35" s="67" t="str">
        <f>IFERROR(__xludf.DUMMYFUNCTION("""COMPUTED_VALUE"""),"LD257")</f>
        <v>LD257</v>
      </c>
      <c r="D35" s="55" t="s">
        <v>42</v>
      </c>
      <c r="E35" s="55" t="s">
        <v>79</v>
      </c>
      <c r="F35" s="55" t="s">
        <v>133</v>
      </c>
      <c r="G35" s="55" t="s">
        <v>61</v>
      </c>
      <c r="H35" s="55" t="s">
        <v>1261</v>
      </c>
      <c r="I35" s="55" t="s">
        <v>1419</v>
      </c>
      <c r="J35" s="55" t="s">
        <v>1420</v>
      </c>
      <c r="K35" s="55" t="s">
        <v>61</v>
      </c>
      <c r="L35" s="55" t="s">
        <v>1264</v>
      </c>
      <c r="M35" s="55" t="s">
        <v>78</v>
      </c>
      <c r="N35" s="55" t="s">
        <v>79</v>
      </c>
      <c r="O35" s="55" t="s">
        <v>1142</v>
      </c>
      <c r="P35" s="55" t="s">
        <v>110</v>
      </c>
      <c r="Q35" s="67" t="str">
        <f>IFERROR(__xludf.DUMMYFUNCTION("""COMPUTED_VALUE"""),"Japan.giaotiep.M617_LHV.9822_MES_HoaNT_130126")</f>
        <v>Japan.giaotiep.M617_LHV.9822_MES_HoaNT_130126</v>
      </c>
      <c r="R35" s="67" t="str">
        <f>IFERROR(__xludf.DUMMYFUNCTION("""COMPUTED_VALUE"""),"NEW_Japan_none_none_130126")</f>
        <v>NEW_Japan_none_none_130126</v>
      </c>
      <c r="S35" s="67" t="str">
        <f>IFERROR(__xludf.DUMMYFUNCTION("""COMPUTED_VALUE"""),"saletructiep_Japan.M617.none.giaotiep_THCNGDP_LD257")</f>
        <v>saletructiep_Japan.M617.none.giaotiep_THCNGDP_LD257</v>
      </c>
      <c r="T35" s="107" t="str">
        <f>IFERROR(__xludf.DUMMYFUNCTION("""COMPUTED_VALUE"""),"https://patadovietnam.edu.vn/khoa-tieng-anh-giao-tiep-o-nhat-ban/?utm_source=Facebook&amp;utm_medium=MES&amp;utm_term=NEW_Japan_none_none_130126&amp;utm_content=saletructiep_Japan.M617.none.giaotiep_THCNGDP_LD257&amp;utm_campaign=Japan.giaotiep.M617_LHV.9822_MES_HoaNT_13"&amp;"0126")</f>
        <v>https://patadovietnam.edu.vn/khoa-tieng-anh-giao-tiep-o-nhat-ban/?utm_source=Facebook&amp;utm_medium=MES&amp;utm_term=NEW_Japan_none_none_130126&amp;utm_content=saletructiep_Japan.M617.none.giaotiep_THCNGDP_LD257&amp;utm_campaign=Japan.giaotiep.M617_LHV.9822_MES_HoaNT_130126</v>
      </c>
      <c r="U35" s="110" t="s">
        <v>1421</v>
      </c>
    </row>
    <row r="36">
      <c r="A36" s="72">
        <v>46035.0</v>
      </c>
      <c r="B36" s="60" t="s">
        <v>1256</v>
      </c>
      <c r="C36" s="67" t="str">
        <f>IFERROR(__xludf.DUMMYFUNCTION("""COMPUTED_VALUE"""),"LD255")</f>
        <v>LD255</v>
      </c>
      <c r="D36" s="55" t="s">
        <v>42</v>
      </c>
      <c r="E36" s="55" t="s">
        <v>79</v>
      </c>
      <c r="F36" s="55" t="s">
        <v>107</v>
      </c>
      <c r="G36" s="55" t="s">
        <v>61</v>
      </c>
      <c r="H36" s="55" t="s">
        <v>1261</v>
      </c>
      <c r="I36" s="55" t="s">
        <v>1422</v>
      </c>
      <c r="J36" s="55" t="s">
        <v>1423</v>
      </c>
      <c r="K36" s="55" t="s">
        <v>61</v>
      </c>
      <c r="L36" s="55" t="s">
        <v>1264</v>
      </c>
      <c r="M36" s="55" t="s">
        <v>78</v>
      </c>
      <c r="N36" s="55" t="s">
        <v>79</v>
      </c>
      <c r="O36" s="55" t="s">
        <v>1142</v>
      </c>
      <c r="P36" s="55" t="s">
        <v>110</v>
      </c>
      <c r="Q36" s="67" t="str">
        <f>IFERROR(__xludf.DUMMYFUNCTION("""COMPUTED_VALUE"""),"UnitedStates.giaotiep.M617_LHV.9822_MES_HoaNT_130126")</f>
        <v>UnitedStates.giaotiep.M617_LHV.9822_MES_HoaNT_130126</v>
      </c>
      <c r="R36" s="67" t="str">
        <f>IFERROR(__xludf.DUMMYFUNCTION("""COMPUTED_VALUE"""),"NEW_UnitedStates_none_none_130126")</f>
        <v>NEW_UnitedStates_none_none_130126</v>
      </c>
      <c r="S36" s="67" t="str">
        <f>IFERROR(__xludf.DUMMYFUNCTION("""COMPUTED_VALUE"""),"saletructiep_UnitedStates.M617.none.giaotiep_THCNGDP_LD255")</f>
        <v>saletructiep_UnitedStates.M617.none.giaotiep_THCNGDP_LD255</v>
      </c>
      <c r="T36" s="107" t="str">
        <f>IFERROR(__xludf.DUMMYFUNCTION("""COMPUTED_VALUE"""),"https://patadovietnam.edu.vn/khoa-giao-tiep-unitedstates/?utm_source=Facebook&amp;utm_medium=MES&amp;utm_term=NEW_UnitedStates_none_none_130126&amp;utm_content=saletructiep_UnitedStates.M617.none.giaotiep_THCNGDP_LD255&amp;utm_campaign=UnitedStates.giaotiep.M617_LHV.9822"&amp;"_MES_HoaNT_130126")</f>
        <v>https://patadovietnam.edu.vn/khoa-giao-tiep-unitedstates/?utm_source=Facebook&amp;utm_medium=MES&amp;utm_term=NEW_UnitedStates_none_none_130126&amp;utm_content=saletructiep_UnitedStates.M617.none.giaotiep_THCNGDP_LD255&amp;utm_campaign=UnitedStates.giaotiep.M617_LHV.9822_MES_HoaNT_130126</v>
      </c>
      <c r="U36" s="110" t="s">
        <v>1427</v>
      </c>
    </row>
    <row r="37">
      <c r="A37" s="72">
        <v>46035.0</v>
      </c>
      <c r="B37" s="60" t="s">
        <v>1290</v>
      </c>
      <c r="C37" s="67" t="str">
        <f>IFERROR(__xludf.DUMMYFUNCTION("""COMPUTED_VALUE"""),"LD256")</f>
        <v>LD256</v>
      </c>
      <c r="D37" s="55" t="s">
        <v>42</v>
      </c>
      <c r="E37" s="55" t="s">
        <v>79</v>
      </c>
      <c r="F37" s="55" t="s">
        <v>625</v>
      </c>
      <c r="G37" s="55">
        <v>1840.0</v>
      </c>
      <c r="H37" s="55" t="s">
        <v>1261</v>
      </c>
      <c r="I37" s="55" t="s">
        <v>1428</v>
      </c>
      <c r="J37" s="55" t="s">
        <v>1429</v>
      </c>
      <c r="K37" s="55" t="s">
        <v>61</v>
      </c>
      <c r="L37" s="55" t="s">
        <v>1264</v>
      </c>
      <c r="M37" s="55" t="s">
        <v>78</v>
      </c>
      <c r="N37" s="55" t="s">
        <v>79</v>
      </c>
      <c r="O37" s="55" t="s">
        <v>1142</v>
      </c>
      <c r="P37" s="55" t="s">
        <v>110</v>
      </c>
      <c r="Q37" s="67" t="str">
        <f>IFERROR(__xludf.DUMMYFUNCTION("""COMPUTED_VALUE"""),"KoreaSouth.giaotiep.M617_LHV.9822_MES_HoaNT_130126")</f>
        <v>KoreaSouth.giaotiep.M617_LHV.9822_MES_HoaNT_130126</v>
      </c>
      <c r="R37" s="67" t="str">
        <f>IFERROR(__xludf.DUMMYFUNCTION("""COMPUTED_VALUE"""),"NEW_KoreaSouth_1840_none_130126")</f>
        <v>NEW_KoreaSouth_1840_none_130126</v>
      </c>
      <c r="S37" s="67" t="str">
        <f>IFERROR(__xludf.DUMMYFUNCTION("""COMPUTED_VALUE"""),"saletructiep_KoreaSouth.M617.1840.giaotiep_THCNGDP_LD256")</f>
        <v>saletructiep_KoreaSouth.M617.1840.giaotiep_THCNGDP_LD256</v>
      </c>
      <c r="T37" s="107" t="str">
        <f>IFERROR(__xludf.DUMMYFUNCTION("""COMPUTED_VALUE"""),"https://patadovietnam.edu.vn/khoa-giao-tiep-tieng-anh-online-all/?utm_source=Facebook&amp;utm_medium=MES&amp;utm_term=NEW_KoreaSouth_1840_none_130126&amp;utm_content=saletructiep_KoreaSouth.M617.1840.giaotiep_THCNGDP_LD256&amp;utm_campaign=KoreaSouth.giaotiep.M617_LHV.98"&amp;"22_MES_HoaNT_130126")</f>
        <v>https://patadovietnam.edu.vn/khoa-giao-tiep-tieng-anh-online-all/?utm_source=Facebook&amp;utm_medium=MES&amp;utm_term=NEW_KoreaSouth_1840_none_130126&amp;utm_content=saletructiep_KoreaSouth.M617.1840.giaotiep_THCNGDP_LD256&amp;utm_campaign=KoreaSouth.giaotiep.M617_LHV.9822_MES_HoaNT_130126</v>
      </c>
      <c r="U37" s="110" t="s">
        <v>1433</v>
      </c>
    </row>
    <row r="38">
      <c r="A38" s="72">
        <v>46035.0</v>
      </c>
      <c r="B38" s="60" t="s">
        <v>1290</v>
      </c>
      <c r="C38" s="67" t="str">
        <f>IFERROR(__xludf.DUMMYFUNCTION("""COMPUTED_VALUE"""),"LD256")</f>
        <v>LD256</v>
      </c>
      <c r="D38" s="55" t="s">
        <v>42</v>
      </c>
      <c r="E38" s="55" t="s">
        <v>79</v>
      </c>
      <c r="F38" s="55" t="s">
        <v>539</v>
      </c>
      <c r="G38" s="55">
        <v>2040.0</v>
      </c>
      <c r="H38" s="55" t="s">
        <v>1261</v>
      </c>
      <c r="I38" s="55" t="s">
        <v>1436</v>
      </c>
      <c r="J38" s="55" t="s">
        <v>1437</v>
      </c>
      <c r="K38" s="55" t="s">
        <v>61</v>
      </c>
      <c r="L38" s="55" t="s">
        <v>1264</v>
      </c>
      <c r="M38" s="55" t="s">
        <v>78</v>
      </c>
      <c r="N38" s="55" t="s">
        <v>79</v>
      </c>
      <c r="O38" s="55" t="s">
        <v>1142</v>
      </c>
      <c r="P38" s="55" t="s">
        <v>110</v>
      </c>
      <c r="Q38" s="67" t="str">
        <f>IFERROR(__xludf.DUMMYFUNCTION("""COMPUTED_VALUE"""),"ALL.giaotiep.M617_LHV.9822_MES_HoaNT_130126")</f>
        <v>ALL.giaotiep.M617_LHV.9822_MES_HoaNT_130126</v>
      </c>
      <c r="R38" s="67" t="str">
        <f>IFERROR(__xludf.DUMMYFUNCTION("""COMPUTED_VALUE"""),"NEW_ALL_2040_none_130126")</f>
        <v>NEW_ALL_2040_none_130126</v>
      </c>
      <c r="S38" s="67" t="str">
        <f>IFERROR(__xludf.DUMMYFUNCTION("""COMPUTED_VALUE"""),"saletructiep_ALL.M617.2040.giaotiep_THCNGDP_LD256")</f>
        <v>saletructiep_ALL.M617.2040.giaotiep_THCNGDP_LD256</v>
      </c>
      <c r="T38" s="107" t="str">
        <f>IFERROR(__xludf.DUMMYFUNCTION("""COMPUTED_VALUE"""),"https://patadovietnam.edu.vn/khoa-giao-tiep-tieng-anh-online-all/?utm_source=Facebook&amp;utm_medium=MES&amp;utm_term=NEW_ALL_2040_none_130126&amp;utm_content=saletructiep_ALL.M617.2040.giaotiep_THCNGDP_LD256&amp;utm_campaign=ALL.giaotiep.M617_LHV.9822_MES_HoaNT_130126")</f>
        <v>https://patadovietnam.edu.vn/khoa-giao-tiep-tieng-anh-online-all/?utm_source=Facebook&amp;utm_medium=MES&amp;utm_term=NEW_ALL_2040_none_130126&amp;utm_content=saletructiep_ALL.M617.2040.giaotiep_THCNGDP_LD256&amp;utm_campaign=ALL.giaotiep.M617_LHV.9822_MES_HoaNT_130126</v>
      </c>
      <c r="U38" s="110" t="s">
        <v>1440</v>
      </c>
    </row>
    <row r="39">
      <c r="A39" s="72">
        <v>46035.0</v>
      </c>
      <c r="B39" s="60" t="s">
        <v>1290</v>
      </c>
      <c r="C39" s="67" t="str">
        <f>IFERROR(__xludf.DUMMYFUNCTION("""COMPUTED_VALUE"""),"LD256")</f>
        <v>LD256</v>
      </c>
      <c r="D39" s="55" t="s">
        <v>42</v>
      </c>
      <c r="E39" s="55" t="s">
        <v>79</v>
      </c>
      <c r="F39" s="55" t="s">
        <v>129</v>
      </c>
      <c r="G39" s="55">
        <v>2040.0</v>
      </c>
      <c r="H39" s="55" t="s">
        <v>1261</v>
      </c>
      <c r="I39" s="55" t="s">
        <v>1444</v>
      </c>
      <c r="J39" s="55" t="s">
        <v>1445</v>
      </c>
      <c r="K39" s="55" t="s">
        <v>61</v>
      </c>
      <c r="L39" s="55" t="s">
        <v>1264</v>
      </c>
      <c r="M39" s="55" t="s">
        <v>78</v>
      </c>
      <c r="N39" s="55" t="s">
        <v>79</v>
      </c>
      <c r="O39" s="55" t="s">
        <v>1142</v>
      </c>
      <c r="P39" s="55" t="s">
        <v>110</v>
      </c>
      <c r="Q39" s="67" t="str">
        <f>IFERROR(__xludf.DUMMYFUNCTION("""COMPUTED_VALUE"""),"Australia.giaotiep.M617_LHV.9822_MES_HoaNT_130126")</f>
        <v>Australia.giaotiep.M617_LHV.9822_MES_HoaNT_130126</v>
      </c>
      <c r="R39" s="67" t="str">
        <f>IFERROR(__xludf.DUMMYFUNCTION("""COMPUTED_VALUE"""),"NEW_Australia_2040_none_130126")</f>
        <v>NEW_Australia_2040_none_130126</v>
      </c>
      <c r="S39" s="67" t="str">
        <f>IFERROR(__xludf.DUMMYFUNCTION("""COMPUTED_VALUE"""),"saletructiep_Australia.M617.2040.giaotiep_THCNGDP_LD256")</f>
        <v>saletructiep_Australia.M617.2040.giaotiep_THCNGDP_LD256</v>
      </c>
      <c r="T39" s="107" t="str">
        <f>IFERROR(__xludf.DUMMYFUNCTION("""COMPUTED_VALUE"""),"https://patadovietnam.edu.vn/khoa-giao-tiep-tieng-anh-online-all/?utm_source=Facebook&amp;utm_medium=MES&amp;utm_term=NEW_Australia_2040_none_130126&amp;utm_content=saletructiep_Australia.M617.2040.giaotiep_THCNGDP_LD256&amp;utm_campaign=Australia.giaotiep.M617_LHV.9822_"&amp;"MES_HoaNT_130126")</f>
        <v>https://patadovietnam.edu.vn/khoa-giao-tiep-tieng-anh-online-all/?utm_source=Facebook&amp;utm_medium=MES&amp;utm_term=NEW_Australia_2040_none_130126&amp;utm_content=saletructiep_Australia.M617.2040.giaotiep_THCNGDP_LD256&amp;utm_campaign=Australia.giaotiep.M617_LHV.9822_MES_HoaNT_130126</v>
      </c>
      <c r="U39" s="110" t="s">
        <v>1449</v>
      </c>
    </row>
    <row r="40">
      <c r="A40" s="72">
        <v>46043.0</v>
      </c>
      <c r="B40" s="60" t="s">
        <v>1281</v>
      </c>
      <c r="C40" s="67" t="str">
        <f>IFERROR(__xludf.DUMMYFUNCTION("""COMPUTED_VALUE"""),"LD257")</f>
        <v>LD257</v>
      </c>
      <c r="D40" s="55" t="s">
        <v>42</v>
      </c>
      <c r="E40" s="55" t="s">
        <v>69</v>
      </c>
      <c r="F40" s="55" t="s">
        <v>133</v>
      </c>
      <c r="G40" s="55">
        <v>1840.0</v>
      </c>
      <c r="H40" s="55" t="s">
        <v>1261</v>
      </c>
      <c r="I40" s="55" t="s">
        <v>1453</v>
      </c>
      <c r="J40" s="55" t="s">
        <v>1454</v>
      </c>
      <c r="K40" s="55" t="s">
        <v>61</v>
      </c>
      <c r="L40" s="55" t="s">
        <v>1264</v>
      </c>
      <c r="M40" s="55" t="s">
        <v>78</v>
      </c>
      <c r="N40" s="55" t="s">
        <v>69</v>
      </c>
      <c r="O40" s="55" t="s">
        <v>1142</v>
      </c>
      <c r="P40" s="55" t="s">
        <v>110</v>
      </c>
      <c r="Q40" s="67" t="str">
        <f>IFERROR(__xludf.DUMMYFUNCTION("""COMPUTED_VALUE"""),"Japan.giaotiep.M264xM616_LHV.9822_CVS_HoaNT_210126")</f>
        <v>Japan.giaotiep.M264xM616_LHV.9822_CVS_HoaNT_210126</v>
      </c>
      <c r="R40" s="67" t="str">
        <f>IFERROR(__xludf.DUMMYFUNCTION("""COMPUTED_VALUE"""),"NEW_Japan_1840_none_210126")</f>
        <v>NEW_Japan_1840_none_210126</v>
      </c>
      <c r="S40" s="67" t="str">
        <f>IFERROR(__xludf.DUMMYFUNCTION("""COMPUTED_VALUE"""),"saletructiep_Japan.M264xM616.1840.giaotiep_THCNGDP_LD257")</f>
        <v>saletructiep_Japan.M264xM616.1840.giaotiep_THCNGDP_LD257</v>
      </c>
      <c r="T40" s="107" t="str">
        <f>IFERROR(__xludf.DUMMYFUNCTION("""COMPUTED_VALUE"""),"https://patadovietnam.edu.vn/khoa-tieng-anh-giao-tiep-o-nhat-ban/?utm_source=Facebook&amp;utm_medium=CVS&amp;utm_term=NEW_Japan_1840_none_210126&amp;utm_content=saletructiep_Japan.M264xM616.1840.giaotiep_THCNGDP_LD257&amp;utm_campaign=Japan.giaotiep.M264xM616_LHV.9822_CV"&amp;"S_HoaNT_210126")</f>
        <v>https://patadovietnam.edu.vn/khoa-tieng-anh-giao-tiep-o-nhat-ban/?utm_source=Facebook&amp;utm_medium=CVS&amp;utm_term=NEW_Japan_1840_none_210126&amp;utm_content=saletructiep_Japan.M264xM616.1840.giaotiep_THCNGDP_LD257&amp;utm_campaign=Japan.giaotiep.M264xM616_LHV.9822_CVS_HoaNT_210126</v>
      </c>
      <c r="U40" s="110" t="s">
        <v>1460</v>
      </c>
    </row>
    <row r="41">
      <c r="A41" s="72">
        <v>46043.0</v>
      </c>
      <c r="B41" s="60" t="s">
        <v>1290</v>
      </c>
      <c r="C41" s="67" t="str">
        <f>IFERROR(__xludf.DUMMYFUNCTION("""COMPUTED_VALUE"""),"LD256")</f>
        <v>LD256</v>
      </c>
      <c r="D41" s="55" t="s">
        <v>42</v>
      </c>
      <c r="E41" s="55" t="s">
        <v>69</v>
      </c>
      <c r="F41" s="55" t="s">
        <v>674</v>
      </c>
      <c r="G41" s="55">
        <v>1855.0</v>
      </c>
      <c r="H41" s="55" t="s">
        <v>1261</v>
      </c>
      <c r="I41" s="55" t="s">
        <v>1461</v>
      </c>
      <c r="J41" s="55" t="s">
        <v>1462</v>
      </c>
      <c r="K41" s="55" t="s">
        <v>61</v>
      </c>
      <c r="L41" s="55" t="s">
        <v>1264</v>
      </c>
      <c r="M41" s="55" t="s">
        <v>78</v>
      </c>
      <c r="N41" s="55" t="s">
        <v>69</v>
      </c>
      <c r="O41" s="55" t="s">
        <v>1142</v>
      </c>
      <c r="P41" s="55" t="s">
        <v>110</v>
      </c>
      <c r="Q41" s="67" t="str">
        <f>IFERROR(__xludf.DUMMYFUNCTION("""COMPUTED_VALUE"""),"Europe.giaotiep.M264xM616_LHV.9822_CVS_HoaNT_210126")</f>
        <v>Europe.giaotiep.M264xM616_LHV.9822_CVS_HoaNT_210126</v>
      </c>
      <c r="R41" s="67" t="str">
        <f>IFERROR(__xludf.DUMMYFUNCTION("""COMPUTED_VALUE"""),"NEW_Europe_1855_none_210126")</f>
        <v>NEW_Europe_1855_none_210126</v>
      </c>
      <c r="S41" s="67" t="str">
        <f>IFERROR(__xludf.DUMMYFUNCTION("""COMPUTED_VALUE"""),"saletructiep_Europe.M264xM616.1840.giaotiep_THCNGDP_LD256")</f>
        <v>saletructiep_Europe.M264xM616.1840.giaotiep_THCNGDP_LD256</v>
      </c>
      <c r="T41" s="107" t="str">
        <f>IFERROR(__xludf.DUMMYFUNCTION("""COMPUTED_VALUE"""),"https://patadovietnam.edu.vn/khoa-giao-tiep-tieng-anh-online-all/?utm_source=Facebook&amp;utm_medium=CVS&amp;utm_term=NEW_Europe_1855_none_210126&amp;utm_content=saletructiep_Europe.M264xM616.1840.giaotiep_THCNGDP_LD256&amp;utm_campaign=Europe.giaotiep.M264xM616_LHV.9822"&amp;"_CVS_HoaNT_210126")</f>
        <v>https://patadovietnam.edu.vn/khoa-giao-tiep-tieng-anh-online-all/?utm_source=Facebook&amp;utm_medium=CVS&amp;utm_term=NEW_Europe_1855_none_210126&amp;utm_content=saletructiep_Europe.M264xM616.1840.giaotiep_THCNGDP_LD256&amp;utm_campaign=Europe.giaotiep.M264xM616_LHV.9822_CVS_HoaNT_210126</v>
      </c>
      <c r="U41" s="110" t="s">
        <v>1465</v>
      </c>
    </row>
    <row r="42">
      <c r="A42" s="72">
        <v>46043.0</v>
      </c>
      <c r="B42" s="60" t="s">
        <v>1290</v>
      </c>
      <c r="C42" s="67" t="str">
        <f>IFERROR(__xludf.DUMMYFUNCTION("""COMPUTED_VALUE"""),"LD256")</f>
        <v>LD256</v>
      </c>
      <c r="D42" s="55" t="s">
        <v>42</v>
      </c>
      <c r="E42" s="55" t="s">
        <v>79</v>
      </c>
      <c r="F42" s="55" t="s">
        <v>539</v>
      </c>
      <c r="G42" s="55">
        <v>1855.0</v>
      </c>
      <c r="H42" s="55" t="s">
        <v>1261</v>
      </c>
      <c r="I42" s="55" t="s">
        <v>1466</v>
      </c>
      <c r="J42" s="55" t="s">
        <v>1467</v>
      </c>
      <c r="K42" s="55" t="s">
        <v>61</v>
      </c>
      <c r="L42" s="55" t="s">
        <v>1264</v>
      </c>
      <c r="M42" s="55" t="s">
        <v>78</v>
      </c>
      <c r="N42" s="55" t="s">
        <v>79</v>
      </c>
      <c r="O42" s="55" t="s">
        <v>1142</v>
      </c>
      <c r="P42" s="55" t="s">
        <v>110</v>
      </c>
      <c r="Q42" s="67" t="str">
        <f>IFERROR(__xludf.DUMMYFUNCTION("""COMPUTED_VALUE"""),"ALL.giaotiep.M264xM616_LHV.9822_MES_HoaNT_210126")</f>
        <v>ALL.giaotiep.M264xM616_LHV.9822_MES_HoaNT_210126</v>
      </c>
      <c r="R42" s="67" t="str">
        <f>IFERROR(__xludf.DUMMYFUNCTION("""COMPUTED_VALUE"""),"NEW_ALL_1855_none_210126")</f>
        <v>NEW_ALL_1855_none_210126</v>
      </c>
      <c r="S42" s="67" t="str">
        <f>IFERROR(__xludf.DUMMYFUNCTION("""COMPUTED_VALUE"""),"saletructiep_ALL.M264xM616.1840.giaotiep_THCNGDP_LD256")</f>
        <v>saletructiep_ALL.M264xM616.1840.giaotiep_THCNGDP_LD256</v>
      </c>
      <c r="T42" s="107" t="str">
        <f>IFERROR(__xludf.DUMMYFUNCTION("""COMPUTED_VALUE"""),"https://patadovietnam.edu.vn/khoa-giao-tiep-tieng-anh-online-all/?utm_source=Facebook&amp;utm_medium=MES&amp;utm_term=NEW_ALL_1855_none_210126&amp;utm_content=saletructiep_ALL.M264xM616.1840.giaotiep_THCNGDP_LD256&amp;utm_campaign=ALL.giaotiep.M264xM616_LHV.9822_MES_HoaN"&amp;"T_210126")</f>
        <v>https://patadovietnam.edu.vn/khoa-giao-tiep-tieng-anh-online-all/?utm_source=Facebook&amp;utm_medium=MES&amp;utm_term=NEW_ALL_1855_none_210126&amp;utm_content=saletructiep_ALL.M264xM616.1840.giaotiep_THCNGDP_LD256&amp;utm_campaign=ALL.giaotiep.M264xM616_LHV.9822_MES_HoaNT_210126</v>
      </c>
      <c r="U42" s="110" t="s">
        <v>1469</v>
      </c>
    </row>
    <row r="43">
      <c r="A43" s="72">
        <v>46049.0</v>
      </c>
      <c r="B43" s="60" t="s">
        <v>1281</v>
      </c>
      <c r="C43" s="67" t="str">
        <f>IFERROR(__xludf.DUMMYFUNCTION("""COMPUTED_VALUE"""),"LD257")</f>
        <v>LD257</v>
      </c>
      <c r="D43" s="55" t="s">
        <v>42</v>
      </c>
      <c r="E43" s="55" t="s">
        <v>69</v>
      </c>
      <c r="F43" s="55" t="s">
        <v>133</v>
      </c>
      <c r="G43" s="55">
        <v>1840.0</v>
      </c>
      <c r="H43" s="55" t="s">
        <v>1261</v>
      </c>
      <c r="I43" s="55" t="s">
        <v>1471</v>
      </c>
      <c r="J43" s="55" t="s">
        <v>1472</v>
      </c>
      <c r="K43" s="55" t="s">
        <v>61</v>
      </c>
      <c r="L43" s="55" t="s">
        <v>1264</v>
      </c>
      <c r="M43" s="55" t="s">
        <v>78</v>
      </c>
      <c r="N43" s="55" t="s">
        <v>69</v>
      </c>
      <c r="O43" s="55" t="s">
        <v>1142</v>
      </c>
      <c r="P43" s="55" t="s">
        <v>110</v>
      </c>
      <c r="Q43" s="67" t="str">
        <f>IFERROR(__xludf.DUMMYFUNCTION("""COMPUTED_VALUE"""),"Japan.giaotiep.M616xM624_LHV.9822_CVS_HoaNT_270126")</f>
        <v>Japan.giaotiep.M616xM624_LHV.9822_CVS_HoaNT_270126</v>
      </c>
      <c r="R43" s="67" t="str">
        <f>IFERROR(__xludf.DUMMYFUNCTION("""COMPUTED_VALUE"""),"NEW_Japan_1840_none_270126")</f>
        <v>NEW_Japan_1840_none_270126</v>
      </c>
      <c r="S43" s="67" t="str">
        <f>IFERROR(__xludf.DUMMYFUNCTION("""COMPUTED_VALUE"""),"saletructiep_Japan.M616xM624.1840.giaotiep_THCNGDP_LD257")</f>
        <v>saletructiep_Japan.M616xM624.1840.giaotiep_THCNGDP_LD257</v>
      </c>
      <c r="T43" s="107" t="str">
        <f>IFERROR(__xludf.DUMMYFUNCTION("""COMPUTED_VALUE"""),"https://patadovietnam.edu.vn/khoa-tieng-anh-giao-tiep-o-nhat-ban/?utm_source=Facebook&amp;utm_medium=CVS&amp;utm_term=NEW_Japan_1840_none_270126&amp;utm_content=saletructiep_Japan.M616xM624.1840.giaotiep_THCNGDP_LD257&amp;utm_campaign=Japan.giaotiep.M616xM624_LHV.9822_CV"&amp;"S_HoaNT_270126")</f>
        <v>https://patadovietnam.edu.vn/khoa-tieng-anh-giao-tiep-o-nhat-ban/?utm_source=Facebook&amp;utm_medium=CVS&amp;utm_term=NEW_Japan_1840_none_270126&amp;utm_content=saletructiep_Japan.M616xM624.1840.giaotiep_THCNGDP_LD257&amp;utm_campaign=Japan.giaotiep.M616xM624_LHV.9822_CVS_HoaNT_270126</v>
      </c>
      <c r="U43" s="110" t="s">
        <v>1474</v>
      </c>
    </row>
    <row r="44">
      <c r="A44" s="72">
        <v>46049.0</v>
      </c>
      <c r="B44" s="60" t="s">
        <v>1290</v>
      </c>
      <c r="C44" s="67" t="str">
        <f>IFERROR(__xludf.DUMMYFUNCTION("""COMPUTED_VALUE"""),"LD256")</f>
        <v>LD256</v>
      </c>
      <c r="D44" s="55" t="s">
        <v>42</v>
      </c>
      <c r="E44" s="55" t="s">
        <v>69</v>
      </c>
      <c r="F44" s="55" t="s">
        <v>674</v>
      </c>
      <c r="G44" s="55">
        <v>1855.0</v>
      </c>
      <c r="H44" s="55" t="s">
        <v>1261</v>
      </c>
      <c r="I44" s="55" t="s">
        <v>1477</v>
      </c>
      <c r="J44" s="55" t="s">
        <v>1478</v>
      </c>
      <c r="K44" s="55" t="s">
        <v>61</v>
      </c>
      <c r="L44" s="55" t="s">
        <v>1264</v>
      </c>
      <c r="M44" s="55" t="s">
        <v>78</v>
      </c>
      <c r="N44" s="55" t="s">
        <v>69</v>
      </c>
      <c r="O44" s="55" t="s">
        <v>1142</v>
      </c>
      <c r="P44" s="55" t="s">
        <v>110</v>
      </c>
      <c r="Q44" s="67" t="str">
        <f>IFERROR(__xludf.DUMMYFUNCTION("""COMPUTED_VALUE"""),"Europe.giaotiep.M616xM624_LHV.9822_CVS_HoaNT_270126")</f>
        <v>Europe.giaotiep.M616xM624_LHV.9822_CVS_HoaNT_270126</v>
      </c>
      <c r="R44" s="67" t="str">
        <f>IFERROR(__xludf.DUMMYFUNCTION("""COMPUTED_VALUE"""),"NEW_Europe_1855_none_270126")</f>
        <v>NEW_Europe_1855_none_270126</v>
      </c>
      <c r="S44" s="67" t="str">
        <f>IFERROR(__xludf.DUMMYFUNCTION("""COMPUTED_VALUE"""),"saletructiep_Europe.M616xM624.1855.giaotiep_THCNGDP_LD256")</f>
        <v>saletructiep_Europe.M616xM624.1855.giaotiep_THCNGDP_LD256</v>
      </c>
      <c r="T44" s="107" t="str">
        <f>IFERROR(__xludf.DUMMYFUNCTION("""COMPUTED_VALUE"""),"https://patadovietnam.edu.vn/khoa-giao-tiep-tieng-anh-online-all/?utm_source=Facebook&amp;utm_medium=CVS&amp;utm_term=NEW_Europe_1855_none_270126&amp;utm_content=saletructiep_Europe.M616xM624.1855.giaotiep_THCNGDP_LD256&amp;utm_campaign=Europe.giaotiep.M616xM624_LHV.9822"&amp;"_CVS_HoaNT_270126")</f>
        <v>https://patadovietnam.edu.vn/khoa-giao-tiep-tieng-anh-online-all/?utm_source=Facebook&amp;utm_medium=CVS&amp;utm_term=NEW_Europe_1855_none_270126&amp;utm_content=saletructiep_Europe.M616xM624.1855.giaotiep_THCNGDP_LD256&amp;utm_campaign=Europe.giaotiep.M616xM624_LHV.9822_CVS_HoaNT_270126</v>
      </c>
      <c r="U44" s="110" t="s">
        <v>1480</v>
      </c>
    </row>
    <row r="45">
      <c r="A45" s="72">
        <v>46118.0</v>
      </c>
      <c r="B45" s="60" t="s">
        <v>1290</v>
      </c>
      <c r="C45" s="67" t="str">
        <f>IFERROR(__xludf.DUMMYFUNCTION("""COMPUTED_VALUE"""),"LD256")</f>
        <v>LD256</v>
      </c>
      <c r="D45" s="55" t="s">
        <v>42</v>
      </c>
      <c r="E45" s="55" t="s">
        <v>79</v>
      </c>
      <c r="F45" s="55" t="s">
        <v>539</v>
      </c>
      <c r="G45" s="55">
        <v>1855.0</v>
      </c>
      <c r="H45" s="55" t="s">
        <v>1485</v>
      </c>
      <c r="I45" s="55" t="s">
        <v>1486</v>
      </c>
      <c r="J45" s="55" t="s">
        <v>1487</v>
      </c>
      <c r="K45" s="55" t="s">
        <v>61</v>
      </c>
      <c r="L45" s="55" t="s">
        <v>1264</v>
      </c>
      <c r="M45" s="55" t="s">
        <v>78</v>
      </c>
      <c r="N45" s="55" t="s">
        <v>79</v>
      </c>
      <c r="O45" s="55" t="s">
        <v>1142</v>
      </c>
      <c r="P45" s="55" t="s">
        <v>110</v>
      </c>
      <c r="Q45" s="67" t="str">
        <f>IFERROR(__xludf.DUMMYFUNCTION("""COMPUTED_VALUE"""),"ALL.giaotiep.M264_LHV.9822_MES_SangBD_060426")</f>
        <v>ALL.giaotiep.M264_LHV.9822_MES_SangBD_060426</v>
      </c>
      <c r="R45" s="67" t="str">
        <f>IFERROR(__xludf.DUMMYFUNCTION("""COMPUTED_VALUE"""),"NEW_ALL_1855_none_060426")</f>
        <v>NEW_ALL_1855_none_060426</v>
      </c>
      <c r="S45" s="67" t="str">
        <f>IFERROR(__xludf.DUMMYFUNCTION("""COMPUTED_VALUE"""),"saletructiep_ALL.giaotiep.M264.1855.giaotiep_THCNGDP_LD256")</f>
        <v>saletructiep_ALL.giaotiep.M264.1855.giaotiep_THCNGDP_LD256</v>
      </c>
      <c r="T45" s="107" t="str">
        <f>IFERROR(__xludf.DUMMYFUNCTION("""COMPUTED_VALUE"""),"https://patadovietnam.edu.vn/khoa-giao-tiep-tieng-anh-online-all/?utm_source=Facebook&amp;utm_medium=MES&amp;utm_term=NEW_ALL_1855_none_060426&amp;utm_content=saletructiep_ALL.giaotiep.M264.1855.giaotiep_THCNGDP_LD256&amp;utm_campaign=ALL.giaotiep.M264_LHV.9822_MES_SangB"&amp;"D_060426")</f>
        <v>https://patadovietnam.edu.vn/khoa-giao-tiep-tieng-anh-online-all/?utm_source=Facebook&amp;utm_medium=MES&amp;utm_term=NEW_ALL_1855_none_060426&amp;utm_content=saletructiep_ALL.giaotiep.M264.1855.giaotiep_THCNGDP_LD256&amp;utm_campaign=ALL.giaotiep.M264_LHV.9822_MES_SangBD_060426</v>
      </c>
      <c r="U45" s="111" t="s">
        <v>1488</v>
      </c>
    </row>
    <row r="46">
      <c r="A46" s="72">
        <v>46118.0</v>
      </c>
      <c r="B46" s="60" t="s">
        <v>1290</v>
      </c>
      <c r="C46" s="67" t="str">
        <f>IFERROR(__xludf.DUMMYFUNCTION("""COMPUTED_VALUE"""),"LD256")</f>
        <v>LD256</v>
      </c>
      <c r="D46" s="55" t="s">
        <v>42</v>
      </c>
      <c r="E46" s="55" t="s">
        <v>79</v>
      </c>
      <c r="F46" s="55" t="s">
        <v>539</v>
      </c>
      <c r="G46" s="55">
        <v>1855.0</v>
      </c>
      <c r="H46" s="55" t="s">
        <v>1485</v>
      </c>
      <c r="I46" s="55" t="s">
        <v>1491</v>
      </c>
      <c r="J46" s="55" t="s">
        <v>1492</v>
      </c>
      <c r="K46" s="55" t="s">
        <v>61</v>
      </c>
      <c r="L46" s="55" t="s">
        <v>1264</v>
      </c>
      <c r="M46" s="55" t="s">
        <v>78</v>
      </c>
      <c r="N46" s="55" t="s">
        <v>79</v>
      </c>
      <c r="O46" s="55" t="s">
        <v>1142</v>
      </c>
      <c r="P46" s="55" t="s">
        <v>110</v>
      </c>
      <c r="Q46" s="67" t="str">
        <f>IFERROR(__xludf.DUMMYFUNCTION("""COMPUTED_VALUE"""),"ALL.giaotiep.M616_LHV.9822_MES_SangBD_060426")</f>
        <v>ALL.giaotiep.M616_LHV.9822_MES_SangBD_060426</v>
      </c>
      <c r="R46" s="67" t="str">
        <f>IFERROR(__xludf.DUMMYFUNCTION("""COMPUTED_VALUE"""),"NEW_ALL_1855_none_060426")</f>
        <v>NEW_ALL_1855_none_060426</v>
      </c>
      <c r="S46" s="67" t="str">
        <f>IFERROR(__xludf.DUMMYFUNCTION("""COMPUTED_VALUE"""),"saletructiep_ALL.giaotiep.M616.1855.giaotiep_THCNGDP_LD256")</f>
        <v>saletructiep_ALL.giaotiep.M616.1855.giaotiep_THCNGDP_LD256</v>
      </c>
      <c r="T46" s="107" t="str">
        <f>IFERROR(__xludf.DUMMYFUNCTION("""COMPUTED_VALUE"""),"https://patadovietnam.edu.vn/khoa-giao-tiep-tieng-anh-online-all/?utm_source=Facebook&amp;utm_medium=MES&amp;utm_term=NEW_ALL_1855_none_060426&amp;utm_content=saletructiep_ALL.giaotiep.M616.1855.giaotiep_THCNGDP_LD256&amp;utm_campaign=ALL.giaotiep.M616_LHV.9822_MES_SangB"&amp;"D_060426")</f>
        <v>https://patadovietnam.edu.vn/khoa-giao-tiep-tieng-anh-online-all/?utm_source=Facebook&amp;utm_medium=MES&amp;utm_term=NEW_ALL_1855_none_060426&amp;utm_content=saletructiep_ALL.giaotiep.M616.1855.giaotiep_THCNGDP_LD256&amp;utm_campaign=ALL.giaotiep.M616_LHV.9822_MES_SangBD_060426</v>
      </c>
      <c r="U46" s="111" t="s">
        <v>1495</v>
      </c>
    </row>
    <row r="47">
      <c r="A47" s="72">
        <v>46118.0</v>
      </c>
      <c r="B47" s="60" t="s">
        <v>1290</v>
      </c>
      <c r="C47" s="67" t="str">
        <f>IFERROR(__xludf.DUMMYFUNCTION("""COMPUTED_VALUE"""),"LD256")</f>
        <v>LD256</v>
      </c>
      <c r="D47" s="55" t="s">
        <v>42</v>
      </c>
      <c r="E47" s="55" t="s">
        <v>79</v>
      </c>
      <c r="F47" s="55" t="s">
        <v>539</v>
      </c>
      <c r="G47" s="55">
        <v>1855.0</v>
      </c>
      <c r="H47" s="55" t="s">
        <v>1485</v>
      </c>
      <c r="I47" s="55" t="s">
        <v>1308</v>
      </c>
      <c r="J47" s="55" t="s">
        <v>1498</v>
      </c>
      <c r="K47" s="55" t="s">
        <v>61</v>
      </c>
      <c r="L47" s="55" t="s">
        <v>1264</v>
      </c>
      <c r="M47" s="55" t="s">
        <v>78</v>
      </c>
      <c r="N47" s="55" t="s">
        <v>79</v>
      </c>
      <c r="O47" s="55" t="s">
        <v>1142</v>
      </c>
      <c r="P47" s="55" t="s">
        <v>110</v>
      </c>
      <c r="Q47" s="67" t="str">
        <f>IFERROR(__xludf.DUMMYFUNCTION("""COMPUTED_VALUE"""),"ALL.giaotiep.M498_LHV.9822_MES_SangBD_060426")</f>
        <v>ALL.giaotiep.M498_LHV.9822_MES_SangBD_060426</v>
      </c>
      <c r="R47" s="67" t="str">
        <f>IFERROR(__xludf.DUMMYFUNCTION("""COMPUTED_VALUE"""),"NEW_ALL_1855_none_060426")</f>
        <v>NEW_ALL_1855_none_060426</v>
      </c>
      <c r="S47" s="67" t="str">
        <f>IFERROR(__xludf.DUMMYFUNCTION("""COMPUTED_VALUE"""),"saletructiep_ALL.giaotiep.M498.1855.giaotiep_THCNGDP_LD256")</f>
        <v>saletructiep_ALL.giaotiep.M498.1855.giaotiep_THCNGDP_LD256</v>
      </c>
      <c r="T47" s="107" t="str">
        <f>IFERROR(__xludf.DUMMYFUNCTION("""COMPUTED_VALUE"""),"https://patadovietnam.edu.vn/khoa-giao-tiep-tieng-anh-online-all/?utm_source=Facebook&amp;utm_medium=MES&amp;utm_term=NEW_ALL_1855_none_060426&amp;utm_content=saletructiep_ALL.giaotiep.M498.1855.giaotiep_THCNGDP_LD256&amp;utm_campaign=ALL.giaotiep.M498_LHV.9822_MES_SangB"&amp;"D_060426")</f>
        <v>https://patadovietnam.edu.vn/khoa-giao-tiep-tieng-anh-online-all/?utm_source=Facebook&amp;utm_medium=MES&amp;utm_term=NEW_ALL_1855_none_060426&amp;utm_content=saletructiep_ALL.giaotiep.M498.1855.giaotiep_THCNGDP_LD256&amp;utm_campaign=ALL.giaotiep.M498_LHV.9822_MES_SangBD_060426</v>
      </c>
      <c r="U47" s="111" t="s">
        <v>1501</v>
      </c>
    </row>
    <row r="48">
      <c r="A48" s="72">
        <v>46118.0</v>
      </c>
      <c r="B48" s="60" t="s">
        <v>1290</v>
      </c>
      <c r="C48" s="67" t="str">
        <f>IFERROR(__xludf.DUMMYFUNCTION("""COMPUTED_VALUE"""),"LD256")</f>
        <v>LD256</v>
      </c>
      <c r="D48" s="55" t="s">
        <v>42</v>
      </c>
      <c r="E48" s="55" t="s">
        <v>79</v>
      </c>
      <c r="F48" s="55" t="s">
        <v>107</v>
      </c>
      <c r="G48" s="55">
        <v>1855.0</v>
      </c>
      <c r="H48" s="55" t="s">
        <v>1485</v>
      </c>
      <c r="I48" s="55" t="s">
        <v>1422</v>
      </c>
      <c r="J48" s="55" t="s">
        <v>1504</v>
      </c>
      <c r="K48" s="55" t="s">
        <v>61</v>
      </c>
      <c r="L48" s="55" t="s">
        <v>1264</v>
      </c>
      <c r="M48" s="55" t="s">
        <v>78</v>
      </c>
      <c r="N48" s="55" t="s">
        <v>79</v>
      </c>
      <c r="O48" s="55" t="s">
        <v>1142</v>
      </c>
      <c r="P48" s="55" t="s">
        <v>110</v>
      </c>
      <c r="Q48" s="67" t="str">
        <f>IFERROR(__xludf.DUMMYFUNCTION("""COMPUTED_VALUE"""),"UnitedStates.giaotiep.M617_LHV.9822_MES_SangBD_060426")</f>
        <v>UnitedStates.giaotiep.M617_LHV.9822_MES_SangBD_060426</v>
      </c>
      <c r="R48" s="67" t="str">
        <f>IFERROR(__xludf.DUMMYFUNCTION("""COMPUTED_VALUE"""),"NEW_UnitedStates_1855_none_060426")</f>
        <v>NEW_UnitedStates_1855_none_060426</v>
      </c>
      <c r="S48" s="67" t="str">
        <f>IFERROR(__xludf.DUMMYFUNCTION("""COMPUTED_VALUE"""),"saletructiep_UnitedStates.M617.1855.giaotiep_THCNGDP_LD256")</f>
        <v>saletructiep_UnitedStates.M617.1855.giaotiep_THCNGDP_LD256</v>
      </c>
      <c r="T48" s="107" t="str">
        <f>IFERROR(__xludf.DUMMYFUNCTION("""COMPUTED_VALUE"""),"https://patadovietnam.edu.vn/khoa-giao-tiep-tieng-anh-online-all/?utm_source=Facebook&amp;utm_medium=MES&amp;utm_term=NEW_UnitedStates_1855_none_060426&amp;utm_content=saletructiep_UnitedStates.M617.1855.giaotiep_THCNGDP_LD256&amp;utm_campaign=UnitedStates.giaotiep.M617_"&amp;"LHV.9822_MES_SangBD_060426")</f>
        <v>https://patadovietnam.edu.vn/khoa-giao-tiep-tieng-anh-online-all/?utm_source=Facebook&amp;utm_medium=MES&amp;utm_term=NEW_UnitedStates_1855_none_060426&amp;utm_content=saletructiep_UnitedStates.M617.1855.giaotiep_THCNGDP_LD256&amp;utm_campaign=UnitedStates.giaotiep.M617_LHV.9822_MES_SangBD_060426</v>
      </c>
      <c r="U48" s="111" t="s">
        <v>1507</v>
      </c>
    </row>
    <row r="49">
      <c r="A49" s="72">
        <v>46118.0</v>
      </c>
      <c r="B49" s="60" t="s">
        <v>1290</v>
      </c>
      <c r="C49" s="67" t="str">
        <f>IFERROR(__xludf.DUMMYFUNCTION("""COMPUTED_VALUE"""),"LD256")</f>
        <v>LD256</v>
      </c>
      <c r="D49" s="55" t="s">
        <v>42</v>
      </c>
      <c r="E49" s="55" t="s">
        <v>69</v>
      </c>
      <c r="F49" s="55" t="s">
        <v>133</v>
      </c>
      <c r="G49" s="55">
        <v>1850.0</v>
      </c>
      <c r="H49" s="55" t="s">
        <v>1485</v>
      </c>
      <c r="I49" s="55" t="s">
        <v>1511</v>
      </c>
      <c r="J49" s="55" t="s">
        <v>1512</v>
      </c>
      <c r="K49" s="55" t="s">
        <v>61</v>
      </c>
      <c r="L49" s="55" t="s">
        <v>1264</v>
      </c>
      <c r="M49" s="55" t="s">
        <v>78</v>
      </c>
      <c r="N49" s="55" t="s">
        <v>69</v>
      </c>
      <c r="O49" s="55" t="s">
        <v>1142</v>
      </c>
      <c r="P49" s="55" t="s">
        <v>110</v>
      </c>
      <c r="Q49" s="67" t="str">
        <f>IFERROR(__xludf.DUMMYFUNCTION("""COMPUTED_VALUE"""),"Japan.giaotiep.M645_LHV.9822_CVS_SangBD_060426")</f>
        <v>Japan.giaotiep.M645_LHV.9822_CVS_SangBD_060426</v>
      </c>
      <c r="R49" s="67" t="str">
        <f>IFERROR(__xludf.DUMMYFUNCTION("""COMPUTED_VALUE"""),"NEW_Japan_1850_none_060426")</f>
        <v>NEW_Japan_1850_none_060426</v>
      </c>
      <c r="S49" s="67" t="str">
        <f>IFERROR(__xludf.DUMMYFUNCTION("""COMPUTED_VALUE"""),"saletructiep_Japan.M645.1850.giaotiep_THCNGDP_LD256")</f>
        <v>saletructiep_Japan.M645.1850.giaotiep_THCNGDP_LD256</v>
      </c>
      <c r="T49" s="107" t="str">
        <f>IFERROR(__xludf.DUMMYFUNCTION("""COMPUTED_VALUE"""),"https://patadovietnam.edu.vn/khoa-giao-tiep-tieng-anh-online-all/?utm_source=Facebook&amp;utm_medium=CVS&amp;utm_term=NEW_Japan_1850_none_060426&amp;utm_content=saletructiep_Japan.M645.1850.giaotiep_THCNGDP_LD256&amp;utm_campaign=Japan.giaotiep.M645_LHV.9822_CVS_SangBD_0"&amp;"60426")</f>
        <v>https://patadovietnam.edu.vn/khoa-giao-tiep-tieng-anh-online-all/?utm_source=Facebook&amp;utm_medium=CVS&amp;utm_term=NEW_Japan_1850_none_060426&amp;utm_content=saletructiep_Japan.M645.1850.giaotiep_THCNGDP_LD256&amp;utm_campaign=Japan.giaotiep.M645_LHV.9822_CVS_SangBD_060426</v>
      </c>
      <c r="U49" s="111" t="s">
        <v>1514</v>
      </c>
    </row>
    <row r="50">
      <c r="A50" s="72">
        <v>46118.0</v>
      </c>
      <c r="B50" s="60" t="s">
        <v>1290</v>
      </c>
      <c r="C50" s="67" t="str">
        <f>IFERROR(__xludf.DUMMYFUNCTION("""COMPUTED_VALUE"""),"LD256")</f>
        <v>LD256</v>
      </c>
      <c r="D50" s="55" t="s">
        <v>42</v>
      </c>
      <c r="E50" s="55" t="s">
        <v>79</v>
      </c>
      <c r="F50" s="55" t="s">
        <v>674</v>
      </c>
      <c r="G50" s="55">
        <v>1855.0</v>
      </c>
      <c r="H50" s="55" t="s">
        <v>1485</v>
      </c>
      <c r="I50" s="55" t="s">
        <v>1519</v>
      </c>
      <c r="J50" s="55" t="s">
        <v>1520</v>
      </c>
      <c r="K50" s="55" t="s">
        <v>61</v>
      </c>
      <c r="L50" s="55" t="s">
        <v>1264</v>
      </c>
      <c r="M50" s="55" t="s">
        <v>78</v>
      </c>
      <c r="N50" s="55" t="s">
        <v>79</v>
      </c>
      <c r="O50" s="55" t="s">
        <v>1142</v>
      </c>
      <c r="P50" s="55" t="s">
        <v>110</v>
      </c>
      <c r="Q50" s="67" t="str">
        <f>IFERROR(__xludf.DUMMYFUNCTION("""COMPUTED_VALUE"""),"Europe.giaotiep.M645_LHV.9822_MES_SangBD_060426")</f>
        <v>Europe.giaotiep.M645_LHV.9822_MES_SangBD_060426</v>
      </c>
      <c r="R50" s="67" t="str">
        <f>IFERROR(__xludf.DUMMYFUNCTION("""COMPUTED_VALUE"""),"NEW_Europe_1855_none_060426")</f>
        <v>NEW_Europe_1855_none_060426</v>
      </c>
      <c r="S50" s="67" t="str">
        <f>IFERROR(__xludf.DUMMYFUNCTION("""COMPUTED_VALUE"""),"saletructiep_Europe.M645.1855.giaotiep_THCNGDP_LD256")</f>
        <v>saletructiep_Europe.M645.1855.giaotiep_THCNGDP_LD256</v>
      </c>
      <c r="T50" s="107" t="str">
        <f>IFERROR(__xludf.DUMMYFUNCTION("""COMPUTED_VALUE"""),"https://patadovietnam.edu.vn/khoa-giao-tiep-tieng-anh-online-all/?utm_source=Facebook&amp;utm_medium=MES&amp;utm_term=NEW_Europe_1855_none_060426&amp;utm_content=saletructiep_Europe.M645.1855.giaotiep_THCNGDP_LD256&amp;utm_campaign=Europe.giaotiep.M645_LHV.9822_MES_SangB"&amp;"D_060426")</f>
        <v>https://patadovietnam.edu.vn/khoa-giao-tiep-tieng-anh-online-all/?utm_source=Facebook&amp;utm_medium=MES&amp;utm_term=NEW_Europe_1855_none_060426&amp;utm_content=saletructiep_Europe.M645.1855.giaotiep_THCNGDP_LD256&amp;utm_campaign=Europe.giaotiep.M645_LHV.9822_MES_SangBD_060426</v>
      </c>
      <c r="U50" s="111" t="s">
        <v>1524</v>
      </c>
    </row>
    <row r="51">
      <c r="A51" s="72">
        <v>46119.0</v>
      </c>
      <c r="B51" s="60" t="s">
        <v>1290</v>
      </c>
      <c r="C51" s="67" t="str">
        <f>IFERROR(__xludf.DUMMYFUNCTION("""COMPUTED_VALUE"""),"LD256")</f>
        <v>LD256</v>
      </c>
      <c r="D51" s="55" t="s">
        <v>42</v>
      </c>
      <c r="E51" s="55" t="s">
        <v>79</v>
      </c>
      <c r="F51" s="55" t="s">
        <v>539</v>
      </c>
      <c r="G51" s="55">
        <v>1855.0</v>
      </c>
      <c r="H51" s="55" t="s">
        <v>1485</v>
      </c>
      <c r="I51" s="55" t="s">
        <v>1486</v>
      </c>
      <c r="J51" s="55" t="s">
        <v>1487</v>
      </c>
      <c r="K51" s="55" t="s">
        <v>61</v>
      </c>
      <c r="L51" s="55" t="s">
        <v>1264</v>
      </c>
      <c r="M51" s="55" t="s">
        <v>78</v>
      </c>
      <c r="N51" s="55" t="s">
        <v>79</v>
      </c>
      <c r="O51" s="55" t="s">
        <v>1142</v>
      </c>
      <c r="P51" s="55" t="s">
        <v>110</v>
      </c>
      <c r="Q51" s="67" t="str">
        <f>IFERROR(__xludf.DUMMYFUNCTION("""COMPUTED_VALUE"""),"ALL.giaotiep.M264_LHV.9822_MES_SangBD_070426")</f>
        <v>ALL.giaotiep.M264_LHV.9822_MES_SangBD_070426</v>
      </c>
      <c r="R51" s="67" t="str">
        <f>IFERROR(__xludf.DUMMYFUNCTION("""COMPUTED_VALUE"""),"NEW_ALL_1855_none_070426")</f>
        <v>NEW_ALL_1855_none_070426</v>
      </c>
      <c r="S51" s="67" t="str">
        <f>IFERROR(__xludf.DUMMYFUNCTION("""COMPUTED_VALUE"""),"saletructiep_ALL.giaotiep.M264.1855.giaotiep_THCNGDP_LD256")</f>
        <v>saletructiep_ALL.giaotiep.M264.1855.giaotiep_THCNGDP_LD256</v>
      </c>
      <c r="T51" s="107" t="str">
        <f>IFERROR(__xludf.DUMMYFUNCTION("""COMPUTED_VALUE"""),"https://patadovietnam.edu.vn/khoa-giao-tiep-tieng-anh-online-all/?utm_source=Facebook&amp;utm_medium=MES&amp;utm_term=NEW_ALL_1855_none_070426&amp;utm_content=saletructiep_ALL.giaotiep.M264.1855.giaotiep_THCNGDP_LD256&amp;utm_campaign=ALL.giaotiep.M264_LHV.9822_MES_SangB"&amp;"D_070426")</f>
        <v>https://patadovietnam.edu.vn/khoa-giao-tiep-tieng-anh-online-all/?utm_source=Facebook&amp;utm_medium=MES&amp;utm_term=NEW_ALL_1855_none_070426&amp;utm_content=saletructiep_ALL.giaotiep.M264.1855.giaotiep_THCNGDP_LD256&amp;utm_campaign=ALL.giaotiep.M264_LHV.9822_MES_SangBD_070426</v>
      </c>
      <c r="U51" s="111" t="s">
        <v>1529</v>
      </c>
    </row>
    <row r="52">
      <c r="A52" s="72">
        <v>46119.0</v>
      </c>
      <c r="B52" s="60" t="s">
        <v>1290</v>
      </c>
      <c r="C52" s="67" t="str">
        <f>IFERROR(__xludf.DUMMYFUNCTION("""COMPUTED_VALUE"""),"LD256")</f>
        <v>LD256</v>
      </c>
      <c r="D52" s="55" t="s">
        <v>42</v>
      </c>
      <c r="E52" s="55" t="s">
        <v>79</v>
      </c>
      <c r="F52" s="55" t="s">
        <v>674</v>
      </c>
      <c r="G52" s="55">
        <v>1855.0</v>
      </c>
      <c r="H52" s="55" t="s">
        <v>1485</v>
      </c>
      <c r="I52" s="55" t="s">
        <v>1531</v>
      </c>
      <c r="J52" s="55" t="s">
        <v>1532</v>
      </c>
      <c r="K52" s="55" t="s">
        <v>61</v>
      </c>
      <c r="L52" s="55" t="s">
        <v>1264</v>
      </c>
      <c r="M52" s="55" t="s">
        <v>78</v>
      </c>
      <c r="N52" s="55" t="s">
        <v>79</v>
      </c>
      <c r="O52" s="55" t="s">
        <v>1142</v>
      </c>
      <c r="P52" s="55" t="s">
        <v>110</v>
      </c>
      <c r="Q52" s="67" t="str">
        <f>IFERROR(__xludf.DUMMYFUNCTION("""COMPUTED_VALUE"""),"Europe.giaotiep.M479_LHV.9822_MES_SangBD_070426")</f>
        <v>Europe.giaotiep.M479_LHV.9822_MES_SangBD_070426</v>
      </c>
      <c r="R52" s="67" t="str">
        <f>IFERROR(__xludf.DUMMYFUNCTION("""COMPUTED_VALUE"""),"NEW_Europe_1855_none_070426")</f>
        <v>NEW_Europe_1855_none_070426</v>
      </c>
      <c r="S52" s="67" t="str">
        <f>IFERROR(__xludf.DUMMYFUNCTION("""COMPUTED_VALUE"""),"saletructiep_Europe.M479.1855.giaotiep_THCNGDP_LD256")</f>
        <v>saletructiep_Europe.M479.1855.giaotiep_THCNGDP_LD256</v>
      </c>
      <c r="T52" s="107" t="str">
        <f>IFERROR(__xludf.DUMMYFUNCTION("""COMPUTED_VALUE"""),"https://patadovietnam.edu.vn/khoa-giao-tiep-tieng-anh-online-all/?utm_source=Facebook&amp;utm_medium=MES&amp;utm_term=NEW_Europe_1855_none_070426&amp;utm_content=saletructiep_Europe.M479.1855.giaotiep_THCNGDP_LD256&amp;utm_campaign=Europe.giaotiep.M479_LHV.9822_MES_SangB"&amp;"D_070426")</f>
        <v>https://patadovietnam.edu.vn/khoa-giao-tiep-tieng-anh-online-all/?utm_source=Facebook&amp;utm_medium=MES&amp;utm_term=NEW_Europe_1855_none_070426&amp;utm_content=saletructiep_Europe.M479.1855.giaotiep_THCNGDP_LD256&amp;utm_campaign=Europe.giaotiep.M479_LHV.9822_MES_SangBD_070426</v>
      </c>
      <c r="U52" s="111" t="s">
        <v>1537</v>
      </c>
    </row>
    <row r="53">
      <c r="A53" s="72">
        <v>46119.0</v>
      </c>
      <c r="B53" s="60" t="s">
        <v>1290</v>
      </c>
      <c r="C53" s="67" t="str">
        <f>IFERROR(__xludf.DUMMYFUNCTION("""COMPUTED_VALUE"""),"LD256")</f>
        <v>LD256</v>
      </c>
      <c r="D53" s="55" t="s">
        <v>42</v>
      </c>
      <c r="E53" s="55" t="s">
        <v>69</v>
      </c>
      <c r="F53" s="55" t="s">
        <v>674</v>
      </c>
      <c r="G53" s="55">
        <v>1855.0</v>
      </c>
      <c r="H53" s="55" t="s">
        <v>1485</v>
      </c>
      <c r="I53" s="55" t="s">
        <v>1531</v>
      </c>
      <c r="J53" s="55" t="s">
        <v>1532</v>
      </c>
      <c r="K53" s="55" t="s">
        <v>61</v>
      </c>
      <c r="L53" s="55" t="s">
        <v>1264</v>
      </c>
      <c r="M53" s="55" t="s">
        <v>78</v>
      </c>
      <c r="N53" s="55" t="s">
        <v>69</v>
      </c>
      <c r="O53" s="55" t="s">
        <v>1142</v>
      </c>
      <c r="P53" s="55" t="s">
        <v>110</v>
      </c>
      <c r="Q53" s="67" t="str">
        <f>IFERROR(__xludf.DUMMYFUNCTION("""COMPUTED_VALUE"""),"Europe.giaotiep.M479_LHV.9822_CVS_SangBD_070426")</f>
        <v>Europe.giaotiep.M479_LHV.9822_CVS_SangBD_070426</v>
      </c>
      <c r="R53" s="67" t="str">
        <f>IFERROR(__xludf.DUMMYFUNCTION("""COMPUTED_VALUE"""),"NEW_Europe_1855_none_070426")</f>
        <v>NEW_Europe_1855_none_070426</v>
      </c>
      <c r="S53" s="67" t="str">
        <f>IFERROR(__xludf.DUMMYFUNCTION("""COMPUTED_VALUE"""),"saletructiep_Europe.M479.1855.giaotiep_THCNGDP_LD256")</f>
        <v>saletructiep_Europe.M479.1855.giaotiep_THCNGDP_LD256</v>
      </c>
      <c r="T53" s="107" t="str">
        <f>IFERROR(__xludf.DUMMYFUNCTION("""COMPUTED_VALUE"""),"https://patadovietnam.edu.vn/khoa-giao-tiep-tieng-anh-online-all/?utm_source=Facebook&amp;utm_medium=CVS&amp;utm_term=NEW_Europe_1855_none_070426&amp;utm_content=saletructiep_Europe.M479.1855.giaotiep_THCNGDP_LD256&amp;utm_campaign=Europe.giaotiep.M479_LHV.9822_CVS_SangB"&amp;"D_070426")</f>
        <v>https://patadovietnam.edu.vn/khoa-giao-tiep-tieng-anh-online-all/?utm_source=Facebook&amp;utm_medium=CVS&amp;utm_term=NEW_Europe_1855_none_070426&amp;utm_content=saletructiep_Europe.M479.1855.giaotiep_THCNGDP_LD256&amp;utm_campaign=Europe.giaotiep.M479_LHV.9822_CVS_SangBD_070426</v>
      </c>
      <c r="U53" s="111" t="s">
        <v>1538</v>
      </c>
    </row>
    <row r="54">
      <c r="A54" s="72">
        <v>46120.0</v>
      </c>
      <c r="B54" s="60" t="s">
        <v>1290</v>
      </c>
      <c r="C54" s="67" t="str">
        <f>IFERROR(__xludf.DUMMYFUNCTION("""COMPUTED_VALUE"""),"LD256")</f>
        <v>LD256</v>
      </c>
      <c r="D54" s="55" t="s">
        <v>42</v>
      </c>
      <c r="E54" s="55" t="s">
        <v>69</v>
      </c>
      <c r="F54" s="55" t="s">
        <v>133</v>
      </c>
      <c r="G54" s="55">
        <v>1855.0</v>
      </c>
      <c r="H54" s="55" t="s">
        <v>1485</v>
      </c>
      <c r="I54" s="55" t="s">
        <v>1511</v>
      </c>
      <c r="J54" s="55" t="s">
        <v>1512</v>
      </c>
      <c r="K54" s="55" t="s">
        <v>61</v>
      </c>
      <c r="L54" s="55" t="s">
        <v>1264</v>
      </c>
      <c r="M54" s="55" t="s">
        <v>78</v>
      </c>
      <c r="N54" s="55" t="s">
        <v>69</v>
      </c>
      <c r="O54" s="55" t="s">
        <v>1142</v>
      </c>
      <c r="P54" s="55" t="s">
        <v>110</v>
      </c>
      <c r="Q54" s="67" t="str">
        <f>IFERROR(__xludf.DUMMYFUNCTION("""COMPUTED_VALUE"""),"Japan.giaotiep.M645_LHV.9822_CVS_SangBD_080426")</f>
        <v>Japan.giaotiep.M645_LHV.9822_CVS_SangBD_080426</v>
      </c>
      <c r="R54" s="67" t="str">
        <f>IFERROR(__xludf.DUMMYFUNCTION("""COMPUTED_VALUE"""),"NEW_Japan_1855_none_080426")</f>
        <v>NEW_Japan_1855_none_080426</v>
      </c>
      <c r="S54" s="67" t="str">
        <f>IFERROR(__xludf.DUMMYFUNCTION("""COMPUTED_VALUE"""),"saletructiep_Japan.M645.1850.giaotiep_THCNGDP_LD256")</f>
        <v>saletructiep_Japan.M645.1850.giaotiep_THCNGDP_LD256</v>
      </c>
      <c r="T54" s="107" t="str">
        <f>IFERROR(__xludf.DUMMYFUNCTION("""COMPUTED_VALUE"""),"https://patadovietnam.edu.vn/khoa-giao-tiep-tieng-anh-online-all/?utm_source=Facebook&amp;utm_medium=CVS&amp;utm_term=NEW_Japan_1855_none_080426&amp;utm_content=saletructiep_Japan.M645.1850.giaotiep_THCNGDP_LD256&amp;utm_campaign=Japan.giaotiep.M645_LHV.9822_CVS_SangBD_0"&amp;"80426")</f>
        <v>https://patadovietnam.edu.vn/khoa-giao-tiep-tieng-anh-online-all/?utm_source=Facebook&amp;utm_medium=CVS&amp;utm_term=NEW_Japan_1855_none_080426&amp;utm_content=saletructiep_Japan.M645.1850.giaotiep_THCNGDP_LD256&amp;utm_campaign=Japan.giaotiep.M645_LHV.9822_CVS_SangBD_080426</v>
      </c>
      <c r="U54" s="111" t="s">
        <v>1544</v>
      </c>
    </row>
    <row r="55">
      <c r="A55" s="72">
        <v>46121.0</v>
      </c>
      <c r="B55" s="60" t="s">
        <v>1290</v>
      </c>
      <c r="C55" s="67" t="str">
        <f>IFERROR(__xludf.DUMMYFUNCTION("""COMPUTED_VALUE"""),"LD256")</f>
        <v>LD256</v>
      </c>
      <c r="D55" s="55" t="s">
        <v>42</v>
      </c>
      <c r="E55" s="55" t="s">
        <v>79</v>
      </c>
      <c r="F55" s="55" t="s">
        <v>539</v>
      </c>
      <c r="G55" s="55">
        <v>1855.0</v>
      </c>
      <c r="H55" s="55" t="s">
        <v>1485</v>
      </c>
      <c r="I55" s="55" t="s">
        <v>1486</v>
      </c>
      <c r="J55" s="55" t="s">
        <v>1487</v>
      </c>
      <c r="K55" s="55" t="s">
        <v>61</v>
      </c>
      <c r="L55" s="55" t="s">
        <v>1264</v>
      </c>
      <c r="M55" s="55" t="s">
        <v>78</v>
      </c>
      <c r="N55" s="55" t="s">
        <v>79</v>
      </c>
      <c r="O55" s="55" t="s">
        <v>1142</v>
      </c>
      <c r="P55" s="55" t="s">
        <v>110</v>
      </c>
      <c r="Q55" s="67" t="str">
        <f>IFERROR(__xludf.DUMMYFUNCTION("""COMPUTED_VALUE"""),"ALL.giaotiep.M264_LHV.9822_MES_SangBD_090426")</f>
        <v>ALL.giaotiep.M264_LHV.9822_MES_SangBD_090426</v>
      </c>
      <c r="R55" s="67" t="str">
        <f>IFERROR(__xludf.DUMMYFUNCTION("""COMPUTED_VALUE"""),"NEW_ALL_1855_none_090426")</f>
        <v>NEW_ALL_1855_none_090426</v>
      </c>
      <c r="S55" s="67" t="str">
        <f>IFERROR(__xludf.DUMMYFUNCTION("""COMPUTED_VALUE"""),"saletructiep_ALL.giaotiep.M264.1855.giaotiep_THCNGDP_LD256")</f>
        <v>saletructiep_ALL.giaotiep.M264.1855.giaotiep_THCNGDP_LD256</v>
      </c>
      <c r="T55" s="107" t="str">
        <f>IFERROR(__xludf.DUMMYFUNCTION("""COMPUTED_VALUE"""),"https://patadovietnam.edu.vn/khoa-giao-tiep-tieng-anh-online-all/?utm_source=Facebook&amp;utm_medium=MES&amp;utm_term=NEW_ALL_1855_none_090426&amp;utm_content=saletructiep_ALL.giaotiep.M264.1855.giaotiep_THCNGDP_LD256&amp;utm_campaign=ALL.giaotiep.M264_LHV.9822_MES_SangB"&amp;"D_090426")</f>
        <v>https://patadovietnam.edu.vn/khoa-giao-tiep-tieng-anh-online-all/?utm_source=Facebook&amp;utm_medium=MES&amp;utm_term=NEW_ALL_1855_none_090426&amp;utm_content=saletructiep_ALL.giaotiep.M264.1855.giaotiep_THCNGDP_LD256&amp;utm_campaign=ALL.giaotiep.M264_LHV.9822_MES_SangBD_090426</v>
      </c>
      <c r="U55" s="111" t="s">
        <v>1548</v>
      </c>
    </row>
    <row r="56">
      <c r="A56" s="72">
        <v>46121.0</v>
      </c>
      <c r="B56" s="60" t="s">
        <v>1553</v>
      </c>
      <c r="C56" s="67" t="str">
        <f>IFERROR(__xludf.DUMMYFUNCTION("""COMPUTED_VALUE"""),"LD263")</f>
        <v>LD263</v>
      </c>
      <c r="D56" s="55" t="s">
        <v>42</v>
      </c>
      <c r="E56" s="55" t="s">
        <v>69</v>
      </c>
      <c r="F56" s="55" t="s">
        <v>107</v>
      </c>
      <c r="G56" s="55">
        <v>1855.0</v>
      </c>
      <c r="H56" s="55" t="s">
        <v>1485</v>
      </c>
      <c r="I56" s="55" t="s">
        <v>1422</v>
      </c>
      <c r="J56" s="55" t="s">
        <v>1504</v>
      </c>
      <c r="K56" s="55" t="s">
        <v>61</v>
      </c>
      <c r="L56" s="55" t="s">
        <v>1264</v>
      </c>
      <c r="M56" s="55" t="s">
        <v>78</v>
      </c>
      <c r="N56" s="55" t="s">
        <v>69</v>
      </c>
      <c r="O56" s="55" t="s">
        <v>1142</v>
      </c>
      <c r="P56" s="55" t="s">
        <v>110</v>
      </c>
      <c r="Q56" s="67" t="str">
        <f>IFERROR(__xludf.DUMMYFUNCTION("""COMPUTED_VALUE"""),"UnitedStates.giaotiep.M617_LHV.9822_CVS_SangBD_090426")</f>
        <v>UnitedStates.giaotiep.M617_LHV.9822_CVS_SangBD_090426</v>
      </c>
      <c r="R56" s="67" t="str">
        <f>IFERROR(__xludf.DUMMYFUNCTION("""COMPUTED_VALUE"""),"NEW_UnitedStates_1855_none_090426")</f>
        <v>NEW_UnitedStates_1855_none_090426</v>
      </c>
      <c r="S56" s="67" t="str">
        <f>IFERROR(__xludf.DUMMYFUNCTION("""COMPUTED_VALUE"""),"saletructiep_UnitedStates.M617.1855.giaotiep_THCNGDP_LD263")</f>
        <v>saletructiep_UnitedStates.M617.1855.giaotiep_THCNGDP_LD263</v>
      </c>
      <c r="T56" s="107" t="str">
        <f>IFERROR(__xludf.DUMMYFUNCTION("""COMPUTED_VALUE"""),"https://patado.edu.vn/khoa-giao-tiep-tieng-anh-online-all/?utm_source=Facebook&amp;utm_medium=CVS&amp;utm_term=NEW_UnitedStates_1855_none_090426&amp;utm_content=saletructiep_UnitedStates.M617.1855.giaotiep_THCNGDP_LD263&amp;utm_campaign=UnitedStates.giaotiep.M617_LHV.982"&amp;"2_CVS_SangBD_090426")</f>
        <v>https://patado.edu.vn/khoa-giao-tiep-tieng-anh-online-all/?utm_source=Facebook&amp;utm_medium=CVS&amp;utm_term=NEW_UnitedStates_1855_none_090426&amp;utm_content=saletructiep_UnitedStates.M617.1855.giaotiep_THCNGDP_LD263&amp;utm_campaign=UnitedStates.giaotiep.M617_LHV.9822_CVS_SangBD_090426</v>
      </c>
      <c r="U56" s="111" t="s">
        <v>1557</v>
      </c>
    </row>
    <row r="57">
      <c r="A57" s="72">
        <v>46121.0</v>
      </c>
      <c r="B57" s="60" t="s">
        <v>1290</v>
      </c>
      <c r="C57" s="67" t="str">
        <f>IFERROR(__xludf.DUMMYFUNCTION("""COMPUTED_VALUE"""),"LD256")</f>
        <v>LD256</v>
      </c>
      <c r="D57" s="55" t="s">
        <v>42</v>
      </c>
      <c r="E57" s="55" t="s">
        <v>79</v>
      </c>
      <c r="F57" s="55" t="s">
        <v>133</v>
      </c>
      <c r="G57" s="55">
        <v>1855.0</v>
      </c>
      <c r="H57" s="55" t="s">
        <v>1485</v>
      </c>
      <c r="I57" s="55" t="s">
        <v>1511</v>
      </c>
      <c r="J57" s="55" t="s">
        <v>1512</v>
      </c>
      <c r="K57" s="55" t="s">
        <v>61</v>
      </c>
      <c r="L57" s="55" t="s">
        <v>1264</v>
      </c>
      <c r="M57" s="55" t="s">
        <v>78</v>
      </c>
      <c r="N57" s="55" t="s">
        <v>79</v>
      </c>
      <c r="O57" s="55" t="s">
        <v>1142</v>
      </c>
      <c r="P57" s="55" t="s">
        <v>110</v>
      </c>
      <c r="Q57" s="67" t="str">
        <f>IFERROR(__xludf.DUMMYFUNCTION("""COMPUTED_VALUE"""),"Japan.giaotiep.M645_LHV.9822_MES_SangBD_090426")</f>
        <v>Japan.giaotiep.M645_LHV.9822_MES_SangBD_090426</v>
      </c>
      <c r="R57" s="67" t="str">
        <f>IFERROR(__xludf.DUMMYFUNCTION("""COMPUTED_VALUE"""),"NEW_Japan_1855_none_090426")</f>
        <v>NEW_Japan_1855_none_090426</v>
      </c>
      <c r="S57" s="67" t="str">
        <f>IFERROR(__xludf.DUMMYFUNCTION("""COMPUTED_VALUE"""),"saletructiep_Japan.M645.1850.giaotiep_THCNGDP_LD256")</f>
        <v>saletructiep_Japan.M645.1850.giaotiep_THCNGDP_LD256</v>
      </c>
      <c r="T57" s="107" t="str">
        <f>IFERROR(__xludf.DUMMYFUNCTION("""COMPUTED_VALUE"""),"https://patadovietnam.edu.vn/khoa-giao-tiep-tieng-anh-online-all/?utm_source=Facebook&amp;utm_medium=MES&amp;utm_term=NEW_Japan_1855_none_090426&amp;utm_content=saletructiep_Japan.M645.1850.giaotiep_THCNGDP_LD256&amp;utm_campaign=Japan.giaotiep.M645_LHV.9822_MES_SangBD_0"&amp;"90426")</f>
        <v>https://patadovietnam.edu.vn/khoa-giao-tiep-tieng-anh-online-all/?utm_source=Facebook&amp;utm_medium=MES&amp;utm_term=NEW_Japan_1855_none_090426&amp;utm_content=saletructiep_Japan.M645.1850.giaotiep_THCNGDP_LD256&amp;utm_campaign=Japan.giaotiep.M645_LHV.9822_MES_SangBD_090426</v>
      </c>
      <c r="U57" s="111" t="s">
        <v>1562</v>
      </c>
    </row>
    <row r="58">
      <c r="A58" s="72">
        <v>46121.0</v>
      </c>
      <c r="B58" s="60" t="s">
        <v>1564</v>
      </c>
      <c r="C58" s="67" t="str">
        <f>IFERROR(__xludf.DUMMYFUNCTION("""COMPUTED_VALUE"""),"LD264")</f>
        <v>LD264</v>
      </c>
      <c r="D58" s="55" t="s">
        <v>42</v>
      </c>
      <c r="E58" s="55" t="s">
        <v>69</v>
      </c>
      <c r="F58" s="55" t="s">
        <v>133</v>
      </c>
      <c r="G58" s="55">
        <v>1855.0</v>
      </c>
      <c r="H58" s="55" t="s">
        <v>1485</v>
      </c>
      <c r="I58" s="55" t="s">
        <v>1511</v>
      </c>
      <c r="J58" s="55" t="s">
        <v>1565</v>
      </c>
      <c r="K58" s="55" t="s">
        <v>61</v>
      </c>
      <c r="L58" s="55" t="s">
        <v>1264</v>
      </c>
      <c r="M58" s="55" t="s">
        <v>78</v>
      </c>
      <c r="N58" s="55" t="s">
        <v>69</v>
      </c>
      <c r="O58" s="55" t="s">
        <v>1142</v>
      </c>
      <c r="P58" s="55" t="s">
        <v>110</v>
      </c>
      <c r="Q58" s="67" t="str">
        <f>IFERROR(__xludf.DUMMYFUNCTION("""COMPUTED_VALUE"""),"Japan.giaotiep.M645_LHV.9822_CVS_SangBD_090426")</f>
        <v>Japan.giaotiep.M645_LHV.9822_CVS_SangBD_090426</v>
      </c>
      <c r="R58" s="67" t="str">
        <f>IFERROR(__xludf.DUMMYFUNCTION("""COMPUTED_VALUE"""),"NEW_Japan_1855_none_090426")</f>
        <v>NEW_Japan_1855_none_090426</v>
      </c>
      <c r="S58" s="67" t="str">
        <f>IFERROR(__xludf.DUMMYFUNCTION("""COMPUTED_VALUE"""),"saletructiep_Japan.M645.1855.giaotiep_THCNGDP_LD264")</f>
        <v>saletructiep_Japan.M645.1855.giaotiep_THCNGDP_LD264</v>
      </c>
      <c r="T58" s="107" t="str">
        <f>IFERROR(__xludf.DUMMYFUNCTION("""COMPUTED_VALUE"""),"https://patado.edu.vn/khoa-tieng-anh-giao-tiep-o-nhat-ban/?utm_source=Facebook&amp;utm_medium=CVS&amp;utm_term=NEW_Japan_1855_none_090426&amp;utm_content=saletructiep_Japan.M645.1855.giaotiep_THCNGDP_LD264&amp;utm_campaign=Japan.giaotiep.M645_LHV.9822_CVS_SangBD_090426")</f>
        <v>https://patado.edu.vn/khoa-tieng-anh-giao-tiep-o-nhat-ban/?utm_source=Facebook&amp;utm_medium=CVS&amp;utm_term=NEW_Japan_1855_none_090426&amp;utm_content=saletructiep_Japan.M645.1855.giaotiep_THCNGDP_LD264&amp;utm_campaign=Japan.giaotiep.M645_LHV.9822_CVS_SangBD_090426</v>
      </c>
      <c r="U58" s="110" t="s">
        <v>1568</v>
      </c>
    </row>
    <row r="59">
      <c r="A59" s="72">
        <v>46121.0</v>
      </c>
      <c r="B59" s="60" t="s">
        <v>1553</v>
      </c>
      <c r="C59" s="67" t="str">
        <f>IFERROR(__xludf.DUMMYFUNCTION("""COMPUTED_VALUE"""),"LD263")</f>
        <v>LD263</v>
      </c>
      <c r="D59" s="55" t="s">
        <v>42</v>
      </c>
      <c r="E59" s="55" t="s">
        <v>69</v>
      </c>
      <c r="F59" s="55" t="s">
        <v>674</v>
      </c>
      <c r="G59" s="55">
        <v>1855.0</v>
      </c>
      <c r="H59" s="55" t="s">
        <v>1485</v>
      </c>
      <c r="I59" s="55" t="s">
        <v>1531</v>
      </c>
      <c r="J59" s="55" t="s">
        <v>1532</v>
      </c>
      <c r="K59" s="55" t="s">
        <v>61</v>
      </c>
      <c r="L59" s="55" t="s">
        <v>1264</v>
      </c>
      <c r="M59" s="55" t="s">
        <v>78</v>
      </c>
      <c r="N59" s="55" t="s">
        <v>69</v>
      </c>
      <c r="O59" s="55" t="s">
        <v>1142</v>
      </c>
      <c r="P59" s="55" t="s">
        <v>110</v>
      </c>
      <c r="Q59" s="67" t="str">
        <f>IFERROR(__xludf.DUMMYFUNCTION("""COMPUTED_VALUE"""),"Europe.giaotiep.M479_LHV.9822_CVS_SangBD_090426")</f>
        <v>Europe.giaotiep.M479_LHV.9822_CVS_SangBD_090426</v>
      </c>
      <c r="R59" s="67" t="str">
        <f>IFERROR(__xludf.DUMMYFUNCTION("""COMPUTED_VALUE"""),"NEW_Europe_1855_none_090426")</f>
        <v>NEW_Europe_1855_none_090426</v>
      </c>
      <c r="S59" s="67" t="str">
        <f>IFERROR(__xludf.DUMMYFUNCTION("""COMPUTED_VALUE"""),"saletructiep_Europe.M479.1855.giaotiep_THCNGDP_LD263")</f>
        <v>saletructiep_Europe.M479.1855.giaotiep_THCNGDP_LD263</v>
      </c>
      <c r="T59" s="107" t="str">
        <f>IFERROR(__xludf.DUMMYFUNCTION("""COMPUTED_VALUE"""),"https://patado.edu.vn/khoa-giao-tiep-tieng-anh-online-all/?utm_source=Facebook&amp;utm_medium=CVS&amp;utm_term=NEW_Europe_1855_none_090426&amp;utm_content=saletructiep_Europe.M479.1855.giaotiep_THCNGDP_LD263&amp;utm_campaign=Europe.giaotiep.M479_LHV.9822_CVS_SangBD_09042"&amp;"6")</f>
        <v>https://patado.edu.vn/khoa-giao-tiep-tieng-anh-online-all/?utm_source=Facebook&amp;utm_medium=CVS&amp;utm_term=NEW_Europe_1855_none_090426&amp;utm_content=saletructiep_Europe.M479.1855.giaotiep_THCNGDP_LD263&amp;utm_campaign=Europe.giaotiep.M479_LHV.9822_CVS_SangBD_090426</v>
      </c>
      <c r="U59" s="111" t="s">
        <v>1576</v>
      </c>
    </row>
    <row r="60">
      <c r="A60" s="72">
        <v>46122.0</v>
      </c>
      <c r="B60" s="60" t="s">
        <v>1553</v>
      </c>
      <c r="C60" s="67" t="str">
        <f>IFERROR(__xludf.DUMMYFUNCTION("""COMPUTED_VALUE"""),"LD263")</f>
        <v>LD263</v>
      </c>
      <c r="D60" s="55" t="s">
        <v>42</v>
      </c>
      <c r="E60" s="55" t="s">
        <v>79</v>
      </c>
      <c r="F60" s="55" t="s">
        <v>107</v>
      </c>
      <c r="G60" s="55">
        <v>1855.0</v>
      </c>
      <c r="H60" s="55" t="s">
        <v>1485</v>
      </c>
      <c r="I60" s="55" t="s">
        <v>1422</v>
      </c>
      <c r="J60" s="55" t="s">
        <v>1504</v>
      </c>
      <c r="K60" s="55" t="s">
        <v>61</v>
      </c>
      <c r="L60" s="55" t="s">
        <v>1264</v>
      </c>
      <c r="M60" s="55" t="s">
        <v>78</v>
      </c>
      <c r="N60" s="55" t="s">
        <v>79</v>
      </c>
      <c r="O60" s="55" t="s">
        <v>1142</v>
      </c>
      <c r="P60" s="55" t="s">
        <v>110</v>
      </c>
      <c r="Q60" s="67" t="str">
        <f>IFERROR(__xludf.DUMMYFUNCTION("""COMPUTED_VALUE"""),"UnitedStates.giaotiep.M617_LHV.9822_MES_SangBD_100426")</f>
        <v>UnitedStates.giaotiep.M617_LHV.9822_MES_SangBD_100426</v>
      </c>
      <c r="R60" s="67" t="str">
        <f>IFERROR(__xludf.DUMMYFUNCTION("""COMPUTED_VALUE"""),"NEW_UnitedStates_1855_none_100426")</f>
        <v>NEW_UnitedStates_1855_none_100426</v>
      </c>
      <c r="S60" s="67" t="str">
        <f>IFERROR(__xludf.DUMMYFUNCTION("""COMPUTED_VALUE"""),"saletructiep_UnitedStates.M617.1855.giaotiep_THCNGDP_LD263")</f>
        <v>saletructiep_UnitedStates.M617.1855.giaotiep_THCNGDP_LD263</v>
      </c>
      <c r="T60" s="107" t="str">
        <f>IFERROR(__xludf.DUMMYFUNCTION("""COMPUTED_VALUE"""),"https://patado.edu.vn/khoa-giao-tiep-tieng-anh-online-all/?utm_source=Facebook&amp;utm_medium=MES&amp;utm_term=NEW_UnitedStates_1855_none_100426&amp;utm_content=saletructiep_UnitedStates.M617.1855.giaotiep_THCNGDP_LD263&amp;utm_campaign=UnitedStates.giaotiep.M617_LHV.982"&amp;"2_MES_SangBD_100426")</f>
        <v>https://patado.edu.vn/khoa-giao-tiep-tieng-anh-online-all/?utm_source=Facebook&amp;utm_medium=MES&amp;utm_term=NEW_UnitedStates_1855_none_100426&amp;utm_content=saletructiep_UnitedStates.M617.1855.giaotiep_THCNGDP_LD263&amp;utm_campaign=UnitedStates.giaotiep.M617_LHV.9822_MES_SangBD_100426</v>
      </c>
      <c r="U60" s="116"/>
    </row>
    <row r="61">
      <c r="A61" s="72">
        <v>46122.0</v>
      </c>
      <c r="B61" s="60" t="s">
        <v>1553</v>
      </c>
      <c r="C61" s="67" t="str">
        <f>IFERROR(__xludf.DUMMYFUNCTION("""COMPUTED_VALUE"""),"LD263")</f>
        <v>LD263</v>
      </c>
      <c r="D61" s="55" t="s">
        <v>42</v>
      </c>
      <c r="E61" s="55" t="s">
        <v>79</v>
      </c>
      <c r="F61" s="55" t="s">
        <v>129</v>
      </c>
      <c r="G61" s="55">
        <v>1855.0</v>
      </c>
      <c r="H61" s="55" t="s">
        <v>1485</v>
      </c>
      <c r="I61" s="55" t="s">
        <v>1584</v>
      </c>
      <c r="J61" s="55" t="s">
        <v>1587</v>
      </c>
      <c r="K61" s="55" t="s">
        <v>61</v>
      </c>
      <c r="L61" s="55" t="s">
        <v>1264</v>
      </c>
      <c r="M61" s="55" t="s">
        <v>78</v>
      </c>
      <c r="N61" s="55" t="s">
        <v>79</v>
      </c>
      <c r="O61" s="55" t="s">
        <v>1142</v>
      </c>
      <c r="P61" s="55" t="s">
        <v>110</v>
      </c>
      <c r="Q61" s="67" t="str">
        <f>IFERROR(__xludf.DUMMYFUNCTION("""COMPUTED_VALUE"""),"Australia.giaotiep.M645_LHV.9822_MES_SangBD_100426")</f>
        <v>Australia.giaotiep.M645_LHV.9822_MES_SangBD_100426</v>
      </c>
      <c r="R61" s="67" t="str">
        <f>IFERROR(__xludf.DUMMYFUNCTION("""COMPUTED_VALUE"""),"NEW_Australia_1855_none_100426")</f>
        <v>NEW_Australia_1855_none_100426</v>
      </c>
      <c r="S61" s="67" t="str">
        <f>IFERROR(__xludf.DUMMYFUNCTION("""COMPUTED_VALUE"""),"saletructiep_Australia.M645.1855.giaotiep_THCNGDP_LD263")</f>
        <v>saletructiep_Australia.M645.1855.giaotiep_THCNGDP_LD263</v>
      </c>
      <c r="T61" s="107" t="str">
        <f>IFERROR(__xludf.DUMMYFUNCTION("""COMPUTED_VALUE"""),"https://patado.edu.vn/khoa-giao-tiep-tieng-anh-online-all/?utm_source=Facebook&amp;utm_medium=MES&amp;utm_term=NEW_Australia_1855_none_100426&amp;utm_content=saletructiep_Australia.M645.1855.giaotiep_THCNGDP_LD263&amp;utm_campaign=Australia.giaotiep.M645_LHV.9822_MES_San"&amp;"gBD_100426")</f>
        <v>https://patado.edu.vn/khoa-giao-tiep-tieng-anh-online-all/?utm_source=Facebook&amp;utm_medium=MES&amp;utm_term=NEW_Australia_1855_none_100426&amp;utm_content=saletructiep_Australia.M645.1855.giaotiep_THCNGDP_LD263&amp;utm_campaign=Australia.giaotiep.M645_LHV.9822_MES_SangBD_100426</v>
      </c>
      <c r="U61" s="116"/>
    </row>
    <row r="62">
      <c r="A62" s="72">
        <v>46122.0</v>
      </c>
      <c r="B62" s="60" t="s">
        <v>1553</v>
      </c>
      <c r="C62" s="67" t="str">
        <f>IFERROR(__xludf.DUMMYFUNCTION("""COMPUTED_VALUE"""),"LD263")</f>
        <v>LD263</v>
      </c>
      <c r="D62" s="55" t="s">
        <v>42</v>
      </c>
      <c r="E62" s="55" t="s">
        <v>79</v>
      </c>
      <c r="F62" s="55" t="s">
        <v>625</v>
      </c>
      <c r="G62" s="55">
        <v>1855.0</v>
      </c>
      <c r="H62" s="55" t="s">
        <v>1485</v>
      </c>
      <c r="I62" s="55" t="s">
        <v>1590</v>
      </c>
      <c r="J62" s="55" t="s">
        <v>1591</v>
      </c>
      <c r="K62" s="55" t="s">
        <v>61</v>
      </c>
      <c r="L62" s="55" t="s">
        <v>1264</v>
      </c>
      <c r="M62" s="55" t="s">
        <v>78</v>
      </c>
      <c r="N62" s="55" t="s">
        <v>79</v>
      </c>
      <c r="O62" s="55" t="s">
        <v>1142</v>
      </c>
      <c r="P62" s="55" t="s">
        <v>110</v>
      </c>
      <c r="Q62" s="67" t="str">
        <f>IFERROR(__xludf.DUMMYFUNCTION("""COMPUTED_VALUE"""),"KoreaSouth.giaotiep.M645_LHV.9822_MES_SangBD_100426")</f>
        <v>KoreaSouth.giaotiep.M645_LHV.9822_MES_SangBD_100426</v>
      </c>
      <c r="R62" s="67" t="str">
        <f>IFERROR(__xludf.DUMMYFUNCTION("""COMPUTED_VALUE"""),"NEW_KoreaSouth_1855_none_100426")</f>
        <v>NEW_KoreaSouth_1855_none_100426</v>
      </c>
      <c r="S62" s="67" t="str">
        <f>IFERROR(__xludf.DUMMYFUNCTION("""COMPUTED_VALUE"""),"saletructiep_KoreaSouth.M645.1855.giaotiep_THCNGDP_LD263")</f>
        <v>saletructiep_KoreaSouth.M645.1855.giaotiep_THCNGDP_LD263</v>
      </c>
      <c r="T62" s="107" t="str">
        <f>IFERROR(__xludf.DUMMYFUNCTION("""COMPUTED_VALUE"""),"https://patado.edu.vn/khoa-giao-tiep-tieng-anh-online-all/?utm_source=Facebook&amp;utm_medium=MES&amp;utm_term=NEW_KoreaSouth_1855_none_100426&amp;utm_content=saletructiep_KoreaSouth.M645.1855.giaotiep_THCNGDP_LD263&amp;utm_campaign=KoreaSouth.giaotiep.M645_LHV.9822_MES_"&amp;"SangBD_100426")</f>
        <v>https://patado.edu.vn/khoa-giao-tiep-tieng-anh-online-all/?utm_source=Facebook&amp;utm_medium=MES&amp;utm_term=NEW_KoreaSouth_1855_none_100426&amp;utm_content=saletructiep_KoreaSouth.M645.1855.giaotiep_THCNGDP_LD263&amp;utm_campaign=KoreaSouth.giaotiep.M645_LHV.9822_MES_SangBD_100426</v>
      </c>
      <c r="U62" s="116"/>
    </row>
    <row r="63">
      <c r="A63" s="72">
        <v>46122.0</v>
      </c>
      <c r="B63" s="60" t="s">
        <v>1553</v>
      </c>
      <c r="C63" s="67" t="str">
        <f>IFERROR(__xludf.DUMMYFUNCTION("""COMPUTED_VALUE"""),"LD263")</f>
        <v>LD263</v>
      </c>
      <c r="D63" s="55" t="s">
        <v>42</v>
      </c>
      <c r="E63" s="55" t="s">
        <v>79</v>
      </c>
      <c r="F63" s="55" t="s">
        <v>539</v>
      </c>
      <c r="G63" s="55">
        <v>1855.0</v>
      </c>
      <c r="H63" s="55" t="s">
        <v>1485</v>
      </c>
      <c r="I63" s="55" t="s">
        <v>1491</v>
      </c>
      <c r="J63" s="55" t="s">
        <v>1492</v>
      </c>
      <c r="K63" s="55" t="s">
        <v>61</v>
      </c>
      <c r="L63" s="55" t="s">
        <v>1264</v>
      </c>
      <c r="M63" s="55" t="s">
        <v>78</v>
      </c>
      <c r="N63" s="55" t="s">
        <v>79</v>
      </c>
      <c r="O63" s="55" t="s">
        <v>1142</v>
      </c>
      <c r="P63" s="55" t="s">
        <v>110</v>
      </c>
      <c r="Q63" s="67" t="str">
        <f>IFERROR(__xludf.DUMMYFUNCTION("""COMPUTED_VALUE"""),"ALL.giaotiep.M616_LHV.9822_MES_SangBD_100426")</f>
        <v>ALL.giaotiep.M616_LHV.9822_MES_SangBD_100426</v>
      </c>
      <c r="R63" s="67" t="str">
        <f>IFERROR(__xludf.DUMMYFUNCTION("""COMPUTED_VALUE"""),"NEW_ALL_1855_none_100426")</f>
        <v>NEW_ALL_1855_none_100426</v>
      </c>
      <c r="S63" s="67" t="str">
        <f>IFERROR(__xludf.DUMMYFUNCTION("""COMPUTED_VALUE"""),"saletructiep_ALL.giaotiep.M616.1855.giaotiep_THCNGDP_LD263")</f>
        <v>saletructiep_ALL.giaotiep.M616.1855.giaotiep_THCNGDP_LD263</v>
      </c>
      <c r="T63" s="107" t="str">
        <f>IFERROR(__xludf.DUMMYFUNCTION("""COMPUTED_VALUE"""),"https://patado.edu.vn/khoa-giao-tiep-tieng-anh-online-all/?utm_source=Facebook&amp;utm_medium=MES&amp;utm_term=NEW_ALL_1855_none_100426&amp;utm_content=saletructiep_ALL.giaotiep.M616.1855.giaotiep_THCNGDP_LD263&amp;utm_campaign=ALL.giaotiep.M616_LHV.9822_MES_SangBD_10042"&amp;"6")</f>
        <v>https://patado.edu.vn/khoa-giao-tiep-tieng-anh-online-all/?utm_source=Facebook&amp;utm_medium=MES&amp;utm_term=NEW_ALL_1855_none_100426&amp;utm_content=saletructiep_ALL.giaotiep.M616.1855.giaotiep_THCNGDP_LD263&amp;utm_campaign=ALL.giaotiep.M616_LHV.9822_MES_SangBD_100426</v>
      </c>
      <c r="U63" s="111" t="s">
        <v>1599</v>
      </c>
    </row>
    <row r="64">
      <c r="A64" s="72">
        <v>46122.0</v>
      </c>
      <c r="B64" s="60" t="s">
        <v>1564</v>
      </c>
      <c r="C64" s="67" t="str">
        <f>IFERROR(__xludf.DUMMYFUNCTION("""COMPUTED_VALUE"""),"LD264")</f>
        <v>LD264</v>
      </c>
      <c r="D64" s="55" t="s">
        <v>42</v>
      </c>
      <c r="E64" s="55" t="s">
        <v>79</v>
      </c>
      <c r="F64" s="55" t="s">
        <v>133</v>
      </c>
      <c r="G64" s="55">
        <v>1855.0</v>
      </c>
      <c r="H64" s="55" t="s">
        <v>1485</v>
      </c>
      <c r="I64" s="55" t="s">
        <v>1603</v>
      </c>
      <c r="J64" s="55" t="s">
        <v>1604</v>
      </c>
      <c r="K64" s="55" t="s">
        <v>61</v>
      </c>
      <c r="L64" s="55" t="s">
        <v>1264</v>
      </c>
      <c r="M64" s="55" t="s">
        <v>78</v>
      </c>
      <c r="N64" s="55" t="s">
        <v>79</v>
      </c>
      <c r="O64" s="55" t="s">
        <v>1142</v>
      </c>
      <c r="P64" s="55" t="s">
        <v>110</v>
      </c>
      <c r="Q64" s="67" t="str">
        <f>IFERROR(__xludf.DUMMYFUNCTION("""COMPUTED_VALUE"""),"Japan.giaotiep.M500_LHV.9822_MES_SangBD_100426")</f>
        <v>Japan.giaotiep.M500_LHV.9822_MES_SangBD_100426</v>
      </c>
      <c r="R64" s="67" t="str">
        <f>IFERROR(__xludf.DUMMYFUNCTION("""COMPUTED_VALUE"""),"NEW_Japan_1855_none_100426")</f>
        <v>NEW_Japan_1855_none_100426</v>
      </c>
      <c r="S64" s="67" t="str">
        <f>IFERROR(__xludf.DUMMYFUNCTION("""COMPUTED_VALUE"""),"saletructiep_Japan.M500.1855.giaotiep_THCNGDP_LD264")</f>
        <v>saletructiep_Japan.M500.1855.giaotiep_THCNGDP_LD264</v>
      </c>
      <c r="T64" s="107" t="str">
        <f>IFERROR(__xludf.DUMMYFUNCTION("""COMPUTED_VALUE"""),"https://patado.edu.vn/khoa-tieng-anh-giao-tiep-o-nhat-ban/?utm_source=Facebook&amp;utm_medium=MES&amp;utm_term=NEW_Japan_1855_none_100426&amp;utm_content=saletructiep_Japan.M500.1855.giaotiep_THCNGDP_LD264&amp;utm_campaign=Japan.giaotiep.M500_LHV.9822_MES_SangBD_100426")</f>
        <v>https://patado.edu.vn/khoa-tieng-anh-giao-tiep-o-nhat-ban/?utm_source=Facebook&amp;utm_medium=MES&amp;utm_term=NEW_Japan_1855_none_100426&amp;utm_content=saletructiep_Japan.M500.1855.giaotiep_THCNGDP_LD264&amp;utm_campaign=Japan.giaotiep.M500_LHV.9822_MES_SangBD_100426</v>
      </c>
      <c r="U64" s="111" t="s">
        <v>1605</v>
      </c>
    </row>
    <row r="65">
      <c r="A65" s="72">
        <v>46122.0</v>
      </c>
      <c r="B65" s="60" t="s">
        <v>1553</v>
      </c>
      <c r="C65" s="67" t="str">
        <f>IFERROR(__xludf.DUMMYFUNCTION("""COMPUTED_VALUE"""),"LD263")</f>
        <v>LD263</v>
      </c>
      <c r="D65" s="55" t="s">
        <v>42</v>
      </c>
      <c r="E65" s="55" t="s">
        <v>79</v>
      </c>
      <c r="F65" s="55" t="s">
        <v>674</v>
      </c>
      <c r="G65" s="55">
        <v>1855.0</v>
      </c>
      <c r="H65" s="55" t="s">
        <v>1485</v>
      </c>
      <c r="I65" s="55" t="s">
        <v>1608</v>
      </c>
      <c r="J65" s="55" t="s">
        <v>1609</v>
      </c>
      <c r="K65" s="55" t="s">
        <v>61</v>
      </c>
      <c r="L65" s="55" t="s">
        <v>1264</v>
      </c>
      <c r="M65" s="55" t="s">
        <v>78</v>
      </c>
      <c r="N65" s="55" t="s">
        <v>79</v>
      </c>
      <c r="O65" s="55" t="s">
        <v>1142</v>
      </c>
      <c r="P65" s="55" t="s">
        <v>110</v>
      </c>
      <c r="Q65" s="67" t="str">
        <f>IFERROR(__xludf.DUMMYFUNCTION("""COMPUTED_VALUE"""),"Europe.giaotiep.M626_LHV.9822_MES_SangBD_100426")</f>
        <v>Europe.giaotiep.M626_LHV.9822_MES_SangBD_100426</v>
      </c>
      <c r="R65" s="67" t="str">
        <f>IFERROR(__xludf.DUMMYFUNCTION("""COMPUTED_VALUE"""),"NEW_Europe_1855_none_100426")</f>
        <v>NEW_Europe_1855_none_100426</v>
      </c>
      <c r="S65" s="67" t="str">
        <f>IFERROR(__xludf.DUMMYFUNCTION("""COMPUTED_VALUE"""),"saletructiep_Europe.M626.1855.giaotiep_THCNGDP_LD263")</f>
        <v>saletructiep_Europe.M626.1855.giaotiep_THCNGDP_LD263</v>
      </c>
      <c r="T65" s="107" t="str">
        <f>IFERROR(__xludf.DUMMYFUNCTION("""COMPUTED_VALUE"""),"https://patado.edu.vn/khoa-giao-tiep-tieng-anh-online-all/?utm_source=Facebook&amp;utm_medium=MES&amp;utm_term=NEW_Europe_1855_none_100426&amp;utm_content=saletructiep_Europe.M626.1855.giaotiep_THCNGDP_LD263&amp;utm_campaign=Europe.giaotiep.M626_LHV.9822_MES_SangBD_10042"&amp;"6")</f>
        <v>https://patado.edu.vn/khoa-giao-tiep-tieng-anh-online-all/?utm_source=Facebook&amp;utm_medium=MES&amp;utm_term=NEW_Europe_1855_none_100426&amp;utm_content=saletructiep_Europe.M626.1855.giaotiep_THCNGDP_LD263&amp;utm_campaign=Europe.giaotiep.M626_LHV.9822_MES_SangBD_100426</v>
      </c>
      <c r="U65" s="111" t="s">
        <v>1612</v>
      </c>
    </row>
    <row r="66">
      <c r="A66" s="72">
        <v>46122.0</v>
      </c>
      <c r="B66" s="60" t="s">
        <v>1553</v>
      </c>
      <c r="C66" s="67" t="str">
        <f>IFERROR(__xludf.DUMMYFUNCTION("""COMPUTED_VALUE"""),"LD263")</f>
        <v>LD263</v>
      </c>
      <c r="D66" s="55" t="s">
        <v>42</v>
      </c>
      <c r="E66" s="55" t="s">
        <v>79</v>
      </c>
      <c r="F66" s="55" t="s">
        <v>539</v>
      </c>
      <c r="G66" s="55">
        <v>1855.0</v>
      </c>
      <c r="H66" s="55" t="s">
        <v>1485</v>
      </c>
      <c r="I66" s="55" t="s">
        <v>1613</v>
      </c>
      <c r="J66" s="55" t="s">
        <v>1614</v>
      </c>
      <c r="K66" s="55" t="s">
        <v>61</v>
      </c>
      <c r="L66" s="55" t="s">
        <v>1264</v>
      </c>
      <c r="M66" s="55" t="s">
        <v>78</v>
      </c>
      <c r="N66" s="55" t="s">
        <v>79</v>
      </c>
      <c r="O66" s="55" t="s">
        <v>1142</v>
      </c>
      <c r="P66" s="55" t="s">
        <v>110</v>
      </c>
      <c r="Q66" s="67" t="str">
        <f>IFERROR(__xludf.DUMMYFUNCTION("""COMPUTED_VALUE"""),"ALL.giaotiep.M624_LHV.9822_MES_SangBD_100426")</f>
        <v>ALL.giaotiep.M624_LHV.9822_MES_SangBD_100426</v>
      </c>
      <c r="R66" s="67" t="str">
        <f>IFERROR(__xludf.DUMMYFUNCTION("""COMPUTED_VALUE"""),"NEW_ALL_1855_none_100426")</f>
        <v>NEW_ALL_1855_none_100426</v>
      </c>
      <c r="S66" s="67" t="str">
        <f>IFERROR(__xludf.DUMMYFUNCTION("""COMPUTED_VALUE"""),"saletructiep_ALL.giaotiep.M624.1855.giaotiep_THCNGDP_LD263")</f>
        <v>saletructiep_ALL.giaotiep.M624.1855.giaotiep_THCNGDP_LD263</v>
      </c>
      <c r="T66" s="107" t="str">
        <f>IFERROR(__xludf.DUMMYFUNCTION("""COMPUTED_VALUE"""),"https://patado.edu.vn/khoa-giao-tiep-tieng-anh-online-all/?utm_source=Facebook&amp;utm_medium=MES&amp;utm_term=NEW_ALL_1855_none_100426&amp;utm_content=saletructiep_ALL.giaotiep.M624.1855.giaotiep_THCNGDP_LD263&amp;utm_campaign=ALL.giaotiep.M624_LHV.9822_MES_SangBD_10042"&amp;"6")</f>
        <v>https://patado.edu.vn/khoa-giao-tiep-tieng-anh-online-all/?utm_source=Facebook&amp;utm_medium=MES&amp;utm_term=NEW_ALL_1855_none_100426&amp;utm_content=saletructiep_ALL.giaotiep.M624.1855.giaotiep_THCNGDP_LD263&amp;utm_campaign=ALL.giaotiep.M624_LHV.9822_MES_SangBD_100426</v>
      </c>
      <c r="U66" s="111" t="s">
        <v>1616</v>
      </c>
    </row>
    <row r="67">
      <c r="A67" s="72">
        <v>46125.0</v>
      </c>
      <c r="B67" s="60" t="s">
        <v>1564</v>
      </c>
      <c r="C67" s="67" t="str">
        <f>IFERROR(__xludf.DUMMYFUNCTION("""COMPUTED_VALUE"""),"LD264")</f>
        <v>LD264</v>
      </c>
      <c r="D67" s="55" t="s">
        <v>42</v>
      </c>
      <c r="E67" s="55" t="s">
        <v>69</v>
      </c>
      <c r="F67" s="55" t="s">
        <v>133</v>
      </c>
      <c r="G67" s="55">
        <v>1855.0</v>
      </c>
      <c r="H67" s="55" t="s">
        <v>1485</v>
      </c>
      <c r="I67" s="55" t="s">
        <v>1511</v>
      </c>
      <c r="J67" s="55" t="s">
        <v>1565</v>
      </c>
      <c r="K67" s="55" t="s">
        <v>61</v>
      </c>
      <c r="L67" s="55" t="s">
        <v>1264</v>
      </c>
      <c r="M67" s="55" t="s">
        <v>78</v>
      </c>
      <c r="N67" s="55" t="s">
        <v>69</v>
      </c>
      <c r="O67" s="55" t="s">
        <v>1142</v>
      </c>
      <c r="P67" s="55" t="s">
        <v>110</v>
      </c>
      <c r="Q67" s="67" t="str">
        <f>IFERROR(__xludf.DUMMYFUNCTION("""COMPUTED_VALUE"""),"Japan.giaotiep.M645_LHV.9822_CVS_SangBD_130426")</f>
        <v>Japan.giaotiep.M645_LHV.9822_CVS_SangBD_130426</v>
      </c>
      <c r="R67" s="67" t="str">
        <f>IFERROR(__xludf.DUMMYFUNCTION("""COMPUTED_VALUE"""),"NEW_Japan_1855_none_130426")</f>
        <v>NEW_Japan_1855_none_130426</v>
      </c>
      <c r="S67" s="67" t="str">
        <f>IFERROR(__xludf.DUMMYFUNCTION("""COMPUTED_VALUE"""),"saletructiep_Japan.M645.1855.giaotiep_THCNGDP_LD264")</f>
        <v>saletructiep_Japan.M645.1855.giaotiep_THCNGDP_LD264</v>
      </c>
      <c r="T67" s="107" t="str">
        <f>IFERROR(__xludf.DUMMYFUNCTION("""COMPUTED_VALUE"""),"https://patado.edu.vn/khoa-tieng-anh-giao-tiep-o-nhat-ban/?utm_source=Facebook&amp;utm_medium=CVS&amp;utm_term=NEW_Japan_1855_none_130426&amp;utm_content=saletructiep_Japan.M645.1855.giaotiep_THCNGDP_LD264&amp;utm_campaign=Japan.giaotiep.M645_LHV.9822_CVS_SangBD_130426")</f>
        <v>https://patado.edu.vn/khoa-tieng-anh-giao-tiep-o-nhat-ban/?utm_source=Facebook&amp;utm_medium=CVS&amp;utm_term=NEW_Japan_1855_none_130426&amp;utm_content=saletructiep_Japan.M645.1855.giaotiep_THCNGDP_LD264&amp;utm_campaign=Japan.giaotiep.M645_LHV.9822_CVS_SangBD_130426</v>
      </c>
      <c r="U67" s="116"/>
    </row>
    <row r="68">
      <c r="A68" s="72">
        <v>46125.0</v>
      </c>
      <c r="B68" s="60" t="s">
        <v>1553</v>
      </c>
      <c r="C68" s="67" t="str">
        <f>IFERROR(__xludf.DUMMYFUNCTION("""COMPUTED_VALUE"""),"LD263")</f>
        <v>LD263</v>
      </c>
      <c r="D68" s="55" t="s">
        <v>42</v>
      </c>
      <c r="E68" s="55" t="s">
        <v>79</v>
      </c>
      <c r="F68" s="55" t="s">
        <v>107</v>
      </c>
      <c r="G68" s="55">
        <v>1855.0</v>
      </c>
      <c r="H68" s="55" t="s">
        <v>1485</v>
      </c>
      <c r="I68" s="55" t="s">
        <v>1621</v>
      </c>
      <c r="J68" s="55" t="s">
        <v>1622</v>
      </c>
      <c r="K68" s="55" t="s">
        <v>61</v>
      </c>
      <c r="L68" s="55" t="s">
        <v>1264</v>
      </c>
      <c r="M68" s="55" t="s">
        <v>78</v>
      </c>
      <c r="N68" s="55" t="s">
        <v>79</v>
      </c>
      <c r="O68" s="55" t="s">
        <v>1142</v>
      </c>
      <c r="P68" s="55" t="s">
        <v>110</v>
      </c>
      <c r="Q68" s="67" t="str">
        <f>IFERROR(__xludf.DUMMYFUNCTION("""COMPUTED_VALUE"""),"UnitedStates.giaotiep.M264_LHV.9822_MES_SangBD_130426")</f>
        <v>UnitedStates.giaotiep.M264_LHV.9822_MES_SangBD_130426</v>
      </c>
      <c r="R68" s="67" t="str">
        <f>IFERROR(__xludf.DUMMYFUNCTION("""COMPUTED_VALUE"""),"NEW_UnitedStates_1855_none_130426")</f>
        <v>NEW_UnitedStates_1855_none_130426</v>
      </c>
      <c r="S68" s="67" t="str">
        <f>IFERROR(__xludf.DUMMYFUNCTION("""COMPUTED_VALUE"""),"saletructiep_UnitedStates.M264.1855.giaotiep_THCNGDP_LD263")</f>
        <v>saletructiep_UnitedStates.M264.1855.giaotiep_THCNGDP_LD263</v>
      </c>
      <c r="T68" s="107" t="str">
        <f>IFERROR(__xludf.DUMMYFUNCTION("""COMPUTED_VALUE"""),"https://patado.edu.vn/khoa-giao-tiep-tieng-anh-online-all/?utm_source=Facebook&amp;utm_medium=MES&amp;utm_term=NEW_UnitedStates_1855_none_130426&amp;utm_content=saletructiep_UnitedStates.M264.1855.giaotiep_THCNGDP_LD263&amp;utm_campaign=UnitedStates.giaotiep.M264_LHV.982"&amp;"2_MES_SangBD_130426")</f>
        <v>https://patado.edu.vn/khoa-giao-tiep-tieng-anh-online-all/?utm_source=Facebook&amp;utm_medium=MES&amp;utm_term=NEW_UnitedStates_1855_none_130426&amp;utm_content=saletructiep_UnitedStates.M264.1855.giaotiep_THCNGDP_LD263&amp;utm_campaign=UnitedStates.giaotiep.M264_LHV.9822_MES_SangBD_130426</v>
      </c>
      <c r="U68" s="116"/>
    </row>
    <row r="69">
      <c r="A69" s="72">
        <v>46125.0</v>
      </c>
      <c r="B69" s="60" t="s">
        <v>1564</v>
      </c>
      <c r="C69" s="67" t="str">
        <f>IFERROR(__xludf.DUMMYFUNCTION("""COMPUTED_VALUE"""),"LD264")</f>
        <v>LD264</v>
      </c>
      <c r="D69" s="55" t="s">
        <v>42</v>
      </c>
      <c r="E69" s="55" t="s">
        <v>79</v>
      </c>
      <c r="F69" s="55" t="s">
        <v>133</v>
      </c>
      <c r="G69" s="55">
        <v>1855.0</v>
      </c>
      <c r="H69" s="55" t="s">
        <v>1485</v>
      </c>
      <c r="I69" s="55" t="s">
        <v>1511</v>
      </c>
      <c r="J69" s="55" t="s">
        <v>1565</v>
      </c>
      <c r="K69" s="55" t="s">
        <v>61</v>
      </c>
      <c r="L69" s="55" t="s">
        <v>1264</v>
      </c>
      <c r="M69" s="55" t="s">
        <v>78</v>
      </c>
      <c r="N69" s="55" t="s">
        <v>79</v>
      </c>
      <c r="O69" s="55" t="s">
        <v>1142</v>
      </c>
      <c r="P69" s="55" t="s">
        <v>110</v>
      </c>
      <c r="Q69" s="67" t="str">
        <f>IFERROR(__xludf.DUMMYFUNCTION("""COMPUTED_VALUE"""),"Japan.giaotiep.M645_LHV.9822_MES_SangBD_130426")</f>
        <v>Japan.giaotiep.M645_LHV.9822_MES_SangBD_130426</v>
      </c>
      <c r="R69" s="67" t="str">
        <f>IFERROR(__xludf.DUMMYFUNCTION("""COMPUTED_VALUE"""),"NEW_Japan_1855_none_130426")</f>
        <v>NEW_Japan_1855_none_130426</v>
      </c>
      <c r="S69" s="67" t="str">
        <f>IFERROR(__xludf.DUMMYFUNCTION("""COMPUTED_VALUE"""),"saletructiep_Japan.M645.1855.giaotiep_THCNGDP_LD264")</f>
        <v>saletructiep_Japan.M645.1855.giaotiep_THCNGDP_LD264</v>
      </c>
      <c r="T69" s="107" t="str">
        <f>IFERROR(__xludf.DUMMYFUNCTION("""COMPUTED_VALUE"""),"https://patado.edu.vn/khoa-tieng-anh-giao-tiep-o-nhat-ban/?utm_source=Facebook&amp;utm_medium=MES&amp;utm_term=NEW_Japan_1855_none_130426&amp;utm_content=saletructiep_Japan.M645.1855.giaotiep_THCNGDP_LD264&amp;utm_campaign=Japan.giaotiep.M645_LHV.9822_MES_SangBD_130426")</f>
        <v>https://patado.edu.vn/khoa-tieng-anh-giao-tiep-o-nhat-ban/?utm_source=Facebook&amp;utm_medium=MES&amp;utm_term=NEW_Japan_1855_none_130426&amp;utm_content=saletructiep_Japan.M645.1855.giaotiep_THCNGDP_LD264&amp;utm_campaign=Japan.giaotiep.M645_LHV.9822_MES_SangBD_130426</v>
      </c>
      <c r="U69" s="116"/>
    </row>
    <row r="70">
      <c r="A70" s="72">
        <v>46125.0</v>
      </c>
      <c r="B70" s="60" t="s">
        <v>1553</v>
      </c>
      <c r="C70" s="67" t="str">
        <f>IFERROR(__xludf.DUMMYFUNCTION("""COMPUTED_VALUE"""),"LD263")</f>
        <v>LD263</v>
      </c>
      <c r="D70" s="55" t="s">
        <v>42</v>
      </c>
      <c r="E70" s="55" t="s">
        <v>79</v>
      </c>
      <c r="F70" s="55" t="s">
        <v>107</v>
      </c>
      <c r="G70" s="55">
        <v>1855.0</v>
      </c>
      <c r="H70" s="55" t="s">
        <v>1485</v>
      </c>
      <c r="I70" s="55" t="s">
        <v>1633</v>
      </c>
      <c r="J70" s="55" t="s">
        <v>1634</v>
      </c>
      <c r="K70" s="55" t="s">
        <v>61</v>
      </c>
      <c r="L70" s="55" t="s">
        <v>1264</v>
      </c>
      <c r="M70" s="55" t="s">
        <v>78</v>
      </c>
      <c r="N70" s="55" t="s">
        <v>79</v>
      </c>
      <c r="O70" s="55" t="s">
        <v>1142</v>
      </c>
      <c r="P70" s="55" t="s">
        <v>110</v>
      </c>
      <c r="Q70" s="67" t="str">
        <f>IFERROR(__xludf.DUMMYFUNCTION("""COMPUTED_VALUE"""),"UnitedStates.giaotiep.M645_LHV.9822_MES_SangBD_130426")</f>
        <v>UnitedStates.giaotiep.M645_LHV.9822_MES_SangBD_130426</v>
      </c>
      <c r="R70" s="67" t="str">
        <f>IFERROR(__xludf.DUMMYFUNCTION("""COMPUTED_VALUE"""),"NEW_UnitedStates_1855_none_130426")</f>
        <v>NEW_UnitedStates_1855_none_130426</v>
      </c>
      <c r="S70" s="67" t="str">
        <f>IFERROR(__xludf.DUMMYFUNCTION("""COMPUTED_VALUE"""),"saletructiep_UnitedStates.M645.1855.giaotiep_THCNGDP_LD263")</f>
        <v>saletructiep_UnitedStates.M645.1855.giaotiep_THCNGDP_LD263</v>
      </c>
      <c r="T70" s="107" t="str">
        <f>IFERROR(__xludf.DUMMYFUNCTION("""COMPUTED_VALUE"""),"https://patado.edu.vn/khoa-giao-tiep-tieng-anh-online-all/?utm_source=Facebook&amp;utm_medium=MES&amp;utm_term=NEW_UnitedStates_1855_none_130426&amp;utm_content=saletructiep_UnitedStates.M645.1855.giaotiep_THCNGDP_LD263&amp;utm_campaign=UnitedStates.giaotiep.M645_LHV.982"&amp;"2_MES_SangBD_130426")</f>
        <v>https://patado.edu.vn/khoa-giao-tiep-tieng-anh-online-all/?utm_source=Facebook&amp;utm_medium=MES&amp;utm_term=NEW_UnitedStates_1855_none_130426&amp;utm_content=saletructiep_UnitedStates.M645.1855.giaotiep_THCNGDP_LD263&amp;utm_campaign=UnitedStates.giaotiep.M645_LHV.9822_MES_SangBD_130426</v>
      </c>
      <c r="U70" s="116"/>
    </row>
    <row r="71">
      <c r="A71" s="72">
        <v>46125.0</v>
      </c>
      <c r="B71" s="60" t="s">
        <v>1553</v>
      </c>
      <c r="C71" s="67" t="str">
        <f>IFERROR(__xludf.DUMMYFUNCTION("""COMPUTED_VALUE"""),"LD263")</f>
        <v>LD263</v>
      </c>
      <c r="D71" s="55" t="s">
        <v>42</v>
      </c>
      <c r="E71" s="55" t="s">
        <v>79</v>
      </c>
      <c r="F71" s="55" t="s">
        <v>539</v>
      </c>
      <c r="G71" s="55">
        <v>1855.0</v>
      </c>
      <c r="H71" s="55" t="s">
        <v>1485</v>
      </c>
      <c r="I71" s="55" t="s">
        <v>1638</v>
      </c>
      <c r="J71" s="55" t="s">
        <v>1639</v>
      </c>
      <c r="K71" s="55" t="s">
        <v>61</v>
      </c>
      <c r="L71" s="55" t="s">
        <v>1264</v>
      </c>
      <c r="M71" s="55" t="s">
        <v>78</v>
      </c>
      <c r="N71" s="55" t="s">
        <v>79</v>
      </c>
      <c r="O71" s="55" t="s">
        <v>1142</v>
      </c>
      <c r="P71" s="55" t="s">
        <v>110</v>
      </c>
      <c r="Q71" s="67" t="str">
        <f>IFERROR(__xludf.DUMMYFUNCTION("""COMPUTED_VALUE"""),"ALL.giaotiep.M645_LHV.9822_MES_SangBD_130426")</f>
        <v>ALL.giaotiep.M645_LHV.9822_MES_SangBD_130426</v>
      </c>
      <c r="R71" s="67" t="str">
        <f>IFERROR(__xludf.DUMMYFUNCTION("""COMPUTED_VALUE"""),"NEW_ALL_1855_none_130426")</f>
        <v>NEW_ALL_1855_none_130426</v>
      </c>
      <c r="S71" s="67" t="str">
        <f>IFERROR(__xludf.DUMMYFUNCTION("""COMPUTED_VALUE"""),"saletructiep_ALL.giaotiep.M645.1855.giaotiep_THCNGDP_LD263")</f>
        <v>saletructiep_ALL.giaotiep.M645.1855.giaotiep_THCNGDP_LD263</v>
      </c>
      <c r="T71" s="107" t="str">
        <f>IFERROR(__xludf.DUMMYFUNCTION("""COMPUTED_VALUE"""),"https://patado.edu.vn/khoa-giao-tiep-tieng-anh-online-all/?utm_source=Facebook&amp;utm_medium=MES&amp;utm_term=NEW_ALL_1855_none_130426&amp;utm_content=saletructiep_ALL.giaotiep.M645.1855.giaotiep_THCNGDP_LD263&amp;utm_campaign=ALL.giaotiep.M645_LHV.9822_MES_SangBD_13042"&amp;"6")</f>
        <v>https://patado.edu.vn/khoa-giao-tiep-tieng-anh-online-all/?utm_source=Facebook&amp;utm_medium=MES&amp;utm_term=NEW_ALL_1855_none_130426&amp;utm_content=saletructiep_ALL.giaotiep.M645.1855.giaotiep_THCNGDP_LD263&amp;utm_campaign=ALL.giaotiep.M645_LHV.9822_MES_SangBD_130426</v>
      </c>
      <c r="U71" s="116"/>
    </row>
    <row r="72">
      <c r="A72" s="72">
        <v>46126.0</v>
      </c>
      <c r="B72" s="60" t="s">
        <v>1642</v>
      </c>
      <c r="C72" s="67" t="str">
        <f>IFERROR(__xludf.DUMMYFUNCTION("""COMPUTED_VALUE"""),"LD275")</f>
        <v>LD275</v>
      </c>
      <c r="D72" s="55" t="s">
        <v>42</v>
      </c>
      <c r="E72" s="55" t="s">
        <v>69</v>
      </c>
      <c r="F72" s="55" t="s">
        <v>674</v>
      </c>
      <c r="G72" s="55">
        <v>1855.0</v>
      </c>
      <c r="H72" s="55" t="s">
        <v>1485</v>
      </c>
      <c r="I72" s="55" t="s">
        <v>1519</v>
      </c>
      <c r="J72" s="55" t="s">
        <v>1520</v>
      </c>
      <c r="K72" s="55" t="s">
        <v>61</v>
      </c>
      <c r="L72" s="55" t="s">
        <v>1264</v>
      </c>
      <c r="M72" s="55" t="s">
        <v>78</v>
      </c>
      <c r="N72" s="55" t="s">
        <v>69</v>
      </c>
      <c r="O72" s="55" t="s">
        <v>1142</v>
      </c>
      <c r="P72" s="55" t="s">
        <v>110</v>
      </c>
      <c r="Q72" s="67" t="str">
        <f>IFERROR(__xludf.DUMMYFUNCTION("""COMPUTED_VALUE"""),"Europe.giaotiep.M645_LHV.9822_CVS_SangBD_140426")</f>
        <v>Europe.giaotiep.M645_LHV.9822_CVS_SangBD_140426</v>
      </c>
      <c r="R72" s="67" t="str">
        <f>IFERROR(__xludf.DUMMYFUNCTION("""COMPUTED_VALUE"""),"NEW_Europe_1855_none_140426")</f>
        <v>NEW_Europe_1855_none_140426</v>
      </c>
      <c r="S72" s="67" t="str">
        <f>IFERROR(__xludf.DUMMYFUNCTION("""COMPUTED_VALUE"""),"saletructiep_Europe.M645.1855.giaotiep_THCNGDP_LD275")</f>
        <v>saletructiep_Europe.M645.1855.giaotiep_THCNGDP_LD275</v>
      </c>
      <c r="T72" s="107" t="str">
        <f>IFERROR(__xludf.DUMMYFUNCTION("""COMPUTED_VALUE"""),"https://patado.edu.vn/khoa-tieng-anh-giao-tiep-chau-au/?utm_source=Facebook&amp;utm_medium=CVS&amp;utm_term=NEW_Europe_1855_none_140426&amp;utm_content=saletructiep_Europe.M645.1855.giaotiep_THCNGDP_LD275&amp;utm_campaign=Europe.giaotiep.M645_LHV.9822_CVS_SangBD_140426")</f>
        <v>https://patado.edu.vn/khoa-tieng-anh-giao-tiep-chau-au/?utm_source=Facebook&amp;utm_medium=CVS&amp;utm_term=NEW_Europe_1855_none_140426&amp;utm_content=saletructiep_Europe.M645.1855.giaotiep_THCNGDP_LD275&amp;utm_campaign=Europe.giaotiep.M645_LHV.9822_CVS_SangBD_140426</v>
      </c>
      <c r="U72" s="111" t="s">
        <v>1648</v>
      </c>
    </row>
    <row r="73">
      <c r="A73" s="72">
        <v>46126.0</v>
      </c>
      <c r="B73" s="60" t="s">
        <v>1651</v>
      </c>
      <c r="C73" s="67" t="str">
        <f>IFERROR(__xludf.DUMMYFUNCTION("""COMPUTED_VALUE"""),"LD276")</f>
        <v>LD276</v>
      </c>
      <c r="D73" s="55" t="s">
        <v>42</v>
      </c>
      <c r="E73" s="55" t="s">
        <v>69</v>
      </c>
      <c r="F73" s="55" t="s">
        <v>107</v>
      </c>
      <c r="G73" s="55">
        <v>1855.0</v>
      </c>
      <c r="H73" s="55" t="s">
        <v>1485</v>
      </c>
      <c r="I73" s="55" t="s">
        <v>1633</v>
      </c>
      <c r="J73" s="55" t="s">
        <v>1634</v>
      </c>
      <c r="K73" s="55" t="s">
        <v>61</v>
      </c>
      <c r="L73" s="55" t="s">
        <v>1264</v>
      </c>
      <c r="M73" s="55" t="s">
        <v>78</v>
      </c>
      <c r="N73" s="55" t="s">
        <v>69</v>
      </c>
      <c r="O73" s="55" t="s">
        <v>1142</v>
      </c>
      <c r="P73" s="55" t="s">
        <v>110</v>
      </c>
      <c r="Q73" s="67" t="str">
        <f>IFERROR(__xludf.DUMMYFUNCTION("""COMPUTED_VALUE"""),"UnitedStates.giaotiep.M645_LHV.9822_CVS_SangBD_140426")</f>
        <v>UnitedStates.giaotiep.M645_LHV.9822_CVS_SangBD_140426</v>
      </c>
      <c r="R73" s="67" t="str">
        <f>IFERROR(__xludf.DUMMYFUNCTION("""COMPUTED_VALUE"""),"NEW_UnitedStates_1855_none_140426")</f>
        <v>NEW_UnitedStates_1855_none_140426</v>
      </c>
      <c r="S73" s="67" t="str">
        <f>IFERROR(__xludf.DUMMYFUNCTION("""COMPUTED_VALUE"""),"saletructiep_UnitedStates.M645.1855.giaotiep_THCNGDP_LD276")</f>
        <v>saletructiep_UnitedStates.M645.1855.giaotiep_THCNGDP_LD276</v>
      </c>
      <c r="T73" s="107" t="str">
        <f>IFERROR(__xludf.DUMMYFUNCTION("""COMPUTED_VALUE"""),"https://patado.edu.vn/khoa-giao-tiep-unitedstates/?utm_source=Facebook&amp;utm_medium=CVS&amp;utm_term=NEW_UnitedStates_1855_none_140426&amp;utm_content=saletructiep_UnitedStates.M645.1855.giaotiep_THCNGDP_LD276&amp;utm_campaign=UnitedStates.giaotiep.M645_LHV.9822_CVS_Sa"&amp;"ngBD_140426")</f>
        <v>https://patado.edu.vn/khoa-giao-tiep-unitedstates/?utm_source=Facebook&amp;utm_medium=CVS&amp;utm_term=NEW_UnitedStates_1855_none_140426&amp;utm_content=saletructiep_UnitedStates.M645.1855.giaotiep_THCNGDP_LD276&amp;utm_campaign=UnitedStates.giaotiep.M645_LHV.9822_CVS_SangBD_140426</v>
      </c>
      <c r="U73" s="111" t="s">
        <v>1653</v>
      </c>
    </row>
    <row r="74">
      <c r="A74" s="72">
        <v>46126.0</v>
      </c>
      <c r="B74" s="60" t="s">
        <v>1642</v>
      </c>
      <c r="C74" s="67" t="str">
        <f>IFERROR(__xludf.DUMMYFUNCTION("""COMPUTED_VALUE"""),"LD275")</f>
        <v>LD275</v>
      </c>
      <c r="D74" s="55" t="s">
        <v>42</v>
      </c>
      <c r="E74" s="55" t="s">
        <v>79</v>
      </c>
      <c r="F74" s="55" t="s">
        <v>674</v>
      </c>
      <c r="G74" s="55">
        <v>1855.0</v>
      </c>
      <c r="H74" s="55" t="s">
        <v>1485</v>
      </c>
      <c r="I74" s="55" t="s">
        <v>1519</v>
      </c>
      <c r="J74" s="55" t="s">
        <v>1520</v>
      </c>
      <c r="K74" s="55" t="s">
        <v>61</v>
      </c>
      <c r="L74" s="55" t="s">
        <v>1264</v>
      </c>
      <c r="M74" s="55" t="s">
        <v>78</v>
      </c>
      <c r="N74" s="55" t="s">
        <v>79</v>
      </c>
      <c r="O74" s="55" t="s">
        <v>1142</v>
      </c>
      <c r="P74" s="55" t="s">
        <v>110</v>
      </c>
      <c r="Q74" s="67" t="str">
        <f>IFERROR(__xludf.DUMMYFUNCTION("""COMPUTED_VALUE"""),"Europe.giaotiep.M645_LHV.9822_MES_SangBD_140426")</f>
        <v>Europe.giaotiep.M645_LHV.9822_MES_SangBD_140426</v>
      </c>
      <c r="R74" s="67" t="str">
        <f>IFERROR(__xludf.DUMMYFUNCTION("""COMPUTED_VALUE"""),"NEW_Europe_1855_none_140426")</f>
        <v>NEW_Europe_1855_none_140426</v>
      </c>
      <c r="S74" s="67" t="str">
        <f>IFERROR(__xludf.DUMMYFUNCTION("""COMPUTED_VALUE"""),"saletructiep_Europe.M645.1855.giaotiep_THCNGDP_LD275")</f>
        <v>saletructiep_Europe.M645.1855.giaotiep_THCNGDP_LD275</v>
      </c>
      <c r="T74" s="107" t="str">
        <f>IFERROR(__xludf.DUMMYFUNCTION("""COMPUTED_VALUE"""),"https://patado.edu.vn/khoa-tieng-anh-giao-tiep-chau-au/?utm_source=Facebook&amp;utm_medium=MES&amp;utm_term=NEW_Europe_1855_none_140426&amp;utm_content=saletructiep_Europe.M645.1855.giaotiep_THCNGDP_LD275&amp;utm_campaign=Europe.giaotiep.M645_LHV.9822_MES_SangBD_140426")</f>
        <v>https://patado.edu.vn/khoa-tieng-anh-giao-tiep-chau-au/?utm_source=Facebook&amp;utm_medium=MES&amp;utm_term=NEW_Europe_1855_none_140426&amp;utm_content=saletructiep_Europe.M645.1855.giaotiep_THCNGDP_LD275&amp;utm_campaign=Europe.giaotiep.M645_LHV.9822_MES_SangBD_140426</v>
      </c>
      <c r="U74" s="116"/>
    </row>
    <row r="75">
      <c r="A75" s="72">
        <v>46128.0</v>
      </c>
      <c r="B75" s="60" t="s">
        <v>1564</v>
      </c>
      <c r="C75" s="67" t="str">
        <f>IFERROR(__xludf.DUMMYFUNCTION("""COMPUTED_VALUE"""),"LD264")</f>
        <v>LD264</v>
      </c>
      <c r="D75" s="55" t="s">
        <v>42</v>
      </c>
      <c r="E75" s="55" t="s">
        <v>69</v>
      </c>
      <c r="F75" s="55" t="s">
        <v>133</v>
      </c>
      <c r="G75" s="55">
        <v>1855.0</v>
      </c>
      <c r="H75" s="55" t="s">
        <v>1485</v>
      </c>
      <c r="I75" s="55" t="s">
        <v>1658</v>
      </c>
      <c r="J75" s="55" t="s">
        <v>1659</v>
      </c>
      <c r="K75" s="55" t="s">
        <v>61</v>
      </c>
      <c r="L75" s="55" t="s">
        <v>1264</v>
      </c>
      <c r="M75" s="55" t="s">
        <v>78</v>
      </c>
      <c r="N75" s="55" t="s">
        <v>69</v>
      </c>
      <c r="O75" s="55" t="s">
        <v>1142</v>
      </c>
      <c r="P75" s="55" t="s">
        <v>110</v>
      </c>
      <c r="Q75" s="67" t="str">
        <f>IFERROR(__xludf.DUMMYFUNCTION("""COMPUTED_VALUE"""),"Japan.giaotiep.M600xM614_LHV.9822_CVS_SangBD_160426")</f>
        <v>Japan.giaotiep.M600xM614_LHV.9822_CVS_SangBD_160426</v>
      </c>
      <c r="R75" s="67" t="str">
        <f>IFERROR(__xludf.DUMMYFUNCTION("""COMPUTED_VALUE"""),"NEW_Japan_1855_none_160426")</f>
        <v>NEW_Japan_1855_none_160426</v>
      </c>
      <c r="S75" s="67" t="str">
        <f>IFERROR(__xludf.DUMMYFUNCTION("""COMPUTED_VALUE"""),"saletructiep_Japan.M600.1855.giaotiep_THCNGDP_LD264")</f>
        <v>saletructiep_Japan.M600.1855.giaotiep_THCNGDP_LD264</v>
      </c>
      <c r="T75" s="107" t="str">
        <f>IFERROR(__xludf.DUMMYFUNCTION("""COMPUTED_VALUE"""),"https://patado.edu.vn/khoa-tieng-anh-giao-tiep-o-nhat-ban/?utm_source=Facebook&amp;utm_medium=CVS&amp;utm_term=NEW_Japan_1855_none_160426&amp;utm_content=saletructiep_Japan.M600.1855.giaotiep_THCNGDP_LD264&amp;utm_campaign=Japan.giaotiep.M600xM614_LHV.9822_CVS_SangBD_160"&amp;"426")</f>
        <v>https://patado.edu.vn/khoa-tieng-anh-giao-tiep-o-nhat-ban/?utm_source=Facebook&amp;utm_medium=CVS&amp;utm_term=NEW_Japan_1855_none_160426&amp;utm_content=saletructiep_Japan.M600.1855.giaotiep_THCNGDP_LD264&amp;utm_campaign=Japan.giaotiep.M600xM614_LHV.9822_CVS_SangBD_160426</v>
      </c>
      <c r="U75" s="111" t="s">
        <v>1663</v>
      </c>
    </row>
    <row r="76">
      <c r="A76" s="72">
        <v>46128.0</v>
      </c>
      <c r="B76" s="60" t="s">
        <v>1564</v>
      </c>
      <c r="C76" s="67" t="str">
        <f>IFERROR(__xludf.DUMMYFUNCTION("""COMPUTED_VALUE"""),"LD264")</f>
        <v>LD264</v>
      </c>
      <c r="D76" s="55" t="s">
        <v>42</v>
      </c>
      <c r="E76" s="55" t="s">
        <v>69</v>
      </c>
      <c r="F76" s="55" t="s">
        <v>133</v>
      </c>
      <c r="G76" s="55">
        <v>1855.0</v>
      </c>
      <c r="H76" s="55" t="s">
        <v>1485</v>
      </c>
      <c r="I76" s="55" t="s">
        <v>1666</v>
      </c>
      <c r="J76" s="55" t="s">
        <v>1667</v>
      </c>
      <c r="K76" s="55" t="s">
        <v>61</v>
      </c>
      <c r="L76" s="55" t="s">
        <v>1264</v>
      </c>
      <c r="M76" s="55" t="s">
        <v>78</v>
      </c>
      <c r="N76" s="55" t="s">
        <v>69</v>
      </c>
      <c r="O76" s="55" t="s">
        <v>1142</v>
      </c>
      <c r="P76" s="55" t="s">
        <v>110</v>
      </c>
      <c r="Q76" s="67" t="str">
        <f>IFERROR(__xludf.DUMMYFUNCTION("""COMPUTED_VALUE"""),"Japan.giaotiep.M527_LHV.9822_CVS_SangBD_160426")</f>
        <v>Japan.giaotiep.M527_LHV.9822_CVS_SangBD_160426</v>
      </c>
      <c r="R76" s="67" t="str">
        <f>IFERROR(__xludf.DUMMYFUNCTION("""COMPUTED_VALUE"""),"NEW_Japan_1855_none_160426")</f>
        <v>NEW_Japan_1855_none_160426</v>
      </c>
      <c r="S76" s="67" t="str">
        <f>IFERROR(__xludf.DUMMYFUNCTION("""COMPUTED_VALUE"""),"saletructiep_Japan.M527.1855.giaotiep_THCNGDP_LD264")</f>
        <v>saletructiep_Japan.M527.1855.giaotiep_THCNGDP_LD264</v>
      </c>
      <c r="T76" s="107" t="str">
        <f>IFERROR(__xludf.DUMMYFUNCTION("""COMPUTED_VALUE"""),"https://patado.edu.vn/khoa-tieng-anh-giao-tiep-o-nhat-ban/?utm_source=Facebook&amp;utm_medium=CVS&amp;utm_term=NEW_Japan_1855_none_160426&amp;utm_content=saletructiep_Japan.M527.1855.giaotiep_THCNGDP_LD264&amp;utm_campaign=Japan.giaotiep.M527_LHV.9822_CVS_SangBD_160426")</f>
        <v>https://patado.edu.vn/khoa-tieng-anh-giao-tiep-o-nhat-ban/?utm_source=Facebook&amp;utm_medium=CVS&amp;utm_term=NEW_Japan_1855_none_160426&amp;utm_content=saletructiep_Japan.M527.1855.giaotiep_THCNGDP_LD264&amp;utm_campaign=Japan.giaotiep.M527_LHV.9822_CVS_SangBD_160426</v>
      </c>
      <c r="U76" s="111" t="s">
        <v>1668</v>
      </c>
    </row>
    <row r="77">
      <c r="A77" s="72">
        <v>46128.0</v>
      </c>
      <c r="B77" s="60" t="s">
        <v>1642</v>
      </c>
      <c r="C77" s="67" t="str">
        <f>IFERROR(__xludf.DUMMYFUNCTION("""COMPUTED_VALUE"""),"LD275")</f>
        <v>LD275</v>
      </c>
      <c r="D77" s="55" t="s">
        <v>42</v>
      </c>
      <c r="E77" s="55" t="s">
        <v>69</v>
      </c>
      <c r="F77" s="55" t="s">
        <v>674</v>
      </c>
      <c r="G77" s="55">
        <v>1855.0</v>
      </c>
      <c r="H77" s="55" t="s">
        <v>1485</v>
      </c>
      <c r="I77" s="55" t="s">
        <v>1672</v>
      </c>
      <c r="J77" s="55" t="s">
        <v>1673</v>
      </c>
      <c r="K77" s="55" t="s">
        <v>61</v>
      </c>
      <c r="L77" s="55" t="s">
        <v>1264</v>
      </c>
      <c r="M77" s="55" t="s">
        <v>78</v>
      </c>
      <c r="N77" s="55" t="s">
        <v>69</v>
      </c>
      <c r="O77" s="55" t="s">
        <v>1142</v>
      </c>
      <c r="P77" s="55" t="s">
        <v>110</v>
      </c>
      <c r="Q77" s="67" t="str">
        <f>IFERROR(__xludf.DUMMYFUNCTION("""COMPUTED_VALUE"""),"Europe.giaotiep.M105xM269_LHV.9822_CVS_SangBD_160426")</f>
        <v>Europe.giaotiep.M105xM269_LHV.9822_CVS_SangBD_160426</v>
      </c>
      <c r="R77" s="67" t="str">
        <f>IFERROR(__xludf.DUMMYFUNCTION("""COMPUTED_VALUE"""),"NEW_Europe_1855_none_160426")</f>
        <v>NEW_Europe_1855_none_160426</v>
      </c>
      <c r="S77" s="67" t="str">
        <f>IFERROR(__xludf.DUMMYFUNCTION("""COMPUTED_VALUE"""),"saletructiep_Europe.M105.1855.giaotiep_THCNGDP_LD275")</f>
        <v>saletructiep_Europe.M105.1855.giaotiep_THCNGDP_LD275</v>
      </c>
      <c r="T77" s="107" t="str">
        <f>IFERROR(__xludf.DUMMYFUNCTION("""COMPUTED_VALUE"""),"https://patado.edu.vn/khoa-tieng-anh-giao-tiep-chau-au/?utm_source=Facebook&amp;utm_medium=CVS&amp;utm_term=NEW_Europe_1855_none_160426&amp;utm_content=saletructiep_Europe.M105.1855.giaotiep_THCNGDP_LD275&amp;utm_campaign=Europe.giaotiep.M105xM269_LHV.9822_CVS_SangBD_160"&amp;"426")</f>
        <v>https://patado.edu.vn/khoa-tieng-anh-giao-tiep-chau-au/?utm_source=Facebook&amp;utm_medium=CVS&amp;utm_term=NEW_Europe_1855_none_160426&amp;utm_content=saletructiep_Europe.M105.1855.giaotiep_THCNGDP_LD275&amp;utm_campaign=Europe.giaotiep.M105xM269_LHV.9822_CVS_SangBD_160426</v>
      </c>
      <c r="U77" s="111" t="s">
        <v>1676</v>
      </c>
    </row>
    <row r="78">
      <c r="A78" s="72">
        <v>46128.0</v>
      </c>
      <c r="B78" s="60" t="s">
        <v>1642</v>
      </c>
      <c r="C78" s="67" t="str">
        <f>IFERROR(__xludf.DUMMYFUNCTION("""COMPUTED_VALUE"""),"LD275")</f>
        <v>LD275</v>
      </c>
      <c r="D78" s="55" t="s">
        <v>42</v>
      </c>
      <c r="E78" s="55" t="s">
        <v>69</v>
      </c>
      <c r="F78" s="55" t="s">
        <v>674</v>
      </c>
      <c r="G78" s="55">
        <v>1855.0</v>
      </c>
      <c r="H78" s="55" t="s">
        <v>1485</v>
      </c>
      <c r="I78" s="55" t="s">
        <v>1679</v>
      </c>
      <c r="J78" s="55" t="s">
        <v>1680</v>
      </c>
      <c r="K78" s="55" t="s">
        <v>61</v>
      </c>
      <c r="L78" s="55" t="s">
        <v>1264</v>
      </c>
      <c r="M78" s="55" t="s">
        <v>78</v>
      </c>
      <c r="N78" s="55" t="s">
        <v>69</v>
      </c>
      <c r="O78" s="55" t="s">
        <v>1142</v>
      </c>
      <c r="P78" s="55" t="s">
        <v>110</v>
      </c>
      <c r="Q78" s="67" t="str">
        <f>IFERROR(__xludf.DUMMYFUNCTION("""COMPUTED_VALUE"""),"Europe.giaotiep.HTKOC2_LHV.9822_CVS_SangBD_160426")</f>
        <v>Europe.giaotiep.HTKOC2_LHV.9822_CVS_SangBD_160426</v>
      </c>
      <c r="R78" s="67" t="str">
        <f>IFERROR(__xludf.DUMMYFUNCTION("""COMPUTED_VALUE"""),"NEW_Europe_1855_none_160426")</f>
        <v>NEW_Europe_1855_none_160426</v>
      </c>
      <c r="S78" s="67" t="str">
        <f>IFERROR(__xludf.DUMMYFUNCTION("""COMPUTED_VALUE"""),"saletructiep_Europe.HTKOC2.1855.giaotiep_THCNGDP_LD275")</f>
        <v>saletructiep_Europe.HTKOC2.1855.giaotiep_THCNGDP_LD275</v>
      </c>
      <c r="T78" s="107" t="str">
        <f>IFERROR(__xludf.DUMMYFUNCTION("""COMPUTED_VALUE"""),"https://patado.edu.vn/khoa-tieng-anh-giao-tiep-chau-au/?utm_source=Facebook&amp;utm_medium=CVS&amp;utm_term=NEW_Europe_1855_none_160426&amp;utm_content=saletructiep_Europe.HTKOC2.1855.giaotiep_THCNGDP_LD275&amp;utm_campaign=Europe.giaotiep.HTKOC2_LHV.9822_CVS_SangBD_1604"&amp;"26")</f>
        <v>https://patado.edu.vn/khoa-tieng-anh-giao-tiep-chau-au/?utm_source=Facebook&amp;utm_medium=CVS&amp;utm_term=NEW_Europe_1855_none_160426&amp;utm_content=saletructiep_Europe.HTKOC2.1855.giaotiep_THCNGDP_LD275&amp;utm_campaign=Europe.giaotiep.HTKOC2_LHV.9822_CVS_SangBD_160426</v>
      </c>
      <c r="U78" s="111" t="s">
        <v>1684</v>
      </c>
    </row>
    <row r="79">
      <c r="A79" s="72">
        <v>46128.0</v>
      </c>
      <c r="B79" s="60" t="s">
        <v>1651</v>
      </c>
      <c r="C79" s="67" t="str">
        <f>IFERROR(__xludf.DUMMYFUNCTION("""COMPUTED_VALUE"""),"LD276")</f>
        <v>LD276</v>
      </c>
      <c r="D79" s="55" t="s">
        <v>42</v>
      </c>
      <c r="E79" s="55" t="s">
        <v>79</v>
      </c>
      <c r="F79" s="55" t="s">
        <v>107</v>
      </c>
      <c r="G79" s="55">
        <v>1855.0</v>
      </c>
      <c r="H79" s="55" t="s">
        <v>1485</v>
      </c>
      <c r="I79" s="55" t="s">
        <v>1687</v>
      </c>
      <c r="J79" s="55" t="s">
        <v>1688</v>
      </c>
      <c r="K79" s="55" t="s">
        <v>61</v>
      </c>
      <c r="L79" s="55" t="s">
        <v>1264</v>
      </c>
      <c r="M79" s="55" t="s">
        <v>78</v>
      </c>
      <c r="N79" s="55" t="s">
        <v>79</v>
      </c>
      <c r="O79" s="55" t="s">
        <v>1142</v>
      </c>
      <c r="P79" s="55" t="s">
        <v>110</v>
      </c>
      <c r="Q79" s="67" t="str">
        <f>IFERROR(__xludf.DUMMYFUNCTION("""COMPUTED_VALUE"""),"UnitedStates.giaotiep.M236xM332_LHV.9822_MES_SangBD_160426")</f>
        <v>UnitedStates.giaotiep.M236xM332_LHV.9822_MES_SangBD_160426</v>
      </c>
      <c r="R79" s="67" t="str">
        <f>IFERROR(__xludf.DUMMYFUNCTION("""COMPUTED_VALUE"""),"NEW_UnitedStates_1855_none_160426")</f>
        <v>NEW_UnitedStates_1855_none_160426</v>
      </c>
      <c r="S79" s="67" t="str">
        <f>IFERROR(__xludf.DUMMYFUNCTION("""COMPUTED_VALUE"""),"saletructiep_UnitedStates.M236.1855.giaotiep_THCNGDP_LD276")</f>
        <v>saletructiep_UnitedStates.M236.1855.giaotiep_THCNGDP_LD276</v>
      </c>
      <c r="T79" s="107" t="str">
        <f>IFERROR(__xludf.DUMMYFUNCTION("""COMPUTED_VALUE"""),"https://patado.edu.vn/khoa-giao-tiep-unitedstates/?utm_source=Facebook&amp;utm_medium=MES&amp;utm_term=NEW_UnitedStates_1855_none_160426&amp;utm_content=saletructiep_UnitedStates.M236.1855.giaotiep_THCNGDP_LD276&amp;utm_campaign=UnitedStates.giaotiep.M236xM332_LHV.9822_M"&amp;"ES_SangBD_160426")</f>
        <v>https://patado.edu.vn/khoa-giao-tiep-unitedstates/?utm_source=Facebook&amp;utm_medium=MES&amp;utm_term=NEW_UnitedStates_1855_none_160426&amp;utm_content=saletructiep_UnitedStates.M236.1855.giaotiep_THCNGDP_LD276&amp;utm_campaign=UnitedStates.giaotiep.M236xM332_LHV.9822_MES_SangBD_160426</v>
      </c>
      <c r="U79" s="111" t="s">
        <v>1690</v>
      </c>
    </row>
    <row r="80">
      <c r="A80" s="72">
        <v>46128.0</v>
      </c>
      <c r="B80" s="60" t="s">
        <v>1553</v>
      </c>
      <c r="C80" s="67" t="str">
        <f>IFERROR(__xludf.DUMMYFUNCTION("""COMPUTED_VALUE"""),"LD263")</f>
        <v>LD263</v>
      </c>
      <c r="D80" s="55" t="s">
        <v>42</v>
      </c>
      <c r="E80" s="55" t="s">
        <v>79</v>
      </c>
      <c r="F80" s="55" t="s">
        <v>539</v>
      </c>
      <c r="G80" s="55">
        <v>1855.0</v>
      </c>
      <c r="H80" s="55" t="s">
        <v>1485</v>
      </c>
      <c r="I80" s="55" t="s">
        <v>1695</v>
      </c>
      <c r="J80" s="55" t="s">
        <v>1696</v>
      </c>
      <c r="K80" s="55" t="s">
        <v>61</v>
      </c>
      <c r="L80" s="55" t="s">
        <v>1264</v>
      </c>
      <c r="M80" s="55" t="s">
        <v>78</v>
      </c>
      <c r="N80" s="55" t="s">
        <v>79</v>
      </c>
      <c r="O80" s="55" t="s">
        <v>1142</v>
      </c>
      <c r="P80" s="55" t="s">
        <v>110</v>
      </c>
      <c r="Q80" s="67" t="str">
        <f>IFERROR(__xludf.DUMMYFUNCTION("""COMPUTED_VALUE"""),"ALL.giaotiep.M602_LHV.9822_MES_SangBD_160426")</f>
        <v>ALL.giaotiep.M602_LHV.9822_MES_SangBD_160426</v>
      </c>
      <c r="R80" s="67" t="str">
        <f>IFERROR(__xludf.DUMMYFUNCTION("""COMPUTED_VALUE"""),"NEW_ALL_1855_none_160426")</f>
        <v>NEW_ALL_1855_none_160426</v>
      </c>
      <c r="S80" s="67" t="str">
        <f>IFERROR(__xludf.DUMMYFUNCTION("""COMPUTED_VALUE"""),"saletructiep_ALL.giaotiep.M602.1855.giaotiep_THCNGDP_LD263")</f>
        <v>saletructiep_ALL.giaotiep.M602.1855.giaotiep_THCNGDP_LD263</v>
      </c>
      <c r="T80" s="107" t="str">
        <f>IFERROR(__xludf.DUMMYFUNCTION("""COMPUTED_VALUE"""),"https://patado.edu.vn/khoa-giao-tiep-tieng-anh-online-all/?utm_source=Facebook&amp;utm_medium=MES&amp;utm_term=NEW_ALL_1855_none_160426&amp;utm_content=saletructiep_ALL.giaotiep.M602.1855.giaotiep_THCNGDP_LD263&amp;utm_campaign=ALL.giaotiep.M602_LHV.9822_MES_SangBD_16042"&amp;"6")</f>
        <v>https://patado.edu.vn/khoa-giao-tiep-tieng-anh-online-all/?utm_source=Facebook&amp;utm_medium=MES&amp;utm_term=NEW_ALL_1855_none_160426&amp;utm_content=saletructiep_ALL.giaotiep.M602.1855.giaotiep_THCNGDP_LD263&amp;utm_campaign=ALL.giaotiep.M602_LHV.9822_MES_SangBD_160426</v>
      </c>
      <c r="U80" s="111" t="s">
        <v>1700</v>
      </c>
    </row>
    <row r="81">
      <c r="A81" s="72">
        <v>46129.0</v>
      </c>
      <c r="B81" s="60" t="s">
        <v>1553</v>
      </c>
      <c r="C81" s="67" t="str">
        <f>IFERROR(__xludf.DUMMYFUNCTION("""COMPUTED_VALUE"""),"LD263")</f>
        <v>LD263</v>
      </c>
      <c r="D81" s="55" t="s">
        <v>42</v>
      </c>
      <c r="E81" s="55" t="s">
        <v>79</v>
      </c>
      <c r="F81" s="55" t="s">
        <v>539</v>
      </c>
      <c r="G81" s="55">
        <v>1855.0</v>
      </c>
      <c r="H81" s="55" t="s">
        <v>1485</v>
      </c>
      <c r="I81" s="55" t="s">
        <v>1638</v>
      </c>
      <c r="J81" s="55" t="s">
        <v>1639</v>
      </c>
      <c r="K81" s="55" t="s">
        <v>61</v>
      </c>
      <c r="L81" s="55" t="s">
        <v>1264</v>
      </c>
      <c r="M81" s="55" t="s">
        <v>78</v>
      </c>
      <c r="N81" s="55" t="s">
        <v>79</v>
      </c>
      <c r="O81" s="55" t="s">
        <v>1142</v>
      </c>
      <c r="P81" s="55" t="s">
        <v>110</v>
      </c>
      <c r="Q81" s="67" t="str">
        <f>IFERROR(__xludf.DUMMYFUNCTION("""COMPUTED_VALUE"""),"ALL.giaotiep.M645_LHV.9822_MES_SangBD_170426")</f>
        <v>ALL.giaotiep.M645_LHV.9822_MES_SangBD_170426</v>
      </c>
      <c r="R81" s="67" t="str">
        <f>IFERROR(__xludf.DUMMYFUNCTION("""COMPUTED_VALUE"""),"NEW_ALL_1855_none_170426")</f>
        <v>NEW_ALL_1855_none_170426</v>
      </c>
      <c r="S81" s="67" t="str">
        <f>IFERROR(__xludf.DUMMYFUNCTION("""COMPUTED_VALUE"""),"saletructiep_ALL.giaotiep.M645.1855.giaotiep_THCNGDP_LD263")</f>
        <v>saletructiep_ALL.giaotiep.M645.1855.giaotiep_THCNGDP_LD263</v>
      </c>
      <c r="T81" s="107" t="str">
        <f>IFERROR(__xludf.DUMMYFUNCTION("""COMPUTED_VALUE"""),"https://patado.edu.vn/khoa-giao-tiep-tieng-anh-online-all/?utm_source=Facebook&amp;utm_medium=MES&amp;utm_term=NEW_ALL_1855_none_170426&amp;utm_content=saletructiep_ALL.giaotiep.M645.1855.giaotiep_THCNGDP_LD263&amp;utm_campaign=ALL.giaotiep.M645_LHV.9822_MES_SangBD_17042"&amp;"6")</f>
        <v>https://patado.edu.vn/khoa-giao-tiep-tieng-anh-online-all/?utm_source=Facebook&amp;utm_medium=MES&amp;utm_term=NEW_ALL_1855_none_170426&amp;utm_content=saletructiep_ALL.giaotiep.M645.1855.giaotiep_THCNGDP_LD263&amp;utm_campaign=ALL.giaotiep.M645_LHV.9822_MES_SangBD_170426</v>
      </c>
      <c r="U81" s="116"/>
    </row>
    <row r="82">
      <c r="A82" s="72">
        <v>46130.0</v>
      </c>
      <c r="B82" s="60" t="s">
        <v>1642</v>
      </c>
      <c r="C82" s="67" t="str">
        <f>IFERROR(__xludf.DUMMYFUNCTION("""COMPUTED_VALUE"""),"LD275")</f>
        <v>LD275</v>
      </c>
      <c r="D82" s="55" t="s">
        <v>42</v>
      </c>
      <c r="E82" s="55" t="s">
        <v>69</v>
      </c>
      <c r="F82" s="55" t="s">
        <v>674</v>
      </c>
      <c r="G82" s="55">
        <v>1855.0</v>
      </c>
      <c r="H82" s="55" t="s">
        <v>1485</v>
      </c>
      <c r="I82" s="55" t="s">
        <v>1704</v>
      </c>
      <c r="J82" s="55" t="s">
        <v>1705</v>
      </c>
      <c r="K82" s="55" t="s">
        <v>61</v>
      </c>
      <c r="L82" s="55" t="s">
        <v>1264</v>
      </c>
      <c r="M82" s="55" t="s">
        <v>78</v>
      </c>
      <c r="N82" s="55" t="s">
        <v>69</v>
      </c>
      <c r="O82" s="55" t="s">
        <v>1142</v>
      </c>
      <c r="P82" s="55" t="s">
        <v>110</v>
      </c>
      <c r="Q82" s="67" t="str">
        <f>IFERROR(__xludf.DUMMYFUNCTION("""COMPUTED_VALUE"""),"Europe.giaotiep.M629xM631_LHV.9822_CVS_SangBD_180426")</f>
        <v>Europe.giaotiep.M629xM631_LHV.9822_CVS_SangBD_180426</v>
      </c>
      <c r="R82" s="67" t="str">
        <f>IFERROR(__xludf.DUMMYFUNCTION("""COMPUTED_VALUE"""),"NEW_Europe_1855_none_180426")</f>
        <v>NEW_Europe_1855_none_180426</v>
      </c>
      <c r="S82" s="67" t="str">
        <f>IFERROR(__xludf.DUMMYFUNCTION("""COMPUTED_VALUE"""),"saletructiep_Europe.M629.1855.giaotiep_THCNGDP_LD275")</f>
        <v>saletructiep_Europe.M629.1855.giaotiep_THCNGDP_LD275</v>
      </c>
      <c r="T82" s="107" t="str">
        <f>IFERROR(__xludf.DUMMYFUNCTION("""COMPUTED_VALUE"""),"https://patado.edu.vn/khoa-tieng-anh-giao-tiep-chau-au/?utm_source=Facebook&amp;utm_medium=CVS&amp;utm_term=NEW_Europe_1855_none_180426&amp;utm_content=saletructiep_Europe.M629.1855.giaotiep_THCNGDP_LD275&amp;utm_campaign=Europe.giaotiep.M629xM631_LHV.9822_CVS_SangBD_180"&amp;"426")</f>
        <v>https://patado.edu.vn/khoa-tieng-anh-giao-tiep-chau-au/?utm_source=Facebook&amp;utm_medium=CVS&amp;utm_term=NEW_Europe_1855_none_180426&amp;utm_content=saletructiep_Europe.M629.1855.giaotiep_THCNGDP_LD275&amp;utm_campaign=Europe.giaotiep.M629xM631_LHV.9822_CVS_SangBD_180426</v>
      </c>
      <c r="U82" s="110" t="s">
        <v>1708</v>
      </c>
    </row>
    <row r="83">
      <c r="A83" s="50">
        <v>46132.0</v>
      </c>
      <c r="B83" s="128" t="s">
        <v>1553</v>
      </c>
      <c r="C83" s="129" t="str">
        <f>IFERROR(__xludf.DUMMYFUNCTION("""COMPUTED_VALUE"""),"LD263")</f>
        <v>LD263</v>
      </c>
      <c r="D83" s="114" t="s">
        <v>42</v>
      </c>
      <c r="E83" s="114" t="s">
        <v>79</v>
      </c>
      <c r="F83" s="114" t="s">
        <v>539</v>
      </c>
      <c r="G83" s="114">
        <v>1850.0</v>
      </c>
      <c r="H83" s="114" t="s">
        <v>1485</v>
      </c>
      <c r="I83" s="114" t="s">
        <v>1486</v>
      </c>
      <c r="J83" s="114" t="s">
        <v>1709</v>
      </c>
      <c r="K83" s="114" t="s">
        <v>61</v>
      </c>
      <c r="L83" s="114" t="s">
        <v>1264</v>
      </c>
      <c r="M83" s="114" t="s">
        <v>78</v>
      </c>
      <c r="N83" s="114" t="s">
        <v>79</v>
      </c>
      <c r="O83" s="114" t="s">
        <v>1142</v>
      </c>
      <c r="P83" s="114" t="s">
        <v>110</v>
      </c>
      <c r="Q83" s="129" t="str">
        <f>IFERROR(__xludf.DUMMYFUNCTION("""COMPUTED_VALUE"""),"ALL.giaotiep.M264_LHV.9822_MES_SangBD_200426")</f>
        <v>ALL.giaotiep.M264_LHV.9822_MES_SangBD_200426</v>
      </c>
      <c r="R83" s="129" t="str">
        <f>IFERROR(__xludf.DUMMYFUNCTION("""COMPUTED_VALUE"""),"NEW_ALL_1850_none_200426")</f>
        <v>NEW_ALL_1850_none_200426</v>
      </c>
      <c r="S83" s="129" t="str">
        <f>IFERROR(__xludf.DUMMYFUNCTION("""COMPUTED_VALUE"""),"saletructiep_ALL.giaotiep.M624.1850.giaotiep_THCNGDP_LD263")</f>
        <v>saletructiep_ALL.giaotiep.M624.1850.giaotiep_THCNGDP_LD263</v>
      </c>
      <c r="T83" s="130" t="str">
        <f>IFERROR(__xludf.DUMMYFUNCTION("""COMPUTED_VALUE"""),"https://patado.edu.vn/khoa-giao-tiep-tieng-anh-online-all/?utm_source=Facebook&amp;utm_medium=MES&amp;utm_term=NEW_ALL_1850_none_200426&amp;utm_content=saletructiep_ALL.giaotiep.M624.1850.giaotiep_THCNGDP_LD263&amp;utm_campaign=ALL.giaotiep.M264_LHV.9822_MES_SangBD_20042"&amp;"6")</f>
        <v>https://patado.edu.vn/khoa-giao-tiep-tieng-anh-online-all/?utm_source=Facebook&amp;utm_medium=MES&amp;utm_term=NEW_ALL_1850_none_200426&amp;utm_content=saletructiep_ALL.giaotiep.M624.1850.giaotiep_THCNGDP_LD263&amp;utm_campaign=ALL.giaotiep.M264_LHV.9822_MES_SangBD_200426</v>
      </c>
      <c r="U83" s="131"/>
    </row>
    <row r="84">
      <c r="A84" s="72">
        <v>46132.0</v>
      </c>
      <c r="B84" s="60" t="s">
        <v>1642</v>
      </c>
      <c r="C84" s="67" t="str">
        <f>IFERROR(__xludf.DUMMYFUNCTION("""COMPUTED_VALUE"""),"LD275")</f>
        <v>LD275</v>
      </c>
      <c r="D84" s="55" t="s">
        <v>42</v>
      </c>
      <c r="E84" s="55" t="s">
        <v>69</v>
      </c>
      <c r="F84" s="55" t="s">
        <v>674</v>
      </c>
      <c r="G84" s="55">
        <v>1850.0</v>
      </c>
      <c r="H84" s="55" t="s">
        <v>1485</v>
      </c>
      <c r="I84" s="55" t="s">
        <v>1711</v>
      </c>
      <c r="J84" s="55" t="s">
        <v>1713</v>
      </c>
      <c r="K84" s="55" t="s">
        <v>61</v>
      </c>
      <c r="L84" s="55" t="s">
        <v>1264</v>
      </c>
      <c r="M84" s="55" t="s">
        <v>78</v>
      </c>
      <c r="N84" s="55" t="s">
        <v>69</v>
      </c>
      <c r="O84" s="55" t="s">
        <v>1142</v>
      </c>
      <c r="P84" s="55" t="s">
        <v>110</v>
      </c>
      <c r="Q84" s="67" t="str">
        <f>IFERROR(__xludf.DUMMYFUNCTION("""COMPUTED_VALUE"""),"Europe.giaotiep.M601xanhnote_LHV.9822_CVS_SangBD_200426")</f>
        <v>Europe.giaotiep.M601xanhnote_LHV.9822_CVS_SangBD_200426</v>
      </c>
      <c r="R84" s="67" t="str">
        <f>IFERROR(__xludf.DUMMYFUNCTION("""COMPUTED_VALUE"""),"NEW_Europe_1850_none_200426")</f>
        <v>NEW_Europe_1850_none_200426</v>
      </c>
      <c r="S84" s="67" t="str">
        <f>IFERROR(__xludf.DUMMYFUNCTION("""COMPUTED_VALUE"""),"saletructiep_Europe.M601.1850.giaotiep_THCNGDP_LD275")</f>
        <v>saletructiep_Europe.M601.1850.giaotiep_THCNGDP_LD275</v>
      </c>
      <c r="T84" s="107" t="str">
        <f>IFERROR(__xludf.DUMMYFUNCTION("""COMPUTED_VALUE"""),"https://patado.edu.vn/khoa-tieng-anh-giao-tiep-chau-au/?utm_source=Facebook&amp;utm_medium=CVS&amp;utm_term=NEW_Europe_1850_none_200426&amp;utm_content=saletructiep_Europe.M601.1850.giaotiep_THCNGDP_LD275&amp;utm_campaign=Europe.giaotiep.M601xanhnote_LHV.9822_CVS_SangBD_"&amp;"200426")</f>
        <v>https://patado.edu.vn/khoa-tieng-anh-giao-tiep-chau-au/?utm_source=Facebook&amp;utm_medium=CVS&amp;utm_term=NEW_Europe_1850_none_200426&amp;utm_content=saletructiep_Europe.M601.1850.giaotiep_THCNGDP_LD275&amp;utm_campaign=Europe.giaotiep.M601xanhnote_LHV.9822_CVS_SangBD_200426</v>
      </c>
      <c r="U84" s="111" t="s">
        <v>1715</v>
      </c>
    </row>
    <row r="85">
      <c r="A85" s="72">
        <v>46132.0</v>
      </c>
      <c r="B85" s="60" t="s">
        <v>1651</v>
      </c>
      <c r="C85" s="67" t="str">
        <f>IFERROR(__xludf.DUMMYFUNCTION("""COMPUTED_VALUE"""),"LD276")</f>
        <v>LD276</v>
      </c>
      <c r="D85" s="55" t="s">
        <v>42</v>
      </c>
      <c r="E85" s="55" t="s">
        <v>79</v>
      </c>
      <c r="F85" s="55" t="s">
        <v>107</v>
      </c>
      <c r="G85" s="55">
        <v>1850.0</v>
      </c>
      <c r="H85" s="55" t="s">
        <v>1485</v>
      </c>
      <c r="I85" s="55" t="s">
        <v>1716</v>
      </c>
      <c r="J85" s="55" t="s">
        <v>1717</v>
      </c>
      <c r="K85" s="55" t="s">
        <v>61</v>
      </c>
      <c r="L85" s="55" t="s">
        <v>1264</v>
      </c>
      <c r="M85" s="55" t="s">
        <v>78</v>
      </c>
      <c r="N85" s="55" t="s">
        <v>79</v>
      </c>
      <c r="O85" s="55" t="s">
        <v>1142</v>
      </c>
      <c r="P85" s="55" t="s">
        <v>110</v>
      </c>
      <c r="Q85" s="67" t="str">
        <f>IFERROR(__xludf.DUMMYFUNCTION("""COMPUTED_VALUE"""),"UnitedStates.giaotiep.M479_LHV.9822_MES_SangBD_200426")</f>
        <v>UnitedStates.giaotiep.M479_LHV.9822_MES_SangBD_200426</v>
      </c>
      <c r="R85" s="67" t="str">
        <f>IFERROR(__xludf.DUMMYFUNCTION("""COMPUTED_VALUE"""),"NEW_UnitedStates_1850_none_200426")</f>
        <v>NEW_UnitedStates_1850_none_200426</v>
      </c>
      <c r="S85" s="67" t="str">
        <f>IFERROR(__xludf.DUMMYFUNCTION("""COMPUTED_VALUE"""),"saletructiep_UnitedStates.M479.1850.giaotiep_THCNGDP_LD276")</f>
        <v>saletructiep_UnitedStates.M479.1850.giaotiep_THCNGDP_LD276</v>
      </c>
      <c r="T85" s="107" t="str">
        <f>IFERROR(__xludf.DUMMYFUNCTION("""COMPUTED_VALUE"""),"https://patado.edu.vn/khoa-giao-tiep-unitedstates/?utm_source=Facebook&amp;utm_medium=MES&amp;utm_term=NEW_UnitedStates_1850_none_200426&amp;utm_content=saletructiep_UnitedStates.M479.1850.giaotiep_THCNGDP_LD276&amp;utm_campaign=UnitedStates.giaotiep.M479_LHV.9822_MES_Sa"&amp;"ngBD_200426")</f>
        <v>https://patado.edu.vn/khoa-giao-tiep-unitedstates/?utm_source=Facebook&amp;utm_medium=MES&amp;utm_term=NEW_UnitedStates_1850_none_200426&amp;utm_content=saletructiep_UnitedStates.M479.1850.giaotiep_THCNGDP_LD276&amp;utm_campaign=UnitedStates.giaotiep.M479_LHV.9822_MES_SangBD_200426</v>
      </c>
      <c r="U85" s="111" t="s">
        <v>1719</v>
      </c>
    </row>
    <row r="86">
      <c r="A86" s="72">
        <v>46134.0</v>
      </c>
      <c r="B86" s="60" t="s">
        <v>1564</v>
      </c>
      <c r="C86" s="67" t="str">
        <f>IFERROR(__xludf.DUMMYFUNCTION("""COMPUTED_VALUE"""),"LD264")</f>
        <v>LD264</v>
      </c>
      <c r="D86" s="55" t="s">
        <v>42</v>
      </c>
      <c r="E86" s="55" t="s">
        <v>69</v>
      </c>
      <c r="F86" s="55" t="s">
        <v>133</v>
      </c>
      <c r="G86" s="55">
        <v>1850.0</v>
      </c>
      <c r="H86" s="55" t="s">
        <v>1485</v>
      </c>
      <c r="I86" s="55" t="s">
        <v>1666</v>
      </c>
      <c r="J86" s="55" t="s">
        <v>1721</v>
      </c>
      <c r="K86" s="55" t="s">
        <v>61</v>
      </c>
      <c r="L86" s="55" t="s">
        <v>1264</v>
      </c>
      <c r="M86" s="55" t="s">
        <v>78</v>
      </c>
      <c r="N86" s="55" t="s">
        <v>79</v>
      </c>
      <c r="O86" s="55" t="s">
        <v>1142</v>
      </c>
      <c r="P86" s="55" t="s">
        <v>110</v>
      </c>
      <c r="Q86" s="67" t="str">
        <f>IFERROR(__xludf.DUMMYFUNCTION("""COMPUTED_VALUE"""),"Japan.giaotiep.M527_LHV.9822_MES_SangBD_220426")</f>
        <v>Japan.giaotiep.M527_LHV.9822_MES_SangBD_220426</v>
      </c>
      <c r="R86" s="67" t="str">
        <f>IFERROR(__xludf.DUMMYFUNCTION("""COMPUTED_VALUE"""),"NEW_Japan_1850_none_220426")</f>
        <v>NEW_Japan_1850_none_220426</v>
      </c>
      <c r="S86" s="67" t="str">
        <f>IFERROR(__xludf.DUMMYFUNCTION("""COMPUTED_VALUE"""),"saletructiep_Japan.M527.1850.giaotiep_THCNGDP_LD264")</f>
        <v>saletructiep_Japan.M527.1850.giaotiep_THCNGDP_LD264</v>
      </c>
      <c r="T86" s="107" t="str">
        <f>IFERROR(__xludf.DUMMYFUNCTION("""COMPUTED_VALUE"""),"https://patado.edu.vn/khoa-tieng-anh-giao-tiep-o-nhat-ban/?utm_source=Facebook&amp;utm_medium=CVS&amp;utm_term=NEW_Japan_1850_none_220426&amp;utm_content=saletructiep_Japan.M527.1850.giaotiep_THCNGDP_LD264&amp;utm_campaign=Japan.giaotiep.M527_LHV.9822_MES_SangBD_220426")</f>
        <v>https://patado.edu.vn/khoa-tieng-anh-giao-tiep-o-nhat-ban/?utm_source=Facebook&amp;utm_medium=CVS&amp;utm_term=NEW_Japan_1850_none_220426&amp;utm_content=saletructiep_Japan.M527.1850.giaotiep_THCNGDP_LD264&amp;utm_campaign=Japan.giaotiep.M527_LHV.9822_MES_SangBD_220426</v>
      </c>
      <c r="U86" s="111" t="s">
        <v>1722</v>
      </c>
    </row>
    <row r="87">
      <c r="A87" s="72">
        <v>46134.0</v>
      </c>
      <c r="B87" s="60" t="s">
        <v>1553</v>
      </c>
      <c r="C87" s="67" t="str">
        <f>IFERROR(__xludf.DUMMYFUNCTION("""COMPUTED_VALUE"""),"LD263")</f>
        <v>LD263</v>
      </c>
      <c r="D87" s="55" t="s">
        <v>42</v>
      </c>
      <c r="E87" s="55" t="s">
        <v>79</v>
      </c>
      <c r="F87" s="55" t="s">
        <v>539</v>
      </c>
      <c r="G87" s="55">
        <v>1850.0</v>
      </c>
      <c r="H87" s="55" t="s">
        <v>1485</v>
      </c>
      <c r="I87" s="55" t="s">
        <v>1724</v>
      </c>
      <c r="J87" s="55" t="s">
        <v>1725</v>
      </c>
      <c r="K87" s="55" t="s">
        <v>61</v>
      </c>
      <c r="L87" s="55" t="s">
        <v>1264</v>
      </c>
      <c r="M87" s="55" t="s">
        <v>78</v>
      </c>
      <c r="N87" s="55" t="s">
        <v>79</v>
      </c>
      <c r="O87" s="55" t="s">
        <v>1142</v>
      </c>
      <c r="P87" s="55" t="s">
        <v>110</v>
      </c>
      <c r="Q87" s="67" t="str">
        <f>IFERROR(__xludf.DUMMYFUNCTION("""COMPUTED_VALUE"""),"ALL.giaotiep.M608_LHV.9822_MES_SangBD_220426")</f>
        <v>ALL.giaotiep.M608_LHV.9822_MES_SangBD_220426</v>
      </c>
      <c r="R87" s="67" t="str">
        <f>IFERROR(__xludf.DUMMYFUNCTION("""COMPUTED_VALUE"""),"NEW_ALL_1850_none_220426")</f>
        <v>NEW_ALL_1850_none_220426</v>
      </c>
      <c r="S87" s="67" t="str">
        <f>IFERROR(__xludf.DUMMYFUNCTION("""COMPUTED_VALUE"""),"saletructiep_ALL.giaotiep.M608.1850.giaotiep_THCNGDP_LD263")</f>
        <v>saletructiep_ALL.giaotiep.M608.1850.giaotiep_THCNGDP_LD263</v>
      </c>
      <c r="T87" s="107" t="str">
        <f>IFERROR(__xludf.DUMMYFUNCTION("""COMPUTED_VALUE"""),"https://patado.edu.vn/khoa-giao-tiep-tieng-anh-online-all/?utm_source=Facebook&amp;utm_medium=MES&amp;utm_term=NEW_ALL_1850_none_220426&amp;utm_content=saletructiep_ALL.giaotiep.M608.1850.giaotiep_THCNGDP_LD263&amp;utm_campaign=ALL.giaotiep.M608_LHV.9822_MES_SangBD_22042"&amp;"6")</f>
        <v>https://patado.edu.vn/khoa-giao-tiep-tieng-anh-online-all/?utm_source=Facebook&amp;utm_medium=MES&amp;utm_term=NEW_ALL_1850_none_220426&amp;utm_content=saletructiep_ALL.giaotiep.M608.1850.giaotiep_THCNGDP_LD263&amp;utm_campaign=ALL.giaotiep.M608_LHV.9822_MES_SangBD_220426</v>
      </c>
      <c r="U87" s="111" t="s">
        <v>1731</v>
      </c>
    </row>
    <row r="88">
      <c r="A88" s="72">
        <v>46135.0</v>
      </c>
      <c r="B88" s="60" t="s">
        <v>1642</v>
      </c>
      <c r="C88" s="67" t="str">
        <f>IFERROR(__xludf.DUMMYFUNCTION("""COMPUTED_VALUE"""),"LD275")</f>
        <v>LD275</v>
      </c>
      <c r="D88" s="55" t="s">
        <v>42</v>
      </c>
      <c r="E88" s="55" t="s">
        <v>69</v>
      </c>
      <c r="F88" s="55" t="s">
        <v>674</v>
      </c>
      <c r="G88" s="55">
        <v>1850.0</v>
      </c>
      <c r="H88" s="55" t="s">
        <v>1485</v>
      </c>
      <c r="I88" s="55" t="s">
        <v>1733</v>
      </c>
      <c r="J88" s="55" t="s">
        <v>1734</v>
      </c>
      <c r="K88" s="55" t="s">
        <v>61</v>
      </c>
      <c r="L88" s="55" t="s">
        <v>1264</v>
      </c>
      <c r="M88" s="55" t="s">
        <v>78</v>
      </c>
      <c r="N88" s="55" t="s">
        <v>69</v>
      </c>
      <c r="O88" s="55" t="s">
        <v>1142</v>
      </c>
      <c r="P88" s="55" t="s">
        <v>110</v>
      </c>
      <c r="Q88" s="67" t="str">
        <f>IFERROR(__xludf.DUMMYFUNCTION("""COMPUTED_VALUE"""),"Europe.giaotiep.M578_LHV.9822_CVS_SangBD_230426")</f>
        <v>Europe.giaotiep.M578_LHV.9822_CVS_SangBD_230426</v>
      </c>
      <c r="R88" s="67" t="str">
        <f>IFERROR(__xludf.DUMMYFUNCTION("""COMPUTED_VALUE"""),"NEW_Europe_1850_none_230426")</f>
        <v>NEW_Europe_1850_none_230426</v>
      </c>
      <c r="S88" s="67" t="str">
        <f>IFERROR(__xludf.DUMMYFUNCTION("""COMPUTED_VALUE"""),"saletructiep_Europe.M578.1850.giaotiep_THCNGDP_LD275")</f>
        <v>saletructiep_Europe.M578.1850.giaotiep_THCNGDP_LD275</v>
      </c>
      <c r="T88" s="107" t="str">
        <f>IFERROR(__xludf.DUMMYFUNCTION("""COMPUTED_VALUE"""),"https://patado.edu.vn/khoa-tieng-anh-giao-tiep-chau-au/?utm_source=Facebook&amp;utm_medium=CVS&amp;utm_term=NEW_Europe_1850_none_230426&amp;utm_content=saletructiep_Europe.M578.1850.giaotiep_THCNGDP_LD275&amp;utm_campaign=Europe.giaotiep.M578_LHV.9822_CVS_SangBD_230426")</f>
        <v>https://patado.edu.vn/khoa-tieng-anh-giao-tiep-chau-au/?utm_source=Facebook&amp;utm_medium=CVS&amp;utm_term=NEW_Europe_1850_none_230426&amp;utm_content=saletructiep_Europe.M578.1850.giaotiep_THCNGDP_LD275&amp;utm_campaign=Europe.giaotiep.M578_LHV.9822_CVS_SangBD_230426</v>
      </c>
      <c r="U88" s="111" t="s">
        <v>1736</v>
      </c>
    </row>
    <row r="89">
      <c r="A89" s="50">
        <v>46137.0</v>
      </c>
      <c r="B89" s="128" t="s">
        <v>1651</v>
      </c>
      <c r="C89" s="129" t="str">
        <f>IFERROR(__xludf.DUMMYFUNCTION("""COMPUTED_VALUE"""),"LD276")</f>
        <v>LD276</v>
      </c>
      <c r="D89" s="114" t="s">
        <v>42</v>
      </c>
      <c r="E89" s="114" t="s">
        <v>79</v>
      </c>
      <c r="F89" s="114" t="s">
        <v>107</v>
      </c>
      <c r="G89" s="114">
        <v>1850.0</v>
      </c>
      <c r="H89" s="114" t="s">
        <v>1485</v>
      </c>
      <c r="I89" s="114" t="s">
        <v>1633</v>
      </c>
      <c r="J89" s="114" t="s">
        <v>1739</v>
      </c>
      <c r="K89" s="114" t="s">
        <v>61</v>
      </c>
      <c r="L89" s="114" t="s">
        <v>1264</v>
      </c>
      <c r="M89" s="114" t="s">
        <v>78</v>
      </c>
      <c r="N89" s="114" t="s">
        <v>79</v>
      </c>
      <c r="O89" s="114" t="s">
        <v>1142</v>
      </c>
      <c r="P89" s="114" t="s">
        <v>110</v>
      </c>
      <c r="Q89" s="129" t="str">
        <f>IFERROR(__xludf.DUMMYFUNCTION("""COMPUTED_VALUE"""),"UnitedStates.giaotiep.M645_LHV.9822_MES_SangBD_250426")</f>
        <v>UnitedStates.giaotiep.M645_LHV.9822_MES_SangBD_250426</v>
      </c>
      <c r="R89" s="129" t="str">
        <f>IFERROR(__xludf.DUMMYFUNCTION("""COMPUTED_VALUE"""),"NEW_UnitedStates_1850_none_250426")</f>
        <v>NEW_UnitedStates_1850_none_250426</v>
      </c>
      <c r="S89" s="129" t="str">
        <f>IFERROR(__xludf.DUMMYFUNCTION("""COMPUTED_VALUE"""),"saletructiep_UnitedStates.M645.1850.giaotiep_THCNGDP_LD276")</f>
        <v>saletructiep_UnitedStates.M645.1850.giaotiep_THCNGDP_LD276</v>
      </c>
      <c r="T89" s="130" t="str">
        <f>IFERROR(__xludf.DUMMYFUNCTION("""COMPUTED_VALUE"""),"https://patado.edu.vn/khoa-giao-tiep-unitedstates/?utm_source=Facebook&amp;utm_medium=MES&amp;utm_term=NEW_UnitedStates_1850_none_250426&amp;utm_content=saletructiep_UnitedStates.M645.1850.giaotiep_THCNGDP_LD276&amp;utm_campaign=UnitedStates.giaotiep.M645_LHV.9822_MES_Sa"&amp;"ngBD_250426")</f>
        <v>https://patado.edu.vn/khoa-giao-tiep-unitedstates/?utm_source=Facebook&amp;utm_medium=MES&amp;utm_term=NEW_UnitedStates_1850_none_250426&amp;utm_content=saletructiep_UnitedStates.M645.1850.giaotiep_THCNGDP_LD276&amp;utm_campaign=UnitedStates.giaotiep.M645_LHV.9822_MES_SangBD_250426</v>
      </c>
      <c r="U89" s="131"/>
    </row>
    <row r="90">
      <c r="A90" s="72">
        <v>46140.0</v>
      </c>
      <c r="B90" s="60" t="s">
        <v>1564</v>
      </c>
      <c r="C90" s="67" t="str">
        <f>IFERROR(__xludf.DUMMYFUNCTION("""COMPUTED_VALUE"""),"LD264")</f>
        <v>LD264</v>
      </c>
      <c r="D90" s="55" t="s">
        <v>42</v>
      </c>
      <c r="E90" s="55" t="s">
        <v>69</v>
      </c>
      <c r="F90" s="55" t="s">
        <v>133</v>
      </c>
      <c r="G90" s="55">
        <v>1850.0</v>
      </c>
      <c r="H90" s="55" t="s">
        <v>1485</v>
      </c>
      <c r="I90" s="55" t="s">
        <v>1745</v>
      </c>
      <c r="J90" s="55" t="s">
        <v>1746</v>
      </c>
      <c r="K90" s="55" t="s">
        <v>61</v>
      </c>
      <c r="L90" s="55" t="s">
        <v>1264</v>
      </c>
      <c r="M90" s="55" t="s">
        <v>78</v>
      </c>
      <c r="N90" s="55" t="s">
        <v>79</v>
      </c>
      <c r="O90" s="55" t="s">
        <v>1142</v>
      </c>
      <c r="P90" s="55" t="s">
        <v>110</v>
      </c>
      <c r="Q90" s="67" t="str">
        <f>IFERROR(__xludf.DUMMYFUNCTION("""COMPUTED_VALUE"""),"Japan.giaotiep.M658xM600_LHV.9822_MES_SangBD_280426")</f>
        <v>Japan.giaotiep.M658xM600_LHV.9822_MES_SangBD_280426</v>
      </c>
      <c r="R90" s="67" t="str">
        <f>IFERROR(__xludf.DUMMYFUNCTION("""COMPUTED_VALUE"""),"NEW_Japan_1850_none_280426")</f>
        <v>NEW_Japan_1850_none_280426</v>
      </c>
      <c r="S90" s="67" t="str">
        <f>IFERROR(__xludf.DUMMYFUNCTION("""COMPUTED_VALUE"""),"saletructiep_Japan.M658.1850.giaotiep_THCNGDP_LD264")</f>
        <v>saletructiep_Japan.M658.1850.giaotiep_THCNGDP_LD264</v>
      </c>
      <c r="T90" s="107" t="str">
        <f>IFERROR(__xludf.DUMMYFUNCTION("""COMPUTED_VALUE"""),"https://patado.edu.vn/khoa-tieng-anh-giao-tiep-o-nhat-ban/?utm_source=Facebook&amp;utm_medium=CVS&amp;utm_term=NEW_Japan_1850_none_280426&amp;utm_content=saletructiep_Japan.M658.1850.giaotiep_THCNGDP_LD264&amp;utm_campaign=Japan.giaotiep.M658xM600_LHV.9822_MES_SangBD_280"&amp;"426")</f>
        <v>https://patado.edu.vn/khoa-tieng-anh-giao-tiep-o-nhat-ban/?utm_source=Facebook&amp;utm_medium=CVS&amp;utm_term=NEW_Japan_1850_none_280426&amp;utm_content=saletructiep_Japan.M658.1850.giaotiep_THCNGDP_LD264&amp;utm_campaign=Japan.giaotiep.M658xM600_LHV.9822_MES_SangBD_280426</v>
      </c>
      <c r="U90" s="111" t="s">
        <v>1747</v>
      </c>
    </row>
    <row r="91">
      <c r="A91" s="72">
        <v>46141.0</v>
      </c>
      <c r="B91" s="60" t="s">
        <v>1642</v>
      </c>
      <c r="C91" s="67" t="str">
        <f>IFERROR(__xludf.DUMMYFUNCTION("""COMPUTED_VALUE"""),"LD275")</f>
        <v>LD275</v>
      </c>
      <c r="D91" s="55" t="s">
        <v>42</v>
      </c>
      <c r="E91" s="55" t="s">
        <v>69</v>
      </c>
      <c r="F91" s="55" t="s">
        <v>674</v>
      </c>
      <c r="G91" s="55">
        <v>1850.0</v>
      </c>
      <c r="H91" s="55" t="s">
        <v>1485</v>
      </c>
      <c r="I91" s="55" t="s">
        <v>1751</v>
      </c>
      <c r="J91" s="55" t="s">
        <v>1752</v>
      </c>
      <c r="K91" s="55" t="s">
        <v>61</v>
      </c>
      <c r="L91" s="55" t="s">
        <v>1264</v>
      </c>
      <c r="M91" s="55" t="s">
        <v>78</v>
      </c>
      <c r="N91" s="55" t="s">
        <v>69</v>
      </c>
      <c r="O91" s="55" t="s">
        <v>1142</v>
      </c>
      <c r="P91" s="55" t="s">
        <v>110</v>
      </c>
      <c r="Q91" s="67" t="str">
        <f>IFERROR(__xludf.DUMMYFUNCTION("""COMPUTED_VALUE"""),"Europe.giaotiep.M669xanhnote_LHV.9822_CVS_SangBD_290426")</f>
        <v>Europe.giaotiep.M669xanhnote_LHV.9822_CVS_SangBD_290426</v>
      </c>
      <c r="R91" s="67" t="str">
        <f>IFERROR(__xludf.DUMMYFUNCTION("""COMPUTED_VALUE"""),"NEW_Europe_1850_none_290426")</f>
        <v>NEW_Europe_1850_none_290426</v>
      </c>
      <c r="S91" s="67" t="str">
        <f>IFERROR(__xludf.DUMMYFUNCTION("""COMPUTED_VALUE"""),"saletructiep_Europe.M669.1850.giaotiep_THCNGDP_LD275")</f>
        <v>saletructiep_Europe.M669.1850.giaotiep_THCNGDP_LD275</v>
      </c>
      <c r="T91" s="107" t="str">
        <f>IFERROR(__xludf.DUMMYFUNCTION("""COMPUTED_VALUE"""),"https://patado.edu.vn/khoa-tieng-anh-giao-tiep-chau-au/?utm_source=Facebook&amp;utm_medium=CVS&amp;utm_term=NEW_Europe_1850_none_290426&amp;utm_content=saletructiep_Europe.M669.1850.giaotiep_THCNGDP_LD275&amp;utm_campaign=Europe.giaotiep.M669xanhnote_LHV.9822_CVS_SangBD_"&amp;"290426")</f>
        <v>https://patado.edu.vn/khoa-tieng-anh-giao-tiep-chau-au/?utm_source=Facebook&amp;utm_medium=CVS&amp;utm_term=NEW_Europe_1850_none_290426&amp;utm_content=saletructiep_Europe.M669.1850.giaotiep_THCNGDP_LD275&amp;utm_campaign=Europe.giaotiep.M669xanhnote_LHV.9822_CVS_SangBD_290426</v>
      </c>
      <c r="U91" s="110" t="s">
        <v>1755</v>
      </c>
    </row>
    <row r="92">
      <c r="A92" s="72">
        <v>46146.0</v>
      </c>
      <c r="B92" s="60" t="s">
        <v>1564</v>
      </c>
      <c r="C92" s="67" t="str">
        <f>IFERROR(__xludf.DUMMYFUNCTION("""COMPUTED_VALUE"""),"LD264")</f>
        <v>LD264</v>
      </c>
      <c r="D92" s="55" t="s">
        <v>42</v>
      </c>
      <c r="E92" s="55" t="s">
        <v>69</v>
      </c>
      <c r="F92" s="55" t="s">
        <v>133</v>
      </c>
      <c r="G92" s="55">
        <v>1845.0</v>
      </c>
      <c r="H92" s="55" t="s">
        <v>1485</v>
      </c>
      <c r="I92" s="55" t="s">
        <v>1756</v>
      </c>
      <c r="J92" s="55" t="s">
        <v>1757</v>
      </c>
      <c r="K92" s="55" t="s">
        <v>61</v>
      </c>
      <c r="L92" s="55" t="s">
        <v>1264</v>
      </c>
      <c r="M92" s="55" t="s">
        <v>78</v>
      </c>
      <c r="N92" s="55" t="s">
        <v>69</v>
      </c>
      <c r="O92" s="55" t="s">
        <v>1142</v>
      </c>
      <c r="P92" s="55" t="s">
        <v>110</v>
      </c>
      <c r="Q92" s="67" t="str">
        <f>IFERROR(__xludf.DUMMYFUNCTION("""COMPUTED_VALUE"""),"Japan.giaotiep.M645xM600_LHV.9822_CVS_SangBD_040526")</f>
        <v>Japan.giaotiep.M645xM600_LHV.9822_CVS_SangBD_040526</v>
      </c>
      <c r="R92" s="67" t="str">
        <f>IFERROR(__xludf.DUMMYFUNCTION("""COMPUTED_VALUE"""),"NEW_Japan_1845_none_040526")</f>
        <v>NEW_Japan_1845_none_040526</v>
      </c>
      <c r="S92" s="67" t="str">
        <f>IFERROR(__xludf.DUMMYFUNCTION("""COMPUTED_VALUE"""),"saletructiep_Japan.M600.1845.giaotiep_THCNGDP_LD264")</f>
        <v>saletructiep_Japan.M600.1845.giaotiep_THCNGDP_LD264</v>
      </c>
      <c r="T92" s="107" t="str">
        <f>IFERROR(__xludf.DUMMYFUNCTION("""COMPUTED_VALUE"""),"https://patado.edu.vn/khoa-tieng-anh-giao-tiep-o-nhat-ban/?utm_source=Facebook&amp;utm_medium=CVS&amp;utm_term=NEW_Japan_1845_none_040526&amp;utm_content=saletructiep_Japan.M600.1845.giaotiep_THCNGDP_LD264&amp;utm_campaign=Japan.giaotiep.M645xM600_LHV.9822_CVS_SangBD_040"&amp;"526")</f>
        <v>https://patado.edu.vn/khoa-tieng-anh-giao-tiep-o-nhat-ban/?utm_source=Facebook&amp;utm_medium=CVS&amp;utm_term=NEW_Japan_1845_none_040526&amp;utm_content=saletructiep_Japan.M600.1845.giaotiep_THCNGDP_LD264&amp;utm_campaign=Japan.giaotiep.M645xM600_LHV.9822_CVS_SangBD_040526</v>
      </c>
      <c r="U92" s="111" t="s">
        <v>1761</v>
      </c>
    </row>
    <row r="93">
      <c r="A93" s="50">
        <v>46146.0</v>
      </c>
      <c r="B93" s="128" t="s">
        <v>1642</v>
      </c>
      <c r="C93" s="129" t="str">
        <f>IFERROR(__xludf.DUMMYFUNCTION("""COMPUTED_VALUE"""),"LD275")</f>
        <v>LD275</v>
      </c>
      <c r="D93" s="114" t="s">
        <v>42</v>
      </c>
      <c r="E93" s="114" t="s">
        <v>69</v>
      </c>
      <c r="F93" s="114" t="s">
        <v>674</v>
      </c>
      <c r="G93" s="114">
        <v>1850.0</v>
      </c>
      <c r="H93" s="114" t="s">
        <v>1485</v>
      </c>
      <c r="I93" s="114" t="s">
        <v>1762</v>
      </c>
      <c r="J93" s="114" t="s">
        <v>1763</v>
      </c>
      <c r="K93" s="114" t="s">
        <v>61</v>
      </c>
      <c r="L93" s="114" t="s">
        <v>1264</v>
      </c>
      <c r="M93" s="114" t="s">
        <v>78</v>
      </c>
      <c r="N93" s="114" t="s">
        <v>69</v>
      </c>
      <c r="O93" s="114" t="s">
        <v>1142</v>
      </c>
      <c r="P93" s="114" t="s">
        <v>110</v>
      </c>
      <c r="Q93" s="129" t="str">
        <f>IFERROR(__xludf.DUMMYFUNCTION("""COMPUTED_VALUE"""),"Europe.giaotiep.M631xanhnote_LHV.9822_CVS_SangBD_040526")</f>
        <v>Europe.giaotiep.M631xanhnote_LHV.9822_CVS_SangBD_040526</v>
      </c>
      <c r="R93" s="129" t="str">
        <f>IFERROR(__xludf.DUMMYFUNCTION("""COMPUTED_VALUE"""),"NEW_Europe_1850_none_040526")</f>
        <v>NEW_Europe_1850_none_040526</v>
      </c>
      <c r="S93" s="129" t="str">
        <f>IFERROR(__xludf.DUMMYFUNCTION("""COMPUTED_VALUE"""),"saletructiep_Europe.M631.1850.giaotiep_THCNGDP_LD275")</f>
        <v>saletructiep_Europe.M631.1850.giaotiep_THCNGDP_LD275</v>
      </c>
      <c r="T93" s="130" t="str">
        <f>IFERROR(__xludf.DUMMYFUNCTION("""COMPUTED_VALUE"""),"https://patado.edu.vn/khoa-tieng-anh-giao-tiep-chau-au/?utm_source=Facebook&amp;utm_medium=CVS&amp;utm_term=NEW_Europe_1850_none_040526&amp;utm_content=saletructiep_Europe.M631.1850.giaotiep_THCNGDP_LD275&amp;utm_campaign=Europe.giaotiep.M631xanhnote_LHV.9822_CVS_SangBD_"&amp;"040526")</f>
        <v>https://patado.edu.vn/khoa-tieng-anh-giao-tiep-chau-au/?utm_source=Facebook&amp;utm_medium=CVS&amp;utm_term=NEW_Europe_1850_none_040526&amp;utm_content=saletructiep_Europe.M631.1850.giaotiep_THCNGDP_LD275&amp;utm_campaign=Europe.giaotiep.M631xanhnote_LHV.9822_CVS_SangBD_040526</v>
      </c>
      <c r="U93" s="133" t="s">
        <v>1769</v>
      </c>
    </row>
    <row r="94">
      <c r="A94" s="72">
        <v>46146.0</v>
      </c>
      <c r="B94" s="60" t="s">
        <v>1564</v>
      </c>
      <c r="C94" s="67" t="str">
        <f>IFERROR(__xludf.DUMMYFUNCTION("""COMPUTED_VALUE"""),"LD264")</f>
        <v>LD264</v>
      </c>
      <c r="D94" s="55" t="s">
        <v>42</v>
      </c>
      <c r="E94" s="55" t="s">
        <v>69</v>
      </c>
      <c r="F94" s="55" t="s">
        <v>133</v>
      </c>
      <c r="G94" s="55">
        <v>1845.0</v>
      </c>
      <c r="H94" s="55" t="s">
        <v>1485</v>
      </c>
      <c r="I94" s="55" t="s">
        <v>1770</v>
      </c>
      <c r="J94" s="55" t="s">
        <v>1772</v>
      </c>
      <c r="K94" s="55" t="s">
        <v>61</v>
      </c>
      <c r="L94" s="55" t="s">
        <v>1264</v>
      </c>
      <c r="M94" s="55" t="s">
        <v>78</v>
      </c>
      <c r="N94" s="55" t="s">
        <v>69</v>
      </c>
      <c r="O94" s="55" t="s">
        <v>1142</v>
      </c>
      <c r="P94" s="55" t="s">
        <v>110</v>
      </c>
      <c r="Q94" s="67" t="str">
        <f>IFERROR(__xludf.DUMMYFUNCTION("""COMPUTED_VALUE"""),"Japan.giaotiep.M643_LHV.9822_CVS_SangBD_040526")</f>
        <v>Japan.giaotiep.M643_LHV.9822_CVS_SangBD_040526</v>
      </c>
      <c r="R94" s="67" t="str">
        <f>IFERROR(__xludf.DUMMYFUNCTION("""COMPUTED_VALUE"""),"NEW_Japan_1845_none_040526")</f>
        <v>NEW_Japan_1845_none_040526</v>
      </c>
      <c r="S94" s="67" t="str">
        <f>IFERROR(__xludf.DUMMYFUNCTION("""COMPUTED_VALUE"""),"saletructiep_Japan.M643.1845.giaotiep_THCNGDP_LD264")</f>
        <v>saletructiep_Japan.M643.1845.giaotiep_THCNGDP_LD264</v>
      </c>
      <c r="T94" s="107" t="str">
        <f>IFERROR(__xludf.DUMMYFUNCTION("""COMPUTED_VALUE"""),"https://patado.edu.vn/khoa-tieng-anh-giao-tiep-o-nhat-ban/?utm_source=Facebook&amp;utm_medium=CVS&amp;utm_term=NEW_Japan_1845_none_040526&amp;utm_content=saletructiep_Japan.M643.1845.giaotiep_THCNGDP_LD264&amp;utm_campaign=Japan.giaotiep.M643_LHV.9822_CVS_SangBD_040526")</f>
        <v>https://patado.edu.vn/khoa-tieng-anh-giao-tiep-o-nhat-ban/?utm_source=Facebook&amp;utm_medium=CVS&amp;utm_term=NEW_Japan_1845_none_040526&amp;utm_content=saletructiep_Japan.M643.1845.giaotiep_THCNGDP_LD264&amp;utm_campaign=Japan.giaotiep.M643_LHV.9822_CVS_SangBD_040526</v>
      </c>
      <c r="U94" s="110" t="s">
        <v>1776</v>
      </c>
    </row>
    <row r="95">
      <c r="A95" s="72">
        <v>46146.0</v>
      </c>
      <c r="B95" s="60" t="s">
        <v>1651</v>
      </c>
      <c r="C95" s="67" t="str">
        <f>IFERROR(__xludf.DUMMYFUNCTION("""COMPUTED_VALUE"""),"LD276")</f>
        <v>LD276</v>
      </c>
      <c r="D95" s="55" t="s">
        <v>42</v>
      </c>
      <c r="E95" s="55" t="s">
        <v>79</v>
      </c>
      <c r="F95" s="55" t="s">
        <v>107</v>
      </c>
      <c r="G95" s="55">
        <v>1850.0</v>
      </c>
      <c r="H95" s="55" t="s">
        <v>1485</v>
      </c>
      <c r="I95" s="55" t="s">
        <v>1716</v>
      </c>
      <c r="J95" s="55" t="s">
        <v>1717</v>
      </c>
      <c r="K95" s="55" t="s">
        <v>61</v>
      </c>
      <c r="L95" s="55" t="s">
        <v>1264</v>
      </c>
      <c r="M95" s="55" t="s">
        <v>78</v>
      </c>
      <c r="N95" s="55" t="s">
        <v>79</v>
      </c>
      <c r="O95" s="55" t="s">
        <v>1142</v>
      </c>
      <c r="P95" s="55" t="s">
        <v>110</v>
      </c>
      <c r="Q95" s="67" t="str">
        <f>IFERROR(__xludf.DUMMYFUNCTION("""COMPUTED_VALUE"""),"UnitedStates.giaotiep.M479_LHV.9822_MES_SangBD_040526")</f>
        <v>UnitedStates.giaotiep.M479_LHV.9822_MES_SangBD_040526</v>
      </c>
      <c r="R95" s="67" t="str">
        <f>IFERROR(__xludf.DUMMYFUNCTION("""COMPUTED_VALUE"""),"NEW_UnitedStates_1850_none_040526")</f>
        <v>NEW_UnitedStates_1850_none_040526</v>
      </c>
      <c r="S95" s="67" t="str">
        <f>IFERROR(__xludf.DUMMYFUNCTION("""COMPUTED_VALUE"""),"saletructiep_UnitedStates.M479.1850.giaotiep_THCNGDP_LD276")</f>
        <v>saletructiep_UnitedStates.M479.1850.giaotiep_THCNGDP_LD276</v>
      </c>
      <c r="T95" s="107" t="str">
        <f>IFERROR(__xludf.DUMMYFUNCTION("""COMPUTED_VALUE"""),"https://patado.edu.vn/khoa-giao-tiep-unitedstates/?utm_source=Facebook&amp;utm_medium=MES&amp;utm_term=NEW_UnitedStates_1850_none_040526&amp;utm_content=saletructiep_UnitedStates.M479.1850.giaotiep_THCNGDP_LD276&amp;utm_campaign=UnitedStates.giaotiep.M479_LHV.9822_MES_Sa"&amp;"ngBD_040526")</f>
        <v>https://patado.edu.vn/khoa-giao-tiep-unitedstates/?utm_source=Facebook&amp;utm_medium=MES&amp;utm_term=NEW_UnitedStates_1850_none_040526&amp;utm_content=saletructiep_UnitedStates.M479.1850.giaotiep_THCNGDP_LD276&amp;utm_campaign=UnitedStates.giaotiep.M479_LHV.9822_MES_SangBD_040526</v>
      </c>
      <c r="U95" s="116"/>
    </row>
    <row r="96">
      <c r="A96" s="72">
        <v>46148.0</v>
      </c>
      <c r="B96" s="60" t="s">
        <v>1642</v>
      </c>
      <c r="C96" s="67" t="str">
        <f>IFERROR(__xludf.DUMMYFUNCTION("""COMPUTED_VALUE"""),"LD275")</f>
        <v>LD275</v>
      </c>
      <c r="D96" s="55" t="s">
        <v>42</v>
      </c>
      <c r="E96" s="55" t="s">
        <v>69</v>
      </c>
      <c r="F96" s="55" t="s">
        <v>674</v>
      </c>
      <c r="G96" s="55">
        <v>1840.0</v>
      </c>
      <c r="H96" s="55" t="s">
        <v>1485</v>
      </c>
      <c r="I96" s="55" t="s">
        <v>1783</v>
      </c>
      <c r="J96" s="55" t="s">
        <v>1784</v>
      </c>
      <c r="K96" s="55" t="s">
        <v>61</v>
      </c>
      <c r="L96" s="55" t="s">
        <v>1264</v>
      </c>
      <c r="M96" s="55" t="s">
        <v>78</v>
      </c>
      <c r="N96" s="55" t="s">
        <v>69</v>
      </c>
      <c r="O96" s="55" t="s">
        <v>1142</v>
      </c>
      <c r="P96" s="55" t="s">
        <v>110</v>
      </c>
      <c r="Q96" s="67" t="str">
        <f>IFERROR(__xludf.DUMMYFUNCTION("""COMPUTED_VALUE"""),"Europe.giaotiep.M658_LHV.9822_CVS_SangBD_060526")</f>
        <v>Europe.giaotiep.M658_LHV.9822_CVS_SangBD_060526</v>
      </c>
      <c r="R96" s="67" t="str">
        <f>IFERROR(__xludf.DUMMYFUNCTION("""COMPUTED_VALUE"""),"NEW_Europe_1840_none_060526")</f>
        <v>NEW_Europe_1840_none_060526</v>
      </c>
      <c r="S96" s="67" t="str">
        <f>IFERROR(__xludf.DUMMYFUNCTION("""COMPUTED_VALUE"""),"saletructiep_Europe.M658.1840.giaotiep_THCNGDP_LD275")</f>
        <v>saletructiep_Europe.M658.1840.giaotiep_THCNGDP_LD275</v>
      </c>
      <c r="T96" s="107" t="str">
        <f>IFERROR(__xludf.DUMMYFUNCTION("""COMPUTED_VALUE"""),"https://patado.edu.vn/khoa-tieng-anh-giao-tiep-chau-au/?utm_source=Facebook&amp;utm_medium=CVS&amp;utm_term=NEW_Europe_1840_none_060526&amp;utm_content=saletructiep_Europe.M658.1840.giaotiep_THCNGDP_LD275&amp;utm_campaign=Europe.giaotiep.M658_LHV.9822_CVS_SangBD_060526")</f>
        <v>https://patado.edu.vn/khoa-tieng-anh-giao-tiep-chau-au/?utm_source=Facebook&amp;utm_medium=CVS&amp;utm_term=NEW_Europe_1840_none_060526&amp;utm_content=saletructiep_Europe.M658.1840.giaotiep_THCNGDP_LD275&amp;utm_campaign=Europe.giaotiep.M658_LHV.9822_CVS_SangBD_060526</v>
      </c>
      <c r="U96" s="111" t="s">
        <v>1787</v>
      </c>
    </row>
    <row r="97">
      <c r="A97" s="50">
        <v>46148.0</v>
      </c>
      <c r="B97" s="128" t="s">
        <v>1553</v>
      </c>
      <c r="C97" s="129" t="str">
        <f>IFERROR(__xludf.DUMMYFUNCTION("""COMPUTED_VALUE"""),"LD263")</f>
        <v>LD263</v>
      </c>
      <c r="D97" s="114" t="s">
        <v>42</v>
      </c>
      <c r="E97" s="114" t="s">
        <v>79</v>
      </c>
      <c r="F97" s="114" t="s">
        <v>539</v>
      </c>
      <c r="G97" s="114">
        <v>1845.0</v>
      </c>
      <c r="H97" s="114" t="s">
        <v>1485</v>
      </c>
      <c r="I97" s="114" t="s">
        <v>1791</v>
      </c>
      <c r="J97" s="114" t="s">
        <v>1792</v>
      </c>
      <c r="K97" s="114" t="s">
        <v>61</v>
      </c>
      <c r="L97" s="114" t="s">
        <v>1264</v>
      </c>
      <c r="M97" s="114" t="s">
        <v>78</v>
      </c>
      <c r="N97" s="114" t="s">
        <v>79</v>
      </c>
      <c r="O97" s="114" t="s">
        <v>1142</v>
      </c>
      <c r="P97" s="114" t="s">
        <v>110</v>
      </c>
      <c r="Q97" s="129" t="str">
        <f>IFERROR(__xludf.DUMMYFUNCTION("""COMPUTED_VALUE"""),"ALL.giaotiep.M658_LHV.9822_MES_SangBD_060526")</f>
        <v>ALL.giaotiep.M658_LHV.9822_MES_SangBD_060526</v>
      </c>
      <c r="R97" s="129" t="str">
        <f>IFERROR(__xludf.DUMMYFUNCTION("""COMPUTED_VALUE"""),"NEW_ALL_1845_none_060526")</f>
        <v>NEW_ALL_1845_none_060526</v>
      </c>
      <c r="S97" s="129" t="str">
        <f>IFERROR(__xludf.DUMMYFUNCTION("""COMPUTED_VALUE"""),"saletructiep_ALL.giaotiep.M658.1845.giaotiep_THCNGDP_LD263")</f>
        <v>saletructiep_ALL.giaotiep.M658.1845.giaotiep_THCNGDP_LD263</v>
      </c>
      <c r="T97" s="130" t="str">
        <f>IFERROR(__xludf.DUMMYFUNCTION("""COMPUTED_VALUE"""),"https://patado.edu.vn/khoa-giao-tiep-tieng-anh-online-all/?utm_source=Facebook&amp;utm_medium=MES&amp;utm_term=NEW_ALL_1845_none_060526&amp;utm_content=saletructiep_ALL.giaotiep.M658.1845.giaotiep_THCNGDP_LD263&amp;utm_campaign=ALL.giaotiep.M658_LHV.9822_MES_SangBD_06052"&amp;"6")</f>
        <v>https://patado.edu.vn/khoa-giao-tiep-tieng-anh-online-all/?utm_source=Facebook&amp;utm_medium=MES&amp;utm_term=NEW_ALL_1845_none_060526&amp;utm_content=saletructiep_ALL.giaotiep.M658.1845.giaotiep_THCNGDP_LD263&amp;utm_campaign=ALL.giaotiep.M658_LHV.9822_MES_SangBD_060526</v>
      </c>
      <c r="U97" s="133" t="s">
        <v>1794</v>
      </c>
    </row>
    <row r="98">
      <c r="A98" s="72">
        <v>46149.0</v>
      </c>
      <c r="B98" s="60" t="s">
        <v>1651</v>
      </c>
      <c r="C98" s="67" t="str">
        <f>IFERROR(__xludf.DUMMYFUNCTION("""COMPUTED_VALUE"""),"LD276")</f>
        <v>LD276</v>
      </c>
      <c r="D98" s="55" t="s">
        <v>42</v>
      </c>
      <c r="E98" s="55" t="s">
        <v>79</v>
      </c>
      <c r="F98" s="55" t="s">
        <v>107</v>
      </c>
      <c r="G98" s="55">
        <v>1850.0</v>
      </c>
      <c r="H98" s="55" t="s">
        <v>1485</v>
      </c>
      <c r="I98" s="55" t="s">
        <v>1800</v>
      </c>
      <c r="J98" s="55" t="s">
        <v>1801</v>
      </c>
      <c r="K98" s="55" t="s">
        <v>61</v>
      </c>
      <c r="L98" s="55" t="s">
        <v>1264</v>
      </c>
      <c r="M98" s="55" t="s">
        <v>78</v>
      </c>
      <c r="N98" s="55" t="s">
        <v>79</v>
      </c>
      <c r="O98" s="55" t="s">
        <v>1142</v>
      </c>
      <c r="P98" s="55" t="s">
        <v>110</v>
      </c>
      <c r="Q98" s="67" t="str">
        <f>IFERROR(__xludf.DUMMYFUNCTION("""COMPUTED_VALUE"""),"UnitedStates.giaotiep.M634_LHV.9822_MES_SangBD_070526")</f>
        <v>UnitedStates.giaotiep.M634_LHV.9822_MES_SangBD_070526</v>
      </c>
      <c r="R98" s="67" t="str">
        <f>IFERROR(__xludf.DUMMYFUNCTION("""COMPUTED_VALUE"""),"NEW_UnitedStates_1850_none_070526")</f>
        <v>NEW_UnitedStates_1850_none_070526</v>
      </c>
      <c r="S98" s="67" t="str">
        <f>IFERROR(__xludf.DUMMYFUNCTION("""COMPUTED_VALUE"""),"saletructiep_UnitedStates.M634.1850.giaotiep_THCNGDP_LD276")</f>
        <v>saletructiep_UnitedStates.M634.1850.giaotiep_THCNGDP_LD276</v>
      </c>
      <c r="T98" s="107" t="str">
        <f>IFERROR(__xludf.DUMMYFUNCTION("""COMPUTED_VALUE"""),"https://patado.edu.vn/khoa-giao-tiep-unitedstates/?utm_source=Facebook&amp;utm_medium=MES&amp;utm_term=NEW_UnitedStates_1850_none_070526&amp;utm_content=saletructiep_UnitedStates.M634.1850.giaotiep_THCNGDP_LD276&amp;utm_campaign=UnitedStates.giaotiep.M634_LHV.9822_MES_Sa"&amp;"ngBD_070526")</f>
        <v>https://patado.edu.vn/khoa-giao-tiep-unitedstates/?utm_source=Facebook&amp;utm_medium=MES&amp;utm_term=NEW_UnitedStates_1850_none_070526&amp;utm_content=saletructiep_UnitedStates.M634.1850.giaotiep_THCNGDP_LD276&amp;utm_campaign=UnitedStates.giaotiep.M634_LHV.9822_MES_SangBD_070526</v>
      </c>
      <c r="U98" s="111" t="s">
        <v>1806</v>
      </c>
    </row>
    <row r="99">
      <c r="A99" s="72">
        <v>46150.0</v>
      </c>
      <c r="B99" s="60" t="s">
        <v>1564</v>
      </c>
      <c r="C99" s="67" t="str">
        <f>IFERROR(__xludf.DUMMYFUNCTION("""COMPUTED_VALUE"""),"LD264")</f>
        <v>LD264</v>
      </c>
      <c r="D99" s="55" t="s">
        <v>42</v>
      </c>
      <c r="E99" s="55" t="s">
        <v>69</v>
      </c>
      <c r="F99" s="55" t="s">
        <v>133</v>
      </c>
      <c r="G99" s="55">
        <v>1840.0</v>
      </c>
      <c r="H99" s="55" t="s">
        <v>1485</v>
      </c>
      <c r="I99" s="55" t="s">
        <v>1809</v>
      </c>
      <c r="J99" s="55" t="s">
        <v>1810</v>
      </c>
      <c r="K99" s="55" t="s">
        <v>61</v>
      </c>
      <c r="L99" s="55" t="s">
        <v>1264</v>
      </c>
      <c r="M99" s="55" t="s">
        <v>78</v>
      </c>
      <c r="N99" s="55" t="s">
        <v>69</v>
      </c>
      <c r="O99" s="55" t="s">
        <v>1142</v>
      </c>
      <c r="P99" s="55" t="s">
        <v>110</v>
      </c>
      <c r="Q99" s="67" t="str">
        <f>IFERROR(__xludf.DUMMYFUNCTION("""COMPUTED_VALUE"""),"Japan.giaotiep.M657xM658_LHV.9822_CVS_SangBD_080526")</f>
        <v>Japan.giaotiep.M657xM658_LHV.9822_CVS_SangBD_080526</v>
      </c>
      <c r="R99" s="67" t="str">
        <f>IFERROR(__xludf.DUMMYFUNCTION("""COMPUTED_VALUE"""),"NEW_Japan_1840_none_080526")</f>
        <v>NEW_Japan_1840_none_080526</v>
      </c>
      <c r="S99" s="67" t="str">
        <f>IFERROR(__xludf.DUMMYFUNCTION("""COMPUTED_VALUE"""),"saletructiep_Japan.M657.1850.giaotiep_THCNGDP_LD264")</f>
        <v>saletructiep_Japan.M657.1850.giaotiep_THCNGDP_LD264</v>
      </c>
      <c r="T99" s="107" t="str">
        <f>IFERROR(__xludf.DUMMYFUNCTION("""COMPUTED_VALUE"""),"https://patado.edu.vn/khoa-tieng-anh-giao-tiep-o-nhat-ban/?utm_source=Facebook&amp;utm_medium=CVS&amp;utm_term=NEW_Japan_1840_none_080526&amp;utm_content=saletructiep_Japan.M657.1850.giaotiep_THCNGDP_LD264&amp;utm_campaign=Japan.giaotiep.M657xM658_LHV.9822_CVS_SangBD_080"&amp;"526")</f>
        <v>https://patado.edu.vn/khoa-tieng-anh-giao-tiep-o-nhat-ban/?utm_source=Facebook&amp;utm_medium=CVS&amp;utm_term=NEW_Japan_1840_none_080526&amp;utm_content=saletructiep_Japan.M657.1850.giaotiep_THCNGDP_LD264&amp;utm_campaign=Japan.giaotiep.M657xM658_LHV.9822_CVS_SangBD_080526</v>
      </c>
      <c r="U99" s="111" t="s">
        <v>1815</v>
      </c>
    </row>
    <row r="100">
      <c r="A100" s="72">
        <v>46150.0</v>
      </c>
      <c r="B100" s="60" t="s">
        <v>1564</v>
      </c>
      <c r="C100" s="67" t="str">
        <f>IFERROR(__xludf.DUMMYFUNCTION("""COMPUTED_VALUE"""),"LD264")</f>
        <v>LD264</v>
      </c>
      <c r="D100" s="55" t="s">
        <v>42</v>
      </c>
      <c r="E100" s="55" t="s">
        <v>69</v>
      </c>
      <c r="F100" s="55" t="s">
        <v>133</v>
      </c>
      <c r="G100" s="55">
        <v>1840.0</v>
      </c>
      <c r="H100" s="55" t="s">
        <v>1485</v>
      </c>
      <c r="I100" s="55" t="s">
        <v>1818</v>
      </c>
      <c r="J100" s="55" t="s">
        <v>1819</v>
      </c>
      <c r="K100" s="55" t="s">
        <v>61</v>
      </c>
      <c r="L100" s="55" t="s">
        <v>1264</v>
      </c>
      <c r="M100" s="55" t="s">
        <v>78</v>
      </c>
      <c r="N100" s="55" t="s">
        <v>69</v>
      </c>
      <c r="O100" s="55" t="s">
        <v>1142</v>
      </c>
      <c r="P100" s="55" t="s">
        <v>110</v>
      </c>
      <c r="Q100" s="67" t="str">
        <f>IFERROR(__xludf.DUMMYFUNCTION("""COMPUTED_VALUE"""),"Japan.giaotiep.M600_LHV.9822_CVS_SangBD_080526")</f>
        <v>Japan.giaotiep.M600_LHV.9822_CVS_SangBD_080526</v>
      </c>
      <c r="R100" s="67" t="str">
        <f>IFERROR(__xludf.DUMMYFUNCTION("""COMPUTED_VALUE"""),"NEW_Japan_1840_none_080526")</f>
        <v>NEW_Japan_1840_none_080526</v>
      </c>
      <c r="S100" s="67" t="str">
        <f>IFERROR(__xludf.DUMMYFUNCTION("""COMPUTED_VALUE"""),"saletructiep_Japan.M600.1840.giaotiep_THCNGDP_LD264")</f>
        <v>saletructiep_Japan.M600.1840.giaotiep_THCNGDP_LD264</v>
      </c>
      <c r="T100" s="107" t="str">
        <f>IFERROR(__xludf.DUMMYFUNCTION("""COMPUTED_VALUE"""),"https://patado.edu.vn/khoa-tieng-anh-giao-tiep-o-nhat-ban/?utm_source=Facebook&amp;utm_medium=CVS&amp;utm_term=NEW_Japan_1840_none_080526&amp;utm_content=saletructiep_Japan.M600.1840.giaotiep_THCNGDP_LD264&amp;utm_campaign=Japan.giaotiep.M600_LHV.9822_CVS_SangBD_080526")</f>
        <v>https://patado.edu.vn/khoa-tieng-anh-giao-tiep-o-nhat-ban/?utm_source=Facebook&amp;utm_medium=CVS&amp;utm_term=NEW_Japan_1840_none_080526&amp;utm_content=saletructiep_Japan.M600.1840.giaotiep_THCNGDP_LD264&amp;utm_campaign=Japan.giaotiep.M600_LHV.9822_CVS_SangBD_080526</v>
      </c>
      <c r="U100" s="116"/>
    </row>
    <row r="101">
      <c r="A101" s="72">
        <v>46153.0</v>
      </c>
      <c r="B101" s="60" t="s">
        <v>1651</v>
      </c>
      <c r="C101" s="67" t="str">
        <f>IFERROR(__xludf.DUMMYFUNCTION("""COMPUTED_VALUE"""),"LD276")</f>
        <v>LD276</v>
      </c>
      <c r="D101" s="55" t="s">
        <v>42</v>
      </c>
      <c r="E101" s="55" t="s">
        <v>79</v>
      </c>
      <c r="F101" s="55" t="s">
        <v>107</v>
      </c>
      <c r="G101" s="55">
        <v>1850.0</v>
      </c>
      <c r="H101" s="55" t="s">
        <v>1485</v>
      </c>
      <c r="I101" s="55" t="s">
        <v>1824</v>
      </c>
      <c r="J101" s="55" t="s">
        <v>1825</v>
      </c>
      <c r="K101" s="55" t="s">
        <v>61</v>
      </c>
      <c r="L101" s="55" t="s">
        <v>1264</v>
      </c>
      <c r="M101" s="55" t="s">
        <v>78</v>
      </c>
      <c r="N101" s="55" t="s">
        <v>79</v>
      </c>
      <c r="O101" s="55" t="s">
        <v>1142</v>
      </c>
      <c r="P101" s="55" t="s">
        <v>110</v>
      </c>
      <c r="Q101" s="67" t="str">
        <f>IFERROR(__xludf.DUMMYFUNCTION("""COMPUTED_VALUE"""),"UnitedStates.giaotiep.M658_LHV.9822_MES_SangBD_110526")</f>
        <v>UnitedStates.giaotiep.M658_LHV.9822_MES_SangBD_110526</v>
      </c>
      <c r="R101" s="67" t="str">
        <f>IFERROR(__xludf.DUMMYFUNCTION("""COMPUTED_VALUE"""),"NEW_UnitedStates_1850_none_110526")</f>
        <v>NEW_UnitedStates_1850_none_110526</v>
      </c>
      <c r="S101" s="67" t="str">
        <f>IFERROR(__xludf.DUMMYFUNCTION("""COMPUTED_VALUE"""),"saletructiep_UnitedStates.M658.1850.giaotiep_THCNGDP_LD276")</f>
        <v>saletructiep_UnitedStates.M658.1850.giaotiep_THCNGDP_LD276</v>
      </c>
      <c r="T101" s="107" t="str">
        <f>IFERROR(__xludf.DUMMYFUNCTION("""COMPUTED_VALUE"""),"https://patado.edu.vn/khoa-giao-tiep-unitedstates/?utm_source=Facebook&amp;utm_medium=MES&amp;utm_term=NEW_UnitedStates_1850_none_110526&amp;utm_content=saletructiep_UnitedStates.M658.1850.giaotiep_THCNGDP_LD276&amp;utm_campaign=UnitedStates.giaotiep.M658_LHV.9822_MES_Sa"&amp;"ngBD_110526")</f>
        <v>https://patado.edu.vn/khoa-giao-tiep-unitedstates/?utm_source=Facebook&amp;utm_medium=MES&amp;utm_term=NEW_UnitedStates_1850_none_110526&amp;utm_content=saletructiep_UnitedStates.M658.1850.giaotiep_THCNGDP_LD276&amp;utm_campaign=UnitedStates.giaotiep.M658_LHV.9822_MES_SangBD_110526</v>
      </c>
      <c r="U101" s="111" t="s">
        <v>1831</v>
      </c>
    </row>
    <row r="102">
      <c r="A102" s="72">
        <v>46153.0</v>
      </c>
      <c r="B102" s="60" t="s">
        <v>1564</v>
      </c>
      <c r="C102" s="67" t="str">
        <f>IFERROR(__xludf.DUMMYFUNCTION("""COMPUTED_VALUE"""),"LD264")</f>
        <v>LD264</v>
      </c>
      <c r="D102" s="55" t="s">
        <v>42</v>
      </c>
      <c r="E102" s="55" t="s">
        <v>69</v>
      </c>
      <c r="F102" s="55" t="s">
        <v>133</v>
      </c>
      <c r="G102" s="55">
        <v>1840.0</v>
      </c>
      <c r="H102" s="55" t="s">
        <v>1485</v>
      </c>
      <c r="I102" s="55" t="s">
        <v>1835</v>
      </c>
      <c r="J102" s="55" t="s">
        <v>1836</v>
      </c>
      <c r="K102" s="55" t="s">
        <v>61</v>
      </c>
      <c r="L102" s="55" t="s">
        <v>1264</v>
      </c>
      <c r="M102" s="55" t="s">
        <v>78</v>
      </c>
      <c r="N102" s="55" t="s">
        <v>69</v>
      </c>
      <c r="O102" s="55" t="s">
        <v>1142</v>
      </c>
      <c r="P102" s="55" t="s">
        <v>110</v>
      </c>
      <c r="Q102" s="67" t="str">
        <f>IFERROR(__xludf.DUMMYFUNCTION("""COMPUTED_VALUE"""),"Japan.giaotiep.M658X660_LHV.9822_CVS_SangBD_110526")</f>
        <v>Japan.giaotiep.M658X660_LHV.9822_CVS_SangBD_110526</v>
      </c>
      <c r="R102" s="67" t="str">
        <f>IFERROR(__xludf.DUMMYFUNCTION("""COMPUTED_VALUE"""),"NEW_Japan_1840_none_110526")</f>
        <v>NEW_Japan_1840_none_110526</v>
      </c>
      <c r="S102" s="67" t="str">
        <f>IFERROR(__xludf.DUMMYFUNCTION("""COMPUTED_VALUE"""),"saletructiep_Japan.M658.1840.giaotiep_THCNGDP_LD264")</f>
        <v>saletructiep_Japan.M658.1840.giaotiep_THCNGDP_LD264</v>
      </c>
      <c r="T102" s="107" t="str">
        <f>IFERROR(__xludf.DUMMYFUNCTION("""COMPUTED_VALUE"""),"https://patado.edu.vn/khoa-tieng-anh-giao-tiep-o-nhat-ban/?utm_source=Facebook&amp;utm_medium=CVS&amp;utm_term=NEW_Japan_1840_none_110526&amp;utm_content=saletructiep_Japan.M658.1840.giaotiep_THCNGDP_LD264&amp;utm_campaign=Japan.giaotiep.M658X660_LHV.9822_CVS_SangBD_1105"&amp;"26")</f>
        <v>https://patado.edu.vn/khoa-tieng-anh-giao-tiep-o-nhat-ban/?utm_source=Facebook&amp;utm_medium=CVS&amp;utm_term=NEW_Japan_1840_none_110526&amp;utm_content=saletructiep_Japan.M658.1840.giaotiep_THCNGDP_LD264&amp;utm_campaign=Japan.giaotiep.M658X660_LHV.9822_CVS_SangBD_110526</v>
      </c>
      <c r="U102" s="111" t="s">
        <v>1844</v>
      </c>
    </row>
    <row r="103">
      <c r="A103" s="72">
        <v>46153.0</v>
      </c>
      <c r="B103" s="60" t="s">
        <v>1642</v>
      </c>
      <c r="C103" s="67" t="str">
        <f>IFERROR(__xludf.DUMMYFUNCTION("""COMPUTED_VALUE"""),"LD275")</f>
        <v>LD275</v>
      </c>
      <c r="D103" s="55" t="s">
        <v>42</v>
      </c>
      <c r="E103" s="55" t="s">
        <v>69</v>
      </c>
      <c r="F103" s="55" t="s">
        <v>674</v>
      </c>
      <c r="G103" s="55">
        <v>1840.0</v>
      </c>
      <c r="H103" s="55" t="s">
        <v>1485</v>
      </c>
      <c r="I103" s="55" t="s">
        <v>1849</v>
      </c>
      <c r="J103" s="55" t="s">
        <v>1850</v>
      </c>
      <c r="K103" s="55" t="s">
        <v>61</v>
      </c>
      <c r="L103" s="55" t="s">
        <v>1264</v>
      </c>
      <c r="M103" s="55" t="s">
        <v>78</v>
      </c>
      <c r="N103" s="55" t="s">
        <v>69</v>
      </c>
      <c r="O103" s="55" t="s">
        <v>1142</v>
      </c>
      <c r="P103" s="55" t="s">
        <v>110</v>
      </c>
      <c r="Q103" s="67" t="str">
        <f>IFERROR(__xludf.DUMMYFUNCTION("""COMPUTED_VALUE"""),"Europe.giaotiep.M655_LHV.9822_CVS_SangBD_110526")</f>
        <v>Europe.giaotiep.M655_LHV.9822_CVS_SangBD_110526</v>
      </c>
      <c r="R103" s="67" t="str">
        <f>IFERROR(__xludf.DUMMYFUNCTION("""COMPUTED_VALUE"""),"NEW_Europe_1840_none_110526")</f>
        <v>NEW_Europe_1840_none_110526</v>
      </c>
      <c r="S103" s="67" t="str">
        <f>IFERROR(__xludf.DUMMYFUNCTION("""COMPUTED_VALUE"""),"saletructiep_Europe.M655.1840.giaotiep_THCNGDP_LD275")</f>
        <v>saletructiep_Europe.M655.1840.giaotiep_THCNGDP_LD275</v>
      </c>
      <c r="T103" s="107" t="str">
        <f>IFERROR(__xludf.DUMMYFUNCTION("""COMPUTED_VALUE"""),"https://patado.edu.vn/khoa-tieng-anh-giao-tiep-chau-au/?utm_source=Facebook&amp;utm_medium=CVS&amp;utm_term=NEW_Europe_1840_none_110526&amp;utm_content=saletructiep_Europe.M655.1840.giaotiep_THCNGDP_LD275&amp;utm_campaign=Europe.giaotiep.M655_LHV.9822_CVS_SangBD_110526")</f>
        <v>https://patado.edu.vn/khoa-tieng-anh-giao-tiep-chau-au/?utm_source=Facebook&amp;utm_medium=CVS&amp;utm_term=NEW_Europe_1840_none_110526&amp;utm_content=saletructiep_Europe.M655.1840.giaotiep_THCNGDP_LD275&amp;utm_campaign=Europe.giaotiep.M655_LHV.9822_CVS_SangBD_110526</v>
      </c>
      <c r="U103" s="111" t="s">
        <v>1853</v>
      </c>
    </row>
    <row r="104">
      <c r="A104" s="50">
        <v>46154.0</v>
      </c>
      <c r="B104" s="128" t="s">
        <v>1651</v>
      </c>
      <c r="C104" s="129" t="str">
        <f>IFERROR(__xludf.DUMMYFUNCTION("""COMPUTED_VALUE"""),"LD276")</f>
        <v>LD276</v>
      </c>
      <c r="D104" s="114" t="s">
        <v>42</v>
      </c>
      <c r="E104" s="114" t="s">
        <v>79</v>
      </c>
      <c r="F104" s="114" t="s">
        <v>107</v>
      </c>
      <c r="G104" s="114">
        <v>2050.0</v>
      </c>
      <c r="H104" s="114" t="s">
        <v>1485</v>
      </c>
      <c r="I104" s="114" t="s">
        <v>1858</v>
      </c>
      <c r="J104" s="114" t="s">
        <v>1859</v>
      </c>
      <c r="K104" s="114" t="s">
        <v>61</v>
      </c>
      <c r="L104" s="114" t="s">
        <v>1264</v>
      </c>
      <c r="M104" s="114" t="s">
        <v>78</v>
      </c>
      <c r="N104" s="114" t="s">
        <v>79</v>
      </c>
      <c r="O104" s="114" t="s">
        <v>1142</v>
      </c>
      <c r="P104" s="114" t="s">
        <v>110</v>
      </c>
      <c r="Q104" s="129" t="str">
        <f>IFERROR(__xludf.DUMMYFUNCTION("""COMPUTED_VALUE"""),"UnitedStates.giaotiep.M578_LHV.9822_MES_SangBD_120526")</f>
        <v>UnitedStates.giaotiep.M578_LHV.9822_MES_SangBD_120526</v>
      </c>
      <c r="R104" s="129" t="str">
        <f>IFERROR(__xludf.DUMMYFUNCTION("""COMPUTED_VALUE"""),"NEW_UnitedStates_2050_none_120526")</f>
        <v>NEW_UnitedStates_2050_none_120526</v>
      </c>
      <c r="S104" s="129" t="str">
        <f>IFERROR(__xludf.DUMMYFUNCTION("""COMPUTED_VALUE"""),"saletructiep_UnitedStates.M578.2050.giaotiep_THCNGDP_LD276")</f>
        <v>saletructiep_UnitedStates.M578.2050.giaotiep_THCNGDP_LD276</v>
      </c>
      <c r="T104" s="130" t="str">
        <f>IFERROR(__xludf.DUMMYFUNCTION("""COMPUTED_VALUE"""),"https://patado.edu.vn/khoa-giao-tiep-unitedstates/?utm_source=Facebook&amp;utm_medium=MES&amp;utm_term=NEW_UnitedStates_2050_none_120526&amp;utm_content=saletructiep_UnitedStates.M578.2050.giaotiep_THCNGDP_LD276&amp;utm_campaign=UnitedStates.giaotiep.M578_LHV.9822_MES_Sa"&amp;"ngBD_120526")</f>
        <v>https://patado.edu.vn/khoa-giao-tiep-unitedstates/?utm_source=Facebook&amp;utm_medium=MES&amp;utm_term=NEW_UnitedStates_2050_none_120526&amp;utm_content=saletructiep_UnitedStates.M578.2050.giaotiep_THCNGDP_LD276&amp;utm_campaign=UnitedStates.giaotiep.M578_LHV.9822_MES_SangBD_120526</v>
      </c>
      <c r="U104" s="133" t="s">
        <v>1861</v>
      </c>
    </row>
    <row r="105">
      <c r="A105" s="134">
        <v>46155.0</v>
      </c>
      <c r="B105" s="135" t="s">
        <v>1564</v>
      </c>
      <c r="C105" s="92" t="str">
        <f>IFERROR(__xludf.DUMMYFUNCTION("""COMPUTED_VALUE"""),"LD264")</f>
        <v>LD264</v>
      </c>
      <c r="D105" s="136" t="s">
        <v>42</v>
      </c>
      <c r="E105" s="136" t="s">
        <v>69</v>
      </c>
      <c r="F105" s="136" t="s">
        <v>133</v>
      </c>
      <c r="G105" s="136">
        <v>1840.0</v>
      </c>
      <c r="H105" s="136" t="s">
        <v>1485</v>
      </c>
      <c r="I105" s="136" t="s">
        <v>1867</v>
      </c>
      <c r="J105" s="136" t="s">
        <v>1868</v>
      </c>
      <c r="K105" s="136" t="s">
        <v>61</v>
      </c>
      <c r="L105" s="136" t="s">
        <v>1264</v>
      </c>
      <c r="M105" s="136" t="s">
        <v>78</v>
      </c>
      <c r="N105" s="136" t="s">
        <v>69</v>
      </c>
      <c r="O105" s="136" t="s">
        <v>1142</v>
      </c>
      <c r="P105" s="136" t="s">
        <v>110</v>
      </c>
      <c r="Q105" s="92" t="str">
        <f>IFERROR(__xludf.DUMMYFUNCTION("""COMPUTED_VALUE"""),"Japan.giaotiep.M600X643_LHV.9822_CVS_SangBD_130526")</f>
        <v>Japan.giaotiep.M600X643_LHV.9822_CVS_SangBD_130526</v>
      </c>
      <c r="R105" s="92" t="str">
        <f>IFERROR(__xludf.DUMMYFUNCTION("""COMPUTED_VALUE"""),"NEW_Japan_1840_none_130526")</f>
        <v>NEW_Japan_1840_none_130526</v>
      </c>
      <c r="S105" s="92" t="str">
        <f>IFERROR(__xludf.DUMMYFUNCTION("""COMPUTED_VALUE"""),"saletructiep_Japan.M643.1840.giaotiep_THCNGDP_LD264")</f>
        <v>saletructiep_Japan.M643.1840.giaotiep_THCNGDP_LD264</v>
      </c>
      <c r="T105" s="137" t="str">
        <f>IFERROR(__xludf.DUMMYFUNCTION("""COMPUTED_VALUE"""),"https://patado.edu.vn/khoa-tieng-anh-giao-tiep-o-nhat-ban/?utm_source=Facebook&amp;utm_medium=CVS&amp;utm_term=NEW_Japan_1840_none_130526&amp;utm_content=saletructiep_Japan.M643.1840.giaotiep_THCNGDP_LD264&amp;utm_campaign=Japan.giaotiep.M600X643_LHV.9822_CVS_SangBD_1305"&amp;"26")</f>
        <v>https://patado.edu.vn/khoa-tieng-anh-giao-tiep-o-nhat-ban/?utm_source=Facebook&amp;utm_medium=CVS&amp;utm_term=NEW_Japan_1840_none_130526&amp;utm_content=saletructiep_Japan.M643.1840.giaotiep_THCNGDP_LD264&amp;utm_campaign=Japan.giaotiep.M600X643_LHV.9822_CVS_SangBD_130526</v>
      </c>
      <c r="U105" s="138" t="s">
        <v>1873</v>
      </c>
    </row>
    <row r="106">
      <c r="A106" s="72">
        <v>46155.0</v>
      </c>
      <c r="B106" s="60" t="s">
        <v>1564</v>
      </c>
      <c r="C106" s="67" t="str">
        <f>IFERROR(__xludf.DUMMYFUNCTION("""COMPUTED_VALUE"""),"LD264")</f>
        <v>LD264</v>
      </c>
      <c r="D106" s="55" t="s">
        <v>42</v>
      </c>
      <c r="E106" s="55" t="s">
        <v>69</v>
      </c>
      <c r="F106" s="55" t="s">
        <v>133</v>
      </c>
      <c r="G106" s="55">
        <v>1840.0</v>
      </c>
      <c r="H106" s="55" t="s">
        <v>1485</v>
      </c>
      <c r="I106" s="55" t="s">
        <v>1879</v>
      </c>
      <c r="J106" s="55" t="s">
        <v>1880</v>
      </c>
      <c r="K106" s="55" t="s">
        <v>61</v>
      </c>
      <c r="L106" s="55" t="s">
        <v>1264</v>
      </c>
      <c r="M106" s="55" t="s">
        <v>78</v>
      </c>
      <c r="N106" s="55" t="s">
        <v>69</v>
      </c>
      <c r="O106" s="55" t="s">
        <v>1142</v>
      </c>
      <c r="P106" s="55" t="s">
        <v>110</v>
      </c>
      <c r="Q106" s="67" t="str">
        <f>IFERROR(__xludf.DUMMYFUNCTION("""COMPUTED_VALUE"""),"Japan.giaotiep.M652_LHV.9822_CVS_SangBD_130526")</f>
        <v>Japan.giaotiep.M652_LHV.9822_CVS_SangBD_130526</v>
      </c>
      <c r="R106" s="67" t="str">
        <f>IFERROR(__xludf.DUMMYFUNCTION("""COMPUTED_VALUE"""),"NEW_Japan_1840_none_130526")</f>
        <v>NEW_Japan_1840_none_130526</v>
      </c>
      <c r="S106" s="67" t="str">
        <f>IFERROR(__xludf.DUMMYFUNCTION("""COMPUTED_VALUE"""),"saletructiep_Japan.M652.1840.giaotiep_THCNGDP_LD264")</f>
        <v>saletructiep_Japan.M652.1840.giaotiep_THCNGDP_LD264</v>
      </c>
      <c r="T106" s="139" t="str">
        <f>IFERROR(__xludf.DUMMYFUNCTION("""COMPUTED_VALUE"""),"https://patado.edu.vn/khoa-tieng-anh-giao-tiep-o-nhat-ban/?utm_source=Facebook&amp;utm_medium=CVS&amp;utm_term=NEW_Japan_1840_none_130526&amp;utm_content=saletructiep_Japan.M652.1840.giaotiep_THCNGDP_LD264&amp;utm_campaign=Japan.giaotiep.M652_LHV.9822_CVS_SangBD_130526")</f>
        <v>https://patado.edu.vn/khoa-tieng-anh-giao-tiep-o-nhat-ban/?utm_source=Facebook&amp;utm_medium=CVS&amp;utm_term=NEW_Japan_1840_none_130526&amp;utm_content=saletructiep_Japan.M652.1840.giaotiep_THCNGDP_LD264&amp;utm_campaign=Japan.giaotiep.M652_LHV.9822_CVS_SangBD_130526</v>
      </c>
      <c r="U106" s="111" t="s">
        <v>1885</v>
      </c>
    </row>
    <row r="107">
      <c r="A107" s="50">
        <v>46155.0</v>
      </c>
      <c r="B107" s="128" t="s">
        <v>1553</v>
      </c>
      <c r="C107" s="129" t="str">
        <f>IFERROR(__xludf.DUMMYFUNCTION("""COMPUTED_VALUE"""),"LD263")</f>
        <v>LD263</v>
      </c>
      <c r="D107" s="114" t="s">
        <v>42</v>
      </c>
      <c r="E107" s="114" t="s">
        <v>79</v>
      </c>
      <c r="F107" s="114" t="s">
        <v>539</v>
      </c>
      <c r="G107" s="114">
        <v>1845.0</v>
      </c>
      <c r="H107" s="114" t="s">
        <v>1485</v>
      </c>
      <c r="I107" s="114" t="s">
        <v>1888</v>
      </c>
      <c r="J107" s="114" t="s">
        <v>1889</v>
      </c>
      <c r="K107" s="114" t="s">
        <v>61</v>
      </c>
      <c r="L107" s="114" t="s">
        <v>1264</v>
      </c>
      <c r="M107" s="114" t="s">
        <v>78</v>
      </c>
      <c r="N107" s="114" t="s">
        <v>79</v>
      </c>
      <c r="O107" s="114" t="s">
        <v>1142</v>
      </c>
      <c r="P107" s="114" t="s">
        <v>110</v>
      </c>
      <c r="Q107" s="129" t="str">
        <f>IFERROR(__xludf.DUMMYFUNCTION("""COMPUTED_VALUE"""),"ALL.giaotiep.M578_LHV.9822_MES_SangBD_130526")</f>
        <v>ALL.giaotiep.M578_LHV.9822_MES_SangBD_130526</v>
      </c>
      <c r="R107" s="129" t="str">
        <f>IFERROR(__xludf.DUMMYFUNCTION("""COMPUTED_VALUE"""),"NEW_ALL_1845_none_130526")</f>
        <v>NEW_ALL_1845_none_130526</v>
      </c>
      <c r="S107" s="129" t="str">
        <f>IFERROR(__xludf.DUMMYFUNCTION("""COMPUTED_VALUE"""),"saletructiep_ALL.giaotiep.M578.1845.giaotiep_THCNGDP_LD263")</f>
        <v>saletructiep_ALL.giaotiep.M578.1845.giaotiep_THCNGDP_LD263</v>
      </c>
      <c r="T107" s="130" t="str">
        <f>IFERROR(__xludf.DUMMYFUNCTION("""COMPUTED_VALUE"""),"https://patado.edu.vn/khoa-giao-tiep-tieng-anh-online-all/?utm_source=Facebook&amp;utm_medium=MES&amp;utm_term=NEW_ALL_1845_none_130526&amp;utm_content=saletructiep_ALL.giaotiep.M578.1845.giaotiep_THCNGDP_LD263&amp;utm_campaign=ALL.giaotiep.M578_LHV.9822_MES_SangBD_13052"&amp;"6")</f>
        <v>https://patado.edu.vn/khoa-giao-tiep-tieng-anh-online-all/?utm_source=Facebook&amp;utm_medium=MES&amp;utm_term=NEW_ALL_1845_none_130526&amp;utm_content=saletructiep_ALL.giaotiep.M578.1845.giaotiep_THCNGDP_LD263&amp;utm_campaign=ALL.giaotiep.M578_LHV.9822_MES_SangBD_130526</v>
      </c>
      <c r="U107" s="133" t="s">
        <v>1893</v>
      </c>
    </row>
    <row r="108">
      <c r="A108" s="50">
        <v>46157.0</v>
      </c>
      <c r="B108" s="128" t="s">
        <v>1651</v>
      </c>
      <c r="C108" s="129" t="str">
        <f>IFERROR(__xludf.DUMMYFUNCTION("""COMPUTED_VALUE"""),"LD276")</f>
        <v>LD276</v>
      </c>
      <c r="D108" s="114" t="s">
        <v>42</v>
      </c>
      <c r="E108" s="114" t="s">
        <v>79</v>
      </c>
      <c r="F108" s="114" t="s">
        <v>107</v>
      </c>
      <c r="G108" s="114">
        <v>2550.0</v>
      </c>
      <c r="H108" s="114" t="s">
        <v>1485</v>
      </c>
      <c r="I108" s="114" t="s">
        <v>1898</v>
      </c>
      <c r="J108" s="114" t="s">
        <v>1899</v>
      </c>
      <c r="K108" s="114" t="s">
        <v>61</v>
      </c>
      <c r="L108" s="114" t="s">
        <v>1264</v>
      </c>
      <c r="M108" s="114" t="s">
        <v>78</v>
      </c>
      <c r="N108" s="114" t="s">
        <v>79</v>
      </c>
      <c r="O108" s="114" t="s">
        <v>1142</v>
      </c>
      <c r="P108" s="114" t="s">
        <v>110</v>
      </c>
      <c r="Q108" s="129" t="str">
        <f>IFERROR(__xludf.DUMMYFUNCTION("""COMPUTED_VALUE"""),"UnitedStates.giaotiep.M662_LHV.9822_MES_SangBD_150526")</f>
        <v>UnitedStates.giaotiep.M662_LHV.9822_MES_SangBD_150526</v>
      </c>
      <c r="R108" s="129" t="str">
        <f>IFERROR(__xludf.DUMMYFUNCTION("""COMPUTED_VALUE"""),"NEW_UnitedStates_2550_none_150526")</f>
        <v>NEW_UnitedStates_2550_none_150526</v>
      </c>
      <c r="S108" s="129" t="str">
        <f>IFERROR(__xludf.DUMMYFUNCTION("""COMPUTED_VALUE"""),"saletructiep_UnitedStates.M662.2550.giaotiep_THCNGDP_LD276")</f>
        <v>saletructiep_UnitedStates.M662.2550.giaotiep_THCNGDP_LD276</v>
      </c>
      <c r="T108" s="130" t="str">
        <f>IFERROR(__xludf.DUMMYFUNCTION("""COMPUTED_VALUE"""),"https://patado.edu.vn/khoa-giao-tiep-unitedstates/?utm_source=Facebook&amp;utm_medium=MES&amp;utm_term=NEW_UnitedStates_2550_none_150526&amp;utm_content=saletructiep_UnitedStates.M662.2550.giaotiep_THCNGDP_LD276&amp;utm_campaign=UnitedStates.giaotiep.M662_LHV.9822_MES_Sa"&amp;"ngBD_150526")</f>
        <v>https://patado.edu.vn/khoa-giao-tiep-unitedstates/?utm_source=Facebook&amp;utm_medium=MES&amp;utm_term=NEW_UnitedStates_2550_none_150526&amp;utm_content=saletructiep_UnitedStates.M662.2550.giaotiep_THCNGDP_LD276&amp;utm_campaign=UnitedStates.giaotiep.M662_LHV.9822_MES_SangBD_150526</v>
      </c>
      <c r="U108" s="133" t="s">
        <v>1906</v>
      </c>
    </row>
    <row r="109">
      <c r="A109" s="72">
        <v>46157.0</v>
      </c>
      <c r="B109" s="60" t="s">
        <v>1564</v>
      </c>
      <c r="C109" s="67" t="str">
        <f>IFERROR(__xludf.DUMMYFUNCTION("""COMPUTED_VALUE"""),"LD264")</f>
        <v>LD264</v>
      </c>
      <c r="D109" s="55" t="s">
        <v>42</v>
      </c>
      <c r="E109" s="55" t="s">
        <v>69</v>
      </c>
      <c r="F109" s="55" t="s">
        <v>133</v>
      </c>
      <c r="G109" s="55">
        <v>1840.0</v>
      </c>
      <c r="H109" s="55" t="s">
        <v>1485</v>
      </c>
      <c r="I109" s="55" t="s">
        <v>1908</v>
      </c>
      <c r="J109" s="55" t="s">
        <v>1909</v>
      </c>
      <c r="K109" s="55" t="s">
        <v>61</v>
      </c>
      <c r="L109" s="55" t="s">
        <v>1264</v>
      </c>
      <c r="M109" s="55" t="s">
        <v>78</v>
      </c>
      <c r="N109" s="55" t="s">
        <v>69</v>
      </c>
      <c r="O109" s="55" t="s">
        <v>1142</v>
      </c>
      <c r="P109" s="55" t="s">
        <v>110</v>
      </c>
      <c r="Q109" s="67" t="str">
        <f>IFERROR(__xludf.DUMMYFUNCTION("""COMPUTED_VALUE"""),"Japan.giaotiep.M679_LHV.9822_CVS_SangBD_150526")</f>
        <v>Japan.giaotiep.M679_LHV.9822_CVS_SangBD_150526</v>
      </c>
      <c r="R109" s="67" t="str">
        <f>IFERROR(__xludf.DUMMYFUNCTION("""COMPUTED_VALUE"""),"NEW_Japan_1840_none_150526")</f>
        <v>NEW_Japan_1840_none_150526</v>
      </c>
      <c r="S109" s="67" t="str">
        <f>IFERROR(__xludf.DUMMYFUNCTION("""COMPUTED_VALUE"""),"saletructiep_Japan.M679.1840.giaotiep_THCNGDP_LD264")</f>
        <v>saletructiep_Japan.M679.1840.giaotiep_THCNGDP_LD264</v>
      </c>
      <c r="T109" s="107" t="str">
        <f>IFERROR(__xludf.DUMMYFUNCTION("""COMPUTED_VALUE"""),"https://patado.edu.vn/khoa-tieng-anh-giao-tiep-o-nhat-ban/?utm_source=Facebook&amp;utm_medium=CVS&amp;utm_term=NEW_Japan_1840_none_150526&amp;utm_content=saletructiep_Japan.M679.1840.giaotiep_THCNGDP_LD264&amp;utm_campaign=Japan.giaotiep.M679_LHV.9822_CVS_SangBD_150526")</f>
        <v>https://patado.edu.vn/khoa-tieng-anh-giao-tiep-o-nhat-ban/?utm_source=Facebook&amp;utm_medium=CVS&amp;utm_term=NEW_Japan_1840_none_150526&amp;utm_content=saletructiep_Japan.M679.1840.giaotiep_THCNGDP_LD264&amp;utm_campaign=Japan.giaotiep.M679_LHV.9822_CVS_SangBD_150526</v>
      </c>
      <c r="U109" s="111" t="s">
        <v>1914</v>
      </c>
    </row>
    <row r="110">
      <c r="A110" s="72">
        <v>46157.0</v>
      </c>
      <c r="B110" s="60" t="s">
        <v>1642</v>
      </c>
      <c r="C110" s="67" t="str">
        <f>IFERROR(__xludf.DUMMYFUNCTION("""COMPUTED_VALUE"""),"LD275")</f>
        <v>LD275</v>
      </c>
      <c r="D110" s="55" t="s">
        <v>42</v>
      </c>
      <c r="E110" s="55" t="s">
        <v>69</v>
      </c>
      <c r="F110" s="55" t="s">
        <v>674</v>
      </c>
      <c r="G110" s="55">
        <v>1845.0</v>
      </c>
      <c r="H110" s="55" t="s">
        <v>1485</v>
      </c>
      <c r="I110" s="55" t="s">
        <v>1919</v>
      </c>
      <c r="J110" s="55" t="s">
        <v>1920</v>
      </c>
      <c r="K110" s="55" t="s">
        <v>61</v>
      </c>
      <c r="L110" s="55" t="s">
        <v>1264</v>
      </c>
      <c r="M110" s="55" t="s">
        <v>78</v>
      </c>
      <c r="N110" s="55" t="s">
        <v>69</v>
      </c>
      <c r="O110" s="55" t="s">
        <v>1142</v>
      </c>
      <c r="P110" s="55" t="s">
        <v>110</v>
      </c>
      <c r="Q110" s="67" t="str">
        <f>IFERROR(__xludf.DUMMYFUNCTION("""COMPUTED_VALUE"""),"Europe.giaotiep.M676_LHV.9822_CVS_SangBD_150526")</f>
        <v>Europe.giaotiep.M676_LHV.9822_CVS_SangBD_150526</v>
      </c>
      <c r="R110" s="67" t="str">
        <f>IFERROR(__xludf.DUMMYFUNCTION("""COMPUTED_VALUE"""),"NEW_Europe_1845_none_150526")</f>
        <v>NEW_Europe_1845_none_150526</v>
      </c>
      <c r="S110" s="67" t="str">
        <f>IFERROR(__xludf.DUMMYFUNCTION("""COMPUTED_VALUE"""),"saletructiep_Europe.M676.1845.giaotiep_THCNGDP_LD275")</f>
        <v>saletructiep_Europe.M676.1845.giaotiep_THCNGDP_LD275</v>
      </c>
      <c r="T110" s="107" t="str">
        <f>IFERROR(__xludf.DUMMYFUNCTION("""COMPUTED_VALUE"""),"https://patado.edu.vn/khoa-tieng-anh-giao-tiep-chau-au/?utm_source=Facebook&amp;utm_medium=CVS&amp;utm_term=NEW_Europe_1845_none_150526&amp;utm_content=saletructiep_Europe.M676.1845.giaotiep_THCNGDP_LD275&amp;utm_campaign=Europe.giaotiep.M676_LHV.9822_CVS_SangBD_150526")</f>
        <v>https://patado.edu.vn/khoa-tieng-anh-giao-tiep-chau-au/?utm_source=Facebook&amp;utm_medium=CVS&amp;utm_term=NEW_Europe_1845_none_150526&amp;utm_content=saletructiep_Europe.M676.1845.giaotiep_THCNGDP_LD275&amp;utm_campaign=Europe.giaotiep.M676_LHV.9822_CVS_SangBD_150526</v>
      </c>
      <c r="U110" s="110" t="s">
        <v>1924</v>
      </c>
    </row>
    <row r="111">
      <c r="A111" s="72">
        <v>46162.0</v>
      </c>
      <c r="B111" s="60" t="s">
        <v>1642</v>
      </c>
      <c r="C111" s="67" t="str">
        <f>IFERROR(__xludf.DUMMYFUNCTION("""COMPUTED_VALUE"""),"LD275")</f>
        <v>LD275</v>
      </c>
      <c r="D111" s="55" t="s">
        <v>42</v>
      </c>
      <c r="E111" s="55" t="s">
        <v>69</v>
      </c>
      <c r="F111" s="55" t="s">
        <v>674</v>
      </c>
      <c r="G111" s="55">
        <v>1845.0</v>
      </c>
      <c r="H111" s="55" t="s">
        <v>1485</v>
      </c>
      <c r="I111" s="55" t="s">
        <v>1927</v>
      </c>
      <c r="J111" s="55" t="s">
        <v>1928</v>
      </c>
      <c r="K111" s="55" t="s">
        <v>61</v>
      </c>
      <c r="L111" s="55" t="s">
        <v>1264</v>
      </c>
      <c r="M111" s="55" t="s">
        <v>78</v>
      </c>
      <c r="N111" s="55" t="s">
        <v>69</v>
      </c>
      <c r="O111" s="55" t="s">
        <v>1142</v>
      </c>
      <c r="P111" s="55" t="s">
        <v>110</v>
      </c>
      <c r="Q111" s="67" t="str">
        <f>IFERROR(__xludf.DUMMYFUNCTION("""COMPUTED_VALUE"""),"Europe.giaotiep.M677_LHV.9822_CVS_SangBD_200526")</f>
        <v>Europe.giaotiep.M677_LHV.9822_CVS_SangBD_200526</v>
      </c>
      <c r="R111" s="67" t="str">
        <f>IFERROR(__xludf.DUMMYFUNCTION("""COMPUTED_VALUE"""),"NEW_Europe_1845_none_200526")</f>
        <v>NEW_Europe_1845_none_200526</v>
      </c>
      <c r="S111" s="67" t="str">
        <f>IFERROR(__xludf.DUMMYFUNCTION("""COMPUTED_VALUE"""),"saletructiep_Europe.M677.1845.giaotiep_THCNGDP_LD275")</f>
        <v>saletructiep_Europe.M677.1845.giaotiep_THCNGDP_LD275</v>
      </c>
      <c r="T111" s="107" t="str">
        <f>IFERROR(__xludf.DUMMYFUNCTION("""COMPUTED_VALUE"""),"https://patado.edu.vn/khoa-tieng-anh-giao-tiep-chau-au/?utm_source=Facebook&amp;utm_medium=CVS&amp;utm_term=NEW_Europe_1845_none_200526&amp;utm_content=saletructiep_Europe.M677.1845.giaotiep_THCNGDP_LD275&amp;utm_campaign=Europe.giaotiep.M677_LHV.9822_CVS_SangBD_200526")</f>
        <v>https://patado.edu.vn/khoa-tieng-anh-giao-tiep-chau-au/?utm_source=Facebook&amp;utm_medium=CVS&amp;utm_term=NEW_Europe_1845_none_200526&amp;utm_content=saletructiep_Europe.M677.1845.giaotiep_THCNGDP_LD275&amp;utm_campaign=Europe.giaotiep.M677_LHV.9822_CVS_SangBD_200526</v>
      </c>
      <c r="U111" s="110" t="s">
        <v>1930</v>
      </c>
    </row>
    <row r="112">
      <c r="A112" s="72">
        <v>46164.0</v>
      </c>
      <c r="B112" s="60" t="s">
        <v>1642</v>
      </c>
      <c r="C112" s="67" t="str">
        <f>IFERROR(__xludf.DUMMYFUNCTION("""COMPUTED_VALUE"""),"LD275")</f>
        <v>LD275</v>
      </c>
      <c r="D112" s="55" t="s">
        <v>42</v>
      </c>
      <c r="E112" s="55" t="s">
        <v>69</v>
      </c>
      <c r="F112" s="55" t="s">
        <v>674</v>
      </c>
      <c r="G112" s="55">
        <v>2045.0</v>
      </c>
      <c r="H112" s="55" t="s">
        <v>1485</v>
      </c>
      <c r="I112" s="55" t="s">
        <v>1934</v>
      </c>
      <c r="J112" s="55" t="s">
        <v>1935</v>
      </c>
      <c r="K112" s="55" t="s">
        <v>61</v>
      </c>
      <c r="L112" s="55" t="s">
        <v>1264</v>
      </c>
      <c r="M112" s="55" t="s">
        <v>78</v>
      </c>
      <c r="N112" s="55" t="s">
        <v>69</v>
      </c>
      <c r="O112" s="55" t="s">
        <v>1142</v>
      </c>
      <c r="P112" s="55" t="s">
        <v>110</v>
      </c>
      <c r="Q112" s="67" t="str">
        <f>IFERROR(__xludf.DUMMYFUNCTION("""COMPUTED_VALUE"""),"Europe.giaotiep.M678_LHV.9822_CVS_SangBD_220526")</f>
        <v>Europe.giaotiep.M678_LHV.9822_CVS_SangBD_220526</v>
      </c>
      <c r="R112" s="67" t="str">
        <f>IFERROR(__xludf.DUMMYFUNCTION("""COMPUTED_VALUE"""),"NEW_Europe_2045_none_220526")</f>
        <v>NEW_Europe_2045_none_220526</v>
      </c>
      <c r="S112" s="67" t="str">
        <f>IFERROR(__xludf.DUMMYFUNCTION("""COMPUTED_VALUE"""),"saletructiep_Europe.M677.2045.giaotiep_THCNGDP_LD275")</f>
        <v>saletructiep_Europe.M677.2045.giaotiep_THCNGDP_LD275</v>
      </c>
      <c r="T112" s="107" t="str">
        <f>IFERROR(__xludf.DUMMYFUNCTION("""COMPUTED_VALUE"""),"https://patado.edu.vn/khoa-tieng-anh-giao-tiep-chau-au/?utm_source=Facebook&amp;utm_medium=CVS&amp;utm_term=NEW_Europe_2045_none_220526&amp;utm_content=saletructiep_Europe.M677.2045.giaotiep_THCNGDP_LD275&amp;utm_campaign=Europe.giaotiep.M678_LHV.9822_CVS_SangBD_220526")</f>
        <v>https://patado.edu.vn/khoa-tieng-anh-giao-tiep-chau-au/?utm_source=Facebook&amp;utm_medium=CVS&amp;utm_term=NEW_Europe_2045_none_220526&amp;utm_content=saletructiep_Europe.M677.2045.giaotiep_THCNGDP_LD275&amp;utm_campaign=Europe.giaotiep.M678_LHV.9822_CVS_SangBD_220526</v>
      </c>
      <c r="U112" s="111" t="s">
        <v>1937</v>
      </c>
    </row>
    <row r="113">
      <c r="A113" s="72">
        <v>46167.0</v>
      </c>
      <c r="B113" s="60" t="s">
        <v>1553</v>
      </c>
      <c r="C113" s="67" t="str">
        <f>IFERROR(__xludf.DUMMYFUNCTION("""COMPUTED_VALUE"""),"LD263")</f>
        <v>LD263</v>
      </c>
      <c r="D113" s="55" t="s">
        <v>42</v>
      </c>
      <c r="E113" s="55" t="s">
        <v>79</v>
      </c>
      <c r="F113" s="55" t="s">
        <v>539</v>
      </c>
      <c r="G113" s="55">
        <v>1845.0</v>
      </c>
      <c r="H113" s="55" t="s">
        <v>1485</v>
      </c>
      <c r="I113" s="55" t="s">
        <v>1486</v>
      </c>
      <c r="J113" s="55" t="s">
        <v>1940</v>
      </c>
      <c r="K113" s="55" t="s">
        <v>61</v>
      </c>
      <c r="L113" s="55" t="s">
        <v>1264</v>
      </c>
      <c r="M113" s="55" t="s">
        <v>78</v>
      </c>
      <c r="N113" s="55" t="s">
        <v>69</v>
      </c>
      <c r="O113" s="55" t="s">
        <v>1142</v>
      </c>
      <c r="P113" s="55" t="s">
        <v>110</v>
      </c>
      <c r="Q113" s="67" t="str">
        <f>IFERROR(__xludf.DUMMYFUNCTION("""COMPUTED_VALUE"""),"ALL.giaotiep.M264_LHV.9822_CVS_SangBD_250526")</f>
        <v>ALL.giaotiep.M264_LHV.9822_CVS_SangBD_250526</v>
      </c>
      <c r="R113" s="67" t="str">
        <f>IFERROR(__xludf.DUMMYFUNCTION("""COMPUTED_VALUE"""),"NEW_ALL_1845_none_250526")</f>
        <v>NEW_ALL_1845_none_250526</v>
      </c>
      <c r="S113" s="67" t="str">
        <f>IFERROR(__xludf.DUMMYFUNCTION("""COMPUTED_VALUE"""),"saletructiep_ALL.giaotiep.M624.1845.giaotiep_THCNGDP_LD263")</f>
        <v>saletructiep_ALL.giaotiep.M624.1845.giaotiep_THCNGDP_LD263</v>
      </c>
      <c r="T113" s="107" t="str">
        <f>IFERROR(__xludf.DUMMYFUNCTION("""COMPUTED_VALUE"""),"https://patado.edu.vn/khoa-giao-tiep-tieng-anh-online-all/?utm_source=Facebook&amp;utm_medium=MES&amp;utm_term=NEW_ALL_1845_none_250526&amp;utm_content=saletructiep_ALL.giaotiep.M624.1845.giaotiep_THCNGDP_LD263&amp;utm_campaign=ALL.giaotiep.M264_LHV.9822_CVS_SangBD_25052"&amp;"6")</f>
        <v>https://patado.edu.vn/khoa-giao-tiep-tieng-anh-online-all/?utm_source=Facebook&amp;utm_medium=MES&amp;utm_term=NEW_ALL_1845_none_250526&amp;utm_content=saletructiep_ALL.giaotiep.M624.1845.giaotiep_THCNGDP_LD263&amp;utm_campaign=ALL.giaotiep.M264_LHV.9822_CVS_SangBD_250526</v>
      </c>
      <c r="U113" s="116"/>
    </row>
    <row r="114">
      <c r="A114" s="72">
        <v>46167.0</v>
      </c>
      <c r="B114" s="60" t="s">
        <v>1564</v>
      </c>
      <c r="C114" s="67" t="str">
        <f>IFERROR(__xludf.DUMMYFUNCTION("""COMPUTED_VALUE"""),"LD264")</f>
        <v>LD264</v>
      </c>
      <c r="D114" s="55" t="s">
        <v>42</v>
      </c>
      <c r="E114" s="55" t="s">
        <v>69</v>
      </c>
      <c r="F114" s="55" t="s">
        <v>133</v>
      </c>
      <c r="G114" s="55">
        <v>1845.0</v>
      </c>
      <c r="H114" s="55" t="s">
        <v>1485</v>
      </c>
      <c r="I114" s="55" t="s">
        <v>1945</v>
      </c>
      <c r="J114" s="55" t="s">
        <v>1946</v>
      </c>
      <c r="K114" s="55" t="s">
        <v>61</v>
      </c>
      <c r="L114" s="55" t="s">
        <v>1264</v>
      </c>
      <c r="M114" s="55" t="s">
        <v>78</v>
      </c>
      <c r="N114" s="55" t="s">
        <v>69</v>
      </c>
      <c r="O114" s="55" t="s">
        <v>1142</v>
      </c>
      <c r="P114" s="55" t="s">
        <v>110</v>
      </c>
      <c r="Q114" s="67" t="str">
        <f>IFERROR(__xludf.DUMMYFUNCTION("""COMPUTED_VALUE"""),"Japan.giaotiep.M626_LHV.9822_CVS_SangBD_250526")</f>
        <v>Japan.giaotiep.M626_LHV.9822_CVS_SangBD_250526</v>
      </c>
      <c r="R114" s="67" t="str">
        <f>IFERROR(__xludf.DUMMYFUNCTION("""COMPUTED_VALUE"""),"NEW_Japan_1845_none_250526")</f>
        <v>NEW_Japan_1845_none_250526</v>
      </c>
      <c r="S114" s="67" t="str">
        <f>IFERROR(__xludf.DUMMYFUNCTION("""COMPUTED_VALUE"""),"saletructiep_Japan.M626.1845.giaotiep_THCNGDP_LD264")</f>
        <v>saletructiep_Japan.M626.1845.giaotiep_THCNGDP_LD264</v>
      </c>
      <c r="T114" s="107" t="str">
        <f>IFERROR(__xludf.DUMMYFUNCTION("""COMPUTED_VALUE"""),"https://patado.edu.vn/khoa-tieng-anh-giao-tiep-o-nhat-ban/?utm_source=Facebook&amp;utm_medium=CVS&amp;utm_term=NEW_Japan_1845_none_250526&amp;utm_content=saletructiep_Japan.M626.1845.giaotiep_THCNGDP_LD264&amp;utm_campaign=Japan.giaotiep.M626_LHV.9822_CVS_SangBD_250526")</f>
        <v>https://patado.edu.vn/khoa-tieng-anh-giao-tiep-o-nhat-ban/?utm_source=Facebook&amp;utm_medium=CVS&amp;utm_term=NEW_Japan_1845_none_250526&amp;utm_content=saletructiep_Japan.M626.1845.giaotiep_THCNGDP_LD264&amp;utm_campaign=Japan.giaotiep.M626_LHV.9822_CVS_SangBD_250526</v>
      </c>
      <c r="U114" s="111" t="s">
        <v>1952</v>
      </c>
    </row>
    <row r="115">
      <c r="A115" s="72">
        <v>46167.0</v>
      </c>
      <c r="B115" s="60" t="s">
        <v>1642</v>
      </c>
      <c r="C115" s="67" t="str">
        <f>IFERROR(__xludf.DUMMYFUNCTION("""COMPUTED_VALUE"""),"LD275")</f>
        <v>LD275</v>
      </c>
      <c r="D115" s="55" t="s">
        <v>42</v>
      </c>
      <c r="E115" s="55" t="s">
        <v>69</v>
      </c>
      <c r="F115" s="55" t="s">
        <v>674</v>
      </c>
      <c r="G115" s="55">
        <v>1850.0</v>
      </c>
      <c r="H115" s="55" t="s">
        <v>1485</v>
      </c>
      <c r="I115" s="55" t="s">
        <v>1955</v>
      </c>
      <c r="J115" s="55" t="s">
        <v>1956</v>
      </c>
      <c r="K115" s="55" t="s">
        <v>61</v>
      </c>
      <c r="L115" s="55" t="s">
        <v>1264</v>
      </c>
      <c r="M115" s="55" t="s">
        <v>78</v>
      </c>
      <c r="N115" s="55" t="s">
        <v>69</v>
      </c>
      <c r="O115" s="55" t="s">
        <v>1142</v>
      </c>
      <c r="P115" s="55" t="s">
        <v>110</v>
      </c>
      <c r="Q115" s="67" t="str">
        <f>IFERROR(__xludf.DUMMYFUNCTION("""COMPUTED_VALUE"""),"Europe.giaotiep.M632xM636_LHV.9822_CVS_SangBD_250526")</f>
        <v>Europe.giaotiep.M632xM636_LHV.9822_CVS_SangBD_250526</v>
      </c>
      <c r="R115" s="67" t="str">
        <f>IFERROR(__xludf.DUMMYFUNCTION("""COMPUTED_VALUE"""),"NEW_Europe_1850_none_250526")</f>
        <v>NEW_Europe_1850_none_250526</v>
      </c>
      <c r="S115" s="67" t="str">
        <f>IFERROR(__xludf.DUMMYFUNCTION("""COMPUTED_VALUE"""),"saletructiep_Europe.M636.1850.giaotiep_THCNGDP_LD275")</f>
        <v>saletructiep_Europe.M636.1850.giaotiep_THCNGDP_LD275</v>
      </c>
      <c r="T115" s="107" t="str">
        <f>IFERROR(__xludf.DUMMYFUNCTION("""COMPUTED_VALUE"""),"https://patado.edu.vn/khoa-tieng-anh-giao-tiep-chau-au/?utm_source=Facebook&amp;utm_medium=CVS&amp;utm_term=NEW_Europe_1850_none_250526&amp;utm_content=saletructiep_Europe.M636.1850.giaotiep_THCNGDP_LD275&amp;utm_campaign=Europe.giaotiep.M632xM636_LHV.9822_CVS_SangBD_250"&amp;"526")</f>
        <v>https://patado.edu.vn/khoa-tieng-anh-giao-tiep-chau-au/?utm_source=Facebook&amp;utm_medium=CVS&amp;utm_term=NEW_Europe_1850_none_250526&amp;utm_content=saletructiep_Europe.M636.1850.giaotiep_THCNGDP_LD275&amp;utm_campaign=Europe.giaotiep.M632xM636_LHV.9822_CVS_SangBD_250526</v>
      </c>
      <c r="U115" s="111" t="s">
        <v>1961</v>
      </c>
    </row>
    <row r="116">
      <c r="A116" s="72">
        <v>46169.0</v>
      </c>
      <c r="B116" s="60" t="s">
        <v>1651</v>
      </c>
      <c r="C116" s="67" t="str">
        <f>IFERROR(__xludf.DUMMYFUNCTION("""COMPUTED_VALUE"""),"LD276")</f>
        <v>LD276</v>
      </c>
      <c r="D116" s="55" t="s">
        <v>42</v>
      </c>
      <c r="E116" s="55" t="s">
        <v>79</v>
      </c>
      <c r="F116" s="55" t="s">
        <v>107</v>
      </c>
      <c r="G116" s="55">
        <v>2250.0</v>
      </c>
      <c r="H116" s="55" t="s">
        <v>1485</v>
      </c>
      <c r="I116" s="55" t="s">
        <v>1965</v>
      </c>
      <c r="J116" s="55" t="s">
        <v>1966</v>
      </c>
      <c r="K116" s="55" t="s">
        <v>61</v>
      </c>
      <c r="L116" s="55" t="s">
        <v>1264</v>
      </c>
      <c r="M116" s="55" t="s">
        <v>78</v>
      </c>
      <c r="N116" s="55" t="s">
        <v>69</v>
      </c>
      <c r="O116" s="55" t="s">
        <v>1142</v>
      </c>
      <c r="P116" s="55" t="s">
        <v>110</v>
      </c>
      <c r="Q116" s="67" t="str">
        <f>IFERROR(__xludf.DUMMYFUNCTION("""COMPUTED_VALUE"""),"UnitedStates.giaotiep.M666_LHV.9822_CVS_SangBD_270526")</f>
        <v>UnitedStates.giaotiep.M666_LHV.9822_CVS_SangBD_270526</v>
      </c>
      <c r="R116" s="67" t="str">
        <f>IFERROR(__xludf.DUMMYFUNCTION("""COMPUTED_VALUE"""),"NEW_UnitedStates_2250_none_270526")</f>
        <v>NEW_UnitedStates_2250_none_270526</v>
      </c>
      <c r="S116" s="67" t="str">
        <f>IFERROR(__xludf.DUMMYFUNCTION("""COMPUTED_VALUE"""),"saletructiep_UnitedStates.M666.2250.giaotiep_THCNGDP_LD276")</f>
        <v>saletructiep_UnitedStates.M666.2250.giaotiep_THCNGDP_LD276</v>
      </c>
      <c r="T116" s="107" t="str">
        <f>IFERROR(__xludf.DUMMYFUNCTION("""COMPUTED_VALUE"""),"https://patado.edu.vn/khoa-giao-tiep-unitedstates/?utm_source=Facebook&amp;utm_medium=MES&amp;utm_term=NEW_UnitedStates_2250_none_270526&amp;utm_content=saletructiep_UnitedStates.M666.2250.giaotiep_THCNGDP_LD276&amp;utm_campaign=UnitedStates.giaotiep.M666_LHV.9822_CVS_Sa"&amp;"ngBD_270526")</f>
        <v>https://patado.edu.vn/khoa-giao-tiep-unitedstates/?utm_source=Facebook&amp;utm_medium=MES&amp;utm_term=NEW_UnitedStates_2250_none_270526&amp;utm_content=saletructiep_UnitedStates.M666.2250.giaotiep_THCNGDP_LD276&amp;utm_campaign=UnitedStates.giaotiep.M666_LHV.9822_CVS_SangBD_270526</v>
      </c>
      <c r="U116" s="110" t="s">
        <v>1973</v>
      </c>
    </row>
    <row r="117">
      <c r="A117" s="72">
        <v>46169.0</v>
      </c>
      <c r="B117" s="133" t="s">
        <v>1977</v>
      </c>
      <c r="C117" s="67" t="str">
        <f>IFERROR(__xludf.DUMMYFUNCTION("""COMPUTED_VALUE"""),"LD280")</f>
        <v>LD280</v>
      </c>
      <c r="D117" s="55" t="s">
        <v>42</v>
      </c>
      <c r="E117" s="55" t="s">
        <v>1625</v>
      </c>
      <c r="F117" s="55" t="s">
        <v>539</v>
      </c>
      <c r="G117" s="55">
        <v>1850.0</v>
      </c>
      <c r="H117" s="55" t="s">
        <v>1485</v>
      </c>
      <c r="I117" s="55" t="s">
        <v>1979</v>
      </c>
      <c r="J117" s="55" t="s">
        <v>1980</v>
      </c>
      <c r="K117" s="55" t="s">
        <v>61</v>
      </c>
      <c r="L117" s="55" t="s">
        <v>1264</v>
      </c>
      <c r="M117" s="55" t="s">
        <v>78</v>
      </c>
      <c r="N117" s="55" t="s">
        <v>1625</v>
      </c>
      <c r="O117" s="55" t="s">
        <v>1981</v>
      </c>
      <c r="P117" s="55" t="s">
        <v>110</v>
      </c>
      <c r="Q117" s="67" t="str">
        <f>IFERROR(__xludf.DUMMYFUNCTION("""COMPUTED_VALUE"""),"ALL.giaotiep.M636_LHV.9822_REACH_SangBD_270526")</f>
        <v>ALL.giaotiep.M636_LHV.9822_REACH_SangBD_270526</v>
      </c>
      <c r="R117" s="67" t="str">
        <f>IFERROR(__xludf.DUMMYFUNCTION("""COMPUTED_VALUE"""),"NEW_ALL_1850_none_270526")</f>
        <v>NEW_ALL_1850_none_270526</v>
      </c>
      <c r="S117" s="67" t="str">
        <f>IFERROR(__xludf.DUMMYFUNCTION("""COMPUTED_VALUE"""),"saletructiep_ALL.giaotiep.M636.1850.giaotiep_PTAGTCNDL_LD280")</f>
        <v>saletructiep_ALL.giaotiep.M636.1850.giaotiep_PTAGTCNDL_LD280</v>
      </c>
      <c r="T117" s="107" t="str">
        <f>IFERROR(__xludf.DUMMYFUNCTION("""COMPUTED_VALUE"""),"https://patado.edu.vn/trung-tam-tieng-anh-patado/?utm_source=Facebook&amp;utm_medium=REACH&amp;utm_term=NEW_ALL_1850_none_270526&amp;utm_content=saletructiep_ALL.giaotiep.M636.1850.giaotiep_PTAGTCNDL_LD280&amp;utm_campaign=ALL.giaotiep.M636_LHV.9822_REACH_SangBD_270526")</f>
        <v>https://patado.edu.vn/trung-tam-tieng-anh-patado/?utm_source=Facebook&amp;utm_medium=REACH&amp;utm_term=NEW_ALL_1850_none_270526&amp;utm_content=saletructiep_ALL.giaotiep.M636.1850.giaotiep_PTAGTCNDL_LD280&amp;utm_campaign=ALL.giaotiep.M636_LHV.9822_REACH_SangBD_270526</v>
      </c>
      <c r="U117" s="116"/>
    </row>
    <row r="118">
      <c r="A118" s="72">
        <v>46170.0</v>
      </c>
      <c r="B118" s="60" t="s">
        <v>1553</v>
      </c>
      <c r="C118" s="67" t="str">
        <f>IFERROR(__xludf.DUMMYFUNCTION("""COMPUTED_VALUE"""),"LD263")</f>
        <v>LD263</v>
      </c>
      <c r="D118" s="55" t="s">
        <v>42</v>
      </c>
      <c r="E118" s="55" t="s">
        <v>79</v>
      </c>
      <c r="F118" s="55" t="s">
        <v>539</v>
      </c>
      <c r="G118" s="55">
        <v>2045.0</v>
      </c>
      <c r="H118" s="55" t="s">
        <v>1485</v>
      </c>
      <c r="I118" s="55" t="s">
        <v>1987</v>
      </c>
      <c r="J118" s="55" t="s">
        <v>1988</v>
      </c>
      <c r="K118" s="55" t="s">
        <v>61</v>
      </c>
      <c r="L118" s="55" t="s">
        <v>1264</v>
      </c>
      <c r="M118" s="55" t="s">
        <v>78</v>
      </c>
      <c r="N118" s="55" t="s">
        <v>79</v>
      </c>
      <c r="O118" s="55" t="s">
        <v>1142</v>
      </c>
      <c r="P118" s="55" t="s">
        <v>110</v>
      </c>
      <c r="Q118" s="67" t="str">
        <f>IFERROR(__xludf.DUMMYFUNCTION("""COMPUTED_VALUE"""),"ALL.giaotiep.M659_LHV.9822_MES_SangBD_280526")</f>
        <v>ALL.giaotiep.M659_LHV.9822_MES_SangBD_280526</v>
      </c>
      <c r="R118" s="67" t="str">
        <f>IFERROR(__xludf.DUMMYFUNCTION("""COMPUTED_VALUE"""),"NEW_ALL_2045_none_280526")</f>
        <v>NEW_ALL_2045_none_280526</v>
      </c>
      <c r="S118" s="67" t="str">
        <f>IFERROR(__xludf.DUMMYFUNCTION("""COMPUTED_VALUE"""),"saletructiep_ALL.giaotiep.M659.2045.giaotiep_THCNGDP_LD263")</f>
        <v>saletructiep_ALL.giaotiep.M659.2045.giaotiep_THCNGDP_LD263</v>
      </c>
      <c r="T118" s="107" t="str">
        <f>IFERROR(__xludf.DUMMYFUNCTION("""COMPUTED_VALUE"""),"https://patado.edu.vn/khoa-giao-tiep-tieng-anh-online-all/?utm_source=Facebook&amp;utm_medium=MES&amp;utm_term=NEW_ALL_2045_none_280526&amp;utm_content=saletructiep_ALL.giaotiep.M659.2045.giaotiep_THCNGDP_LD263&amp;utm_campaign=ALL.giaotiep.M659_LHV.9822_MES_SangBD_28052"&amp;"6")</f>
        <v>https://patado.edu.vn/khoa-giao-tiep-tieng-anh-online-all/?utm_source=Facebook&amp;utm_medium=MES&amp;utm_term=NEW_ALL_2045_none_280526&amp;utm_content=saletructiep_ALL.giaotiep.M659.2045.giaotiep_THCNGDP_LD263&amp;utm_campaign=ALL.giaotiep.M659_LHV.9822_MES_SangBD_280526</v>
      </c>
      <c r="U118" s="111" t="s">
        <v>1995</v>
      </c>
    </row>
    <row r="119">
      <c r="A119" s="72">
        <v>46170.0</v>
      </c>
      <c r="B119" s="60" t="s">
        <v>1564</v>
      </c>
      <c r="C119" s="67" t="str">
        <f>IFERROR(__xludf.DUMMYFUNCTION("""COMPUTED_VALUE"""),"LD264")</f>
        <v>LD264</v>
      </c>
      <c r="D119" s="55" t="s">
        <v>42</v>
      </c>
      <c r="E119" s="55" t="s">
        <v>69</v>
      </c>
      <c r="F119" s="55" t="s">
        <v>133</v>
      </c>
      <c r="G119" s="55">
        <v>2045.0</v>
      </c>
      <c r="H119" s="55" t="s">
        <v>1485</v>
      </c>
      <c r="I119" s="55" t="s">
        <v>1997</v>
      </c>
      <c r="J119" s="55" t="s">
        <v>1998</v>
      </c>
      <c r="K119" s="55" t="s">
        <v>61</v>
      </c>
      <c r="L119" s="55" t="s">
        <v>1264</v>
      </c>
      <c r="M119" s="55" t="s">
        <v>78</v>
      </c>
      <c r="N119" s="55" t="s">
        <v>69</v>
      </c>
      <c r="O119" s="55" t="s">
        <v>1142</v>
      </c>
      <c r="P119" s="55" t="s">
        <v>110</v>
      </c>
      <c r="Q119" s="67" t="str">
        <f>IFERROR(__xludf.DUMMYFUNCTION("""COMPUTED_VALUE"""),"Japan.giaotiep.M264_LHV.9822_CVS_SangBD_280526")</f>
        <v>Japan.giaotiep.M264_LHV.9822_CVS_SangBD_280526</v>
      </c>
      <c r="R119" s="67" t="str">
        <f>IFERROR(__xludf.DUMMYFUNCTION("""COMPUTED_VALUE"""),"NEW_Japan_2045_none_280526")</f>
        <v>NEW_Japan_2045_none_280526</v>
      </c>
      <c r="S119" s="67" t="str">
        <f>IFERROR(__xludf.DUMMYFUNCTION("""COMPUTED_VALUE"""),"saletructiep_Japan.M264.2045.giaotiep_THCNGDP_LD264")</f>
        <v>saletructiep_Japan.M264.2045.giaotiep_THCNGDP_LD264</v>
      </c>
      <c r="T119" s="107" t="str">
        <f>IFERROR(__xludf.DUMMYFUNCTION("""COMPUTED_VALUE"""),"https://patado.edu.vn/khoa-tieng-anh-giao-tiep-o-nhat-ban/?utm_source=Facebook&amp;utm_medium=CVS&amp;utm_term=NEW_Japan_2045_none_280526&amp;utm_content=saletructiep_Japan.M264.2045.giaotiep_THCNGDP_LD264&amp;utm_campaign=Japan.giaotiep.M264_LHV.9822_CVS_SangBD_280526")</f>
        <v>https://patado.edu.vn/khoa-tieng-anh-giao-tiep-o-nhat-ban/?utm_source=Facebook&amp;utm_medium=CVS&amp;utm_term=NEW_Japan_2045_none_280526&amp;utm_content=saletructiep_Japan.M264.2045.giaotiep_THCNGDP_LD264&amp;utm_campaign=Japan.giaotiep.M264_LHV.9822_CVS_SangBD_280526</v>
      </c>
      <c r="U119" s="110" t="s">
        <v>2003</v>
      </c>
    </row>
    <row r="120">
      <c r="A120" s="72">
        <v>46170.0</v>
      </c>
      <c r="B120" s="60" t="s">
        <v>1642</v>
      </c>
      <c r="C120" s="67" t="str">
        <f>IFERROR(__xludf.DUMMYFUNCTION("""COMPUTED_VALUE"""),"LD275")</f>
        <v>LD275</v>
      </c>
      <c r="D120" s="55" t="s">
        <v>42</v>
      </c>
      <c r="E120" s="55" t="s">
        <v>69</v>
      </c>
      <c r="F120" s="55" t="s">
        <v>674</v>
      </c>
      <c r="G120" s="55">
        <v>2045.0</v>
      </c>
      <c r="H120" s="55" t="s">
        <v>1485</v>
      </c>
      <c r="I120" s="55" t="s">
        <v>1608</v>
      </c>
      <c r="J120" s="55" t="s">
        <v>2007</v>
      </c>
      <c r="K120" s="55" t="s">
        <v>61</v>
      </c>
      <c r="L120" s="55" t="s">
        <v>1264</v>
      </c>
      <c r="M120" s="55" t="s">
        <v>78</v>
      </c>
      <c r="N120" s="55" t="s">
        <v>69</v>
      </c>
      <c r="O120" s="55" t="s">
        <v>1142</v>
      </c>
      <c r="P120" s="55" t="s">
        <v>110</v>
      </c>
      <c r="Q120" s="67" t="str">
        <f>IFERROR(__xludf.DUMMYFUNCTION("""COMPUTED_VALUE"""),"Europe.giaotiep.M626_LHV.9822_CVS_SangBD_280526")</f>
        <v>Europe.giaotiep.M626_LHV.9822_CVS_SangBD_280526</v>
      </c>
      <c r="R120" s="67" t="str">
        <f>IFERROR(__xludf.DUMMYFUNCTION("""COMPUTED_VALUE"""),"NEW_Europe_2045_none_280526")</f>
        <v>NEW_Europe_2045_none_280526</v>
      </c>
      <c r="S120" s="67" t="str">
        <f>IFERROR(__xludf.DUMMYFUNCTION("""COMPUTED_VALUE"""),"saletructiep_Europe.M626.2045.giaotiep_THCNGDP_LD275")</f>
        <v>saletructiep_Europe.M626.2045.giaotiep_THCNGDP_LD275</v>
      </c>
      <c r="T120" s="107" t="str">
        <f>IFERROR(__xludf.DUMMYFUNCTION("""COMPUTED_VALUE"""),"https://patado.edu.vn/khoa-tieng-anh-giao-tiep-chau-au/?utm_source=Facebook&amp;utm_medium=CVS&amp;utm_term=NEW_Europe_2045_none_280526&amp;utm_content=saletructiep_Europe.M626.2045.giaotiep_THCNGDP_LD275&amp;utm_campaign=Europe.giaotiep.M626_LHV.9822_CVS_SangBD_280526")</f>
        <v>https://patado.edu.vn/khoa-tieng-anh-giao-tiep-chau-au/?utm_source=Facebook&amp;utm_medium=CVS&amp;utm_term=NEW_Europe_2045_none_280526&amp;utm_content=saletructiep_Europe.M626.2045.giaotiep_THCNGDP_LD275&amp;utm_campaign=Europe.giaotiep.M626_LHV.9822_CVS_SangBD_280526</v>
      </c>
      <c r="U120" s="111" t="s">
        <v>2009</v>
      </c>
    </row>
    <row r="121">
      <c r="A121" s="134">
        <v>46170.0</v>
      </c>
      <c r="B121" s="135" t="s">
        <v>1651</v>
      </c>
      <c r="C121" s="92" t="str">
        <f>IFERROR(__xludf.DUMMYFUNCTION("""COMPUTED_VALUE"""),"LD276")</f>
        <v>LD276</v>
      </c>
      <c r="D121" s="136" t="s">
        <v>42</v>
      </c>
      <c r="E121" s="136" t="s">
        <v>79</v>
      </c>
      <c r="F121" s="136" t="s">
        <v>107</v>
      </c>
      <c r="G121" s="136">
        <v>2050.0</v>
      </c>
      <c r="H121" s="136" t="s">
        <v>1485</v>
      </c>
      <c r="I121" s="136" t="s">
        <v>2013</v>
      </c>
      <c r="J121" s="136" t="s">
        <v>2014</v>
      </c>
      <c r="K121" s="136" t="s">
        <v>61</v>
      </c>
      <c r="L121" s="136" t="s">
        <v>1264</v>
      </c>
      <c r="M121" s="136" t="s">
        <v>78</v>
      </c>
      <c r="N121" s="136" t="s">
        <v>79</v>
      </c>
      <c r="O121" s="136" t="s">
        <v>1142</v>
      </c>
      <c r="P121" s="136" t="s">
        <v>110</v>
      </c>
      <c r="Q121" s="92" t="str">
        <f>IFERROR(__xludf.DUMMYFUNCTION("""COMPUTED_VALUE"""),"UnitedStates.giaotiep.M697_LHV.9822_MES_SangBD_280526")</f>
        <v>UnitedStates.giaotiep.M697_LHV.9822_MES_SangBD_280526</v>
      </c>
      <c r="R121" s="92" t="str">
        <f>IFERROR(__xludf.DUMMYFUNCTION("""COMPUTED_VALUE"""),"NEW_UnitedStates_2050_none_280526")</f>
        <v>NEW_UnitedStates_2050_none_280526</v>
      </c>
      <c r="S121" s="92" t="str">
        <f>IFERROR(__xludf.DUMMYFUNCTION("""COMPUTED_VALUE"""),"saletructiep_UnitedStates.M697.2050.giaotiep_THCNGDP_LD276")</f>
        <v>saletructiep_UnitedStates.M697.2050.giaotiep_THCNGDP_LD276</v>
      </c>
      <c r="T121" s="137" t="str">
        <f>IFERROR(__xludf.DUMMYFUNCTION("""COMPUTED_VALUE"""),"https://patado.edu.vn/khoa-giao-tiep-unitedstates/?utm_source=Facebook&amp;utm_medium=MES&amp;utm_term=NEW_UnitedStates_2050_none_280526&amp;utm_content=saletructiep_UnitedStates.M697.2050.giaotiep_THCNGDP_LD276&amp;utm_campaign=UnitedStates.giaotiep.M697_LHV.9822_MES_Sa"&amp;"ngBD_280526")</f>
        <v>https://patado.edu.vn/khoa-giao-tiep-unitedstates/?utm_source=Facebook&amp;utm_medium=MES&amp;utm_term=NEW_UnitedStates_2050_none_280526&amp;utm_content=saletructiep_UnitedStates.M697.2050.giaotiep_THCNGDP_LD276&amp;utm_campaign=UnitedStates.giaotiep.M697_LHV.9822_MES_SangBD_280526</v>
      </c>
      <c r="U121" s="138" t="s">
        <v>2016</v>
      </c>
    </row>
    <row r="122">
      <c r="A122" s="50">
        <v>46174.0</v>
      </c>
      <c r="B122" s="128" t="s">
        <v>1553</v>
      </c>
      <c r="C122" s="129" t="str">
        <f>IFERROR(__xludf.DUMMYFUNCTION("""COMPUTED_VALUE"""),"LD263")</f>
        <v>LD263</v>
      </c>
      <c r="D122" s="114" t="s">
        <v>42</v>
      </c>
      <c r="E122" s="114" t="s">
        <v>79</v>
      </c>
      <c r="F122" s="114" t="s">
        <v>539</v>
      </c>
      <c r="G122" s="114">
        <v>1855.0</v>
      </c>
      <c r="H122" s="114" t="s">
        <v>1485</v>
      </c>
      <c r="I122" s="114" t="s">
        <v>1791</v>
      </c>
      <c r="J122" s="114" t="s">
        <v>2017</v>
      </c>
      <c r="K122" s="114" t="s">
        <v>61</v>
      </c>
      <c r="L122" s="114" t="s">
        <v>1264</v>
      </c>
      <c r="M122" s="114" t="s">
        <v>78</v>
      </c>
      <c r="N122" s="114" t="s">
        <v>79</v>
      </c>
      <c r="O122" s="114" t="s">
        <v>1142</v>
      </c>
      <c r="P122" s="114" t="s">
        <v>110</v>
      </c>
      <c r="Q122" s="129" t="str">
        <f>IFERROR(__xludf.DUMMYFUNCTION("""COMPUTED_VALUE"""),"ALL.giaotiep.M658_LHV.9822_MES_SangBD_010626")</f>
        <v>ALL.giaotiep.M658_LHV.9822_MES_SangBD_010626</v>
      </c>
      <c r="R122" s="129" t="str">
        <f>IFERROR(__xludf.DUMMYFUNCTION("""COMPUTED_VALUE"""),"NEW_ALL_1855_none_010626")</f>
        <v>NEW_ALL_1855_none_010626</v>
      </c>
      <c r="S122" s="129" t="str">
        <f>IFERROR(__xludf.DUMMYFUNCTION("""COMPUTED_VALUE"""),"saletructiep_ALL.giaotiep.M658.1855.giaotiep_THCNGDP_LD263")</f>
        <v>saletructiep_ALL.giaotiep.M658.1855.giaotiep_THCNGDP_LD263</v>
      </c>
      <c r="T122" s="130" t="str">
        <f>IFERROR(__xludf.DUMMYFUNCTION("""COMPUTED_VALUE"""),"https://patado.edu.vn/khoa-giao-tiep-tieng-anh-online-all/?utm_source=Facebook&amp;utm_medium=MES&amp;utm_term=NEW_ALL_1855_none_010626&amp;utm_content=saletructiep_ALL.giaotiep.M658.1855.giaotiep_THCNGDP_LD263&amp;utm_campaign=ALL.giaotiep.M658_LHV.9822_MES_SangBD_01062"&amp;"6")</f>
        <v>https://patado.edu.vn/khoa-giao-tiep-tieng-anh-online-all/?utm_source=Facebook&amp;utm_medium=MES&amp;utm_term=NEW_ALL_1855_none_010626&amp;utm_content=saletructiep_ALL.giaotiep.M658.1855.giaotiep_THCNGDP_LD263&amp;utm_campaign=ALL.giaotiep.M658_LHV.9822_MES_SangBD_010626</v>
      </c>
      <c r="U122" s="131"/>
    </row>
    <row r="123">
      <c r="A123" s="50">
        <v>46174.0</v>
      </c>
      <c r="B123" s="128" t="s">
        <v>1642</v>
      </c>
      <c r="C123" s="129" t="str">
        <f>IFERROR(__xludf.DUMMYFUNCTION("""COMPUTED_VALUE"""),"LD275")</f>
        <v>LD275</v>
      </c>
      <c r="D123" s="114" t="s">
        <v>42</v>
      </c>
      <c r="E123" s="114" t="s">
        <v>69</v>
      </c>
      <c r="F123" s="114" t="s">
        <v>674</v>
      </c>
      <c r="G123" s="114">
        <v>2050.0</v>
      </c>
      <c r="H123" s="114" t="s">
        <v>1485</v>
      </c>
      <c r="I123" s="114" t="s">
        <v>2023</v>
      </c>
      <c r="J123" s="114" t="s">
        <v>2024</v>
      </c>
      <c r="K123" s="114" t="s">
        <v>61</v>
      </c>
      <c r="L123" s="114" t="s">
        <v>1264</v>
      </c>
      <c r="M123" s="114" t="s">
        <v>78</v>
      </c>
      <c r="N123" s="114" t="s">
        <v>69</v>
      </c>
      <c r="O123" s="114" t="s">
        <v>1142</v>
      </c>
      <c r="P123" s="114" t="s">
        <v>110</v>
      </c>
      <c r="Q123" s="129" t="str">
        <f>IFERROR(__xludf.DUMMYFUNCTION("""COMPUTED_VALUE"""),"Europe.giaotiep.M668_LHV.9822_CVS_SangBD_010626")</f>
        <v>Europe.giaotiep.M668_LHV.9822_CVS_SangBD_010626</v>
      </c>
      <c r="R123" s="129" t="str">
        <f>IFERROR(__xludf.DUMMYFUNCTION("""COMPUTED_VALUE"""),"NEW_Europe_2050_none_010626")</f>
        <v>NEW_Europe_2050_none_010626</v>
      </c>
      <c r="S123" s="129" t="str">
        <f>IFERROR(__xludf.DUMMYFUNCTION("""COMPUTED_VALUE"""),"saletructiep_Europe.M668.2050.giaotiep_THCNGDP_LD275")</f>
        <v>saletructiep_Europe.M668.2050.giaotiep_THCNGDP_LD275</v>
      </c>
      <c r="T123" s="130" t="str">
        <f>IFERROR(__xludf.DUMMYFUNCTION("""COMPUTED_VALUE"""),"https://patado.edu.vn/khoa-tieng-anh-giao-tiep-chau-au/?utm_source=Facebook&amp;utm_medium=CVS&amp;utm_term=NEW_Europe_2050_none_010626&amp;utm_content=saletructiep_Europe.M668.2050.giaotiep_THCNGDP_LD275&amp;utm_campaign=Europe.giaotiep.M668_LHV.9822_CVS_SangBD_010626")</f>
        <v>https://patado.edu.vn/khoa-tieng-anh-giao-tiep-chau-au/?utm_source=Facebook&amp;utm_medium=CVS&amp;utm_term=NEW_Europe_2050_none_010626&amp;utm_content=saletructiep_Europe.M668.2050.giaotiep_THCNGDP_LD275&amp;utm_campaign=Europe.giaotiep.M668_LHV.9822_CVS_SangBD_010626</v>
      </c>
      <c r="U123" s="112" t="s">
        <v>2029</v>
      </c>
    </row>
    <row r="124">
      <c r="A124" s="50">
        <v>46174.0</v>
      </c>
      <c r="B124" s="128" t="s">
        <v>1564</v>
      </c>
      <c r="C124" s="129" t="str">
        <f>IFERROR(__xludf.DUMMYFUNCTION("""COMPUTED_VALUE"""),"LD264")</f>
        <v>LD264</v>
      </c>
      <c r="D124" s="114" t="s">
        <v>42</v>
      </c>
      <c r="E124" s="114" t="s">
        <v>69</v>
      </c>
      <c r="F124" s="114" t="s">
        <v>133</v>
      </c>
      <c r="G124" s="114">
        <v>1840.0</v>
      </c>
      <c r="H124" s="114" t="s">
        <v>1485</v>
      </c>
      <c r="I124" s="114" t="s">
        <v>2030</v>
      </c>
      <c r="J124" s="114" t="s">
        <v>2031</v>
      </c>
      <c r="K124" s="114" t="s">
        <v>61</v>
      </c>
      <c r="L124" s="114" t="s">
        <v>1264</v>
      </c>
      <c r="M124" s="114" t="s">
        <v>78</v>
      </c>
      <c r="N124" s="114" t="s">
        <v>69</v>
      </c>
      <c r="O124" s="114" t="s">
        <v>1142</v>
      </c>
      <c r="P124" s="114" t="s">
        <v>110</v>
      </c>
      <c r="Q124" s="129" t="str">
        <f>IFERROR(__xludf.DUMMYFUNCTION("""COMPUTED_VALUE"""),"Japan.giaotiep.M703_LHV.9822_CVS_SangBD_010626")</f>
        <v>Japan.giaotiep.M703_LHV.9822_CVS_SangBD_010626</v>
      </c>
      <c r="R124" s="129" t="str">
        <f>IFERROR(__xludf.DUMMYFUNCTION("""COMPUTED_VALUE"""),"NEW_Japan_1840_none_010626")</f>
        <v>NEW_Japan_1840_none_010626</v>
      </c>
      <c r="S124" s="129" t="str">
        <f>IFERROR(__xludf.DUMMYFUNCTION("""COMPUTED_VALUE"""),"saletructiep_Japan.M703.1840.giaotiep_THCNGDP_LD264")</f>
        <v>saletructiep_Japan.M703.1840.giaotiep_THCNGDP_LD264</v>
      </c>
      <c r="T124" s="130" t="str">
        <f>IFERROR(__xludf.DUMMYFUNCTION("""COMPUTED_VALUE"""),"https://patado.edu.vn/khoa-tieng-anh-giao-tiep-o-nhat-ban/?utm_source=Facebook&amp;utm_medium=CVS&amp;utm_term=NEW_Japan_1840_none_010626&amp;utm_content=saletructiep_Japan.M703.1840.giaotiep_THCNGDP_LD264&amp;utm_campaign=Japan.giaotiep.M703_LHV.9822_CVS_SangBD_010626")</f>
        <v>https://patado.edu.vn/khoa-tieng-anh-giao-tiep-o-nhat-ban/?utm_source=Facebook&amp;utm_medium=CVS&amp;utm_term=NEW_Japan_1840_none_010626&amp;utm_content=saletructiep_Japan.M703.1840.giaotiep_THCNGDP_LD264&amp;utm_campaign=Japan.giaotiep.M703_LHV.9822_CVS_SangBD_010626</v>
      </c>
      <c r="U124" s="112" t="s">
        <v>2038</v>
      </c>
    </row>
    <row r="125">
      <c r="A125" s="50">
        <v>46176.0</v>
      </c>
      <c r="B125" s="128" t="s">
        <v>1642</v>
      </c>
      <c r="C125" s="129" t="str">
        <f>IFERROR(__xludf.DUMMYFUNCTION("""COMPUTED_VALUE"""),"LD275")</f>
        <v>LD275</v>
      </c>
      <c r="D125" s="114" t="s">
        <v>42</v>
      </c>
      <c r="E125" s="114" t="s">
        <v>69</v>
      </c>
      <c r="F125" s="114" t="s">
        <v>674</v>
      </c>
      <c r="G125" s="114">
        <v>2045.0</v>
      </c>
      <c r="H125" s="114" t="s">
        <v>1485</v>
      </c>
      <c r="I125" s="114" t="s">
        <v>2044</v>
      </c>
      <c r="J125" s="114" t="s">
        <v>2045</v>
      </c>
      <c r="K125" s="114" t="s">
        <v>61</v>
      </c>
      <c r="L125" s="114" t="s">
        <v>1264</v>
      </c>
      <c r="M125" s="114" t="s">
        <v>78</v>
      </c>
      <c r="N125" s="114" t="s">
        <v>69</v>
      </c>
      <c r="O125" s="114" t="s">
        <v>1142</v>
      </c>
      <c r="P125" s="114" t="s">
        <v>110</v>
      </c>
      <c r="Q125" s="129" t="str">
        <f>IFERROR(__xludf.DUMMYFUNCTION("""COMPUTED_VALUE"""),"Europe.giaotiep.M688_LHV.9822_CVS_SangBD_030626")</f>
        <v>Europe.giaotiep.M688_LHV.9822_CVS_SangBD_030626</v>
      </c>
      <c r="R125" s="129" t="str">
        <f>IFERROR(__xludf.DUMMYFUNCTION("""COMPUTED_VALUE"""),"NEW_Europe_2045_none_030626")</f>
        <v>NEW_Europe_2045_none_030626</v>
      </c>
      <c r="S125" s="129" t="str">
        <f>IFERROR(__xludf.DUMMYFUNCTION("""COMPUTED_VALUE"""),"saletructiep_Europe.M688.2045.giaotiep_THCNGDP_LD275")</f>
        <v>saletructiep_Europe.M688.2045.giaotiep_THCNGDP_LD275</v>
      </c>
      <c r="T125" s="130" t="str">
        <f>IFERROR(__xludf.DUMMYFUNCTION("""COMPUTED_VALUE"""),"https://patado.edu.vn/khoa-tieng-anh-giao-tiep-chau-au/?utm_source=Facebook&amp;utm_medium=CVS&amp;utm_term=NEW_Europe_2045_none_030626&amp;utm_content=saletructiep_Europe.M688.2045.giaotiep_THCNGDP_LD275&amp;utm_campaign=Europe.giaotiep.M688_LHV.9822_CVS_SangBD_030626")</f>
        <v>https://patado.edu.vn/khoa-tieng-anh-giao-tiep-chau-au/?utm_source=Facebook&amp;utm_medium=CVS&amp;utm_term=NEW_Europe_2045_none_030626&amp;utm_content=saletructiep_Europe.M688.2045.giaotiep_THCNGDP_LD275&amp;utm_campaign=Europe.giaotiep.M688_LHV.9822_CVS_SangBD_030626</v>
      </c>
      <c r="U125" s="133" t="s">
        <v>2049</v>
      </c>
    </row>
    <row r="126">
      <c r="A126" s="50">
        <v>46178.0</v>
      </c>
      <c r="B126" s="128" t="s">
        <v>1553</v>
      </c>
      <c r="C126" s="129" t="str">
        <f>IFERROR(__xludf.DUMMYFUNCTION("""COMPUTED_VALUE"""),"LD263")</f>
        <v>LD263</v>
      </c>
      <c r="D126" s="114" t="s">
        <v>42</v>
      </c>
      <c r="E126" s="114" t="s">
        <v>79</v>
      </c>
      <c r="F126" s="114" t="s">
        <v>539</v>
      </c>
      <c r="G126" s="114">
        <v>1845.0</v>
      </c>
      <c r="H126" s="114" t="s">
        <v>1485</v>
      </c>
      <c r="I126" s="114" t="s">
        <v>1888</v>
      </c>
      <c r="J126" s="114" t="s">
        <v>1889</v>
      </c>
      <c r="K126" s="114" t="s">
        <v>61</v>
      </c>
      <c r="L126" s="114" t="s">
        <v>1264</v>
      </c>
      <c r="M126" s="114" t="s">
        <v>78</v>
      </c>
      <c r="N126" s="114" t="s">
        <v>69</v>
      </c>
      <c r="O126" s="114" t="s">
        <v>1142</v>
      </c>
      <c r="P126" s="114" t="s">
        <v>110</v>
      </c>
      <c r="Q126" s="129" t="str">
        <f>IFERROR(__xludf.DUMMYFUNCTION("""COMPUTED_VALUE"""),"ALL.giaotiep.M578_LHV.9822_CVS_SangBD_050626")</f>
        <v>ALL.giaotiep.M578_LHV.9822_CVS_SangBD_050626</v>
      </c>
      <c r="R126" s="129" t="str">
        <f>IFERROR(__xludf.DUMMYFUNCTION("""COMPUTED_VALUE"""),"NEW_ALL_1845_none_050626")</f>
        <v>NEW_ALL_1845_none_050626</v>
      </c>
      <c r="S126" s="129" t="str">
        <f>IFERROR(__xludf.DUMMYFUNCTION("""COMPUTED_VALUE"""),"saletructiep_ALL.giaotiep.M578.1845.giaotiep_THCNGDP_LD263")</f>
        <v>saletructiep_ALL.giaotiep.M578.1845.giaotiep_THCNGDP_LD263</v>
      </c>
      <c r="T126" s="140" t="str">
        <f>IFERROR(__xludf.DUMMYFUNCTION("""COMPUTED_VALUE"""),"https://patado.edu.vn/khoa-giao-tiep-tieng-anh-online-all/?utm_source=Facebook&amp;utm_medium=MES&amp;utm_term=NEW_ALL_1845_none_050626&amp;utm_content=saletructiep_ALL.giaotiep.M578.1845.giaotiep_THCNGDP_LD263&amp;utm_campaign=ALL.giaotiep.M578_LHV.9822_CVS_SangBD_05062"&amp;"6")</f>
        <v>https://patado.edu.vn/khoa-giao-tiep-tieng-anh-online-all/?utm_source=Facebook&amp;utm_medium=MES&amp;utm_term=NEW_ALL_1845_none_050626&amp;utm_content=saletructiep_ALL.giaotiep.M578.1845.giaotiep_THCNGDP_LD263&amp;utm_campaign=ALL.giaotiep.M578_LHV.9822_CVS_SangBD_050626</v>
      </c>
      <c r="U126" s="131"/>
    </row>
    <row r="127">
      <c r="A127" s="50">
        <v>46181.0</v>
      </c>
      <c r="B127" s="128" t="s">
        <v>1642</v>
      </c>
      <c r="C127" s="129" t="str">
        <f>IFERROR(__xludf.DUMMYFUNCTION("""COMPUTED_VALUE"""),"LD275")</f>
        <v>LD275</v>
      </c>
      <c r="D127" s="114" t="s">
        <v>42</v>
      </c>
      <c r="E127" s="114" t="s">
        <v>69</v>
      </c>
      <c r="F127" s="114" t="s">
        <v>674</v>
      </c>
      <c r="G127" s="114">
        <v>2045.0</v>
      </c>
      <c r="H127" s="114" t="s">
        <v>1485</v>
      </c>
      <c r="I127" s="114" t="s">
        <v>2059</v>
      </c>
      <c r="J127" s="114" t="s">
        <v>2060</v>
      </c>
      <c r="K127" s="114" t="s">
        <v>61</v>
      </c>
      <c r="L127" s="114" t="s">
        <v>1264</v>
      </c>
      <c r="M127" s="114" t="s">
        <v>78</v>
      </c>
      <c r="N127" s="114" t="s">
        <v>69</v>
      </c>
      <c r="O127" s="114" t="s">
        <v>1142</v>
      </c>
      <c r="P127" s="114" t="s">
        <v>110</v>
      </c>
      <c r="Q127" s="129" t="str">
        <f>IFERROR(__xludf.DUMMYFUNCTION("""COMPUTED_VALUE"""),"Europe.giaotiep.M702xM704_LHV.9822_CVS_SangBD_080626")</f>
        <v>Europe.giaotiep.M702xM704_LHV.9822_CVS_SangBD_080626</v>
      </c>
      <c r="R127" s="129" t="str">
        <f>IFERROR(__xludf.DUMMYFUNCTION("""COMPUTED_VALUE"""),"NEW_Europe_2045_none_080626")</f>
        <v>NEW_Europe_2045_none_080626</v>
      </c>
      <c r="S127" s="129" t="str">
        <f>IFERROR(__xludf.DUMMYFUNCTION("""COMPUTED_VALUE"""),"saletructiep_Europe.M702.2045.giaotiep_THCNGDP_LD275")</f>
        <v>saletructiep_Europe.M702.2045.giaotiep_THCNGDP_LD275</v>
      </c>
      <c r="T127" s="130" t="str">
        <f>IFERROR(__xludf.DUMMYFUNCTION("""COMPUTED_VALUE"""),"https://patado.edu.vn/khoa-tieng-anh-giao-tiep-chau-au/?utm_source=Facebook&amp;utm_medium=CVS&amp;utm_term=NEW_Europe_2045_none_080626&amp;utm_content=saletructiep_Europe.M702.2045.giaotiep_THCNGDP_LD275&amp;utm_campaign=Europe.giaotiep.M702xM704_LHV.9822_CVS_SangBD_080"&amp;"626")</f>
        <v>https://patado.edu.vn/khoa-tieng-anh-giao-tiep-chau-au/?utm_source=Facebook&amp;utm_medium=CVS&amp;utm_term=NEW_Europe_2045_none_080626&amp;utm_content=saletructiep_Europe.M702.2045.giaotiep_THCNGDP_LD275&amp;utm_campaign=Europe.giaotiep.M702xM704_LHV.9822_CVS_SangBD_080626</v>
      </c>
      <c r="U127" s="133" t="s">
        <v>2065</v>
      </c>
    </row>
    <row r="128">
      <c r="A128" s="50">
        <v>46182.0</v>
      </c>
      <c r="B128" s="128" t="s">
        <v>1977</v>
      </c>
      <c r="C128" s="129" t="str">
        <f>IFERROR(__xludf.DUMMYFUNCTION("""COMPUTED_VALUE"""),"LD280")</f>
        <v>LD280</v>
      </c>
      <c r="D128" s="114" t="s">
        <v>42</v>
      </c>
      <c r="E128" s="114" t="s">
        <v>79</v>
      </c>
      <c r="F128" s="114" t="s">
        <v>539</v>
      </c>
      <c r="G128" s="114">
        <v>2045.0</v>
      </c>
      <c r="H128" s="114" t="s">
        <v>1485</v>
      </c>
      <c r="I128" s="114" t="s">
        <v>2067</v>
      </c>
      <c r="J128" s="114" t="s">
        <v>2068</v>
      </c>
      <c r="K128" s="114" t="s">
        <v>61</v>
      </c>
      <c r="L128" s="114" t="s">
        <v>1264</v>
      </c>
      <c r="M128" s="114" t="s">
        <v>78</v>
      </c>
      <c r="N128" s="114" t="s">
        <v>79</v>
      </c>
      <c r="O128" s="114" t="s">
        <v>1981</v>
      </c>
      <c r="P128" s="114" t="s">
        <v>110</v>
      </c>
      <c r="Q128" s="129" t="str">
        <f>IFERROR(__xludf.DUMMYFUNCTION("""COMPUTED_VALUE"""),"ALL.giaotiep.M679_LHV.9822_MES_SangBD_090626")</f>
        <v>ALL.giaotiep.M679_LHV.9822_MES_SangBD_090626</v>
      </c>
      <c r="R128" s="129" t="str">
        <f>IFERROR(__xludf.DUMMYFUNCTION("""COMPUTED_VALUE"""),"NEW_ALL_2045_none_090626")</f>
        <v>NEW_ALL_2045_none_090626</v>
      </c>
      <c r="S128" s="129" t="str">
        <f>IFERROR(__xludf.DUMMYFUNCTION("""COMPUTED_VALUE"""),"saletructiep_ALL.giaotiep.M679.2045.giaotiep_PTAGTCNDL_LD280")</f>
        <v>saletructiep_ALL.giaotiep.M679.2045.giaotiep_PTAGTCNDL_LD280</v>
      </c>
      <c r="T128" s="130" t="str">
        <f>IFERROR(__xludf.DUMMYFUNCTION("""COMPUTED_VALUE"""),"https://patado.edu.vn/trung-tam-tieng-anh-patado/?utm_source=Facebook&amp;utm_medium=MES&amp;utm_term=NEW_ALL_2045_none_090626&amp;utm_content=saletructiep_ALL.giaotiep.M679.2045.giaotiep_PTAGTCNDL_LD280&amp;utm_campaign=ALL.giaotiep.M679_LHV.9822_MES_SangBD_090626")</f>
        <v>https://patado.edu.vn/trung-tam-tieng-anh-patado/?utm_source=Facebook&amp;utm_medium=MES&amp;utm_term=NEW_ALL_2045_none_090626&amp;utm_content=saletructiep_ALL.giaotiep.M679.2045.giaotiep_PTAGTCNDL_LD280&amp;utm_campaign=ALL.giaotiep.M679_LHV.9822_MES_SangBD_090626</v>
      </c>
      <c r="U128" s="133" t="s">
        <v>2073</v>
      </c>
    </row>
    <row r="129">
      <c r="A129" s="50">
        <v>46183.0</v>
      </c>
      <c r="B129" s="141" t="s">
        <v>1553</v>
      </c>
      <c r="C129" s="129" t="str">
        <f>IFERROR(__xludf.DUMMYFUNCTION("""COMPUTED_VALUE"""),"LD263")</f>
        <v>LD263</v>
      </c>
      <c r="D129" s="114" t="s">
        <v>42</v>
      </c>
      <c r="E129" s="114" t="s">
        <v>79</v>
      </c>
      <c r="F129" s="114" t="s">
        <v>539</v>
      </c>
      <c r="G129" s="114">
        <v>1845.0</v>
      </c>
      <c r="H129" s="114" t="s">
        <v>1485</v>
      </c>
      <c r="I129" s="114" t="s">
        <v>2077</v>
      </c>
      <c r="J129" s="114" t="s">
        <v>2078</v>
      </c>
      <c r="K129" s="114" t="s">
        <v>61</v>
      </c>
      <c r="L129" s="114" t="s">
        <v>1264</v>
      </c>
      <c r="M129" s="114" t="s">
        <v>78</v>
      </c>
      <c r="N129" s="114" t="s">
        <v>79</v>
      </c>
      <c r="O129" s="114" t="s">
        <v>1142</v>
      </c>
      <c r="P129" s="114" t="s">
        <v>110</v>
      </c>
      <c r="Q129" s="129" t="str">
        <f>IFERROR(__xludf.DUMMYFUNCTION("""COMPUTED_VALUE"""),"ALL.giaotiep.M637_LHV.9822_MES_SangBD_100626")</f>
        <v>ALL.giaotiep.M637_LHV.9822_MES_SangBD_100626</v>
      </c>
      <c r="R129" s="129" t="str">
        <f>IFERROR(__xludf.DUMMYFUNCTION("""COMPUTED_VALUE"""),"NEW_ALL_1845_none_100626")</f>
        <v>NEW_ALL_1845_none_100626</v>
      </c>
      <c r="S129" s="129" t="str">
        <f>IFERROR(__xludf.DUMMYFUNCTION("""COMPUTED_VALUE"""),"saletructiep_ALL.giaotiep.M637.1845.giaotiep_THCNGDP_LD263")</f>
        <v>saletructiep_ALL.giaotiep.M637.1845.giaotiep_THCNGDP_LD263</v>
      </c>
      <c r="T129" s="130" t="str">
        <f>IFERROR(__xludf.DUMMYFUNCTION("""COMPUTED_VALUE"""),"https://patado.edu.vn/khoa-giao-tiep-tieng-anh-online-all/?utm_source=Facebook&amp;utm_medium=MES&amp;utm_term=NEW_ALL_1845_none_100626&amp;utm_content=saletructiep_ALL.giaotiep.M637.1845.giaotiep_THCNGDP_LD263&amp;utm_campaign=ALL.giaotiep.M637_LHV.9822_MES_SangBD_10062"&amp;"6")</f>
        <v>https://patado.edu.vn/khoa-giao-tiep-tieng-anh-online-all/?utm_source=Facebook&amp;utm_medium=MES&amp;utm_term=NEW_ALL_1845_none_100626&amp;utm_content=saletructiep_ALL.giaotiep.M637.1845.giaotiep_THCNGDP_LD263&amp;utm_campaign=ALL.giaotiep.M637_LHV.9822_MES_SangBD_100626</v>
      </c>
      <c r="U129" s="133" t="s">
        <v>2083</v>
      </c>
    </row>
    <row r="130">
      <c r="A130" s="50">
        <v>46183.0</v>
      </c>
      <c r="B130" s="128" t="s">
        <v>1564</v>
      </c>
      <c r="C130" s="129" t="str">
        <f>IFERROR(__xludf.DUMMYFUNCTION("""COMPUTED_VALUE"""),"LD264")</f>
        <v>LD264</v>
      </c>
      <c r="D130" s="114" t="s">
        <v>42</v>
      </c>
      <c r="E130" s="114" t="s">
        <v>69</v>
      </c>
      <c r="F130" s="114" t="s">
        <v>133</v>
      </c>
      <c r="G130" s="114">
        <v>1840.0</v>
      </c>
      <c r="H130" s="114" t="s">
        <v>1485</v>
      </c>
      <c r="I130" s="114" t="s">
        <v>2085</v>
      </c>
      <c r="J130" s="114" t="s">
        <v>2086</v>
      </c>
      <c r="K130" s="114" t="s">
        <v>61</v>
      </c>
      <c r="L130" s="114" t="s">
        <v>1264</v>
      </c>
      <c r="M130" s="114" t="s">
        <v>78</v>
      </c>
      <c r="N130" s="114" t="s">
        <v>69</v>
      </c>
      <c r="O130" s="114" t="s">
        <v>1142</v>
      </c>
      <c r="P130" s="114" t="s">
        <v>110</v>
      </c>
      <c r="Q130" s="129" t="str">
        <f>IFERROR(__xludf.DUMMYFUNCTION("""COMPUTED_VALUE"""),"Japan.giaotiep.M637_LHV.9822_CVS_SangBD_100626")</f>
        <v>Japan.giaotiep.M637_LHV.9822_CVS_SangBD_100626</v>
      </c>
      <c r="R130" s="129" t="str">
        <f>IFERROR(__xludf.DUMMYFUNCTION("""COMPUTED_VALUE"""),"NEW_Japan_1840_none_100626")</f>
        <v>NEW_Japan_1840_none_100626</v>
      </c>
      <c r="S130" s="129" t="str">
        <f>IFERROR(__xludf.DUMMYFUNCTION("""COMPUTED_VALUE"""),"saletructiep_Japan.M637.1840.giaotiep_THCNGDP_LD264")</f>
        <v>saletructiep_Japan.M637.1840.giaotiep_THCNGDP_LD264</v>
      </c>
      <c r="T130" s="130" t="str">
        <f>IFERROR(__xludf.DUMMYFUNCTION("""COMPUTED_VALUE"""),"https://patado.edu.vn/khoa-tieng-anh-giao-tiep-o-nhat-ban/?utm_source=Facebook&amp;utm_medium=CVS&amp;utm_term=NEW_Japan_1840_none_100626&amp;utm_content=saletructiep_Japan.M637.1840.giaotiep_THCNGDP_LD264&amp;utm_campaign=Japan.giaotiep.M637_LHV.9822_CVS_SangBD_100626")</f>
        <v>https://patado.edu.vn/khoa-tieng-anh-giao-tiep-o-nhat-ban/?utm_source=Facebook&amp;utm_medium=CVS&amp;utm_term=NEW_Japan_1840_none_100626&amp;utm_content=saletructiep_Japan.M637.1840.giaotiep_THCNGDP_LD264&amp;utm_campaign=Japan.giaotiep.M637_LHV.9822_CVS_SangBD_100626</v>
      </c>
      <c r="U130" s="133" t="s">
        <v>2091</v>
      </c>
    </row>
    <row r="131">
      <c r="A131" s="50">
        <v>46184.0</v>
      </c>
      <c r="B131" s="128" t="s">
        <v>1651</v>
      </c>
      <c r="C131" s="129" t="str">
        <f>IFERROR(__xludf.DUMMYFUNCTION("""COMPUTED_VALUE"""),"LD276")</f>
        <v>LD276</v>
      </c>
      <c r="D131" s="114" t="s">
        <v>42</v>
      </c>
      <c r="E131" s="114" t="s">
        <v>79</v>
      </c>
      <c r="F131" s="114" t="s">
        <v>107</v>
      </c>
      <c r="G131" s="114">
        <v>2050.0</v>
      </c>
      <c r="H131" s="114" t="s">
        <v>1485</v>
      </c>
      <c r="I131" s="114" t="s">
        <v>2095</v>
      </c>
      <c r="J131" s="114" t="s">
        <v>2097</v>
      </c>
      <c r="K131" s="114" t="s">
        <v>61</v>
      </c>
      <c r="L131" s="114" t="s">
        <v>1264</v>
      </c>
      <c r="M131" s="114" t="s">
        <v>78</v>
      </c>
      <c r="N131" s="114" t="s">
        <v>79</v>
      </c>
      <c r="O131" s="114" t="s">
        <v>1142</v>
      </c>
      <c r="P131" s="114" t="s">
        <v>110</v>
      </c>
      <c r="Q131" s="129" t="str">
        <f>IFERROR(__xludf.DUMMYFUNCTION("""COMPUTED_VALUE"""),"UnitedStates.giaotiep.M640_LHV.9822_MES_SangBD_110626")</f>
        <v>UnitedStates.giaotiep.M640_LHV.9822_MES_SangBD_110626</v>
      </c>
      <c r="R131" s="129" t="str">
        <f>IFERROR(__xludf.DUMMYFUNCTION("""COMPUTED_VALUE"""),"NEW_UnitedStates_2050_none_110626")</f>
        <v>NEW_UnitedStates_2050_none_110626</v>
      </c>
      <c r="S131" s="129" t="str">
        <f>IFERROR(__xludf.DUMMYFUNCTION("""COMPUTED_VALUE"""),"saletructiep_UnitedStates.M640.2050.giaotiep_THCNGDP_LD276")</f>
        <v>saletructiep_UnitedStates.M640.2050.giaotiep_THCNGDP_LD276</v>
      </c>
      <c r="T131" s="130" t="str">
        <f>IFERROR(__xludf.DUMMYFUNCTION("""COMPUTED_VALUE"""),"https://patado.edu.vn/khoa-giao-tiep-unitedstates/?utm_source=Facebook&amp;utm_medium=MES&amp;utm_term=NEW_UnitedStates_2050_none_110626&amp;utm_content=saletructiep_UnitedStates.M640.2050.giaotiep_THCNGDP_LD276&amp;utm_campaign=UnitedStates.giaotiep.M640_LHV.9822_MES_Sa"&amp;"ngBD_110626")</f>
        <v>https://patado.edu.vn/khoa-giao-tiep-unitedstates/?utm_source=Facebook&amp;utm_medium=MES&amp;utm_term=NEW_UnitedStates_2050_none_110626&amp;utm_content=saletructiep_UnitedStates.M640.2050.giaotiep_THCNGDP_LD276&amp;utm_campaign=UnitedStates.giaotiep.M640_LHV.9822_MES_SangBD_110626</v>
      </c>
      <c r="U131" s="133" t="s">
        <v>2102</v>
      </c>
    </row>
    <row r="132">
      <c r="A132" s="50">
        <v>46184.0</v>
      </c>
      <c r="B132" s="128" t="s">
        <v>1977</v>
      </c>
      <c r="C132" s="129" t="str">
        <f>IFERROR(__xludf.DUMMYFUNCTION("""COMPUTED_VALUE"""),"LD280")</f>
        <v>LD280</v>
      </c>
      <c r="D132" s="114" t="s">
        <v>42</v>
      </c>
      <c r="E132" s="114" t="s">
        <v>79</v>
      </c>
      <c r="F132" s="114" t="s">
        <v>539</v>
      </c>
      <c r="G132" s="114">
        <v>1845.0</v>
      </c>
      <c r="H132" s="114" t="s">
        <v>1485</v>
      </c>
      <c r="I132" s="114" t="s">
        <v>2105</v>
      </c>
      <c r="J132" s="114" t="s">
        <v>2106</v>
      </c>
      <c r="K132" s="114" t="s">
        <v>61</v>
      </c>
      <c r="L132" s="114" t="s">
        <v>1264</v>
      </c>
      <c r="M132" s="114" t="s">
        <v>78</v>
      </c>
      <c r="N132" s="114" t="s">
        <v>79</v>
      </c>
      <c r="O132" s="114" t="s">
        <v>1981</v>
      </c>
      <c r="P132" s="114" t="s">
        <v>110</v>
      </c>
      <c r="Q132" s="129" t="str">
        <f>IFERROR(__xludf.DUMMYFUNCTION("""COMPUTED_VALUE"""),"ALL.giaotiep.M640_LHV.9822_MES_SangBD_110626")</f>
        <v>ALL.giaotiep.M640_LHV.9822_MES_SangBD_110626</v>
      </c>
      <c r="R132" s="129" t="str">
        <f>IFERROR(__xludf.DUMMYFUNCTION("""COMPUTED_VALUE"""),"NEW_ALL_1845_none_110626")</f>
        <v>NEW_ALL_1845_none_110626</v>
      </c>
      <c r="S132" s="129" t="str">
        <f>IFERROR(__xludf.DUMMYFUNCTION("""COMPUTED_VALUE"""),"saletructiep_ALL.giaotiep.M640.1845.giaotiep_PTAGTCNDL_LD280")</f>
        <v>saletructiep_ALL.giaotiep.M640.1845.giaotiep_PTAGTCNDL_LD280</v>
      </c>
      <c r="T132" s="130" t="str">
        <f>IFERROR(__xludf.DUMMYFUNCTION("""COMPUTED_VALUE"""),"https://patado.edu.vn/trung-tam-tieng-anh-patado/?utm_source=Facebook&amp;utm_medium=MES&amp;utm_term=NEW_ALL_1845_none_110626&amp;utm_content=saletructiep_ALL.giaotiep.M640.1845.giaotiep_PTAGTCNDL_LD280&amp;utm_campaign=ALL.giaotiep.M640_LHV.9822_MES_SangBD_110626")</f>
        <v>https://patado.edu.vn/trung-tam-tieng-anh-patado/?utm_source=Facebook&amp;utm_medium=MES&amp;utm_term=NEW_ALL_1845_none_110626&amp;utm_content=saletructiep_ALL.giaotiep.M640.1845.giaotiep_PTAGTCNDL_LD280&amp;utm_campaign=ALL.giaotiep.M640_LHV.9822_MES_SangBD_110626</v>
      </c>
      <c r="U132" s="112" t="s">
        <v>2110</v>
      </c>
    </row>
    <row r="133">
      <c r="A133" s="50">
        <v>46185.0</v>
      </c>
      <c r="B133" s="128" t="s">
        <v>2115</v>
      </c>
      <c r="C133" s="129" t="str">
        <f>IFERROR(__xludf.DUMMYFUNCTION("""COMPUTED_VALUE"""),"LD287")</f>
        <v>LD287</v>
      </c>
      <c r="D133" s="114" t="s">
        <v>42</v>
      </c>
      <c r="E133" s="114" t="s">
        <v>69</v>
      </c>
      <c r="F133" s="114" t="s">
        <v>674</v>
      </c>
      <c r="G133" s="114">
        <v>1845.0</v>
      </c>
      <c r="H133" s="114" t="s">
        <v>1485</v>
      </c>
      <c r="I133" s="114" t="s">
        <v>2116</v>
      </c>
      <c r="J133" s="114" t="s">
        <v>2117</v>
      </c>
      <c r="K133" s="114" t="s">
        <v>61</v>
      </c>
      <c r="L133" s="114" t="s">
        <v>1264</v>
      </c>
      <c r="M133" s="114" t="s">
        <v>78</v>
      </c>
      <c r="N133" s="114" t="s">
        <v>69</v>
      </c>
      <c r="O133" s="114" t="s">
        <v>1142</v>
      </c>
      <c r="P133" s="114" t="s">
        <v>110</v>
      </c>
      <c r="Q133" s="129" t="str">
        <f>IFERROR(__xludf.DUMMYFUNCTION("""COMPUTED_VALUE"""),"Europe.giaotiep.M702xM703_LHV.9822_CVS_SangBD_120626")</f>
        <v>Europe.giaotiep.M702xM703_LHV.9822_CVS_SangBD_120626</v>
      </c>
      <c r="R133" s="129" t="str">
        <f>IFERROR(__xludf.DUMMYFUNCTION("""COMPUTED_VALUE"""),"NEW_Europe_1845_none_120626")</f>
        <v>NEW_Europe_1845_none_120626</v>
      </c>
      <c r="S133" s="129" t="str">
        <f>IFERROR(__xludf.DUMMYFUNCTION("""COMPUTED_VALUE"""),"saletructiep_Europe.M703.2045.giaotiep_THCNGDP_LD287")</f>
        <v>saletructiep_Europe.M703.2045.giaotiep_THCNGDP_LD287</v>
      </c>
      <c r="T133" s="130" t="str">
        <f>IFERROR(__xludf.DUMMYFUNCTION("""COMPUTED_VALUE"""),"https://patado.edu.vn/tieng-anh-giao-tiep-eu-sbd-htt/?utm_source=Facebook&amp;utm_medium=CVS&amp;utm_term=NEW_Europe_1845_none_120626&amp;utm_content=saletructiep_Europe.M703.2045.giaotiep_THCNGDP_LD287&amp;utm_campaign=Europe.giaotiep.M702xM703_LHV.9822_CVS_SangBD_12062"&amp;"6")</f>
        <v>https://patado.edu.vn/tieng-anh-giao-tiep-eu-sbd-htt/?utm_source=Facebook&amp;utm_medium=CVS&amp;utm_term=NEW_Europe_1845_none_120626&amp;utm_content=saletructiep_Europe.M703.2045.giaotiep_THCNGDP_LD287&amp;utm_campaign=Europe.giaotiep.M702xM703_LHV.9822_CVS_SangBD_120626</v>
      </c>
      <c r="U133" s="133" t="s">
        <v>2123</v>
      </c>
    </row>
    <row r="134">
      <c r="A134" s="50">
        <v>46185.0</v>
      </c>
      <c r="B134" s="128" t="s">
        <v>2115</v>
      </c>
      <c r="C134" s="129" t="str">
        <f>IFERROR(__xludf.DUMMYFUNCTION("""COMPUTED_VALUE"""),"LD287")</f>
        <v>LD287</v>
      </c>
      <c r="D134" s="114" t="s">
        <v>42</v>
      </c>
      <c r="E134" s="114" t="s">
        <v>69</v>
      </c>
      <c r="F134" s="114" t="s">
        <v>674</v>
      </c>
      <c r="G134" s="114">
        <v>1845.0</v>
      </c>
      <c r="H134" s="114" t="s">
        <v>1485</v>
      </c>
      <c r="I134" s="114" t="s">
        <v>2126</v>
      </c>
      <c r="J134" s="114" t="s">
        <v>2127</v>
      </c>
      <c r="K134" s="114" t="s">
        <v>61</v>
      </c>
      <c r="L134" s="114" t="s">
        <v>1264</v>
      </c>
      <c r="M134" s="114" t="s">
        <v>78</v>
      </c>
      <c r="N134" s="114" t="s">
        <v>69</v>
      </c>
      <c r="O134" s="114" t="s">
        <v>1142</v>
      </c>
      <c r="P134" s="114" t="s">
        <v>110</v>
      </c>
      <c r="Q134" s="129" t="str">
        <f>IFERROR(__xludf.DUMMYFUNCTION("""COMPUTED_VALUE"""),"Europe.giaotiep.M704xM705_LHV.9822_CVS_SangBD_120626")</f>
        <v>Europe.giaotiep.M704xM705_LHV.9822_CVS_SangBD_120626</v>
      </c>
      <c r="R134" s="129" t="str">
        <f>IFERROR(__xludf.DUMMYFUNCTION("""COMPUTED_VALUE"""),"NEW_Europe_1845_none_120626")</f>
        <v>NEW_Europe_1845_none_120626</v>
      </c>
      <c r="S134" s="129" t="str">
        <f>IFERROR(__xludf.DUMMYFUNCTION("""COMPUTED_VALUE"""),"saletructiep_Europe.M704.2045.giaotiep_THCNGDP_LD287")</f>
        <v>saletructiep_Europe.M704.2045.giaotiep_THCNGDP_LD287</v>
      </c>
      <c r="T134" s="130" t="str">
        <f>IFERROR(__xludf.DUMMYFUNCTION("""COMPUTED_VALUE"""),"https://patado.edu.vn/tieng-anh-giao-tiep-eu-sbd-htt/?utm_source=Facebook&amp;utm_medium=CVS&amp;utm_term=NEW_Europe_1845_none_120626&amp;utm_content=saletructiep_Europe.M704.2045.giaotiep_THCNGDP_LD287&amp;utm_campaign=Europe.giaotiep.M704xM705_LHV.9822_CVS_SangBD_12062"&amp;"6")</f>
        <v>https://patado.edu.vn/tieng-anh-giao-tiep-eu-sbd-htt/?utm_source=Facebook&amp;utm_medium=CVS&amp;utm_term=NEW_Europe_1845_none_120626&amp;utm_content=saletructiep_Europe.M704.2045.giaotiep_THCNGDP_LD287&amp;utm_campaign=Europe.giaotiep.M704xM705_LHV.9822_CVS_SangBD_120626</v>
      </c>
      <c r="U134" s="133" t="s">
        <v>2129</v>
      </c>
    </row>
    <row r="135">
      <c r="A135" s="50">
        <v>46188.0</v>
      </c>
      <c r="B135" s="128" t="s">
        <v>2134</v>
      </c>
      <c r="C135" s="129" t="str">
        <f>IFERROR(__xludf.DUMMYFUNCTION("""COMPUTED_VALUE"""),"LD288")</f>
        <v>LD288</v>
      </c>
      <c r="D135" s="114" t="s">
        <v>42</v>
      </c>
      <c r="E135" s="114" t="s">
        <v>69</v>
      </c>
      <c r="F135" s="114" t="s">
        <v>133</v>
      </c>
      <c r="G135" s="114">
        <v>1845.0</v>
      </c>
      <c r="H135" s="114" t="s">
        <v>1485</v>
      </c>
      <c r="I135" s="114" t="s">
        <v>2135</v>
      </c>
      <c r="J135" s="114" t="s">
        <v>2136</v>
      </c>
      <c r="K135" s="114" t="s">
        <v>61</v>
      </c>
      <c r="L135" s="114" t="s">
        <v>1264</v>
      </c>
      <c r="M135" s="114" t="s">
        <v>78</v>
      </c>
      <c r="N135" s="114" t="s">
        <v>69</v>
      </c>
      <c r="O135" s="114" t="s">
        <v>1142</v>
      </c>
      <c r="P135" s="114" t="s">
        <v>110</v>
      </c>
      <c r="Q135" s="129" t="str">
        <f>IFERROR(__xludf.DUMMYFUNCTION("""COMPUTED_VALUE"""),"Japan.giaotiep.M716_LHV.9822_CVS_SangBD_150626")</f>
        <v>Japan.giaotiep.M716_LHV.9822_CVS_SangBD_150626</v>
      </c>
      <c r="R135" s="129" t="str">
        <f>IFERROR(__xludf.DUMMYFUNCTION("""COMPUTED_VALUE"""),"NEW_Japan_1845_none_150626")</f>
        <v>NEW_Japan_1845_none_150626</v>
      </c>
      <c r="S135" s="129" t="str">
        <f>IFERROR(__xludf.DUMMYFUNCTION("""COMPUTED_VALUE"""),"saletructiep_Japan.M716.1840.giaotiep_THCNGDP_LD288")</f>
        <v>saletructiep_Japan.M716.1840.giaotiep_THCNGDP_LD288</v>
      </c>
      <c r="T135" s="130" t="str">
        <f>IFERROR(__xludf.DUMMYFUNCTION("""COMPUTED_VALUE"""),"https://patado.edu.vn/tieng-anh-giao-tiep-cho-nguoi-viet-tai-nhat-sbd-htt/?utm_source=Facebook&amp;utm_medium=CVS&amp;utm_term=NEW_Japan_1845_none_150626&amp;utm_content=saletructiep_Japan.M716.1840.giaotiep_THCNGDP_LD288&amp;utm_campaign=Japan.giaotiep.M716_LHV.9822_CVS"&amp;"_SangBD_150626")</f>
        <v>https://patado.edu.vn/tieng-anh-giao-tiep-cho-nguoi-viet-tai-nhat-sbd-htt/?utm_source=Facebook&amp;utm_medium=CVS&amp;utm_term=NEW_Japan_1845_none_150626&amp;utm_content=saletructiep_Japan.M716.1840.giaotiep_THCNGDP_LD288&amp;utm_campaign=Japan.giaotiep.M716_LHV.9822_CVS_SangBD_150626</v>
      </c>
      <c r="U135" s="133" t="s">
        <v>2142</v>
      </c>
    </row>
    <row r="136">
      <c r="A136" s="50">
        <v>46188.0</v>
      </c>
      <c r="B136" s="128" t="s">
        <v>1553</v>
      </c>
      <c r="C136" s="129" t="str">
        <f>IFERROR(__xludf.DUMMYFUNCTION("""COMPUTED_VALUE"""),"LD263")</f>
        <v>LD263</v>
      </c>
      <c r="D136" s="114" t="s">
        <v>42</v>
      </c>
      <c r="E136" s="114" t="s">
        <v>79</v>
      </c>
      <c r="F136" s="114" t="s">
        <v>539</v>
      </c>
      <c r="G136" s="114">
        <v>1845.0</v>
      </c>
      <c r="H136" s="114" t="s">
        <v>1485</v>
      </c>
      <c r="I136" s="114" t="s">
        <v>2145</v>
      </c>
      <c r="J136" s="114" t="s">
        <v>2146</v>
      </c>
      <c r="K136" s="114" t="s">
        <v>61</v>
      </c>
      <c r="L136" s="114" t="s">
        <v>1264</v>
      </c>
      <c r="M136" s="114" t="s">
        <v>78</v>
      </c>
      <c r="N136" s="114" t="s">
        <v>79</v>
      </c>
      <c r="O136" s="114" t="s">
        <v>1142</v>
      </c>
      <c r="P136" s="114" t="s">
        <v>110</v>
      </c>
      <c r="Q136" s="129" t="str">
        <f>IFERROR(__xludf.DUMMYFUNCTION("""COMPUTED_VALUE"""),"ALL.giaotiep.M693_LHV.9822_MES_SangBD_150626")</f>
        <v>ALL.giaotiep.M693_LHV.9822_MES_SangBD_150626</v>
      </c>
      <c r="R136" s="129" t="str">
        <f>IFERROR(__xludf.DUMMYFUNCTION("""COMPUTED_VALUE"""),"NEW_ALL_1845_none_150626")</f>
        <v>NEW_ALL_1845_none_150626</v>
      </c>
      <c r="S136" s="129" t="str">
        <f>IFERROR(__xludf.DUMMYFUNCTION("""COMPUTED_VALUE"""),"saletructiep_ALL.giaotiep.M693.1845.giaotiep_THCNGDP_LD263")</f>
        <v>saletructiep_ALL.giaotiep.M693.1845.giaotiep_THCNGDP_LD263</v>
      </c>
      <c r="T136" s="130" t="str">
        <f>IFERROR(__xludf.DUMMYFUNCTION("""COMPUTED_VALUE"""),"https://patado.edu.vn/khoa-giao-tiep-tieng-anh-online-all/?utm_source=Facebook&amp;utm_medium=MES&amp;utm_term=NEW_ALL_1845_none_150626&amp;utm_content=saletructiep_ALL.giaotiep.M693.1845.giaotiep_THCNGDP_LD263&amp;utm_campaign=ALL.giaotiep.M693_LHV.9822_MES_SangBD_15062"&amp;"6")</f>
        <v>https://patado.edu.vn/khoa-giao-tiep-tieng-anh-online-all/?utm_source=Facebook&amp;utm_medium=MES&amp;utm_term=NEW_ALL_1845_none_150626&amp;utm_content=saletructiep_ALL.giaotiep.M693.1845.giaotiep_THCNGDP_LD263&amp;utm_campaign=ALL.giaotiep.M693_LHV.9822_MES_SangBD_150626</v>
      </c>
      <c r="U136" s="112" t="s">
        <v>2152</v>
      </c>
    </row>
    <row r="137">
      <c r="A137" s="50">
        <v>46188.0</v>
      </c>
      <c r="B137" s="128" t="s">
        <v>2115</v>
      </c>
      <c r="C137" s="129" t="str">
        <f>IFERROR(__xludf.DUMMYFUNCTION("""COMPUTED_VALUE"""),"LD287")</f>
        <v>LD287</v>
      </c>
      <c r="D137" s="114" t="s">
        <v>42</v>
      </c>
      <c r="E137" s="114" t="s">
        <v>69</v>
      </c>
      <c r="F137" s="114" t="s">
        <v>674</v>
      </c>
      <c r="G137" s="114">
        <v>1845.0</v>
      </c>
      <c r="H137" s="114" t="s">
        <v>1485</v>
      </c>
      <c r="I137" s="114" t="s">
        <v>2153</v>
      </c>
      <c r="J137" s="114" t="s">
        <v>2154</v>
      </c>
      <c r="K137" s="114" t="s">
        <v>61</v>
      </c>
      <c r="L137" s="114" t="s">
        <v>1264</v>
      </c>
      <c r="M137" s="114" t="s">
        <v>78</v>
      </c>
      <c r="N137" s="114" t="s">
        <v>69</v>
      </c>
      <c r="O137" s="114" t="s">
        <v>1142</v>
      </c>
      <c r="P137" s="114" t="s">
        <v>110</v>
      </c>
      <c r="Q137" s="129" t="str">
        <f>IFERROR(__xludf.DUMMYFUNCTION("""COMPUTED_VALUE"""),"Europe.giaotiep.M526xM584_LHV.9822_CVS_SangBD_150626")</f>
        <v>Europe.giaotiep.M526xM584_LHV.9822_CVS_SangBD_150626</v>
      </c>
      <c r="R137" s="129" t="str">
        <f>IFERROR(__xludf.DUMMYFUNCTION("""COMPUTED_VALUE"""),"NEW_Europe_1845_none_150626")</f>
        <v>NEW_Europe_1845_none_150626</v>
      </c>
      <c r="S137" s="129" t="str">
        <f>IFERROR(__xludf.DUMMYFUNCTION("""COMPUTED_VALUE"""),"saletructiep_Europe.M526.1845.giaotiep_THCNGDP_LD287")</f>
        <v>saletructiep_Europe.M526.1845.giaotiep_THCNGDP_LD287</v>
      </c>
      <c r="T137" s="130" t="str">
        <f>IFERROR(__xludf.DUMMYFUNCTION("""COMPUTED_VALUE"""),"https://patado.edu.vn/tieng-anh-giao-tiep-eu-sbd-htt/?utm_source=Facebook&amp;utm_medium=CVS&amp;utm_term=NEW_Europe_1845_none_150626&amp;utm_content=saletructiep_Europe.M526.1845.giaotiep_THCNGDP_LD287&amp;utm_campaign=Europe.giaotiep.M526xM584_LHV.9822_CVS_SangBD_15062"&amp;"6")</f>
        <v>https://patado.edu.vn/tieng-anh-giao-tiep-eu-sbd-htt/?utm_source=Facebook&amp;utm_medium=CVS&amp;utm_term=NEW_Europe_1845_none_150626&amp;utm_content=saletructiep_Europe.M526.1845.giaotiep_THCNGDP_LD287&amp;utm_campaign=Europe.giaotiep.M526xM584_LHV.9822_CVS_SangBD_150626</v>
      </c>
      <c r="U137" s="133" t="s">
        <v>2159</v>
      </c>
    </row>
    <row r="138">
      <c r="A138" s="50">
        <v>46190.0</v>
      </c>
      <c r="B138" s="128" t="s">
        <v>2115</v>
      </c>
      <c r="C138" s="129" t="str">
        <f>IFERROR(__xludf.DUMMYFUNCTION("""COMPUTED_VALUE"""),"LD287")</f>
        <v>LD287</v>
      </c>
      <c r="D138" s="114" t="s">
        <v>42</v>
      </c>
      <c r="E138" s="114" t="s">
        <v>69</v>
      </c>
      <c r="F138" s="114" t="s">
        <v>674</v>
      </c>
      <c r="G138" s="114">
        <v>1845.0</v>
      </c>
      <c r="H138" s="114" t="s">
        <v>1485</v>
      </c>
      <c r="I138" s="114" t="s">
        <v>2163</v>
      </c>
      <c r="J138" s="114" t="s">
        <v>2165</v>
      </c>
      <c r="K138" s="114" t="s">
        <v>61</v>
      </c>
      <c r="L138" s="114" t="s">
        <v>1264</v>
      </c>
      <c r="M138" s="114" t="s">
        <v>78</v>
      </c>
      <c r="N138" s="114" t="s">
        <v>69</v>
      </c>
      <c r="O138" s="114" t="s">
        <v>1142</v>
      </c>
      <c r="P138" s="114" t="s">
        <v>110</v>
      </c>
      <c r="Q138" s="129" t="str">
        <f>IFERROR(__xludf.DUMMYFUNCTION("""COMPUTED_VALUE"""),"Europe.giaotiep.M600xM657_LHV.9822_CVS_SangBD_170626")</f>
        <v>Europe.giaotiep.M600xM657_LHV.9822_CVS_SangBD_170626</v>
      </c>
      <c r="R138" s="129" t="str">
        <f>IFERROR(__xludf.DUMMYFUNCTION("""COMPUTED_VALUE"""),"NEW_Europe_1845_none_170626")</f>
        <v>NEW_Europe_1845_none_170626</v>
      </c>
      <c r="S138" s="129" t="str">
        <f>IFERROR(__xludf.DUMMYFUNCTION("""COMPUTED_VALUE"""),"saletructiep_Europe.M600.1845.giaotiep_THCNGDP_LD287")</f>
        <v>saletructiep_Europe.M600.1845.giaotiep_THCNGDP_LD287</v>
      </c>
      <c r="T138" s="130" t="str">
        <f>IFERROR(__xludf.DUMMYFUNCTION("""COMPUTED_VALUE"""),"https://patado.edu.vn/tieng-anh-giao-tiep-eu-sbd-htt/?utm_source=Facebook&amp;utm_medium=CVS&amp;utm_term=NEW_Europe_1845_none_170626&amp;utm_content=saletructiep_Europe.M600.1845.giaotiep_THCNGDP_LD287&amp;utm_campaign=Europe.giaotiep.M600xM657_LHV.9822_CVS_SangBD_17062"&amp;"6")</f>
        <v>https://patado.edu.vn/tieng-anh-giao-tiep-eu-sbd-htt/?utm_source=Facebook&amp;utm_medium=CVS&amp;utm_term=NEW_Europe_1845_none_170626&amp;utm_content=saletructiep_Europe.M600.1845.giaotiep_THCNGDP_LD287&amp;utm_campaign=Europe.giaotiep.M600xM657_LHV.9822_CVS_SangBD_170626</v>
      </c>
      <c r="U138" s="112" t="s">
        <v>2168</v>
      </c>
    </row>
    <row r="139">
      <c r="A139" s="72">
        <v>46191.0</v>
      </c>
      <c r="B139" s="60" t="s">
        <v>1642</v>
      </c>
      <c r="C139" s="67" t="str">
        <f>IFERROR(__xludf.DUMMYFUNCTION("""COMPUTED_VALUE"""),"LD275")</f>
        <v>LD275</v>
      </c>
      <c r="D139" s="55" t="s">
        <v>42</v>
      </c>
      <c r="E139" s="55" t="s">
        <v>69</v>
      </c>
      <c r="F139" s="55" t="s">
        <v>674</v>
      </c>
      <c r="G139" s="55">
        <v>1840.0</v>
      </c>
      <c r="H139" s="55" t="s">
        <v>1485</v>
      </c>
      <c r="I139" s="55" t="s">
        <v>1762</v>
      </c>
      <c r="J139" s="55" t="s">
        <v>2173</v>
      </c>
      <c r="K139" s="55" t="s">
        <v>61</v>
      </c>
      <c r="L139" s="55" t="s">
        <v>1264</v>
      </c>
      <c r="M139" s="55" t="s">
        <v>78</v>
      </c>
      <c r="N139" s="55" t="s">
        <v>69</v>
      </c>
      <c r="O139" s="55" t="s">
        <v>1142</v>
      </c>
      <c r="P139" s="55" t="s">
        <v>110</v>
      </c>
      <c r="Q139" s="67" t="str">
        <f>IFERROR(__xludf.DUMMYFUNCTION("""COMPUTED_VALUE"""),"Europe.giaotiep.M631xanhnote_LHV.9822_CVS_SangBD_180626")</f>
        <v>Europe.giaotiep.M631xanhnote_LHV.9822_CVS_SangBD_180626</v>
      </c>
      <c r="R139" s="67" t="str">
        <f>IFERROR(__xludf.DUMMYFUNCTION("""COMPUTED_VALUE"""),"NEW_Europe_1840_none_180626")</f>
        <v>NEW_Europe_1840_none_180626</v>
      </c>
      <c r="S139" s="67" t="str">
        <f>IFERROR(__xludf.DUMMYFUNCTION("""COMPUTED_VALUE"""),"saletructiep_Europe.M631.1840.giaotiep_THCNGDP_LD275")</f>
        <v>saletructiep_Europe.M631.1840.giaotiep_THCNGDP_LD275</v>
      </c>
      <c r="T139" s="107" t="str">
        <f>IFERROR(__xludf.DUMMYFUNCTION("""COMPUTED_VALUE"""),"https://patado.edu.vn/khoa-tieng-anh-giao-tiep-chau-au/?utm_source=Facebook&amp;utm_medium=CVS&amp;utm_term=NEW_Europe_1840_none_180626&amp;utm_content=saletructiep_Europe.M631.1840.giaotiep_THCNGDP_LD275&amp;utm_campaign=Europe.giaotiep.M631xanhnote_LHV.9822_CVS_SangBD_"&amp;"180626")</f>
        <v>https://patado.edu.vn/khoa-tieng-anh-giao-tiep-chau-au/?utm_source=Facebook&amp;utm_medium=CVS&amp;utm_term=NEW_Europe_1840_none_180626&amp;utm_content=saletructiep_Europe.M631.1840.giaotiep_THCNGDP_LD275&amp;utm_campaign=Europe.giaotiep.M631xanhnote_LHV.9822_CVS_SangBD_180626</v>
      </c>
      <c r="U139" s="116"/>
    </row>
    <row r="140">
      <c r="A140" s="134">
        <v>46192.0</v>
      </c>
      <c r="B140" s="135" t="s">
        <v>1553</v>
      </c>
      <c r="C140" s="92" t="str">
        <f>IFERROR(__xludf.DUMMYFUNCTION("""COMPUTED_VALUE"""),"LD263")</f>
        <v>LD263</v>
      </c>
      <c r="D140" s="136" t="s">
        <v>42</v>
      </c>
      <c r="E140" s="136" t="s">
        <v>79</v>
      </c>
      <c r="F140" s="136" t="s">
        <v>539</v>
      </c>
      <c r="G140" s="136">
        <v>1840.0</v>
      </c>
      <c r="H140" s="136" t="s">
        <v>1485</v>
      </c>
      <c r="I140" s="136" t="s">
        <v>2179</v>
      </c>
      <c r="J140" s="136" t="s">
        <v>2180</v>
      </c>
      <c r="K140" s="136" t="s">
        <v>61</v>
      </c>
      <c r="L140" s="136" t="s">
        <v>1264</v>
      </c>
      <c r="M140" s="136" t="s">
        <v>78</v>
      </c>
      <c r="N140" s="136" t="s">
        <v>69</v>
      </c>
      <c r="O140" s="136" t="s">
        <v>1142</v>
      </c>
      <c r="P140" s="136" t="s">
        <v>110</v>
      </c>
      <c r="Q140" s="92" t="str">
        <f>IFERROR(__xludf.DUMMYFUNCTION("""COMPUTED_VALUE"""),"ALL.giaotiep.M647_LHV.9822_CVS_SangBD_190626")</f>
        <v>ALL.giaotiep.M647_LHV.9822_CVS_SangBD_190626</v>
      </c>
      <c r="R140" s="92" t="str">
        <f>IFERROR(__xludf.DUMMYFUNCTION("""COMPUTED_VALUE"""),"NEW_ALL_1840_none_190626")</f>
        <v>NEW_ALL_1840_none_190626</v>
      </c>
      <c r="S140" s="92" t="str">
        <f>IFERROR(__xludf.DUMMYFUNCTION("""COMPUTED_VALUE"""),"saletructiep_ALL.giaotiep.M647.1840.giaotiep_THCNGDP_LD263")</f>
        <v>saletructiep_ALL.giaotiep.M647.1840.giaotiep_THCNGDP_LD263</v>
      </c>
      <c r="T140" s="137" t="str">
        <f>IFERROR(__xludf.DUMMYFUNCTION("""COMPUTED_VALUE"""),"https://patado.edu.vn/khoa-giao-tiep-tieng-anh-online-all/?utm_source=Facebook&amp;utm_medium=MES&amp;utm_term=NEW_ALL_1840_none_190626&amp;utm_content=saletructiep_ALL.giaotiep.M647.1840.giaotiep_THCNGDP_LD263&amp;utm_campaign=ALL.giaotiep.M647_LHV.9822_CVS_SangBD_19062"&amp;"6")</f>
        <v>https://patado.edu.vn/khoa-giao-tiep-tieng-anh-online-all/?utm_source=Facebook&amp;utm_medium=MES&amp;utm_term=NEW_ALL_1840_none_190626&amp;utm_content=saletructiep_ALL.giaotiep.M647.1840.giaotiep_THCNGDP_LD263&amp;utm_campaign=ALL.giaotiep.M647_LHV.9822_CVS_SangBD_190626</v>
      </c>
      <c r="U140" s="145" t="s">
        <v>2184</v>
      </c>
    </row>
    <row r="141">
      <c r="A141" s="72">
        <v>46199.0</v>
      </c>
      <c r="B141" s="95" t="s">
        <v>1651</v>
      </c>
      <c r="C141" s="67" t="str">
        <f>IFERROR(__xludf.DUMMYFUNCTION("""COMPUTED_VALUE"""),"LD276")</f>
        <v>LD276</v>
      </c>
      <c r="D141" s="55" t="s">
        <v>42</v>
      </c>
      <c r="E141" s="55" t="s">
        <v>79</v>
      </c>
      <c r="F141" s="55" t="s">
        <v>107</v>
      </c>
      <c r="G141" s="55">
        <v>1840.0</v>
      </c>
      <c r="H141" s="55" t="s">
        <v>1485</v>
      </c>
      <c r="I141" s="55" t="s">
        <v>2013</v>
      </c>
      <c r="J141" s="55" t="s">
        <v>2189</v>
      </c>
      <c r="K141" s="55" t="s">
        <v>61</v>
      </c>
      <c r="L141" s="55" t="s">
        <v>1264</v>
      </c>
      <c r="M141" s="55" t="s">
        <v>78</v>
      </c>
      <c r="N141" s="55" t="s">
        <v>69</v>
      </c>
      <c r="O141" s="55" t="s">
        <v>1142</v>
      </c>
      <c r="P141" s="55" t="s">
        <v>110</v>
      </c>
      <c r="Q141" s="67" t="str">
        <f>IFERROR(__xludf.DUMMYFUNCTION("""COMPUTED_VALUE"""),"UnitedStates.giaotiep.M697_LHV.9822_CVS_SangBD_260626")</f>
        <v>UnitedStates.giaotiep.M697_LHV.9822_CVS_SangBD_260626</v>
      </c>
      <c r="R141" s="67" t="str">
        <f>IFERROR(__xludf.DUMMYFUNCTION("""COMPUTED_VALUE"""),"NEW_UnitedStates_1840_none_260626")</f>
        <v>NEW_UnitedStates_1840_none_260626</v>
      </c>
      <c r="S141" s="67" t="str">
        <f>IFERROR(__xludf.DUMMYFUNCTION("""COMPUTED_VALUE"""),"saletructiep_UnitedStates.M697.1840.giaotiep_THCNGDP_LD276")</f>
        <v>saletructiep_UnitedStates.M697.1840.giaotiep_THCNGDP_LD276</v>
      </c>
      <c r="T141" s="107" t="str">
        <f>IFERROR(__xludf.DUMMYFUNCTION("""COMPUTED_VALUE"""),"https://patado.edu.vn/khoa-giao-tiep-unitedstates/?utm_source=Facebook&amp;utm_medium=MES&amp;utm_term=NEW_UnitedStates_1840_none_260626&amp;utm_content=saletructiep_UnitedStates.M697.1840.giaotiep_THCNGDP_LD276&amp;utm_campaign=UnitedStates.giaotiep.M697_LHV.9822_CVS_Sa"&amp;"ngBD_260626")</f>
        <v>https://patado.edu.vn/khoa-giao-tiep-unitedstates/?utm_source=Facebook&amp;utm_medium=MES&amp;utm_term=NEW_UnitedStates_1840_none_260626&amp;utm_content=saletructiep_UnitedStates.M697.1840.giaotiep_THCNGDP_LD276&amp;utm_campaign=UnitedStates.giaotiep.M697_LHV.9822_CVS_SangBD_260626</v>
      </c>
      <c r="U141" s="116"/>
    </row>
    <row r="142">
      <c r="A142" s="50">
        <v>46202.0</v>
      </c>
      <c r="B142" s="128" t="s">
        <v>1553</v>
      </c>
      <c r="C142" s="129" t="str">
        <f>IFERROR(__xludf.DUMMYFUNCTION("""COMPUTED_VALUE"""),"LD263")</f>
        <v>LD263</v>
      </c>
      <c r="D142" s="114" t="s">
        <v>42</v>
      </c>
      <c r="E142" s="114" t="s">
        <v>79</v>
      </c>
      <c r="F142" s="114" t="s">
        <v>539</v>
      </c>
      <c r="G142" s="114">
        <v>1850.0</v>
      </c>
      <c r="H142" s="114" t="s">
        <v>1485</v>
      </c>
      <c r="I142" s="114" t="s">
        <v>1486</v>
      </c>
      <c r="J142" s="114" t="s">
        <v>1709</v>
      </c>
      <c r="K142" s="114" t="s">
        <v>61</v>
      </c>
      <c r="L142" s="114" t="s">
        <v>1264</v>
      </c>
      <c r="M142" s="114" t="s">
        <v>78</v>
      </c>
      <c r="N142" s="114" t="s">
        <v>69</v>
      </c>
      <c r="O142" s="114" t="s">
        <v>1142</v>
      </c>
      <c r="P142" s="114" t="s">
        <v>110</v>
      </c>
      <c r="Q142" s="129" t="str">
        <f>IFERROR(__xludf.DUMMYFUNCTION("""COMPUTED_VALUE"""),"ALL.giaotiep.M264_LHV.9822_CVS_SangBD_290626")</f>
        <v>ALL.giaotiep.M264_LHV.9822_CVS_SangBD_290626</v>
      </c>
      <c r="R142" s="129" t="str">
        <f>IFERROR(__xludf.DUMMYFUNCTION("""COMPUTED_VALUE"""),"NEW_ALL_1850_none_290626")</f>
        <v>NEW_ALL_1850_none_290626</v>
      </c>
      <c r="S142" s="129" t="str">
        <f>IFERROR(__xludf.DUMMYFUNCTION("""COMPUTED_VALUE"""),"saletructiep_ALL.giaotiep.M624.1850.giaotiep_THCNGDP_LD263")</f>
        <v>saletructiep_ALL.giaotiep.M624.1850.giaotiep_THCNGDP_LD263</v>
      </c>
      <c r="T142" s="130" t="str">
        <f>IFERROR(__xludf.DUMMYFUNCTION("""COMPUTED_VALUE"""),"https://patado.edu.vn/khoa-giao-tiep-tieng-anh-online-all/?utm_source=Facebook&amp;utm_medium=MES&amp;utm_term=NEW_ALL_1850_none_290626&amp;utm_content=saletructiep_ALL.giaotiep.M624.1850.giaotiep_THCNGDP_LD263&amp;utm_campaign=ALL.giaotiep.M264_LHV.9822_CVS_SangBD_29062"&amp;"6")</f>
        <v>https://patado.edu.vn/khoa-giao-tiep-tieng-anh-online-all/?utm_source=Facebook&amp;utm_medium=MES&amp;utm_term=NEW_ALL_1850_none_290626&amp;utm_content=saletructiep_ALL.giaotiep.M624.1850.giaotiep_THCNGDP_LD263&amp;utm_campaign=ALL.giaotiep.M264_LHV.9822_CVS_SangBD_290626</v>
      </c>
      <c r="U142" s="131"/>
    </row>
    <row r="143">
      <c r="A143" s="50">
        <v>46204.0</v>
      </c>
      <c r="B143" s="141" t="s">
        <v>1651</v>
      </c>
      <c r="C143" s="129" t="str">
        <f>IFERROR(__xludf.DUMMYFUNCTION("""COMPUTED_VALUE"""),"LD276")</f>
        <v>LD276</v>
      </c>
      <c r="D143" s="114" t="s">
        <v>42</v>
      </c>
      <c r="E143" s="114" t="s">
        <v>79</v>
      </c>
      <c r="F143" s="114" t="s">
        <v>107</v>
      </c>
      <c r="G143" s="114">
        <v>2050.0</v>
      </c>
      <c r="H143" s="114" t="s">
        <v>1485</v>
      </c>
      <c r="I143" s="114" t="s">
        <v>2197</v>
      </c>
      <c r="J143" s="114" t="s">
        <v>2198</v>
      </c>
      <c r="K143" s="114" t="s">
        <v>61</v>
      </c>
      <c r="L143" s="114" t="s">
        <v>1264</v>
      </c>
      <c r="M143" s="114" t="s">
        <v>78</v>
      </c>
      <c r="N143" s="114" t="s">
        <v>69</v>
      </c>
      <c r="O143" s="114" t="s">
        <v>1142</v>
      </c>
      <c r="P143" s="114" t="s">
        <v>110</v>
      </c>
      <c r="Q143" s="129" t="str">
        <f>IFERROR(__xludf.DUMMYFUNCTION("""COMPUTED_VALUE"""),"UnitedStates.giaotiep.M740_LHV.9822_CVS_SangBD_010726")</f>
        <v>UnitedStates.giaotiep.M740_LHV.9822_CVS_SangBD_010726</v>
      </c>
      <c r="R143" s="129" t="str">
        <f>IFERROR(__xludf.DUMMYFUNCTION("""COMPUTED_VALUE"""),"NEW_UnitedStates_2050_none_010726")</f>
        <v>NEW_UnitedStates_2050_none_010726</v>
      </c>
      <c r="S143" s="129" t="str">
        <f>IFERROR(__xludf.DUMMYFUNCTION("""COMPUTED_VALUE"""),"saletructiep_UnitedStates.M740.2050.giaotiep_THCNGDP_LD276")</f>
        <v>saletructiep_UnitedStates.M740.2050.giaotiep_THCNGDP_LD276</v>
      </c>
      <c r="T143" s="130" t="str">
        <f>IFERROR(__xludf.DUMMYFUNCTION("""COMPUTED_VALUE"""),"https://patado.edu.vn/khoa-giao-tiep-unitedstates/?utm_source=Facebook&amp;utm_medium=MES&amp;utm_term=NEW_UnitedStates_2050_none_010726&amp;utm_content=saletructiep_UnitedStates.M740.2050.giaotiep_THCNGDP_LD276&amp;utm_campaign=UnitedStates.giaotiep.M740_LHV.9822_CVS_Sa"&amp;"ngBD_010726")</f>
        <v>https://patado.edu.vn/khoa-giao-tiep-unitedstates/?utm_source=Facebook&amp;utm_medium=MES&amp;utm_term=NEW_UnitedStates_2050_none_010726&amp;utm_content=saletructiep_UnitedStates.M740.2050.giaotiep_THCNGDP_LD276&amp;utm_campaign=UnitedStates.giaotiep.M740_LHV.9822_CVS_SangBD_010726</v>
      </c>
      <c r="U143" s="112" t="s">
        <v>2202</v>
      </c>
    </row>
    <row r="144">
      <c r="A144" s="50">
        <v>46205.0</v>
      </c>
      <c r="B144" s="128" t="s">
        <v>2115</v>
      </c>
      <c r="C144" s="129" t="str">
        <f>IFERROR(__xludf.DUMMYFUNCTION("""COMPUTED_VALUE"""),"LD287")</f>
        <v>LD287</v>
      </c>
      <c r="D144" s="114" t="s">
        <v>42</v>
      </c>
      <c r="E144" s="114" t="s">
        <v>69</v>
      </c>
      <c r="F144" s="114" t="s">
        <v>674</v>
      </c>
      <c r="G144" s="114">
        <v>1840.0</v>
      </c>
      <c r="H144" s="114" t="s">
        <v>1485</v>
      </c>
      <c r="I144" s="114" t="s">
        <v>2205</v>
      </c>
      <c r="J144" s="114" t="s">
        <v>2206</v>
      </c>
      <c r="K144" s="114" t="s">
        <v>61</v>
      </c>
      <c r="L144" s="114" t="s">
        <v>1264</v>
      </c>
      <c r="M144" s="114" t="s">
        <v>78</v>
      </c>
      <c r="N144" s="114" t="s">
        <v>69</v>
      </c>
      <c r="O144" s="114" t="s">
        <v>1142</v>
      </c>
      <c r="P144" s="114" t="s">
        <v>110</v>
      </c>
      <c r="Q144" s="129" t="str">
        <f>IFERROR(__xludf.DUMMYFUNCTION("""COMPUTED_VALUE"""),"Europe.giaotiep.M733_LHV.9822_CVS_SangBD_020726")</f>
        <v>Europe.giaotiep.M733_LHV.9822_CVS_SangBD_020726</v>
      </c>
      <c r="R144" s="129" t="str">
        <f>IFERROR(__xludf.DUMMYFUNCTION("""COMPUTED_VALUE"""),"NEW_Europe_1840_none_020726")</f>
        <v>NEW_Europe_1840_none_020726</v>
      </c>
      <c r="S144" s="129" t="str">
        <f>IFERROR(__xludf.DUMMYFUNCTION("""COMPUTED_VALUE"""),"saletructiep_Europe.M733.1840.giaotiep_THCNGDP_LD287")</f>
        <v>saletructiep_Europe.M733.1840.giaotiep_THCNGDP_LD287</v>
      </c>
      <c r="T144" s="130" t="str">
        <f>IFERROR(__xludf.DUMMYFUNCTION("""COMPUTED_VALUE"""),"https://patado.edu.vn/tieng-anh-giao-tiep-eu-sbd-htt/?utm_source=Facebook&amp;utm_medium=CVS&amp;utm_term=NEW_Europe_1840_none_020726&amp;utm_content=saletructiep_Europe.M733.1840.giaotiep_THCNGDP_LD287&amp;utm_campaign=Europe.giaotiep.M733_LHV.9822_CVS_SangBD_020726")</f>
        <v>https://patado.edu.vn/tieng-anh-giao-tiep-eu-sbd-htt/?utm_source=Facebook&amp;utm_medium=CVS&amp;utm_term=NEW_Europe_1840_none_020726&amp;utm_content=saletructiep_Europe.M733.1840.giaotiep_THCNGDP_LD287&amp;utm_campaign=Europe.giaotiep.M733_LHV.9822_CVS_SangBD_020726</v>
      </c>
      <c r="U144" s="112" t="s">
        <v>2212</v>
      </c>
    </row>
    <row r="145">
      <c r="A145" s="50">
        <v>46205.0</v>
      </c>
      <c r="B145" s="128" t="s">
        <v>2115</v>
      </c>
      <c r="C145" s="129" t="str">
        <f>IFERROR(__xludf.DUMMYFUNCTION("""COMPUTED_VALUE"""),"LD287")</f>
        <v>LD287</v>
      </c>
      <c r="D145" s="114" t="s">
        <v>42</v>
      </c>
      <c r="E145" s="114" t="s">
        <v>69</v>
      </c>
      <c r="F145" s="114" t="s">
        <v>674</v>
      </c>
      <c r="G145" s="114">
        <v>1840.0</v>
      </c>
      <c r="H145" s="114" t="s">
        <v>1485</v>
      </c>
      <c r="I145" s="114" t="s">
        <v>2213</v>
      </c>
      <c r="J145" s="114" t="s">
        <v>2214</v>
      </c>
      <c r="K145" s="114" t="s">
        <v>61</v>
      </c>
      <c r="L145" s="114" t="s">
        <v>1264</v>
      </c>
      <c r="M145" s="114" t="s">
        <v>78</v>
      </c>
      <c r="N145" s="114" t="s">
        <v>69</v>
      </c>
      <c r="O145" s="114" t="s">
        <v>1142</v>
      </c>
      <c r="P145" s="114" t="s">
        <v>110</v>
      </c>
      <c r="Q145" s="129" t="str">
        <f>IFERROR(__xludf.DUMMYFUNCTION("""COMPUTED_VALUE"""),"Europe.giaotiep.anhnote_LHV.9822_CVS_SangBD_020726")</f>
        <v>Europe.giaotiep.anhnote_LHV.9822_CVS_SangBD_020726</v>
      </c>
      <c r="R145" s="129" t="str">
        <f>IFERROR(__xludf.DUMMYFUNCTION("""COMPUTED_VALUE"""),"NEW_Europe_1840_none_020726")</f>
        <v>NEW_Europe_1840_none_020726</v>
      </c>
      <c r="S145" s="129" t="str">
        <f>IFERROR(__xludf.DUMMYFUNCTION("""COMPUTED_VALUE"""),"saletructiep_Europe.anhnote.1840.giaotiep_THCNGDP_LD287")</f>
        <v>saletructiep_Europe.anhnote.1840.giaotiep_THCNGDP_LD287</v>
      </c>
      <c r="T145" s="130" t="str">
        <f>IFERROR(__xludf.DUMMYFUNCTION("""COMPUTED_VALUE"""),"https://patado.edu.vn/tieng-anh-giao-tiep-eu-sbd-htt/?utm_source=Facebook&amp;utm_medium=CVS&amp;utm_term=NEW_Europe_1840_none_020726&amp;utm_content=saletructiep_Europe.anhnote.1840.giaotiep_THCNGDP_LD287&amp;utm_campaign=Europe.giaotiep.anhnote_LHV.9822_CVS_SangBD_0207"&amp;"26")</f>
        <v>https://patado.edu.vn/tieng-anh-giao-tiep-eu-sbd-htt/?utm_source=Facebook&amp;utm_medium=CVS&amp;utm_term=NEW_Europe_1840_none_020726&amp;utm_content=saletructiep_Europe.anhnote.1840.giaotiep_THCNGDP_LD287&amp;utm_campaign=Europe.giaotiep.anhnote_LHV.9822_CVS_SangBD_020726</v>
      </c>
      <c r="U145" s="131"/>
    </row>
    <row r="146">
      <c r="A146" s="50">
        <v>46206.0</v>
      </c>
      <c r="B146" s="141" t="s">
        <v>1553</v>
      </c>
      <c r="C146" s="129" t="str">
        <f>IFERROR(__xludf.DUMMYFUNCTION("""COMPUTED_VALUE"""),"LD263")</f>
        <v>LD263</v>
      </c>
      <c r="D146" s="114" t="s">
        <v>42</v>
      </c>
      <c r="E146" s="114" t="s">
        <v>79</v>
      </c>
      <c r="F146" s="114" t="s">
        <v>539</v>
      </c>
      <c r="G146" s="114">
        <v>1845.0</v>
      </c>
      <c r="H146" s="114" t="s">
        <v>1485</v>
      </c>
      <c r="I146" s="114" t="s">
        <v>2217</v>
      </c>
      <c r="J146" s="114" t="s">
        <v>2218</v>
      </c>
      <c r="K146" s="114" t="s">
        <v>61</v>
      </c>
      <c r="L146" s="114" t="s">
        <v>1264</v>
      </c>
      <c r="M146" s="114" t="s">
        <v>78</v>
      </c>
      <c r="N146" s="114" t="s">
        <v>79</v>
      </c>
      <c r="O146" s="114" t="s">
        <v>1142</v>
      </c>
      <c r="P146" s="114" t="s">
        <v>110</v>
      </c>
      <c r="Q146" s="129" t="str">
        <f>IFERROR(__xludf.DUMMYFUNCTION("""COMPUTED_VALUE"""),"ALL.giaotiep.M713_LHV.9822_MES_SangBD_030726")</f>
        <v>ALL.giaotiep.M713_LHV.9822_MES_SangBD_030726</v>
      </c>
      <c r="R146" s="129" t="str">
        <f>IFERROR(__xludf.DUMMYFUNCTION("""COMPUTED_VALUE"""),"NEW_ALL_1845_none_030726")</f>
        <v>NEW_ALL_1845_none_030726</v>
      </c>
      <c r="S146" s="129" t="str">
        <f>IFERROR(__xludf.DUMMYFUNCTION("""COMPUTED_VALUE"""),"saletructiep_ALL.giaotiep.M713.1845.giaotiep_THCNGDP_LD263")</f>
        <v>saletructiep_ALL.giaotiep.M713.1845.giaotiep_THCNGDP_LD263</v>
      </c>
      <c r="T146" s="130" t="str">
        <f>IFERROR(__xludf.DUMMYFUNCTION("""COMPUTED_VALUE"""),"https://patado.edu.vn/khoa-giao-tiep-tieng-anh-online-all/?utm_source=Facebook&amp;utm_medium=MES&amp;utm_term=NEW_ALL_1845_none_030726&amp;utm_content=saletructiep_ALL.giaotiep.M713.1845.giaotiep_THCNGDP_LD263&amp;utm_campaign=ALL.giaotiep.M713_LHV.9822_MES_SangBD_03072"&amp;"6")</f>
        <v>https://patado.edu.vn/khoa-giao-tiep-tieng-anh-online-all/?utm_source=Facebook&amp;utm_medium=MES&amp;utm_term=NEW_ALL_1845_none_030726&amp;utm_content=saletructiep_ALL.giaotiep.M713.1845.giaotiep_THCNGDP_LD263&amp;utm_campaign=ALL.giaotiep.M713_LHV.9822_MES_SangBD_030726</v>
      </c>
      <c r="U146" s="133" t="s">
        <v>2221</v>
      </c>
    </row>
    <row r="147">
      <c r="A147" s="50">
        <v>46206.0</v>
      </c>
      <c r="B147" s="128" t="s">
        <v>2134</v>
      </c>
      <c r="C147" s="129" t="str">
        <f>IFERROR(__xludf.DUMMYFUNCTION("""COMPUTED_VALUE"""),"LD288")</f>
        <v>LD288</v>
      </c>
      <c r="D147" s="114" t="s">
        <v>42</v>
      </c>
      <c r="E147" s="114" t="s">
        <v>69</v>
      </c>
      <c r="F147" s="114" t="s">
        <v>133</v>
      </c>
      <c r="G147" s="114">
        <v>1840.0</v>
      </c>
      <c r="H147" s="114" t="s">
        <v>1485</v>
      </c>
      <c r="I147" s="114" t="s">
        <v>2223</v>
      </c>
      <c r="J147" s="114" t="s">
        <v>2224</v>
      </c>
      <c r="K147" s="114" t="s">
        <v>61</v>
      </c>
      <c r="L147" s="114" t="s">
        <v>1264</v>
      </c>
      <c r="M147" s="114" t="s">
        <v>78</v>
      </c>
      <c r="N147" s="114" t="s">
        <v>69</v>
      </c>
      <c r="O147" s="114" t="s">
        <v>1142</v>
      </c>
      <c r="P147" s="114" t="s">
        <v>110</v>
      </c>
      <c r="Q147" s="129" t="str">
        <f>IFERROR(__xludf.DUMMYFUNCTION("""COMPUTED_VALUE"""),"Japan.giaotiep.M736_LHV.9822_CVS_SangBD_030726")</f>
        <v>Japan.giaotiep.M736_LHV.9822_CVS_SangBD_030726</v>
      </c>
      <c r="R147" s="129" t="str">
        <f>IFERROR(__xludf.DUMMYFUNCTION("""COMPUTED_VALUE"""),"NEW_Japan_1840_none_030726")</f>
        <v>NEW_Japan_1840_none_030726</v>
      </c>
      <c r="S147" s="129" t="str">
        <f>IFERROR(__xludf.DUMMYFUNCTION("""COMPUTED_VALUE"""),"saletructiep_Japan.M736.1840.giaotiep_THCNGDP_LD288")</f>
        <v>saletructiep_Japan.M736.1840.giaotiep_THCNGDP_LD288</v>
      </c>
      <c r="T147" s="130" t="str">
        <f>IFERROR(__xludf.DUMMYFUNCTION("""COMPUTED_VALUE"""),"https://patado.edu.vn/tieng-anh-giao-tiep-cho-nguoi-viet-tai-nhat-sbd-htt/?utm_source=Facebook&amp;utm_medium=CVS&amp;utm_term=NEW_Japan_1840_none_030726&amp;utm_content=saletructiep_Japan.M736.1840.giaotiep_THCNGDP_LD288&amp;utm_campaign=Japan.giaotiep.M736_LHV.9822_CVS"&amp;"_SangBD_030726")</f>
        <v>https://patado.edu.vn/tieng-anh-giao-tiep-cho-nguoi-viet-tai-nhat-sbd-htt/?utm_source=Facebook&amp;utm_medium=CVS&amp;utm_term=NEW_Japan_1840_none_030726&amp;utm_content=saletructiep_Japan.M736.1840.giaotiep_THCNGDP_LD288&amp;utm_campaign=Japan.giaotiep.M736_LHV.9822_CVS_SangBD_030726</v>
      </c>
      <c r="U147" s="133" t="s">
        <v>2234</v>
      </c>
    </row>
    <row r="148">
      <c r="A148" s="50">
        <v>46209.0</v>
      </c>
      <c r="B148" s="141" t="s">
        <v>1553</v>
      </c>
      <c r="C148" s="129" t="str">
        <f>IFERROR(__xludf.DUMMYFUNCTION("""COMPUTED_VALUE"""),"LD263")</f>
        <v>LD263</v>
      </c>
      <c r="D148" s="114" t="s">
        <v>42</v>
      </c>
      <c r="E148" s="114" t="s">
        <v>79</v>
      </c>
      <c r="F148" s="114" t="s">
        <v>539</v>
      </c>
      <c r="G148" s="114">
        <v>1845.0</v>
      </c>
      <c r="H148" s="114" t="s">
        <v>1485</v>
      </c>
      <c r="I148" s="114" t="s">
        <v>2179</v>
      </c>
      <c r="J148" s="114" t="s">
        <v>2235</v>
      </c>
      <c r="K148" s="114" t="s">
        <v>61</v>
      </c>
      <c r="L148" s="114" t="s">
        <v>1264</v>
      </c>
      <c r="M148" s="114" t="s">
        <v>78</v>
      </c>
      <c r="N148" s="114" t="s">
        <v>79</v>
      </c>
      <c r="O148" s="114" t="s">
        <v>1142</v>
      </c>
      <c r="P148" s="114" t="s">
        <v>110</v>
      </c>
      <c r="Q148" s="129" t="str">
        <f>IFERROR(__xludf.DUMMYFUNCTION("""COMPUTED_VALUE"""),"ALL.giaotiep.M647_LHV.9822_MES_SangBD_060726")</f>
        <v>ALL.giaotiep.M647_LHV.9822_MES_SangBD_060726</v>
      </c>
      <c r="R148" s="129" t="str">
        <f>IFERROR(__xludf.DUMMYFUNCTION("""COMPUTED_VALUE"""),"NEW_ALL_1845_none_060726")</f>
        <v>NEW_ALL_1845_none_060726</v>
      </c>
      <c r="S148" s="129" t="str">
        <f>IFERROR(__xludf.DUMMYFUNCTION("""COMPUTED_VALUE"""),"saletructiep_ALL.giaotiep.M647.1845.giaotiep_THCNGDP_LD263")</f>
        <v>saletructiep_ALL.giaotiep.M647.1845.giaotiep_THCNGDP_LD263</v>
      </c>
      <c r="T148" s="130" t="str">
        <f>IFERROR(__xludf.DUMMYFUNCTION("""COMPUTED_VALUE"""),"https://patado.edu.vn/khoa-giao-tiep-tieng-anh-online-all/?utm_source=Facebook&amp;utm_medium=MES&amp;utm_term=NEW_ALL_1845_none_060726&amp;utm_content=saletructiep_ALL.giaotiep.M647.1845.giaotiep_THCNGDP_LD263&amp;utm_campaign=ALL.giaotiep.M647_LHV.9822_MES_SangBD_06072"&amp;"6")</f>
        <v>https://patado.edu.vn/khoa-giao-tiep-tieng-anh-online-all/?utm_source=Facebook&amp;utm_medium=MES&amp;utm_term=NEW_ALL_1845_none_060726&amp;utm_content=saletructiep_ALL.giaotiep.M647.1845.giaotiep_THCNGDP_LD263&amp;utm_campaign=ALL.giaotiep.M647_LHV.9822_MES_SangBD_060726</v>
      </c>
      <c r="U148" s="131"/>
    </row>
    <row r="149">
      <c r="A149" s="50">
        <v>46209.0</v>
      </c>
      <c r="B149" s="141" t="s">
        <v>1651</v>
      </c>
      <c r="C149" s="129" t="str">
        <f>IFERROR(__xludf.DUMMYFUNCTION("""COMPUTED_VALUE"""),"LD276")</f>
        <v>LD276</v>
      </c>
      <c r="D149" s="114" t="s">
        <v>42</v>
      </c>
      <c r="E149" s="114" t="s">
        <v>79</v>
      </c>
      <c r="F149" s="114" t="s">
        <v>107</v>
      </c>
      <c r="G149" s="114">
        <v>1845.0</v>
      </c>
      <c r="H149" s="114" t="s">
        <v>1485</v>
      </c>
      <c r="I149" s="114" t="s">
        <v>2197</v>
      </c>
      <c r="J149" s="114" t="s">
        <v>2241</v>
      </c>
      <c r="K149" s="114" t="s">
        <v>61</v>
      </c>
      <c r="L149" s="114" t="s">
        <v>1264</v>
      </c>
      <c r="M149" s="114" t="s">
        <v>78</v>
      </c>
      <c r="N149" s="114" t="s">
        <v>79</v>
      </c>
      <c r="O149" s="114" t="s">
        <v>1142</v>
      </c>
      <c r="P149" s="114" t="s">
        <v>110</v>
      </c>
      <c r="Q149" s="129" t="str">
        <f>IFERROR(__xludf.DUMMYFUNCTION("""COMPUTED_VALUE"""),"UnitedStates.giaotiep.M740_LHV.9822_MES_SangBD_060726")</f>
        <v>UnitedStates.giaotiep.M740_LHV.9822_MES_SangBD_060726</v>
      </c>
      <c r="R149" s="129" t="str">
        <f>IFERROR(__xludf.DUMMYFUNCTION("""COMPUTED_VALUE"""),"NEW_UnitedStates_1845_none_060726")</f>
        <v>NEW_UnitedStates_1845_none_060726</v>
      </c>
      <c r="S149" s="129" t="str">
        <f>IFERROR(__xludf.DUMMYFUNCTION("""COMPUTED_VALUE"""),"saletructiep_UnitedStates.M740.1845.giaotiep_THCNGDP_LD276")</f>
        <v>saletructiep_UnitedStates.M740.1845.giaotiep_THCNGDP_LD276</v>
      </c>
      <c r="T149" s="130" t="str">
        <f>IFERROR(__xludf.DUMMYFUNCTION("""COMPUTED_VALUE"""),"https://patado.edu.vn/khoa-giao-tiep-unitedstates/?utm_source=Facebook&amp;utm_medium=MES&amp;utm_term=NEW_UnitedStates_1845_none_060726&amp;utm_content=saletructiep_UnitedStates.M740.1845.giaotiep_THCNGDP_LD276&amp;utm_campaign=UnitedStates.giaotiep.M740_LHV.9822_MES_Sa"&amp;"ngBD_060726")</f>
        <v>https://patado.edu.vn/khoa-giao-tiep-unitedstates/?utm_source=Facebook&amp;utm_medium=MES&amp;utm_term=NEW_UnitedStates_1845_none_060726&amp;utm_content=saletructiep_UnitedStates.M740.1845.giaotiep_THCNGDP_LD276&amp;utm_campaign=UnitedStates.giaotiep.M740_LHV.9822_MES_SangBD_060726</v>
      </c>
      <c r="U149" s="131"/>
    </row>
    <row r="150">
      <c r="A150" s="50">
        <v>46212.0</v>
      </c>
      <c r="B150" s="141" t="s">
        <v>2134</v>
      </c>
      <c r="C150" s="129" t="str">
        <f>IFERROR(__xludf.DUMMYFUNCTION("""COMPUTED_VALUE"""),"LD288")</f>
        <v>LD288</v>
      </c>
      <c r="D150" s="114" t="s">
        <v>42</v>
      </c>
      <c r="E150" s="114" t="s">
        <v>69</v>
      </c>
      <c r="F150" s="114" t="s">
        <v>133</v>
      </c>
      <c r="G150" s="114">
        <v>1845.0</v>
      </c>
      <c r="H150" s="114" t="s">
        <v>1485</v>
      </c>
      <c r="I150" s="114" t="s">
        <v>2247</v>
      </c>
      <c r="J150" s="114" t="s">
        <v>2248</v>
      </c>
      <c r="K150" s="114" t="s">
        <v>61</v>
      </c>
      <c r="L150" s="114" t="s">
        <v>1264</v>
      </c>
      <c r="M150" s="114" t="s">
        <v>78</v>
      </c>
      <c r="N150" s="114" t="s">
        <v>69</v>
      </c>
      <c r="O150" s="114" t="s">
        <v>1142</v>
      </c>
      <c r="P150" s="114" t="s">
        <v>110</v>
      </c>
      <c r="Q150" s="129" t="str">
        <f>IFERROR(__xludf.DUMMYFUNCTION("""COMPUTED_VALUE"""),"Japan.giaotiep.M716xM736_LHV.9822_CVS_SangBD_090726")</f>
        <v>Japan.giaotiep.M716xM736_LHV.9822_CVS_SangBD_090726</v>
      </c>
      <c r="R150" s="129" t="str">
        <f>IFERROR(__xludf.DUMMYFUNCTION("""COMPUTED_VALUE"""),"NEW_Japan_1845_none_090726")</f>
        <v>NEW_Japan_1845_none_090726</v>
      </c>
      <c r="S150" s="129" t="str">
        <f>IFERROR(__xludf.DUMMYFUNCTION("""COMPUTED_VALUE"""),"saletructiep_Japan.M716.1845.giaotiep_THCNGDP_LD288")</f>
        <v>saletructiep_Japan.M716.1845.giaotiep_THCNGDP_LD288</v>
      </c>
      <c r="T150" s="130" t="str">
        <f>IFERROR(__xludf.DUMMYFUNCTION("""COMPUTED_VALUE"""),"https://patado.edu.vn/tieng-anh-giao-tiep-cho-nguoi-viet-tai-nhat-sbd-htt/?utm_source=Facebook&amp;utm_medium=CVS&amp;utm_term=NEW_Japan_1845_none_090726&amp;utm_content=saletructiep_Japan.M716.1845.giaotiep_THCNGDP_LD288&amp;utm_campaign=Japan.giaotiep.M716xM736_LHV.982"&amp;"2_CVS_SangBD_090726")</f>
        <v>https://patado.edu.vn/tieng-anh-giao-tiep-cho-nguoi-viet-tai-nhat-sbd-htt/?utm_source=Facebook&amp;utm_medium=CVS&amp;utm_term=NEW_Japan_1845_none_090726&amp;utm_content=saletructiep_Japan.M716.1845.giaotiep_THCNGDP_LD288&amp;utm_campaign=Japan.giaotiep.M716xM736_LHV.9822_CVS_SangBD_090726</v>
      </c>
      <c r="U150" s="131"/>
    </row>
    <row r="151">
      <c r="A151" s="50">
        <v>46212.0</v>
      </c>
      <c r="B151" s="141" t="s">
        <v>2115</v>
      </c>
      <c r="C151" s="129" t="str">
        <f>IFERROR(__xludf.DUMMYFUNCTION("""COMPUTED_VALUE"""),"LD287")</f>
        <v>LD287</v>
      </c>
      <c r="D151" s="114" t="s">
        <v>42</v>
      </c>
      <c r="E151" s="114" t="s">
        <v>69</v>
      </c>
      <c r="F151" s="114" t="s">
        <v>674</v>
      </c>
      <c r="G151" s="114">
        <v>1845.0</v>
      </c>
      <c r="H151" s="114" t="s">
        <v>1485</v>
      </c>
      <c r="I151" s="114" t="s">
        <v>2205</v>
      </c>
      <c r="J151" s="114" t="s">
        <v>2256</v>
      </c>
      <c r="K151" s="114" t="s">
        <v>61</v>
      </c>
      <c r="L151" s="114" t="s">
        <v>1264</v>
      </c>
      <c r="M151" s="114" t="s">
        <v>78</v>
      </c>
      <c r="N151" s="114" t="s">
        <v>69</v>
      </c>
      <c r="O151" s="114" t="s">
        <v>1142</v>
      </c>
      <c r="P151" s="114" t="s">
        <v>110</v>
      </c>
      <c r="Q151" s="129" t="str">
        <f>IFERROR(__xludf.DUMMYFUNCTION("""COMPUTED_VALUE"""),"Europe.giaotiep.M733_LHV.9822_CVS_SangBD_090726")</f>
        <v>Europe.giaotiep.M733_LHV.9822_CVS_SangBD_090726</v>
      </c>
      <c r="R151" s="129" t="str">
        <f>IFERROR(__xludf.DUMMYFUNCTION("""COMPUTED_VALUE"""),"NEW_Europe_1845_none_090726")</f>
        <v>NEW_Europe_1845_none_090726</v>
      </c>
      <c r="S151" s="129" t="str">
        <f>IFERROR(__xludf.DUMMYFUNCTION("""COMPUTED_VALUE"""),"saletructiep_Europe.M733.1845.giaotiep_THCNGDP_LD287")</f>
        <v>saletructiep_Europe.M733.1845.giaotiep_THCNGDP_LD287</v>
      </c>
      <c r="T151" s="130" t="str">
        <f>IFERROR(__xludf.DUMMYFUNCTION("""COMPUTED_VALUE"""),"https://patado.edu.vn/tieng-anh-giao-tiep-eu-sbd-htt/?utm_source=Facebook&amp;utm_medium=CVS&amp;utm_term=NEW_Europe_1845_none_090726&amp;utm_content=saletructiep_Europe.M733.1845.giaotiep_THCNGDP_LD287&amp;utm_campaign=Europe.giaotiep.M733_LHV.9822_CVS_SangBD_090726")</f>
        <v>https://patado.edu.vn/tieng-anh-giao-tiep-eu-sbd-htt/?utm_source=Facebook&amp;utm_medium=CVS&amp;utm_term=NEW_Europe_1845_none_090726&amp;utm_content=saletructiep_Europe.M733.1845.giaotiep_THCNGDP_LD287&amp;utm_campaign=Europe.giaotiep.M733_LHV.9822_CVS_SangBD_090726</v>
      </c>
      <c r="U151" s="131"/>
    </row>
    <row r="152">
      <c r="A152" s="134">
        <v>46216.0</v>
      </c>
      <c r="B152" s="135" t="s">
        <v>2115</v>
      </c>
      <c r="C152" s="92" t="str">
        <f>IFERROR(__xludf.DUMMYFUNCTION("""COMPUTED_VALUE"""),"LD287")</f>
        <v>LD287</v>
      </c>
      <c r="D152" s="136" t="s">
        <v>42</v>
      </c>
      <c r="E152" s="136" t="s">
        <v>69</v>
      </c>
      <c r="F152" s="136" t="s">
        <v>674</v>
      </c>
      <c r="G152" s="136">
        <v>1845.0</v>
      </c>
      <c r="H152" s="136" t="s">
        <v>1485</v>
      </c>
      <c r="I152" s="136" t="s">
        <v>2163</v>
      </c>
      <c r="J152" s="136" t="s">
        <v>2165</v>
      </c>
      <c r="K152" s="136" t="s">
        <v>61</v>
      </c>
      <c r="L152" s="136" t="s">
        <v>1264</v>
      </c>
      <c r="M152" s="136" t="s">
        <v>78</v>
      </c>
      <c r="N152" s="136" t="s">
        <v>69</v>
      </c>
      <c r="O152" s="136" t="s">
        <v>1142</v>
      </c>
      <c r="P152" s="136" t="s">
        <v>110</v>
      </c>
      <c r="Q152" s="92" t="str">
        <f>IFERROR(__xludf.DUMMYFUNCTION("""COMPUTED_VALUE"""),"Europe.giaotiep.M600xM657_LHV.9822_CVS_SangBD_130726")</f>
        <v>Europe.giaotiep.M600xM657_LHV.9822_CVS_SangBD_130726</v>
      </c>
      <c r="R152" s="92" t="str">
        <f>IFERROR(__xludf.DUMMYFUNCTION("""COMPUTED_VALUE"""),"NEW_Europe_1845_none_130726")</f>
        <v>NEW_Europe_1845_none_130726</v>
      </c>
      <c r="S152" s="92" t="str">
        <f>IFERROR(__xludf.DUMMYFUNCTION("""COMPUTED_VALUE"""),"saletructiep_Europe.M600.1845.giaotiep_THCNGDP_LD287")</f>
        <v>saletructiep_Europe.M600.1845.giaotiep_THCNGDP_LD287</v>
      </c>
      <c r="T152" s="137" t="str">
        <f>IFERROR(__xludf.DUMMYFUNCTION("""COMPUTED_VALUE"""),"https://patado.edu.vn/tieng-anh-giao-tiep-eu-sbd-htt/?utm_source=Facebook&amp;utm_medium=CVS&amp;utm_term=NEW_Europe_1845_none_130726&amp;utm_content=saletructiep_Europe.M600.1845.giaotiep_THCNGDP_LD287&amp;utm_campaign=Europe.giaotiep.M600xM657_LHV.9822_CVS_SangBD_13072"&amp;"6")</f>
        <v>https://patado.edu.vn/tieng-anh-giao-tiep-eu-sbd-htt/?utm_source=Facebook&amp;utm_medium=CVS&amp;utm_term=NEW_Europe_1845_none_130726&amp;utm_content=saletructiep_Europe.M600.1845.giaotiep_THCNGDP_LD287&amp;utm_campaign=Europe.giaotiep.M600xM657_LHV.9822_CVS_SangBD_130726</v>
      </c>
      <c r="U152" s="147"/>
    </row>
    <row r="153">
      <c r="A153" s="72">
        <v>46217.0</v>
      </c>
      <c r="B153" s="95" t="s">
        <v>1553</v>
      </c>
      <c r="C153" s="67" t="str">
        <f>IFERROR(__xludf.DUMMYFUNCTION("""COMPUTED_VALUE"""),"LD263")</f>
        <v>LD263</v>
      </c>
      <c r="D153" s="55" t="s">
        <v>42</v>
      </c>
      <c r="E153" s="55" t="s">
        <v>79</v>
      </c>
      <c r="F153" s="55" t="s">
        <v>2265</v>
      </c>
      <c r="G153" s="55">
        <v>1850.0</v>
      </c>
      <c r="H153" s="55" t="s">
        <v>1485</v>
      </c>
      <c r="I153" s="55" t="s">
        <v>1613</v>
      </c>
      <c r="J153" s="55" t="s">
        <v>1709</v>
      </c>
      <c r="K153" s="55" t="s">
        <v>61</v>
      </c>
      <c r="L153" s="55" t="s">
        <v>1264</v>
      </c>
      <c r="M153" s="55" t="s">
        <v>78</v>
      </c>
      <c r="N153" s="55" t="s">
        <v>69</v>
      </c>
      <c r="O153" s="55" t="s">
        <v>1142</v>
      </c>
      <c r="P153" s="55" t="s">
        <v>110</v>
      </c>
      <c r="Q153" s="67" t="str">
        <f>IFERROR(__xludf.DUMMYFUNCTION("""COMPUTED_VALUE"""),"ALL.giaotiep.M624_LHV.9822_CVS_SangBD_140726")</f>
        <v>ALL.giaotiep.M624_LHV.9822_CVS_SangBD_140726</v>
      </c>
      <c r="R153" s="67" t="str">
        <f>IFERROR(__xludf.DUMMYFUNCTION("""COMPUTED_VALUE"""),"NEW_All_1850_none_140726")</f>
        <v>NEW_All_1850_none_140726</v>
      </c>
      <c r="S153" s="67" t="str">
        <f>IFERROR(__xludf.DUMMYFUNCTION("""COMPUTED_VALUE"""),"saletructiep_ALL.giaotiep.M624.1850.giaotiep_THCNGDP_LD263")</f>
        <v>saletructiep_ALL.giaotiep.M624.1850.giaotiep_THCNGDP_LD263</v>
      </c>
      <c r="T153" s="107" t="str">
        <f>IFERROR(__xludf.DUMMYFUNCTION("""COMPUTED_VALUE"""),"https://patado.edu.vn/khoa-giao-tiep-tieng-anh-online-all/?utm_source=Facebook&amp;utm_medium=MES&amp;utm_term=NEW_All_1850_none_140726&amp;utm_content=saletructiep_ALL.giaotiep.M624.1850.giaotiep_THCNGDP_LD263&amp;utm_campaign=ALL.giaotiep.M624_LHV.9822_CVS_SangBD_14072"&amp;"6")</f>
        <v>https://patado.edu.vn/khoa-giao-tiep-tieng-anh-online-all/?utm_source=Facebook&amp;utm_medium=MES&amp;utm_term=NEW_All_1850_none_140726&amp;utm_content=saletructiep_ALL.giaotiep.M624.1850.giaotiep_THCNGDP_LD263&amp;utm_campaign=ALL.giaotiep.M624_LHV.9822_CVS_SangBD_140726</v>
      </c>
      <c r="U153" s="116"/>
    </row>
    <row r="154">
      <c r="A154" s="72">
        <v>46226.0</v>
      </c>
      <c r="B154" s="95" t="s">
        <v>1553</v>
      </c>
      <c r="C154" s="67" t="str">
        <f>IFERROR(__xludf.DUMMYFUNCTION("""COMPUTED_VALUE"""),"LD263")</f>
        <v>LD263</v>
      </c>
      <c r="D154" s="55" t="s">
        <v>42</v>
      </c>
      <c r="E154" s="55" t="s">
        <v>79</v>
      </c>
      <c r="F154" s="55" t="s">
        <v>539</v>
      </c>
      <c r="G154" s="55">
        <v>1845.0</v>
      </c>
      <c r="H154" s="55" t="s">
        <v>1485</v>
      </c>
      <c r="I154" s="55" t="s">
        <v>2270</v>
      </c>
      <c r="J154" s="55" t="s">
        <v>2271</v>
      </c>
      <c r="K154" s="55" t="s">
        <v>61</v>
      </c>
      <c r="L154" s="55" t="s">
        <v>1264</v>
      </c>
      <c r="M154" s="55" t="s">
        <v>78</v>
      </c>
      <c r="N154" s="55" t="s">
        <v>69</v>
      </c>
      <c r="O154" s="55" t="s">
        <v>1142</v>
      </c>
      <c r="P154" s="55" t="s">
        <v>110</v>
      </c>
      <c r="Q154" s="67" t="str">
        <f>IFERROR(__xludf.DUMMYFUNCTION("""COMPUTED_VALUE"""),"ALL.giaotiep.M718_LHV.9822_CVS_SangBD_230726")</f>
        <v>ALL.giaotiep.M718_LHV.9822_CVS_SangBD_230726</v>
      </c>
      <c r="R154" s="67" t="str">
        <f>IFERROR(__xludf.DUMMYFUNCTION("""COMPUTED_VALUE"""),"NEW_ALL_1845_none_230726")</f>
        <v>NEW_ALL_1845_none_230726</v>
      </c>
      <c r="S154" s="67" t="str">
        <f>IFERROR(__xludf.DUMMYFUNCTION("""COMPUTED_VALUE"""),"saletructiep_ALL.giaotiep.M718.1845.giaotiep_THCNGDP_LD263")</f>
        <v>saletructiep_ALL.giaotiep.M718.1845.giaotiep_THCNGDP_LD263</v>
      </c>
      <c r="T154" s="107" t="str">
        <f>IFERROR(__xludf.DUMMYFUNCTION("""COMPUTED_VALUE"""),"https://patado.edu.vn/khoa-giao-tiep-tieng-anh-online-all/?utm_source=Facebook&amp;utm_medium=MES&amp;utm_term=NEW_ALL_1845_none_230726&amp;utm_content=saletructiep_ALL.giaotiep.M718.1845.giaotiep_THCNGDP_LD263&amp;utm_campaign=ALL.giaotiep.M718_LHV.9822_CVS_SangBD_23072"&amp;"6")</f>
        <v>https://patado.edu.vn/khoa-giao-tiep-tieng-anh-online-all/?utm_source=Facebook&amp;utm_medium=MES&amp;utm_term=NEW_ALL_1845_none_230726&amp;utm_content=saletructiep_ALL.giaotiep.M718.1845.giaotiep_THCNGDP_LD263&amp;utm_campaign=ALL.giaotiep.M718_LHV.9822_CVS_SangBD_230726</v>
      </c>
      <c r="U154" s="110" t="s">
        <v>2277</v>
      </c>
    </row>
    <row r="155">
      <c r="A155" s="72">
        <v>46226.0</v>
      </c>
      <c r="B155" s="60" t="s">
        <v>2115</v>
      </c>
      <c r="C155" s="67" t="str">
        <f>IFERROR(__xludf.DUMMYFUNCTION("""COMPUTED_VALUE"""),"LD287")</f>
        <v>LD287</v>
      </c>
      <c r="D155" s="55" t="s">
        <v>42</v>
      </c>
      <c r="E155" s="55" t="s">
        <v>69</v>
      </c>
      <c r="F155" s="55" t="s">
        <v>674</v>
      </c>
      <c r="G155" s="55">
        <v>1845.0</v>
      </c>
      <c r="H155" s="55" t="s">
        <v>1485</v>
      </c>
      <c r="I155" s="114" t="s">
        <v>2213</v>
      </c>
      <c r="J155" s="114" t="s">
        <v>2280</v>
      </c>
      <c r="K155" s="55" t="s">
        <v>61</v>
      </c>
      <c r="L155" s="55" t="s">
        <v>1264</v>
      </c>
      <c r="M155" s="55" t="s">
        <v>78</v>
      </c>
      <c r="N155" s="55" t="s">
        <v>69</v>
      </c>
      <c r="O155" s="55" t="s">
        <v>1142</v>
      </c>
      <c r="P155" s="55" t="s">
        <v>110</v>
      </c>
      <c r="Q155" s="67" t="str">
        <f>IFERROR(__xludf.DUMMYFUNCTION("""COMPUTED_VALUE"""),"Europe.giaotiep.anhnote_LHV.9822_CVS_SangBD_230726")</f>
        <v>Europe.giaotiep.anhnote_LHV.9822_CVS_SangBD_230726</v>
      </c>
      <c r="R155" s="67" t="str">
        <f>IFERROR(__xludf.DUMMYFUNCTION("""COMPUTED_VALUE"""),"NEW_Europe_1845_none_230726")</f>
        <v>NEW_Europe_1845_none_230726</v>
      </c>
      <c r="S155" s="67" t="str">
        <f>IFERROR(__xludf.DUMMYFUNCTION("""COMPUTED_VALUE"""),"saletructiep_Europe.anhnote.1845.giaotiep_THCNGDP_LD287")</f>
        <v>saletructiep_Europe.anhnote.1845.giaotiep_THCNGDP_LD287</v>
      </c>
      <c r="T155" s="107" t="str">
        <f>IFERROR(__xludf.DUMMYFUNCTION("""COMPUTED_VALUE"""),"https://patado.edu.vn/tieng-anh-giao-tiep-eu-sbd-htt/?utm_source=Facebook&amp;utm_medium=CVS&amp;utm_term=NEW_Europe_1845_none_230726&amp;utm_content=saletructiep_Europe.anhnote.1845.giaotiep_THCNGDP_LD287&amp;utm_campaign=Europe.giaotiep.anhnote_LHV.9822_CVS_SangBD_2307"&amp;"26")</f>
        <v>https://patado.edu.vn/tieng-anh-giao-tiep-eu-sbd-htt/?utm_source=Facebook&amp;utm_medium=CVS&amp;utm_term=NEW_Europe_1845_none_230726&amp;utm_content=saletructiep_Europe.anhnote.1845.giaotiep_THCNGDP_LD287&amp;utm_campaign=Europe.giaotiep.anhnote_LHV.9822_CVS_SangBD_230726</v>
      </c>
      <c r="U155" s="116"/>
    </row>
    <row r="156">
      <c r="A156" s="72">
        <v>46227.0</v>
      </c>
      <c r="B156" s="60" t="s">
        <v>2115</v>
      </c>
      <c r="C156" s="67" t="str">
        <f>IFERROR(__xludf.DUMMYFUNCTION("""COMPUTED_VALUE"""),"LD287")</f>
        <v>LD287</v>
      </c>
      <c r="D156" s="55" t="s">
        <v>42</v>
      </c>
      <c r="E156" s="55" t="s">
        <v>69</v>
      </c>
      <c r="F156" s="55" t="s">
        <v>674</v>
      </c>
      <c r="G156" s="55">
        <v>1845.0</v>
      </c>
      <c r="H156" s="55" t="s">
        <v>1485</v>
      </c>
      <c r="I156" s="114" t="s">
        <v>2286</v>
      </c>
      <c r="J156" s="114" t="s">
        <v>2287</v>
      </c>
      <c r="K156" s="55" t="s">
        <v>61</v>
      </c>
      <c r="L156" s="55" t="s">
        <v>1264</v>
      </c>
      <c r="M156" s="55" t="s">
        <v>78</v>
      </c>
      <c r="N156" s="55" t="s">
        <v>69</v>
      </c>
      <c r="O156" s="55" t="s">
        <v>1142</v>
      </c>
      <c r="P156" s="55" t="s">
        <v>110</v>
      </c>
      <c r="Q156" s="67" t="str">
        <f>IFERROR(__xludf.DUMMYFUNCTION("""COMPUTED_VALUE"""),"Europe.giaotiep.M711_LHV.9822_CVS_SangBD_240726")</f>
        <v>Europe.giaotiep.M711_LHV.9822_CVS_SangBD_240726</v>
      </c>
      <c r="R156" s="67" t="str">
        <f>IFERROR(__xludf.DUMMYFUNCTION("""COMPUTED_VALUE"""),"NEW_Europe_1845_none_240726")</f>
        <v>NEW_Europe_1845_none_240726</v>
      </c>
      <c r="S156" s="67" t="str">
        <f>IFERROR(__xludf.DUMMYFUNCTION("""COMPUTED_VALUE"""),"saletructiep_Europe.M711.1845.giaotiep_THCNGDP_LD287")</f>
        <v>saletructiep_Europe.M711.1845.giaotiep_THCNGDP_LD287</v>
      </c>
      <c r="T156" s="107" t="str">
        <f>IFERROR(__xludf.DUMMYFUNCTION("""COMPUTED_VALUE"""),"https://patado.edu.vn/tieng-anh-giao-tiep-eu-sbd-htt/?utm_source=Facebook&amp;utm_medium=CVS&amp;utm_term=NEW_Europe_1845_none_240726&amp;utm_content=saletructiep_Europe.M711.1845.giaotiep_THCNGDP_LD287&amp;utm_campaign=Europe.giaotiep.M711_LHV.9822_CVS_SangBD_240726")</f>
        <v>https://patado.edu.vn/tieng-anh-giao-tiep-eu-sbd-htt/?utm_source=Facebook&amp;utm_medium=CVS&amp;utm_term=NEW_Europe_1845_none_240726&amp;utm_content=saletructiep_Europe.M711.1845.giaotiep_THCNGDP_LD287&amp;utm_campaign=Europe.giaotiep.M711_LHV.9822_CVS_SangBD_240726</v>
      </c>
      <c r="U156" s="111" t="s">
        <v>2293</v>
      </c>
    </row>
    <row r="157">
      <c r="A157" s="72">
        <v>46230.0</v>
      </c>
      <c r="B157" s="95" t="s">
        <v>1553</v>
      </c>
      <c r="C157" s="67" t="str">
        <f>IFERROR(__xludf.DUMMYFUNCTION("""COMPUTED_VALUE"""),"LD263")</f>
        <v>LD263</v>
      </c>
      <c r="D157" s="55" t="s">
        <v>42</v>
      </c>
      <c r="E157" s="55" t="s">
        <v>79</v>
      </c>
      <c r="F157" s="55" t="s">
        <v>107</v>
      </c>
      <c r="G157" s="55">
        <v>1845.0</v>
      </c>
      <c r="H157" s="55" t="s">
        <v>1485</v>
      </c>
      <c r="I157" s="55" t="s">
        <v>2294</v>
      </c>
      <c r="J157" s="55" t="s">
        <v>2295</v>
      </c>
      <c r="K157" s="55" t="s">
        <v>61</v>
      </c>
      <c r="L157" s="55" t="s">
        <v>1264</v>
      </c>
      <c r="M157" s="55" t="s">
        <v>78</v>
      </c>
      <c r="N157" s="55" t="s">
        <v>69</v>
      </c>
      <c r="O157" s="55" t="s">
        <v>1142</v>
      </c>
      <c r="P157" s="55" t="s">
        <v>110</v>
      </c>
      <c r="Q157" s="67" t="str">
        <f>IFERROR(__xludf.DUMMYFUNCTION("""COMPUTED_VALUE"""),"UnitedStates.giaotiep.M647_LHV.9822_CVS_SangBD_270726")</f>
        <v>UnitedStates.giaotiep.M647_LHV.9822_CVS_SangBD_270726</v>
      </c>
      <c r="R157" s="67" t="str">
        <f>IFERROR(__xludf.DUMMYFUNCTION("""COMPUTED_VALUE"""),"NEW_UnitedStates_1845_none_270726")</f>
        <v>NEW_UnitedStates_1845_none_270726</v>
      </c>
      <c r="S157" s="67" t="str">
        <f>IFERROR(__xludf.DUMMYFUNCTION("""COMPUTED_VALUE"""),"saletructiep_UnitedStates.M647.1845.giaotiep_THCNGDP_LD263")</f>
        <v>saletructiep_UnitedStates.M647.1845.giaotiep_THCNGDP_LD263</v>
      </c>
      <c r="T157" s="107" t="str">
        <f>IFERROR(__xludf.DUMMYFUNCTION("""COMPUTED_VALUE"""),"https://patado.edu.vn/khoa-giao-tiep-tieng-anh-online-all/?utm_source=Facebook&amp;utm_medium=MES&amp;utm_term=NEW_UnitedStates_1845_none_270726&amp;utm_content=saletructiep_UnitedStates.M647.1845.giaotiep_THCNGDP_LD263&amp;utm_campaign=UnitedStates.giaotiep.M647_LHV.982"&amp;"2_CVS_SangBD_270726")</f>
        <v>https://patado.edu.vn/khoa-giao-tiep-tieng-anh-online-all/?utm_source=Facebook&amp;utm_medium=MES&amp;utm_term=NEW_UnitedStates_1845_none_270726&amp;utm_content=saletructiep_UnitedStates.M647.1845.giaotiep_THCNGDP_LD263&amp;utm_campaign=UnitedStates.giaotiep.M647_LHV.9822_CVS_SangBD_270726</v>
      </c>
      <c r="U157" s="110" t="s">
        <v>2301</v>
      </c>
    </row>
    <row r="158">
      <c r="A158" s="72">
        <v>46237.0</v>
      </c>
      <c r="B158" s="95" t="s">
        <v>1553</v>
      </c>
      <c r="C158" s="67" t="str">
        <f>IFERROR(__xludf.DUMMYFUNCTION("""COMPUTED_VALUE"""),"LD263")</f>
        <v>LD263</v>
      </c>
      <c r="D158" s="55" t="s">
        <v>42</v>
      </c>
      <c r="E158" s="55" t="s">
        <v>79</v>
      </c>
      <c r="F158" s="55" t="s">
        <v>539</v>
      </c>
      <c r="G158" s="55">
        <v>1845.0</v>
      </c>
      <c r="H158" s="55" t="s">
        <v>1485</v>
      </c>
      <c r="I158" s="55" t="s">
        <v>1613</v>
      </c>
      <c r="J158" s="55" t="s">
        <v>1940</v>
      </c>
      <c r="K158" s="55" t="s">
        <v>61</v>
      </c>
      <c r="L158" s="55" t="s">
        <v>1264</v>
      </c>
      <c r="M158" s="55" t="s">
        <v>78</v>
      </c>
      <c r="N158" s="55" t="s">
        <v>69</v>
      </c>
      <c r="O158" s="55" t="s">
        <v>1142</v>
      </c>
      <c r="P158" s="55" t="s">
        <v>110</v>
      </c>
      <c r="Q158" s="67" t="str">
        <f>IFERROR(__xludf.DUMMYFUNCTION("""COMPUTED_VALUE"""),"ALL.giaotiep.M624_LHV.9822_CVS_SangBD_030826")</f>
        <v>ALL.giaotiep.M624_LHV.9822_CVS_SangBD_030826</v>
      </c>
      <c r="R158" s="67" t="str">
        <f>IFERROR(__xludf.DUMMYFUNCTION("""COMPUTED_VALUE"""),"NEW_ALL_1845_none_030826")</f>
        <v>NEW_ALL_1845_none_030826</v>
      </c>
      <c r="S158" s="67" t="str">
        <f>IFERROR(__xludf.DUMMYFUNCTION("""COMPUTED_VALUE"""),"saletructiep_ALL.giaotiep.M624.1845.giaotiep_THCNGDP_LD263")</f>
        <v>saletructiep_ALL.giaotiep.M624.1845.giaotiep_THCNGDP_LD263</v>
      </c>
      <c r="T158" s="107" t="str">
        <f>IFERROR(__xludf.DUMMYFUNCTION("""COMPUTED_VALUE"""),"https://patado.edu.vn/khoa-giao-tiep-tieng-anh-online-all/?utm_source=Facebook&amp;utm_medium=MES&amp;utm_term=NEW_ALL_1845_none_030826&amp;utm_content=saletructiep_ALL.giaotiep.M624.1845.giaotiep_THCNGDP_LD263&amp;utm_campaign=ALL.giaotiep.M624_LHV.9822_CVS_SangBD_03082"&amp;"6")</f>
        <v>https://patado.edu.vn/khoa-giao-tiep-tieng-anh-online-all/?utm_source=Facebook&amp;utm_medium=MES&amp;utm_term=NEW_ALL_1845_none_030826&amp;utm_content=saletructiep_ALL.giaotiep.M624.1845.giaotiep_THCNGDP_LD263&amp;utm_campaign=ALL.giaotiep.M624_LHV.9822_CVS_SangBD_030826</v>
      </c>
      <c r="U158" s="116"/>
    </row>
    <row r="159">
      <c r="A159" s="72">
        <v>46237.0</v>
      </c>
      <c r="B159" s="95" t="s">
        <v>1642</v>
      </c>
      <c r="C159" s="67" t="str">
        <f>IFERROR(__xludf.DUMMYFUNCTION("""COMPUTED_VALUE"""),"LD275")</f>
        <v>LD275</v>
      </c>
      <c r="D159" s="55" t="s">
        <v>42</v>
      </c>
      <c r="E159" s="55" t="s">
        <v>69</v>
      </c>
      <c r="F159" s="55" t="s">
        <v>674</v>
      </c>
      <c r="G159" s="55">
        <v>1845.0</v>
      </c>
      <c r="H159" s="55" t="s">
        <v>1485</v>
      </c>
      <c r="I159" s="55" t="s">
        <v>1711</v>
      </c>
      <c r="J159" s="55" t="s">
        <v>1713</v>
      </c>
      <c r="K159" s="55" t="s">
        <v>61</v>
      </c>
      <c r="L159" s="55" t="s">
        <v>1264</v>
      </c>
      <c r="M159" s="55" t="s">
        <v>78</v>
      </c>
      <c r="N159" s="55" t="s">
        <v>69</v>
      </c>
      <c r="O159" s="55" t="s">
        <v>1142</v>
      </c>
      <c r="P159" s="55" t="s">
        <v>110</v>
      </c>
      <c r="Q159" s="67" t="str">
        <f>IFERROR(__xludf.DUMMYFUNCTION("""COMPUTED_VALUE"""),"Europe.giaotiep.M601xanhnote_LHV.9822_CVS_SangBD_030826")</f>
        <v>Europe.giaotiep.M601xanhnote_LHV.9822_CVS_SangBD_030826</v>
      </c>
      <c r="R159" s="67" t="str">
        <f>IFERROR(__xludf.DUMMYFUNCTION("""COMPUTED_VALUE"""),"NEW_Europe_1845_none_030826")</f>
        <v>NEW_Europe_1845_none_030826</v>
      </c>
      <c r="S159" s="67" t="str">
        <f>IFERROR(__xludf.DUMMYFUNCTION("""COMPUTED_VALUE"""),"saletructiep_Europe.M601.1850.giaotiep_THCNGDP_LD275")</f>
        <v>saletructiep_Europe.M601.1850.giaotiep_THCNGDP_LD275</v>
      </c>
      <c r="T159" s="107" t="str">
        <f>IFERROR(__xludf.DUMMYFUNCTION("""COMPUTED_VALUE"""),"https://patado.edu.vn/khoa-tieng-anh-giao-tiep-chau-au/?utm_source=Facebook&amp;utm_medium=CVS&amp;utm_term=NEW_Europe_1845_none_030826&amp;utm_content=saletructiep_Europe.M601.1850.giaotiep_THCNGDP_LD275&amp;utm_campaign=Europe.giaotiep.M601xanhnote_LHV.9822_CVS_SangBD_"&amp;"030826")</f>
        <v>https://patado.edu.vn/khoa-tieng-anh-giao-tiep-chau-au/?utm_source=Facebook&amp;utm_medium=CVS&amp;utm_term=NEW_Europe_1845_none_030826&amp;utm_content=saletructiep_Europe.M601.1850.giaotiep_THCNGDP_LD275&amp;utm_campaign=Europe.giaotiep.M601xanhnote_LHV.9822_CVS_SangBD_030826</v>
      </c>
      <c r="U159" s="116"/>
    </row>
    <row r="160">
      <c r="A160" s="72">
        <v>46238.0</v>
      </c>
      <c r="B160" s="95" t="s">
        <v>1553</v>
      </c>
      <c r="C160" s="67" t="str">
        <f>IFERROR(__xludf.DUMMYFUNCTION("""COMPUTED_VALUE"""),"LD263")</f>
        <v>LD263</v>
      </c>
      <c r="D160" s="55" t="s">
        <v>42</v>
      </c>
      <c r="E160" s="55" t="s">
        <v>79</v>
      </c>
      <c r="F160" s="55" t="s">
        <v>539</v>
      </c>
      <c r="G160" s="55">
        <v>1845.0</v>
      </c>
      <c r="H160" s="55" t="s">
        <v>1485</v>
      </c>
      <c r="I160" s="55" t="s">
        <v>2311</v>
      </c>
      <c r="J160" s="55" t="s">
        <v>2312</v>
      </c>
      <c r="K160" s="55" t="s">
        <v>61</v>
      </c>
      <c r="L160" s="55" t="s">
        <v>1264</v>
      </c>
      <c r="M160" s="55" t="s">
        <v>78</v>
      </c>
      <c r="N160" s="55" t="s">
        <v>79</v>
      </c>
      <c r="O160" s="55" t="s">
        <v>1142</v>
      </c>
      <c r="P160" s="55" t="s">
        <v>110</v>
      </c>
      <c r="Q160" s="67" t="str">
        <f>IFERROR(__xludf.DUMMYFUNCTION("""COMPUTED_VALUE"""),"ALL.giaotiep.M769_LHV.9822_MES_SangBD_040826")</f>
        <v>ALL.giaotiep.M769_LHV.9822_MES_SangBD_040826</v>
      </c>
      <c r="R160" s="67" t="str">
        <f>IFERROR(__xludf.DUMMYFUNCTION("""COMPUTED_VALUE"""),"NEW_ALL_1845_none_040826")</f>
        <v>NEW_ALL_1845_none_040826</v>
      </c>
      <c r="S160" s="67" t="str">
        <f>IFERROR(__xludf.DUMMYFUNCTION("""COMPUTED_VALUE"""),"saletructiep_ALL.giaotiep.M769.1845.giaotiep_THCNGDP_LD263")</f>
        <v>saletructiep_ALL.giaotiep.M769.1845.giaotiep_THCNGDP_LD263</v>
      </c>
      <c r="T160" s="107" t="str">
        <f>IFERROR(__xludf.DUMMYFUNCTION("""COMPUTED_VALUE"""),"https://patado.edu.vn/khoa-giao-tiep-tieng-anh-online-all/?utm_source=Facebook&amp;utm_medium=MES&amp;utm_term=NEW_ALL_1845_none_040826&amp;utm_content=saletructiep_ALL.giaotiep.M769.1845.giaotiep_THCNGDP_LD263&amp;utm_campaign=ALL.giaotiep.M769_LHV.9822_MES_SangBD_04082"&amp;"6")</f>
        <v>https://patado.edu.vn/khoa-giao-tiep-tieng-anh-online-all/?utm_source=Facebook&amp;utm_medium=MES&amp;utm_term=NEW_ALL_1845_none_040826&amp;utm_content=saletructiep_ALL.giaotiep.M769.1845.giaotiep_THCNGDP_LD263&amp;utm_campaign=ALL.giaotiep.M769_LHV.9822_MES_SangBD_040826</v>
      </c>
      <c r="U160" s="110" t="s">
        <v>2315</v>
      </c>
    </row>
    <row r="161">
      <c r="A161" s="50">
        <v>46238.0</v>
      </c>
      <c r="B161" s="128" t="s">
        <v>1553</v>
      </c>
      <c r="C161" s="129" t="str">
        <f>IFERROR(__xludf.DUMMYFUNCTION("""COMPUTED_VALUE"""),"LD263")</f>
        <v>LD263</v>
      </c>
      <c r="D161" s="114" t="s">
        <v>42</v>
      </c>
      <c r="E161" s="114" t="s">
        <v>79</v>
      </c>
      <c r="F161" s="114" t="s">
        <v>539</v>
      </c>
      <c r="G161" s="114">
        <v>1845.0</v>
      </c>
      <c r="H161" s="114" t="s">
        <v>1485</v>
      </c>
      <c r="I161" s="114" t="s">
        <v>2319</v>
      </c>
      <c r="J161" s="114" t="s">
        <v>2320</v>
      </c>
      <c r="K161" s="114" t="s">
        <v>61</v>
      </c>
      <c r="L161" s="114" t="s">
        <v>1264</v>
      </c>
      <c r="M161" s="114" t="s">
        <v>78</v>
      </c>
      <c r="N161" s="114" t="s">
        <v>79</v>
      </c>
      <c r="O161" s="114" t="s">
        <v>1142</v>
      </c>
      <c r="P161" s="114" t="s">
        <v>110</v>
      </c>
      <c r="Q161" s="129" t="str">
        <f>IFERROR(__xludf.DUMMYFUNCTION("""COMPUTED_VALUE"""),"ALL.giaotiep.M681_LHV.9822_MES_SangBD_040826")</f>
        <v>ALL.giaotiep.M681_LHV.9822_MES_SangBD_040826</v>
      </c>
      <c r="R161" s="129" t="str">
        <f>IFERROR(__xludf.DUMMYFUNCTION("""COMPUTED_VALUE"""),"NEW_ALL_1845_none_040826")</f>
        <v>NEW_ALL_1845_none_040826</v>
      </c>
      <c r="S161" s="129" t="str">
        <f>IFERROR(__xludf.DUMMYFUNCTION("""COMPUTED_VALUE"""),"saletructiep_ALL.giaotiep.M681.1845.giaotiep_THCNGDP_LD263")</f>
        <v>saletructiep_ALL.giaotiep.M681.1845.giaotiep_THCNGDP_LD263</v>
      </c>
      <c r="T161" s="130" t="str">
        <f>IFERROR(__xludf.DUMMYFUNCTION("""COMPUTED_VALUE"""),"https://patado.edu.vn/khoa-giao-tiep-tieng-anh-online-all/?utm_source=Facebook&amp;utm_medium=MES&amp;utm_term=NEW_ALL_1845_none_040826&amp;utm_content=saletructiep_ALL.giaotiep.M681.1845.giaotiep_THCNGDP_LD263&amp;utm_campaign=ALL.giaotiep.M681_LHV.9822_MES_SangBD_04082"&amp;"6")</f>
        <v>https://patado.edu.vn/khoa-giao-tiep-tieng-anh-online-all/?utm_source=Facebook&amp;utm_medium=MES&amp;utm_term=NEW_ALL_1845_none_040826&amp;utm_content=saletructiep_ALL.giaotiep.M681.1845.giaotiep_THCNGDP_LD263&amp;utm_campaign=ALL.giaotiep.M681_LHV.9822_MES_SangBD_040826</v>
      </c>
      <c r="U161" s="112" t="s">
        <v>2323</v>
      </c>
    </row>
    <row r="162">
      <c r="A162" s="72">
        <v>46238.0</v>
      </c>
      <c r="B162" s="60" t="s">
        <v>1553</v>
      </c>
      <c r="C162" s="67" t="str">
        <f>IFERROR(__xludf.DUMMYFUNCTION("""COMPUTED_VALUE"""),"LD263")</f>
        <v>LD263</v>
      </c>
      <c r="D162" s="55" t="s">
        <v>42</v>
      </c>
      <c r="E162" s="55" t="s">
        <v>79</v>
      </c>
      <c r="F162" s="55" t="s">
        <v>539</v>
      </c>
      <c r="G162" s="55">
        <v>1845.0</v>
      </c>
      <c r="H162" s="55" t="s">
        <v>1485</v>
      </c>
      <c r="I162" s="55" t="s">
        <v>2327</v>
      </c>
      <c r="J162" s="55" t="s">
        <v>2328</v>
      </c>
      <c r="K162" s="55" t="s">
        <v>61</v>
      </c>
      <c r="L162" s="55" t="s">
        <v>1264</v>
      </c>
      <c r="M162" s="55" t="s">
        <v>78</v>
      </c>
      <c r="N162" s="55" t="s">
        <v>79</v>
      </c>
      <c r="O162" s="55" t="s">
        <v>1142</v>
      </c>
      <c r="P162" s="55" t="s">
        <v>110</v>
      </c>
      <c r="Q162" s="67" t="str">
        <f>IFERROR(__xludf.DUMMYFUNCTION("""COMPUTED_VALUE"""),"ALL.giaotiep.M686_LHV.9822_MES_SangBD_040826")</f>
        <v>ALL.giaotiep.M686_LHV.9822_MES_SangBD_040826</v>
      </c>
      <c r="R162" s="67" t="str">
        <f>IFERROR(__xludf.DUMMYFUNCTION("""COMPUTED_VALUE"""),"NEW_ALL_1845_none_040826")</f>
        <v>NEW_ALL_1845_none_040826</v>
      </c>
      <c r="S162" s="67" t="str">
        <f>IFERROR(__xludf.DUMMYFUNCTION("""COMPUTED_VALUE"""),"saletructiep_ALL.giaotiep.M686.1845.giaotiep_THCNGDP_LD263")</f>
        <v>saletructiep_ALL.giaotiep.M686.1845.giaotiep_THCNGDP_LD263</v>
      </c>
      <c r="T162" s="107" t="str">
        <f>IFERROR(__xludf.DUMMYFUNCTION("""COMPUTED_VALUE"""),"https://patado.edu.vn/khoa-giao-tiep-tieng-anh-online-all/?utm_source=Facebook&amp;utm_medium=MES&amp;utm_term=NEW_ALL_1845_none_040826&amp;utm_content=saletructiep_ALL.giaotiep.M686.1845.giaotiep_THCNGDP_LD263&amp;utm_campaign=ALL.giaotiep.M686_LHV.9822_MES_SangBD_04082"&amp;"6")</f>
        <v>https://patado.edu.vn/khoa-giao-tiep-tieng-anh-online-all/?utm_source=Facebook&amp;utm_medium=MES&amp;utm_term=NEW_ALL_1845_none_040826&amp;utm_content=saletructiep_ALL.giaotiep.M686.1845.giaotiep_THCNGDP_LD263&amp;utm_campaign=ALL.giaotiep.M686_LHV.9822_MES_SangBD_040826</v>
      </c>
      <c r="U162" s="110" t="s">
        <v>2333</v>
      </c>
    </row>
    <row r="163">
      <c r="A163" s="50">
        <v>46240.0</v>
      </c>
      <c r="B163" s="141" t="s">
        <v>1642</v>
      </c>
      <c r="C163" s="129" t="str">
        <f>IFERROR(__xludf.DUMMYFUNCTION("""COMPUTED_VALUE"""),"LD275")</f>
        <v>LD275</v>
      </c>
      <c r="D163" s="114" t="s">
        <v>42</v>
      </c>
      <c r="E163" s="114" t="s">
        <v>69</v>
      </c>
      <c r="F163" s="114" t="s">
        <v>674</v>
      </c>
      <c r="G163" s="114">
        <v>1845.0</v>
      </c>
      <c r="H163" s="114" t="s">
        <v>1485</v>
      </c>
      <c r="I163" s="114" t="s">
        <v>2334</v>
      </c>
      <c r="J163" s="114" t="s">
        <v>2335</v>
      </c>
      <c r="K163" s="114" t="s">
        <v>61</v>
      </c>
      <c r="L163" s="114" t="s">
        <v>1264</v>
      </c>
      <c r="M163" s="114" t="s">
        <v>78</v>
      </c>
      <c r="N163" s="114" t="s">
        <v>69</v>
      </c>
      <c r="O163" s="114" t="s">
        <v>1142</v>
      </c>
      <c r="P163" s="114" t="s">
        <v>110</v>
      </c>
      <c r="Q163" s="129" t="str">
        <f>IFERROR(__xludf.DUMMYFUNCTION("""COMPUTED_VALUE"""),"Europe.giaotiep.M769_LHV.9822_CVS_SangBD_060826")</f>
        <v>Europe.giaotiep.M769_LHV.9822_CVS_SangBD_060826</v>
      </c>
      <c r="R163" s="129" t="str">
        <f>IFERROR(__xludf.DUMMYFUNCTION("""COMPUTED_VALUE"""),"NEW_Europe_1845_none_060826")</f>
        <v>NEW_Europe_1845_none_060826</v>
      </c>
      <c r="S163" s="129" t="str">
        <f>IFERROR(__xludf.DUMMYFUNCTION("""COMPUTED_VALUE"""),"saletructiep_Europe.M769.1845.giaotiep_THCNGDP_LD275")</f>
        <v>saletructiep_Europe.M769.1845.giaotiep_THCNGDP_LD275</v>
      </c>
      <c r="T163" s="130" t="str">
        <f>IFERROR(__xludf.DUMMYFUNCTION("""COMPUTED_VALUE"""),"https://patado.edu.vn/khoa-tieng-anh-giao-tiep-chau-au/?utm_source=Facebook&amp;utm_medium=CVS&amp;utm_term=NEW_Europe_1845_none_060826&amp;utm_content=saletructiep_Europe.M769.1845.giaotiep_THCNGDP_LD275&amp;utm_campaign=Europe.giaotiep.M769_LHV.9822_CVS_SangBD_060826")</f>
        <v>https://patado.edu.vn/khoa-tieng-anh-giao-tiep-chau-au/?utm_source=Facebook&amp;utm_medium=CVS&amp;utm_term=NEW_Europe_1845_none_060826&amp;utm_content=saletructiep_Europe.M769.1845.giaotiep_THCNGDP_LD275&amp;utm_campaign=Europe.giaotiep.M769_LHV.9822_CVS_SangBD_060826</v>
      </c>
      <c r="U163" s="112" t="s">
        <v>2339</v>
      </c>
    </row>
    <row r="164">
      <c r="A164" s="50">
        <v>46240.0</v>
      </c>
      <c r="B164" s="141" t="s">
        <v>1642</v>
      </c>
      <c r="C164" s="129" t="str">
        <f>IFERROR(__xludf.DUMMYFUNCTION("""COMPUTED_VALUE"""),"LD275")</f>
        <v>LD275</v>
      </c>
      <c r="D164" s="114" t="s">
        <v>42</v>
      </c>
      <c r="E164" s="114" t="s">
        <v>69</v>
      </c>
      <c r="F164" s="114" t="s">
        <v>674</v>
      </c>
      <c r="G164" s="114">
        <v>1845.0</v>
      </c>
      <c r="H164" s="114" t="s">
        <v>1485</v>
      </c>
      <c r="I164" s="114" t="s">
        <v>2342</v>
      </c>
      <c r="J164" s="114" t="s">
        <v>2343</v>
      </c>
      <c r="K164" s="114" t="s">
        <v>61</v>
      </c>
      <c r="L164" s="114" t="s">
        <v>1264</v>
      </c>
      <c r="M164" s="114" t="s">
        <v>78</v>
      </c>
      <c r="N164" s="114" t="s">
        <v>69</v>
      </c>
      <c r="O164" s="114" t="s">
        <v>1142</v>
      </c>
      <c r="P164" s="114" t="s">
        <v>110</v>
      </c>
      <c r="Q164" s="129" t="str">
        <f>IFERROR(__xludf.DUMMYFUNCTION("""COMPUTED_VALUE"""),"Europe.giaotiep.M681_LHV.9822_CVS_SangBD_060826")</f>
        <v>Europe.giaotiep.M681_LHV.9822_CVS_SangBD_060826</v>
      </c>
      <c r="R164" s="129" t="str">
        <f>IFERROR(__xludf.DUMMYFUNCTION("""COMPUTED_VALUE"""),"NEW_Europe_1845_none_060826")</f>
        <v>NEW_Europe_1845_none_060826</v>
      </c>
      <c r="S164" s="129" t="str">
        <f>IFERROR(__xludf.DUMMYFUNCTION("""COMPUTED_VALUE"""),"saletructiep_Europe.M681.1845.giaotiep_THCNGDP_LD275")</f>
        <v>saletructiep_Europe.M681.1845.giaotiep_THCNGDP_LD275</v>
      </c>
      <c r="T164" s="130" t="str">
        <f>IFERROR(__xludf.DUMMYFUNCTION("""COMPUTED_VALUE"""),"https://patado.edu.vn/khoa-tieng-anh-giao-tiep-chau-au/?utm_source=Facebook&amp;utm_medium=CVS&amp;utm_term=NEW_Europe_1845_none_060826&amp;utm_content=saletructiep_Europe.M681.1845.giaotiep_THCNGDP_LD275&amp;utm_campaign=Europe.giaotiep.M681_LHV.9822_CVS_SangBD_060826")</f>
        <v>https://patado.edu.vn/khoa-tieng-anh-giao-tiep-chau-au/?utm_source=Facebook&amp;utm_medium=CVS&amp;utm_term=NEW_Europe_1845_none_060826&amp;utm_content=saletructiep_Europe.M681.1845.giaotiep_THCNGDP_LD275&amp;utm_campaign=Europe.giaotiep.M681_LHV.9822_CVS_SangBD_060826</v>
      </c>
      <c r="U164" s="112" t="s">
        <v>2347</v>
      </c>
    </row>
    <row r="165">
      <c r="A165" s="50">
        <v>46241.0</v>
      </c>
      <c r="B165" s="128" t="s">
        <v>2134</v>
      </c>
      <c r="C165" s="129" t="str">
        <f>IFERROR(__xludf.DUMMYFUNCTION("""COMPUTED_VALUE"""),"LD288")</f>
        <v>LD288</v>
      </c>
      <c r="D165" s="114" t="s">
        <v>42</v>
      </c>
      <c r="E165" s="114" t="s">
        <v>69</v>
      </c>
      <c r="F165" s="114" t="s">
        <v>133</v>
      </c>
      <c r="G165" s="114">
        <v>1845.0</v>
      </c>
      <c r="H165" s="114" t="s">
        <v>1485</v>
      </c>
      <c r="I165" s="114" t="s">
        <v>2135</v>
      </c>
      <c r="J165" s="114" t="s">
        <v>2248</v>
      </c>
      <c r="K165" s="114" t="s">
        <v>61</v>
      </c>
      <c r="L165" s="114" t="s">
        <v>1264</v>
      </c>
      <c r="M165" s="114" t="s">
        <v>78</v>
      </c>
      <c r="N165" s="114" t="s">
        <v>69</v>
      </c>
      <c r="O165" s="114" t="s">
        <v>1142</v>
      </c>
      <c r="P165" s="114" t="s">
        <v>110</v>
      </c>
      <c r="Q165" s="129" t="str">
        <f>IFERROR(__xludf.DUMMYFUNCTION("""COMPUTED_VALUE"""),"Japan.giaotiep.M716_LHV.9822_CVS_SangBD_070826")</f>
        <v>Japan.giaotiep.M716_LHV.9822_CVS_SangBD_070826</v>
      </c>
      <c r="R165" s="129" t="str">
        <f>IFERROR(__xludf.DUMMYFUNCTION("""COMPUTED_VALUE"""),"NEW_Japan_1845_none_070826")</f>
        <v>NEW_Japan_1845_none_070826</v>
      </c>
      <c r="S165" s="129" t="str">
        <f>IFERROR(__xludf.DUMMYFUNCTION("""COMPUTED_VALUE"""),"saletructiep_Japan.M716.1845.giaotiep_THCNGDP_LD288")</f>
        <v>saletructiep_Japan.M716.1845.giaotiep_THCNGDP_LD288</v>
      </c>
      <c r="T165" s="130" t="str">
        <f>IFERROR(__xludf.DUMMYFUNCTION("""COMPUTED_VALUE"""),"https://patado.edu.vn/tieng-anh-giao-tiep-cho-nguoi-viet-tai-nhat-sbd-htt/?utm_source=Facebook&amp;utm_medium=CVS&amp;utm_term=NEW_Japan_1845_none_070826&amp;utm_content=saletructiep_Japan.M716.1845.giaotiep_THCNGDP_LD288&amp;utm_campaign=Japan.giaotiep.M716_LHV.9822_CVS"&amp;"_SangBD_070826")</f>
        <v>https://patado.edu.vn/tieng-anh-giao-tiep-cho-nguoi-viet-tai-nhat-sbd-htt/?utm_source=Facebook&amp;utm_medium=CVS&amp;utm_term=NEW_Japan_1845_none_070826&amp;utm_content=saletructiep_Japan.M716.1845.giaotiep_THCNGDP_LD288&amp;utm_campaign=Japan.giaotiep.M716_LHV.9822_CVS_SangBD_070826</v>
      </c>
      <c r="U165" s="131"/>
    </row>
    <row r="166">
      <c r="A166" s="72">
        <v>46241.0</v>
      </c>
      <c r="B166" s="95" t="s">
        <v>1553</v>
      </c>
      <c r="C166" s="67" t="str">
        <f>IFERROR(__xludf.DUMMYFUNCTION("""COMPUTED_VALUE"""),"LD263")</f>
        <v>LD263</v>
      </c>
      <c r="D166" s="55" t="s">
        <v>42</v>
      </c>
      <c r="E166" s="55" t="s">
        <v>79</v>
      </c>
      <c r="F166" s="55" t="s">
        <v>107</v>
      </c>
      <c r="G166" s="55">
        <v>1845.0</v>
      </c>
      <c r="H166" s="55" t="s">
        <v>1485</v>
      </c>
      <c r="I166" s="114" t="s">
        <v>2353</v>
      </c>
      <c r="J166" s="55" t="s">
        <v>2354</v>
      </c>
      <c r="K166" s="55" t="s">
        <v>61</v>
      </c>
      <c r="L166" s="55" t="s">
        <v>1264</v>
      </c>
      <c r="M166" s="55" t="s">
        <v>78</v>
      </c>
      <c r="N166" s="55" t="s">
        <v>79</v>
      </c>
      <c r="O166" s="55" t="s">
        <v>1142</v>
      </c>
      <c r="P166" s="55" t="s">
        <v>110</v>
      </c>
      <c r="Q166" s="67" t="str">
        <f>IFERROR(__xludf.DUMMYFUNCTION("""COMPUTED_VALUE"""),"UnitedStates.giaotiep.M769_LHV.9822_MES_SangBD_070826")</f>
        <v>UnitedStates.giaotiep.M769_LHV.9822_MES_SangBD_070826</v>
      </c>
      <c r="R166" s="67" t="str">
        <f>IFERROR(__xludf.DUMMYFUNCTION("""COMPUTED_VALUE"""),"NEW_UnitedStates_1845_none_070826")</f>
        <v>NEW_UnitedStates_1845_none_070826</v>
      </c>
      <c r="S166" s="67" t="str">
        <f>IFERROR(__xludf.DUMMYFUNCTION("""COMPUTED_VALUE"""),"saletructiep_UnitedStates.M769.1845.giaotiep_THCNGDP_LD263")</f>
        <v>saletructiep_UnitedStates.M769.1845.giaotiep_THCNGDP_LD263</v>
      </c>
      <c r="T166" s="107" t="str">
        <f>IFERROR(__xludf.DUMMYFUNCTION("""COMPUTED_VALUE"""),"https://patado.edu.vn/khoa-giao-tiep-tieng-anh-online-all/?utm_source=Facebook&amp;utm_medium=MES&amp;utm_term=NEW_UnitedStates_1845_none_070826&amp;utm_content=saletructiep_UnitedStates.M769.1845.giaotiep_THCNGDP_LD263&amp;utm_campaign=UnitedStates.giaotiep.M769_LHV.982"&amp;"2_MES_SangBD_070826")</f>
        <v>https://patado.edu.vn/khoa-giao-tiep-tieng-anh-online-all/?utm_source=Facebook&amp;utm_medium=MES&amp;utm_term=NEW_UnitedStates_1845_none_070826&amp;utm_content=saletructiep_UnitedStates.M769.1845.giaotiep_THCNGDP_LD263&amp;utm_campaign=UnitedStates.giaotiep.M769_LHV.9822_MES_SangBD_070826</v>
      </c>
      <c r="U166" s="116"/>
    </row>
    <row r="167">
      <c r="A167" s="72">
        <v>46244.0</v>
      </c>
      <c r="B167" s="95" t="s">
        <v>1553</v>
      </c>
      <c r="C167" s="67" t="str">
        <f>IFERROR(__xludf.DUMMYFUNCTION("""COMPUTED_VALUE"""),"LD263")</f>
        <v>LD263</v>
      </c>
      <c r="D167" s="55" t="s">
        <v>42</v>
      </c>
      <c r="E167" s="55" t="s">
        <v>79</v>
      </c>
      <c r="F167" s="55" t="s">
        <v>107</v>
      </c>
      <c r="G167" s="55">
        <v>1845.0</v>
      </c>
      <c r="H167" s="55" t="s">
        <v>1485</v>
      </c>
      <c r="I167" s="55" t="s">
        <v>2294</v>
      </c>
      <c r="J167" s="55" t="s">
        <v>2295</v>
      </c>
      <c r="K167" s="55" t="s">
        <v>61</v>
      </c>
      <c r="L167" s="55" t="s">
        <v>1264</v>
      </c>
      <c r="M167" s="55" t="s">
        <v>78</v>
      </c>
      <c r="N167" s="55" t="s">
        <v>79</v>
      </c>
      <c r="O167" s="55" t="s">
        <v>1142</v>
      </c>
      <c r="P167" s="55" t="s">
        <v>110</v>
      </c>
      <c r="Q167" s="67" t="str">
        <f>IFERROR(__xludf.DUMMYFUNCTION("""COMPUTED_VALUE"""),"UnitedStates.giaotiep.M647_LHV.9822_MES_SangBD_100826")</f>
        <v>UnitedStates.giaotiep.M647_LHV.9822_MES_SangBD_100826</v>
      </c>
      <c r="R167" s="67" t="str">
        <f>IFERROR(__xludf.DUMMYFUNCTION("""COMPUTED_VALUE"""),"NEW_UnitedStates_1845_none_100826")</f>
        <v>NEW_UnitedStates_1845_none_100826</v>
      </c>
      <c r="S167" s="67" t="str">
        <f>IFERROR(__xludf.DUMMYFUNCTION("""COMPUTED_VALUE"""),"saletructiep_UnitedStates.M647.1845.giaotiep_THCNGDP_LD263")</f>
        <v>saletructiep_UnitedStates.M647.1845.giaotiep_THCNGDP_LD263</v>
      </c>
      <c r="T167" s="107" t="str">
        <f>IFERROR(__xludf.DUMMYFUNCTION("""COMPUTED_VALUE"""),"https://patado.edu.vn/khoa-giao-tiep-tieng-anh-online-all/?utm_source=Facebook&amp;utm_medium=MES&amp;utm_term=NEW_UnitedStates_1845_none_100826&amp;utm_content=saletructiep_UnitedStates.M647.1845.giaotiep_THCNGDP_LD263&amp;utm_campaign=UnitedStates.giaotiep.M647_LHV.982"&amp;"2_MES_SangBD_100826")</f>
        <v>https://patado.edu.vn/khoa-giao-tiep-tieng-anh-online-all/?utm_source=Facebook&amp;utm_medium=MES&amp;utm_term=NEW_UnitedStates_1845_none_100826&amp;utm_content=saletructiep_UnitedStates.M647.1845.giaotiep_THCNGDP_LD263&amp;utm_campaign=UnitedStates.giaotiep.M647_LHV.9822_MES_SangBD_100826</v>
      </c>
      <c r="U167" s="116"/>
    </row>
    <row r="168">
      <c r="A168" s="50">
        <v>46246.0</v>
      </c>
      <c r="B168" s="128" t="s">
        <v>1553</v>
      </c>
      <c r="C168" s="129" t="str">
        <f>IFERROR(__xludf.DUMMYFUNCTION("""COMPUTED_VALUE"""),"LD263")</f>
        <v>LD263</v>
      </c>
      <c r="D168" s="114" t="s">
        <v>42</v>
      </c>
      <c r="E168" s="114" t="s">
        <v>79</v>
      </c>
      <c r="F168" s="114" t="s">
        <v>539</v>
      </c>
      <c r="G168" s="114">
        <v>1845.0</v>
      </c>
      <c r="H168" s="114" t="s">
        <v>1485</v>
      </c>
      <c r="I168" s="114" t="s">
        <v>2311</v>
      </c>
      <c r="J168" s="114" t="s">
        <v>2312</v>
      </c>
      <c r="K168" s="114" t="s">
        <v>61</v>
      </c>
      <c r="L168" s="114" t="s">
        <v>1264</v>
      </c>
      <c r="M168" s="114" t="s">
        <v>78</v>
      </c>
      <c r="N168" s="114" t="s">
        <v>79</v>
      </c>
      <c r="O168" s="114" t="s">
        <v>1142</v>
      </c>
      <c r="P168" s="114" t="s">
        <v>110</v>
      </c>
      <c r="Q168" s="129" t="str">
        <f>IFERROR(__xludf.DUMMYFUNCTION("""COMPUTED_VALUE"""),"ALL.giaotiep.M769_LHV.9822_MES_SangBD_120826")</f>
        <v>ALL.giaotiep.M769_LHV.9822_MES_SangBD_120826</v>
      </c>
      <c r="R168" s="129" t="str">
        <f>IFERROR(__xludf.DUMMYFUNCTION("""COMPUTED_VALUE"""),"NEW_ALL_1845_none_120826")</f>
        <v>NEW_ALL_1845_none_120826</v>
      </c>
      <c r="S168" s="129" t="str">
        <f>IFERROR(__xludf.DUMMYFUNCTION("""COMPUTED_VALUE"""),"saletructiep_ALL.giaotiep.M769.1845.giaotiep_THCNGDP_LD263")</f>
        <v>saletructiep_ALL.giaotiep.M769.1845.giaotiep_THCNGDP_LD263</v>
      </c>
      <c r="T168" s="130" t="str">
        <f>IFERROR(__xludf.DUMMYFUNCTION("""COMPUTED_VALUE"""),"https://patado.edu.vn/khoa-giao-tiep-tieng-anh-online-all/?utm_source=Facebook&amp;utm_medium=MES&amp;utm_term=NEW_ALL_1845_none_120826&amp;utm_content=saletructiep_ALL.giaotiep.M769.1845.giaotiep_THCNGDP_LD263&amp;utm_campaign=ALL.giaotiep.M769_LHV.9822_MES_SangBD_12082"&amp;"6")</f>
        <v>https://patado.edu.vn/khoa-giao-tiep-tieng-anh-online-all/?utm_source=Facebook&amp;utm_medium=MES&amp;utm_term=NEW_ALL_1845_none_120826&amp;utm_content=saletructiep_ALL.giaotiep.M769.1845.giaotiep_THCNGDP_LD263&amp;utm_campaign=ALL.giaotiep.M769_LHV.9822_MES_SangBD_120826</v>
      </c>
      <c r="U168" s="131"/>
    </row>
    <row r="169">
      <c r="A169" s="134">
        <v>46248.0</v>
      </c>
      <c r="B169" s="135" t="s">
        <v>1553</v>
      </c>
      <c r="C169" s="92" t="str">
        <f>IFERROR(__xludf.DUMMYFUNCTION("""COMPUTED_VALUE"""),"LD263")</f>
        <v>LD263</v>
      </c>
      <c r="D169" s="136" t="s">
        <v>42</v>
      </c>
      <c r="E169" s="136" t="s">
        <v>79</v>
      </c>
      <c r="F169" s="136" t="s">
        <v>539</v>
      </c>
      <c r="G169" s="136">
        <v>1845.0</v>
      </c>
      <c r="H169" s="136" t="s">
        <v>1485</v>
      </c>
      <c r="I169" s="136" t="s">
        <v>2327</v>
      </c>
      <c r="J169" s="136" t="s">
        <v>2328</v>
      </c>
      <c r="K169" s="136" t="s">
        <v>61</v>
      </c>
      <c r="L169" s="136" t="s">
        <v>1264</v>
      </c>
      <c r="M169" s="136" t="s">
        <v>78</v>
      </c>
      <c r="N169" s="136" t="s">
        <v>79</v>
      </c>
      <c r="O169" s="136" t="s">
        <v>1142</v>
      </c>
      <c r="P169" s="136" t="s">
        <v>110</v>
      </c>
      <c r="Q169" s="92" t="str">
        <f>IFERROR(__xludf.DUMMYFUNCTION("""COMPUTED_VALUE"""),"ALL.giaotiep.M686_LHV.9822_MES_SangBD_140826")</f>
        <v>ALL.giaotiep.M686_LHV.9822_MES_SangBD_140826</v>
      </c>
      <c r="R169" s="92" t="str">
        <f>IFERROR(__xludf.DUMMYFUNCTION("""COMPUTED_VALUE"""),"NEW_ALL_1845_none_140826")</f>
        <v>NEW_ALL_1845_none_140826</v>
      </c>
      <c r="S169" s="92" t="str">
        <f>IFERROR(__xludf.DUMMYFUNCTION("""COMPUTED_VALUE"""),"saletructiep_ALL.giaotiep.M686.1845.giaotiep_THCNGDP_LD263")</f>
        <v>saletructiep_ALL.giaotiep.M686.1845.giaotiep_THCNGDP_LD263</v>
      </c>
      <c r="T169" s="137" t="str">
        <f>IFERROR(__xludf.DUMMYFUNCTION("""COMPUTED_VALUE"""),"https://patado.edu.vn/khoa-giao-tiep-tieng-anh-online-all/?utm_source=Facebook&amp;utm_medium=MES&amp;utm_term=NEW_ALL_1845_none_140826&amp;utm_content=saletructiep_ALL.giaotiep.M686.1845.giaotiep_THCNGDP_LD263&amp;utm_campaign=ALL.giaotiep.M686_LHV.9822_MES_SangBD_14082"&amp;"6")</f>
        <v>https://patado.edu.vn/khoa-giao-tiep-tieng-anh-online-all/?utm_source=Facebook&amp;utm_medium=MES&amp;utm_term=NEW_ALL_1845_none_140826&amp;utm_content=saletructiep_ALL.giaotiep.M686.1845.giaotiep_THCNGDP_LD263&amp;utm_campaign=ALL.giaotiep.M686_LHV.9822_MES_SangBD_140826</v>
      </c>
      <c r="U169" s="147"/>
    </row>
    <row r="170">
      <c r="A170" s="72">
        <v>46252.0</v>
      </c>
      <c r="B170" s="95" t="s">
        <v>1553</v>
      </c>
      <c r="C170" s="67" t="str">
        <f>IFERROR(__xludf.DUMMYFUNCTION("""COMPUTED_VALUE"""),"LD263")</f>
        <v>LD263</v>
      </c>
      <c r="D170" s="55" t="s">
        <v>42</v>
      </c>
      <c r="E170" s="55" t="s">
        <v>79</v>
      </c>
      <c r="F170" s="55" t="s">
        <v>107</v>
      </c>
      <c r="G170" s="55">
        <v>1845.0</v>
      </c>
      <c r="H170" s="55" t="s">
        <v>1485</v>
      </c>
      <c r="I170" s="55" t="s">
        <v>2294</v>
      </c>
      <c r="J170" s="55" t="s">
        <v>2295</v>
      </c>
      <c r="K170" s="55" t="s">
        <v>61</v>
      </c>
      <c r="L170" s="55" t="s">
        <v>1264</v>
      </c>
      <c r="M170" s="55" t="s">
        <v>78</v>
      </c>
      <c r="N170" s="55" t="s">
        <v>79</v>
      </c>
      <c r="O170" s="55" t="s">
        <v>1142</v>
      </c>
      <c r="P170" s="55" t="s">
        <v>110</v>
      </c>
      <c r="Q170" s="67" t="str">
        <f>IFERROR(__xludf.DUMMYFUNCTION("""COMPUTED_VALUE"""),"UnitedStates.giaotiep.M647_LHV.9822_MES_SangBD_180826")</f>
        <v>UnitedStates.giaotiep.M647_LHV.9822_MES_SangBD_180826</v>
      </c>
      <c r="R170" s="67" t="str">
        <f>IFERROR(__xludf.DUMMYFUNCTION("""COMPUTED_VALUE"""),"NEW_UnitedStates_1845_none_180826")</f>
        <v>NEW_UnitedStates_1845_none_180826</v>
      </c>
      <c r="S170" s="67" t="str">
        <f>IFERROR(__xludf.DUMMYFUNCTION("""COMPUTED_VALUE"""),"saletructiep_UnitedStates.M647.1845.giaotiep_THCNGDP_LD263")</f>
        <v>saletructiep_UnitedStates.M647.1845.giaotiep_THCNGDP_LD263</v>
      </c>
      <c r="T170" s="107" t="str">
        <f>IFERROR(__xludf.DUMMYFUNCTION("""COMPUTED_VALUE"""),"https://patado.edu.vn/khoa-giao-tiep-tieng-anh-online-all/?utm_source=Facebook&amp;utm_medium=MES&amp;utm_term=NEW_UnitedStates_1845_none_180826&amp;utm_content=saletructiep_UnitedStates.M647.1845.giaotiep_THCNGDP_LD263&amp;utm_campaign=UnitedStates.giaotiep.M647_LHV.982"&amp;"2_MES_SangBD_180826")</f>
        <v>https://patado.edu.vn/khoa-giao-tiep-tieng-anh-online-all/?utm_source=Facebook&amp;utm_medium=MES&amp;utm_term=NEW_UnitedStates_1845_none_180826&amp;utm_content=saletructiep_UnitedStates.M647.1845.giaotiep_THCNGDP_LD263&amp;utm_campaign=UnitedStates.giaotiep.M647_LHV.9822_MES_SangBD_180826</v>
      </c>
      <c r="U170" s="116"/>
    </row>
    <row r="171">
      <c r="A171" s="50">
        <v>46258.0</v>
      </c>
      <c r="B171" s="128" t="s">
        <v>1553</v>
      </c>
      <c r="C171" s="129" t="str">
        <f>IFERROR(__xludf.DUMMYFUNCTION("""COMPUTED_VALUE"""),"LD263")</f>
        <v>LD263</v>
      </c>
      <c r="D171" s="114" t="s">
        <v>42</v>
      </c>
      <c r="E171" s="114" t="s">
        <v>79</v>
      </c>
      <c r="F171" s="114" t="s">
        <v>539</v>
      </c>
      <c r="G171" s="114">
        <v>1845.0</v>
      </c>
      <c r="H171" s="114" t="s">
        <v>1485</v>
      </c>
      <c r="I171" s="114" t="s">
        <v>2319</v>
      </c>
      <c r="J171" s="114" t="s">
        <v>2320</v>
      </c>
      <c r="K171" s="114" t="s">
        <v>61</v>
      </c>
      <c r="L171" s="114" t="s">
        <v>1264</v>
      </c>
      <c r="M171" s="114" t="s">
        <v>78</v>
      </c>
      <c r="N171" s="114" t="s">
        <v>79</v>
      </c>
      <c r="O171" s="114" t="s">
        <v>1142</v>
      </c>
      <c r="P171" s="114" t="s">
        <v>110</v>
      </c>
      <c r="Q171" s="129" t="str">
        <f>IFERROR(__xludf.DUMMYFUNCTION("""COMPUTED_VALUE"""),"ALL.giaotiep.M681_LHV.9822_MES_SangBD_240826")</f>
        <v>ALL.giaotiep.M681_LHV.9822_MES_SangBD_240826</v>
      </c>
      <c r="R171" s="129" t="str">
        <f>IFERROR(__xludf.DUMMYFUNCTION("""COMPUTED_VALUE"""),"NEW_ALL_1845_none_240826")</f>
        <v>NEW_ALL_1845_none_240826</v>
      </c>
      <c r="S171" s="129" t="str">
        <f>IFERROR(__xludf.DUMMYFUNCTION("""COMPUTED_VALUE"""),"saletructiep_ALL.giaotiep.M681.1845.giaotiep_THCNGDP_LD263")</f>
        <v>saletructiep_ALL.giaotiep.M681.1845.giaotiep_THCNGDP_LD263</v>
      </c>
      <c r="T171" s="130" t="str">
        <f>IFERROR(__xludf.DUMMYFUNCTION("""COMPUTED_VALUE"""),"https://patado.edu.vn/khoa-giao-tiep-tieng-anh-online-all/?utm_source=Facebook&amp;utm_medium=MES&amp;utm_term=NEW_ALL_1845_none_240826&amp;utm_content=saletructiep_ALL.giaotiep.M681.1845.giaotiep_THCNGDP_LD263&amp;utm_campaign=ALL.giaotiep.M681_LHV.9822_MES_SangBD_24082"&amp;"6")</f>
        <v>https://patado.edu.vn/khoa-giao-tiep-tieng-anh-online-all/?utm_source=Facebook&amp;utm_medium=MES&amp;utm_term=NEW_ALL_1845_none_240826&amp;utm_content=saletructiep_ALL.giaotiep.M681.1845.giaotiep_THCNGDP_LD263&amp;utm_campaign=ALL.giaotiep.M681_LHV.9822_MES_SangBD_240826</v>
      </c>
      <c r="U171" s="131"/>
    </row>
    <row r="172">
      <c r="A172" s="50">
        <v>46272.0</v>
      </c>
      <c r="B172" s="141" t="s">
        <v>1642</v>
      </c>
      <c r="C172" s="129" t="str">
        <f>IFERROR(__xludf.DUMMYFUNCTION("""COMPUTED_VALUE"""),"LD275")</f>
        <v>LD275</v>
      </c>
      <c r="D172" s="114" t="s">
        <v>42</v>
      </c>
      <c r="E172" s="114" t="s">
        <v>69</v>
      </c>
      <c r="F172" s="114" t="s">
        <v>674</v>
      </c>
      <c r="G172" s="114">
        <v>1845.0</v>
      </c>
      <c r="H172" s="114" t="s">
        <v>1485</v>
      </c>
      <c r="I172" s="114" t="s">
        <v>2213</v>
      </c>
      <c r="J172" s="114" t="s">
        <v>2280</v>
      </c>
      <c r="K172" s="114" t="s">
        <v>61</v>
      </c>
      <c r="L172" s="114" t="s">
        <v>1264</v>
      </c>
      <c r="M172" s="114" t="s">
        <v>78</v>
      </c>
      <c r="N172" s="114" t="s">
        <v>69</v>
      </c>
      <c r="O172" s="114" t="s">
        <v>1142</v>
      </c>
      <c r="P172" s="114" t="s">
        <v>110</v>
      </c>
      <c r="Q172" s="129" t="str">
        <f>IFERROR(__xludf.DUMMYFUNCTION("""COMPUTED_VALUE"""),"Europe.giaotiep.anhnote_LHV.9822_CVS_SangBD_070926")</f>
        <v>Europe.giaotiep.anhnote_LHV.9822_CVS_SangBD_070926</v>
      </c>
      <c r="R172" s="129" t="str">
        <f>IFERROR(__xludf.DUMMYFUNCTION("""COMPUTED_VALUE"""),"NEW_Europe_1845_none_070926")</f>
        <v>NEW_Europe_1845_none_070926</v>
      </c>
      <c r="S172" s="129" t="str">
        <f>IFERROR(__xludf.DUMMYFUNCTION("""COMPUTED_VALUE"""),"saletructiep_Europe.anhnote.1845.giaotiep_THCNGDP_LD275")</f>
        <v>saletructiep_Europe.anhnote.1845.giaotiep_THCNGDP_LD275</v>
      </c>
      <c r="T172" s="130" t="str">
        <f>IFERROR(__xludf.DUMMYFUNCTION("""COMPUTED_VALUE"""),"https://patado.edu.vn/khoa-tieng-anh-giao-tiep-chau-au/?utm_source=Facebook&amp;utm_medium=CVS&amp;utm_term=NEW_Europe_1845_none_070926&amp;utm_content=saletructiep_Europe.anhnote.1845.giaotiep_THCNGDP_LD275&amp;utm_campaign=Europe.giaotiep.anhnote_LHV.9822_CVS_SangBD_07"&amp;"0926")</f>
        <v>https://patado.edu.vn/khoa-tieng-anh-giao-tiep-chau-au/?utm_source=Facebook&amp;utm_medium=CVS&amp;utm_term=NEW_Europe_1845_none_070926&amp;utm_content=saletructiep_Europe.anhnote.1845.giaotiep_THCNGDP_LD275&amp;utm_campaign=Europe.giaotiep.anhnote_LHV.9822_CVS_SangBD_070926</v>
      </c>
      <c r="U172" s="131"/>
    </row>
    <row r="173">
      <c r="A173" s="50">
        <v>46272.0</v>
      </c>
      <c r="B173" s="141" t="s">
        <v>1642</v>
      </c>
      <c r="C173" s="129" t="str">
        <f>IFERROR(__xludf.DUMMYFUNCTION("""COMPUTED_VALUE"""),"LD275")</f>
        <v>LD275</v>
      </c>
      <c r="D173" s="114" t="s">
        <v>42</v>
      </c>
      <c r="E173" s="114" t="s">
        <v>69</v>
      </c>
      <c r="F173" s="114" t="s">
        <v>674</v>
      </c>
      <c r="G173" s="114">
        <v>1845.0</v>
      </c>
      <c r="H173" s="114" t="s">
        <v>1485</v>
      </c>
      <c r="I173" s="114" t="s">
        <v>2396</v>
      </c>
      <c r="J173" s="114" t="s">
        <v>2165</v>
      </c>
      <c r="K173" s="114" t="s">
        <v>61</v>
      </c>
      <c r="L173" s="114" t="s">
        <v>1264</v>
      </c>
      <c r="M173" s="114" t="s">
        <v>78</v>
      </c>
      <c r="N173" s="114" t="s">
        <v>69</v>
      </c>
      <c r="O173" s="114" t="s">
        <v>1142</v>
      </c>
      <c r="P173" s="114" t="s">
        <v>110</v>
      </c>
      <c r="Q173" s="129" t="str">
        <f>IFERROR(__xludf.DUMMYFUNCTION("""COMPUTED_VALUE"""),"Europe.giaotiep.M600_LHV.9822_CVS_SangBD_070926")</f>
        <v>Europe.giaotiep.M600_LHV.9822_CVS_SangBD_070926</v>
      </c>
      <c r="R173" s="129" t="str">
        <f>IFERROR(__xludf.DUMMYFUNCTION("""COMPUTED_VALUE"""),"NEW_Europe_1845_none_070926")</f>
        <v>NEW_Europe_1845_none_070926</v>
      </c>
      <c r="S173" s="129" t="str">
        <f>IFERROR(__xludf.DUMMYFUNCTION("""COMPUTED_VALUE"""),"saletructiep_Europe.M600.1845.giaotiep_THCNGDP_LD275")</f>
        <v>saletructiep_Europe.M600.1845.giaotiep_THCNGDP_LD275</v>
      </c>
      <c r="T173" s="130" t="str">
        <f>IFERROR(__xludf.DUMMYFUNCTION("""COMPUTED_VALUE"""),"https://patado.edu.vn/khoa-tieng-anh-giao-tiep-chau-au/?utm_source=Facebook&amp;utm_medium=CVS&amp;utm_term=NEW_Europe_1845_none_070926&amp;utm_content=saletructiep_Europe.M600.1845.giaotiep_THCNGDP_LD275&amp;utm_campaign=Europe.giaotiep.M600_LHV.9822_CVS_SangBD_070926")</f>
        <v>https://patado.edu.vn/khoa-tieng-anh-giao-tiep-chau-au/?utm_source=Facebook&amp;utm_medium=CVS&amp;utm_term=NEW_Europe_1845_none_070926&amp;utm_content=saletructiep_Europe.M600.1845.giaotiep_THCNGDP_LD275&amp;utm_campaign=Europe.giaotiep.M600_LHV.9822_CVS_SangBD_070926</v>
      </c>
      <c r="U173" s="131"/>
    </row>
    <row r="174">
      <c r="A174" s="50">
        <v>46272.0</v>
      </c>
      <c r="B174" s="128" t="s">
        <v>2134</v>
      </c>
      <c r="C174" s="129" t="str">
        <f>IFERROR(__xludf.DUMMYFUNCTION("""COMPUTED_VALUE"""),"LD288")</f>
        <v>LD288</v>
      </c>
      <c r="D174" s="114" t="s">
        <v>42</v>
      </c>
      <c r="E174" s="114" t="s">
        <v>69</v>
      </c>
      <c r="F174" s="114" t="s">
        <v>133</v>
      </c>
      <c r="G174" s="114">
        <v>1845.0</v>
      </c>
      <c r="H174" s="114" t="s">
        <v>1485</v>
      </c>
      <c r="I174" s="114" t="s">
        <v>2223</v>
      </c>
      <c r="J174" s="114" t="s">
        <v>2399</v>
      </c>
      <c r="K174" s="114" t="s">
        <v>61</v>
      </c>
      <c r="L174" s="114" t="s">
        <v>1264</v>
      </c>
      <c r="M174" s="114" t="s">
        <v>78</v>
      </c>
      <c r="N174" s="114" t="s">
        <v>69</v>
      </c>
      <c r="O174" s="114" t="s">
        <v>1142</v>
      </c>
      <c r="P174" s="114" t="s">
        <v>110</v>
      </c>
      <c r="Q174" s="129" t="str">
        <f>IFERROR(__xludf.DUMMYFUNCTION("""COMPUTED_VALUE"""),"Japan.giaotiep.M736_LHV.9822_CVS_SangBD_070926")</f>
        <v>Japan.giaotiep.M736_LHV.9822_CVS_SangBD_070926</v>
      </c>
      <c r="R174" s="129" t="str">
        <f>IFERROR(__xludf.DUMMYFUNCTION("""COMPUTED_VALUE"""),"NEW_Japan_1845_none_070926")</f>
        <v>NEW_Japan_1845_none_070926</v>
      </c>
      <c r="S174" s="129" t="str">
        <f>IFERROR(__xludf.DUMMYFUNCTION("""COMPUTED_VALUE"""),"saletructiep_Japan.M736.1845.giaotiep_THCNGDP_LD288")</f>
        <v>saletructiep_Japan.M736.1845.giaotiep_THCNGDP_LD288</v>
      </c>
      <c r="T174" s="130" t="str">
        <f>IFERROR(__xludf.DUMMYFUNCTION("""COMPUTED_VALUE"""),"https://patado.edu.vn/tieng-anh-giao-tiep-cho-nguoi-viet-tai-nhat-sbd-htt/?utm_source=Facebook&amp;utm_medium=CVS&amp;utm_term=NEW_Japan_1845_none_070926&amp;utm_content=saletructiep_Japan.M736.1845.giaotiep_THCNGDP_LD288&amp;utm_campaign=Japan.giaotiep.M736_LHV.9822_CVS"&amp;"_SangBD_070926")</f>
        <v>https://patado.edu.vn/tieng-anh-giao-tiep-cho-nguoi-viet-tai-nhat-sbd-htt/?utm_source=Facebook&amp;utm_medium=CVS&amp;utm_term=NEW_Japan_1845_none_070926&amp;utm_content=saletructiep_Japan.M736.1845.giaotiep_THCNGDP_LD288&amp;utm_campaign=Japan.giaotiep.M736_LHV.9822_CVS_SangBD_070926</v>
      </c>
      <c r="U174" s="131"/>
    </row>
    <row r="175">
      <c r="A175" s="50">
        <v>46275.0</v>
      </c>
      <c r="B175" s="128" t="s">
        <v>1553</v>
      </c>
      <c r="C175" s="129" t="str">
        <f>IFERROR(__xludf.DUMMYFUNCTION("""COMPUTED_VALUE"""),"LD263")</f>
        <v>LD263</v>
      </c>
      <c r="D175" s="114" t="s">
        <v>42</v>
      </c>
      <c r="E175" s="114" t="s">
        <v>79</v>
      </c>
      <c r="F175" s="114" t="s">
        <v>539</v>
      </c>
      <c r="G175" s="114">
        <v>1845.0</v>
      </c>
      <c r="H175" s="114" t="s">
        <v>1485</v>
      </c>
      <c r="I175" s="114" t="s">
        <v>1486</v>
      </c>
      <c r="J175" s="114" t="s">
        <v>2408</v>
      </c>
      <c r="K175" s="114" t="s">
        <v>61</v>
      </c>
      <c r="L175" s="114" t="s">
        <v>1264</v>
      </c>
      <c r="M175" s="114" t="s">
        <v>78</v>
      </c>
      <c r="N175" s="114" t="s">
        <v>79</v>
      </c>
      <c r="O175" s="114" t="s">
        <v>1142</v>
      </c>
      <c r="P175" s="114" t="s">
        <v>110</v>
      </c>
      <c r="Q175" s="129" t="str">
        <f>IFERROR(__xludf.DUMMYFUNCTION("""COMPUTED_VALUE"""),"ALL.giaotiep.M264_LHV.9822_MES_SangBD_100926")</f>
        <v>ALL.giaotiep.M264_LHV.9822_MES_SangBD_100926</v>
      </c>
      <c r="R175" s="129" t="str">
        <f>IFERROR(__xludf.DUMMYFUNCTION("""COMPUTED_VALUE"""),"NEW_ALL_1845_none_100926")</f>
        <v>NEW_ALL_1845_none_100926</v>
      </c>
      <c r="S175" s="129" t="str">
        <f>IFERROR(__xludf.DUMMYFUNCTION("""COMPUTED_VALUE"""),"saletructiep_ALL.giaotiep.M264.1845.giaotiep_THCNGDP_LD263")</f>
        <v>saletructiep_ALL.giaotiep.M264.1845.giaotiep_THCNGDP_LD263</v>
      </c>
      <c r="T175" s="130" t="str">
        <f>IFERROR(__xludf.DUMMYFUNCTION("""COMPUTED_VALUE"""),"https://patado.edu.vn/khoa-giao-tiep-tieng-anh-online-all/?utm_source=Facebook&amp;utm_medium=MES&amp;utm_term=NEW_ALL_1845_none_100926&amp;utm_content=saletructiep_ALL.giaotiep.M264.1845.giaotiep_THCNGDP_LD263&amp;utm_campaign=ALL.giaotiep.M264_LHV.9822_MES_SangBD_10092"&amp;"6")</f>
        <v>https://patado.edu.vn/khoa-giao-tiep-tieng-anh-online-all/?utm_source=Facebook&amp;utm_medium=MES&amp;utm_term=NEW_ALL_1845_none_100926&amp;utm_content=saletructiep_ALL.giaotiep.M264.1845.giaotiep_THCNGDP_LD263&amp;utm_campaign=ALL.giaotiep.M264_LHV.9822_MES_SangBD_100926</v>
      </c>
      <c r="U175" s="131"/>
    </row>
    <row r="176">
      <c r="A176" s="50">
        <v>46279.0</v>
      </c>
      <c r="B176" s="141" t="s">
        <v>1642</v>
      </c>
      <c r="C176" s="129" t="str">
        <f>IFERROR(__xludf.DUMMYFUNCTION("""COMPUTED_VALUE"""),"LD275")</f>
        <v>LD275</v>
      </c>
      <c r="D176" s="114" t="s">
        <v>42</v>
      </c>
      <c r="E176" s="114" t="s">
        <v>69</v>
      </c>
      <c r="F176" s="114" t="s">
        <v>674</v>
      </c>
      <c r="G176" s="114">
        <v>1840.0</v>
      </c>
      <c r="H176" s="114" t="s">
        <v>1485</v>
      </c>
      <c r="I176" s="114" t="s">
        <v>2412</v>
      </c>
      <c r="J176" s="114" t="s">
        <v>2413</v>
      </c>
      <c r="K176" s="114" t="s">
        <v>61</v>
      </c>
      <c r="L176" s="114" t="s">
        <v>1264</v>
      </c>
      <c r="M176" s="114" t="s">
        <v>78</v>
      </c>
      <c r="N176" s="114" t="s">
        <v>69</v>
      </c>
      <c r="O176" s="114" t="s">
        <v>1142</v>
      </c>
      <c r="P176" s="114" t="s">
        <v>110</v>
      </c>
      <c r="Q176" s="129" t="str">
        <f>IFERROR(__xludf.DUMMYFUNCTION("""COMPUTED_VALUE"""),"Europe.giaotiep.M772_LHV.9822_CVS_SangBD_140926")</f>
        <v>Europe.giaotiep.M772_LHV.9822_CVS_SangBD_140926</v>
      </c>
      <c r="R176" s="129" t="str">
        <f>IFERROR(__xludf.DUMMYFUNCTION("""COMPUTED_VALUE"""),"NEW_Europe_1840_none_140926")</f>
        <v>NEW_Europe_1840_none_140926</v>
      </c>
      <c r="S176" s="129" t="str">
        <f>IFERROR(__xludf.DUMMYFUNCTION("""COMPUTED_VALUE"""),"saletructiep_Europe.M772.1845.giaotiep_THCNGDP_LD275")</f>
        <v>saletructiep_Europe.M772.1845.giaotiep_THCNGDP_LD275</v>
      </c>
      <c r="T176" s="130" t="str">
        <f>IFERROR(__xludf.DUMMYFUNCTION("""COMPUTED_VALUE"""),"https://patado.edu.vn/khoa-tieng-anh-giao-tiep-chau-au/?utm_source=Facebook&amp;utm_medium=CVS&amp;utm_term=NEW_Europe_1840_none_140926&amp;utm_content=saletructiep_Europe.M772.1845.giaotiep_THCNGDP_LD275&amp;utm_campaign=Europe.giaotiep.M772_LHV.9822_CVS_SangBD_140926")</f>
        <v>https://patado.edu.vn/khoa-tieng-anh-giao-tiep-chau-au/?utm_source=Facebook&amp;utm_medium=CVS&amp;utm_term=NEW_Europe_1840_none_140926&amp;utm_content=saletructiep_Europe.M772.1845.giaotiep_THCNGDP_LD275&amp;utm_campaign=Europe.giaotiep.M772_LHV.9822_CVS_SangBD_140926</v>
      </c>
      <c r="U176" s="112" t="s">
        <v>2420</v>
      </c>
    </row>
    <row r="177">
      <c r="A177" s="50">
        <v>46283.0</v>
      </c>
      <c r="B177" s="141" t="s">
        <v>1642</v>
      </c>
      <c r="C177" s="129" t="str">
        <f>IFERROR(__xludf.DUMMYFUNCTION("""COMPUTED_VALUE"""),"LD275")</f>
        <v>LD275</v>
      </c>
      <c r="D177" s="114" t="s">
        <v>42</v>
      </c>
      <c r="E177" s="114" t="s">
        <v>69</v>
      </c>
      <c r="F177" s="114" t="s">
        <v>674</v>
      </c>
      <c r="G177" s="114">
        <v>1845.0</v>
      </c>
      <c r="H177" s="114" t="s">
        <v>1485</v>
      </c>
      <c r="I177" s="114" t="s">
        <v>2396</v>
      </c>
      <c r="J177" s="114" t="s">
        <v>2165</v>
      </c>
      <c r="K177" s="114" t="s">
        <v>61</v>
      </c>
      <c r="L177" s="114" t="s">
        <v>1264</v>
      </c>
      <c r="M177" s="114" t="s">
        <v>78</v>
      </c>
      <c r="N177" s="114" t="s">
        <v>69</v>
      </c>
      <c r="O177" s="114" t="s">
        <v>1142</v>
      </c>
      <c r="P177" s="114" t="s">
        <v>110</v>
      </c>
      <c r="Q177" s="129" t="str">
        <f>IFERROR(__xludf.DUMMYFUNCTION("""COMPUTED_VALUE"""),"Europe.giaotiep.M600_LHV.9822_CVS_SangBD_180926")</f>
        <v>Europe.giaotiep.M600_LHV.9822_CVS_SangBD_180926</v>
      </c>
      <c r="R177" s="129" t="str">
        <f>IFERROR(__xludf.DUMMYFUNCTION("""COMPUTED_VALUE"""),"NEW_Europe_1845_none_180926")</f>
        <v>NEW_Europe_1845_none_180926</v>
      </c>
      <c r="S177" s="129" t="str">
        <f>IFERROR(__xludf.DUMMYFUNCTION("""COMPUTED_VALUE"""),"saletructiep_Europe.M600.1845.giaotiep_THCNGDP_LD275")</f>
        <v>saletructiep_Europe.M600.1845.giaotiep_THCNGDP_LD275</v>
      </c>
      <c r="T177" s="130" t="str">
        <f>IFERROR(__xludf.DUMMYFUNCTION("""COMPUTED_VALUE"""),"https://patado.edu.vn/khoa-tieng-anh-giao-tiep-chau-au/?utm_source=Facebook&amp;utm_medium=CVS&amp;utm_term=NEW_Europe_1845_none_180926&amp;utm_content=saletructiep_Europe.M600.1845.giaotiep_THCNGDP_LD275&amp;utm_campaign=Europe.giaotiep.M600_LHV.9822_CVS_SangBD_180926")</f>
        <v>https://patado.edu.vn/khoa-tieng-anh-giao-tiep-chau-au/?utm_source=Facebook&amp;utm_medium=CVS&amp;utm_term=NEW_Europe_1845_none_180926&amp;utm_content=saletructiep_Europe.M600.1845.giaotiep_THCNGDP_LD275&amp;utm_campaign=Europe.giaotiep.M600_LHV.9822_CVS_SangBD_180926</v>
      </c>
      <c r="U177" s="131"/>
    </row>
    <row r="178">
      <c r="A178" s="50">
        <v>46300.0</v>
      </c>
      <c r="B178" s="141" t="s">
        <v>1642</v>
      </c>
      <c r="C178" s="129" t="str">
        <f>IFERROR(__xludf.DUMMYFUNCTION("""COMPUTED_VALUE"""),"LD275")</f>
        <v>LD275</v>
      </c>
      <c r="D178" s="114" t="s">
        <v>42</v>
      </c>
      <c r="E178" s="114" t="s">
        <v>69</v>
      </c>
      <c r="F178" s="114" t="s">
        <v>674</v>
      </c>
      <c r="G178" s="114">
        <v>2045.0</v>
      </c>
      <c r="H178" s="114" t="s">
        <v>1485</v>
      </c>
      <c r="I178" s="114" t="s">
        <v>2426</v>
      </c>
      <c r="J178" s="114" t="s">
        <v>2427</v>
      </c>
      <c r="K178" s="114" t="s">
        <v>61</v>
      </c>
      <c r="L178" s="114" t="s">
        <v>1264</v>
      </c>
      <c r="M178" s="114" t="s">
        <v>78</v>
      </c>
      <c r="N178" s="114" t="s">
        <v>69</v>
      </c>
      <c r="O178" s="114" t="s">
        <v>1142</v>
      </c>
      <c r="P178" s="114" t="s">
        <v>110</v>
      </c>
      <c r="Q178" s="129" t="str">
        <f>IFERROR(__xludf.DUMMYFUNCTION("""COMPUTED_VALUE"""),"Europe.giaotiep.M789_LHV.9822_CVS_SangBD_051026")</f>
        <v>Europe.giaotiep.M789_LHV.9822_CVS_SangBD_051026</v>
      </c>
      <c r="R178" s="129" t="str">
        <f>IFERROR(__xludf.DUMMYFUNCTION("""COMPUTED_VALUE"""),"NEW_Europe_2045_none_051026")</f>
        <v>NEW_Europe_2045_none_051026</v>
      </c>
      <c r="S178" s="129" t="str">
        <f>IFERROR(__xludf.DUMMYFUNCTION("""COMPUTED_VALUE"""),"saletructiep_Europe.M789.1845.giaotiep_THCNGDP_LD275")</f>
        <v>saletructiep_Europe.M789.1845.giaotiep_THCNGDP_LD275</v>
      </c>
      <c r="T178" s="130" t="str">
        <f>IFERROR(__xludf.DUMMYFUNCTION("""COMPUTED_VALUE"""),"https://patado.edu.vn/khoa-tieng-anh-giao-tiep-chau-au/?utm_source=Facebook&amp;utm_medium=CVS&amp;utm_term=NEW_Europe_2045_none_051026&amp;utm_content=saletructiep_Europe.M789.1845.giaotiep_THCNGDP_LD275&amp;utm_campaign=Europe.giaotiep.M789_LHV.9822_CVS_SangBD_051026")</f>
        <v>https://patado.edu.vn/khoa-tieng-anh-giao-tiep-chau-au/?utm_source=Facebook&amp;utm_medium=CVS&amp;utm_term=NEW_Europe_2045_none_051026&amp;utm_content=saletructiep_Europe.M789.1845.giaotiep_THCNGDP_LD275&amp;utm_campaign=Europe.giaotiep.M789_LHV.9822_CVS_SangBD_051026</v>
      </c>
      <c r="U178" s="112" t="s">
        <v>2433</v>
      </c>
    </row>
    <row r="179">
      <c r="A179" s="50">
        <v>46300.0</v>
      </c>
      <c r="B179" s="141" t="s">
        <v>1642</v>
      </c>
      <c r="C179" s="129" t="str">
        <f>IFERROR(__xludf.DUMMYFUNCTION("""COMPUTED_VALUE"""),"LD275")</f>
        <v>LD275</v>
      </c>
      <c r="D179" s="114" t="s">
        <v>42</v>
      </c>
      <c r="E179" s="114" t="s">
        <v>69</v>
      </c>
      <c r="F179" s="114" t="s">
        <v>674</v>
      </c>
      <c r="G179" s="114">
        <v>2045.0</v>
      </c>
      <c r="H179" s="114" t="s">
        <v>1485</v>
      </c>
      <c r="I179" s="114" t="s">
        <v>2435</v>
      </c>
      <c r="J179" s="114" t="s">
        <v>2436</v>
      </c>
      <c r="K179" s="114" t="s">
        <v>61</v>
      </c>
      <c r="L179" s="114" t="s">
        <v>1264</v>
      </c>
      <c r="M179" s="114" t="s">
        <v>78</v>
      </c>
      <c r="N179" s="114" t="s">
        <v>69</v>
      </c>
      <c r="O179" s="114" t="s">
        <v>1142</v>
      </c>
      <c r="P179" s="114" t="s">
        <v>110</v>
      </c>
      <c r="Q179" s="129" t="str">
        <f>IFERROR(__xludf.DUMMYFUNCTION("""COMPUTED_VALUE"""),"Europe.giaotiep.M796_LHV.9822_CVS_SangBD_051026")</f>
        <v>Europe.giaotiep.M796_LHV.9822_CVS_SangBD_051026</v>
      </c>
      <c r="R179" s="129" t="str">
        <f>IFERROR(__xludf.DUMMYFUNCTION("""COMPUTED_VALUE"""),"NEW_Europe_2045_none_051026")</f>
        <v>NEW_Europe_2045_none_051026</v>
      </c>
      <c r="S179" s="129" t="str">
        <f>IFERROR(__xludf.DUMMYFUNCTION("""COMPUTED_VALUE"""),"saletructiep_Europe.M796.2045.giaotiep_THCNGDP_LD275")</f>
        <v>saletructiep_Europe.M796.2045.giaotiep_THCNGDP_LD275</v>
      </c>
      <c r="T179" s="130" t="str">
        <f>IFERROR(__xludf.DUMMYFUNCTION("""COMPUTED_VALUE"""),"https://patado.edu.vn/khoa-tieng-anh-giao-tiep-chau-au/?utm_source=Facebook&amp;utm_medium=CVS&amp;utm_term=NEW_Europe_2045_none_051026&amp;utm_content=saletructiep_Europe.M796.2045.giaotiep_THCNGDP_LD275&amp;utm_campaign=Europe.giaotiep.M796_LHV.9822_CVS_SangBD_051026")</f>
        <v>https://patado.edu.vn/khoa-tieng-anh-giao-tiep-chau-au/?utm_source=Facebook&amp;utm_medium=CVS&amp;utm_term=NEW_Europe_2045_none_051026&amp;utm_content=saletructiep_Europe.M796.2045.giaotiep_THCNGDP_LD275&amp;utm_campaign=Europe.giaotiep.M796_LHV.9822_CVS_SangBD_051026</v>
      </c>
      <c r="U179" s="112" t="s">
        <v>2442</v>
      </c>
    </row>
    <row r="180">
      <c r="A180" s="134">
        <v>46301.0</v>
      </c>
      <c r="B180" s="135" t="s">
        <v>1553</v>
      </c>
      <c r="C180" s="92" t="str">
        <f>IFERROR(__xludf.DUMMYFUNCTION("""COMPUTED_VALUE"""),"LD263")</f>
        <v>LD263</v>
      </c>
      <c r="D180" s="136" t="s">
        <v>42</v>
      </c>
      <c r="E180" s="136" t="s">
        <v>79</v>
      </c>
      <c r="F180" s="136" t="s">
        <v>539</v>
      </c>
      <c r="G180" s="136">
        <v>1845.0</v>
      </c>
      <c r="H180" s="136" t="s">
        <v>1485</v>
      </c>
      <c r="I180" s="136" t="s">
        <v>2445</v>
      </c>
      <c r="J180" s="136" t="s">
        <v>2446</v>
      </c>
      <c r="K180" s="136" t="s">
        <v>61</v>
      </c>
      <c r="L180" s="136" t="s">
        <v>1264</v>
      </c>
      <c r="M180" s="136" t="s">
        <v>78</v>
      </c>
      <c r="N180" s="136" t="s">
        <v>79</v>
      </c>
      <c r="O180" s="136" t="s">
        <v>1142</v>
      </c>
      <c r="P180" s="136" t="s">
        <v>110</v>
      </c>
      <c r="Q180" s="92" t="str">
        <f>IFERROR(__xludf.DUMMYFUNCTION("""COMPUTED_VALUE"""),"ALL.giaotiep.M756_LHV.9822_MES_SangBD_061026")</f>
        <v>ALL.giaotiep.M756_LHV.9822_MES_SangBD_061026</v>
      </c>
      <c r="R180" s="92" t="str">
        <f>IFERROR(__xludf.DUMMYFUNCTION("""COMPUTED_VALUE"""),"NEW_ALL_1845_none_061026")</f>
        <v>NEW_ALL_1845_none_061026</v>
      </c>
      <c r="S180" s="92" t="str">
        <f>IFERROR(__xludf.DUMMYFUNCTION("""COMPUTED_VALUE"""),"saletructiep_ALL.giaotiep.M756.1845.giaotiep_THCNGDP_LD263")</f>
        <v>saletructiep_ALL.giaotiep.M756.1845.giaotiep_THCNGDP_LD263</v>
      </c>
      <c r="T180" s="137" t="str">
        <f>IFERROR(__xludf.DUMMYFUNCTION("""COMPUTED_VALUE"""),"https://patado.edu.vn/khoa-giao-tiep-tieng-anh-online-all/?utm_source=Facebook&amp;utm_medium=MES&amp;utm_term=NEW_ALL_1845_none_061026&amp;utm_content=saletructiep_ALL.giaotiep.M756.1845.giaotiep_THCNGDP_LD263&amp;utm_campaign=ALL.giaotiep.M756_LHV.9822_MES_SangBD_06102"&amp;"6")</f>
        <v>https://patado.edu.vn/khoa-giao-tiep-tieng-anh-online-all/?utm_source=Facebook&amp;utm_medium=MES&amp;utm_term=NEW_ALL_1845_none_061026&amp;utm_content=saletructiep_ALL.giaotiep.M756.1845.giaotiep_THCNGDP_LD263&amp;utm_campaign=ALL.giaotiep.M756_LHV.9822_MES_SangBD_061026</v>
      </c>
      <c r="U180" s="145" t="s">
        <v>2452</v>
      </c>
    </row>
    <row r="181">
      <c r="A181" s="50">
        <v>46302.0</v>
      </c>
      <c r="B181" s="128" t="s">
        <v>2134</v>
      </c>
      <c r="C181" s="129" t="str">
        <f>IFERROR(__xludf.DUMMYFUNCTION("""COMPUTED_VALUE"""),"LD288")</f>
        <v>LD288</v>
      </c>
      <c r="D181" s="114" t="s">
        <v>42</v>
      </c>
      <c r="E181" s="114" t="s">
        <v>69</v>
      </c>
      <c r="F181" s="114" t="s">
        <v>133</v>
      </c>
      <c r="G181" s="114">
        <v>1845.0</v>
      </c>
      <c r="H181" s="114" t="s">
        <v>1485</v>
      </c>
      <c r="I181" s="114" t="s">
        <v>2456</v>
      </c>
      <c r="J181" s="114" t="s">
        <v>2457</v>
      </c>
      <c r="K181" s="114" t="s">
        <v>61</v>
      </c>
      <c r="L181" s="114" t="s">
        <v>1264</v>
      </c>
      <c r="M181" s="114" t="s">
        <v>78</v>
      </c>
      <c r="N181" s="114" t="s">
        <v>69</v>
      </c>
      <c r="O181" s="114" t="s">
        <v>1142</v>
      </c>
      <c r="P181" s="114" t="s">
        <v>110</v>
      </c>
      <c r="Q181" s="129" t="str">
        <f>IFERROR(__xludf.DUMMYFUNCTION("""COMPUTED_VALUE"""),"Japan.giaotiep.M758_LHV.9822_CVS_SangBD_071026")</f>
        <v>Japan.giaotiep.M758_LHV.9822_CVS_SangBD_071026</v>
      </c>
      <c r="R181" s="129" t="str">
        <f>IFERROR(__xludf.DUMMYFUNCTION("""COMPUTED_VALUE"""),"NEW_Japan_1845_none_071026")</f>
        <v>NEW_Japan_1845_none_071026</v>
      </c>
      <c r="S181" s="129" t="str">
        <f>IFERROR(__xludf.DUMMYFUNCTION("""COMPUTED_VALUE"""),"saletructiep_Japan.M758.1845.giaotiep_THCNGDP_LD288")</f>
        <v>saletructiep_Japan.M758.1845.giaotiep_THCNGDP_LD288</v>
      </c>
      <c r="T181" s="130" t="str">
        <f>IFERROR(__xludf.DUMMYFUNCTION("""COMPUTED_VALUE"""),"https://patado.edu.vn/tieng-anh-giao-tiep-cho-nguoi-viet-tai-nhat-sbd-htt/?utm_source=Facebook&amp;utm_medium=CVS&amp;utm_term=NEW_Japan_1845_none_071026&amp;utm_content=saletructiep_Japan.M758.1845.giaotiep_THCNGDP_LD288&amp;utm_campaign=Japan.giaotiep.M758_LHV.9822_CVS"&amp;"_SangBD_071026")</f>
        <v>https://patado.edu.vn/tieng-anh-giao-tiep-cho-nguoi-viet-tai-nhat-sbd-htt/?utm_source=Facebook&amp;utm_medium=CVS&amp;utm_term=NEW_Japan_1845_none_071026&amp;utm_content=saletructiep_Japan.M758.1845.giaotiep_THCNGDP_LD288&amp;utm_campaign=Japan.giaotiep.M758_LHV.9822_CVS_SangBD_071026</v>
      </c>
      <c r="U181" s="112" t="s">
        <v>2461</v>
      </c>
    </row>
    <row r="182">
      <c r="A182" s="50">
        <v>46302.0</v>
      </c>
      <c r="B182" s="141" t="s">
        <v>1642</v>
      </c>
      <c r="C182" s="129" t="str">
        <f>IFERROR(__xludf.DUMMYFUNCTION("""COMPUTED_VALUE"""),"LD275")</f>
        <v>LD275</v>
      </c>
      <c r="D182" s="114" t="s">
        <v>42</v>
      </c>
      <c r="E182" s="114" t="s">
        <v>69</v>
      </c>
      <c r="F182" s="114" t="s">
        <v>674</v>
      </c>
      <c r="G182" s="114">
        <v>1845.0</v>
      </c>
      <c r="H182" s="114" t="s">
        <v>1485</v>
      </c>
      <c r="I182" s="114" t="s">
        <v>2467</v>
      </c>
      <c r="J182" s="114" t="s">
        <v>2468</v>
      </c>
      <c r="K182" s="114" t="s">
        <v>61</v>
      </c>
      <c r="L182" s="114" t="s">
        <v>1264</v>
      </c>
      <c r="M182" s="114" t="s">
        <v>78</v>
      </c>
      <c r="N182" s="114" t="s">
        <v>69</v>
      </c>
      <c r="O182" s="114" t="s">
        <v>1142</v>
      </c>
      <c r="P182" s="114" t="s">
        <v>110</v>
      </c>
      <c r="Q182" s="129" t="str">
        <f>IFERROR(__xludf.DUMMYFUNCTION("""COMPUTED_VALUE"""),"Europe.giaotiep.M734_LHV.9822_CVS_SangBD_071026")</f>
        <v>Europe.giaotiep.M734_LHV.9822_CVS_SangBD_071026</v>
      </c>
      <c r="R182" s="129" t="str">
        <f>IFERROR(__xludf.DUMMYFUNCTION("""COMPUTED_VALUE"""),"NEW_Europe_1845_none_071026")</f>
        <v>NEW_Europe_1845_none_071026</v>
      </c>
      <c r="S182" s="129" t="str">
        <f>IFERROR(__xludf.DUMMYFUNCTION("""COMPUTED_VALUE"""),"saletructiep_Europe.M734.1845.giaotiep_THCNGDP_LD275")</f>
        <v>saletructiep_Europe.M734.1845.giaotiep_THCNGDP_LD275</v>
      </c>
      <c r="T182" s="130" t="str">
        <f>IFERROR(__xludf.DUMMYFUNCTION("""COMPUTED_VALUE"""),"https://patado.edu.vn/khoa-tieng-anh-giao-tiep-chau-au/?utm_source=Facebook&amp;utm_medium=CVS&amp;utm_term=NEW_Europe_1845_none_071026&amp;utm_content=saletructiep_Europe.M734.1845.giaotiep_THCNGDP_LD275&amp;utm_campaign=Europe.giaotiep.M734_LHV.9822_CVS_SangBD_071026")</f>
        <v>https://patado.edu.vn/khoa-tieng-anh-giao-tiep-chau-au/?utm_source=Facebook&amp;utm_medium=CVS&amp;utm_term=NEW_Europe_1845_none_071026&amp;utm_content=saletructiep_Europe.M734.1845.giaotiep_THCNGDP_LD275&amp;utm_campaign=Europe.giaotiep.M734_LHV.9822_CVS_SangBD_071026</v>
      </c>
      <c r="U182" s="112" t="s">
        <v>2473</v>
      </c>
    </row>
    <row r="183">
      <c r="A183" s="50">
        <v>46303.0</v>
      </c>
      <c r="B183" s="128" t="s">
        <v>1642</v>
      </c>
      <c r="C183" s="129" t="str">
        <f>IFERROR(__xludf.DUMMYFUNCTION("""COMPUTED_VALUE"""),"LD275")</f>
        <v>LD275</v>
      </c>
      <c r="D183" s="114" t="s">
        <v>42</v>
      </c>
      <c r="E183" s="114" t="s">
        <v>69</v>
      </c>
      <c r="F183" s="114" t="s">
        <v>674</v>
      </c>
      <c r="G183" s="114">
        <v>2045.0</v>
      </c>
      <c r="H183" s="114" t="s">
        <v>1485</v>
      </c>
      <c r="I183" s="114" t="s">
        <v>2477</v>
      </c>
      <c r="J183" s="114" t="s">
        <v>2478</v>
      </c>
      <c r="K183" s="114" t="s">
        <v>61</v>
      </c>
      <c r="L183" s="114" t="s">
        <v>1264</v>
      </c>
      <c r="M183" s="114" t="s">
        <v>78</v>
      </c>
      <c r="N183" s="114" t="s">
        <v>69</v>
      </c>
      <c r="O183" s="114" t="s">
        <v>1142</v>
      </c>
      <c r="P183" s="114" t="s">
        <v>110</v>
      </c>
      <c r="Q183" s="129" t="str">
        <f>IFERROR(__xludf.DUMMYFUNCTION("""COMPUTED_VALUE"""),"Europe.giaotiep.M632_LHV.9822_CVS_SangBD_081026")</f>
        <v>Europe.giaotiep.M632_LHV.9822_CVS_SangBD_081026</v>
      </c>
      <c r="R183" s="129" t="str">
        <f>IFERROR(__xludf.DUMMYFUNCTION("""COMPUTED_VALUE"""),"NEW_Europe_2045_none_081026")</f>
        <v>NEW_Europe_2045_none_081026</v>
      </c>
      <c r="S183" s="129" t="str">
        <f>IFERROR(__xludf.DUMMYFUNCTION("""COMPUTED_VALUE"""),"saletructiep_Europe.M632.2045.giaotiep_THCNGDP_LD275")</f>
        <v>saletructiep_Europe.M632.2045.giaotiep_THCNGDP_LD275</v>
      </c>
      <c r="T183" s="130" t="str">
        <f>IFERROR(__xludf.DUMMYFUNCTION("""COMPUTED_VALUE"""),"https://patado.edu.vn/khoa-tieng-anh-giao-tiep-chau-au/?utm_source=Facebook&amp;utm_medium=CVS&amp;utm_term=NEW_Europe_2045_none_081026&amp;utm_content=saletructiep_Europe.M632.2045.giaotiep_THCNGDP_LD275&amp;utm_campaign=Europe.giaotiep.M632_LHV.9822_CVS_SangBD_081026")</f>
        <v>https://patado.edu.vn/khoa-tieng-anh-giao-tiep-chau-au/?utm_source=Facebook&amp;utm_medium=CVS&amp;utm_term=NEW_Europe_2045_none_081026&amp;utm_content=saletructiep_Europe.M632.2045.giaotiep_THCNGDP_LD275&amp;utm_campaign=Europe.giaotiep.M632_LHV.9822_CVS_SangBD_081026</v>
      </c>
      <c r="U183" s="112" t="s">
        <v>2481</v>
      </c>
    </row>
    <row r="184">
      <c r="A184" s="134">
        <v>46307.0</v>
      </c>
      <c r="B184" s="135" t="s">
        <v>2115</v>
      </c>
      <c r="C184" s="92" t="str">
        <f>IFERROR(__xludf.DUMMYFUNCTION("""COMPUTED_VALUE"""),"LD287")</f>
        <v>LD287</v>
      </c>
      <c r="D184" s="136" t="s">
        <v>42</v>
      </c>
      <c r="E184" s="136" t="s">
        <v>69</v>
      </c>
      <c r="F184" s="136" t="s">
        <v>674</v>
      </c>
      <c r="G184" s="136">
        <v>2045.0</v>
      </c>
      <c r="H184" s="136" t="s">
        <v>1485</v>
      </c>
      <c r="I184" s="136" t="s">
        <v>2484</v>
      </c>
      <c r="J184" s="136" t="s">
        <v>2485</v>
      </c>
      <c r="K184" s="136" t="s">
        <v>61</v>
      </c>
      <c r="L184" s="136" t="s">
        <v>1264</v>
      </c>
      <c r="M184" s="136" t="s">
        <v>78</v>
      </c>
      <c r="N184" s="136" t="s">
        <v>69</v>
      </c>
      <c r="O184" s="136" t="s">
        <v>1142</v>
      </c>
      <c r="P184" s="136" t="s">
        <v>110</v>
      </c>
      <c r="Q184" s="92" t="str">
        <f>IFERROR(__xludf.DUMMYFUNCTION("""COMPUTED_VALUE"""),"Europe.giaotiep.M742_LHV.9822_CVS_SangBD_121026")</f>
        <v>Europe.giaotiep.M742_LHV.9822_CVS_SangBD_121026</v>
      </c>
      <c r="R184" s="92" t="str">
        <f>IFERROR(__xludf.DUMMYFUNCTION("""COMPUTED_VALUE"""),"NEW_Europe_2045_none_121026")</f>
        <v>NEW_Europe_2045_none_121026</v>
      </c>
      <c r="S184" s="92" t="str">
        <f>IFERROR(__xludf.DUMMYFUNCTION("""COMPUTED_VALUE"""),"saletructiep_Europe.M742.2045.giaotiep_THCNGDP_LD287")</f>
        <v>saletructiep_Europe.M742.2045.giaotiep_THCNGDP_LD287</v>
      </c>
      <c r="T184" s="137" t="str">
        <f>IFERROR(__xludf.DUMMYFUNCTION("""COMPUTED_VALUE"""),"https://patado.edu.vn/tieng-anh-giao-tiep-eu-sbd-htt/?utm_source=Facebook&amp;utm_medium=CVS&amp;utm_term=NEW_Europe_2045_none_121026&amp;utm_content=saletructiep_Europe.M742.2045.giaotiep_THCNGDP_LD287&amp;utm_campaign=Europe.giaotiep.M742_LHV.9822_CVS_SangBD_121026")</f>
        <v>https://patado.edu.vn/tieng-anh-giao-tiep-eu-sbd-htt/?utm_source=Facebook&amp;utm_medium=CVS&amp;utm_term=NEW_Europe_2045_none_121026&amp;utm_content=saletructiep_Europe.M742.2045.giaotiep_THCNGDP_LD287&amp;utm_campaign=Europe.giaotiep.M742_LHV.9822_CVS_SangBD_121026</v>
      </c>
      <c r="U184" s="145" t="s">
        <v>2489</v>
      </c>
    </row>
    <row r="185">
      <c r="A185" s="134">
        <v>46308.0</v>
      </c>
      <c r="B185" s="135" t="s">
        <v>1564</v>
      </c>
      <c r="C185" s="92" t="str">
        <f>IFERROR(__xludf.DUMMYFUNCTION("""COMPUTED_VALUE"""),"LD264")</f>
        <v>LD264</v>
      </c>
      <c r="D185" s="136" t="s">
        <v>42</v>
      </c>
      <c r="E185" s="136" t="s">
        <v>69</v>
      </c>
      <c r="F185" s="136" t="s">
        <v>133</v>
      </c>
      <c r="G185" s="136">
        <v>1845.0</v>
      </c>
      <c r="H185" s="136" t="s">
        <v>1485</v>
      </c>
      <c r="I185" s="136" t="s">
        <v>2492</v>
      </c>
      <c r="J185" s="136" t="s">
        <v>2493</v>
      </c>
      <c r="K185" s="136" t="s">
        <v>61</v>
      </c>
      <c r="L185" s="136" t="s">
        <v>1264</v>
      </c>
      <c r="M185" s="136" t="s">
        <v>78</v>
      </c>
      <c r="N185" s="136" t="s">
        <v>69</v>
      </c>
      <c r="O185" s="136" t="s">
        <v>1142</v>
      </c>
      <c r="P185" s="136" t="s">
        <v>110</v>
      </c>
      <c r="Q185" s="92" t="str">
        <f>IFERROR(__xludf.DUMMYFUNCTION("""COMPUTED_VALUE"""),"Japan.giaotiep.M774_LHV.9822_CVS_SangBD_131026")</f>
        <v>Japan.giaotiep.M774_LHV.9822_CVS_SangBD_131026</v>
      </c>
      <c r="R185" s="92" t="str">
        <f>IFERROR(__xludf.DUMMYFUNCTION("""COMPUTED_VALUE"""),"NEW_Japan_1845_none_131026")</f>
        <v>NEW_Japan_1845_none_131026</v>
      </c>
      <c r="S185" s="92" t="str">
        <f>IFERROR(__xludf.DUMMYFUNCTION("""COMPUTED_VALUE"""),"saletructiep_Japan.M774.1845.giaotiep_THCNGDP_LD264")</f>
        <v>saletructiep_Japan.M774.1845.giaotiep_THCNGDP_LD264</v>
      </c>
      <c r="T185" s="137" t="str">
        <f>IFERROR(__xludf.DUMMYFUNCTION("""COMPUTED_VALUE"""),"https://patado.edu.vn/khoa-tieng-anh-giao-tiep-o-nhat-ban/?utm_source=Facebook&amp;utm_medium=CVS&amp;utm_term=NEW_Japan_1845_none_131026&amp;utm_content=saletructiep_Japan.M774.1845.giaotiep_THCNGDP_LD264&amp;utm_campaign=Japan.giaotiep.M774_LHV.9822_CVS_SangBD_131026")</f>
        <v>https://patado.edu.vn/khoa-tieng-anh-giao-tiep-o-nhat-ban/?utm_source=Facebook&amp;utm_medium=CVS&amp;utm_term=NEW_Japan_1845_none_131026&amp;utm_content=saletructiep_Japan.M774.1845.giaotiep_THCNGDP_LD264&amp;utm_campaign=Japan.giaotiep.M774_LHV.9822_CVS_SangBD_131026</v>
      </c>
      <c r="U185" s="145" t="s">
        <v>2500</v>
      </c>
    </row>
    <row r="186">
      <c r="A186" s="50">
        <v>46309.0</v>
      </c>
      <c r="B186" s="128" t="s">
        <v>1553</v>
      </c>
      <c r="C186" s="129" t="str">
        <f>IFERROR(__xludf.DUMMYFUNCTION("""COMPUTED_VALUE"""),"LD263")</f>
        <v>LD263</v>
      </c>
      <c r="D186" s="114" t="s">
        <v>42</v>
      </c>
      <c r="E186" s="114" t="s">
        <v>79</v>
      </c>
      <c r="F186" s="114" t="s">
        <v>539</v>
      </c>
      <c r="G186" s="114">
        <v>2045.0</v>
      </c>
      <c r="H186" s="114" t="s">
        <v>1485</v>
      </c>
      <c r="I186" s="114" t="s">
        <v>2319</v>
      </c>
      <c r="J186" s="114" t="s">
        <v>2320</v>
      </c>
      <c r="K186" s="114" t="s">
        <v>61</v>
      </c>
      <c r="L186" s="114" t="s">
        <v>1264</v>
      </c>
      <c r="M186" s="114" t="s">
        <v>78</v>
      </c>
      <c r="N186" s="114" t="s">
        <v>79</v>
      </c>
      <c r="O186" s="114" t="s">
        <v>1142</v>
      </c>
      <c r="P186" s="114" t="s">
        <v>110</v>
      </c>
      <c r="Q186" s="129" t="str">
        <f>IFERROR(__xludf.DUMMYFUNCTION("""COMPUTED_VALUE"""),"ALL.giaotiep.M681_LHV.9822_MES_SangBD_141026")</f>
        <v>ALL.giaotiep.M681_LHV.9822_MES_SangBD_141026</v>
      </c>
      <c r="R186" s="129" t="str">
        <f>IFERROR(__xludf.DUMMYFUNCTION("""COMPUTED_VALUE"""),"NEW_ALL_2045_none_141026")</f>
        <v>NEW_ALL_2045_none_141026</v>
      </c>
      <c r="S186" s="129" t="str">
        <f>IFERROR(__xludf.DUMMYFUNCTION("""COMPUTED_VALUE"""),"saletructiep_ALL.giaotiep.M681.1845.giaotiep_THCNGDP_LD263")</f>
        <v>saletructiep_ALL.giaotiep.M681.1845.giaotiep_THCNGDP_LD263</v>
      </c>
      <c r="T186" s="130" t="str">
        <f>IFERROR(__xludf.DUMMYFUNCTION("""COMPUTED_VALUE"""),"https://patado.edu.vn/khoa-giao-tiep-tieng-anh-online-all/?utm_source=Facebook&amp;utm_medium=MES&amp;utm_term=NEW_ALL_2045_none_141026&amp;utm_content=saletructiep_ALL.giaotiep.M681.1845.giaotiep_THCNGDP_LD263&amp;utm_campaign=ALL.giaotiep.M681_LHV.9822_MES_SangBD_14102"&amp;"6")</f>
        <v>https://patado.edu.vn/khoa-giao-tiep-tieng-anh-online-all/?utm_source=Facebook&amp;utm_medium=MES&amp;utm_term=NEW_ALL_2045_none_141026&amp;utm_content=saletructiep_ALL.giaotiep.M681.1845.giaotiep_THCNGDP_LD263&amp;utm_campaign=ALL.giaotiep.M681_LHV.9822_MES_SangBD_141026</v>
      </c>
      <c r="U186" s="131"/>
    </row>
    <row r="187">
      <c r="A187" s="134">
        <v>46309.0</v>
      </c>
      <c r="B187" s="135" t="s">
        <v>1564</v>
      </c>
      <c r="C187" s="92" t="str">
        <f>IFERROR(__xludf.DUMMYFUNCTION("""COMPUTED_VALUE"""),"LD264")</f>
        <v>LD264</v>
      </c>
      <c r="D187" s="136" t="s">
        <v>42</v>
      </c>
      <c r="E187" s="136" t="s">
        <v>69</v>
      </c>
      <c r="F187" s="136" t="s">
        <v>133</v>
      </c>
      <c r="G187" s="136">
        <v>1846.0</v>
      </c>
      <c r="H187" s="136" t="s">
        <v>1485</v>
      </c>
      <c r="I187" s="136" t="s">
        <v>2492</v>
      </c>
      <c r="J187" s="136" t="s">
        <v>2493</v>
      </c>
      <c r="K187" s="136" t="s">
        <v>61</v>
      </c>
      <c r="L187" s="136" t="s">
        <v>1264</v>
      </c>
      <c r="M187" s="136" t="s">
        <v>78</v>
      </c>
      <c r="N187" s="136" t="s">
        <v>69</v>
      </c>
      <c r="O187" s="136" t="s">
        <v>1142</v>
      </c>
      <c r="P187" s="136" t="s">
        <v>110</v>
      </c>
      <c r="Q187" s="92" t="str">
        <f>IFERROR(__xludf.DUMMYFUNCTION("""COMPUTED_VALUE"""),"Japan.giaotiep.M774_LHV.9822_CVS_SangBD_141026")</f>
        <v>Japan.giaotiep.M774_LHV.9822_CVS_SangBD_141026</v>
      </c>
      <c r="R187" s="92" t="str">
        <f>IFERROR(__xludf.DUMMYFUNCTION("""COMPUTED_VALUE"""),"NEW_Japan_1846_none_141026")</f>
        <v>NEW_Japan_1846_none_141026</v>
      </c>
      <c r="S187" s="92" t="str">
        <f>IFERROR(__xludf.DUMMYFUNCTION("""COMPUTED_VALUE"""),"saletructiep_Japan.M774.1845.giaotiep_THCNGDP_LD264")</f>
        <v>saletructiep_Japan.M774.1845.giaotiep_THCNGDP_LD264</v>
      </c>
      <c r="T187" s="137" t="str">
        <f>IFERROR(__xludf.DUMMYFUNCTION("""COMPUTED_VALUE"""),"https://patado.edu.vn/khoa-tieng-anh-giao-tiep-o-nhat-ban/?utm_source=Facebook&amp;utm_medium=CVS&amp;utm_term=NEW_Japan_1846_none_141026&amp;utm_content=saletructiep_Japan.M774.1845.giaotiep_THCNGDP_LD264&amp;utm_campaign=Japan.giaotiep.M774_LHV.9822_CVS_SangBD_141026")</f>
        <v>https://patado.edu.vn/khoa-tieng-anh-giao-tiep-o-nhat-ban/?utm_source=Facebook&amp;utm_medium=CVS&amp;utm_term=NEW_Japan_1846_none_141026&amp;utm_content=saletructiep_Japan.M774.1845.giaotiep_THCNGDP_LD264&amp;utm_campaign=Japan.giaotiep.M774_LHV.9822_CVS_SangBD_141026</v>
      </c>
      <c r="U187" s="145" t="s">
        <v>2514</v>
      </c>
    </row>
    <row r="188">
      <c r="A188" s="134">
        <v>46311.0</v>
      </c>
      <c r="B188" s="135" t="s">
        <v>1553</v>
      </c>
      <c r="C188" s="92" t="str">
        <f>IFERROR(__xludf.DUMMYFUNCTION("""COMPUTED_VALUE"""),"LD263")</f>
        <v>LD263</v>
      </c>
      <c r="D188" s="136" t="s">
        <v>42</v>
      </c>
      <c r="E188" s="136" t="s">
        <v>79</v>
      </c>
      <c r="F188" s="136" t="s">
        <v>539</v>
      </c>
      <c r="G188" s="136">
        <v>1845.0</v>
      </c>
      <c r="H188" s="136" t="s">
        <v>1485</v>
      </c>
      <c r="I188" s="136" t="s">
        <v>2518</v>
      </c>
      <c r="J188" s="136" t="s">
        <v>2519</v>
      </c>
      <c r="K188" s="136" t="s">
        <v>61</v>
      </c>
      <c r="L188" s="136" t="s">
        <v>1264</v>
      </c>
      <c r="M188" s="136" t="s">
        <v>78</v>
      </c>
      <c r="N188" s="136" t="s">
        <v>69</v>
      </c>
      <c r="O188" s="136" t="s">
        <v>1142</v>
      </c>
      <c r="P188" s="136" t="s">
        <v>110</v>
      </c>
      <c r="Q188" s="92" t="str">
        <f>IFERROR(__xludf.DUMMYFUNCTION("""COMPUTED_VALUE"""),"ALL.giaotiep.M774_LHV.9822_CVS_SangBD_161026")</f>
        <v>ALL.giaotiep.M774_LHV.9822_CVS_SangBD_161026</v>
      </c>
      <c r="R188" s="92" t="str">
        <f>IFERROR(__xludf.DUMMYFUNCTION("""COMPUTED_VALUE"""),"NEW_ALL_1845_none_161026")</f>
        <v>NEW_ALL_1845_none_161026</v>
      </c>
      <c r="S188" s="92" t="str">
        <f>IFERROR(__xludf.DUMMYFUNCTION("""COMPUTED_VALUE"""),"saletructiep_ALL.giaotiep.M774.1845.giaotiep_THCNGDP_LD263")</f>
        <v>saletructiep_ALL.giaotiep.M774.1845.giaotiep_THCNGDP_LD263</v>
      </c>
      <c r="T188" s="137" t="str">
        <f>IFERROR(__xludf.DUMMYFUNCTION("""COMPUTED_VALUE"""),"https://patado.edu.vn/khoa-giao-tiep-tieng-anh-online-all/?utm_source=Facebook&amp;utm_medium=MES&amp;utm_term=NEW_ALL_1845_none_161026&amp;utm_content=saletructiep_ALL.giaotiep.M774.1845.giaotiep_THCNGDP_LD263&amp;utm_campaign=ALL.giaotiep.M774_LHV.9822_CVS_SangBD_16102"&amp;"6")</f>
        <v>https://patado.edu.vn/khoa-giao-tiep-tieng-anh-online-all/?utm_source=Facebook&amp;utm_medium=MES&amp;utm_term=NEW_ALL_1845_none_161026&amp;utm_content=saletructiep_ALL.giaotiep.M774.1845.giaotiep_THCNGDP_LD263&amp;utm_campaign=ALL.giaotiep.M774_LHV.9822_CVS_SangBD_161026</v>
      </c>
      <c r="U188" s="147"/>
    </row>
    <row r="189">
      <c r="A189" s="134">
        <v>46314.0</v>
      </c>
      <c r="B189" s="135" t="s">
        <v>2115</v>
      </c>
      <c r="C189" s="92" t="str">
        <f>IFERROR(__xludf.DUMMYFUNCTION("""COMPUTED_VALUE"""),"LD287")</f>
        <v>LD287</v>
      </c>
      <c r="D189" s="136" t="s">
        <v>42</v>
      </c>
      <c r="E189" s="136" t="s">
        <v>69</v>
      </c>
      <c r="F189" s="136" t="s">
        <v>674</v>
      </c>
      <c r="G189" s="136">
        <v>1845.0</v>
      </c>
      <c r="H189" s="136" t="s">
        <v>1485</v>
      </c>
      <c r="I189" s="136" t="s">
        <v>2525</v>
      </c>
      <c r="J189" s="136" t="s">
        <v>2526</v>
      </c>
      <c r="K189" s="136" t="s">
        <v>61</v>
      </c>
      <c r="L189" s="136" t="s">
        <v>1264</v>
      </c>
      <c r="M189" s="136" t="s">
        <v>78</v>
      </c>
      <c r="N189" s="136" t="s">
        <v>69</v>
      </c>
      <c r="O189" s="136" t="s">
        <v>1142</v>
      </c>
      <c r="P189" s="136" t="s">
        <v>110</v>
      </c>
      <c r="Q189" s="92" t="str">
        <f>IFERROR(__xludf.DUMMYFUNCTION("""COMPUTED_VALUE"""),"Europe.giaotiep.M774_LHV.9822_CVS_SangBD_191026")</f>
        <v>Europe.giaotiep.M774_LHV.9822_CVS_SangBD_191026</v>
      </c>
      <c r="R189" s="92" t="str">
        <f>IFERROR(__xludf.DUMMYFUNCTION("""COMPUTED_VALUE"""),"NEW_Europe_1845_none_191026")</f>
        <v>NEW_Europe_1845_none_191026</v>
      </c>
      <c r="S189" s="92" t="str">
        <f>IFERROR(__xludf.DUMMYFUNCTION("""COMPUTED_VALUE"""),"saletructiep_Europe.M774.1845.giaotiep_THCNGDP_LD287")</f>
        <v>saletructiep_Europe.M774.1845.giaotiep_THCNGDP_LD287</v>
      </c>
      <c r="T189" s="137" t="str">
        <f>IFERROR(__xludf.DUMMYFUNCTION("""COMPUTED_VALUE"""),"https://patado.edu.vn/tieng-anh-giao-tiep-eu-sbd-htt/?utm_source=Facebook&amp;utm_medium=CVS&amp;utm_term=NEW_Europe_1845_none_191026&amp;utm_content=saletructiep_Europe.M774.1845.giaotiep_THCNGDP_LD287&amp;utm_campaign=Europe.giaotiep.M774_LHV.9822_CVS_SangBD_191026")</f>
        <v>https://patado.edu.vn/tieng-anh-giao-tiep-eu-sbd-htt/?utm_source=Facebook&amp;utm_medium=CVS&amp;utm_term=NEW_Europe_1845_none_191026&amp;utm_content=saletructiep_Europe.M774.1845.giaotiep_THCNGDP_LD287&amp;utm_campaign=Europe.giaotiep.M774_LHV.9822_CVS_SangBD_191026</v>
      </c>
      <c r="U189" s="148" t="s">
        <v>2529</v>
      </c>
    </row>
    <row r="190">
      <c r="A190" s="134">
        <v>46316.0</v>
      </c>
      <c r="B190" s="135" t="s">
        <v>1553</v>
      </c>
      <c r="C190" s="92" t="str">
        <f>IFERROR(__xludf.DUMMYFUNCTION("""COMPUTED_VALUE"""),"LD263")</f>
        <v>LD263</v>
      </c>
      <c r="D190" s="136" t="s">
        <v>42</v>
      </c>
      <c r="E190" s="136" t="s">
        <v>79</v>
      </c>
      <c r="F190" s="136" t="s">
        <v>539</v>
      </c>
      <c r="G190" s="136">
        <v>1840.0</v>
      </c>
      <c r="H190" s="136" t="s">
        <v>1485</v>
      </c>
      <c r="I190" s="136" t="s">
        <v>2533</v>
      </c>
      <c r="J190" s="136" t="s">
        <v>2535</v>
      </c>
      <c r="K190" s="136" t="s">
        <v>61</v>
      </c>
      <c r="L190" s="136" t="s">
        <v>1264</v>
      </c>
      <c r="M190" s="136" t="s">
        <v>78</v>
      </c>
      <c r="N190" s="136" t="s">
        <v>79</v>
      </c>
      <c r="O190" s="136" t="s">
        <v>1142</v>
      </c>
      <c r="P190" s="136" t="s">
        <v>110</v>
      </c>
      <c r="Q190" s="92" t="str">
        <f>IFERROR(__xludf.DUMMYFUNCTION("""COMPUTED_VALUE"""),"ALL.giaotiep.M701_LHV.9822_MES_SangBD_211026")</f>
        <v>ALL.giaotiep.M701_LHV.9822_MES_SangBD_211026</v>
      </c>
      <c r="R190" s="92" t="str">
        <f>IFERROR(__xludf.DUMMYFUNCTION("""COMPUTED_VALUE"""),"NEW_ALL_1840_none_211026")</f>
        <v>NEW_ALL_1840_none_211026</v>
      </c>
      <c r="S190" s="92" t="str">
        <f>IFERROR(__xludf.DUMMYFUNCTION("""COMPUTED_VALUE"""),"saletructiep_ALL.giaotiep.M701.1840.giaotiep_THCNGDP_LD263")</f>
        <v>saletructiep_ALL.giaotiep.M701.1840.giaotiep_THCNGDP_LD263</v>
      </c>
      <c r="T190" s="137" t="str">
        <f>IFERROR(__xludf.DUMMYFUNCTION("""COMPUTED_VALUE"""),"https://patado.edu.vn/khoa-giao-tiep-tieng-anh-online-all/?utm_source=Facebook&amp;utm_medium=MES&amp;utm_term=NEW_ALL_1840_none_211026&amp;utm_content=saletructiep_ALL.giaotiep.M701.1840.giaotiep_THCNGDP_LD263&amp;utm_campaign=ALL.giaotiep.M701_LHV.9822_MES_SangBD_21102"&amp;"6")</f>
        <v>https://patado.edu.vn/khoa-giao-tiep-tieng-anh-online-all/?utm_source=Facebook&amp;utm_medium=MES&amp;utm_term=NEW_ALL_1840_none_211026&amp;utm_content=saletructiep_ALL.giaotiep.M701.1840.giaotiep_THCNGDP_LD263&amp;utm_campaign=ALL.giaotiep.M701_LHV.9822_MES_SangBD_211026</v>
      </c>
      <c r="U190" s="145" t="s">
        <v>2539</v>
      </c>
    </row>
    <row r="191">
      <c r="A191" s="72"/>
      <c r="B191" s="95"/>
      <c r="C191" s="67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67"/>
      <c r="R191" s="67"/>
      <c r="S191" s="67"/>
      <c r="T191" s="67"/>
      <c r="U191" s="116"/>
    </row>
    <row r="192">
      <c r="A192" s="72"/>
      <c r="B192" s="95"/>
      <c r="C192" s="67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67"/>
      <c r="R192" s="67"/>
      <c r="S192" s="67"/>
      <c r="T192" s="67"/>
      <c r="U192" s="116"/>
    </row>
    <row r="193">
      <c r="A193" s="72"/>
      <c r="B193" s="95"/>
      <c r="C193" s="67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67"/>
      <c r="R193" s="67"/>
      <c r="S193" s="67"/>
      <c r="T193" s="67"/>
      <c r="U193" s="116"/>
    </row>
    <row r="194">
      <c r="A194" s="72"/>
      <c r="B194" s="95"/>
      <c r="C194" s="67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67"/>
      <c r="R194" s="67"/>
      <c r="S194" s="67"/>
      <c r="T194" s="67"/>
      <c r="U194" s="116"/>
    </row>
    <row r="195">
      <c r="A195" s="72"/>
      <c r="B195" s="95"/>
      <c r="C195" s="67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67"/>
      <c r="R195" s="67"/>
      <c r="S195" s="67"/>
      <c r="T195" s="67"/>
      <c r="U195" s="116"/>
    </row>
    <row r="196">
      <c r="A196" s="72"/>
      <c r="B196" s="95"/>
      <c r="C196" s="67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67"/>
      <c r="R196" s="67"/>
      <c r="S196" s="67"/>
      <c r="T196" s="67"/>
      <c r="U196" s="116"/>
    </row>
    <row r="197">
      <c r="A197" s="72"/>
      <c r="B197" s="95"/>
      <c r="C197" s="67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67"/>
      <c r="R197" s="67"/>
      <c r="S197" s="67"/>
      <c r="T197" s="67"/>
      <c r="U197" s="116"/>
    </row>
    <row r="198">
      <c r="A198" s="72"/>
      <c r="B198" s="95"/>
      <c r="C198" s="67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67"/>
      <c r="R198" s="67"/>
      <c r="S198" s="67"/>
      <c r="T198" s="67"/>
      <c r="U198" s="116"/>
    </row>
    <row r="199">
      <c r="A199" s="72"/>
      <c r="B199" s="95"/>
      <c r="C199" s="67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67"/>
      <c r="R199" s="67"/>
      <c r="S199" s="67"/>
      <c r="T199" s="67"/>
      <c r="U199" s="116"/>
    </row>
    <row r="200">
      <c r="A200" s="72"/>
      <c r="B200" s="95"/>
      <c r="C200" s="67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67"/>
      <c r="R200" s="67"/>
      <c r="S200" s="67"/>
      <c r="T200" s="67"/>
      <c r="U200" s="116"/>
    </row>
    <row r="201">
      <c r="A201" s="72"/>
      <c r="B201" s="95"/>
      <c r="C201" s="67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67"/>
      <c r="R201" s="67"/>
      <c r="S201" s="67"/>
      <c r="T201" s="67"/>
      <c r="U201" s="116"/>
    </row>
    <row r="202">
      <c r="A202" s="72"/>
      <c r="B202" s="95"/>
      <c r="C202" s="67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67"/>
      <c r="R202" s="67"/>
      <c r="S202" s="67"/>
      <c r="T202" s="67"/>
      <c r="U202" s="116"/>
    </row>
    <row r="203">
      <c r="A203" s="72"/>
      <c r="B203" s="95"/>
      <c r="C203" s="67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67"/>
      <c r="R203" s="67"/>
      <c r="S203" s="67"/>
      <c r="T203" s="67"/>
      <c r="U203" s="116"/>
    </row>
    <row r="204">
      <c r="A204" s="72"/>
      <c r="B204" s="95"/>
      <c r="C204" s="67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67"/>
      <c r="R204" s="67"/>
      <c r="S204" s="67"/>
      <c r="T204" s="67"/>
      <c r="U204" s="116"/>
    </row>
    <row r="205">
      <c r="A205" s="72"/>
      <c r="B205" s="95"/>
      <c r="C205" s="67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67"/>
      <c r="R205" s="67"/>
      <c r="S205" s="67"/>
      <c r="T205" s="67"/>
      <c r="U205" s="116"/>
    </row>
    <row r="206">
      <c r="A206" s="72"/>
      <c r="B206" s="95"/>
      <c r="C206" s="67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67"/>
      <c r="R206" s="67"/>
      <c r="S206" s="67"/>
      <c r="T206" s="67"/>
      <c r="U206" s="116"/>
    </row>
    <row r="207">
      <c r="A207" s="72"/>
      <c r="B207" s="95"/>
      <c r="C207" s="67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67"/>
      <c r="R207" s="67"/>
      <c r="S207" s="67"/>
      <c r="T207" s="67"/>
      <c r="U207" s="116"/>
    </row>
    <row r="208">
      <c r="A208" s="72"/>
      <c r="B208" s="95"/>
      <c r="C208" s="67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67"/>
      <c r="R208" s="67"/>
      <c r="S208" s="67"/>
      <c r="T208" s="67"/>
      <c r="U208" s="116"/>
    </row>
    <row r="209">
      <c r="A209" s="72"/>
      <c r="B209" s="95"/>
      <c r="C209" s="67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67"/>
      <c r="R209" s="67"/>
      <c r="S209" s="67"/>
      <c r="T209" s="67"/>
      <c r="U209" s="116"/>
    </row>
    <row r="210">
      <c r="A210" s="72"/>
      <c r="B210" s="95"/>
      <c r="C210" s="67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67"/>
      <c r="R210" s="67"/>
      <c r="S210" s="67"/>
      <c r="T210" s="67"/>
      <c r="U210" s="116"/>
    </row>
    <row r="211">
      <c r="A211" s="72"/>
      <c r="B211" s="95"/>
      <c r="C211" s="67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67"/>
      <c r="R211" s="67"/>
      <c r="S211" s="67"/>
      <c r="T211" s="67"/>
      <c r="U211" s="116"/>
    </row>
    <row r="212">
      <c r="A212" s="72"/>
      <c r="B212" s="95"/>
      <c r="C212" s="67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67"/>
      <c r="R212" s="67"/>
      <c r="S212" s="67"/>
      <c r="T212" s="67"/>
      <c r="U212" s="116"/>
    </row>
    <row r="213">
      <c r="A213" s="72"/>
      <c r="B213" s="95"/>
      <c r="C213" s="67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67"/>
      <c r="R213" s="67"/>
      <c r="S213" s="67"/>
      <c r="T213" s="67"/>
      <c r="U213" s="116"/>
    </row>
    <row r="214">
      <c r="A214" s="72"/>
      <c r="B214" s="95"/>
      <c r="C214" s="67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67"/>
      <c r="R214" s="67"/>
      <c r="S214" s="67"/>
      <c r="T214" s="67"/>
      <c r="U214" s="116"/>
    </row>
    <row r="215">
      <c r="A215" s="72"/>
      <c r="B215" s="95"/>
      <c r="C215" s="67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67"/>
      <c r="R215" s="67"/>
      <c r="S215" s="67"/>
      <c r="T215" s="67"/>
      <c r="U215" s="116"/>
    </row>
    <row r="216">
      <c r="A216" s="72"/>
      <c r="B216" s="95"/>
      <c r="C216" s="67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67"/>
      <c r="R216" s="67"/>
      <c r="S216" s="67"/>
      <c r="T216" s="67"/>
      <c r="U216" s="116"/>
    </row>
    <row r="217">
      <c r="A217" s="72"/>
      <c r="B217" s="95"/>
      <c r="C217" s="67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67"/>
      <c r="R217" s="67"/>
      <c r="S217" s="67"/>
      <c r="T217" s="67"/>
      <c r="U217" s="116"/>
    </row>
    <row r="218">
      <c r="A218" s="72"/>
      <c r="B218" s="95"/>
      <c r="C218" s="67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67"/>
      <c r="R218" s="67"/>
      <c r="S218" s="67"/>
      <c r="T218" s="67"/>
      <c r="U218" s="116"/>
    </row>
    <row r="219">
      <c r="A219" s="72"/>
      <c r="B219" s="95"/>
      <c r="C219" s="67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67"/>
      <c r="R219" s="67"/>
      <c r="S219" s="67"/>
      <c r="T219" s="67"/>
      <c r="U219" s="116"/>
    </row>
    <row r="220">
      <c r="A220" s="72"/>
      <c r="B220" s="95"/>
      <c r="C220" s="67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67"/>
      <c r="R220" s="67"/>
      <c r="S220" s="67"/>
      <c r="T220" s="67"/>
      <c r="U220" s="116"/>
    </row>
    <row r="221">
      <c r="A221" s="72"/>
      <c r="B221" s="95"/>
      <c r="C221" s="67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67"/>
      <c r="R221" s="67"/>
      <c r="S221" s="67"/>
      <c r="T221" s="67"/>
      <c r="U221" s="116"/>
    </row>
    <row r="222">
      <c r="A222" s="72"/>
      <c r="B222" s="95"/>
      <c r="C222" s="67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67"/>
      <c r="R222" s="67"/>
      <c r="S222" s="67"/>
      <c r="T222" s="67"/>
      <c r="U222" s="116"/>
    </row>
    <row r="223">
      <c r="A223" s="72"/>
      <c r="B223" s="95"/>
      <c r="C223" s="67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67"/>
      <c r="R223" s="67"/>
      <c r="S223" s="67"/>
      <c r="T223" s="67"/>
      <c r="U223" s="116"/>
    </row>
    <row r="224">
      <c r="A224" s="72"/>
      <c r="B224" s="95"/>
      <c r="C224" s="67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67"/>
      <c r="R224" s="67"/>
      <c r="S224" s="67"/>
      <c r="T224" s="67"/>
      <c r="U224" s="116"/>
    </row>
    <row r="225">
      <c r="A225" s="72"/>
      <c r="B225" s="95"/>
      <c r="C225" s="67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67"/>
      <c r="R225" s="67"/>
      <c r="S225" s="67"/>
      <c r="T225" s="67"/>
      <c r="U225" s="116"/>
    </row>
    <row r="226">
      <c r="A226" s="72"/>
      <c r="B226" s="95"/>
      <c r="C226" s="67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67"/>
      <c r="R226" s="67"/>
      <c r="S226" s="67"/>
      <c r="T226" s="67"/>
      <c r="U226" s="116"/>
    </row>
    <row r="227">
      <c r="A227" s="72"/>
      <c r="B227" s="95"/>
      <c r="C227" s="67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67"/>
      <c r="R227" s="67"/>
      <c r="S227" s="67"/>
      <c r="T227" s="67"/>
      <c r="U227" s="116"/>
    </row>
    <row r="228">
      <c r="A228" s="72"/>
      <c r="B228" s="95"/>
      <c r="C228" s="67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67"/>
      <c r="R228" s="67"/>
      <c r="S228" s="67"/>
      <c r="T228" s="67"/>
      <c r="U228" s="116"/>
    </row>
    <row r="229">
      <c r="A229" s="72"/>
      <c r="B229" s="95"/>
      <c r="C229" s="67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67"/>
      <c r="R229" s="67"/>
      <c r="S229" s="67"/>
      <c r="T229" s="67"/>
      <c r="U229" s="116"/>
    </row>
    <row r="230">
      <c r="A230" s="72"/>
      <c r="B230" s="95"/>
      <c r="C230" s="67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67"/>
      <c r="R230" s="67"/>
      <c r="S230" s="67"/>
      <c r="T230" s="67"/>
      <c r="U230" s="116"/>
    </row>
    <row r="231">
      <c r="A231" s="72"/>
      <c r="B231" s="95"/>
      <c r="C231" s="67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67"/>
      <c r="R231" s="67"/>
      <c r="S231" s="67"/>
      <c r="T231" s="67"/>
      <c r="U231" s="116"/>
    </row>
    <row r="232">
      <c r="A232" s="72"/>
      <c r="B232" s="95"/>
      <c r="C232" s="67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67"/>
      <c r="R232" s="67"/>
      <c r="S232" s="67"/>
      <c r="T232" s="67"/>
      <c r="U232" s="116"/>
    </row>
    <row r="233">
      <c r="A233" s="72"/>
      <c r="B233" s="95"/>
      <c r="C233" s="67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67"/>
      <c r="R233" s="67"/>
      <c r="S233" s="67"/>
      <c r="T233" s="67"/>
      <c r="U233" s="116"/>
    </row>
    <row r="234">
      <c r="A234" s="72"/>
      <c r="B234" s="95"/>
      <c r="C234" s="67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67"/>
      <c r="R234" s="67"/>
      <c r="S234" s="67"/>
      <c r="T234" s="67"/>
      <c r="U234" s="116"/>
    </row>
    <row r="235">
      <c r="A235" s="72"/>
      <c r="B235" s="95"/>
      <c r="C235" s="67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67"/>
      <c r="R235" s="67"/>
      <c r="S235" s="67"/>
      <c r="T235" s="67"/>
      <c r="U235" s="116"/>
    </row>
    <row r="236">
      <c r="A236" s="72"/>
      <c r="B236" s="95"/>
      <c r="C236" s="67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67"/>
      <c r="R236" s="67"/>
      <c r="S236" s="67"/>
      <c r="T236" s="67"/>
      <c r="U236" s="116"/>
    </row>
    <row r="237">
      <c r="A237" s="72"/>
      <c r="B237" s="95"/>
      <c r="C237" s="67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67"/>
      <c r="R237" s="67"/>
      <c r="S237" s="67"/>
      <c r="T237" s="67"/>
      <c r="U237" s="116"/>
    </row>
    <row r="238">
      <c r="A238" s="72"/>
      <c r="B238" s="95"/>
      <c r="C238" s="67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67"/>
      <c r="R238" s="67"/>
      <c r="S238" s="67"/>
      <c r="T238" s="67"/>
      <c r="U238" s="116"/>
    </row>
    <row r="239">
      <c r="A239" s="72"/>
      <c r="B239" s="95"/>
      <c r="C239" s="67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67"/>
      <c r="R239" s="67"/>
      <c r="S239" s="67"/>
      <c r="T239" s="67"/>
      <c r="U239" s="116"/>
    </row>
    <row r="240">
      <c r="A240" s="72"/>
      <c r="B240" s="95"/>
      <c r="C240" s="67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67"/>
      <c r="R240" s="67"/>
      <c r="S240" s="67"/>
      <c r="T240" s="67"/>
      <c r="U240" s="116"/>
    </row>
    <row r="241">
      <c r="A241" s="72"/>
      <c r="B241" s="95"/>
      <c r="C241" s="67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67"/>
      <c r="R241" s="67"/>
      <c r="S241" s="67"/>
      <c r="T241" s="67"/>
      <c r="U241" s="116"/>
    </row>
    <row r="242">
      <c r="A242" s="72"/>
      <c r="B242" s="95"/>
      <c r="C242" s="67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67"/>
      <c r="R242" s="67"/>
      <c r="S242" s="67"/>
      <c r="T242" s="67"/>
      <c r="U242" s="116"/>
    </row>
    <row r="243">
      <c r="A243" s="72"/>
      <c r="B243" s="95"/>
      <c r="C243" s="67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67"/>
      <c r="R243" s="67"/>
      <c r="S243" s="67"/>
      <c r="T243" s="67"/>
      <c r="U243" s="116"/>
    </row>
    <row r="244">
      <c r="A244" s="72"/>
      <c r="B244" s="95"/>
      <c r="C244" s="67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67"/>
      <c r="R244" s="67"/>
      <c r="S244" s="67"/>
      <c r="T244" s="67"/>
      <c r="U244" s="116"/>
    </row>
    <row r="245">
      <c r="A245" s="72"/>
      <c r="B245" s="95"/>
      <c r="C245" s="67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67"/>
      <c r="R245" s="67"/>
      <c r="S245" s="67"/>
      <c r="T245" s="67"/>
      <c r="U245" s="116"/>
    </row>
    <row r="246">
      <c r="A246" s="72"/>
      <c r="B246" s="95"/>
      <c r="C246" s="67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67"/>
      <c r="R246" s="67"/>
      <c r="S246" s="67"/>
      <c r="T246" s="67"/>
      <c r="U246" s="116"/>
    </row>
    <row r="247">
      <c r="A247" s="72"/>
      <c r="B247" s="95"/>
      <c r="C247" s="67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67"/>
      <c r="R247" s="67"/>
      <c r="S247" s="67"/>
      <c r="T247" s="67"/>
      <c r="U247" s="116"/>
    </row>
    <row r="248">
      <c r="A248" s="72"/>
      <c r="B248" s="95"/>
      <c r="C248" s="67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67"/>
      <c r="R248" s="67"/>
      <c r="S248" s="67"/>
      <c r="T248" s="67"/>
      <c r="U248" s="116"/>
    </row>
    <row r="249">
      <c r="A249" s="72"/>
      <c r="B249" s="95"/>
      <c r="C249" s="67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67"/>
      <c r="R249" s="67"/>
      <c r="S249" s="67"/>
      <c r="T249" s="67"/>
      <c r="U249" s="116"/>
    </row>
    <row r="250">
      <c r="A250" s="72"/>
      <c r="B250" s="95"/>
      <c r="C250" s="67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67"/>
      <c r="R250" s="67"/>
      <c r="S250" s="67"/>
      <c r="T250" s="67"/>
      <c r="U250" s="116"/>
    </row>
    <row r="251">
      <c r="A251" s="72"/>
      <c r="B251" s="95"/>
      <c r="C251" s="67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67"/>
      <c r="R251" s="67"/>
      <c r="S251" s="67"/>
      <c r="T251" s="67"/>
      <c r="U251" s="116"/>
    </row>
    <row r="252">
      <c r="A252" s="72"/>
      <c r="B252" s="95"/>
      <c r="C252" s="67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67"/>
      <c r="R252" s="67"/>
      <c r="S252" s="67"/>
      <c r="T252" s="67"/>
      <c r="U252" s="116"/>
    </row>
    <row r="253">
      <c r="A253" s="72"/>
      <c r="B253" s="95"/>
      <c r="C253" s="67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67"/>
      <c r="R253" s="67"/>
      <c r="S253" s="67"/>
      <c r="T253" s="67"/>
      <c r="U253" s="116"/>
    </row>
    <row r="254">
      <c r="A254" s="72"/>
      <c r="B254" s="95"/>
      <c r="C254" s="67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67"/>
      <c r="R254" s="67"/>
      <c r="S254" s="67"/>
      <c r="T254" s="67"/>
      <c r="U254" s="116"/>
    </row>
    <row r="255">
      <c r="A255" s="72"/>
      <c r="B255" s="95"/>
      <c r="C255" s="67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67"/>
      <c r="R255" s="67"/>
      <c r="S255" s="67"/>
      <c r="T255" s="67"/>
      <c r="U255" s="116"/>
    </row>
    <row r="256">
      <c r="A256" s="72"/>
      <c r="B256" s="95"/>
      <c r="C256" s="67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67"/>
      <c r="R256" s="67"/>
      <c r="S256" s="67"/>
      <c r="T256" s="67"/>
      <c r="U256" s="116"/>
    </row>
    <row r="257">
      <c r="A257" s="72"/>
      <c r="B257" s="95"/>
      <c r="C257" s="67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67"/>
      <c r="R257" s="67"/>
      <c r="S257" s="67"/>
      <c r="T257" s="67"/>
      <c r="U257" s="116"/>
    </row>
    <row r="258">
      <c r="A258" s="72"/>
      <c r="B258" s="95"/>
      <c r="C258" s="67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67"/>
      <c r="R258" s="67"/>
      <c r="S258" s="67"/>
      <c r="T258" s="67"/>
      <c r="U258" s="116"/>
    </row>
    <row r="259">
      <c r="A259" s="72"/>
      <c r="B259" s="95"/>
      <c r="C259" s="67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67"/>
      <c r="R259" s="67"/>
      <c r="S259" s="67"/>
      <c r="T259" s="67"/>
      <c r="U259" s="116"/>
    </row>
    <row r="260">
      <c r="A260" s="72"/>
      <c r="B260" s="95"/>
      <c r="C260" s="67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67"/>
      <c r="R260" s="67"/>
      <c r="S260" s="67"/>
      <c r="T260" s="67"/>
      <c r="U260" s="116"/>
    </row>
    <row r="261">
      <c r="A261" s="72"/>
      <c r="B261" s="95"/>
      <c r="C261" s="67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67"/>
      <c r="R261" s="67"/>
      <c r="S261" s="67"/>
      <c r="T261" s="67"/>
      <c r="U261" s="116"/>
    </row>
    <row r="262">
      <c r="A262" s="72"/>
      <c r="B262" s="95"/>
      <c r="C262" s="67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67"/>
      <c r="R262" s="67"/>
      <c r="S262" s="67"/>
      <c r="T262" s="67"/>
      <c r="U262" s="116"/>
    </row>
    <row r="263">
      <c r="A263" s="72"/>
      <c r="B263" s="95"/>
      <c r="C263" s="67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67"/>
      <c r="R263" s="67"/>
      <c r="S263" s="67"/>
      <c r="T263" s="67"/>
      <c r="U263" s="116"/>
    </row>
    <row r="264">
      <c r="A264" s="72"/>
      <c r="B264" s="95"/>
      <c r="C264" s="67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67"/>
      <c r="R264" s="67"/>
      <c r="S264" s="67"/>
      <c r="T264" s="67"/>
      <c r="U264" s="116"/>
    </row>
    <row r="265">
      <c r="A265" s="72"/>
      <c r="B265" s="95"/>
      <c r="C265" s="67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67"/>
      <c r="R265" s="67"/>
      <c r="S265" s="67"/>
      <c r="T265" s="67"/>
      <c r="U265" s="116"/>
    </row>
    <row r="266">
      <c r="A266" s="72"/>
      <c r="B266" s="95"/>
      <c r="C266" s="67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67"/>
      <c r="R266" s="67"/>
      <c r="S266" s="67"/>
      <c r="T266" s="67"/>
      <c r="U266" s="116"/>
    </row>
    <row r="267">
      <c r="A267" s="72"/>
      <c r="B267" s="95"/>
      <c r="C267" s="67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67"/>
      <c r="R267" s="67"/>
      <c r="S267" s="67"/>
      <c r="T267" s="67"/>
      <c r="U267" s="116"/>
    </row>
    <row r="268">
      <c r="A268" s="72"/>
      <c r="B268" s="95"/>
      <c r="C268" s="67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67"/>
      <c r="R268" s="67"/>
      <c r="S268" s="67"/>
      <c r="T268" s="67"/>
      <c r="U268" s="116"/>
    </row>
    <row r="269">
      <c r="A269" s="72"/>
      <c r="B269" s="95"/>
      <c r="C269" s="67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67"/>
      <c r="R269" s="67"/>
      <c r="S269" s="67"/>
      <c r="T269" s="67"/>
      <c r="U269" s="116"/>
    </row>
    <row r="270">
      <c r="A270" s="72"/>
      <c r="B270" s="95"/>
      <c r="C270" s="67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67"/>
      <c r="R270" s="67"/>
      <c r="S270" s="67"/>
      <c r="T270" s="67"/>
      <c r="U270" s="116"/>
    </row>
    <row r="271">
      <c r="A271" s="72"/>
      <c r="B271" s="95"/>
      <c r="C271" s="67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67"/>
      <c r="R271" s="67"/>
      <c r="S271" s="67"/>
      <c r="T271" s="67"/>
      <c r="U271" s="116"/>
    </row>
    <row r="272">
      <c r="A272" s="72"/>
      <c r="B272" s="95"/>
      <c r="C272" s="67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67"/>
      <c r="R272" s="67"/>
      <c r="S272" s="67"/>
      <c r="T272" s="67"/>
      <c r="U272" s="116"/>
    </row>
    <row r="273">
      <c r="A273" s="72"/>
      <c r="B273" s="95"/>
      <c r="C273" s="67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67"/>
      <c r="R273" s="67"/>
      <c r="S273" s="67"/>
      <c r="T273" s="67"/>
      <c r="U273" s="116"/>
    </row>
    <row r="274">
      <c r="A274" s="72"/>
      <c r="B274" s="95"/>
      <c r="C274" s="67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67"/>
      <c r="R274" s="67"/>
      <c r="S274" s="67"/>
      <c r="T274" s="67"/>
      <c r="U274" s="116"/>
    </row>
    <row r="275">
      <c r="A275" s="72"/>
      <c r="B275" s="95"/>
      <c r="C275" s="67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67"/>
      <c r="R275" s="67"/>
      <c r="S275" s="67"/>
      <c r="T275" s="67"/>
      <c r="U275" s="116"/>
    </row>
    <row r="276">
      <c r="A276" s="72"/>
      <c r="B276" s="95"/>
      <c r="C276" s="67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67"/>
      <c r="R276" s="67"/>
      <c r="S276" s="67"/>
      <c r="T276" s="67"/>
      <c r="U276" s="116"/>
    </row>
    <row r="277">
      <c r="A277" s="72"/>
      <c r="B277" s="95"/>
      <c r="C277" s="67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67"/>
      <c r="R277" s="67"/>
      <c r="S277" s="67"/>
      <c r="T277" s="67"/>
      <c r="U277" s="116"/>
    </row>
    <row r="278">
      <c r="A278" s="72"/>
      <c r="B278" s="95"/>
      <c r="C278" s="67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67"/>
      <c r="R278" s="67"/>
      <c r="S278" s="67"/>
      <c r="T278" s="67"/>
      <c r="U278" s="116"/>
    </row>
    <row r="279">
      <c r="A279" s="72"/>
      <c r="B279" s="95"/>
      <c r="C279" s="67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67"/>
      <c r="R279" s="67"/>
      <c r="S279" s="67"/>
      <c r="T279" s="67"/>
      <c r="U279" s="116"/>
    </row>
    <row r="280">
      <c r="A280" s="72"/>
      <c r="B280" s="95"/>
      <c r="C280" s="67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67"/>
      <c r="R280" s="67"/>
      <c r="S280" s="67"/>
      <c r="T280" s="67"/>
      <c r="U280" s="116"/>
    </row>
    <row r="281">
      <c r="A281" s="72"/>
      <c r="B281" s="95"/>
      <c r="C281" s="67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67"/>
      <c r="R281" s="67"/>
      <c r="S281" s="67"/>
      <c r="T281" s="67"/>
      <c r="U281" s="116"/>
    </row>
    <row r="282">
      <c r="A282" s="72"/>
      <c r="B282" s="95"/>
      <c r="C282" s="67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67"/>
      <c r="R282" s="67"/>
      <c r="S282" s="67"/>
      <c r="T282" s="67"/>
      <c r="U282" s="116"/>
    </row>
    <row r="283">
      <c r="A283" s="72"/>
      <c r="B283" s="95"/>
      <c r="C283" s="67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67"/>
      <c r="R283" s="67"/>
      <c r="S283" s="67"/>
      <c r="T283" s="67"/>
      <c r="U283" s="116"/>
    </row>
    <row r="284">
      <c r="A284" s="72"/>
      <c r="B284" s="95"/>
      <c r="C284" s="67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67"/>
      <c r="R284" s="67"/>
      <c r="S284" s="67"/>
      <c r="T284" s="67"/>
      <c r="U284" s="116"/>
    </row>
    <row r="285">
      <c r="A285" s="72"/>
      <c r="B285" s="95"/>
      <c r="C285" s="67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67"/>
      <c r="R285" s="67"/>
      <c r="S285" s="67"/>
      <c r="T285" s="67"/>
      <c r="U285" s="116"/>
    </row>
    <row r="286">
      <c r="A286" s="72"/>
      <c r="B286" s="95"/>
      <c r="C286" s="67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67"/>
      <c r="R286" s="67"/>
      <c r="S286" s="67"/>
      <c r="T286" s="67"/>
      <c r="U286" s="116"/>
    </row>
    <row r="287">
      <c r="A287" s="72"/>
      <c r="B287" s="95"/>
      <c r="C287" s="67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67"/>
      <c r="R287" s="67"/>
      <c r="S287" s="67"/>
      <c r="T287" s="67"/>
      <c r="U287" s="116"/>
    </row>
    <row r="288">
      <c r="A288" s="72"/>
      <c r="B288" s="95"/>
      <c r="C288" s="67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67"/>
      <c r="R288" s="67"/>
      <c r="S288" s="67"/>
      <c r="T288" s="67"/>
      <c r="U288" s="116"/>
    </row>
    <row r="289">
      <c r="A289" s="72"/>
      <c r="B289" s="95"/>
      <c r="C289" s="67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67"/>
      <c r="R289" s="67"/>
      <c r="S289" s="67"/>
      <c r="T289" s="67"/>
      <c r="U289" s="116"/>
    </row>
    <row r="290">
      <c r="A290" s="72"/>
      <c r="B290" s="95"/>
      <c r="C290" s="67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67"/>
      <c r="R290" s="67"/>
      <c r="S290" s="67"/>
      <c r="T290" s="67"/>
      <c r="U290" s="116"/>
    </row>
    <row r="291">
      <c r="A291" s="72"/>
      <c r="B291" s="95"/>
      <c r="C291" s="67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67"/>
      <c r="R291" s="67"/>
      <c r="S291" s="67"/>
      <c r="T291" s="67"/>
      <c r="U291" s="116"/>
    </row>
    <row r="292">
      <c r="A292" s="72"/>
      <c r="B292" s="95"/>
      <c r="C292" s="67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67"/>
      <c r="R292" s="67"/>
      <c r="S292" s="67"/>
      <c r="T292" s="67"/>
      <c r="U292" s="116"/>
    </row>
    <row r="293">
      <c r="A293" s="72"/>
      <c r="B293" s="95"/>
      <c r="C293" s="67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67"/>
      <c r="R293" s="67"/>
      <c r="S293" s="67"/>
      <c r="T293" s="67"/>
      <c r="U293" s="116"/>
    </row>
    <row r="294">
      <c r="A294" s="72"/>
      <c r="B294" s="95"/>
      <c r="C294" s="67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67"/>
      <c r="R294" s="67"/>
      <c r="S294" s="67"/>
      <c r="T294" s="67"/>
      <c r="U294" s="116"/>
    </row>
    <row r="295">
      <c r="A295" s="72"/>
      <c r="B295" s="95"/>
      <c r="C295" s="67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67"/>
      <c r="R295" s="67"/>
      <c r="S295" s="67"/>
      <c r="T295" s="67"/>
      <c r="U295" s="116"/>
    </row>
    <row r="296">
      <c r="A296" s="72"/>
      <c r="B296" s="95"/>
      <c r="C296" s="67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67"/>
      <c r="R296" s="67"/>
      <c r="S296" s="67"/>
      <c r="T296" s="67"/>
      <c r="U296" s="116"/>
    </row>
    <row r="297">
      <c r="A297" s="72"/>
      <c r="B297" s="95"/>
      <c r="C297" s="67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67"/>
      <c r="R297" s="67"/>
      <c r="S297" s="67"/>
      <c r="T297" s="67"/>
      <c r="U297" s="116"/>
    </row>
    <row r="298">
      <c r="A298" s="72"/>
      <c r="B298" s="95"/>
      <c r="C298" s="67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67"/>
      <c r="R298" s="67"/>
      <c r="S298" s="67"/>
      <c r="T298" s="67"/>
      <c r="U298" s="116"/>
    </row>
    <row r="299">
      <c r="A299" s="72"/>
      <c r="B299" s="95"/>
      <c r="C299" s="67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67"/>
      <c r="R299" s="67"/>
      <c r="S299" s="67"/>
      <c r="T299" s="67"/>
      <c r="U299" s="116"/>
    </row>
    <row r="300">
      <c r="A300" s="72"/>
      <c r="B300" s="95"/>
      <c r="C300" s="67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67"/>
      <c r="R300" s="67"/>
      <c r="S300" s="67"/>
      <c r="T300" s="67"/>
      <c r="U300" s="116"/>
    </row>
    <row r="301">
      <c r="A301" s="72"/>
      <c r="B301" s="95"/>
      <c r="C301" s="67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67"/>
      <c r="R301" s="67"/>
      <c r="S301" s="67"/>
      <c r="T301" s="67"/>
      <c r="U301" s="116"/>
    </row>
    <row r="302">
      <c r="A302" s="72"/>
      <c r="B302" s="95"/>
      <c r="C302" s="67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67"/>
      <c r="R302" s="67"/>
      <c r="S302" s="67"/>
      <c r="T302" s="67"/>
      <c r="U302" s="116"/>
    </row>
    <row r="303">
      <c r="A303" s="72"/>
      <c r="B303" s="95"/>
      <c r="C303" s="67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67"/>
      <c r="R303" s="67"/>
      <c r="S303" s="67"/>
      <c r="T303" s="67"/>
      <c r="U303" s="116"/>
    </row>
    <row r="304">
      <c r="A304" s="72"/>
      <c r="B304" s="95"/>
      <c r="C304" s="67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67"/>
      <c r="R304" s="67"/>
      <c r="S304" s="67"/>
      <c r="T304" s="67"/>
      <c r="U304" s="116"/>
    </row>
    <row r="305">
      <c r="A305" s="72"/>
      <c r="B305" s="95"/>
      <c r="C305" s="67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67"/>
      <c r="R305" s="67"/>
      <c r="S305" s="67"/>
      <c r="T305" s="67"/>
      <c r="U305" s="116"/>
    </row>
    <row r="306">
      <c r="A306" s="72"/>
      <c r="B306" s="95"/>
      <c r="C306" s="67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67"/>
      <c r="R306" s="67"/>
      <c r="S306" s="67"/>
      <c r="T306" s="67"/>
      <c r="U306" s="116"/>
    </row>
    <row r="307">
      <c r="A307" s="72"/>
      <c r="B307" s="95"/>
      <c r="C307" s="67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67"/>
      <c r="R307" s="67"/>
      <c r="S307" s="67"/>
      <c r="T307" s="67"/>
      <c r="U307" s="116"/>
    </row>
    <row r="308">
      <c r="A308" s="72"/>
      <c r="B308" s="95"/>
      <c r="C308" s="67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67"/>
      <c r="R308" s="67"/>
      <c r="S308" s="67"/>
      <c r="T308" s="67"/>
      <c r="U308" s="116"/>
    </row>
    <row r="309">
      <c r="A309" s="72"/>
      <c r="B309" s="95"/>
      <c r="C309" s="67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67"/>
      <c r="R309" s="67"/>
      <c r="S309" s="67"/>
      <c r="T309" s="67"/>
      <c r="U309" s="116"/>
    </row>
    <row r="310">
      <c r="A310" s="72"/>
      <c r="B310" s="95"/>
      <c r="C310" s="67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67"/>
      <c r="R310" s="67"/>
      <c r="S310" s="67"/>
      <c r="T310" s="67"/>
      <c r="U310" s="116"/>
    </row>
    <row r="311">
      <c r="A311" s="72"/>
      <c r="B311" s="95"/>
      <c r="C311" s="67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67"/>
      <c r="R311" s="67"/>
      <c r="S311" s="67"/>
      <c r="T311" s="67"/>
      <c r="U311" s="116"/>
    </row>
    <row r="312">
      <c r="A312" s="72"/>
      <c r="B312" s="95"/>
      <c r="C312" s="67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67"/>
      <c r="R312" s="67"/>
      <c r="S312" s="67"/>
      <c r="T312" s="67"/>
      <c r="U312" s="116"/>
    </row>
    <row r="313">
      <c r="A313" s="72"/>
      <c r="B313" s="95"/>
      <c r="C313" s="67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67"/>
      <c r="R313" s="67"/>
      <c r="S313" s="67"/>
      <c r="T313" s="67"/>
      <c r="U313" s="116"/>
    </row>
    <row r="314">
      <c r="A314" s="72"/>
      <c r="B314" s="95"/>
      <c r="C314" s="67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67"/>
      <c r="R314" s="67"/>
      <c r="S314" s="67"/>
      <c r="T314" s="67"/>
      <c r="U314" s="116"/>
    </row>
    <row r="315">
      <c r="A315" s="72"/>
      <c r="B315" s="95"/>
      <c r="C315" s="67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67"/>
      <c r="R315" s="67"/>
      <c r="S315" s="67"/>
      <c r="T315" s="67"/>
      <c r="U315" s="116"/>
    </row>
    <row r="316">
      <c r="A316" s="72"/>
      <c r="B316" s="95"/>
      <c r="C316" s="67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67"/>
      <c r="R316" s="67"/>
      <c r="S316" s="67"/>
      <c r="T316" s="67"/>
      <c r="U316" s="116"/>
    </row>
    <row r="317">
      <c r="A317" s="72"/>
      <c r="B317" s="95"/>
      <c r="C317" s="67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67"/>
      <c r="R317" s="67"/>
      <c r="S317" s="67"/>
      <c r="T317" s="67"/>
      <c r="U317" s="116"/>
    </row>
    <row r="318">
      <c r="A318" s="72"/>
      <c r="B318" s="95"/>
      <c r="C318" s="67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67"/>
      <c r="R318" s="67"/>
      <c r="S318" s="67"/>
      <c r="T318" s="67"/>
      <c r="U318" s="116"/>
    </row>
    <row r="319">
      <c r="A319" s="72"/>
      <c r="B319" s="95"/>
      <c r="C319" s="67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67"/>
      <c r="R319" s="67"/>
      <c r="S319" s="67"/>
      <c r="T319" s="67"/>
      <c r="U319" s="116"/>
    </row>
    <row r="320">
      <c r="A320" s="72"/>
      <c r="B320" s="95"/>
      <c r="C320" s="67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67"/>
      <c r="R320" s="67"/>
      <c r="S320" s="67"/>
      <c r="T320" s="67"/>
      <c r="U320" s="116"/>
    </row>
    <row r="321">
      <c r="A321" s="72"/>
      <c r="B321" s="95"/>
      <c r="C321" s="67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67"/>
      <c r="R321" s="67"/>
      <c r="S321" s="67"/>
      <c r="T321" s="67"/>
      <c r="U321" s="116"/>
    </row>
    <row r="322">
      <c r="A322" s="72"/>
      <c r="B322" s="95"/>
      <c r="C322" s="67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67"/>
      <c r="R322" s="67"/>
      <c r="S322" s="67"/>
      <c r="T322" s="67"/>
      <c r="U322" s="116"/>
    </row>
    <row r="323">
      <c r="A323" s="72"/>
      <c r="B323" s="95"/>
      <c r="C323" s="67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67"/>
      <c r="R323" s="67"/>
      <c r="S323" s="67"/>
      <c r="T323" s="67"/>
      <c r="U323" s="116"/>
    </row>
    <row r="324">
      <c r="A324" s="72"/>
      <c r="B324" s="95"/>
      <c r="C324" s="67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67"/>
      <c r="R324" s="67"/>
      <c r="S324" s="67"/>
      <c r="T324" s="67"/>
      <c r="U324" s="116"/>
    </row>
    <row r="325">
      <c r="A325" s="72"/>
      <c r="B325" s="95"/>
      <c r="C325" s="67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67"/>
      <c r="R325" s="67"/>
      <c r="S325" s="67"/>
      <c r="T325" s="67"/>
      <c r="U325" s="116"/>
    </row>
    <row r="326">
      <c r="A326" s="72"/>
      <c r="B326" s="95"/>
      <c r="C326" s="67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67"/>
      <c r="R326" s="67"/>
      <c r="S326" s="67"/>
      <c r="T326" s="67"/>
      <c r="U326" s="116"/>
    </row>
    <row r="327">
      <c r="A327" s="72"/>
      <c r="B327" s="95"/>
      <c r="C327" s="67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67"/>
      <c r="R327" s="67"/>
      <c r="S327" s="67"/>
      <c r="T327" s="67"/>
      <c r="U327" s="116"/>
    </row>
    <row r="328">
      <c r="A328" s="72"/>
      <c r="B328" s="95"/>
      <c r="C328" s="67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67"/>
      <c r="R328" s="67"/>
      <c r="S328" s="67"/>
      <c r="T328" s="67"/>
      <c r="U328" s="116"/>
    </row>
    <row r="329">
      <c r="A329" s="72"/>
      <c r="B329" s="95"/>
      <c r="C329" s="67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67"/>
      <c r="R329" s="67"/>
      <c r="S329" s="67"/>
      <c r="T329" s="67"/>
      <c r="U329" s="116"/>
    </row>
    <row r="330">
      <c r="A330" s="72"/>
      <c r="B330" s="95"/>
      <c r="C330" s="67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67"/>
      <c r="R330" s="67"/>
      <c r="S330" s="67"/>
      <c r="T330" s="67"/>
      <c r="U330" s="116"/>
    </row>
    <row r="331">
      <c r="A331" s="72"/>
      <c r="B331" s="95"/>
      <c r="C331" s="67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67"/>
      <c r="R331" s="67"/>
      <c r="S331" s="67"/>
      <c r="T331" s="67"/>
      <c r="U331" s="116"/>
    </row>
    <row r="332">
      <c r="A332" s="72"/>
      <c r="B332" s="95"/>
      <c r="C332" s="67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67"/>
      <c r="R332" s="67"/>
      <c r="S332" s="67"/>
      <c r="T332" s="67"/>
      <c r="U332" s="116"/>
    </row>
    <row r="333">
      <c r="A333" s="72"/>
      <c r="B333" s="95"/>
      <c r="C333" s="67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67"/>
      <c r="R333" s="67"/>
      <c r="S333" s="67"/>
      <c r="T333" s="67"/>
      <c r="U333" s="116"/>
    </row>
    <row r="334">
      <c r="A334" s="72"/>
      <c r="B334" s="95"/>
      <c r="C334" s="67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67"/>
      <c r="R334" s="67"/>
      <c r="S334" s="67"/>
      <c r="T334" s="67"/>
      <c r="U334" s="116"/>
    </row>
    <row r="335">
      <c r="A335" s="72"/>
      <c r="B335" s="95"/>
      <c r="C335" s="67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67"/>
      <c r="R335" s="67"/>
      <c r="S335" s="67"/>
      <c r="T335" s="67"/>
      <c r="U335" s="116"/>
    </row>
    <row r="336">
      <c r="A336" s="72"/>
      <c r="B336" s="95"/>
      <c r="C336" s="67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67"/>
      <c r="R336" s="67"/>
      <c r="S336" s="67"/>
      <c r="T336" s="67"/>
      <c r="U336" s="116"/>
    </row>
    <row r="337">
      <c r="A337" s="72"/>
      <c r="B337" s="95"/>
      <c r="C337" s="67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67"/>
      <c r="R337" s="67"/>
      <c r="S337" s="67"/>
      <c r="T337" s="67"/>
      <c r="U337" s="116"/>
    </row>
    <row r="338">
      <c r="A338" s="72"/>
      <c r="B338" s="95"/>
      <c r="C338" s="67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67"/>
      <c r="R338" s="67"/>
      <c r="S338" s="67"/>
      <c r="T338" s="67"/>
      <c r="U338" s="116"/>
    </row>
    <row r="339">
      <c r="A339" s="72"/>
      <c r="B339" s="95"/>
      <c r="C339" s="67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67"/>
      <c r="R339" s="67"/>
      <c r="S339" s="67"/>
      <c r="T339" s="67"/>
      <c r="U339" s="116"/>
    </row>
    <row r="340">
      <c r="A340" s="72"/>
      <c r="B340" s="95"/>
      <c r="C340" s="67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67"/>
      <c r="R340" s="67"/>
      <c r="S340" s="67"/>
      <c r="T340" s="67"/>
      <c r="U340" s="116"/>
    </row>
    <row r="341">
      <c r="A341" s="72"/>
      <c r="B341" s="95"/>
      <c r="C341" s="67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67"/>
      <c r="R341" s="67"/>
      <c r="S341" s="67"/>
      <c r="T341" s="67"/>
      <c r="U341" s="116"/>
    </row>
    <row r="342">
      <c r="A342" s="72"/>
      <c r="B342" s="95"/>
      <c r="C342" s="67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67"/>
      <c r="R342" s="67"/>
      <c r="S342" s="67"/>
      <c r="T342" s="67"/>
      <c r="U342" s="116"/>
    </row>
    <row r="343">
      <c r="A343" s="72"/>
      <c r="B343" s="95"/>
      <c r="C343" s="67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67"/>
      <c r="R343" s="67"/>
      <c r="S343" s="67"/>
      <c r="T343" s="67"/>
      <c r="U343" s="116"/>
    </row>
    <row r="344">
      <c r="A344" s="72"/>
      <c r="B344" s="95"/>
      <c r="C344" s="67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67"/>
      <c r="R344" s="67"/>
      <c r="S344" s="67"/>
      <c r="T344" s="67"/>
      <c r="U344" s="116"/>
    </row>
    <row r="345">
      <c r="A345" s="72"/>
      <c r="B345" s="95"/>
      <c r="C345" s="67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67"/>
      <c r="R345" s="67"/>
      <c r="S345" s="67"/>
      <c r="T345" s="67"/>
      <c r="U345" s="116"/>
    </row>
    <row r="346">
      <c r="A346" s="72"/>
      <c r="B346" s="95"/>
      <c r="C346" s="67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67"/>
      <c r="R346" s="67"/>
      <c r="S346" s="67"/>
      <c r="T346" s="67"/>
      <c r="U346" s="116"/>
    </row>
    <row r="347">
      <c r="A347" s="72"/>
      <c r="B347" s="95"/>
      <c r="C347" s="67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67"/>
      <c r="R347" s="67"/>
      <c r="S347" s="67"/>
      <c r="T347" s="67"/>
      <c r="U347" s="116"/>
    </row>
    <row r="348">
      <c r="A348" s="72"/>
      <c r="B348" s="95"/>
      <c r="C348" s="67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67"/>
      <c r="R348" s="67"/>
      <c r="S348" s="67"/>
      <c r="T348" s="67"/>
      <c r="U348" s="116"/>
    </row>
    <row r="349">
      <c r="A349" s="72"/>
      <c r="B349" s="95"/>
      <c r="C349" s="67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67"/>
      <c r="R349" s="67"/>
      <c r="S349" s="67"/>
      <c r="T349" s="67"/>
      <c r="U349" s="116"/>
    </row>
    <row r="350">
      <c r="A350" s="72"/>
      <c r="B350" s="95"/>
      <c r="C350" s="67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67"/>
      <c r="R350" s="67"/>
      <c r="S350" s="67"/>
      <c r="T350" s="67"/>
      <c r="U350" s="116"/>
    </row>
    <row r="351">
      <c r="A351" s="72"/>
      <c r="B351" s="95"/>
      <c r="C351" s="67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67"/>
      <c r="R351" s="67"/>
      <c r="S351" s="67"/>
      <c r="T351" s="67"/>
      <c r="U351" s="116"/>
    </row>
    <row r="352">
      <c r="A352" s="72"/>
      <c r="B352" s="95"/>
      <c r="C352" s="67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67"/>
      <c r="R352" s="67"/>
      <c r="S352" s="67"/>
      <c r="T352" s="67"/>
      <c r="U352" s="116"/>
    </row>
    <row r="353">
      <c r="A353" s="72"/>
      <c r="B353" s="95"/>
      <c r="C353" s="67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67"/>
      <c r="R353" s="67"/>
      <c r="S353" s="67"/>
      <c r="T353" s="67"/>
      <c r="U353" s="116"/>
    </row>
    <row r="354">
      <c r="A354" s="72"/>
      <c r="B354" s="95"/>
      <c r="C354" s="67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67"/>
      <c r="R354" s="67"/>
      <c r="S354" s="67"/>
      <c r="T354" s="67"/>
      <c r="U354" s="116"/>
    </row>
    <row r="355">
      <c r="A355" s="72"/>
      <c r="B355" s="95"/>
      <c r="C355" s="67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67"/>
      <c r="R355" s="67"/>
      <c r="S355" s="67"/>
      <c r="T355" s="67"/>
      <c r="U355" s="116"/>
    </row>
    <row r="356">
      <c r="A356" s="72"/>
      <c r="B356" s="95"/>
      <c r="C356" s="67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67"/>
      <c r="R356" s="67"/>
      <c r="S356" s="67"/>
      <c r="T356" s="67"/>
      <c r="U356" s="116"/>
    </row>
    <row r="357">
      <c r="A357" s="72"/>
      <c r="B357" s="95"/>
      <c r="C357" s="67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67"/>
      <c r="R357" s="67"/>
      <c r="S357" s="67"/>
      <c r="T357" s="67"/>
      <c r="U357" s="116"/>
    </row>
    <row r="358">
      <c r="A358" s="72"/>
      <c r="B358" s="95"/>
      <c r="C358" s="67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67"/>
      <c r="R358" s="67"/>
      <c r="S358" s="67"/>
      <c r="T358" s="67"/>
      <c r="U358" s="116"/>
    </row>
    <row r="359">
      <c r="A359" s="72"/>
      <c r="B359" s="95"/>
      <c r="C359" s="67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67"/>
      <c r="R359" s="67"/>
      <c r="S359" s="67"/>
      <c r="T359" s="67"/>
      <c r="U359" s="116"/>
    </row>
    <row r="360">
      <c r="A360" s="72"/>
      <c r="B360" s="95"/>
      <c r="C360" s="67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67"/>
      <c r="R360" s="67"/>
      <c r="S360" s="67"/>
      <c r="T360" s="67"/>
      <c r="U360" s="116"/>
    </row>
    <row r="361">
      <c r="A361" s="72"/>
      <c r="B361" s="95"/>
      <c r="C361" s="67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67"/>
      <c r="R361" s="67"/>
      <c r="S361" s="67"/>
      <c r="T361" s="67"/>
      <c r="U361" s="116"/>
    </row>
    <row r="362">
      <c r="A362" s="72"/>
      <c r="B362" s="95"/>
      <c r="C362" s="67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67"/>
      <c r="R362" s="67"/>
      <c r="S362" s="67"/>
      <c r="T362" s="67"/>
      <c r="U362" s="116"/>
    </row>
    <row r="363">
      <c r="A363" s="72"/>
      <c r="B363" s="95"/>
      <c r="C363" s="67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67"/>
      <c r="R363" s="67"/>
      <c r="S363" s="67"/>
      <c r="T363" s="67"/>
      <c r="U363" s="116"/>
    </row>
    <row r="364">
      <c r="A364" s="72"/>
      <c r="B364" s="95"/>
      <c r="C364" s="67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67"/>
      <c r="R364" s="67"/>
      <c r="S364" s="67"/>
      <c r="T364" s="67"/>
      <c r="U364" s="116"/>
    </row>
    <row r="365">
      <c r="A365" s="72"/>
      <c r="B365" s="95"/>
      <c r="C365" s="67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67"/>
      <c r="R365" s="67"/>
      <c r="S365" s="67"/>
      <c r="T365" s="67"/>
      <c r="U365" s="116"/>
    </row>
    <row r="366">
      <c r="A366" s="72"/>
      <c r="B366" s="95"/>
      <c r="C366" s="67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67"/>
      <c r="R366" s="67"/>
      <c r="S366" s="67"/>
      <c r="T366" s="67"/>
      <c r="U366" s="116"/>
    </row>
    <row r="367">
      <c r="A367" s="72"/>
      <c r="B367" s="95"/>
      <c r="C367" s="67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67"/>
      <c r="R367" s="67"/>
      <c r="S367" s="67"/>
      <c r="T367" s="67"/>
      <c r="U367" s="116"/>
    </row>
    <row r="368">
      <c r="A368" s="72"/>
      <c r="B368" s="95"/>
      <c r="C368" s="67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67"/>
      <c r="R368" s="67"/>
      <c r="S368" s="67"/>
      <c r="T368" s="67"/>
      <c r="U368" s="116"/>
    </row>
    <row r="369">
      <c r="A369" s="72"/>
      <c r="B369" s="95"/>
      <c r="C369" s="67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67"/>
      <c r="R369" s="67"/>
      <c r="S369" s="67"/>
      <c r="T369" s="67"/>
      <c r="U369" s="116"/>
    </row>
    <row r="370">
      <c r="A370" s="72"/>
      <c r="B370" s="95"/>
      <c r="C370" s="67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67"/>
      <c r="R370" s="67"/>
      <c r="S370" s="67"/>
      <c r="T370" s="67"/>
      <c r="U370" s="116"/>
    </row>
    <row r="371">
      <c r="A371" s="72"/>
      <c r="B371" s="95"/>
      <c r="C371" s="67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67"/>
      <c r="R371" s="67"/>
      <c r="S371" s="67"/>
      <c r="T371" s="67"/>
      <c r="U371" s="116"/>
    </row>
    <row r="372">
      <c r="A372" s="72"/>
      <c r="B372" s="95"/>
      <c r="C372" s="67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67"/>
      <c r="R372" s="67"/>
      <c r="S372" s="67"/>
      <c r="T372" s="67"/>
      <c r="U372" s="116"/>
    </row>
    <row r="373">
      <c r="A373" s="72"/>
      <c r="B373" s="95"/>
      <c r="C373" s="67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67"/>
      <c r="R373" s="67"/>
      <c r="S373" s="67"/>
      <c r="T373" s="67"/>
      <c r="U373" s="116"/>
    </row>
    <row r="374">
      <c r="A374" s="72"/>
      <c r="B374" s="95"/>
      <c r="C374" s="67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67"/>
      <c r="R374" s="67"/>
      <c r="S374" s="67"/>
      <c r="T374" s="67"/>
      <c r="U374" s="116"/>
    </row>
    <row r="375">
      <c r="A375" s="72"/>
      <c r="B375" s="95"/>
      <c r="C375" s="67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67"/>
      <c r="R375" s="67"/>
      <c r="S375" s="67"/>
      <c r="T375" s="67"/>
      <c r="U375" s="116"/>
    </row>
    <row r="376">
      <c r="A376" s="72"/>
      <c r="B376" s="95"/>
      <c r="C376" s="67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67"/>
      <c r="R376" s="67"/>
      <c r="S376" s="67"/>
      <c r="T376" s="67"/>
      <c r="U376" s="116"/>
    </row>
    <row r="377">
      <c r="A377" s="72"/>
      <c r="B377" s="95"/>
      <c r="C377" s="67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67"/>
      <c r="R377" s="67"/>
      <c r="S377" s="67"/>
      <c r="T377" s="67"/>
      <c r="U377" s="116"/>
    </row>
    <row r="378">
      <c r="A378" s="72"/>
      <c r="B378" s="95"/>
      <c r="C378" s="67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67"/>
      <c r="R378" s="67"/>
      <c r="S378" s="67"/>
      <c r="T378" s="67"/>
      <c r="U378" s="116"/>
    </row>
    <row r="379">
      <c r="A379" s="72"/>
      <c r="B379" s="95"/>
      <c r="C379" s="67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67"/>
      <c r="R379" s="67"/>
      <c r="S379" s="67"/>
      <c r="T379" s="67"/>
      <c r="U379" s="116"/>
    </row>
    <row r="380">
      <c r="A380" s="72"/>
      <c r="B380" s="95"/>
      <c r="C380" s="67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67"/>
      <c r="R380" s="67"/>
      <c r="S380" s="67"/>
      <c r="T380" s="67"/>
      <c r="U380" s="116"/>
    </row>
    <row r="381">
      <c r="A381" s="72"/>
      <c r="B381" s="95"/>
      <c r="C381" s="67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67"/>
      <c r="R381" s="67"/>
      <c r="S381" s="67"/>
      <c r="T381" s="67"/>
      <c r="U381" s="116"/>
    </row>
    <row r="382">
      <c r="A382" s="72"/>
      <c r="B382" s="95"/>
      <c r="C382" s="67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67"/>
      <c r="R382" s="67"/>
      <c r="S382" s="67"/>
      <c r="T382" s="67"/>
      <c r="U382" s="116"/>
    </row>
    <row r="383">
      <c r="A383" s="72"/>
      <c r="B383" s="95"/>
      <c r="C383" s="67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67"/>
      <c r="R383" s="67"/>
      <c r="S383" s="67"/>
      <c r="T383" s="67"/>
      <c r="U383" s="116"/>
    </row>
    <row r="384">
      <c r="A384" s="72"/>
      <c r="B384" s="95"/>
      <c r="C384" s="67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67"/>
      <c r="R384" s="67"/>
      <c r="S384" s="67"/>
      <c r="T384" s="67"/>
      <c r="U384" s="116"/>
    </row>
    <row r="385">
      <c r="A385" s="72"/>
      <c r="B385" s="95"/>
      <c r="C385" s="67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67"/>
      <c r="R385" s="67"/>
      <c r="S385" s="67"/>
      <c r="T385" s="67"/>
      <c r="U385" s="116"/>
    </row>
    <row r="386">
      <c r="A386" s="72"/>
      <c r="B386" s="95"/>
      <c r="C386" s="67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67"/>
      <c r="R386" s="67"/>
      <c r="S386" s="67"/>
      <c r="T386" s="67"/>
      <c r="U386" s="116"/>
    </row>
    <row r="387">
      <c r="A387" s="72"/>
      <c r="B387" s="95"/>
      <c r="C387" s="67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67"/>
      <c r="R387" s="67"/>
      <c r="S387" s="67"/>
      <c r="T387" s="67"/>
      <c r="U387" s="116"/>
    </row>
    <row r="388">
      <c r="A388" s="72"/>
      <c r="B388" s="95"/>
      <c r="C388" s="67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67"/>
      <c r="R388" s="67"/>
      <c r="S388" s="67"/>
      <c r="T388" s="67"/>
      <c r="U388" s="116"/>
    </row>
    <row r="389">
      <c r="A389" s="72"/>
      <c r="B389" s="95"/>
      <c r="C389" s="67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67"/>
      <c r="R389" s="67"/>
      <c r="S389" s="67"/>
      <c r="T389" s="67"/>
      <c r="U389" s="116"/>
    </row>
    <row r="390">
      <c r="A390" s="72"/>
      <c r="B390" s="95"/>
      <c r="C390" s="67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67"/>
      <c r="R390" s="67"/>
      <c r="S390" s="67"/>
      <c r="T390" s="67"/>
      <c r="U390" s="116"/>
    </row>
    <row r="391">
      <c r="A391" s="72"/>
      <c r="B391" s="95"/>
      <c r="C391" s="67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67"/>
      <c r="R391" s="67"/>
      <c r="S391" s="67"/>
      <c r="T391" s="67"/>
      <c r="U391" s="116"/>
    </row>
    <row r="392">
      <c r="A392" s="72"/>
      <c r="B392" s="95"/>
      <c r="C392" s="67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67"/>
      <c r="R392" s="67"/>
      <c r="S392" s="67"/>
      <c r="T392" s="67"/>
      <c r="U392" s="116"/>
    </row>
    <row r="393">
      <c r="A393" s="72"/>
      <c r="B393" s="95"/>
      <c r="C393" s="67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67"/>
      <c r="R393" s="67"/>
      <c r="S393" s="67"/>
      <c r="T393" s="67"/>
      <c r="U393" s="116"/>
    </row>
    <row r="394">
      <c r="A394" s="72"/>
      <c r="B394" s="95"/>
      <c r="C394" s="67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67"/>
      <c r="R394" s="67"/>
      <c r="S394" s="67"/>
      <c r="T394" s="67"/>
      <c r="U394" s="116"/>
    </row>
    <row r="395">
      <c r="A395" s="72"/>
      <c r="B395" s="95"/>
      <c r="C395" s="67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67"/>
      <c r="R395" s="67"/>
      <c r="S395" s="67"/>
      <c r="T395" s="67"/>
      <c r="U395" s="116"/>
    </row>
    <row r="396">
      <c r="A396" s="72"/>
      <c r="B396" s="95"/>
      <c r="C396" s="67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67"/>
      <c r="R396" s="67"/>
      <c r="S396" s="67"/>
      <c r="T396" s="67"/>
      <c r="U396" s="116"/>
    </row>
    <row r="397">
      <c r="A397" s="72"/>
      <c r="B397" s="95"/>
      <c r="C397" s="67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67"/>
      <c r="R397" s="67"/>
      <c r="S397" s="67"/>
      <c r="T397" s="67"/>
      <c r="U397" s="116"/>
    </row>
    <row r="398">
      <c r="A398" s="72"/>
      <c r="B398" s="95"/>
      <c r="C398" s="67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67"/>
      <c r="R398" s="67"/>
      <c r="S398" s="67"/>
      <c r="T398" s="67"/>
      <c r="U398" s="116"/>
    </row>
    <row r="399">
      <c r="A399" s="72"/>
      <c r="B399" s="95"/>
      <c r="C399" s="67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67"/>
      <c r="R399" s="67"/>
      <c r="S399" s="67"/>
      <c r="T399" s="67"/>
      <c r="U399" s="116"/>
    </row>
    <row r="400">
      <c r="A400" s="72"/>
      <c r="B400" s="95"/>
      <c r="C400" s="67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67"/>
      <c r="R400" s="67"/>
      <c r="S400" s="67"/>
      <c r="T400" s="67"/>
      <c r="U400" s="116"/>
    </row>
    <row r="401">
      <c r="A401" s="72"/>
      <c r="B401" s="95"/>
      <c r="C401" s="67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67"/>
      <c r="R401" s="67"/>
      <c r="S401" s="67"/>
      <c r="T401" s="67"/>
      <c r="U401" s="116"/>
    </row>
    <row r="402">
      <c r="A402" s="72"/>
      <c r="B402" s="95"/>
      <c r="C402" s="67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67"/>
      <c r="R402" s="67"/>
      <c r="S402" s="67"/>
      <c r="T402" s="67"/>
      <c r="U402" s="116"/>
    </row>
    <row r="403">
      <c r="A403" s="72"/>
      <c r="B403" s="95"/>
      <c r="C403" s="67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67"/>
      <c r="R403" s="67"/>
      <c r="S403" s="67"/>
      <c r="T403" s="67"/>
      <c r="U403" s="116"/>
    </row>
    <row r="404">
      <c r="A404" s="72"/>
      <c r="B404" s="95"/>
      <c r="C404" s="67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67"/>
      <c r="R404" s="67"/>
      <c r="S404" s="67"/>
      <c r="T404" s="67"/>
      <c r="U404" s="116"/>
    </row>
    <row r="405">
      <c r="A405" s="72"/>
      <c r="B405" s="95"/>
      <c r="C405" s="67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67"/>
      <c r="R405" s="67"/>
      <c r="S405" s="67"/>
      <c r="T405" s="67"/>
      <c r="U405" s="116"/>
    </row>
    <row r="406">
      <c r="A406" s="72"/>
      <c r="B406" s="95"/>
      <c r="C406" s="67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67"/>
      <c r="R406" s="67"/>
      <c r="S406" s="67"/>
      <c r="T406" s="67"/>
      <c r="U406" s="116"/>
    </row>
    <row r="407">
      <c r="A407" s="72"/>
      <c r="B407" s="95"/>
      <c r="C407" s="67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67"/>
      <c r="R407" s="67"/>
      <c r="S407" s="67"/>
      <c r="T407" s="67"/>
      <c r="U407" s="116"/>
    </row>
    <row r="408">
      <c r="A408" s="72"/>
      <c r="B408" s="95"/>
      <c r="C408" s="67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67"/>
      <c r="R408" s="67"/>
      <c r="S408" s="67"/>
      <c r="T408" s="67"/>
      <c r="U408" s="116"/>
    </row>
    <row r="409">
      <c r="A409" s="72"/>
      <c r="B409" s="95"/>
      <c r="C409" s="67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67"/>
      <c r="R409" s="67"/>
      <c r="S409" s="67"/>
      <c r="T409" s="67"/>
      <c r="U409" s="116"/>
    </row>
    <row r="410">
      <c r="A410" s="72"/>
      <c r="B410" s="95"/>
      <c r="C410" s="67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67"/>
      <c r="R410" s="67"/>
      <c r="S410" s="67"/>
      <c r="T410" s="67"/>
      <c r="U410" s="116"/>
    </row>
    <row r="411">
      <c r="A411" s="72"/>
      <c r="B411" s="95"/>
      <c r="C411" s="67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67"/>
      <c r="R411" s="67"/>
      <c r="S411" s="67"/>
      <c r="T411" s="67"/>
      <c r="U411" s="116"/>
    </row>
    <row r="412">
      <c r="A412" s="72"/>
      <c r="B412" s="95"/>
      <c r="C412" s="67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67"/>
      <c r="R412" s="67"/>
      <c r="S412" s="67"/>
      <c r="T412" s="67"/>
      <c r="U412" s="116"/>
    </row>
    <row r="413">
      <c r="A413" s="72"/>
      <c r="B413" s="95"/>
      <c r="C413" s="67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67"/>
      <c r="R413" s="67"/>
      <c r="S413" s="67"/>
      <c r="T413" s="67"/>
      <c r="U413" s="116"/>
    </row>
    <row r="414">
      <c r="A414" s="72"/>
      <c r="B414" s="95"/>
      <c r="C414" s="67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67"/>
      <c r="R414" s="67"/>
      <c r="S414" s="67"/>
      <c r="T414" s="67"/>
      <c r="U414" s="116"/>
    </row>
    <row r="415">
      <c r="A415" s="72"/>
      <c r="B415" s="95"/>
      <c r="C415" s="67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67"/>
      <c r="R415" s="67"/>
      <c r="S415" s="67"/>
      <c r="T415" s="67"/>
      <c r="U415" s="116"/>
    </row>
    <row r="416">
      <c r="A416" s="72"/>
      <c r="B416" s="95"/>
      <c r="C416" s="67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67"/>
      <c r="R416" s="67"/>
      <c r="S416" s="67"/>
      <c r="T416" s="67"/>
      <c r="U416" s="116"/>
    </row>
    <row r="417">
      <c r="A417" s="72"/>
      <c r="B417" s="95"/>
      <c r="C417" s="67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67"/>
      <c r="R417" s="67"/>
      <c r="S417" s="67"/>
      <c r="T417" s="67"/>
      <c r="U417" s="116"/>
    </row>
    <row r="418">
      <c r="A418" s="72"/>
      <c r="B418" s="95"/>
      <c r="C418" s="67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67"/>
      <c r="R418" s="67"/>
      <c r="S418" s="67"/>
      <c r="T418" s="67"/>
      <c r="U418" s="116"/>
    </row>
    <row r="419">
      <c r="A419" s="72"/>
      <c r="B419" s="95"/>
      <c r="C419" s="67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67"/>
      <c r="R419" s="67"/>
      <c r="S419" s="67"/>
      <c r="T419" s="67"/>
      <c r="U419" s="116"/>
    </row>
    <row r="420">
      <c r="A420" s="72"/>
      <c r="B420" s="95"/>
      <c r="C420" s="67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67"/>
      <c r="R420" s="67"/>
      <c r="S420" s="67"/>
      <c r="T420" s="67"/>
      <c r="U420" s="116"/>
    </row>
    <row r="421">
      <c r="A421" s="72"/>
      <c r="B421" s="95"/>
      <c r="C421" s="67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67"/>
      <c r="R421" s="67"/>
      <c r="S421" s="67"/>
      <c r="T421" s="67"/>
      <c r="U421" s="116"/>
    </row>
    <row r="422">
      <c r="A422" s="72"/>
      <c r="B422" s="95"/>
      <c r="C422" s="67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67"/>
      <c r="R422" s="67"/>
      <c r="S422" s="67"/>
      <c r="T422" s="67"/>
      <c r="U422" s="116"/>
    </row>
    <row r="423">
      <c r="A423" s="72"/>
      <c r="B423" s="95"/>
      <c r="C423" s="67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67"/>
      <c r="R423" s="67"/>
      <c r="S423" s="67"/>
      <c r="T423" s="67"/>
      <c r="U423" s="116"/>
    </row>
    <row r="424">
      <c r="A424" s="72"/>
      <c r="B424" s="95"/>
      <c r="C424" s="67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67"/>
      <c r="R424" s="67"/>
      <c r="S424" s="67"/>
      <c r="T424" s="67"/>
      <c r="U424" s="116"/>
    </row>
    <row r="425">
      <c r="A425" s="72"/>
      <c r="B425" s="95"/>
      <c r="C425" s="67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67"/>
      <c r="R425" s="67"/>
      <c r="S425" s="67"/>
      <c r="T425" s="67"/>
      <c r="U425" s="116"/>
    </row>
    <row r="426">
      <c r="A426" s="72"/>
      <c r="B426" s="95"/>
      <c r="C426" s="67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67"/>
      <c r="R426" s="67"/>
      <c r="S426" s="67"/>
      <c r="T426" s="67"/>
      <c r="U426" s="116"/>
    </row>
    <row r="427">
      <c r="A427" s="72"/>
      <c r="B427" s="95"/>
      <c r="C427" s="67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67"/>
      <c r="R427" s="67"/>
      <c r="S427" s="67"/>
      <c r="T427" s="67"/>
      <c r="U427" s="116"/>
    </row>
    <row r="428">
      <c r="A428" s="72"/>
      <c r="B428" s="95"/>
      <c r="C428" s="67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67"/>
      <c r="R428" s="67"/>
      <c r="S428" s="67"/>
      <c r="T428" s="67"/>
      <c r="U428" s="116"/>
    </row>
    <row r="429">
      <c r="A429" s="72"/>
      <c r="B429" s="95"/>
      <c r="C429" s="67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67"/>
      <c r="R429" s="67"/>
      <c r="S429" s="67"/>
      <c r="T429" s="67"/>
      <c r="U429" s="116"/>
    </row>
    <row r="430">
      <c r="A430" s="72"/>
      <c r="B430" s="95"/>
      <c r="C430" s="67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67"/>
      <c r="R430" s="67"/>
      <c r="S430" s="67"/>
      <c r="T430" s="67"/>
      <c r="U430" s="116"/>
    </row>
    <row r="431">
      <c r="A431" s="72"/>
      <c r="B431" s="95"/>
      <c r="C431" s="67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67"/>
      <c r="R431" s="67"/>
      <c r="S431" s="67"/>
      <c r="T431" s="67"/>
      <c r="U431" s="116"/>
    </row>
    <row r="432">
      <c r="A432" s="72"/>
      <c r="B432" s="95"/>
      <c r="C432" s="67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67"/>
      <c r="R432" s="67"/>
      <c r="S432" s="67"/>
      <c r="T432" s="67"/>
      <c r="U432" s="116"/>
    </row>
    <row r="433">
      <c r="A433" s="72"/>
      <c r="B433" s="95"/>
      <c r="C433" s="67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67"/>
      <c r="R433" s="67"/>
      <c r="S433" s="67"/>
      <c r="T433" s="67"/>
      <c r="U433" s="116"/>
    </row>
    <row r="434">
      <c r="A434" s="72"/>
      <c r="B434" s="95"/>
      <c r="C434" s="67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67"/>
      <c r="R434" s="67"/>
      <c r="S434" s="67"/>
      <c r="T434" s="67"/>
      <c r="U434" s="116"/>
    </row>
    <row r="435">
      <c r="A435" s="72"/>
      <c r="B435" s="95"/>
      <c r="C435" s="67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67"/>
      <c r="R435" s="67"/>
      <c r="S435" s="67"/>
      <c r="T435" s="67"/>
      <c r="U435" s="116"/>
    </row>
    <row r="436">
      <c r="A436" s="72"/>
      <c r="B436" s="95"/>
      <c r="C436" s="67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67"/>
      <c r="R436" s="67"/>
      <c r="S436" s="67"/>
      <c r="T436" s="67"/>
      <c r="U436" s="116"/>
    </row>
    <row r="437">
      <c r="A437" s="72"/>
      <c r="B437" s="95"/>
      <c r="C437" s="67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67"/>
      <c r="R437" s="67"/>
      <c r="S437" s="67"/>
      <c r="T437" s="67"/>
      <c r="U437" s="116"/>
    </row>
    <row r="438">
      <c r="A438" s="72"/>
      <c r="B438" s="95"/>
      <c r="C438" s="67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67"/>
      <c r="R438" s="67"/>
      <c r="S438" s="67"/>
      <c r="T438" s="67"/>
      <c r="U438" s="116"/>
    </row>
    <row r="439">
      <c r="A439" s="72"/>
      <c r="B439" s="95"/>
      <c r="C439" s="67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67"/>
      <c r="R439" s="67"/>
      <c r="S439" s="67"/>
      <c r="T439" s="67"/>
      <c r="U439" s="116"/>
    </row>
    <row r="440">
      <c r="A440" s="72"/>
      <c r="B440" s="95"/>
      <c r="C440" s="67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67"/>
      <c r="R440" s="67"/>
      <c r="S440" s="67"/>
      <c r="T440" s="67"/>
      <c r="U440" s="116"/>
    </row>
    <row r="441">
      <c r="A441" s="72"/>
      <c r="B441" s="95"/>
      <c r="C441" s="67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67"/>
      <c r="R441" s="67"/>
      <c r="S441" s="67"/>
      <c r="T441" s="67"/>
      <c r="U441" s="116"/>
    </row>
    <row r="442">
      <c r="A442" s="72"/>
      <c r="B442" s="95"/>
      <c r="C442" s="67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67"/>
      <c r="R442" s="67"/>
      <c r="S442" s="67"/>
      <c r="T442" s="67"/>
      <c r="U442" s="116"/>
    </row>
    <row r="443">
      <c r="A443" s="72"/>
      <c r="B443" s="95"/>
      <c r="C443" s="67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67"/>
      <c r="R443" s="67"/>
      <c r="S443" s="67"/>
      <c r="T443" s="67"/>
      <c r="U443" s="116"/>
    </row>
    <row r="444">
      <c r="A444" s="72"/>
      <c r="B444" s="95"/>
      <c r="C444" s="67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67"/>
      <c r="R444" s="67"/>
      <c r="S444" s="67"/>
      <c r="T444" s="67"/>
      <c r="U444" s="116"/>
    </row>
    <row r="445">
      <c r="A445" s="72"/>
      <c r="B445" s="95"/>
      <c r="C445" s="67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67"/>
      <c r="R445" s="67"/>
      <c r="S445" s="67"/>
      <c r="T445" s="67"/>
      <c r="U445" s="116"/>
    </row>
    <row r="446">
      <c r="A446" s="72"/>
      <c r="B446" s="95"/>
      <c r="C446" s="67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67"/>
      <c r="R446" s="67"/>
      <c r="S446" s="67"/>
      <c r="T446" s="67"/>
      <c r="U446" s="116"/>
    </row>
    <row r="447">
      <c r="A447" s="72"/>
      <c r="B447" s="95"/>
      <c r="C447" s="67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67"/>
      <c r="R447" s="67"/>
      <c r="S447" s="67"/>
      <c r="T447" s="67"/>
      <c r="U447" s="116"/>
    </row>
    <row r="448">
      <c r="A448" s="72"/>
      <c r="B448" s="95"/>
      <c r="C448" s="67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67"/>
      <c r="R448" s="67"/>
      <c r="S448" s="67"/>
      <c r="T448" s="67"/>
      <c r="U448" s="116"/>
    </row>
    <row r="449">
      <c r="A449" s="72"/>
      <c r="B449" s="95"/>
      <c r="C449" s="67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67"/>
      <c r="R449" s="67"/>
      <c r="S449" s="67"/>
      <c r="T449" s="67"/>
      <c r="U449" s="116"/>
    </row>
    <row r="450">
      <c r="A450" s="72"/>
      <c r="B450" s="95"/>
      <c r="C450" s="67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67"/>
      <c r="R450" s="67"/>
      <c r="S450" s="67"/>
      <c r="T450" s="67"/>
      <c r="U450" s="116"/>
    </row>
    <row r="451">
      <c r="A451" s="72"/>
      <c r="B451" s="95"/>
      <c r="C451" s="67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67"/>
      <c r="R451" s="67"/>
      <c r="S451" s="67"/>
      <c r="T451" s="67"/>
      <c r="U451" s="116"/>
    </row>
    <row r="452">
      <c r="A452" s="72"/>
      <c r="B452" s="95"/>
      <c r="C452" s="67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67"/>
      <c r="R452" s="67"/>
      <c r="S452" s="67"/>
      <c r="T452" s="67"/>
      <c r="U452" s="116"/>
    </row>
    <row r="453">
      <c r="A453" s="72"/>
      <c r="B453" s="95"/>
      <c r="C453" s="67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67"/>
      <c r="R453" s="67"/>
      <c r="S453" s="67"/>
      <c r="T453" s="67"/>
      <c r="U453" s="116"/>
    </row>
    <row r="454">
      <c r="A454" s="72"/>
      <c r="B454" s="95"/>
      <c r="C454" s="67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67"/>
      <c r="R454" s="67"/>
      <c r="S454" s="67"/>
      <c r="T454" s="67"/>
      <c r="U454" s="116"/>
    </row>
    <row r="455">
      <c r="A455" s="72"/>
      <c r="B455" s="95"/>
      <c r="C455" s="67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67"/>
      <c r="R455" s="67"/>
      <c r="S455" s="67"/>
      <c r="T455" s="67"/>
      <c r="U455" s="116"/>
    </row>
    <row r="456">
      <c r="A456" s="72"/>
      <c r="B456" s="95"/>
      <c r="C456" s="67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67"/>
      <c r="R456" s="67"/>
      <c r="S456" s="67"/>
      <c r="T456" s="67"/>
      <c r="U456" s="116"/>
    </row>
    <row r="457">
      <c r="A457" s="72"/>
      <c r="B457" s="95"/>
      <c r="C457" s="67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67"/>
      <c r="R457" s="67"/>
      <c r="S457" s="67"/>
      <c r="T457" s="67"/>
      <c r="U457" s="116"/>
    </row>
    <row r="458">
      <c r="A458" s="72"/>
      <c r="B458" s="95"/>
      <c r="C458" s="67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67"/>
      <c r="R458" s="67"/>
      <c r="S458" s="67"/>
      <c r="T458" s="67"/>
      <c r="U458" s="116"/>
    </row>
    <row r="459">
      <c r="A459" s="72"/>
      <c r="B459" s="95"/>
      <c r="C459" s="67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67"/>
      <c r="R459" s="67"/>
      <c r="S459" s="67"/>
      <c r="T459" s="67"/>
      <c r="U459" s="116"/>
    </row>
    <row r="460">
      <c r="A460" s="72"/>
      <c r="B460" s="95"/>
      <c r="C460" s="67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67"/>
      <c r="R460" s="67"/>
      <c r="S460" s="67"/>
      <c r="T460" s="67"/>
      <c r="U460" s="116"/>
    </row>
    <row r="461">
      <c r="A461" s="72"/>
      <c r="B461" s="95"/>
      <c r="C461" s="67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67"/>
      <c r="R461" s="67"/>
      <c r="S461" s="67"/>
      <c r="T461" s="67"/>
      <c r="U461" s="116"/>
    </row>
    <row r="462">
      <c r="A462" s="72"/>
      <c r="B462" s="95"/>
      <c r="C462" s="67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67"/>
      <c r="R462" s="67"/>
      <c r="S462" s="67"/>
      <c r="T462" s="67"/>
      <c r="U462" s="116"/>
    </row>
    <row r="463">
      <c r="A463" s="72"/>
      <c r="B463" s="95"/>
      <c r="C463" s="67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67"/>
      <c r="R463" s="67"/>
      <c r="S463" s="67"/>
      <c r="T463" s="67"/>
      <c r="U463" s="116"/>
    </row>
    <row r="464">
      <c r="A464" s="72"/>
      <c r="B464" s="95"/>
      <c r="C464" s="67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67"/>
      <c r="R464" s="67"/>
      <c r="S464" s="67"/>
      <c r="T464" s="67"/>
      <c r="U464" s="116"/>
    </row>
    <row r="465">
      <c r="A465" s="72"/>
      <c r="B465" s="95"/>
      <c r="C465" s="67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67"/>
      <c r="R465" s="67"/>
      <c r="S465" s="67"/>
      <c r="T465" s="67"/>
      <c r="U465" s="116"/>
    </row>
    <row r="466">
      <c r="A466" s="72"/>
      <c r="B466" s="95"/>
      <c r="C466" s="67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67"/>
      <c r="R466" s="67"/>
      <c r="S466" s="67"/>
      <c r="T466" s="67"/>
      <c r="U466" s="116"/>
    </row>
    <row r="467">
      <c r="A467" s="72"/>
      <c r="B467" s="95"/>
      <c r="C467" s="67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67"/>
      <c r="R467" s="67"/>
      <c r="S467" s="67"/>
      <c r="T467" s="67"/>
      <c r="U467" s="116"/>
    </row>
    <row r="468">
      <c r="A468" s="72"/>
      <c r="B468" s="95"/>
      <c r="C468" s="67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67"/>
      <c r="R468" s="67"/>
      <c r="S468" s="67"/>
      <c r="T468" s="67"/>
      <c r="U468" s="116"/>
    </row>
    <row r="469">
      <c r="A469" s="72"/>
      <c r="B469" s="95"/>
      <c r="C469" s="67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67"/>
      <c r="R469" s="67"/>
      <c r="S469" s="67"/>
      <c r="T469" s="67"/>
      <c r="U469" s="116"/>
    </row>
    <row r="470">
      <c r="A470" s="72"/>
      <c r="B470" s="95"/>
      <c r="C470" s="67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67"/>
      <c r="R470" s="67"/>
      <c r="S470" s="67"/>
      <c r="T470" s="67"/>
      <c r="U470" s="116"/>
    </row>
    <row r="471">
      <c r="A471" s="72"/>
      <c r="B471" s="95"/>
      <c r="C471" s="67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67"/>
      <c r="R471" s="67"/>
      <c r="S471" s="67"/>
      <c r="T471" s="67"/>
      <c r="U471" s="116"/>
    </row>
    <row r="472">
      <c r="A472" s="72"/>
      <c r="B472" s="95"/>
      <c r="C472" s="67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67"/>
      <c r="R472" s="67"/>
      <c r="S472" s="67"/>
      <c r="T472" s="67"/>
      <c r="U472" s="116"/>
    </row>
    <row r="473">
      <c r="A473" s="72"/>
      <c r="B473" s="95"/>
      <c r="C473" s="67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67"/>
      <c r="R473" s="67"/>
      <c r="S473" s="67"/>
      <c r="T473" s="67"/>
      <c r="U473" s="116"/>
    </row>
    <row r="474">
      <c r="A474" s="72"/>
      <c r="B474" s="95"/>
      <c r="C474" s="67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67"/>
      <c r="R474" s="67"/>
      <c r="S474" s="67"/>
      <c r="T474" s="67"/>
      <c r="U474" s="116"/>
    </row>
    <row r="475">
      <c r="A475" s="72"/>
      <c r="B475" s="95"/>
      <c r="C475" s="67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67"/>
      <c r="R475" s="67"/>
      <c r="S475" s="67"/>
      <c r="T475" s="67"/>
      <c r="U475" s="116"/>
    </row>
    <row r="476">
      <c r="A476" s="72"/>
      <c r="B476" s="95"/>
      <c r="C476" s="67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67"/>
      <c r="R476" s="67"/>
      <c r="S476" s="67"/>
      <c r="T476" s="67"/>
      <c r="U476" s="116"/>
    </row>
    <row r="477">
      <c r="A477" s="72"/>
      <c r="B477" s="95"/>
      <c r="C477" s="67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67"/>
      <c r="R477" s="67"/>
      <c r="S477" s="67"/>
      <c r="T477" s="67"/>
      <c r="U477" s="116"/>
    </row>
    <row r="478">
      <c r="A478" s="72"/>
      <c r="B478" s="95"/>
      <c r="C478" s="67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67"/>
      <c r="R478" s="67"/>
      <c r="S478" s="67"/>
      <c r="T478" s="67"/>
      <c r="U478" s="116"/>
    </row>
    <row r="479">
      <c r="A479" s="72"/>
      <c r="B479" s="95"/>
      <c r="C479" s="67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67"/>
      <c r="R479" s="67"/>
      <c r="S479" s="67"/>
      <c r="T479" s="67"/>
      <c r="U479" s="116"/>
    </row>
    <row r="480">
      <c r="A480" s="72"/>
      <c r="B480" s="95"/>
      <c r="C480" s="67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67"/>
      <c r="R480" s="67"/>
      <c r="S480" s="67"/>
      <c r="T480" s="67"/>
      <c r="U480" s="116"/>
    </row>
    <row r="481">
      <c r="A481" s="72"/>
      <c r="B481" s="95"/>
      <c r="C481" s="67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67"/>
      <c r="R481" s="67"/>
      <c r="S481" s="67"/>
      <c r="T481" s="67"/>
      <c r="U481" s="116"/>
    </row>
    <row r="482">
      <c r="A482" s="72"/>
      <c r="B482" s="95"/>
      <c r="C482" s="67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67"/>
      <c r="R482" s="67"/>
      <c r="S482" s="67"/>
      <c r="T482" s="67"/>
      <c r="U482" s="116"/>
    </row>
    <row r="483">
      <c r="A483" s="72"/>
      <c r="B483" s="95"/>
      <c r="C483" s="67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67"/>
      <c r="R483" s="67"/>
      <c r="S483" s="67"/>
      <c r="T483" s="67"/>
      <c r="U483" s="116"/>
    </row>
    <row r="484">
      <c r="A484" s="72"/>
      <c r="B484" s="95"/>
      <c r="C484" s="67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67"/>
      <c r="R484" s="67"/>
      <c r="S484" s="67"/>
      <c r="T484" s="67"/>
      <c r="U484" s="116"/>
    </row>
    <row r="485">
      <c r="A485" s="72"/>
      <c r="B485" s="95"/>
      <c r="C485" s="67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67"/>
      <c r="R485" s="67"/>
      <c r="S485" s="67"/>
      <c r="T485" s="67"/>
      <c r="U485" s="116"/>
    </row>
    <row r="486">
      <c r="A486" s="72"/>
      <c r="B486" s="95"/>
      <c r="C486" s="67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67"/>
      <c r="R486" s="67"/>
      <c r="S486" s="67"/>
      <c r="T486" s="67"/>
      <c r="U486" s="116"/>
    </row>
    <row r="487">
      <c r="A487" s="72"/>
      <c r="B487" s="95"/>
      <c r="C487" s="67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67"/>
      <c r="R487" s="67"/>
      <c r="S487" s="67"/>
      <c r="T487" s="67"/>
      <c r="U487" s="116"/>
    </row>
    <row r="488">
      <c r="A488" s="72"/>
      <c r="B488" s="95"/>
      <c r="C488" s="67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67"/>
      <c r="R488" s="67"/>
      <c r="S488" s="67"/>
      <c r="T488" s="67"/>
      <c r="U488" s="116"/>
    </row>
    <row r="489">
      <c r="A489" s="72"/>
      <c r="B489" s="95"/>
      <c r="C489" s="67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67"/>
      <c r="R489" s="67"/>
      <c r="S489" s="67"/>
      <c r="T489" s="67"/>
      <c r="U489" s="116"/>
    </row>
    <row r="490">
      <c r="A490" s="72"/>
      <c r="B490" s="95"/>
      <c r="C490" s="67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67"/>
      <c r="R490" s="67"/>
      <c r="S490" s="67"/>
      <c r="T490" s="67"/>
      <c r="U490" s="116"/>
    </row>
    <row r="491">
      <c r="A491" s="72"/>
      <c r="B491" s="95"/>
      <c r="C491" s="67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67"/>
      <c r="R491" s="67"/>
      <c r="S491" s="67"/>
      <c r="T491" s="67"/>
      <c r="U491" s="116"/>
    </row>
    <row r="492">
      <c r="A492" s="72"/>
      <c r="B492" s="95"/>
      <c r="C492" s="67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67"/>
      <c r="R492" s="67"/>
      <c r="S492" s="67"/>
      <c r="T492" s="67"/>
      <c r="U492" s="116"/>
    </row>
    <row r="493">
      <c r="A493" s="72"/>
      <c r="B493" s="95"/>
      <c r="C493" s="67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67"/>
      <c r="R493" s="67"/>
      <c r="S493" s="67"/>
      <c r="T493" s="67"/>
      <c r="U493" s="116"/>
    </row>
    <row r="494">
      <c r="A494" s="72"/>
      <c r="B494" s="95"/>
      <c r="C494" s="67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67"/>
      <c r="R494" s="67"/>
      <c r="S494" s="67"/>
      <c r="T494" s="67"/>
      <c r="U494" s="116"/>
    </row>
    <row r="495">
      <c r="A495" s="72"/>
      <c r="B495" s="95"/>
      <c r="C495" s="67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67"/>
      <c r="R495" s="67"/>
      <c r="S495" s="67"/>
      <c r="T495" s="67"/>
      <c r="U495" s="116"/>
    </row>
    <row r="496">
      <c r="A496" s="72"/>
      <c r="B496" s="95"/>
      <c r="C496" s="67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67"/>
      <c r="R496" s="67"/>
      <c r="S496" s="67"/>
      <c r="T496" s="67"/>
      <c r="U496" s="116"/>
    </row>
    <row r="497">
      <c r="A497" s="72"/>
      <c r="B497" s="95"/>
      <c r="C497" s="67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67"/>
      <c r="R497" s="67"/>
      <c r="S497" s="67"/>
      <c r="T497" s="67"/>
      <c r="U497" s="116"/>
    </row>
    <row r="498">
      <c r="A498" s="72"/>
      <c r="B498" s="95"/>
      <c r="C498" s="67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67"/>
      <c r="R498" s="67"/>
      <c r="S498" s="67"/>
      <c r="T498" s="67"/>
      <c r="U498" s="116"/>
    </row>
    <row r="499">
      <c r="A499" s="72"/>
      <c r="B499" s="95"/>
      <c r="C499" s="67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67"/>
      <c r="R499" s="67"/>
      <c r="S499" s="67"/>
      <c r="T499" s="67"/>
      <c r="U499" s="116"/>
    </row>
    <row r="500">
      <c r="A500" s="72"/>
      <c r="B500" s="95"/>
      <c r="C500" s="67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67"/>
      <c r="R500" s="67"/>
      <c r="S500" s="67"/>
      <c r="T500" s="67"/>
      <c r="U500" s="116"/>
    </row>
    <row r="501">
      <c r="A501" s="72"/>
      <c r="B501" s="95"/>
      <c r="C501" s="67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67"/>
      <c r="R501" s="67"/>
      <c r="S501" s="67"/>
      <c r="T501" s="67"/>
      <c r="U501" s="116"/>
    </row>
    <row r="502">
      <c r="A502" s="72"/>
      <c r="B502" s="95"/>
      <c r="C502" s="67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67"/>
      <c r="R502" s="67"/>
      <c r="S502" s="67"/>
      <c r="T502" s="67"/>
      <c r="U502" s="116"/>
    </row>
    <row r="503">
      <c r="A503" s="72"/>
      <c r="B503" s="95"/>
      <c r="C503" s="67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67"/>
      <c r="R503" s="67"/>
      <c r="S503" s="67"/>
      <c r="T503" s="67"/>
      <c r="U503" s="116"/>
    </row>
    <row r="504">
      <c r="A504" s="72"/>
      <c r="B504" s="95"/>
      <c r="C504" s="67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67"/>
      <c r="R504" s="67"/>
      <c r="S504" s="67"/>
      <c r="T504" s="67"/>
      <c r="U504" s="116"/>
    </row>
    <row r="505">
      <c r="A505" s="72"/>
      <c r="B505" s="95"/>
      <c r="C505" s="67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67"/>
      <c r="R505" s="67"/>
      <c r="S505" s="67"/>
      <c r="T505" s="67"/>
      <c r="U505" s="116"/>
    </row>
    <row r="506">
      <c r="A506" s="72"/>
      <c r="B506" s="95"/>
      <c r="C506" s="67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67"/>
      <c r="R506" s="67"/>
      <c r="S506" s="67"/>
      <c r="T506" s="67"/>
      <c r="U506" s="116"/>
    </row>
    <row r="507">
      <c r="A507" s="72"/>
      <c r="B507" s="95"/>
      <c r="C507" s="67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67"/>
      <c r="R507" s="67"/>
      <c r="S507" s="67"/>
      <c r="T507" s="67"/>
      <c r="U507" s="116"/>
    </row>
    <row r="508">
      <c r="A508" s="72"/>
      <c r="B508" s="95"/>
      <c r="C508" s="67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67"/>
      <c r="R508" s="67"/>
      <c r="S508" s="67"/>
      <c r="T508" s="67"/>
      <c r="U508" s="116"/>
    </row>
    <row r="509">
      <c r="A509" s="72"/>
      <c r="B509" s="95"/>
      <c r="C509" s="67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67"/>
      <c r="R509" s="67"/>
      <c r="S509" s="67"/>
      <c r="T509" s="67"/>
      <c r="U509" s="116"/>
    </row>
    <row r="510">
      <c r="A510" s="72"/>
      <c r="B510" s="95"/>
      <c r="C510" s="67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67"/>
      <c r="R510" s="67"/>
      <c r="S510" s="67"/>
      <c r="T510" s="67"/>
      <c r="U510" s="116"/>
    </row>
    <row r="511">
      <c r="A511" s="72"/>
      <c r="B511" s="95"/>
      <c r="C511" s="67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67"/>
      <c r="R511" s="67"/>
      <c r="S511" s="67"/>
      <c r="T511" s="67"/>
      <c r="U511" s="116"/>
    </row>
    <row r="512">
      <c r="A512" s="72"/>
      <c r="B512" s="95"/>
      <c r="C512" s="67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67"/>
      <c r="R512" s="67"/>
      <c r="S512" s="67"/>
      <c r="T512" s="67"/>
      <c r="U512" s="116"/>
    </row>
    <row r="513">
      <c r="A513" s="72"/>
      <c r="B513" s="95"/>
      <c r="C513" s="67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67"/>
      <c r="R513" s="67"/>
      <c r="S513" s="67"/>
      <c r="T513" s="67"/>
      <c r="U513" s="116"/>
    </row>
    <row r="514">
      <c r="A514" s="72"/>
      <c r="B514" s="95"/>
      <c r="C514" s="67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67"/>
      <c r="R514" s="67"/>
      <c r="S514" s="67"/>
      <c r="T514" s="67"/>
      <c r="U514" s="116"/>
    </row>
    <row r="515">
      <c r="A515" s="72"/>
      <c r="B515" s="95"/>
      <c r="C515" s="67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67"/>
      <c r="R515" s="67"/>
      <c r="S515" s="67"/>
      <c r="T515" s="67"/>
      <c r="U515" s="116"/>
    </row>
    <row r="516">
      <c r="A516" s="72"/>
      <c r="B516" s="95"/>
      <c r="C516" s="67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67"/>
      <c r="R516" s="67"/>
      <c r="S516" s="67"/>
      <c r="T516" s="67"/>
      <c r="U516" s="116"/>
    </row>
    <row r="517">
      <c r="A517" s="72"/>
      <c r="B517" s="95"/>
      <c r="C517" s="67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67"/>
      <c r="R517" s="67"/>
      <c r="S517" s="67"/>
      <c r="T517" s="67"/>
      <c r="U517" s="116"/>
    </row>
    <row r="518">
      <c r="A518" s="72"/>
      <c r="B518" s="95"/>
      <c r="C518" s="67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67"/>
      <c r="R518" s="67"/>
      <c r="S518" s="67"/>
      <c r="T518" s="67"/>
      <c r="U518" s="116"/>
    </row>
    <row r="519">
      <c r="A519" s="72"/>
      <c r="B519" s="95"/>
      <c r="C519" s="67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67"/>
      <c r="R519" s="67"/>
      <c r="S519" s="67"/>
      <c r="T519" s="67"/>
      <c r="U519" s="116"/>
    </row>
    <row r="520">
      <c r="A520" s="72"/>
      <c r="B520" s="95"/>
      <c r="C520" s="67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67"/>
      <c r="R520" s="67"/>
      <c r="S520" s="67"/>
      <c r="T520" s="67"/>
      <c r="U520" s="116"/>
    </row>
    <row r="521">
      <c r="A521" s="72"/>
      <c r="B521" s="95"/>
      <c r="C521" s="67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67"/>
      <c r="R521" s="67"/>
      <c r="S521" s="67"/>
      <c r="T521" s="67"/>
      <c r="U521" s="116"/>
    </row>
    <row r="522">
      <c r="A522" s="72"/>
      <c r="B522" s="95"/>
      <c r="C522" s="67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67"/>
      <c r="R522" s="67"/>
      <c r="S522" s="67"/>
      <c r="T522" s="67"/>
      <c r="U522" s="116"/>
    </row>
    <row r="523">
      <c r="A523" s="72"/>
      <c r="B523" s="95"/>
      <c r="C523" s="67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67"/>
      <c r="R523" s="67"/>
      <c r="S523" s="67"/>
      <c r="T523" s="67"/>
      <c r="U523" s="116"/>
    </row>
    <row r="524">
      <c r="A524" s="72"/>
      <c r="B524" s="95"/>
      <c r="C524" s="67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67"/>
      <c r="R524" s="67"/>
      <c r="S524" s="67"/>
      <c r="T524" s="67"/>
      <c r="U524" s="116"/>
    </row>
    <row r="525">
      <c r="A525" s="72"/>
      <c r="B525" s="95"/>
      <c r="C525" s="67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67"/>
      <c r="R525" s="67"/>
      <c r="S525" s="67"/>
      <c r="T525" s="67"/>
      <c r="U525" s="116"/>
    </row>
    <row r="526">
      <c r="A526" s="72"/>
      <c r="B526" s="95"/>
      <c r="C526" s="67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67"/>
      <c r="R526" s="67"/>
      <c r="S526" s="67"/>
      <c r="T526" s="67"/>
      <c r="U526" s="116"/>
    </row>
    <row r="527">
      <c r="A527" s="72"/>
      <c r="B527" s="95"/>
      <c r="C527" s="67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67"/>
      <c r="R527" s="67"/>
      <c r="S527" s="67"/>
      <c r="T527" s="67"/>
      <c r="U527" s="116"/>
    </row>
    <row r="528">
      <c r="A528" s="72"/>
      <c r="B528" s="95"/>
      <c r="C528" s="67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67"/>
      <c r="R528" s="67"/>
      <c r="S528" s="67"/>
      <c r="T528" s="67"/>
      <c r="U528" s="116"/>
    </row>
    <row r="529">
      <c r="A529" s="72"/>
      <c r="B529" s="95"/>
      <c r="C529" s="67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67"/>
      <c r="R529" s="67"/>
      <c r="S529" s="67"/>
      <c r="T529" s="67"/>
      <c r="U529" s="116"/>
    </row>
    <row r="530">
      <c r="A530" s="72"/>
      <c r="B530" s="95"/>
      <c r="C530" s="67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67"/>
      <c r="R530" s="67"/>
      <c r="S530" s="67"/>
      <c r="T530" s="67"/>
      <c r="U530" s="116"/>
    </row>
    <row r="531">
      <c r="A531" s="72"/>
      <c r="B531" s="95"/>
      <c r="C531" s="67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67"/>
      <c r="R531" s="67"/>
      <c r="S531" s="67"/>
      <c r="T531" s="67"/>
      <c r="U531" s="116"/>
    </row>
    <row r="532">
      <c r="A532" s="72"/>
      <c r="B532" s="95"/>
      <c r="C532" s="67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67"/>
      <c r="R532" s="67"/>
      <c r="S532" s="67"/>
      <c r="T532" s="67"/>
      <c r="U532" s="116"/>
    </row>
    <row r="533">
      <c r="A533" s="72"/>
      <c r="B533" s="95"/>
      <c r="C533" s="67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67"/>
      <c r="R533" s="67"/>
      <c r="S533" s="67"/>
      <c r="T533" s="67"/>
      <c r="U533" s="116"/>
    </row>
    <row r="534">
      <c r="A534" s="72"/>
      <c r="B534" s="95"/>
      <c r="C534" s="67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67"/>
      <c r="R534" s="67"/>
      <c r="S534" s="67"/>
      <c r="T534" s="67"/>
      <c r="U534" s="116"/>
    </row>
    <row r="535">
      <c r="A535" s="72"/>
      <c r="B535" s="95"/>
      <c r="C535" s="67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67"/>
      <c r="R535" s="67"/>
      <c r="S535" s="67"/>
      <c r="T535" s="67"/>
      <c r="U535" s="116"/>
    </row>
    <row r="536">
      <c r="A536" s="72"/>
      <c r="B536" s="95"/>
      <c r="C536" s="67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67"/>
      <c r="R536" s="67"/>
      <c r="S536" s="67"/>
      <c r="T536" s="67"/>
      <c r="U536" s="116"/>
    </row>
    <row r="537">
      <c r="A537" s="72"/>
      <c r="B537" s="95"/>
      <c r="C537" s="67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67"/>
      <c r="R537" s="67"/>
      <c r="S537" s="67"/>
      <c r="T537" s="67"/>
      <c r="U537" s="116"/>
    </row>
    <row r="538">
      <c r="A538" s="72"/>
      <c r="B538" s="95"/>
      <c r="C538" s="67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67"/>
      <c r="R538" s="67"/>
      <c r="S538" s="67"/>
      <c r="T538" s="67"/>
      <c r="U538" s="116"/>
    </row>
    <row r="539">
      <c r="A539" s="72"/>
      <c r="B539" s="95"/>
      <c r="C539" s="67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67"/>
      <c r="R539" s="67"/>
      <c r="S539" s="67"/>
      <c r="T539" s="67"/>
      <c r="U539" s="116"/>
    </row>
    <row r="540">
      <c r="A540" s="72"/>
      <c r="B540" s="95"/>
      <c r="C540" s="67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67"/>
      <c r="R540" s="67"/>
      <c r="S540" s="67"/>
      <c r="T540" s="67"/>
      <c r="U540" s="116"/>
    </row>
    <row r="541">
      <c r="A541" s="72"/>
      <c r="B541" s="95"/>
      <c r="C541" s="67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67"/>
      <c r="R541" s="67"/>
      <c r="S541" s="67"/>
      <c r="T541" s="67"/>
      <c r="U541" s="116"/>
    </row>
    <row r="542">
      <c r="A542" s="72"/>
      <c r="B542" s="95"/>
      <c r="C542" s="67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67"/>
      <c r="R542" s="67"/>
      <c r="S542" s="67"/>
      <c r="T542" s="67"/>
      <c r="U542" s="116"/>
    </row>
    <row r="543">
      <c r="A543" s="72"/>
      <c r="B543" s="95"/>
      <c r="C543" s="67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67"/>
      <c r="R543" s="67"/>
      <c r="S543" s="67"/>
      <c r="T543" s="67"/>
      <c r="U543" s="116"/>
    </row>
    <row r="544">
      <c r="A544" s="72"/>
      <c r="B544" s="95"/>
      <c r="C544" s="67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67"/>
      <c r="R544" s="67"/>
      <c r="S544" s="67"/>
      <c r="T544" s="67"/>
      <c r="U544" s="116"/>
    </row>
    <row r="545">
      <c r="A545" s="72"/>
      <c r="B545" s="95"/>
      <c r="C545" s="67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67"/>
      <c r="R545" s="67"/>
      <c r="S545" s="67"/>
      <c r="T545" s="67"/>
      <c r="U545" s="116"/>
    </row>
    <row r="546">
      <c r="A546" s="72"/>
      <c r="B546" s="95"/>
      <c r="C546" s="67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67"/>
      <c r="R546" s="67"/>
      <c r="S546" s="67"/>
      <c r="T546" s="67"/>
      <c r="U546" s="116"/>
    </row>
    <row r="547">
      <c r="A547" s="72"/>
      <c r="B547" s="95"/>
      <c r="C547" s="67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67"/>
      <c r="R547" s="67"/>
      <c r="S547" s="67"/>
      <c r="T547" s="67"/>
      <c r="U547" s="116"/>
    </row>
    <row r="548">
      <c r="A548" s="72"/>
      <c r="B548" s="95"/>
      <c r="C548" s="67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67"/>
      <c r="R548" s="67"/>
      <c r="S548" s="67"/>
      <c r="T548" s="67"/>
      <c r="U548" s="116"/>
    </row>
    <row r="549">
      <c r="A549" s="72"/>
      <c r="B549" s="95"/>
      <c r="C549" s="67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67"/>
      <c r="R549" s="67"/>
      <c r="S549" s="67"/>
      <c r="T549" s="67"/>
      <c r="U549" s="116"/>
    </row>
    <row r="550">
      <c r="A550" s="72"/>
      <c r="B550" s="95"/>
      <c r="C550" s="67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67"/>
      <c r="R550" s="67"/>
      <c r="S550" s="67"/>
      <c r="T550" s="67"/>
      <c r="U550" s="116"/>
    </row>
    <row r="551">
      <c r="A551" s="72"/>
      <c r="B551" s="95"/>
      <c r="C551" s="67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67"/>
      <c r="R551" s="67"/>
      <c r="S551" s="67"/>
      <c r="T551" s="67"/>
      <c r="U551" s="116"/>
    </row>
    <row r="552">
      <c r="A552" s="72"/>
      <c r="B552" s="95"/>
      <c r="C552" s="67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67"/>
      <c r="R552" s="67"/>
      <c r="S552" s="67"/>
      <c r="T552" s="67"/>
      <c r="U552" s="116"/>
    </row>
    <row r="553">
      <c r="A553" s="72"/>
      <c r="B553" s="95"/>
      <c r="C553" s="67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67"/>
      <c r="R553" s="67"/>
      <c r="S553" s="67"/>
      <c r="T553" s="67"/>
      <c r="U553" s="116"/>
    </row>
    <row r="554">
      <c r="A554" s="72"/>
      <c r="B554" s="95"/>
      <c r="C554" s="67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67"/>
      <c r="R554" s="67"/>
      <c r="S554" s="67"/>
      <c r="T554" s="67"/>
      <c r="U554" s="116"/>
    </row>
    <row r="555">
      <c r="A555" s="72"/>
      <c r="B555" s="95"/>
      <c r="C555" s="67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67"/>
      <c r="R555" s="67"/>
      <c r="S555" s="67"/>
      <c r="T555" s="67"/>
      <c r="U555" s="116"/>
    </row>
    <row r="556">
      <c r="A556" s="72"/>
      <c r="B556" s="95"/>
      <c r="C556" s="67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67"/>
      <c r="R556" s="67"/>
      <c r="S556" s="67"/>
      <c r="T556" s="67"/>
      <c r="U556" s="116"/>
    </row>
    <row r="557">
      <c r="A557" s="72"/>
      <c r="B557" s="95"/>
      <c r="C557" s="67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67"/>
      <c r="R557" s="67"/>
      <c r="S557" s="67"/>
      <c r="T557" s="67"/>
      <c r="U557" s="116"/>
    </row>
    <row r="558">
      <c r="A558" s="72"/>
      <c r="B558" s="95"/>
      <c r="C558" s="67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67"/>
      <c r="R558" s="67"/>
      <c r="S558" s="67"/>
      <c r="T558" s="67"/>
      <c r="U558" s="116"/>
    </row>
    <row r="559">
      <c r="A559" s="72"/>
      <c r="B559" s="95"/>
      <c r="C559" s="67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67"/>
      <c r="R559" s="67"/>
      <c r="S559" s="67"/>
      <c r="T559" s="67"/>
      <c r="U559" s="116"/>
    </row>
    <row r="560">
      <c r="A560" s="72"/>
      <c r="B560" s="95"/>
      <c r="C560" s="67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67"/>
      <c r="R560" s="67"/>
      <c r="S560" s="67"/>
      <c r="T560" s="67"/>
      <c r="U560" s="116"/>
    </row>
    <row r="561">
      <c r="A561" s="72"/>
      <c r="B561" s="95"/>
      <c r="C561" s="67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67"/>
      <c r="R561" s="67"/>
      <c r="S561" s="67"/>
      <c r="T561" s="67"/>
      <c r="U561" s="116"/>
    </row>
    <row r="562">
      <c r="A562" s="72"/>
      <c r="B562" s="95"/>
      <c r="C562" s="67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67"/>
      <c r="R562" s="67"/>
      <c r="S562" s="67"/>
      <c r="T562" s="67"/>
      <c r="U562" s="116"/>
    </row>
    <row r="563">
      <c r="A563" s="72"/>
      <c r="B563" s="95"/>
      <c r="C563" s="67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67"/>
      <c r="R563" s="67"/>
      <c r="S563" s="67"/>
      <c r="T563" s="67"/>
      <c r="U563" s="116"/>
    </row>
    <row r="564">
      <c r="A564" s="72"/>
      <c r="B564" s="95"/>
      <c r="C564" s="67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67"/>
      <c r="R564" s="67"/>
      <c r="S564" s="67"/>
      <c r="T564" s="67"/>
      <c r="U564" s="116"/>
    </row>
    <row r="565">
      <c r="A565" s="72"/>
      <c r="B565" s="95"/>
      <c r="C565" s="67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67"/>
      <c r="R565" s="67"/>
      <c r="S565" s="67"/>
      <c r="T565" s="67"/>
      <c r="U565" s="116"/>
    </row>
    <row r="566">
      <c r="A566" s="72"/>
      <c r="B566" s="95"/>
      <c r="C566" s="67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67"/>
      <c r="R566" s="67"/>
      <c r="S566" s="67"/>
      <c r="T566" s="67"/>
      <c r="U566" s="116"/>
    </row>
    <row r="567">
      <c r="A567" s="72"/>
      <c r="B567" s="95"/>
      <c r="C567" s="67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67"/>
      <c r="R567" s="67"/>
      <c r="S567" s="67"/>
      <c r="T567" s="67"/>
      <c r="U567" s="116"/>
    </row>
    <row r="568">
      <c r="A568" s="72"/>
      <c r="B568" s="95"/>
      <c r="C568" s="67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67"/>
      <c r="R568" s="67"/>
      <c r="S568" s="67"/>
      <c r="T568" s="67"/>
      <c r="U568" s="116"/>
    </row>
    <row r="569">
      <c r="A569" s="72"/>
      <c r="B569" s="95"/>
      <c r="C569" s="67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67"/>
      <c r="R569" s="67"/>
      <c r="S569" s="67"/>
      <c r="T569" s="67"/>
      <c r="U569" s="116"/>
    </row>
    <row r="570">
      <c r="A570" s="72"/>
      <c r="B570" s="95"/>
      <c r="C570" s="67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67"/>
      <c r="R570" s="67"/>
      <c r="S570" s="67"/>
      <c r="T570" s="67"/>
      <c r="U570" s="116"/>
    </row>
    <row r="571">
      <c r="A571" s="72"/>
      <c r="B571" s="95"/>
      <c r="C571" s="67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67"/>
      <c r="R571" s="67"/>
      <c r="S571" s="67"/>
      <c r="T571" s="67"/>
      <c r="U571" s="116"/>
    </row>
    <row r="572">
      <c r="A572" s="72"/>
      <c r="B572" s="95"/>
      <c r="C572" s="67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67"/>
      <c r="R572" s="67"/>
      <c r="S572" s="67"/>
      <c r="T572" s="67"/>
      <c r="U572" s="116"/>
    </row>
    <row r="573">
      <c r="A573" s="72"/>
      <c r="B573" s="95"/>
      <c r="C573" s="67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67"/>
      <c r="R573" s="67"/>
      <c r="S573" s="67"/>
      <c r="T573" s="67"/>
      <c r="U573" s="116"/>
    </row>
    <row r="574">
      <c r="A574" s="72"/>
      <c r="B574" s="95"/>
      <c r="C574" s="67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67"/>
      <c r="R574" s="67"/>
      <c r="S574" s="67"/>
      <c r="T574" s="67"/>
      <c r="U574" s="116"/>
    </row>
    <row r="575">
      <c r="A575" s="72"/>
      <c r="B575" s="95"/>
      <c r="C575" s="67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67"/>
      <c r="R575" s="67"/>
      <c r="S575" s="67"/>
      <c r="T575" s="67"/>
      <c r="U575" s="116"/>
    </row>
    <row r="576">
      <c r="A576" s="72"/>
      <c r="B576" s="95"/>
      <c r="C576" s="67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67"/>
      <c r="R576" s="67"/>
      <c r="S576" s="67"/>
      <c r="T576" s="67"/>
      <c r="U576" s="116"/>
    </row>
    <row r="577">
      <c r="A577" s="72"/>
      <c r="B577" s="95"/>
      <c r="C577" s="67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67"/>
      <c r="R577" s="67"/>
      <c r="S577" s="67"/>
      <c r="T577" s="67"/>
      <c r="U577" s="116"/>
    </row>
    <row r="578">
      <c r="A578" s="72"/>
      <c r="B578" s="95"/>
      <c r="C578" s="67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67"/>
      <c r="R578" s="67"/>
      <c r="S578" s="67"/>
      <c r="T578" s="67"/>
      <c r="U578" s="116"/>
    </row>
    <row r="579">
      <c r="A579" s="72"/>
      <c r="B579" s="95"/>
      <c r="C579" s="67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67"/>
      <c r="R579" s="67"/>
      <c r="S579" s="67"/>
      <c r="T579" s="67"/>
      <c r="U579" s="116"/>
    </row>
    <row r="580">
      <c r="A580" s="72"/>
      <c r="B580" s="95"/>
      <c r="C580" s="67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67"/>
      <c r="R580" s="67"/>
      <c r="S580" s="67"/>
      <c r="T580" s="67"/>
      <c r="U580" s="116"/>
    </row>
    <row r="581">
      <c r="A581" s="72"/>
      <c r="B581" s="95"/>
      <c r="C581" s="67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67"/>
      <c r="R581" s="67"/>
      <c r="S581" s="67"/>
      <c r="T581" s="67"/>
      <c r="U581" s="116"/>
    </row>
    <row r="582">
      <c r="A582" s="72"/>
      <c r="B582" s="95"/>
      <c r="C582" s="67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67"/>
      <c r="R582" s="67"/>
      <c r="S582" s="67"/>
      <c r="T582" s="67"/>
      <c r="U582" s="116"/>
    </row>
    <row r="583">
      <c r="A583" s="72"/>
      <c r="B583" s="95"/>
      <c r="C583" s="67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67"/>
      <c r="R583" s="67"/>
      <c r="S583" s="67"/>
      <c r="T583" s="67"/>
      <c r="U583" s="116"/>
    </row>
    <row r="584">
      <c r="A584" s="72"/>
      <c r="B584" s="95"/>
      <c r="C584" s="67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67"/>
      <c r="R584" s="67"/>
      <c r="S584" s="67"/>
      <c r="T584" s="67"/>
      <c r="U584" s="116"/>
    </row>
    <row r="585">
      <c r="A585" s="72"/>
      <c r="B585" s="95"/>
      <c r="C585" s="67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67"/>
      <c r="R585" s="67"/>
      <c r="S585" s="67"/>
      <c r="T585" s="67"/>
      <c r="U585" s="116"/>
    </row>
    <row r="586">
      <c r="A586" s="72"/>
      <c r="B586" s="95"/>
      <c r="C586" s="67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67"/>
      <c r="R586" s="67"/>
      <c r="S586" s="67"/>
      <c r="T586" s="67"/>
      <c r="U586" s="116"/>
    </row>
    <row r="587">
      <c r="A587" s="72"/>
      <c r="B587" s="95"/>
      <c r="C587" s="67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67"/>
      <c r="R587" s="67"/>
      <c r="S587" s="67"/>
      <c r="T587" s="67"/>
      <c r="U587" s="116"/>
    </row>
    <row r="588">
      <c r="A588" s="72"/>
      <c r="B588" s="95"/>
      <c r="C588" s="67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67"/>
      <c r="R588" s="67"/>
      <c r="S588" s="67"/>
      <c r="T588" s="67"/>
      <c r="U588" s="116"/>
    </row>
    <row r="589">
      <c r="A589" s="72"/>
      <c r="B589" s="95"/>
      <c r="C589" s="67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67"/>
      <c r="R589" s="67"/>
      <c r="S589" s="67"/>
      <c r="T589" s="67"/>
      <c r="U589" s="116"/>
    </row>
    <row r="590">
      <c r="A590" s="72"/>
      <c r="B590" s="95"/>
      <c r="C590" s="67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67"/>
      <c r="R590" s="67"/>
      <c r="S590" s="67"/>
      <c r="T590" s="67"/>
      <c r="U590" s="116"/>
    </row>
    <row r="591">
      <c r="A591" s="72"/>
      <c r="B591" s="95"/>
      <c r="C591" s="67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67"/>
      <c r="R591" s="67"/>
      <c r="S591" s="67"/>
      <c r="T591" s="67"/>
      <c r="U591" s="116"/>
    </row>
    <row r="592">
      <c r="A592" s="72"/>
      <c r="B592" s="95"/>
      <c r="C592" s="67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67"/>
      <c r="R592" s="67"/>
      <c r="S592" s="67"/>
      <c r="T592" s="67"/>
      <c r="U592" s="116"/>
    </row>
    <row r="593">
      <c r="A593" s="72"/>
      <c r="B593" s="95"/>
      <c r="C593" s="67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67"/>
      <c r="R593" s="67"/>
      <c r="S593" s="67"/>
      <c r="T593" s="67"/>
      <c r="U593" s="116"/>
    </row>
    <row r="594">
      <c r="A594" s="72"/>
      <c r="B594" s="95"/>
      <c r="C594" s="67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67"/>
      <c r="R594" s="67"/>
      <c r="S594" s="67"/>
      <c r="T594" s="67"/>
      <c r="U594" s="116"/>
    </row>
    <row r="595">
      <c r="A595" s="72"/>
      <c r="B595" s="95"/>
      <c r="C595" s="67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67"/>
      <c r="R595" s="67"/>
      <c r="S595" s="67"/>
      <c r="T595" s="67"/>
      <c r="U595" s="116"/>
    </row>
    <row r="596">
      <c r="A596" s="72"/>
      <c r="B596" s="95"/>
      <c r="C596" s="67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67"/>
      <c r="R596" s="67"/>
      <c r="S596" s="67"/>
      <c r="T596" s="67"/>
      <c r="U596" s="116"/>
    </row>
    <row r="597">
      <c r="A597" s="72"/>
      <c r="B597" s="95"/>
      <c r="C597" s="67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67"/>
      <c r="R597" s="67"/>
      <c r="S597" s="67"/>
      <c r="T597" s="67"/>
      <c r="U597" s="116"/>
    </row>
    <row r="598">
      <c r="A598" s="72"/>
      <c r="B598" s="95"/>
      <c r="C598" s="67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67"/>
      <c r="R598" s="67"/>
      <c r="S598" s="67"/>
      <c r="T598" s="67"/>
      <c r="U598" s="116"/>
    </row>
    <row r="599">
      <c r="A599" s="72"/>
      <c r="B599" s="95"/>
      <c r="C599" s="67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67"/>
      <c r="R599" s="67"/>
      <c r="S599" s="67"/>
      <c r="T599" s="67"/>
      <c r="U599" s="116"/>
    </row>
    <row r="600">
      <c r="A600" s="72"/>
      <c r="B600" s="95"/>
      <c r="C600" s="67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67"/>
      <c r="R600" s="67"/>
      <c r="S600" s="67"/>
      <c r="T600" s="67"/>
      <c r="U600" s="116"/>
    </row>
    <row r="601">
      <c r="A601" s="72"/>
      <c r="B601" s="95"/>
      <c r="C601" s="67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67"/>
      <c r="R601" s="67"/>
      <c r="S601" s="67"/>
      <c r="T601" s="67"/>
      <c r="U601" s="116"/>
    </row>
    <row r="602">
      <c r="A602" s="72"/>
      <c r="B602" s="95"/>
      <c r="C602" s="67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67"/>
      <c r="R602" s="67"/>
      <c r="S602" s="67"/>
      <c r="T602" s="67"/>
      <c r="U602" s="116"/>
    </row>
    <row r="603">
      <c r="A603" s="72"/>
      <c r="B603" s="95"/>
      <c r="C603" s="67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67"/>
      <c r="R603" s="67"/>
      <c r="S603" s="67"/>
      <c r="T603" s="67"/>
      <c r="U603" s="116"/>
    </row>
    <row r="604">
      <c r="A604" s="72"/>
      <c r="B604" s="95"/>
      <c r="C604" s="67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67"/>
      <c r="R604" s="67"/>
      <c r="S604" s="67"/>
      <c r="T604" s="67"/>
      <c r="U604" s="116"/>
    </row>
    <row r="605">
      <c r="A605" s="72"/>
      <c r="B605" s="95"/>
      <c r="C605" s="67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67"/>
      <c r="R605" s="67"/>
      <c r="S605" s="67"/>
      <c r="T605" s="67"/>
      <c r="U605" s="116"/>
    </row>
    <row r="606">
      <c r="A606" s="72"/>
      <c r="B606" s="95"/>
      <c r="C606" s="67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67"/>
      <c r="R606" s="67"/>
      <c r="S606" s="67"/>
      <c r="T606" s="67"/>
      <c r="U606" s="116"/>
    </row>
    <row r="607">
      <c r="A607" s="72"/>
      <c r="B607" s="95"/>
      <c r="C607" s="67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67"/>
      <c r="R607" s="67"/>
      <c r="S607" s="67"/>
      <c r="T607" s="67"/>
      <c r="U607" s="116"/>
    </row>
    <row r="608">
      <c r="A608" s="72"/>
      <c r="B608" s="95"/>
      <c r="C608" s="67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67"/>
      <c r="R608" s="67"/>
      <c r="S608" s="67"/>
      <c r="T608" s="67"/>
      <c r="U608" s="116"/>
    </row>
    <row r="609">
      <c r="A609" s="72"/>
      <c r="B609" s="95"/>
      <c r="C609" s="67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67"/>
      <c r="R609" s="67"/>
      <c r="S609" s="67"/>
      <c r="T609" s="67"/>
      <c r="U609" s="116"/>
    </row>
    <row r="610">
      <c r="A610" s="72"/>
      <c r="B610" s="95"/>
      <c r="C610" s="67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67"/>
      <c r="R610" s="67"/>
      <c r="S610" s="67"/>
      <c r="T610" s="67"/>
      <c r="U610" s="116"/>
    </row>
    <row r="611">
      <c r="A611" s="72"/>
      <c r="B611" s="95"/>
      <c r="C611" s="67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67"/>
      <c r="R611" s="67"/>
      <c r="S611" s="67"/>
      <c r="T611" s="67"/>
      <c r="U611" s="116"/>
    </row>
    <row r="612">
      <c r="A612" s="72"/>
      <c r="B612" s="95"/>
      <c r="C612" s="67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67"/>
      <c r="R612" s="67"/>
      <c r="S612" s="67"/>
      <c r="T612" s="67"/>
      <c r="U612" s="116"/>
    </row>
    <row r="613">
      <c r="A613" s="72"/>
      <c r="B613" s="95"/>
      <c r="C613" s="67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67"/>
      <c r="R613" s="67"/>
      <c r="S613" s="67"/>
      <c r="T613" s="67"/>
      <c r="U613" s="116"/>
    </row>
    <row r="614">
      <c r="A614" s="72"/>
      <c r="B614" s="95"/>
      <c r="C614" s="67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67"/>
      <c r="R614" s="67"/>
      <c r="S614" s="67"/>
      <c r="T614" s="67"/>
      <c r="U614" s="116"/>
    </row>
    <row r="615">
      <c r="A615" s="72"/>
      <c r="B615" s="95"/>
      <c r="C615" s="67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67"/>
      <c r="R615" s="67"/>
      <c r="S615" s="67"/>
      <c r="T615" s="67"/>
      <c r="U615" s="116"/>
    </row>
    <row r="616">
      <c r="A616" s="72"/>
      <c r="B616" s="95"/>
      <c r="C616" s="67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67"/>
      <c r="R616" s="67"/>
      <c r="S616" s="67"/>
      <c r="T616" s="67"/>
      <c r="U616" s="116"/>
    </row>
    <row r="617">
      <c r="A617" s="72"/>
      <c r="B617" s="95"/>
      <c r="C617" s="67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67"/>
      <c r="R617" s="67"/>
      <c r="S617" s="67"/>
      <c r="T617" s="67"/>
      <c r="U617" s="116"/>
    </row>
    <row r="618">
      <c r="A618" s="72"/>
      <c r="B618" s="95"/>
      <c r="C618" s="67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67"/>
      <c r="R618" s="67"/>
      <c r="S618" s="67"/>
      <c r="T618" s="67"/>
      <c r="U618" s="116"/>
    </row>
    <row r="619">
      <c r="A619" s="72"/>
      <c r="B619" s="95"/>
      <c r="C619" s="67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67"/>
      <c r="R619" s="67"/>
      <c r="S619" s="67"/>
      <c r="T619" s="67"/>
      <c r="U619" s="116"/>
    </row>
    <row r="620">
      <c r="A620" s="72"/>
      <c r="B620" s="95"/>
      <c r="C620" s="67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67"/>
      <c r="R620" s="67"/>
      <c r="S620" s="67"/>
      <c r="T620" s="67"/>
      <c r="U620" s="116"/>
    </row>
    <row r="621">
      <c r="A621" s="72"/>
      <c r="B621" s="95"/>
      <c r="C621" s="67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67"/>
      <c r="R621" s="67"/>
      <c r="S621" s="67"/>
      <c r="T621" s="67"/>
      <c r="U621" s="116"/>
    </row>
    <row r="622">
      <c r="A622" s="72"/>
      <c r="B622" s="95"/>
      <c r="C622" s="67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67"/>
      <c r="R622" s="67"/>
      <c r="S622" s="67"/>
      <c r="T622" s="67"/>
      <c r="U622" s="116"/>
    </row>
    <row r="623">
      <c r="A623" s="72"/>
      <c r="B623" s="95"/>
      <c r="C623" s="67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67"/>
      <c r="R623" s="67"/>
      <c r="S623" s="67"/>
      <c r="T623" s="67"/>
      <c r="U623" s="116"/>
    </row>
    <row r="624">
      <c r="A624" s="72"/>
      <c r="B624" s="95"/>
      <c r="C624" s="67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67"/>
      <c r="R624" s="67"/>
      <c r="S624" s="67"/>
      <c r="T624" s="67"/>
      <c r="U624" s="116"/>
    </row>
    <row r="625">
      <c r="A625" s="72"/>
      <c r="B625" s="95"/>
      <c r="C625" s="67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67"/>
      <c r="R625" s="67"/>
      <c r="S625" s="67"/>
      <c r="T625" s="67"/>
      <c r="U625" s="116"/>
    </row>
    <row r="626">
      <c r="A626" s="72"/>
      <c r="B626" s="95"/>
      <c r="C626" s="67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67"/>
      <c r="R626" s="67"/>
      <c r="S626" s="67"/>
      <c r="T626" s="67"/>
      <c r="U626" s="116"/>
    </row>
    <row r="627">
      <c r="A627" s="72"/>
      <c r="B627" s="95"/>
      <c r="C627" s="67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67"/>
      <c r="R627" s="67"/>
      <c r="S627" s="67"/>
      <c r="T627" s="67"/>
      <c r="U627" s="116"/>
    </row>
    <row r="628">
      <c r="A628" s="72"/>
      <c r="B628" s="95"/>
      <c r="C628" s="67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67"/>
      <c r="R628" s="67"/>
      <c r="S628" s="67"/>
      <c r="T628" s="67"/>
      <c r="U628" s="116"/>
    </row>
    <row r="629">
      <c r="A629" s="72"/>
      <c r="B629" s="95"/>
      <c r="C629" s="67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67"/>
      <c r="R629" s="67"/>
      <c r="S629" s="67"/>
      <c r="T629" s="67"/>
      <c r="U629" s="116"/>
    </row>
    <row r="630">
      <c r="A630" s="72"/>
      <c r="B630" s="95"/>
      <c r="C630" s="67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67"/>
      <c r="R630" s="67"/>
      <c r="S630" s="67"/>
      <c r="T630" s="67"/>
      <c r="U630" s="116"/>
    </row>
    <row r="631">
      <c r="A631" s="72"/>
      <c r="B631" s="95"/>
      <c r="C631" s="67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67"/>
      <c r="R631" s="67"/>
      <c r="S631" s="67"/>
      <c r="T631" s="67"/>
      <c r="U631" s="116"/>
    </row>
    <row r="632">
      <c r="A632" s="72"/>
      <c r="B632" s="95"/>
      <c r="C632" s="67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67"/>
      <c r="R632" s="67"/>
      <c r="S632" s="67"/>
      <c r="T632" s="67"/>
      <c r="U632" s="116"/>
    </row>
    <row r="633">
      <c r="A633" s="72"/>
      <c r="B633" s="95"/>
      <c r="C633" s="67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67"/>
      <c r="R633" s="67"/>
      <c r="S633" s="67"/>
      <c r="T633" s="67"/>
      <c r="U633" s="116"/>
    </row>
    <row r="634">
      <c r="A634" s="72"/>
      <c r="B634" s="95"/>
      <c r="C634" s="67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67"/>
      <c r="R634" s="67"/>
      <c r="S634" s="67"/>
      <c r="T634" s="67"/>
      <c r="U634" s="116"/>
    </row>
    <row r="635">
      <c r="A635" s="72"/>
      <c r="B635" s="95"/>
      <c r="C635" s="67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67"/>
      <c r="R635" s="67"/>
      <c r="S635" s="67"/>
      <c r="T635" s="67"/>
      <c r="U635" s="116"/>
    </row>
    <row r="636">
      <c r="A636" s="72"/>
      <c r="B636" s="95"/>
      <c r="C636" s="67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67"/>
      <c r="R636" s="67"/>
      <c r="S636" s="67"/>
      <c r="T636" s="67"/>
      <c r="U636" s="116"/>
    </row>
    <row r="637">
      <c r="A637" s="72"/>
      <c r="B637" s="95"/>
      <c r="C637" s="67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67"/>
      <c r="R637" s="67"/>
      <c r="S637" s="67"/>
      <c r="T637" s="67"/>
      <c r="U637" s="116"/>
    </row>
    <row r="638">
      <c r="A638" s="72"/>
      <c r="B638" s="95"/>
      <c r="C638" s="67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67"/>
      <c r="R638" s="67"/>
      <c r="S638" s="67"/>
      <c r="T638" s="67"/>
      <c r="U638" s="116"/>
    </row>
    <row r="639">
      <c r="A639" s="72"/>
      <c r="B639" s="95"/>
      <c r="C639" s="67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67"/>
      <c r="R639" s="67"/>
      <c r="S639" s="67"/>
      <c r="T639" s="67"/>
      <c r="U639" s="116"/>
    </row>
    <row r="640">
      <c r="A640" s="72"/>
      <c r="B640" s="95"/>
      <c r="C640" s="67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67"/>
      <c r="R640" s="67"/>
      <c r="S640" s="67"/>
      <c r="T640" s="67"/>
      <c r="U640" s="116"/>
    </row>
    <row r="641">
      <c r="A641" s="72"/>
      <c r="B641" s="95"/>
      <c r="C641" s="67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67"/>
      <c r="R641" s="67"/>
      <c r="S641" s="67"/>
      <c r="T641" s="67"/>
      <c r="U641" s="116"/>
    </row>
    <row r="642">
      <c r="A642" s="72"/>
      <c r="B642" s="95"/>
      <c r="C642" s="67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67"/>
      <c r="R642" s="67"/>
      <c r="S642" s="67"/>
      <c r="T642" s="67"/>
      <c r="U642" s="116"/>
    </row>
    <row r="643">
      <c r="A643" s="72"/>
      <c r="B643" s="95"/>
      <c r="C643" s="67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67"/>
      <c r="R643" s="67"/>
      <c r="S643" s="67"/>
      <c r="T643" s="67"/>
      <c r="U643" s="116"/>
    </row>
    <row r="644">
      <c r="A644" s="72"/>
      <c r="B644" s="95"/>
      <c r="C644" s="67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67"/>
      <c r="R644" s="67"/>
      <c r="S644" s="67"/>
      <c r="T644" s="67"/>
      <c r="U644" s="116"/>
    </row>
    <row r="645">
      <c r="A645" s="72"/>
      <c r="B645" s="95"/>
      <c r="C645" s="67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67"/>
      <c r="R645" s="67"/>
      <c r="S645" s="67"/>
      <c r="T645" s="67"/>
      <c r="U645" s="116"/>
    </row>
    <row r="646">
      <c r="A646" s="72"/>
      <c r="B646" s="95"/>
      <c r="C646" s="67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67"/>
      <c r="R646" s="67"/>
      <c r="S646" s="67"/>
      <c r="T646" s="67"/>
      <c r="U646" s="116"/>
    </row>
    <row r="647">
      <c r="A647" s="72"/>
      <c r="B647" s="95"/>
      <c r="C647" s="67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67"/>
      <c r="R647" s="67"/>
      <c r="S647" s="67"/>
      <c r="T647" s="67"/>
      <c r="U647" s="116"/>
    </row>
    <row r="648">
      <c r="A648" s="72"/>
      <c r="B648" s="95"/>
      <c r="C648" s="67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67"/>
      <c r="R648" s="67"/>
      <c r="S648" s="67"/>
      <c r="T648" s="67"/>
      <c r="U648" s="116"/>
    </row>
    <row r="649">
      <c r="A649" s="72"/>
      <c r="B649" s="95"/>
      <c r="C649" s="67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67"/>
      <c r="R649" s="67"/>
      <c r="S649" s="67"/>
      <c r="T649" s="67"/>
      <c r="U649" s="116"/>
    </row>
    <row r="650">
      <c r="A650" s="72"/>
      <c r="B650" s="95"/>
      <c r="C650" s="67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67"/>
      <c r="R650" s="67"/>
      <c r="S650" s="67"/>
      <c r="T650" s="67"/>
      <c r="U650" s="116"/>
    </row>
    <row r="651">
      <c r="A651" s="72"/>
      <c r="B651" s="95"/>
      <c r="C651" s="67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67"/>
      <c r="R651" s="67"/>
      <c r="S651" s="67"/>
      <c r="T651" s="67"/>
      <c r="U651" s="116"/>
    </row>
    <row r="652">
      <c r="A652" s="72"/>
      <c r="B652" s="95"/>
      <c r="C652" s="67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67"/>
      <c r="R652" s="67"/>
      <c r="S652" s="67"/>
      <c r="T652" s="67"/>
      <c r="U652" s="116"/>
    </row>
    <row r="653">
      <c r="A653" s="72"/>
      <c r="B653" s="95"/>
      <c r="C653" s="67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67"/>
      <c r="R653" s="67"/>
      <c r="S653" s="67"/>
      <c r="T653" s="67"/>
      <c r="U653" s="116"/>
    </row>
    <row r="654">
      <c r="A654" s="72"/>
      <c r="B654" s="95"/>
      <c r="C654" s="67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67"/>
      <c r="R654" s="67"/>
      <c r="S654" s="67"/>
      <c r="T654" s="67"/>
      <c r="U654" s="116"/>
    </row>
    <row r="655">
      <c r="A655" s="72"/>
      <c r="B655" s="95"/>
      <c r="C655" s="67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67"/>
      <c r="R655" s="67"/>
      <c r="S655" s="67"/>
      <c r="T655" s="67"/>
      <c r="U655" s="116"/>
    </row>
    <row r="656">
      <c r="A656" s="72"/>
      <c r="B656" s="95"/>
      <c r="C656" s="67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67"/>
      <c r="R656" s="67"/>
      <c r="S656" s="67"/>
      <c r="T656" s="67"/>
      <c r="U656" s="116"/>
    </row>
    <row r="657">
      <c r="A657" s="72"/>
      <c r="B657" s="95"/>
      <c r="C657" s="67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67"/>
      <c r="R657" s="67"/>
      <c r="S657" s="67"/>
      <c r="T657" s="67"/>
      <c r="U657" s="116"/>
    </row>
    <row r="658">
      <c r="A658" s="72"/>
      <c r="B658" s="95"/>
      <c r="C658" s="67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67"/>
      <c r="R658" s="67"/>
      <c r="S658" s="67"/>
      <c r="T658" s="67"/>
      <c r="U658" s="116"/>
    </row>
    <row r="659">
      <c r="A659" s="72"/>
      <c r="B659" s="95"/>
      <c r="C659" s="67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67"/>
      <c r="R659" s="67"/>
      <c r="S659" s="67"/>
      <c r="T659" s="67"/>
      <c r="U659" s="116"/>
    </row>
    <row r="660">
      <c r="A660" s="72"/>
      <c r="B660" s="95"/>
      <c r="C660" s="67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67"/>
      <c r="R660" s="67"/>
      <c r="S660" s="67"/>
      <c r="T660" s="67"/>
      <c r="U660" s="116"/>
    </row>
    <row r="661">
      <c r="A661" s="72"/>
      <c r="B661" s="95"/>
      <c r="C661" s="67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67"/>
      <c r="R661" s="67"/>
      <c r="S661" s="67"/>
      <c r="T661" s="67"/>
      <c r="U661" s="116"/>
    </row>
    <row r="662">
      <c r="A662" s="72"/>
      <c r="B662" s="95"/>
      <c r="C662" s="67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67"/>
      <c r="R662" s="67"/>
      <c r="S662" s="67"/>
      <c r="T662" s="67"/>
      <c r="U662" s="116"/>
    </row>
    <row r="663">
      <c r="A663" s="72"/>
      <c r="B663" s="95"/>
      <c r="C663" s="67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67"/>
      <c r="R663" s="67"/>
      <c r="S663" s="67"/>
      <c r="T663" s="67"/>
      <c r="U663" s="116"/>
    </row>
    <row r="664">
      <c r="A664" s="72"/>
      <c r="B664" s="95"/>
      <c r="C664" s="67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67"/>
      <c r="R664" s="67"/>
      <c r="S664" s="67"/>
      <c r="T664" s="67"/>
      <c r="U664" s="116"/>
    </row>
    <row r="665">
      <c r="A665" s="72"/>
      <c r="B665" s="95"/>
      <c r="C665" s="67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67"/>
      <c r="R665" s="67"/>
      <c r="S665" s="67"/>
      <c r="T665" s="67"/>
      <c r="U665" s="116"/>
    </row>
    <row r="666">
      <c r="A666" s="72"/>
      <c r="B666" s="95"/>
      <c r="C666" s="67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67"/>
      <c r="R666" s="67"/>
      <c r="S666" s="67"/>
      <c r="T666" s="67"/>
      <c r="U666" s="116"/>
    </row>
    <row r="667">
      <c r="A667" s="72"/>
      <c r="B667" s="95"/>
      <c r="C667" s="67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67"/>
      <c r="R667" s="67"/>
      <c r="S667" s="67"/>
      <c r="T667" s="67"/>
      <c r="U667" s="116"/>
    </row>
    <row r="668">
      <c r="A668" s="72"/>
      <c r="B668" s="95"/>
      <c r="C668" s="67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67"/>
      <c r="R668" s="67"/>
      <c r="S668" s="67"/>
      <c r="T668" s="67"/>
      <c r="U668" s="116"/>
    </row>
    <row r="669">
      <c r="A669" s="72"/>
      <c r="B669" s="95"/>
      <c r="C669" s="67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67"/>
      <c r="R669" s="67"/>
      <c r="S669" s="67"/>
      <c r="T669" s="67"/>
      <c r="U669" s="116"/>
    </row>
    <row r="670">
      <c r="A670" s="72"/>
      <c r="B670" s="95"/>
      <c r="C670" s="67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67"/>
      <c r="R670" s="67"/>
      <c r="S670" s="67"/>
      <c r="T670" s="67"/>
      <c r="U670" s="116"/>
    </row>
    <row r="671">
      <c r="A671" s="72"/>
      <c r="B671" s="95"/>
      <c r="C671" s="67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67"/>
      <c r="R671" s="67"/>
      <c r="S671" s="67"/>
      <c r="T671" s="67"/>
      <c r="U671" s="116"/>
    </row>
    <row r="672">
      <c r="A672" s="72"/>
      <c r="B672" s="95"/>
      <c r="C672" s="67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67"/>
      <c r="R672" s="67"/>
      <c r="S672" s="67"/>
      <c r="T672" s="67"/>
      <c r="U672" s="116"/>
    </row>
    <row r="673">
      <c r="A673" s="72"/>
      <c r="B673" s="95"/>
      <c r="C673" s="67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67"/>
      <c r="R673" s="67"/>
      <c r="S673" s="67"/>
      <c r="T673" s="67"/>
      <c r="U673" s="116"/>
    </row>
    <row r="674">
      <c r="A674" s="72"/>
      <c r="B674" s="95"/>
      <c r="C674" s="67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67"/>
      <c r="R674" s="67"/>
      <c r="S674" s="67"/>
      <c r="T674" s="67"/>
      <c r="U674" s="116"/>
    </row>
    <row r="675">
      <c r="A675" s="72"/>
      <c r="B675" s="95"/>
      <c r="C675" s="67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67"/>
      <c r="R675" s="67"/>
      <c r="S675" s="67"/>
      <c r="T675" s="67"/>
      <c r="U675" s="116"/>
    </row>
    <row r="676">
      <c r="A676" s="72"/>
      <c r="B676" s="95"/>
      <c r="C676" s="67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67"/>
      <c r="R676" s="67"/>
      <c r="S676" s="67"/>
      <c r="T676" s="67"/>
      <c r="U676" s="116"/>
    </row>
    <row r="677">
      <c r="A677" s="72"/>
      <c r="B677" s="95"/>
      <c r="C677" s="67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67"/>
      <c r="R677" s="67"/>
      <c r="S677" s="67"/>
      <c r="T677" s="67"/>
      <c r="U677" s="116"/>
    </row>
    <row r="678">
      <c r="A678" s="72"/>
      <c r="B678" s="95"/>
      <c r="C678" s="67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67"/>
      <c r="R678" s="67"/>
      <c r="S678" s="67"/>
      <c r="T678" s="67"/>
      <c r="U678" s="116"/>
    </row>
    <row r="679">
      <c r="A679" s="72"/>
      <c r="B679" s="95"/>
      <c r="C679" s="67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67"/>
      <c r="R679" s="67"/>
      <c r="S679" s="67"/>
      <c r="T679" s="67"/>
      <c r="U679" s="116"/>
    </row>
    <row r="680">
      <c r="A680" s="72"/>
      <c r="B680" s="95"/>
      <c r="C680" s="67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67"/>
      <c r="R680" s="67"/>
      <c r="S680" s="67"/>
      <c r="T680" s="67"/>
      <c r="U680" s="116"/>
    </row>
    <row r="681">
      <c r="A681" s="72"/>
      <c r="B681" s="95"/>
      <c r="C681" s="67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67"/>
      <c r="R681" s="67"/>
      <c r="S681" s="67"/>
      <c r="T681" s="67"/>
      <c r="U681" s="116"/>
    </row>
    <row r="682">
      <c r="A682" s="72"/>
      <c r="B682" s="95"/>
      <c r="C682" s="67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67"/>
      <c r="R682" s="67"/>
      <c r="S682" s="67"/>
      <c r="T682" s="67"/>
      <c r="U682" s="116"/>
    </row>
    <row r="683">
      <c r="A683" s="72"/>
      <c r="B683" s="95"/>
      <c r="C683" s="67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67"/>
      <c r="R683" s="67"/>
      <c r="S683" s="67"/>
      <c r="T683" s="67"/>
      <c r="U683" s="116"/>
    </row>
    <row r="684">
      <c r="A684" s="72"/>
      <c r="B684" s="95"/>
      <c r="C684" s="67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67"/>
      <c r="R684" s="67"/>
      <c r="S684" s="67"/>
      <c r="T684" s="67"/>
      <c r="U684" s="116"/>
    </row>
    <row r="685">
      <c r="A685" s="72"/>
      <c r="B685" s="95"/>
      <c r="C685" s="67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67"/>
      <c r="R685" s="67"/>
      <c r="S685" s="67"/>
      <c r="T685" s="67"/>
      <c r="U685" s="116"/>
    </row>
    <row r="686">
      <c r="A686" s="72"/>
      <c r="B686" s="95"/>
      <c r="C686" s="67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67"/>
      <c r="R686" s="67"/>
      <c r="S686" s="67"/>
      <c r="T686" s="67"/>
      <c r="U686" s="116"/>
    </row>
    <row r="687">
      <c r="A687" s="72"/>
      <c r="B687" s="95"/>
      <c r="C687" s="67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67"/>
      <c r="R687" s="67"/>
      <c r="S687" s="67"/>
      <c r="T687" s="67"/>
      <c r="U687" s="116"/>
    </row>
    <row r="688">
      <c r="A688" s="72"/>
      <c r="B688" s="95"/>
      <c r="C688" s="67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67"/>
      <c r="R688" s="67"/>
      <c r="S688" s="67"/>
      <c r="T688" s="67"/>
      <c r="U688" s="116"/>
    </row>
    <row r="689">
      <c r="A689" s="72"/>
      <c r="B689" s="95"/>
      <c r="C689" s="67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67"/>
      <c r="R689" s="67"/>
      <c r="S689" s="67"/>
      <c r="T689" s="67"/>
      <c r="U689" s="116"/>
    </row>
    <row r="690">
      <c r="A690" s="72"/>
      <c r="B690" s="95"/>
      <c r="C690" s="67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67"/>
      <c r="R690" s="67"/>
      <c r="S690" s="67"/>
      <c r="T690" s="67"/>
      <c r="U690" s="116"/>
    </row>
    <row r="691">
      <c r="A691" s="72"/>
      <c r="B691" s="95"/>
      <c r="C691" s="67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67"/>
      <c r="R691" s="67"/>
      <c r="S691" s="67"/>
      <c r="T691" s="67"/>
      <c r="U691" s="116"/>
    </row>
    <row r="692">
      <c r="A692" s="72"/>
      <c r="B692" s="95"/>
      <c r="C692" s="67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67"/>
      <c r="R692" s="67"/>
      <c r="S692" s="67"/>
      <c r="T692" s="67"/>
      <c r="U692" s="116"/>
    </row>
    <row r="693">
      <c r="A693" s="72"/>
      <c r="B693" s="95"/>
      <c r="C693" s="67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67"/>
      <c r="R693" s="67"/>
      <c r="S693" s="67"/>
      <c r="T693" s="67"/>
      <c r="U693" s="116"/>
    </row>
    <row r="694">
      <c r="A694" s="72"/>
      <c r="B694" s="95"/>
      <c r="C694" s="67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67"/>
      <c r="R694" s="67"/>
      <c r="S694" s="67"/>
      <c r="T694" s="67"/>
      <c r="U694" s="116"/>
    </row>
    <row r="695">
      <c r="A695" s="72"/>
      <c r="B695" s="95"/>
      <c r="C695" s="67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67"/>
      <c r="R695" s="67"/>
      <c r="S695" s="67"/>
      <c r="T695" s="67"/>
      <c r="U695" s="116"/>
    </row>
    <row r="696">
      <c r="A696" s="72"/>
      <c r="B696" s="95"/>
      <c r="C696" s="67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67"/>
      <c r="R696" s="67"/>
      <c r="S696" s="67"/>
      <c r="T696" s="67"/>
      <c r="U696" s="116"/>
    </row>
    <row r="697">
      <c r="A697" s="72"/>
      <c r="B697" s="95"/>
      <c r="C697" s="67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67"/>
      <c r="R697" s="67"/>
      <c r="S697" s="67"/>
      <c r="T697" s="67"/>
      <c r="U697" s="116"/>
    </row>
    <row r="698">
      <c r="A698" s="72"/>
      <c r="B698" s="95"/>
      <c r="C698" s="67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67"/>
      <c r="R698" s="67"/>
      <c r="S698" s="67"/>
      <c r="T698" s="67"/>
      <c r="U698" s="116"/>
    </row>
    <row r="699">
      <c r="A699" s="72"/>
      <c r="B699" s="95"/>
      <c r="C699" s="67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67"/>
      <c r="R699" s="67"/>
      <c r="S699" s="67"/>
      <c r="T699" s="67"/>
      <c r="U699" s="116"/>
    </row>
    <row r="700">
      <c r="A700" s="72"/>
      <c r="B700" s="95"/>
      <c r="C700" s="67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67"/>
      <c r="R700" s="67"/>
      <c r="S700" s="67"/>
      <c r="T700" s="67"/>
      <c r="U700" s="116"/>
    </row>
    <row r="701">
      <c r="A701" s="72"/>
      <c r="B701" s="95"/>
      <c r="C701" s="67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67"/>
      <c r="R701" s="67"/>
      <c r="S701" s="67"/>
      <c r="T701" s="67"/>
      <c r="U701" s="116"/>
    </row>
    <row r="702">
      <c r="A702" s="72"/>
      <c r="B702" s="95"/>
      <c r="C702" s="67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67"/>
      <c r="R702" s="67"/>
      <c r="S702" s="67"/>
      <c r="T702" s="67"/>
      <c r="U702" s="116"/>
    </row>
    <row r="703">
      <c r="A703" s="72"/>
      <c r="B703" s="95"/>
      <c r="C703" s="67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67"/>
      <c r="R703" s="67"/>
      <c r="S703" s="67"/>
      <c r="T703" s="67"/>
      <c r="U703" s="116"/>
    </row>
    <row r="704">
      <c r="A704" s="72"/>
      <c r="B704" s="95"/>
      <c r="C704" s="67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67"/>
      <c r="R704" s="67"/>
      <c r="S704" s="67"/>
      <c r="T704" s="67"/>
      <c r="U704" s="116"/>
    </row>
    <row r="705">
      <c r="A705" s="72"/>
      <c r="B705" s="95"/>
      <c r="C705" s="67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67"/>
      <c r="R705" s="67"/>
      <c r="S705" s="67"/>
      <c r="T705" s="67"/>
      <c r="U705" s="116"/>
    </row>
    <row r="706">
      <c r="A706" s="72"/>
      <c r="B706" s="95"/>
      <c r="C706" s="67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67"/>
      <c r="R706" s="67"/>
      <c r="S706" s="67"/>
      <c r="T706" s="67"/>
      <c r="U706" s="116"/>
    </row>
    <row r="707">
      <c r="A707" s="72"/>
      <c r="B707" s="95"/>
      <c r="C707" s="67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67"/>
      <c r="R707" s="67"/>
      <c r="S707" s="67"/>
      <c r="T707" s="67"/>
      <c r="U707" s="116"/>
    </row>
    <row r="708">
      <c r="A708" s="72"/>
      <c r="B708" s="95"/>
      <c r="C708" s="67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67"/>
      <c r="R708" s="67"/>
      <c r="S708" s="67"/>
      <c r="T708" s="67"/>
      <c r="U708" s="116"/>
    </row>
    <row r="709">
      <c r="A709" s="72"/>
      <c r="B709" s="95"/>
      <c r="C709" s="67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67"/>
      <c r="R709" s="67"/>
      <c r="S709" s="67"/>
      <c r="T709" s="67"/>
      <c r="U709" s="116"/>
    </row>
    <row r="710">
      <c r="A710" s="72"/>
      <c r="B710" s="95"/>
      <c r="C710" s="67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67"/>
      <c r="R710" s="67"/>
      <c r="S710" s="67"/>
      <c r="T710" s="67"/>
      <c r="U710" s="116"/>
    </row>
    <row r="711">
      <c r="A711" s="72"/>
      <c r="B711" s="95"/>
      <c r="C711" s="67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67"/>
      <c r="R711" s="67"/>
      <c r="S711" s="67"/>
      <c r="T711" s="67"/>
      <c r="U711" s="116"/>
    </row>
    <row r="712">
      <c r="A712" s="72"/>
      <c r="B712" s="95"/>
      <c r="C712" s="67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67"/>
      <c r="R712" s="67"/>
      <c r="S712" s="67"/>
      <c r="T712" s="67"/>
      <c r="U712" s="116"/>
    </row>
    <row r="713">
      <c r="A713" s="72"/>
      <c r="B713" s="95"/>
      <c r="C713" s="67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67"/>
      <c r="R713" s="67"/>
      <c r="S713" s="67"/>
      <c r="T713" s="67"/>
      <c r="U713" s="116"/>
    </row>
    <row r="714">
      <c r="A714" s="72"/>
      <c r="B714" s="95"/>
      <c r="C714" s="67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67"/>
      <c r="R714" s="67"/>
      <c r="S714" s="67"/>
      <c r="T714" s="67"/>
      <c r="U714" s="116"/>
    </row>
    <row r="715">
      <c r="A715" s="72"/>
      <c r="B715" s="95"/>
      <c r="C715" s="67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67"/>
      <c r="R715" s="67"/>
      <c r="S715" s="67"/>
      <c r="T715" s="67"/>
      <c r="U715" s="116"/>
    </row>
    <row r="716">
      <c r="A716" s="72"/>
      <c r="B716" s="95"/>
      <c r="C716" s="67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67"/>
      <c r="R716" s="67"/>
      <c r="S716" s="67"/>
      <c r="T716" s="67"/>
      <c r="U716" s="116"/>
    </row>
    <row r="717">
      <c r="A717" s="72"/>
      <c r="B717" s="95"/>
      <c r="C717" s="67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67"/>
      <c r="R717" s="67"/>
      <c r="S717" s="67"/>
      <c r="T717" s="67"/>
      <c r="U717" s="116"/>
    </row>
    <row r="718">
      <c r="A718" s="72"/>
      <c r="B718" s="95"/>
      <c r="C718" s="67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67"/>
      <c r="R718" s="67"/>
      <c r="S718" s="67"/>
      <c r="T718" s="67"/>
      <c r="U718" s="116"/>
    </row>
    <row r="719">
      <c r="A719" s="72"/>
      <c r="B719" s="95"/>
      <c r="C719" s="67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67"/>
      <c r="R719" s="67"/>
      <c r="S719" s="67"/>
      <c r="T719" s="67"/>
      <c r="U719" s="116"/>
    </row>
    <row r="720">
      <c r="A720" s="72"/>
      <c r="B720" s="95"/>
      <c r="C720" s="67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67"/>
      <c r="R720" s="67"/>
      <c r="S720" s="67"/>
      <c r="T720" s="67"/>
      <c r="U720" s="116"/>
    </row>
    <row r="721">
      <c r="A721" s="72"/>
      <c r="B721" s="95"/>
      <c r="C721" s="67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67"/>
      <c r="R721" s="67"/>
      <c r="S721" s="67"/>
      <c r="T721" s="67"/>
      <c r="U721" s="116"/>
    </row>
    <row r="722">
      <c r="A722" s="72"/>
      <c r="B722" s="95"/>
      <c r="C722" s="67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67"/>
      <c r="R722" s="67"/>
      <c r="S722" s="67"/>
      <c r="T722" s="67"/>
      <c r="U722" s="116"/>
    </row>
    <row r="723">
      <c r="A723" s="72"/>
      <c r="B723" s="95"/>
      <c r="C723" s="67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67"/>
      <c r="R723" s="67"/>
      <c r="S723" s="67"/>
      <c r="T723" s="67"/>
      <c r="U723" s="116"/>
    </row>
    <row r="724">
      <c r="A724" s="72"/>
      <c r="B724" s="95"/>
      <c r="C724" s="67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67"/>
      <c r="R724" s="67"/>
      <c r="S724" s="67"/>
      <c r="T724" s="67"/>
      <c r="U724" s="116"/>
    </row>
    <row r="725">
      <c r="A725" s="72"/>
      <c r="B725" s="95"/>
      <c r="C725" s="67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67"/>
      <c r="R725" s="67"/>
      <c r="S725" s="67"/>
      <c r="T725" s="67"/>
      <c r="U725" s="116"/>
    </row>
    <row r="726">
      <c r="A726" s="72"/>
      <c r="B726" s="95"/>
      <c r="C726" s="67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67"/>
      <c r="R726" s="67"/>
      <c r="S726" s="67"/>
      <c r="T726" s="67"/>
      <c r="U726" s="116"/>
    </row>
    <row r="727">
      <c r="A727" s="72"/>
      <c r="B727" s="95"/>
      <c r="C727" s="67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67"/>
      <c r="R727" s="67"/>
      <c r="S727" s="67"/>
      <c r="T727" s="67"/>
      <c r="U727" s="116"/>
    </row>
    <row r="728">
      <c r="A728" s="72"/>
      <c r="B728" s="95"/>
      <c r="C728" s="67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67"/>
      <c r="R728" s="67"/>
      <c r="S728" s="67"/>
      <c r="T728" s="67"/>
      <c r="U728" s="116"/>
    </row>
    <row r="729">
      <c r="A729" s="72"/>
      <c r="B729" s="95"/>
      <c r="C729" s="67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67"/>
      <c r="R729" s="67"/>
      <c r="S729" s="67"/>
      <c r="T729" s="67"/>
      <c r="U729" s="116"/>
    </row>
    <row r="730">
      <c r="A730" s="72"/>
      <c r="B730" s="95"/>
      <c r="C730" s="67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67"/>
      <c r="R730" s="67"/>
      <c r="S730" s="67"/>
      <c r="T730" s="67"/>
      <c r="U730" s="116"/>
    </row>
    <row r="731">
      <c r="A731" s="72"/>
      <c r="B731" s="95"/>
      <c r="C731" s="67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67"/>
      <c r="R731" s="67"/>
      <c r="S731" s="67"/>
      <c r="T731" s="67"/>
      <c r="U731" s="116"/>
    </row>
    <row r="732">
      <c r="A732" s="72"/>
      <c r="B732" s="95"/>
      <c r="C732" s="67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67"/>
      <c r="R732" s="67"/>
      <c r="S732" s="67"/>
      <c r="T732" s="67"/>
      <c r="U732" s="116"/>
    </row>
    <row r="733">
      <c r="A733" s="72"/>
      <c r="B733" s="95"/>
      <c r="C733" s="67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67"/>
      <c r="R733" s="67"/>
      <c r="S733" s="67"/>
      <c r="T733" s="67"/>
      <c r="U733" s="116"/>
    </row>
    <row r="734">
      <c r="A734" s="72"/>
      <c r="B734" s="95"/>
      <c r="C734" s="67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67"/>
      <c r="R734" s="67"/>
      <c r="S734" s="67"/>
      <c r="T734" s="67"/>
      <c r="U734" s="116"/>
    </row>
    <row r="735">
      <c r="A735" s="72"/>
      <c r="B735" s="95"/>
      <c r="C735" s="67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67"/>
      <c r="R735" s="67"/>
      <c r="S735" s="67"/>
      <c r="T735" s="67"/>
      <c r="U735" s="116"/>
    </row>
    <row r="736">
      <c r="A736" s="72"/>
      <c r="B736" s="95"/>
      <c r="C736" s="67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67"/>
      <c r="R736" s="67"/>
      <c r="S736" s="67"/>
      <c r="T736" s="67"/>
      <c r="U736" s="116"/>
    </row>
    <row r="737">
      <c r="A737" s="72"/>
      <c r="B737" s="95"/>
      <c r="C737" s="67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67"/>
      <c r="R737" s="67"/>
      <c r="S737" s="67"/>
      <c r="T737" s="67"/>
      <c r="U737" s="116"/>
    </row>
    <row r="738">
      <c r="A738" s="72"/>
      <c r="B738" s="95"/>
      <c r="C738" s="67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67"/>
      <c r="R738" s="67"/>
      <c r="S738" s="67"/>
      <c r="T738" s="67"/>
      <c r="U738" s="116"/>
    </row>
    <row r="739">
      <c r="A739" s="72"/>
      <c r="B739" s="95"/>
      <c r="C739" s="67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67"/>
      <c r="R739" s="67"/>
      <c r="S739" s="67"/>
      <c r="T739" s="67"/>
      <c r="U739" s="116"/>
    </row>
    <row r="740">
      <c r="A740" s="72"/>
      <c r="B740" s="95"/>
      <c r="C740" s="67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67"/>
      <c r="R740" s="67"/>
      <c r="S740" s="67"/>
      <c r="T740" s="67"/>
      <c r="U740" s="116"/>
    </row>
    <row r="741">
      <c r="A741" s="72"/>
      <c r="B741" s="95"/>
      <c r="C741" s="67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67"/>
      <c r="R741" s="67"/>
      <c r="S741" s="67"/>
      <c r="T741" s="67"/>
      <c r="U741" s="116"/>
    </row>
    <row r="742">
      <c r="A742" s="72"/>
      <c r="B742" s="95"/>
      <c r="C742" s="67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67"/>
      <c r="R742" s="67"/>
      <c r="S742" s="67"/>
      <c r="T742" s="67"/>
      <c r="U742" s="116"/>
    </row>
    <row r="743">
      <c r="A743" s="72"/>
      <c r="B743" s="95"/>
      <c r="C743" s="67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67"/>
      <c r="R743" s="67"/>
      <c r="S743" s="67"/>
      <c r="T743" s="67"/>
      <c r="U743" s="116"/>
    </row>
    <row r="744">
      <c r="A744" s="72"/>
      <c r="B744" s="95"/>
      <c r="C744" s="67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67"/>
      <c r="R744" s="67"/>
      <c r="S744" s="67"/>
      <c r="T744" s="67"/>
      <c r="U744" s="116"/>
    </row>
    <row r="745">
      <c r="A745" s="72"/>
      <c r="B745" s="95"/>
      <c r="C745" s="67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67"/>
      <c r="R745" s="67"/>
      <c r="S745" s="67"/>
      <c r="T745" s="67"/>
      <c r="U745" s="116"/>
    </row>
    <row r="746">
      <c r="A746" s="72"/>
      <c r="B746" s="95"/>
      <c r="C746" s="67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67"/>
      <c r="R746" s="67"/>
      <c r="S746" s="67"/>
      <c r="T746" s="67"/>
      <c r="U746" s="116"/>
    </row>
    <row r="747">
      <c r="A747" s="72"/>
      <c r="B747" s="95"/>
      <c r="C747" s="67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67"/>
      <c r="R747" s="67"/>
      <c r="S747" s="67"/>
      <c r="T747" s="67"/>
      <c r="U747" s="116"/>
    </row>
    <row r="748">
      <c r="A748" s="72"/>
      <c r="B748" s="95"/>
      <c r="C748" s="67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67"/>
      <c r="R748" s="67"/>
      <c r="S748" s="67"/>
      <c r="T748" s="67"/>
      <c r="U748" s="116"/>
    </row>
    <row r="749">
      <c r="A749" s="72"/>
      <c r="B749" s="95"/>
      <c r="C749" s="67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67"/>
      <c r="R749" s="67"/>
      <c r="S749" s="67"/>
      <c r="T749" s="67"/>
      <c r="U749" s="116"/>
    </row>
    <row r="750">
      <c r="A750" s="72"/>
      <c r="B750" s="95"/>
      <c r="C750" s="67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67"/>
      <c r="R750" s="67"/>
      <c r="S750" s="67"/>
      <c r="T750" s="67"/>
      <c r="U750" s="116"/>
    </row>
    <row r="751">
      <c r="A751" s="72"/>
      <c r="B751" s="95"/>
      <c r="C751" s="67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67"/>
      <c r="R751" s="67"/>
      <c r="S751" s="67"/>
      <c r="T751" s="67"/>
      <c r="U751" s="116"/>
    </row>
    <row r="752">
      <c r="A752" s="72"/>
      <c r="B752" s="95"/>
      <c r="C752" s="67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67"/>
      <c r="R752" s="67"/>
      <c r="S752" s="67"/>
      <c r="T752" s="67"/>
      <c r="U752" s="116"/>
    </row>
    <row r="753">
      <c r="A753" s="72"/>
      <c r="B753" s="95"/>
      <c r="C753" s="67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67"/>
      <c r="R753" s="67"/>
      <c r="S753" s="67"/>
      <c r="T753" s="67"/>
      <c r="U753" s="116"/>
    </row>
    <row r="754">
      <c r="A754" s="72"/>
      <c r="B754" s="95"/>
      <c r="C754" s="67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67"/>
      <c r="R754" s="67"/>
      <c r="S754" s="67"/>
      <c r="T754" s="67"/>
      <c r="U754" s="116"/>
    </row>
    <row r="755">
      <c r="A755" s="72"/>
      <c r="B755" s="95"/>
      <c r="C755" s="67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67"/>
      <c r="R755" s="67"/>
      <c r="S755" s="67"/>
      <c r="T755" s="67"/>
      <c r="U755" s="116"/>
    </row>
    <row r="756">
      <c r="A756" s="72"/>
      <c r="B756" s="95"/>
      <c r="C756" s="67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67"/>
      <c r="R756" s="67"/>
      <c r="S756" s="67"/>
      <c r="T756" s="67"/>
      <c r="U756" s="116"/>
    </row>
    <row r="757">
      <c r="A757" s="72"/>
      <c r="B757" s="95"/>
      <c r="C757" s="67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67"/>
      <c r="R757" s="67"/>
      <c r="S757" s="67"/>
      <c r="T757" s="67"/>
      <c r="U757" s="116"/>
    </row>
    <row r="758">
      <c r="A758" s="72"/>
      <c r="B758" s="95"/>
      <c r="C758" s="67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67"/>
      <c r="R758" s="67"/>
      <c r="S758" s="67"/>
      <c r="T758" s="67"/>
      <c r="U758" s="116"/>
    </row>
    <row r="759">
      <c r="A759" s="72"/>
      <c r="B759" s="95"/>
      <c r="C759" s="67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67"/>
      <c r="R759" s="67"/>
      <c r="S759" s="67"/>
      <c r="T759" s="67"/>
      <c r="U759" s="116"/>
    </row>
    <row r="760">
      <c r="A760" s="72"/>
      <c r="B760" s="95"/>
      <c r="C760" s="67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67"/>
      <c r="R760" s="67"/>
      <c r="S760" s="67"/>
      <c r="T760" s="67"/>
      <c r="U760" s="116"/>
    </row>
    <row r="761">
      <c r="A761" s="72"/>
      <c r="B761" s="95"/>
      <c r="C761" s="67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67"/>
      <c r="R761" s="67"/>
      <c r="S761" s="67"/>
      <c r="T761" s="67"/>
      <c r="U761" s="116"/>
    </row>
    <row r="762">
      <c r="A762" s="72"/>
      <c r="B762" s="95"/>
      <c r="C762" s="67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67"/>
      <c r="R762" s="67"/>
      <c r="S762" s="67"/>
      <c r="T762" s="67"/>
      <c r="U762" s="116"/>
    </row>
    <row r="763">
      <c r="A763" s="72"/>
      <c r="B763" s="95"/>
      <c r="C763" s="67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67"/>
      <c r="R763" s="67"/>
      <c r="S763" s="67"/>
      <c r="T763" s="67"/>
      <c r="U763" s="116"/>
    </row>
    <row r="764">
      <c r="A764" s="72"/>
      <c r="B764" s="95"/>
      <c r="C764" s="67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67"/>
      <c r="R764" s="67"/>
      <c r="S764" s="67"/>
      <c r="T764" s="67"/>
      <c r="U764" s="116"/>
    </row>
    <row r="765">
      <c r="A765" s="72"/>
      <c r="B765" s="95"/>
      <c r="C765" s="67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67"/>
      <c r="R765" s="67"/>
      <c r="S765" s="67"/>
      <c r="T765" s="67"/>
      <c r="U765" s="116"/>
    </row>
    <row r="766">
      <c r="A766" s="72"/>
      <c r="B766" s="95"/>
      <c r="C766" s="67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67"/>
      <c r="R766" s="67"/>
      <c r="S766" s="67"/>
      <c r="T766" s="67"/>
      <c r="U766" s="116"/>
    </row>
    <row r="767">
      <c r="A767" s="72"/>
      <c r="B767" s="95"/>
      <c r="C767" s="67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67"/>
      <c r="R767" s="67"/>
      <c r="S767" s="67"/>
      <c r="T767" s="67"/>
      <c r="U767" s="116"/>
    </row>
    <row r="768">
      <c r="A768" s="72"/>
      <c r="B768" s="95"/>
      <c r="C768" s="67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67"/>
      <c r="R768" s="67"/>
      <c r="S768" s="67"/>
      <c r="T768" s="67"/>
      <c r="U768" s="116"/>
    </row>
    <row r="769">
      <c r="A769" s="72"/>
      <c r="B769" s="95"/>
      <c r="C769" s="67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67"/>
      <c r="R769" s="67"/>
      <c r="S769" s="67"/>
      <c r="T769" s="67"/>
      <c r="U769" s="116"/>
    </row>
    <row r="770">
      <c r="A770" s="72"/>
      <c r="B770" s="95"/>
      <c r="C770" s="67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67"/>
      <c r="R770" s="67"/>
      <c r="S770" s="67"/>
      <c r="T770" s="67"/>
      <c r="U770" s="116"/>
    </row>
    <row r="771">
      <c r="A771" s="72"/>
      <c r="B771" s="95"/>
      <c r="C771" s="67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67"/>
      <c r="R771" s="67"/>
      <c r="S771" s="67"/>
      <c r="T771" s="67"/>
      <c r="U771" s="116"/>
    </row>
    <row r="772">
      <c r="A772" s="72"/>
      <c r="B772" s="95"/>
      <c r="C772" s="67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67"/>
      <c r="R772" s="67"/>
      <c r="S772" s="67"/>
      <c r="T772" s="67"/>
      <c r="U772" s="116"/>
    </row>
    <row r="773">
      <c r="A773" s="72"/>
      <c r="B773" s="95"/>
      <c r="C773" s="67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67"/>
      <c r="R773" s="67"/>
      <c r="S773" s="67"/>
      <c r="T773" s="67"/>
      <c r="U773" s="116"/>
    </row>
    <row r="774">
      <c r="A774" s="72"/>
      <c r="B774" s="95"/>
      <c r="C774" s="67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67"/>
      <c r="R774" s="67"/>
      <c r="S774" s="67"/>
      <c r="T774" s="67"/>
      <c r="U774" s="116"/>
    </row>
    <row r="775">
      <c r="A775" s="72"/>
      <c r="B775" s="95"/>
      <c r="C775" s="67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67"/>
      <c r="R775" s="67"/>
      <c r="S775" s="67"/>
      <c r="T775" s="67"/>
      <c r="U775" s="116"/>
    </row>
    <row r="776">
      <c r="A776" s="72"/>
      <c r="B776" s="95"/>
      <c r="C776" s="67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67"/>
      <c r="R776" s="67"/>
      <c r="S776" s="67"/>
      <c r="T776" s="67"/>
      <c r="U776" s="116"/>
    </row>
    <row r="777">
      <c r="A777" s="72"/>
      <c r="B777" s="95"/>
      <c r="C777" s="67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67"/>
      <c r="R777" s="67"/>
      <c r="S777" s="67"/>
      <c r="T777" s="67"/>
      <c r="U777" s="116"/>
    </row>
    <row r="778">
      <c r="A778" s="72"/>
      <c r="B778" s="95"/>
      <c r="C778" s="67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67"/>
      <c r="R778" s="67"/>
      <c r="S778" s="67"/>
      <c r="T778" s="67"/>
      <c r="U778" s="116"/>
    </row>
    <row r="779">
      <c r="A779" s="72"/>
      <c r="B779" s="95"/>
      <c r="C779" s="67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67"/>
      <c r="R779" s="67"/>
      <c r="S779" s="67"/>
      <c r="T779" s="67"/>
      <c r="U779" s="116"/>
    </row>
    <row r="780">
      <c r="A780" s="72"/>
      <c r="B780" s="95"/>
      <c r="C780" s="67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67"/>
      <c r="R780" s="67"/>
      <c r="S780" s="67"/>
      <c r="T780" s="67"/>
      <c r="U780" s="116"/>
    </row>
    <row r="781">
      <c r="A781" s="72"/>
      <c r="B781" s="95"/>
      <c r="C781" s="67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67"/>
      <c r="R781" s="67"/>
      <c r="S781" s="67"/>
      <c r="T781" s="67"/>
      <c r="U781" s="116"/>
    </row>
    <row r="782">
      <c r="A782" s="72"/>
      <c r="B782" s="95"/>
      <c r="C782" s="67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67"/>
      <c r="R782" s="67"/>
      <c r="S782" s="67"/>
      <c r="T782" s="67"/>
      <c r="U782" s="116"/>
    </row>
    <row r="783">
      <c r="A783" s="72"/>
      <c r="B783" s="95"/>
      <c r="C783" s="67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67"/>
      <c r="R783" s="67"/>
      <c r="S783" s="67"/>
      <c r="T783" s="67"/>
      <c r="U783" s="116"/>
    </row>
    <row r="784">
      <c r="A784" s="72"/>
      <c r="B784" s="95"/>
      <c r="C784" s="67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67"/>
      <c r="R784" s="67"/>
      <c r="S784" s="67"/>
      <c r="T784" s="67"/>
      <c r="U784" s="116"/>
    </row>
    <row r="785">
      <c r="A785" s="72"/>
      <c r="B785" s="95"/>
      <c r="C785" s="67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67"/>
      <c r="R785" s="67"/>
      <c r="S785" s="67"/>
      <c r="T785" s="67"/>
      <c r="U785" s="116"/>
    </row>
    <row r="786">
      <c r="A786" s="72"/>
      <c r="B786" s="95"/>
      <c r="C786" s="67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67"/>
      <c r="R786" s="67"/>
      <c r="S786" s="67"/>
      <c r="T786" s="67"/>
      <c r="U786" s="116"/>
    </row>
    <row r="787">
      <c r="A787" s="72"/>
      <c r="B787" s="95"/>
      <c r="C787" s="67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67"/>
      <c r="R787" s="67"/>
      <c r="S787" s="67"/>
      <c r="T787" s="67"/>
      <c r="U787" s="116"/>
    </row>
    <row r="788">
      <c r="A788" s="72"/>
      <c r="B788" s="95"/>
      <c r="C788" s="67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67"/>
      <c r="R788" s="67"/>
      <c r="S788" s="67"/>
      <c r="T788" s="67"/>
      <c r="U788" s="116"/>
    </row>
    <row r="789">
      <c r="A789" s="72"/>
      <c r="B789" s="95"/>
      <c r="C789" s="67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67"/>
      <c r="R789" s="67"/>
      <c r="S789" s="67"/>
      <c r="T789" s="67"/>
      <c r="U789" s="116"/>
    </row>
    <row r="790">
      <c r="A790" s="72"/>
      <c r="B790" s="95"/>
      <c r="C790" s="67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67"/>
      <c r="R790" s="67"/>
      <c r="S790" s="67"/>
      <c r="T790" s="67"/>
      <c r="U790" s="116"/>
    </row>
    <row r="791">
      <c r="A791" s="72"/>
      <c r="B791" s="95"/>
      <c r="C791" s="67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67"/>
      <c r="R791" s="67"/>
      <c r="S791" s="67"/>
      <c r="T791" s="67"/>
      <c r="U791" s="116"/>
    </row>
    <row r="792">
      <c r="A792" s="72"/>
      <c r="B792" s="95"/>
      <c r="C792" s="67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67"/>
      <c r="R792" s="67"/>
      <c r="S792" s="67"/>
      <c r="T792" s="67"/>
      <c r="U792" s="116"/>
    </row>
    <row r="793">
      <c r="A793" s="72"/>
      <c r="B793" s="95"/>
      <c r="C793" s="67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67"/>
      <c r="R793" s="67"/>
      <c r="S793" s="67"/>
      <c r="T793" s="67"/>
      <c r="U793" s="116"/>
    </row>
    <row r="794">
      <c r="A794" s="72"/>
      <c r="B794" s="95"/>
      <c r="C794" s="67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67"/>
      <c r="R794" s="67"/>
      <c r="S794" s="67"/>
      <c r="T794" s="67"/>
      <c r="U794" s="116"/>
    </row>
    <row r="795">
      <c r="A795" s="72"/>
      <c r="B795" s="95"/>
      <c r="C795" s="67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67"/>
      <c r="R795" s="67"/>
      <c r="S795" s="67"/>
      <c r="T795" s="67"/>
      <c r="U795" s="116"/>
    </row>
    <row r="796">
      <c r="A796" s="72"/>
      <c r="B796" s="95"/>
      <c r="C796" s="67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67"/>
      <c r="R796" s="67"/>
      <c r="S796" s="67"/>
      <c r="T796" s="67"/>
      <c r="U796" s="116"/>
    </row>
    <row r="797">
      <c r="A797" s="72"/>
      <c r="B797" s="95"/>
      <c r="C797" s="67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67"/>
      <c r="R797" s="67"/>
      <c r="S797" s="67"/>
      <c r="T797" s="67"/>
      <c r="U797" s="116"/>
    </row>
    <row r="798">
      <c r="A798" s="72"/>
      <c r="B798" s="95"/>
      <c r="C798" s="67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67"/>
      <c r="R798" s="67"/>
      <c r="S798" s="67"/>
      <c r="T798" s="67"/>
      <c r="U798" s="116"/>
    </row>
    <row r="799">
      <c r="A799" s="72"/>
      <c r="B799" s="95"/>
      <c r="C799" s="67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67"/>
      <c r="R799" s="67"/>
      <c r="S799" s="67"/>
      <c r="T799" s="67"/>
      <c r="U799" s="116"/>
    </row>
    <row r="800">
      <c r="A800" s="72"/>
      <c r="B800" s="95"/>
      <c r="C800" s="67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67"/>
      <c r="R800" s="67"/>
      <c r="S800" s="67"/>
      <c r="T800" s="67"/>
      <c r="U800" s="116"/>
    </row>
    <row r="801">
      <c r="A801" s="72"/>
      <c r="B801" s="95"/>
      <c r="C801" s="67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67"/>
      <c r="R801" s="67"/>
      <c r="S801" s="67"/>
      <c r="T801" s="67"/>
      <c r="U801" s="116"/>
    </row>
    <row r="802">
      <c r="A802" s="72"/>
      <c r="B802" s="95"/>
      <c r="C802" s="67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67"/>
      <c r="R802" s="67"/>
      <c r="S802" s="67"/>
      <c r="T802" s="67"/>
      <c r="U802" s="116"/>
    </row>
    <row r="803">
      <c r="A803" s="72"/>
      <c r="B803" s="95"/>
      <c r="C803" s="67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67"/>
      <c r="R803" s="67"/>
      <c r="S803" s="67"/>
      <c r="T803" s="67"/>
      <c r="U803" s="116"/>
    </row>
    <row r="804">
      <c r="A804" s="72"/>
      <c r="B804" s="95"/>
      <c r="C804" s="67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67"/>
      <c r="R804" s="67"/>
      <c r="S804" s="67"/>
      <c r="T804" s="67"/>
      <c r="U804" s="116"/>
    </row>
    <row r="805">
      <c r="A805" s="72"/>
      <c r="B805" s="95"/>
      <c r="C805" s="67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67"/>
      <c r="R805" s="67"/>
      <c r="S805" s="67"/>
      <c r="T805" s="67"/>
      <c r="U805" s="116"/>
    </row>
    <row r="806">
      <c r="A806" s="72"/>
      <c r="B806" s="95"/>
      <c r="C806" s="67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67"/>
      <c r="R806" s="67"/>
      <c r="S806" s="67"/>
      <c r="T806" s="67"/>
      <c r="U806" s="116"/>
    </row>
    <row r="807">
      <c r="A807" s="72"/>
      <c r="B807" s="95"/>
      <c r="C807" s="67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67"/>
      <c r="R807" s="67"/>
      <c r="S807" s="67"/>
      <c r="T807" s="67"/>
      <c r="U807" s="116"/>
    </row>
    <row r="808">
      <c r="A808" s="72"/>
      <c r="B808" s="95"/>
      <c r="C808" s="67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67"/>
      <c r="R808" s="67"/>
      <c r="S808" s="67"/>
      <c r="T808" s="67"/>
      <c r="U808" s="116"/>
    </row>
    <row r="809">
      <c r="A809" s="72"/>
      <c r="B809" s="95"/>
      <c r="C809" s="67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67"/>
      <c r="R809" s="67"/>
      <c r="S809" s="67"/>
      <c r="T809" s="67"/>
      <c r="U809" s="116"/>
    </row>
    <row r="810">
      <c r="A810" s="72"/>
      <c r="B810" s="95"/>
      <c r="C810" s="67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67"/>
      <c r="R810" s="67"/>
      <c r="S810" s="67"/>
      <c r="T810" s="67"/>
      <c r="U810" s="116"/>
    </row>
    <row r="811">
      <c r="A811" s="72"/>
      <c r="B811" s="95"/>
      <c r="C811" s="67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67"/>
      <c r="R811" s="67"/>
      <c r="S811" s="67"/>
      <c r="T811" s="67"/>
      <c r="U811" s="116"/>
    </row>
    <row r="812">
      <c r="A812" s="72"/>
      <c r="B812" s="95"/>
      <c r="C812" s="67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67"/>
      <c r="R812" s="67"/>
      <c r="S812" s="67"/>
      <c r="T812" s="67"/>
      <c r="U812" s="116"/>
    </row>
    <row r="813">
      <c r="A813" s="72"/>
      <c r="B813" s="95"/>
      <c r="C813" s="67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67"/>
      <c r="R813" s="67"/>
      <c r="S813" s="67"/>
      <c r="T813" s="67"/>
      <c r="U813" s="116"/>
    </row>
    <row r="814">
      <c r="A814" s="72"/>
      <c r="B814" s="95"/>
      <c r="C814" s="67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67"/>
      <c r="R814" s="67"/>
      <c r="S814" s="67"/>
      <c r="T814" s="67"/>
      <c r="U814" s="116"/>
    </row>
    <row r="815">
      <c r="A815" s="72"/>
      <c r="B815" s="95"/>
      <c r="C815" s="67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67"/>
      <c r="R815" s="67"/>
      <c r="S815" s="67"/>
      <c r="T815" s="67"/>
      <c r="U815" s="116"/>
    </row>
    <row r="816">
      <c r="A816" s="72"/>
      <c r="B816" s="95"/>
      <c r="C816" s="67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67"/>
      <c r="R816" s="67"/>
      <c r="S816" s="67"/>
      <c r="T816" s="67"/>
      <c r="U816" s="116"/>
    </row>
    <row r="817">
      <c r="A817" s="72"/>
      <c r="B817" s="95"/>
      <c r="C817" s="67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67"/>
      <c r="R817" s="67"/>
      <c r="S817" s="67"/>
      <c r="T817" s="67"/>
      <c r="U817" s="116"/>
    </row>
    <row r="818">
      <c r="A818" s="72"/>
      <c r="B818" s="95"/>
      <c r="C818" s="67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67"/>
      <c r="R818" s="67"/>
      <c r="S818" s="67"/>
      <c r="T818" s="67"/>
      <c r="U818" s="116"/>
    </row>
    <row r="819">
      <c r="A819" s="72"/>
      <c r="B819" s="95"/>
      <c r="C819" s="67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67"/>
      <c r="R819" s="67"/>
      <c r="S819" s="67"/>
      <c r="T819" s="67"/>
      <c r="U819" s="116"/>
    </row>
    <row r="820">
      <c r="A820" s="72"/>
      <c r="B820" s="95"/>
      <c r="C820" s="67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67"/>
      <c r="R820" s="67"/>
      <c r="S820" s="67"/>
      <c r="T820" s="67"/>
      <c r="U820" s="116"/>
    </row>
    <row r="821">
      <c r="A821" s="72"/>
      <c r="B821" s="95"/>
      <c r="C821" s="67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67"/>
      <c r="R821" s="67"/>
      <c r="S821" s="67"/>
      <c r="T821" s="67"/>
      <c r="U821" s="116"/>
    </row>
    <row r="822">
      <c r="A822" s="72"/>
      <c r="B822" s="95"/>
      <c r="C822" s="67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67"/>
      <c r="R822" s="67"/>
      <c r="S822" s="67"/>
      <c r="T822" s="67"/>
      <c r="U822" s="116"/>
    </row>
    <row r="823">
      <c r="A823" s="72"/>
      <c r="B823" s="95"/>
      <c r="C823" s="67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67"/>
      <c r="R823" s="67"/>
      <c r="S823" s="67"/>
      <c r="T823" s="67"/>
      <c r="U823" s="116"/>
    </row>
    <row r="824">
      <c r="A824" s="72"/>
      <c r="B824" s="95"/>
      <c r="C824" s="67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67"/>
      <c r="R824" s="67"/>
      <c r="S824" s="67"/>
      <c r="T824" s="67"/>
      <c r="U824" s="116"/>
    </row>
    <row r="825">
      <c r="A825" s="72"/>
      <c r="B825" s="95"/>
      <c r="C825" s="67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67"/>
      <c r="R825" s="67"/>
      <c r="S825" s="67"/>
      <c r="T825" s="67"/>
      <c r="U825" s="116"/>
    </row>
    <row r="826">
      <c r="A826" s="72"/>
      <c r="B826" s="95"/>
      <c r="C826" s="67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67"/>
      <c r="R826" s="67"/>
      <c r="S826" s="67"/>
      <c r="T826" s="67"/>
      <c r="U826" s="116"/>
    </row>
    <row r="827">
      <c r="A827" s="72"/>
      <c r="B827" s="95"/>
      <c r="C827" s="67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67"/>
      <c r="R827" s="67"/>
      <c r="S827" s="67"/>
      <c r="T827" s="67"/>
      <c r="U827" s="116"/>
    </row>
    <row r="828">
      <c r="A828" s="72"/>
      <c r="B828" s="95"/>
      <c r="C828" s="67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67"/>
      <c r="R828" s="67"/>
      <c r="S828" s="67"/>
      <c r="T828" s="67"/>
      <c r="U828" s="116"/>
    </row>
    <row r="829">
      <c r="A829" s="72"/>
      <c r="B829" s="95"/>
      <c r="C829" s="67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67"/>
      <c r="R829" s="67"/>
      <c r="S829" s="67"/>
      <c r="T829" s="67"/>
      <c r="U829" s="116"/>
    </row>
    <row r="830">
      <c r="A830" s="72"/>
      <c r="B830" s="95"/>
      <c r="C830" s="67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67"/>
      <c r="R830" s="67"/>
      <c r="S830" s="67"/>
      <c r="T830" s="67"/>
      <c r="U830" s="116"/>
    </row>
    <row r="831">
      <c r="A831" s="72"/>
      <c r="B831" s="95"/>
      <c r="C831" s="67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67"/>
      <c r="R831" s="67"/>
      <c r="S831" s="67"/>
      <c r="T831" s="67"/>
      <c r="U831" s="116"/>
    </row>
    <row r="832">
      <c r="A832" s="72"/>
      <c r="B832" s="95"/>
      <c r="C832" s="67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67"/>
      <c r="R832" s="67"/>
      <c r="S832" s="67"/>
      <c r="T832" s="67"/>
      <c r="U832" s="116"/>
    </row>
    <row r="833">
      <c r="A833" s="72"/>
      <c r="B833" s="95"/>
      <c r="C833" s="67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67"/>
      <c r="R833" s="67"/>
      <c r="S833" s="67"/>
      <c r="T833" s="67"/>
      <c r="U833" s="116"/>
    </row>
    <row r="834">
      <c r="A834" s="72"/>
      <c r="B834" s="95"/>
      <c r="C834" s="67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67"/>
      <c r="R834" s="67"/>
      <c r="S834" s="67"/>
      <c r="T834" s="67"/>
      <c r="U834" s="116"/>
    </row>
    <row r="835">
      <c r="A835" s="72"/>
      <c r="B835" s="95"/>
      <c r="C835" s="67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67"/>
      <c r="R835" s="67"/>
      <c r="S835" s="67"/>
      <c r="T835" s="67"/>
      <c r="U835" s="116"/>
    </row>
    <row r="836">
      <c r="A836" s="72"/>
      <c r="B836" s="95"/>
      <c r="C836" s="67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67"/>
      <c r="R836" s="67"/>
      <c r="S836" s="67"/>
      <c r="T836" s="67"/>
      <c r="U836" s="116"/>
    </row>
    <row r="837">
      <c r="A837" s="72"/>
      <c r="B837" s="95"/>
      <c r="C837" s="67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67"/>
      <c r="R837" s="67"/>
      <c r="S837" s="67"/>
      <c r="T837" s="67"/>
      <c r="U837" s="116"/>
    </row>
    <row r="838">
      <c r="A838" s="72"/>
      <c r="B838" s="95"/>
      <c r="C838" s="67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67"/>
      <c r="R838" s="67"/>
      <c r="S838" s="67"/>
      <c r="T838" s="67"/>
      <c r="U838" s="116"/>
    </row>
    <row r="839">
      <c r="A839" s="72"/>
      <c r="B839" s="95"/>
      <c r="C839" s="67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67"/>
      <c r="R839" s="67"/>
      <c r="S839" s="67"/>
      <c r="T839" s="67"/>
      <c r="U839" s="116"/>
    </row>
    <row r="840">
      <c r="A840" s="72"/>
      <c r="B840" s="95"/>
      <c r="C840" s="67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67"/>
      <c r="R840" s="67"/>
      <c r="S840" s="67"/>
      <c r="T840" s="67"/>
      <c r="U840" s="116"/>
    </row>
    <row r="841">
      <c r="A841" s="72"/>
      <c r="B841" s="95"/>
      <c r="C841" s="67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67"/>
      <c r="R841" s="67"/>
      <c r="S841" s="67"/>
      <c r="T841" s="67"/>
      <c r="U841" s="116"/>
    </row>
    <row r="842">
      <c r="A842" s="72"/>
      <c r="B842" s="95"/>
      <c r="C842" s="67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67"/>
      <c r="R842" s="67"/>
      <c r="S842" s="67"/>
      <c r="T842" s="67"/>
      <c r="U842" s="116"/>
    </row>
    <row r="843">
      <c r="A843" s="72"/>
      <c r="B843" s="95"/>
      <c r="C843" s="67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67"/>
      <c r="R843" s="67"/>
      <c r="S843" s="67"/>
      <c r="T843" s="67"/>
      <c r="U843" s="116"/>
    </row>
    <row r="844">
      <c r="A844" s="72"/>
      <c r="B844" s="95"/>
      <c r="C844" s="67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67"/>
      <c r="R844" s="67"/>
      <c r="S844" s="67"/>
      <c r="T844" s="67"/>
      <c r="U844" s="116"/>
    </row>
    <row r="845">
      <c r="A845" s="72"/>
      <c r="B845" s="95"/>
      <c r="C845" s="67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67"/>
      <c r="R845" s="67"/>
      <c r="S845" s="67"/>
      <c r="T845" s="67"/>
      <c r="U845" s="116"/>
    </row>
    <row r="846">
      <c r="A846" s="72"/>
      <c r="B846" s="95"/>
      <c r="C846" s="67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67"/>
      <c r="R846" s="67"/>
      <c r="S846" s="67"/>
      <c r="T846" s="67"/>
      <c r="U846" s="116"/>
    </row>
    <row r="847">
      <c r="A847" s="72"/>
      <c r="B847" s="95"/>
      <c r="C847" s="67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67"/>
      <c r="R847" s="67"/>
      <c r="S847" s="67"/>
      <c r="T847" s="67"/>
      <c r="U847" s="116"/>
    </row>
    <row r="848">
      <c r="A848" s="72"/>
      <c r="B848" s="95"/>
      <c r="C848" s="67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67"/>
      <c r="R848" s="67"/>
      <c r="S848" s="67"/>
      <c r="T848" s="67"/>
      <c r="U848" s="116"/>
    </row>
    <row r="849">
      <c r="A849" s="72"/>
      <c r="B849" s="95"/>
      <c r="C849" s="67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67"/>
      <c r="R849" s="67"/>
      <c r="S849" s="67"/>
      <c r="T849" s="67"/>
      <c r="U849" s="116"/>
    </row>
    <row r="850">
      <c r="A850" s="72"/>
      <c r="B850" s="95"/>
      <c r="C850" s="67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67"/>
      <c r="R850" s="67"/>
      <c r="S850" s="67"/>
      <c r="T850" s="67"/>
      <c r="U850" s="116"/>
    </row>
    <row r="851">
      <c r="A851" s="72"/>
      <c r="B851" s="95"/>
      <c r="C851" s="67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67"/>
      <c r="R851" s="67"/>
      <c r="S851" s="67"/>
      <c r="T851" s="67"/>
      <c r="U851" s="116"/>
    </row>
    <row r="852">
      <c r="A852" s="72"/>
      <c r="B852" s="95"/>
      <c r="C852" s="67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67"/>
      <c r="R852" s="67"/>
      <c r="S852" s="67"/>
      <c r="T852" s="67"/>
      <c r="U852" s="116"/>
    </row>
    <row r="853">
      <c r="A853" s="72"/>
      <c r="B853" s="95"/>
      <c r="C853" s="67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67"/>
      <c r="R853" s="67"/>
      <c r="S853" s="67"/>
      <c r="T853" s="67"/>
      <c r="U853" s="116"/>
    </row>
    <row r="854">
      <c r="A854" s="72"/>
      <c r="B854" s="95"/>
      <c r="C854" s="67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67"/>
      <c r="R854" s="67"/>
      <c r="S854" s="67"/>
      <c r="T854" s="67"/>
      <c r="U854" s="116"/>
    </row>
    <row r="855">
      <c r="A855" s="72"/>
      <c r="B855" s="95"/>
      <c r="C855" s="67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67"/>
      <c r="R855" s="67"/>
      <c r="S855" s="67"/>
      <c r="T855" s="67"/>
      <c r="U855" s="116"/>
    </row>
    <row r="856">
      <c r="A856" s="72"/>
      <c r="B856" s="95"/>
      <c r="C856" s="67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67"/>
      <c r="R856" s="67"/>
      <c r="S856" s="67"/>
      <c r="T856" s="67"/>
      <c r="U856" s="116"/>
    </row>
    <row r="857">
      <c r="A857" s="72"/>
      <c r="B857" s="95"/>
      <c r="C857" s="67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67"/>
      <c r="R857" s="67"/>
      <c r="S857" s="67"/>
      <c r="T857" s="67"/>
      <c r="U857" s="116"/>
    </row>
    <row r="858">
      <c r="A858" s="72"/>
      <c r="B858" s="95"/>
      <c r="C858" s="67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67"/>
      <c r="R858" s="67"/>
      <c r="S858" s="67"/>
      <c r="T858" s="67"/>
      <c r="U858" s="116"/>
    </row>
    <row r="859">
      <c r="A859" s="72"/>
      <c r="B859" s="95"/>
      <c r="C859" s="67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67"/>
      <c r="R859" s="67"/>
      <c r="S859" s="67"/>
      <c r="T859" s="67"/>
      <c r="U859" s="116"/>
    </row>
    <row r="860">
      <c r="A860" s="72"/>
      <c r="B860" s="95"/>
      <c r="C860" s="67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67"/>
      <c r="R860" s="67"/>
      <c r="S860" s="67"/>
      <c r="T860" s="67"/>
      <c r="U860" s="116"/>
    </row>
    <row r="861">
      <c r="A861" s="72"/>
      <c r="B861" s="95"/>
      <c r="C861" s="67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67"/>
      <c r="R861" s="67"/>
      <c r="S861" s="67"/>
      <c r="T861" s="67"/>
      <c r="U861" s="116"/>
    </row>
    <row r="862">
      <c r="A862" s="72"/>
      <c r="B862" s="95"/>
      <c r="C862" s="67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67"/>
      <c r="R862" s="67"/>
      <c r="S862" s="67"/>
      <c r="T862" s="67"/>
      <c r="U862" s="116"/>
    </row>
    <row r="863">
      <c r="A863" s="72"/>
      <c r="B863" s="95"/>
      <c r="C863" s="67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67"/>
      <c r="R863" s="67"/>
      <c r="S863" s="67"/>
      <c r="T863" s="67"/>
      <c r="U863" s="116"/>
    </row>
    <row r="864">
      <c r="A864" s="72"/>
      <c r="B864" s="95"/>
      <c r="C864" s="67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67"/>
      <c r="R864" s="67"/>
      <c r="S864" s="67"/>
      <c r="T864" s="67"/>
      <c r="U864" s="116"/>
    </row>
    <row r="865">
      <c r="A865" s="72"/>
      <c r="B865" s="95"/>
      <c r="C865" s="67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67"/>
      <c r="R865" s="67"/>
      <c r="S865" s="67"/>
      <c r="T865" s="67"/>
      <c r="U865" s="116"/>
    </row>
    <row r="866">
      <c r="A866" s="72"/>
      <c r="B866" s="95"/>
      <c r="C866" s="67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67"/>
      <c r="R866" s="67"/>
      <c r="S866" s="67"/>
      <c r="T866" s="67"/>
      <c r="U866" s="116"/>
    </row>
    <row r="867">
      <c r="A867" s="72"/>
      <c r="B867" s="95"/>
      <c r="C867" s="67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67"/>
      <c r="R867" s="67"/>
      <c r="S867" s="67"/>
      <c r="T867" s="67"/>
      <c r="U867" s="116"/>
    </row>
    <row r="868">
      <c r="A868" s="72"/>
      <c r="B868" s="95"/>
      <c r="C868" s="67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67"/>
      <c r="R868" s="67"/>
      <c r="S868" s="67"/>
      <c r="T868" s="67"/>
      <c r="U868" s="116"/>
    </row>
    <row r="869">
      <c r="A869" s="72"/>
      <c r="B869" s="95"/>
      <c r="C869" s="67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67"/>
      <c r="R869" s="67"/>
      <c r="S869" s="67"/>
      <c r="T869" s="67"/>
      <c r="U869" s="116"/>
    </row>
    <row r="870">
      <c r="A870" s="72"/>
      <c r="B870" s="95"/>
      <c r="C870" s="67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67"/>
      <c r="R870" s="67"/>
      <c r="S870" s="67"/>
      <c r="T870" s="67"/>
      <c r="U870" s="116"/>
    </row>
    <row r="871">
      <c r="A871" s="72"/>
      <c r="B871" s="95"/>
      <c r="C871" s="67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67"/>
      <c r="R871" s="67"/>
      <c r="S871" s="67"/>
      <c r="T871" s="67"/>
      <c r="U871" s="116"/>
    </row>
    <row r="872">
      <c r="A872" s="72"/>
      <c r="B872" s="95"/>
      <c r="C872" s="67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67"/>
      <c r="R872" s="67"/>
      <c r="S872" s="67"/>
      <c r="T872" s="67"/>
      <c r="U872" s="116"/>
    </row>
    <row r="873">
      <c r="A873" s="72"/>
      <c r="B873" s="95"/>
      <c r="C873" s="67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67"/>
      <c r="R873" s="67"/>
      <c r="S873" s="67"/>
      <c r="T873" s="67"/>
      <c r="U873" s="116"/>
    </row>
    <row r="874">
      <c r="A874" s="72"/>
      <c r="B874" s="95"/>
      <c r="C874" s="67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67"/>
      <c r="R874" s="67"/>
      <c r="S874" s="67"/>
      <c r="T874" s="67"/>
      <c r="U874" s="116"/>
    </row>
    <row r="875">
      <c r="A875" s="72"/>
      <c r="B875" s="95"/>
      <c r="C875" s="67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67"/>
      <c r="R875" s="67"/>
      <c r="S875" s="67"/>
      <c r="T875" s="67"/>
      <c r="U875" s="116"/>
    </row>
    <row r="876">
      <c r="A876" s="72"/>
      <c r="B876" s="95"/>
      <c r="C876" s="67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67"/>
      <c r="R876" s="67"/>
      <c r="S876" s="67"/>
      <c r="T876" s="67"/>
      <c r="U876" s="116"/>
    </row>
    <row r="877">
      <c r="A877" s="72"/>
      <c r="B877" s="95"/>
      <c r="C877" s="67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67"/>
      <c r="R877" s="67"/>
      <c r="S877" s="67"/>
      <c r="T877" s="67"/>
      <c r="U877" s="116"/>
    </row>
    <row r="878">
      <c r="A878" s="72"/>
      <c r="B878" s="95"/>
      <c r="C878" s="67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67"/>
      <c r="R878" s="67"/>
      <c r="S878" s="67"/>
      <c r="T878" s="67"/>
      <c r="U878" s="116"/>
    </row>
    <row r="879">
      <c r="A879" s="72"/>
      <c r="B879" s="95"/>
      <c r="C879" s="67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67"/>
      <c r="R879" s="67"/>
      <c r="S879" s="67"/>
      <c r="T879" s="67"/>
      <c r="U879" s="116"/>
    </row>
    <row r="880">
      <c r="A880" s="72"/>
      <c r="B880" s="95"/>
      <c r="C880" s="67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67"/>
      <c r="R880" s="67"/>
      <c r="S880" s="67"/>
      <c r="T880" s="67"/>
      <c r="U880" s="116"/>
    </row>
    <row r="881">
      <c r="A881" s="72"/>
      <c r="B881" s="95"/>
      <c r="C881" s="67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67"/>
      <c r="R881" s="67"/>
      <c r="S881" s="67"/>
      <c r="T881" s="67"/>
      <c r="U881" s="116"/>
    </row>
    <row r="882">
      <c r="A882" s="72"/>
      <c r="B882" s="95"/>
      <c r="C882" s="67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67"/>
      <c r="R882" s="67"/>
      <c r="S882" s="67"/>
      <c r="T882" s="67"/>
      <c r="U882" s="116"/>
    </row>
    <row r="883">
      <c r="A883" s="72"/>
      <c r="B883" s="95"/>
      <c r="C883" s="67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67"/>
      <c r="R883" s="67"/>
      <c r="S883" s="67"/>
      <c r="T883" s="67"/>
      <c r="U883" s="116"/>
    </row>
    <row r="884">
      <c r="A884" s="72"/>
      <c r="B884" s="95"/>
      <c r="C884" s="67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67"/>
      <c r="R884" s="67"/>
      <c r="S884" s="67"/>
      <c r="T884" s="67"/>
      <c r="U884" s="116"/>
    </row>
    <row r="885">
      <c r="A885" s="72"/>
      <c r="B885" s="95"/>
      <c r="C885" s="67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67"/>
      <c r="R885" s="67"/>
      <c r="S885" s="67"/>
      <c r="T885" s="67"/>
      <c r="U885" s="116"/>
    </row>
    <row r="886">
      <c r="A886" s="72"/>
      <c r="B886" s="95"/>
      <c r="C886" s="67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67"/>
      <c r="R886" s="67"/>
      <c r="S886" s="67"/>
      <c r="T886" s="67"/>
      <c r="U886" s="116"/>
    </row>
    <row r="887">
      <c r="A887" s="72"/>
      <c r="B887" s="95"/>
      <c r="C887" s="67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67"/>
      <c r="R887" s="67"/>
      <c r="S887" s="67"/>
      <c r="T887" s="67"/>
      <c r="U887" s="116"/>
    </row>
    <row r="888">
      <c r="A888" s="72"/>
      <c r="B888" s="95"/>
      <c r="C888" s="67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67"/>
      <c r="R888" s="67"/>
      <c r="S888" s="67"/>
      <c r="T888" s="67"/>
      <c r="U888" s="116"/>
    </row>
    <row r="889">
      <c r="A889" s="72"/>
      <c r="B889" s="95"/>
      <c r="C889" s="67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67"/>
      <c r="R889" s="67"/>
      <c r="S889" s="67"/>
      <c r="T889" s="67"/>
      <c r="U889" s="116"/>
    </row>
    <row r="890">
      <c r="A890" s="72"/>
      <c r="B890" s="95"/>
      <c r="C890" s="67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67"/>
      <c r="R890" s="67"/>
      <c r="S890" s="67"/>
      <c r="T890" s="67"/>
      <c r="U890" s="116"/>
    </row>
    <row r="891">
      <c r="A891" s="72"/>
      <c r="B891" s="95"/>
      <c r="C891" s="67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67"/>
      <c r="R891" s="67"/>
      <c r="S891" s="67"/>
      <c r="T891" s="67"/>
      <c r="U891" s="116"/>
    </row>
    <row r="892">
      <c r="A892" s="72"/>
      <c r="B892" s="95"/>
      <c r="C892" s="67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67"/>
      <c r="R892" s="67"/>
      <c r="S892" s="67"/>
      <c r="T892" s="67"/>
      <c r="U892" s="116"/>
    </row>
    <row r="893">
      <c r="A893" s="72"/>
      <c r="B893" s="95"/>
      <c r="C893" s="67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67"/>
      <c r="R893" s="67"/>
      <c r="S893" s="67"/>
      <c r="T893" s="67"/>
      <c r="U893" s="116"/>
    </row>
    <row r="894">
      <c r="A894" s="72"/>
      <c r="B894" s="95"/>
      <c r="C894" s="67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67"/>
      <c r="R894" s="67"/>
      <c r="S894" s="67"/>
      <c r="T894" s="67"/>
      <c r="U894" s="116"/>
    </row>
    <row r="895">
      <c r="A895" s="72"/>
      <c r="B895" s="95"/>
      <c r="C895" s="67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67"/>
      <c r="R895" s="67"/>
      <c r="S895" s="67"/>
      <c r="T895" s="67"/>
      <c r="U895" s="116"/>
    </row>
    <row r="896">
      <c r="A896" s="72"/>
      <c r="B896" s="95"/>
      <c r="C896" s="67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67"/>
      <c r="R896" s="67"/>
      <c r="S896" s="67"/>
      <c r="T896" s="67"/>
      <c r="U896" s="116"/>
    </row>
    <row r="897">
      <c r="A897" s="72"/>
      <c r="B897" s="95"/>
      <c r="C897" s="67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67"/>
      <c r="R897" s="67"/>
      <c r="S897" s="67"/>
      <c r="T897" s="67"/>
      <c r="U897" s="116"/>
    </row>
    <row r="898">
      <c r="A898" s="72"/>
      <c r="B898" s="95"/>
      <c r="C898" s="67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67"/>
      <c r="R898" s="67"/>
      <c r="S898" s="67"/>
      <c r="T898" s="67"/>
      <c r="U898" s="116"/>
    </row>
    <row r="899">
      <c r="A899" s="72"/>
      <c r="B899" s="95"/>
      <c r="C899" s="67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67"/>
      <c r="R899" s="67"/>
      <c r="S899" s="67"/>
      <c r="T899" s="67"/>
      <c r="U899" s="116"/>
    </row>
    <row r="900">
      <c r="A900" s="72"/>
      <c r="B900" s="95"/>
      <c r="C900" s="67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67"/>
      <c r="R900" s="67"/>
      <c r="S900" s="67"/>
      <c r="T900" s="67"/>
      <c r="U900" s="116"/>
    </row>
    <row r="901">
      <c r="A901" s="72"/>
      <c r="B901" s="95"/>
      <c r="C901" s="67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67"/>
      <c r="R901" s="67"/>
      <c r="S901" s="67"/>
      <c r="T901" s="67"/>
      <c r="U901" s="116"/>
    </row>
    <row r="902">
      <c r="A902" s="72"/>
      <c r="B902" s="95"/>
      <c r="C902" s="67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67"/>
      <c r="R902" s="67"/>
      <c r="S902" s="67"/>
      <c r="T902" s="67"/>
      <c r="U902" s="116"/>
    </row>
    <row r="903">
      <c r="A903" s="72"/>
      <c r="B903" s="95"/>
      <c r="C903" s="67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67"/>
      <c r="R903" s="67"/>
      <c r="S903" s="67"/>
      <c r="T903" s="67"/>
      <c r="U903" s="116"/>
    </row>
    <row r="904">
      <c r="A904" s="72"/>
      <c r="B904" s="95"/>
      <c r="C904" s="67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67"/>
      <c r="R904" s="67"/>
      <c r="S904" s="67"/>
      <c r="T904" s="67"/>
      <c r="U904" s="116"/>
    </row>
    <row r="905">
      <c r="A905" s="72"/>
      <c r="B905" s="95"/>
      <c r="C905" s="67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67"/>
      <c r="R905" s="67"/>
      <c r="S905" s="67"/>
      <c r="T905" s="67"/>
      <c r="U905" s="116"/>
    </row>
    <row r="906">
      <c r="A906" s="72"/>
      <c r="B906" s="95"/>
      <c r="C906" s="67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67"/>
      <c r="R906" s="67"/>
      <c r="S906" s="67"/>
      <c r="T906" s="67"/>
      <c r="U906" s="116"/>
    </row>
    <row r="907">
      <c r="A907" s="72"/>
      <c r="B907" s="95"/>
      <c r="C907" s="67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67"/>
      <c r="R907" s="67"/>
      <c r="S907" s="67"/>
      <c r="T907" s="67"/>
      <c r="U907" s="116"/>
    </row>
    <row r="908">
      <c r="A908" s="72"/>
      <c r="B908" s="95"/>
      <c r="C908" s="67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67"/>
      <c r="R908" s="67"/>
      <c r="S908" s="67"/>
      <c r="T908" s="67"/>
      <c r="U908" s="116"/>
    </row>
    <row r="909">
      <c r="A909" s="72"/>
      <c r="B909" s="95"/>
      <c r="C909" s="67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67"/>
      <c r="R909" s="67"/>
      <c r="S909" s="67"/>
      <c r="T909" s="67"/>
      <c r="U909" s="116"/>
    </row>
    <row r="910">
      <c r="A910" s="72"/>
      <c r="B910" s="95"/>
      <c r="C910" s="67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67"/>
      <c r="R910" s="67"/>
      <c r="S910" s="67"/>
      <c r="T910" s="67"/>
      <c r="U910" s="116"/>
    </row>
    <row r="911">
      <c r="A911" s="72"/>
      <c r="B911" s="95"/>
      <c r="C911" s="67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67"/>
      <c r="R911" s="67"/>
      <c r="S911" s="67"/>
      <c r="T911" s="67"/>
      <c r="U911" s="116"/>
    </row>
    <row r="912">
      <c r="A912" s="72"/>
      <c r="B912" s="95"/>
      <c r="C912" s="67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67"/>
      <c r="R912" s="67"/>
      <c r="S912" s="67"/>
      <c r="T912" s="67"/>
      <c r="U912" s="116"/>
    </row>
    <row r="913">
      <c r="A913" s="72"/>
      <c r="B913" s="95"/>
      <c r="C913" s="67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67"/>
      <c r="R913" s="67"/>
      <c r="S913" s="67"/>
      <c r="T913" s="67"/>
      <c r="U913" s="116"/>
    </row>
    <row r="914">
      <c r="A914" s="72"/>
      <c r="B914" s="95"/>
      <c r="C914" s="67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67"/>
      <c r="R914" s="67"/>
      <c r="S914" s="67"/>
      <c r="T914" s="67"/>
      <c r="U914" s="116"/>
    </row>
    <row r="915">
      <c r="A915" s="72"/>
      <c r="B915" s="95"/>
      <c r="C915" s="67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67"/>
      <c r="R915" s="67"/>
      <c r="S915" s="67"/>
      <c r="T915" s="67"/>
      <c r="U915" s="116"/>
    </row>
    <row r="916">
      <c r="A916" s="72"/>
      <c r="B916" s="95"/>
      <c r="C916" s="67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67"/>
      <c r="R916" s="67"/>
      <c r="S916" s="67"/>
      <c r="T916" s="67"/>
      <c r="U916" s="116"/>
    </row>
    <row r="917">
      <c r="A917" s="72"/>
      <c r="B917" s="95"/>
      <c r="C917" s="67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67"/>
      <c r="R917" s="67"/>
      <c r="S917" s="67"/>
      <c r="T917" s="67"/>
      <c r="U917" s="116"/>
    </row>
    <row r="918">
      <c r="A918" s="72"/>
      <c r="B918" s="95"/>
      <c r="C918" s="67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67"/>
      <c r="R918" s="67"/>
      <c r="S918" s="67"/>
      <c r="T918" s="67"/>
      <c r="U918" s="116"/>
    </row>
    <row r="919">
      <c r="A919" s="72"/>
      <c r="B919" s="95"/>
      <c r="C919" s="67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67"/>
      <c r="R919" s="67"/>
      <c r="S919" s="67"/>
      <c r="T919" s="67"/>
      <c r="U919" s="116"/>
    </row>
    <row r="920">
      <c r="A920" s="72"/>
      <c r="B920" s="95"/>
      <c r="C920" s="67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67"/>
      <c r="R920" s="67"/>
      <c r="S920" s="67"/>
      <c r="T920" s="67"/>
      <c r="U920" s="116"/>
    </row>
    <row r="921">
      <c r="A921" s="72"/>
      <c r="B921" s="95"/>
      <c r="C921" s="67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67"/>
      <c r="R921" s="67"/>
      <c r="S921" s="67"/>
      <c r="T921" s="67"/>
      <c r="U921" s="116"/>
    </row>
    <row r="922">
      <c r="A922" s="72"/>
      <c r="B922" s="95"/>
      <c r="C922" s="67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67"/>
      <c r="R922" s="67"/>
      <c r="S922" s="67"/>
      <c r="T922" s="67"/>
      <c r="U922" s="116"/>
    </row>
    <row r="923">
      <c r="A923" s="72"/>
      <c r="B923" s="95"/>
      <c r="C923" s="67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67"/>
      <c r="R923" s="67"/>
      <c r="S923" s="67"/>
      <c r="T923" s="67"/>
      <c r="U923" s="116"/>
    </row>
    <row r="924">
      <c r="A924" s="72"/>
      <c r="B924" s="95"/>
      <c r="C924" s="67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67"/>
      <c r="R924" s="67"/>
      <c r="S924" s="67"/>
      <c r="T924" s="67"/>
      <c r="U924" s="116"/>
    </row>
    <row r="925">
      <c r="A925" s="72"/>
      <c r="B925" s="95"/>
      <c r="C925" s="67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67"/>
      <c r="R925" s="67"/>
      <c r="S925" s="67"/>
      <c r="T925" s="67"/>
      <c r="U925" s="116"/>
    </row>
    <row r="926">
      <c r="A926" s="72"/>
      <c r="B926" s="95"/>
      <c r="C926" s="67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67"/>
      <c r="R926" s="67"/>
      <c r="S926" s="67"/>
      <c r="T926" s="67"/>
      <c r="U926" s="116"/>
    </row>
    <row r="927">
      <c r="A927" s="72"/>
      <c r="B927" s="95"/>
      <c r="C927" s="67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67"/>
      <c r="R927" s="67"/>
      <c r="S927" s="67"/>
      <c r="T927" s="67"/>
      <c r="U927" s="116"/>
    </row>
    <row r="928">
      <c r="A928" s="72"/>
      <c r="B928" s="95"/>
      <c r="C928" s="67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67"/>
      <c r="R928" s="67"/>
      <c r="S928" s="67"/>
      <c r="T928" s="67"/>
      <c r="U928" s="116"/>
    </row>
    <row r="929">
      <c r="A929" s="72"/>
      <c r="B929" s="95"/>
      <c r="C929" s="67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67"/>
      <c r="R929" s="67"/>
      <c r="S929" s="67"/>
      <c r="T929" s="67"/>
      <c r="U929" s="116"/>
    </row>
    <row r="930">
      <c r="A930" s="72"/>
      <c r="B930" s="95"/>
      <c r="C930" s="67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67"/>
      <c r="R930" s="67"/>
      <c r="S930" s="67"/>
      <c r="T930" s="67"/>
      <c r="U930" s="116"/>
    </row>
    <row r="931">
      <c r="A931" s="72"/>
      <c r="B931" s="95"/>
      <c r="C931" s="67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67"/>
      <c r="R931" s="67"/>
      <c r="S931" s="67"/>
      <c r="T931" s="67"/>
      <c r="U931" s="116"/>
    </row>
    <row r="932">
      <c r="A932" s="72"/>
      <c r="B932" s="95"/>
      <c r="C932" s="67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67"/>
      <c r="R932" s="67"/>
      <c r="S932" s="67"/>
      <c r="T932" s="67"/>
      <c r="U932" s="116"/>
    </row>
    <row r="933">
      <c r="A933" s="72"/>
      <c r="B933" s="95"/>
      <c r="C933" s="67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67"/>
      <c r="R933" s="67"/>
      <c r="S933" s="67"/>
      <c r="T933" s="67"/>
      <c r="U933" s="116"/>
    </row>
    <row r="934">
      <c r="A934" s="72"/>
      <c r="B934" s="95"/>
      <c r="C934" s="67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67"/>
      <c r="R934" s="67"/>
      <c r="S934" s="67"/>
      <c r="T934" s="67"/>
      <c r="U934" s="116"/>
    </row>
    <row r="935">
      <c r="A935" s="72"/>
      <c r="B935" s="95"/>
      <c r="C935" s="67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67"/>
      <c r="R935" s="67"/>
      <c r="S935" s="67"/>
      <c r="T935" s="67"/>
      <c r="U935" s="116"/>
    </row>
    <row r="936">
      <c r="A936" s="72"/>
      <c r="B936" s="95"/>
      <c r="C936" s="67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67"/>
      <c r="R936" s="67"/>
      <c r="S936" s="67"/>
      <c r="T936" s="67"/>
      <c r="U936" s="116"/>
    </row>
    <row r="937">
      <c r="A937" s="72"/>
      <c r="B937" s="95"/>
      <c r="C937" s="67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67"/>
      <c r="R937" s="67"/>
      <c r="S937" s="67"/>
      <c r="T937" s="67"/>
      <c r="U937" s="116"/>
    </row>
    <row r="938">
      <c r="A938" s="72"/>
      <c r="B938" s="95"/>
      <c r="C938" s="67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67"/>
      <c r="R938" s="67"/>
      <c r="S938" s="67"/>
      <c r="T938" s="67"/>
      <c r="U938" s="116"/>
    </row>
    <row r="939">
      <c r="A939" s="72"/>
      <c r="B939" s="95"/>
      <c r="C939" s="67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67"/>
      <c r="R939" s="67"/>
      <c r="S939" s="67"/>
      <c r="T939" s="67"/>
      <c r="U939" s="116"/>
    </row>
    <row r="940">
      <c r="A940" s="72"/>
      <c r="B940" s="95"/>
      <c r="C940" s="67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67"/>
      <c r="R940" s="67"/>
      <c r="S940" s="67"/>
      <c r="T940" s="67"/>
      <c r="U940" s="116"/>
    </row>
    <row r="941">
      <c r="A941" s="72"/>
      <c r="B941" s="95"/>
      <c r="C941" s="67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67"/>
      <c r="R941" s="67"/>
      <c r="S941" s="67"/>
      <c r="T941" s="67"/>
      <c r="U941" s="116"/>
    </row>
    <row r="942">
      <c r="A942" s="72"/>
      <c r="B942" s="95"/>
      <c r="C942" s="67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67"/>
      <c r="R942" s="67"/>
      <c r="S942" s="67"/>
      <c r="T942" s="67"/>
      <c r="U942" s="116"/>
    </row>
    <row r="943">
      <c r="A943" s="72"/>
      <c r="B943" s="95"/>
      <c r="C943" s="67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67"/>
      <c r="R943" s="67"/>
      <c r="S943" s="67"/>
      <c r="T943" s="67"/>
      <c r="U943" s="116"/>
    </row>
    <row r="944">
      <c r="A944" s="72"/>
      <c r="B944" s="95"/>
      <c r="C944" s="67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67"/>
      <c r="R944" s="67"/>
      <c r="S944" s="67"/>
      <c r="T944" s="67"/>
      <c r="U944" s="116"/>
    </row>
    <row r="945">
      <c r="A945" s="72"/>
      <c r="B945" s="95"/>
      <c r="C945" s="67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67"/>
      <c r="R945" s="67"/>
      <c r="S945" s="67"/>
      <c r="T945" s="67"/>
      <c r="U945" s="116"/>
    </row>
    <row r="946">
      <c r="A946" s="72"/>
      <c r="B946" s="95"/>
      <c r="C946" s="67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67"/>
      <c r="R946" s="67"/>
      <c r="S946" s="67"/>
      <c r="T946" s="67"/>
      <c r="U946" s="116"/>
    </row>
    <row r="947">
      <c r="A947" s="72"/>
      <c r="B947" s="95"/>
      <c r="C947" s="67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67"/>
      <c r="R947" s="67"/>
      <c r="S947" s="67"/>
      <c r="T947" s="67"/>
      <c r="U947" s="116"/>
    </row>
    <row r="948">
      <c r="A948" s="72"/>
      <c r="B948" s="95"/>
      <c r="C948" s="67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67"/>
      <c r="R948" s="67"/>
      <c r="S948" s="67"/>
      <c r="T948" s="67"/>
      <c r="U948" s="116"/>
    </row>
    <row r="949">
      <c r="A949" s="72"/>
      <c r="B949" s="95"/>
      <c r="C949" s="67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67"/>
      <c r="R949" s="67"/>
      <c r="S949" s="67"/>
      <c r="T949" s="67"/>
      <c r="U949" s="116"/>
    </row>
    <row r="950">
      <c r="A950" s="72"/>
      <c r="B950" s="95"/>
      <c r="C950" s="67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67"/>
      <c r="R950" s="67"/>
      <c r="S950" s="67"/>
      <c r="T950" s="67"/>
      <c r="U950" s="116"/>
    </row>
    <row r="951">
      <c r="A951" s="72"/>
      <c r="B951" s="95"/>
      <c r="C951" s="67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67"/>
      <c r="R951" s="67"/>
      <c r="S951" s="67"/>
      <c r="T951" s="67"/>
      <c r="U951" s="116"/>
    </row>
    <row r="952">
      <c r="A952" s="72"/>
      <c r="B952" s="95"/>
      <c r="C952" s="67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67"/>
      <c r="R952" s="67"/>
      <c r="S952" s="67"/>
      <c r="T952" s="67"/>
      <c r="U952" s="116"/>
    </row>
    <row r="953">
      <c r="A953" s="72"/>
      <c r="B953" s="95"/>
      <c r="C953" s="67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67"/>
      <c r="R953" s="67"/>
      <c r="S953" s="67"/>
      <c r="T953" s="67"/>
      <c r="U953" s="116"/>
    </row>
    <row r="954">
      <c r="A954" s="72"/>
      <c r="B954" s="95"/>
      <c r="C954" s="67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67"/>
      <c r="R954" s="67"/>
      <c r="S954" s="67"/>
      <c r="T954" s="67"/>
      <c r="U954" s="116"/>
    </row>
    <row r="955">
      <c r="A955" s="72"/>
      <c r="B955" s="95"/>
      <c r="C955" s="67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67"/>
      <c r="R955" s="67"/>
      <c r="S955" s="67"/>
      <c r="T955" s="67"/>
      <c r="U955" s="116"/>
    </row>
    <row r="956">
      <c r="A956" s="72"/>
      <c r="B956" s="95"/>
      <c r="C956" s="67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67"/>
      <c r="R956" s="67"/>
      <c r="S956" s="67"/>
      <c r="T956" s="67"/>
      <c r="U956" s="116"/>
    </row>
    <row r="957">
      <c r="A957" s="72"/>
      <c r="B957" s="95"/>
      <c r="C957" s="67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67"/>
      <c r="R957" s="67"/>
      <c r="S957" s="67"/>
      <c r="T957" s="67"/>
      <c r="U957" s="116"/>
    </row>
    <row r="958">
      <c r="A958" s="72"/>
      <c r="B958" s="95"/>
      <c r="C958" s="67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67"/>
      <c r="R958" s="67"/>
      <c r="S958" s="67"/>
      <c r="T958" s="67"/>
      <c r="U958" s="116"/>
    </row>
    <row r="959">
      <c r="A959" s="72"/>
      <c r="B959" s="95"/>
      <c r="C959" s="67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67"/>
      <c r="R959" s="67"/>
      <c r="S959" s="67"/>
      <c r="T959" s="67"/>
      <c r="U959" s="116"/>
    </row>
    <row r="960">
      <c r="A960" s="72"/>
      <c r="B960" s="95"/>
      <c r="C960" s="67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67"/>
      <c r="R960" s="67"/>
      <c r="S960" s="67"/>
      <c r="T960" s="67"/>
      <c r="U960" s="116"/>
    </row>
    <row r="961">
      <c r="A961" s="72"/>
      <c r="B961" s="95"/>
      <c r="C961" s="67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67"/>
      <c r="R961" s="67"/>
      <c r="S961" s="67"/>
      <c r="T961" s="67"/>
      <c r="U961" s="116"/>
    </row>
    <row r="962">
      <c r="A962" s="72"/>
      <c r="B962" s="95"/>
      <c r="C962" s="67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67"/>
      <c r="R962" s="67"/>
      <c r="S962" s="67"/>
      <c r="T962" s="67"/>
      <c r="U962" s="116"/>
    </row>
    <row r="963">
      <c r="A963" s="72"/>
      <c r="B963" s="95"/>
      <c r="C963" s="67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67"/>
      <c r="R963" s="67"/>
      <c r="S963" s="67"/>
      <c r="T963" s="67"/>
      <c r="U963" s="116"/>
    </row>
    <row r="964">
      <c r="A964" s="72"/>
      <c r="B964" s="95"/>
      <c r="C964" s="67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67"/>
      <c r="R964" s="67"/>
      <c r="S964" s="67"/>
      <c r="T964" s="67"/>
      <c r="U964" s="116"/>
    </row>
    <row r="965">
      <c r="A965" s="72"/>
      <c r="B965" s="95"/>
      <c r="C965" s="67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67"/>
      <c r="R965" s="67"/>
      <c r="S965" s="67"/>
      <c r="T965" s="67"/>
      <c r="U965" s="116"/>
    </row>
    <row r="966">
      <c r="A966" s="72"/>
      <c r="B966" s="95"/>
      <c r="C966" s="67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67"/>
      <c r="R966" s="67"/>
      <c r="S966" s="67"/>
      <c r="T966" s="67"/>
      <c r="U966" s="116"/>
    </row>
    <row r="967">
      <c r="A967" s="72"/>
      <c r="B967" s="95"/>
      <c r="C967" s="67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67"/>
      <c r="R967" s="67"/>
      <c r="S967" s="67"/>
      <c r="T967" s="67"/>
      <c r="U967" s="116"/>
    </row>
    <row r="968">
      <c r="A968" s="72"/>
      <c r="B968" s="95"/>
      <c r="C968" s="67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67"/>
      <c r="R968" s="67"/>
      <c r="S968" s="67"/>
      <c r="T968" s="67"/>
      <c r="U968" s="116"/>
    </row>
    <row r="969">
      <c r="A969" s="72"/>
      <c r="B969" s="95"/>
      <c r="C969" s="67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67"/>
      <c r="R969" s="67"/>
      <c r="S969" s="67"/>
      <c r="T969" s="67"/>
      <c r="U969" s="116"/>
    </row>
    <row r="970">
      <c r="A970" s="72"/>
      <c r="B970" s="95"/>
      <c r="C970" s="67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67"/>
      <c r="R970" s="67"/>
      <c r="S970" s="67"/>
      <c r="T970" s="67"/>
      <c r="U970" s="116"/>
    </row>
    <row r="971">
      <c r="A971" s="72"/>
      <c r="B971" s="95"/>
      <c r="C971" s="67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67"/>
      <c r="R971" s="67"/>
      <c r="S971" s="67"/>
      <c r="T971" s="67"/>
      <c r="U971" s="116"/>
    </row>
    <row r="972">
      <c r="A972" s="72"/>
      <c r="B972" s="95"/>
      <c r="C972" s="67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67"/>
      <c r="R972" s="67"/>
      <c r="S972" s="67"/>
      <c r="T972" s="67"/>
      <c r="U972" s="116"/>
    </row>
    <row r="973">
      <c r="A973" s="72"/>
      <c r="B973" s="95"/>
      <c r="C973" s="67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67"/>
      <c r="R973" s="67"/>
      <c r="S973" s="67"/>
      <c r="T973" s="67"/>
      <c r="U973" s="116"/>
    </row>
    <row r="974">
      <c r="A974" s="72"/>
      <c r="B974" s="95"/>
      <c r="C974" s="67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67"/>
      <c r="R974" s="67"/>
      <c r="S974" s="67"/>
      <c r="T974" s="67"/>
      <c r="U974" s="116"/>
    </row>
    <row r="975">
      <c r="A975" s="72"/>
      <c r="B975" s="95"/>
      <c r="C975" s="67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67"/>
      <c r="R975" s="67"/>
      <c r="S975" s="67"/>
      <c r="T975" s="67"/>
      <c r="U975" s="116"/>
    </row>
    <row r="976">
      <c r="A976" s="72"/>
      <c r="B976" s="95"/>
      <c r="C976" s="67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67"/>
      <c r="R976" s="67"/>
      <c r="S976" s="67"/>
      <c r="T976" s="67"/>
      <c r="U976" s="116"/>
    </row>
    <row r="977">
      <c r="A977" s="72"/>
      <c r="B977" s="95"/>
      <c r="C977" s="67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67"/>
      <c r="R977" s="67"/>
      <c r="S977" s="67"/>
      <c r="T977" s="67"/>
      <c r="U977" s="116"/>
    </row>
    <row r="978">
      <c r="A978" s="72"/>
      <c r="B978" s="95"/>
      <c r="C978" s="67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67"/>
      <c r="R978" s="67"/>
      <c r="S978" s="67"/>
      <c r="T978" s="67"/>
      <c r="U978" s="116"/>
    </row>
    <row r="979">
      <c r="A979" s="72"/>
      <c r="B979" s="95"/>
      <c r="C979" s="67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67"/>
      <c r="R979" s="67"/>
      <c r="S979" s="67"/>
      <c r="T979" s="67"/>
      <c r="U979" s="116"/>
    </row>
    <row r="980">
      <c r="A980" s="72"/>
      <c r="B980" s="95"/>
      <c r="C980" s="67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67"/>
      <c r="R980" s="67"/>
      <c r="S980" s="67"/>
      <c r="T980" s="67"/>
      <c r="U980" s="116"/>
    </row>
    <row r="981">
      <c r="A981" s="72"/>
      <c r="B981" s="95"/>
      <c r="C981" s="67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67"/>
      <c r="R981" s="67"/>
      <c r="S981" s="67"/>
      <c r="T981" s="67"/>
      <c r="U981" s="116"/>
    </row>
    <row r="982">
      <c r="A982" s="72"/>
      <c r="B982" s="95"/>
      <c r="C982" s="67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67"/>
      <c r="R982" s="67"/>
      <c r="S982" s="67"/>
      <c r="T982" s="67"/>
      <c r="U982" s="116"/>
    </row>
    <row r="983">
      <c r="A983" s="72"/>
      <c r="B983" s="95"/>
      <c r="C983" s="67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67"/>
      <c r="R983" s="67"/>
      <c r="S983" s="67"/>
      <c r="T983" s="67"/>
      <c r="U983" s="116"/>
    </row>
    <row r="984">
      <c r="A984" s="72"/>
      <c r="B984" s="95"/>
      <c r="C984" s="67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67"/>
      <c r="R984" s="67"/>
      <c r="S984" s="67"/>
      <c r="T984" s="67"/>
      <c r="U984" s="116"/>
    </row>
    <row r="985">
      <c r="A985" s="72"/>
      <c r="B985" s="95"/>
      <c r="C985" s="67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67"/>
      <c r="R985" s="67"/>
      <c r="S985" s="67"/>
      <c r="T985" s="67"/>
      <c r="U985" s="116"/>
    </row>
    <row r="986">
      <c r="A986" s="72"/>
      <c r="B986" s="95"/>
      <c r="C986" s="67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67"/>
      <c r="R986" s="67"/>
      <c r="S986" s="67"/>
      <c r="T986" s="67"/>
      <c r="U986" s="116"/>
    </row>
    <row r="987">
      <c r="A987" s="72"/>
      <c r="B987" s="95"/>
      <c r="C987" s="67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67"/>
      <c r="R987" s="67"/>
      <c r="S987" s="67"/>
      <c r="T987" s="67"/>
      <c r="U987" s="116"/>
    </row>
    <row r="988">
      <c r="A988" s="72"/>
      <c r="B988" s="95"/>
      <c r="C988" s="67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67"/>
      <c r="R988" s="67"/>
      <c r="S988" s="67"/>
      <c r="T988" s="67"/>
      <c r="U988" s="116"/>
    </row>
    <row r="989">
      <c r="A989" s="72"/>
      <c r="B989" s="95"/>
      <c r="C989" s="67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67"/>
      <c r="R989" s="67"/>
      <c r="S989" s="67"/>
      <c r="T989" s="67"/>
      <c r="U989" s="116"/>
    </row>
    <row r="990">
      <c r="A990" s="72"/>
      <c r="B990" s="95"/>
      <c r="C990" s="67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67"/>
      <c r="R990" s="67"/>
      <c r="S990" s="67"/>
      <c r="T990" s="67"/>
      <c r="U990" s="116"/>
    </row>
    <row r="991">
      <c r="A991" s="72"/>
      <c r="B991" s="95"/>
      <c r="C991" s="67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67"/>
      <c r="R991" s="67"/>
      <c r="S991" s="67"/>
      <c r="T991" s="67"/>
      <c r="U991" s="116"/>
    </row>
    <row r="992">
      <c r="A992" s="72"/>
      <c r="B992" s="95"/>
      <c r="C992" s="67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67"/>
      <c r="R992" s="67"/>
      <c r="S992" s="67"/>
      <c r="T992" s="67"/>
      <c r="U992" s="116"/>
    </row>
    <row r="993">
      <c r="A993" s="72"/>
      <c r="B993" s="95"/>
      <c r="C993" s="67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67"/>
      <c r="R993" s="67"/>
      <c r="S993" s="67"/>
      <c r="T993" s="67"/>
      <c r="U993" s="116"/>
    </row>
    <row r="994">
      <c r="A994" s="72"/>
      <c r="B994" s="95"/>
      <c r="C994" s="67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67"/>
      <c r="R994" s="67"/>
      <c r="S994" s="67"/>
      <c r="T994" s="67"/>
      <c r="U994" s="116"/>
    </row>
    <row r="995">
      <c r="A995" s="72"/>
      <c r="B995" s="95"/>
      <c r="C995" s="67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67"/>
      <c r="R995" s="67"/>
      <c r="S995" s="67"/>
      <c r="T995" s="67"/>
      <c r="U995" s="116"/>
    </row>
    <row r="996">
      <c r="A996" s="72"/>
      <c r="B996" s="95"/>
      <c r="C996" s="67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67"/>
      <c r="R996" s="67"/>
      <c r="S996" s="67"/>
      <c r="T996" s="67"/>
      <c r="U996" s="116"/>
    </row>
    <row r="997">
      <c r="A997" s="72"/>
      <c r="B997" s="95"/>
      <c r="C997" s="67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67"/>
      <c r="R997" s="67"/>
      <c r="S997" s="67"/>
      <c r="T997" s="67"/>
      <c r="U997" s="116"/>
    </row>
    <row r="998">
      <c r="A998" s="72"/>
      <c r="B998" s="95"/>
      <c r="C998" s="67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67"/>
      <c r="R998" s="67"/>
      <c r="S998" s="67"/>
      <c r="T998" s="67"/>
      <c r="U998" s="116"/>
    </row>
    <row r="999">
      <c r="A999" s="72"/>
      <c r="B999" s="95"/>
      <c r="C999" s="67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67"/>
      <c r="R999" s="67"/>
      <c r="S999" s="67"/>
      <c r="T999" s="67"/>
      <c r="U999" s="116"/>
    </row>
    <row r="1000">
      <c r="A1000" s="72"/>
      <c r="B1000" s="95"/>
      <c r="C1000" s="67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67"/>
      <c r="R1000" s="67"/>
      <c r="S1000" s="67"/>
      <c r="T1000" s="67"/>
      <c r="U1000" s="116"/>
    </row>
    <row r="1001">
      <c r="A1001" s="72"/>
      <c r="B1001" s="95"/>
      <c r="C1001" s="67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67"/>
      <c r="R1001" s="67"/>
      <c r="S1001" s="67"/>
      <c r="T1001" s="67"/>
      <c r="U1001" s="116"/>
    </row>
    <row r="1002">
      <c r="A1002" s="72"/>
      <c r="B1002" s="95"/>
      <c r="C1002" s="67"/>
      <c r="D1002" s="55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5"/>
      <c r="Q1002" s="67"/>
      <c r="R1002" s="67"/>
      <c r="S1002" s="67"/>
      <c r="T1002" s="67"/>
      <c r="U1002" s="116"/>
    </row>
    <row r="1003">
      <c r="A1003" s="72"/>
      <c r="B1003" s="95"/>
      <c r="C1003" s="67"/>
      <c r="D1003" s="55"/>
      <c r="E1003" s="55"/>
      <c r="F1003" s="55"/>
      <c r="G1003" s="55"/>
      <c r="H1003" s="55"/>
      <c r="I1003" s="55"/>
      <c r="J1003" s="55"/>
      <c r="K1003" s="55"/>
      <c r="L1003" s="55"/>
      <c r="M1003" s="55"/>
      <c r="N1003" s="55"/>
      <c r="O1003" s="55"/>
      <c r="P1003" s="55"/>
      <c r="Q1003" s="67"/>
      <c r="R1003" s="67"/>
      <c r="S1003" s="67"/>
      <c r="T1003" s="67"/>
      <c r="U1003" s="116"/>
    </row>
    <row r="1004">
      <c r="A1004" s="72"/>
      <c r="B1004" s="95"/>
      <c r="C1004" s="67"/>
      <c r="D1004" s="55"/>
      <c r="E1004" s="55"/>
      <c r="F1004" s="55"/>
      <c r="G1004" s="55"/>
      <c r="H1004" s="55"/>
      <c r="I1004" s="55"/>
      <c r="J1004" s="55"/>
      <c r="K1004" s="55"/>
      <c r="L1004" s="55"/>
      <c r="M1004" s="55"/>
      <c r="N1004" s="55"/>
      <c r="O1004" s="55"/>
      <c r="P1004" s="55"/>
      <c r="Q1004" s="67"/>
      <c r="R1004" s="67"/>
      <c r="S1004" s="67"/>
      <c r="T1004" s="67"/>
      <c r="U1004" s="116"/>
    </row>
    <row r="1005">
      <c r="A1005" s="72"/>
      <c r="B1005" s="95"/>
      <c r="C1005" s="67"/>
      <c r="D1005" s="55"/>
      <c r="E1005" s="55"/>
      <c r="F1005" s="55"/>
      <c r="G1005" s="55"/>
      <c r="H1005" s="55"/>
      <c r="I1005" s="55"/>
      <c r="J1005" s="55"/>
      <c r="K1005" s="55"/>
      <c r="L1005" s="55"/>
      <c r="M1005" s="55"/>
      <c r="N1005" s="55"/>
      <c r="O1005" s="55"/>
      <c r="P1005" s="55"/>
      <c r="Q1005" s="67"/>
      <c r="R1005" s="67"/>
      <c r="S1005" s="67"/>
      <c r="T1005" s="67"/>
      <c r="U1005" s="116"/>
    </row>
    <row r="1006">
      <c r="A1006" s="72"/>
      <c r="B1006" s="95"/>
      <c r="C1006" s="67"/>
      <c r="D1006" s="55"/>
      <c r="E1006" s="55"/>
      <c r="F1006" s="55"/>
      <c r="G1006" s="55"/>
      <c r="H1006" s="55"/>
      <c r="I1006" s="55"/>
      <c r="J1006" s="55"/>
      <c r="K1006" s="55"/>
      <c r="L1006" s="55"/>
      <c r="M1006" s="55"/>
      <c r="N1006" s="55"/>
      <c r="O1006" s="55"/>
      <c r="P1006" s="55"/>
      <c r="Q1006" s="67"/>
      <c r="R1006" s="67"/>
      <c r="S1006" s="67"/>
      <c r="T1006" s="67"/>
      <c r="U1006" s="116"/>
    </row>
    <row r="1007">
      <c r="A1007" s="72"/>
      <c r="B1007" s="95"/>
      <c r="C1007" s="67"/>
      <c r="D1007" s="55"/>
      <c r="E1007" s="55"/>
      <c r="F1007" s="55"/>
      <c r="G1007" s="55"/>
      <c r="H1007" s="55"/>
      <c r="I1007" s="55"/>
      <c r="J1007" s="55"/>
      <c r="K1007" s="55"/>
      <c r="L1007" s="55"/>
      <c r="M1007" s="55"/>
      <c r="N1007" s="55"/>
      <c r="O1007" s="55"/>
      <c r="P1007" s="55"/>
      <c r="Q1007" s="67"/>
      <c r="R1007" s="67"/>
      <c r="S1007" s="67"/>
      <c r="T1007" s="67"/>
      <c r="U1007" s="116"/>
    </row>
    <row r="1008">
      <c r="A1008" s="72"/>
      <c r="B1008" s="95"/>
      <c r="C1008" s="67"/>
      <c r="D1008" s="55"/>
      <c r="E1008" s="55"/>
      <c r="F1008" s="55"/>
      <c r="G1008" s="55"/>
      <c r="H1008" s="55"/>
      <c r="I1008" s="55"/>
      <c r="J1008" s="55"/>
      <c r="K1008" s="55"/>
      <c r="L1008" s="55"/>
      <c r="M1008" s="55"/>
      <c r="N1008" s="55"/>
      <c r="O1008" s="55"/>
      <c r="P1008" s="55"/>
      <c r="Q1008" s="67"/>
      <c r="R1008" s="67"/>
      <c r="S1008" s="67"/>
      <c r="T1008" s="67"/>
      <c r="U1008" s="116"/>
    </row>
    <row r="1009">
      <c r="A1009" s="72"/>
      <c r="B1009" s="95"/>
      <c r="C1009" s="67"/>
      <c r="D1009" s="55"/>
      <c r="E1009" s="55"/>
      <c r="F1009" s="55"/>
      <c r="G1009" s="55"/>
      <c r="H1009" s="55"/>
      <c r="I1009" s="55"/>
      <c r="J1009" s="55"/>
      <c r="K1009" s="55"/>
      <c r="L1009" s="55"/>
      <c r="M1009" s="55"/>
      <c r="N1009" s="55"/>
      <c r="O1009" s="55"/>
      <c r="P1009" s="55"/>
      <c r="Q1009" s="67"/>
      <c r="R1009" s="67"/>
      <c r="S1009" s="67"/>
      <c r="T1009" s="67"/>
      <c r="U1009" s="116"/>
    </row>
    <row r="1010">
      <c r="A1010" s="72"/>
      <c r="B1010" s="95"/>
      <c r="C1010" s="67"/>
      <c r="D1010" s="55"/>
      <c r="E1010" s="55"/>
      <c r="F1010" s="55"/>
      <c r="G1010" s="55"/>
      <c r="H1010" s="55"/>
      <c r="I1010" s="55"/>
      <c r="J1010" s="55"/>
      <c r="K1010" s="55"/>
      <c r="L1010" s="55"/>
      <c r="M1010" s="55"/>
      <c r="N1010" s="55"/>
      <c r="O1010" s="55"/>
      <c r="P1010" s="55"/>
      <c r="Q1010" s="67"/>
      <c r="R1010" s="67"/>
      <c r="S1010" s="67"/>
      <c r="T1010" s="67"/>
      <c r="U1010" s="116"/>
    </row>
    <row r="1011">
      <c r="A1011" s="72"/>
      <c r="B1011" s="95"/>
      <c r="C1011" s="67"/>
      <c r="D1011" s="55"/>
      <c r="E1011" s="55"/>
      <c r="F1011" s="55"/>
      <c r="G1011" s="55"/>
      <c r="H1011" s="55"/>
      <c r="I1011" s="55"/>
      <c r="J1011" s="55"/>
      <c r="K1011" s="55"/>
      <c r="L1011" s="55"/>
      <c r="M1011" s="55"/>
      <c r="N1011" s="55"/>
      <c r="O1011" s="55"/>
      <c r="P1011" s="55"/>
      <c r="Q1011" s="67"/>
      <c r="R1011" s="67"/>
      <c r="S1011" s="67"/>
      <c r="T1011" s="67"/>
      <c r="U1011" s="116"/>
    </row>
    <row r="1012">
      <c r="A1012" s="72"/>
      <c r="B1012" s="95"/>
      <c r="C1012" s="67"/>
      <c r="D1012" s="55"/>
      <c r="E1012" s="55"/>
      <c r="F1012" s="55"/>
      <c r="G1012" s="55"/>
      <c r="H1012" s="55"/>
      <c r="I1012" s="55"/>
      <c r="J1012" s="55"/>
      <c r="K1012" s="55"/>
      <c r="L1012" s="55"/>
      <c r="M1012" s="55"/>
      <c r="N1012" s="55"/>
      <c r="O1012" s="55"/>
      <c r="P1012" s="55"/>
      <c r="Q1012" s="67"/>
      <c r="R1012" s="67"/>
      <c r="S1012" s="67"/>
      <c r="T1012" s="67"/>
      <c r="U1012" s="116"/>
    </row>
    <row r="1013">
      <c r="A1013" s="72"/>
      <c r="B1013" s="95"/>
      <c r="C1013" s="67"/>
      <c r="D1013" s="55"/>
      <c r="E1013" s="55"/>
      <c r="F1013" s="55"/>
      <c r="G1013" s="55"/>
      <c r="H1013" s="55"/>
      <c r="I1013" s="55"/>
      <c r="J1013" s="55"/>
      <c r="K1013" s="55"/>
      <c r="L1013" s="55"/>
      <c r="M1013" s="55"/>
      <c r="N1013" s="55"/>
      <c r="O1013" s="55"/>
      <c r="P1013" s="55"/>
      <c r="Q1013" s="67"/>
      <c r="R1013" s="67"/>
      <c r="S1013" s="67"/>
      <c r="T1013" s="67"/>
      <c r="U1013" s="116"/>
    </row>
    <row r="1014">
      <c r="A1014" s="72"/>
      <c r="B1014" s="95"/>
      <c r="C1014" s="67"/>
      <c r="D1014" s="55"/>
      <c r="E1014" s="55"/>
      <c r="F1014" s="55"/>
      <c r="G1014" s="55"/>
      <c r="H1014" s="55"/>
      <c r="I1014" s="55"/>
      <c r="J1014" s="55"/>
      <c r="K1014" s="55"/>
      <c r="L1014" s="55"/>
      <c r="M1014" s="55"/>
      <c r="N1014" s="55"/>
      <c r="O1014" s="55"/>
      <c r="P1014" s="55"/>
      <c r="Q1014" s="67"/>
      <c r="R1014" s="67"/>
      <c r="S1014" s="67"/>
      <c r="T1014" s="67"/>
      <c r="U1014" s="116"/>
    </row>
    <row r="1015">
      <c r="A1015" s="72"/>
      <c r="B1015" s="95"/>
      <c r="C1015" s="67"/>
      <c r="D1015" s="55"/>
      <c r="E1015" s="55"/>
      <c r="F1015" s="55"/>
      <c r="G1015" s="55"/>
      <c r="H1015" s="55"/>
      <c r="I1015" s="55"/>
      <c r="J1015" s="55"/>
      <c r="K1015" s="55"/>
      <c r="L1015" s="55"/>
      <c r="M1015" s="55"/>
      <c r="N1015" s="55"/>
      <c r="O1015" s="55"/>
      <c r="P1015" s="55"/>
      <c r="Q1015" s="67"/>
      <c r="R1015" s="67"/>
      <c r="S1015" s="67"/>
      <c r="T1015" s="67"/>
      <c r="U1015" s="116"/>
    </row>
  </sheetData>
  <customSheetViews>
    <customSheetView guid="{B9FC2153-85FE-4597-B01F-2D8A49A1D991}" filter="1" showAutoFilter="1">
      <autoFilter ref="$A$1:$U$190"/>
    </customSheetView>
    <customSheetView guid="{24EFF1FC-519A-4255-99C0-8464DF1D4EED}" filter="1" showAutoFilter="1">
      <autoFilter ref="$A$1:$U$190"/>
    </customSheetView>
  </customSheetViews>
  <dataValidations>
    <dataValidation type="list" allowBlank="1" showErrorMessage="1" sqref="D9:D1015">
      <formula1>Data!$C$2:$C1015</formula1>
    </dataValidation>
    <dataValidation type="list" allowBlank="1" showErrorMessage="1" sqref="E9:E1015">
      <formula1>Data!$D$2:$D1015</formula1>
    </dataValidation>
    <dataValidation type="list" allowBlank="1" showErrorMessage="1" sqref="N9:N1015">
      <formula1>Data!$K$3:$K1015</formula1>
    </dataValidation>
    <dataValidation type="list" allowBlank="1" showErrorMessage="1" sqref="B9:B116 B118:B1015">
      <formula1>Data!$A$2:$A1015</formula1>
    </dataValidation>
    <dataValidation type="list" allowBlank="1" showErrorMessage="1" sqref="O9:O1015">
      <formula1>Data!$O$2:$O1015</formula1>
    </dataValidation>
    <dataValidation type="list" allowBlank="1" showErrorMessage="1" sqref="M9:M1015">
      <formula1>Data!$P$2:$P1015</formula1>
    </dataValidation>
    <dataValidation type="custom" allowBlank="1" showDropDown="1" sqref="A9:A1015">
      <formula1>OR(NOT(ISERROR(DATEVALUE(A9))), AND(ISNUMBER(A9), LEFT(CELL("format", A9))="D"))</formula1>
    </dataValidation>
    <dataValidation type="list" allowBlank="1" showErrorMessage="1" sqref="L9:L1015">
      <formula1>Data!$I$2:$I1015</formula1>
    </dataValidation>
    <dataValidation type="list" allowBlank="1" showErrorMessage="1" sqref="F9:F1015">
      <formula1>Data!$F$2:$F1015</formula1>
    </dataValidation>
    <dataValidation type="list" allowBlank="1" showErrorMessage="1" sqref="H9:H1015">
      <formula1>Data!$H$2:$H1015</formula1>
    </dataValidation>
    <dataValidation type="list" allowBlank="1" showErrorMessage="1" sqref="P9:P1015">
      <formula1>Data!$M$2:$M1015</formula1>
    </dataValidation>
  </dataValidations>
  <hyperlinks>
    <hyperlink r:id="rId1" ref="C3"/>
    <hyperlink r:id="rId2" ref="B9"/>
    <hyperlink r:id="rId3" ref="B10"/>
    <hyperlink r:id="rId4" ref="T10"/>
    <hyperlink r:id="rId5" ref="U10"/>
    <hyperlink r:id="rId6" ref="B11"/>
    <hyperlink r:id="rId7" ref="T11"/>
    <hyperlink r:id="rId8" ref="U11"/>
    <hyperlink r:id="rId9" ref="B12"/>
    <hyperlink r:id="rId10" ref="T12"/>
    <hyperlink r:id="rId11" ref="U12"/>
    <hyperlink r:id="rId12" ref="B13"/>
    <hyperlink r:id="rId13" ref="T13"/>
    <hyperlink r:id="rId14" ref="U13"/>
    <hyperlink r:id="rId15" ref="B14"/>
    <hyperlink r:id="rId16" ref="T14"/>
    <hyperlink r:id="rId17" ref="U14"/>
    <hyperlink r:id="rId18" ref="B15"/>
    <hyperlink r:id="rId19" ref="T15"/>
    <hyperlink r:id="rId20" ref="B16"/>
    <hyperlink r:id="rId21" ref="T16"/>
    <hyperlink r:id="rId22" ref="U16"/>
    <hyperlink r:id="rId23" ref="B17"/>
    <hyperlink r:id="rId24" ref="T17"/>
    <hyperlink r:id="rId25" ref="U17"/>
    <hyperlink r:id="rId26" ref="B18"/>
    <hyperlink r:id="rId27" ref="T18"/>
    <hyperlink r:id="rId28" ref="U18"/>
    <hyperlink r:id="rId29" ref="B19"/>
    <hyperlink r:id="rId30" ref="T19"/>
    <hyperlink r:id="rId31" ref="U19"/>
    <hyperlink r:id="rId32" ref="B20"/>
    <hyperlink r:id="rId33" ref="T20"/>
    <hyperlink r:id="rId34" ref="U20"/>
    <hyperlink r:id="rId35" ref="B21"/>
    <hyperlink r:id="rId36" ref="T21"/>
    <hyperlink r:id="rId37" ref="U21"/>
    <hyperlink r:id="rId38" ref="B22"/>
    <hyperlink r:id="rId39" ref="T22"/>
    <hyperlink r:id="rId40" ref="U22"/>
    <hyperlink r:id="rId41" ref="B23"/>
    <hyperlink r:id="rId42" ref="T23"/>
    <hyperlink r:id="rId43" ref="U23"/>
    <hyperlink r:id="rId44" ref="B24"/>
    <hyperlink r:id="rId45" ref="T24"/>
    <hyperlink r:id="rId46" ref="U24"/>
    <hyperlink r:id="rId47" ref="B25"/>
    <hyperlink r:id="rId48" ref="T25"/>
    <hyperlink r:id="rId49" ref="U25"/>
    <hyperlink r:id="rId50" ref="B26"/>
    <hyperlink r:id="rId51" ref="T26"/>
    <hyperlink r:id="rId52" ref="U26"/>
    <hyperlink r:id="rId53" ref="B27"/>
    <hyperlink r:id="rId54" ref="T27"/>
    <hyperlink r:id="rId55" ref="U27"/>
    <hyperlink r:id="rId56" ref="B28"/>
    <hyperlink r:id="rId57" ref="T28"/>
    <hyperlink r:id="rId58" ref="U28"/>
    <hyperlink r:id="rId59" ref="B29"/>
    <hyperlink r:id="rId60" ref="T29"/>
    <hyperlink r:id="rId61" ref="U29"/>
    <hyperlink r:id="rId62" ref="B30"/>
    <hyperlink r:id="rId63" ref="T30"/>
    <hyperlink r:id="rId64" ref="U30"/>
    <hyperlink r:id="rId65" ref="B31"/>
    <hyperlink r:id="rId66" ref="T31"/>
    <hyperlink r:id="rId67" ref="U31"/>
    <hyperlink r:id="rId68" ref="B32"/>
    <hyperlink r:id="rId69" ref="T32"/>
    <hyperlink r:id="rId70" ref="U32"/>
    <hyperlink r:id="rId71" ref="B33"/>
    <hyperlink r:id="rId72" ref="T33"/>
    <hyperlink r:id="rId73" ref="U33"/>
    <hyperlink r:id="rId74" ref="B34"/>
    <hyperlink r:id="rId75" ref="T34"/>
    <hyperlink r:id="rId76" ref="U34"/>
    <hyperlink r:id="rId77" ref="B35"/>
    <hyperlink r:id="rId78" ref="T35"/>
    <hyperlink r:id="rId79" ref="U35"/>
    <hyperlink r:id="rId80" ref="B36"/>
    <hyperlink r:id="rId81" ref="T36"/>
    <hyperlink r:id="rId82" ref="U36"/>
    <hyperlink r:id="rId83" ref="B37"/>
    <hyperlink r:id="rId84" ref="T37"/>
    <hyperlink r:id="rId85" ref="U37"/>
    <hyperlink r:id="rId86" ref="B38"/>
    <hyperlink r:id="rId87" ref="T38"/>
    <hyperlink r:id="rId88" ref="U38"/>
    <hyperlink r:id="rId89" ref="B39"/>
    <hyperlink r:id="rId90" ref="T39"/>
    <hyperlink r:id="rId91" ref="U39"/>
    <hyperlink r:id="rId92" ref="B40"/>
    <hyperlink r:id="rId93" ref="T40"/>
    <hyperlink r:id="rId94" ref="U40"/>
    <hyperlink r:id="rId95" ref="B41"/>
    <hyperlink r:id="rId96" ref="T41"/>
    <hyperlink r:id="rId97" ref="U41"/>
    <hyperlink r:id="rId98" ref="B42"/>
    <hyperlink r:id="rId99" ref="T42"/>
    <hyperlink r:id="rId100" ref="U42"/>
    <hyperlink r:id="rId101" ref="B43"/>
    <hyperlink r:id="rId102" ref="T43"/>
    <hyperlink r:id="rId103" ref="U43"/>
    <hyperlink r:id="rId104" ref="B44"/>
    <hyperlink r:id="rId105" ref="T44"/>
    <hyperlink r:id="rId106" ref="U44"/>
    <hyperlink r:id="rId107" ref="B45"/>
    <hyperlink r:id="rId108" ref="T45"/>
    <hyperlink r:id="rId109" ref="U45"/>
    <hyperlink r:id="rId110" ref="B46"/>
    <hyperlink r:id="rId111" ref="T46"/>
    <hyperlink r:id="rId112" ref="U46"/>
    <hyperlink r:id="rId113" ref="B47"/>
    <hyperlink r:id="rId114" ref="T47"/>
    <hyperlink r:id="rId115" ref="U47"/>
    <hyperlink r:id="rId116" ref="B48"/>
    <hyperlink r:id="rId117" ref="T48"/>
    <hyperlink r:id="rId118" ref="U48"/>
    <hyperlink r:id="rId119" ref="B49"/>
    <hyperlink r:id="rId120" ref="T49"/>
    <hyperlink r:id="rId121" ref="U49"/>
    <hyperlink r:id="rId122" ref="B50"/>
    <hyperlink r:id="rId123" ref="T50"/>
    <hyperlink r:id="rId124" ref="U50"/>
    <hyperlink r:id="rId125" ref="B51"/>
    <hyperlink r:id="rId126" ref="T51"/>
    <hyperlink r:id="rId127" ref="U51"/>
    <hyperlink r:id="rId128" ref="B52"/>
    <hyperlink r:id="rId129" ref="T52"/>
    <hyperlink r:id="rId130" ref="U52"/>
    <hyperlink r:id="rId131" ref="B53"/>
    <hyperlink r:id="rId132" ref="T53"/>
    <hyperlink r:id="rId133" ref="U53"/>
    <hyperlink r:id="rId134" ref="B54"/>
    <hyperlink r:id="rId135" ref="T54"/>
    <hyperlink r:id="rId136" ref="U54"/>
    <hyperlink r:id="rId137" ref="B55"/>
    <hyperlink r:id="rId138" ref="T55"/>
    <hyperlink r:id="rId139" ref="U55"/>
    <hyperlink r:id="rId140" ref="B56"/>
    <hyperlink r:id="rId141" ref="T56"/>
    <hyperlink r:id="rId142" ref="U56"/>
    <hyperlink r:id="rId143" ref="B57"/>
    <hyperlink r:id="rId144" ref="T57"/>
    <hyperlink r:id="rId145" ref="U57"/>
    <hyperlink r:id="rId146" ref="B58"/>
    <hyperlink r:id="rId147" ref="T58"/>
    <hyperlink r:id="rId148" ref="U58"/>
    <hyperlink r:id="rId149" ref="B59"/>
    <hyperlink r:id="rId150" ref="T59"/>
    <hyperlink r:id="rId151" ref="U59"/>
    <hyperlink r:id="rId152" ref="B60"/>
    <hyperlink r:id="rId153" ref="T60"/>
    <hyperlink r:id="rId154" ref="B61"/>
    <hyperlink r:id="rId155" ref="T61"/>
    <hyperlink r:id="rId156" ref="B62"/>
    <hyperlink r:id="rId157" ref="T62"/>
    <hyperlink r:id="rId158" ref="B63"/>
    <hyperlink r:id="rId159" ref="T63"/>
    <hyperlink r:id="rId160" ref="U63"/>
    <hyperlink r:id="rId161" ref="B64"/>
    <hyperlink r:id="rId162" ref="T64"/>
    <hyperlink r:id="rId163" ref="U64"/>
    <hyperlink r:id="rId164" ref="B65"/>
    <hyperlink r:id="rId165" ref="T65"/>
    <hyperlink r:id="rId166" ref="U65"/>
    <hyperlink r:id="rId167" ref="B66"/>
    <hyperlink r:id="rId168" ref="T66"/>
    <hyperlink r:id="rId169" ref="U66"/>
    <hyperlink r:id="rId170" ref="B67"/>
    <hyperlink r:id="rId171" ref="T67"/>
    <hyperlink r:id="rId172" ref="B68"/>
    <hyperlink r:id="rId173" ref="T68"/>
    <hyperlink r:id="rId174" ref="B69"/>
    <hyperlink r:id="rId175" ref="T69"/>
    <hyperlink r:id="rId176" ref="B70"/>
    <hyperlink r:id="rId177" ref="T70"/>
    <hyperlink r:id="rId178" ref="B71"/>
    <hyperlink r:id="rId179" ref="T71"/>
    <hyperlink r:id="rId180" ref="B72"/>
    <hyperlink r:id="rId181" ref="T72"/>
    <hyperlink r:id="rId182" ref="U72"/>
    <hyperlink r:id="rId183" ref="B73"/>
    <hyperlink r:id="rId184" ref="T73"/>
    <hyperlink r:id="rId185" ref="U73"/>
    <hyperlink r:id="rId186" ref="B74"/>
    <hyperlink r:id="rId187" ref="T74"/>
    <hyperlink r:id="rId188" ref="B75"/>
    <hyperlink r:id="rId189" ref="T75"/>
    <hyperlink r:id="rId190" ref="U75"/>
    <hyperlink r:id="rId191" ref="B76"/>
    <hyperlink r:id="rId192" ref="T76"/>
    <hyperlink r:id="rId193" ref="U76"/>
    <hyperlink r:id="rId194" ref="B77"/>
    <hyperlink r:id="rId195" ref="T77"/>
    <hyperlink r:id="rId196" ref="U77"/>
    <hyperlink r:id="rId197" ref="B78"/>
    <hyperlink r:id="rId198" ref="T78"/>
    <hyperlink r:id="rId199" ref="U78"/>
    <hyperlink r:id="rId200" ref="B79"/>
    <hyperlink r:id="rId201" ref="T79"/>
    <hyperlink r:id="rId202" ref="U79"/>
    <hyperlink r:id="rId203" ref="B80"/>
    <hyperlink r:id="rId204" ref="T80"/>
    <hyperlink r:id="rId205" ref="U80"/>
    <hyperlink r:id="rId206" ref="B81"/>
    <hyperlink r:id="rId207" ref="T81"/>
    <hyperlink r:id="rId208" ref="B82"/>
    <hyperlink r:id="rId209" ref="T82"/>
    <hyperlink r:id="rId210" ref="U82"/>
    <hyperlink r:id="rId211" ref="B83"/>
    <hyperlink r:id="rId212" ref="T83"/>
    <hyperlink r:id="rId213" ref="B84"/>
    <hyperlink r:id="rId214" ref="T84"/>
    <hyperlink r:id="rId215" ref="U84"/>
    <hyperlink r:id="rId216" ref="B85"/>
    <hyperlink r:id="rId217" ref="T85"/>
    <hyperlink r:id="rId218" ref="U85"/>
    <hyperlink r:id="rId219" ref="B86"/>
    <hyperlink r:id="rId220" ref="T86"/>
    <hyperlink r:id="rId221" ref="U86"/>
    <hyperlink r:id="rId222" ref="B87"/>
    <hyperlink r:id="rId223" ref="T87"/>
    <hyperlink r:id="rId224" ref="U87"/>
    <hyperlink r:id="rId225" ref="B88"/>
    <hyperlink r:id="rId226" ref="T88"/>
    <hyperlink r:id="rId227" ref="U88"/>
    <hyperlink r:id="rId228" ref="B89"/>
    <hyperlink r:id="rId229" ref="T89"/>
    <hyperlink r:id="rId230" ref="B90"/>
    <hyperlink r:id="rId231" ref="T90"/>
    <hyperlink r:id="rId232" ref="U90"/>
    <hyperlink r:id="rId233" ref="B91"/>
    <hyperlink r:id="rId234" ref="T91"/>
    <hyperlink r:id="rId235" ref="U91"/>
    <hyperlink r:id="rId236" ref="B92"/>
    <hyperlink r:id="rId237" ref="T92"/>
    <hyperlink r:id="rId238" ref="U92"/>
    <hyperlink r:id="rId239" ref="B93"/>
    <hyperlink r:id="rId240" ref="T93"/>
    <hyperlink r:id="rId241" ref="U93"/>
    <hyperlink r:id="rId242" ref="B94"/>
    <hyperlink r:id="rId243" ref="T94"/>
    <hyperlink r:id="rId244" ref="U94"/>
    <hyperlink r:id="rId245" ref="B95"/>
    <hyperlink r:id="rId246" ref="T95"/>
    <hyperlink r:id="rId247" ref="B96"/>
    <hyperlink r:id="rId248" ref="T96"/>
    <hyperlink r:id="rId249" ref="U96"/>
    <hyperlink r:id="rId250" ref="B97"/>
    <hyperlink r:id="rId251" ref="T97"/>
    <hyperlink r:id="rId252" ref="U97"/>
    <hyperlink r:id="rId253" ref="B98"/>
    <hyperlink r:id="rId254" ref="T98"/>
    <hyperlink r:id="rId255" ref="U98"/>
    <hyperlink r:id="rId256" ref="B99"/>
    <hyperlink r:id="rId257" ref="T99"/>
    <hyperlink r:id="rId258" ref="U99"/>
    <hyperlink r:id="rId259" ref="B100"/>
    <hyperlink r:id="rId260" ref="T100"/>
    <hyperlink r:id="rId261" ref="B101"/>
    <hyperlink r:id="rId262" ref="T101"/>
    <hyperlink r:id="rId263" ref="U101"/>
    <hyperlink r:id="rId264" ref="B102"/>
    <hyperlink r:id="rId265" ref="T102"/>
    <hyperlink r:id="rId266" ref="U102"/>
    <hyperlink r:id="rId267" ref="B103"/>
    <hyperlink r:id="rId268" ref="T103"/>
    <hyperlink r:id="rId269" ref="U103"/>
    <hyperlink r:id="rId270" ref="B104"/>
    <hyperlink r:id="rId271" ref="T104"/>
    <hyperlink r:id="rId272" ref="U104"/>
    <hyperlink r:id="rId273" ref="B105"/>
    <hyperlink r:id="rId274" ref="T105"/>
    <hyperlink r:id="rId275" ref="U105"/>
    <hyperlink r:id="rId276" ref="B106"/>
    <hyperlink r:id="rId277" ref="T106"/>
    <hyperlink r:id="rId278" ref="U106"/>
    <hyperlink r:id="rId279" ref="B107"/>
    <hyperlink r:id="rId280" ref="T107"/>
    <hyperlink r:id="rId281" ref="U107"/>
    <hyperlink r:id="rId282" ref="B108"/>
    <hyperlink r:id="rId283" ref="T108"/>
    <hyperlink r:id="rId284" ref="U108"/>
    <hyperlink r:id="rId285" ref="B109"/>
    <hyperlink r:id="rId286" ref="T109"/>
    <hyperlink r:id="rId287" ref="U109"/>
    <hyperlink r:id="rId288" ref="B110"/>
    <hyperlink r:id="rId289" ref="T110"/>
    <hyperlink r:id="rId290" ref="U110"/>
    <hyperlink r:id="rId291" ref="B111"/>
    <hyperlink r:id="rId292" ref="T111"/>
    <hyperlink r:id="rId293" ref="U111"/>
    <hyperlink r:id="rId294" ref="B112"/>
    <hyperlink r:id="rId295" ref="T112"/>
    <hyperlink r:id="rId296" ref="U112"/>
    <hyperlink r:id="rId297" ref="B113"/>
    <hyperlink r:id="rId298" ref="T113"/>
    <hyperlink r:id="rId299" ref="B114"/>
    <hyperlink r:id="rId300" ref="T114"/>
    <hyperlink r:id="rId301" ref="U114"/>
    <hyperlink r:id="rId302" ref="B115"/>
    <hyperlink r:id="rId303" ref="T115"/>
    <hyperlink r:id="rId304" ref="U115"/>
    <hyperlink r:id="rId305" ref="B116"/>
    <hyperlink r:id="rId306" ref="T116"/>
    <hyperlink r:id="rId307" ref="U116"/>
    <hyperlink r:id="rId308" ref="B117"/>
    <hyperlink r:id="rId309" ref="T117"/>
    <hyperlink r:id="rId310" ref="B118"/>
    <hyperlink r:id="rId311" ref="T118"/>
    <hyperlink r:id="rId312" ref="U118"/>
    <hyperlink r:id="rId313" ref="B119"/>
    <hyperlink r:id="rId314" ref="T119"/>
    <hyperlink r:id="rId315" ref="U119"/>
    <hyperlink r:id="rId316" ref="B120"/>
    <hyperlink r:id="rId317" ref="T120"/>
    <hyperlink r:id="rId318" ref="U120"/>
    <hyperlink r:id="rId319" ref="B121"/>
    <hyperlink r:id="rId320" ref="T121"/>
    <hyperlink r:id="rId321" ref="U121"/>
    <hyperlink r:id="rId322" ref="B122"/>
    <hyperlink r:id="rId323" ref="T122"/>
    <hyperlink r:id="rId324" ref="B123"/>
    <hyperlink r:id="rId325" ref="T123"/>
    <hyperlink r:id="rId326" ref="U123"/>
    <hyperlink r:id="rId327" ref="B124"/>
    <hyperlink r:id="rId328" ref="T124"/>
    <hyperlink r:id="rId329" ref="U124"/>
    <hyperlink r:id="rId330" ref="B125"/>
    <hyperlink r:id="rId331" ref="T125"/>
    <hyperlink r:id="rId332" ref="U125"/>
    <hyperlink r:id="rId333" ref="B126"/>
    <hyperlink r:id="rId334" ref="T126"/>
    <hyperlink r:id="rId335" ref="B127"/>
    <hyperlink r:id="rId336" ref="T127"/>
    <hyperlink r:id="rId337" ref="U127"/>
    <hyperlink r:id="rId338" ref="B128"/>
    <hyperlink r:id="rId339" ref="T128"/>
    <hyperlink r:id="rId340" ref="U128"/>
    <hyperlink r:id="rId341" ref="T129"/>
    <hyperlink r:id="rId342" ref="U129"/>
    <hyperlink r:id="rId343" ref="B130"/>
    <hyperlink r:id="rId344" ref="T130"/>
    <hyperlink r:id="rId345" ref="U130"/>
    <hyperlink r:id="rId346" ref="B131"/>
    <hyperlink r:id="rId347" ref="T131"/>
    <hyperlink r:id="rId348" ref="U131"/>
    <hyperlink r:id="rId349" ref="B132"/>
    <hyperlink r:id="rId350" ref="T132"/>
    <hyperlink r:id="rId351" ref="U132"/>
    <hyperlink r:id="rId352" ref="B133"/>
    <hyperlink r:id="rId353" ref="T133"/>
    <hyperlink r:id="rId354" ref="U133"/>
    <hyperlink r:id="rId355" ref="B134"/>
    <hyperlink r:id="rId356" ref="T134"/>
    <hyperlink r:id="rId357" ref="U134"/>
    <hyperlink r:id="rId358" ref="B135"/>
    <hyperlink r:id="rId359" ref="T135"/>
    <hyperlink r:id="rId360" ref="U135"/>
    <hyperlink r:id="rId361" ref="B136"/>
    <hyperlink r:id="rId362" ref="T136"/>
    <hyperlink r:id="rId363" ref="U136"/>
    <hyperlink r:id="rId364" ref="B137"/>
    <hyperlink r:id="rId365" ref="T137"/>
    <hyperlink r:id="rId366" ref="U137"/>
    <hyperlink r:id="rId367" ref="B138"/>
    <hyperlink r:id="rId368" ref="T138"/>
    <hyperlink r:id="rId369" ref="U138"/>
    <hyperlink r:id="rId370" ref="B139"/>
    <hyperlink r:id="rId371" ref="T139"/>
    <hyperlink r:id="rId372" ref="B140"/>
    <hyperlink r:id="rId373" ref="T140"/>
    <hyperlink r:id="rId374" ref="U140"/>
    <hyperlink r:id="rId375" ref="T141"/>
    <hyperlink r:id="rId376" ref="B142"/>
    <hyperlink r:id="rId377" ref="T142"/>
    <hyperlink r:id="rId378" ref="T143"/>
    <hyperlink r:id="rId379" ref="U143"/>
    <hyperlink r:id="rId380" ref="B144"/>
    <hyperlink r:id="rId381" ref="T144"/>
    <hyperlink r:id="rId382" ref="U144"/>
    <hyperlink r:id="rId383" ref="B145"/>
    <hyperlink r:id="rId384" ref="T145"/>
    <hyperlink r:id="rId385" ref="T146"/>
    <hyperlink r:id="rId386" ref="U146"/>
    <hyperlink r:id="rId387" ref="B147"/>
    <hyperlink r:id="rId388" ref="T147"/>
    <hyperlink r:id="rId389" ref="U147"/>
    <hyperlink r:id="rId390" ref="T148"/>
    <hyperlink r:id="rId391" ref="T149"/>
    <hyperlink r:id="rId392" ref="T150"/>
    <hyperlink r:id="rId393" ref="T151"/>
    <hyperlink r:id="rId394" ref="B152"/>
    <hyperlink r:id="rId395" ref="T152"/>
    <hyperlink r:id="rId396" ref="T153"/>
    <hyperlink r:id="rId397" ref="T154"/>
    <hyperlink r:id="rId398" ref="U154"/>
    <hyperlink r:id="rId399" ref="B155"/>
    <hyperlink r:id="rId400" ref="T155"/>
    <hyperlink r:id="rId401" ref="B156"/>
    <hyperlink r:id="rId402" ref="T156"/>
    <hyperlink r:id="rId403" ref="U156"/>
    <hyperlink r:id="rId404" ref="T157"/>
    <hyperlink r:id="rId405" ref="U157"/>
    <hyperlink r:id="rId406" ref="T158"/>
    <hyperlink r:id="rId407" ref="T159"/>
    <hyperlink r:id="rId408" ref="T160"/>
    <hyperlink r:id="rId409" ref="U160"/>
    <hyperlink r:id="rId410" ref="B161"/>
    <hyperlink r:id="rId411" ref="T161"/>
    <hyperlink r:id="rId412" ref="U161"/>
    <hyperlink r:id="rId413" ref="B162"/>
    <hyperlink r:id="rId414" ref="T162"/>
    <hyperlink r:id="rId415" ref="U162"/>
    <hyperlink r:id="rId416" ref="T163"/>
    <hyperlink r:id="rId417" ref="U163"/>
    <hyperlink r:id="rId418" ref="T164"/>
    <hyperlink r:id="rId419" ref="U164"/>
    <hyperlink r:id="rId420" ref="B165"/>
    <hyperlink r:id="rId421" ref="T165"/>
    <hyperlink r:id="rId422" ref="T166"/>
    <hyperlink r:id="rId423" ref="T167"/>
    <hyperlink r:id="rId424" ref="B168"/>
    <hyperlink r:id="rId425" ref="T168"/>
    <hyperlink r:id="rId426" ref="B169"/>
    <hyperlink r:id="rId427" ref="T169"/>
    <hyperlink r:id="rId428" ref="T170"/>
    <hyperlink r:id="rId429" ref="B171"/>
    <hyperlink r:id="rId430" ref="T171"/>
    <hyperlink r:id="rId431" ref="T172"/>
    <hyperlink r:id="rId432" ref="T173"/>
    <hyperlink r:id="rId433" ref="B174"/>
    <hyperlink r:id="rId434" ref="T174"/>
    <hyperlink r:id="rId435" ref="B175"/>
    <hyperlink r:id="rId436" ref="T175"/>
    <hyperlink r:id="rId437" ref="T176"/>
    <hyperlink r:id="rId438" ref="U176"/>
    <hyperlink r:id="rId439" ref="T177"/>
    <hyperlink r:id="rId440" ref="T178"/>
    <hyperlink r:id="rId441" ref="U178"/>
    <hyperlink r:id="rId442" ref="T179"/>
    <hyperlink r:id="rId443" ref="U179"/>
    <hyperlink r:id="rId444" ref="B180"/>
    <hyperlink r:id="rId445" ref="T180"/>
    <hyperlink r:id="rId446" ref="U180"/>
    <hyperlink r:id="rId447" ref="B181"/>
    <hyperlink r:id="rId448" ref="T181"/>
    <hyperlink r:id="rId449" ref="U181"/>
    <hyperlink r:id="rId450" ref="T182"/>
    <hyperlink r:id="rId451" ref="U182"/>
    <hyperlink r:id="rId452" ref="B183"/>
    <hyperlink r:id="rId453" ref="T183"/>
    <hyperlink r:id="rId454" ref="U183"/>
    <hyperlink r:id="rId455" ref="B184"/>
    <hyperlink r:id="rId456" ref="T184"/>
    <hyperlink r:id="rId457" ref="U184"/>
    <hyperlink r:id="rId458" ref="B185"/>
    <hyperlink r:id="rId459" ref="T185"/>
    <hyperlink r:id="rId460" ref="U185"/>
    <hyperlink r:id="rId461" ref="B186"/>
    <hyperlink r:id="rId462" ref="T186"/>
    <hyperlink r:id="rId463" ref="B187"/>
    <hyperlink r:id="rId464" ref="T187"/>
    <hyperlink r:id="rId465" ref="U187"/>
    <hyperlink r:id="rId466" ref="B188"/>
    <hyperlink r:id="rId467" ref="T188"/>
    <hyperlink r:id="rId468" ref="B189"/>
    <hyperlink r:id="rId469" ref="T189"/>
    <hyperlink r:id="rId470" ref="U189"/>
    <hyperlink r:id="rId471" ref="B190"/>
    <hyperlink r:id="rId472" ref="T190"/>
    <hyperlink r:id="rId473" ref="U190"/>
  </hyperlinks>
  <drawing r:id="rId47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2.63"/>
    <col customWidth="1" min="2" max="2" width="37.5"/>
    <col customWidth="1" min="5" max="5" width="13.88"/>
    <col customWidth="1" min="9" max="9" width="31.88"/>
    <col customWidth="1" min="10" max="10" width="28.13"/>
    <col customWidth="1" min="17" max="17" width="46.5"/>
    <col customWidth="1" min="18" max="18" width="40.13"/>
    <col customWidth="1" min="20" max="20" width="25.63"/>
  </cols>
  <sheetData>
    <row r="1" hidden="1">
      <c r="A1" s="1"/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/>
      <c r="H1" s="5" t="s">
        <v>6</v>
      </c>
      <c r="I1" s="5" t="s">
        <v>7</v>
      </c>
      <c r="J1" s="5" t="s">
        <v>9</v>
      </c>
      <c r="K1" s="5"/>
      <c r="L1" s="7"/>
      <c r="M1" s="7"/>
      <c r="N1" s="7"/>
      <c r="O1" s="7"/>
      <c r="P1" s="7"/>
      <c r="Q1" s="7"/>
      <c r="R1" s="7"/>
      <c r="S1" s="7"/>
      <c r="T1" s="7"/>
      <c r="U1" s="97"/>
    </row>
    <row r="2" hidden="1">
      <c r="A2" s="1"/>
      <c r="B2" s="10" t="s">
        <v>12</v>
      </c>
      <c r="C2" s="10" t="s">
        <v>8</v>
      </c>
      <c r="D2" s="10" t="s">
        <v>10</v>
      </c>
      <c r="E2" s="10" t="s">
        <v>16</v>
      </c>
      <c r="F2" s="10" t="s">
        <v>17</v>
      </c>
      <c r="G2" s="10"/>
      <c r="H2" s="11" t="s">
        <v>15</v>
      </c>
      <c r="I2" s="10" t="s">
        <v>22</v>
      </c>
      <c r="J2" s="10" t="s">
        <v>1</v>
      </c>
      <c r="K2" s="10"/>
      <c r="L2" s="10" t="s">
        <v>2</v>
      </c>
      <c r="M2" s="10" t="s">
        <v>24</v>
      </c>
      <c r="N2" s="10" t="s">
        <v>4</v>
      </c>
      <c r="O2" s="12" t="s">
        <v>23</v>
      </c>
      <c r="P2" s="10" t="s">
        <v>5</v>
      </c>
      <c r="Q2" s="13" t="s">
        <v>29</v>
      </c>
      <c r="R2" s="13" t="s">
        <v>31</v>
      </c>
      <c r="S2" s="13" t="s">
        <v>15</v>
      </c>
      <c r="T2" s="14" t="s">
        <v>32</v>
      </c>
      <c r="U2" s="98"/>
    </row>
    <row r="3" hidden="1">
      <c r="A3" s="1"/>
      <c r="B3" s="16">
        <v>221118.0</v>
      </c>
      <c r="C3" s="20" t="s">
        <v>35</v>
      </c>
      <c r="D3" s="22"/>
      <c r="E3" s="22" t="s">
        <v>37</v>
      </c>
      <c r="F3" s="22" t="s">
        <v>39</v>
      </c>
      <c r="G3" s="22"/>
      <c r="H3" s="24" t="s">
        <v>40</v>
      </c>
      <c r="I3" s="22" t="s">
        <v>41</v>
      </c>
      <c r="J3" s="22" t="s">
        <v>42</v>
      </c>
      <c r="K3" s="22"/>
      <c r="L3" s="22" t="s">
        <v>43</v>
      </c>
      <c r="M3" s="22" t="s">
        <v>45</v>
      </c>
      <c r="N3" s="22" t="s">
        <v>46</v>
      </c>
      <c r="O3" s="22"/>
      <c r="P3" s="22" t="s">
        <v>47</v>
      </c>
      <c r="Q3" s="24" t="str">
        <f>J3</f>
        <v>Facebook</v>
      </c>
      <c r="R3" s="26" t="str">
        <f>L3</f>
        <v>FA</v>
      </c>
      <c r="S3" s="28" t="str">
        <f>CONCATENATE(E3,"_",N3,"_",L3,"_",M3,"_",B3,"_",P3)</f>
        <v>Rongfly_HN_FA_TAH_221118_Badt</v>
      </c>
      <c r="T3" s="28" t="str">
        <f>CONCATENATE(F3,"_",E3,B3,"_",P3)</f>
        <v>sinhvien1823_Rongfly221118_Badt</v>
      </c>
      <c r="U3" s="99"/>
    </row>
    <row r="4" hidden="1">
      <c r="A4" s="1"/>
      <c r="B4" s="7"/>
      <c r="C4" s="7"/>
      <c r="D4" s="17"/>
      <c r="E4" s="32" t="s">
        <v>48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97"/>
    </row>
    <row r="5" hidden="1">
      <c r="A5" s="1"/>
      <c r="B5" s="7"/>
      <c r="C5" s="7"/>
      <c r="D5" s="35"/>
      <c r="E5" s="32" t="s">
        <v>49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97"/>
    </row>
    <row r="6" hidden="1">
      <c r="A6" s="1"/>
      <c r="B6" s="7"/>
      <c r="C6" s="7"/>
      <c r="D6" s="36"/>
      <c r="E6" s="37" t="s">
        <v>50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97"/>
    </row>
    <row r="7">
      <c r="A7" s="9"/>
      <c r="B7" s="6" t="s">
        <v>8</v>
      </c>
      <c r="C7" s="39" t="s">
        <v>10</v>
      </c>
      <c r="D7" s="6" t="s">
        <v>1</v>
      </c>
      <c r="E7" s="6" t="s">
        <v>2</v>
      </c>
      <c r="F7" s="6" t="s">
        <v>4</v>
      </c>
      <c r="G7" s="9" t="s">
        <v>11</v>
      </c>
      <c r="H7" s="6" t="s">
        <v>13</v>
      </c>
      <c r="I7" s="6" t="s">
        <v>14</v>
      </c>
      <c r="J7" s="39" t="s">
        <v>15</v>
      </c>
      <c r="K7" s="42" t="s">
        <v>18</v>
      </c>
      <c r="L7" s="39" t="s">
        <v>19</v>
      </c>
      <c r="M7" s="39" t="s">
        <v>20</v>
      </c>
      <c r="N7" s="39" t="s">
        <v>21</v>
      </c>
      <c r="O7" s="42" t="s">
        <v>23</v>
      </c>
      <c r="P7" s="39" t="s">
        <v>25</v>
      </c>
      <c r="Q7" s="6" t="s">
        <v>26</v>
      </c>
      <c r="R7" s="6" t="s">
        <v>27</v>
      </c>
      <c r="S7" s="6" t="s">
        <v>54</v>
      </c>
      <c r="T7" s="39" t="s">
        <v>30</v>
      </c>
      <c r="U7" s="100" t="s">
        <v>1125</v>
      </c>
    </row>
    <row r="8">
      <c r="A8" s="45" t="s">
        <v>33</v>
      </c>
      <c r="B8" s="17" t="s">
        <v>34</v>
      </c>
      <c r="C8" s="46" t="s">
        <v>55</v>
      </c>
      <c r="D8" s="19" t="s">
        <v>36</v>
      </c>
      <c r="E8" s="21" t="s">
        <v>36</v>
      </c>
      <c r="F8" s="19" t="s">
        <v>36</v>
      </c>
      <c r="G8" s="47"/>
      <c r="H8" s="19" t="s">
        <v>36</v>
      </c>
      <c r="I8" s="25" t="s">
        <v>1126</v>
      </c>
      <c r="J8" s="25" t="s">
        <v>44</v>
      </c>
      <c r="K8" s="23" t="s">
        <v>38</v>
      </c>
      <c r="L8" s="19" t="s">
        <v>36</v>
      </c>
      <c r="M8" s="19" t="s">
        <v>36</v>
      </c>
      <c r="N8" s="19" t="s">
        <v>36</v>
      </c>
      <c r="O8" s="19" t="s">
        <v>36</v>
      </c>
      <c r="P8" s="19" t="s">
        <v>36</v>
      </c>
      <c r="Q8" s="47" t="s">
        <v>62</v>
      </c>
      <c r="R8" s="47" t="s">
        <v>63</v>
      </c>
      <c r="S8" s="48" t="s">
        <v>64</v>
      </c>
      <c r="T8" s="49" t="s">
        <v>67</v>
      </c>
      <c r="U8" s="101"/>
    </row>
    <row r="9">
      <c r="A9" s="72">
        <v>46038.0</v>
      </c>
      <c r="B9" s="43" t="s">
        <v>73</v>
      </c>
      <c r="C9" s="58" t="str">
        <f>IFERROR(__xludf.DUMMYFUNCTION("FILTER(VLOOKUP(B9:B1014,Data!A:B,2,FALSE),B9:B1014&lt;&gt;"""")"),"LD012")</f>
        <v>LD012</v>
      </c>
      <c r="D9" s="44" t="s">
        <v>42</v>
      </c>
      <c r="E9" s="44" t="s">
        <v>53</v>
      </c>
      <c r="F9" s="44" t="s">
        <v>60</v>
      </c>
      <c r="G9" s="44" t="s">
        <v>61</v>
      </c>
      <c r="H9" s="44" t="s">
        <v>1131</v>
      </c>
      <c r="I9" s="44" t="s">
        <v>1132</v>
      </c>
      <c r="J9" s="44" t="s">
        <v>88</v>
      </c>
      <c r="K9" s="44" t="s">
        <v>61</v>
      </c>
      <c r="L9" s="44">
        <v>95360.0</v>
      </c>
      <c r="M9" s="44" t="s">
        <v>116</v>
      </c>
      <c r="N9" s="44" t="s">
        <v>70</v>
      </c>
      <c r="O9" s="44" t="s">
        <v>70</v>
      </c>
      <c r="P9" s="44" t="s">
        <v>70</v>
      </c>
      <c r="Q9" s="58" t="str">
        <f>IFERROR(__xludf.DUMMYFUNCTION("FILTER(IF( A9:A1014&lt;&gt;"""",IF(H9:H1014&lt;&gt;"""",IF(I9:I1014&lt;&gt;"""",IF(L9:L1014&lt;&gt;"""",IF(N9:N1014&lt;&gt;"""",I9:I1014&amp;""_""&amp;L9:L1014&amp;""_""&amp;N9:N1014&amp;""_""&amp;H9:H1014&amp;""_""&amp;TRIM(A9:A1014),""!!!""),""!!!""),""!!!""),""!!!""),""!!!""),B9:B1014&lt;&gt;"""")"),"Blog_95360_NON_HuyLG_160126")</f>
        <v>Blog_95360_NON_HuyLG_160126</v>
      </c>
      <c r="R9" s="58" t="str">
        <f>IFERROR(__xludf.DUMMYFUNCTION("FILTER(IF( A9:A1014&lt;&gt;"""",IF(P9:P1014&lt;&gt;"""",IF(F9:F1014&lt;&gt;"""",IF(G9:G1014&lt;&gt;"""",IF(K9:K1014&lt;&gt;"""",P9:P1014&amp;""_""&amp;F9:F1014&amp;""_""&amp;G9:G1014&amp;""_""&amp;K9:K1014&amp;""_""&amp;TRIM(A9:A1014),""!!!""),""!!!""),""!!!""),""!!!""),""!!!""),B9:B1014&lt;&gt;"""")"),"NON_NONE_none_none_160126")</f>
        <v>NON_NONE_none_none_160126</v>
      </c>
      <c r="S9" s="58" t="str">
        <f>IFERROR(__xludf.DUMMYFUNCTION("FILTER(IF( M9:M1014&lt;&gt;"""",IF(J9:J1014&lt;&gt;"""",IF(O9:O1014&lt;&gt;"""",IF(C9:C1014&lt;&gt;"""",M9:M1014&amp;""_""&amp;J9:J1014&amp;""_""&amp;O9:O1014&amp;""_""&amp;C9:C1014,""!!!""),""!!!""),""!!!""),""!!!""),B9:B1014&lt;&gt;"""")"),"khac_Content2_NON_LD012")</f>
        <v>khac_Content2_NON_LD012</v>
      </c>
      <c r="T9" s="103" t="str">
        <f>IFERROR(__xludf.DUMMYFUNCTION("FILTER(B9:B1014&amp;if(right(B9:B1014,1)=""/"",""?"",""/?"")&amp;""utm_source=""&amp;D9:D1014&amp;""&amp;utm_medium=""&amp;E9:E1014&amp;""&amp;utm_term=""&amp;R9:R1014&amp;""&amp;utm_content=""&amp;S9:S1014&amp;""&amp;utm_campaign=""&amp;Q9:Q1014,B9:B1014&lt;&gt;"""")"),"https://patadovietnam.edu.vn/blog/?utm_source=Facebook&amp;utm_medium=SEE&amp;utm_term=NON_NONE_none_none_160126&amp;utm_content=khac_Content2_NON_LD012&amp;utm_campaign=Blog_95360_NON_HuyLG_160126")</f>
        <v>https://patadovietnam.edu.vn/blog/?utm_source=Facebook&amp;utm_medium=SEE&amp;utm_term=NON_NONE_none_none_160126&amp;utm_content=khac_Content2_NON_LD012&amp;utm_campaign=Blog_95360_NON_HuyLG_160126</v>
      </c>
      <c r="U9" s="97"/>
    </row>
    <row r="10">
      <c r="A10" s="72">
        <v>46006.0</v>
      </c>
      <c r="B10" s="60" t="s">
        <v>1134</v>
      </c>
      <c r="C10" s="67" t="str">
        <f>IFERROR(__xludf.DUMMYFUNCTION("""COMPUTED_VALUE"""),"LD153")</f>
        <v>LD153</v>
      </c>
      <c r="D10" s="55" t="s">
        <v>42</v>
      </c>
      <c r="E10" s="55" t="s">
        <v>79</v>
      </c>
      <c r="F10" s="55" t="s">
        <v>539</v>
      </c>
      <c r="G10" s="55">
        <v>1840.0</v>
      </c>
      <c r="H10" s="55" t="s">
        <v>1137</v>
      </c>
      <c r="I10" s="115" t="s">
        <v>1726</v>
      </c>
      <c r="J10" s="55" t="s">
        <v>1727</v>
      </c>
      <c r="K10" s="55" t="s">
        <v>61</v>
      </c>
      <c r="L10" s="55">
        <v>16917.0</v>
      </c>
      <c r="M10" s="55" t="s">
        <v>78</v>
      </c>
      <c r="N10" s="55" t="s">
        <v>79</v>
      </c>
      <c r="O10" s="55" t="s">
        <v>224</v>
      </c>
      <c r="P10" s="55" t="s">
        <v>110</v>
      </c>
      <c r="Q10" s="67" t="str">
        <f>IFERROR(__xludf.DUMMYFUNCTION("""COMPUTED_VALUE"""),"ALL.giaotiep.M601_16917_MES_NamNH_151225")</f>
        <v>ALL.giaotiep.M601_16917_MES_NamNH_151225</v>
      </c>
      <c r="R10" s="67" t="str">
        <f>IFERROR(__xludf.DUMMYFUNCTION("""COMPUTED_VALUE"""),"NEW_ALL_1840_none_151225")</f>
        <v>NEW_ALL_1840_none_151225</v>
      </c>
      <c r="S10" s="67" t="str">
        <f>IFERROR(__xludf.DUMMYFUNCTION("""COMPUTED_VALUE"""),"saletructiep_ALL.M601.1840.giaotiep_PTATT_LD153")</f>
        <v>saletructiep_ALL.M601.1840.giaotiep_PTATT_LD153</v>
      </c>
      <c r="T10" s="107" t="str">
        <f>IFERROR(__xludf.DUMMYFUNCTION("""COMPUTED_VALUE"""),"https://patadovietnam.edu.vn/tienganhgiaotiep_hn/?utm_source=Facebook&amp;utm_medium=MES&amp;utm_term=NEW_ALL_1840_none_151225&amp;utm_content=saletructiep_ALL.M601.1840.giaotiep_PTATT_LD153&amp;utm_campaign=ALL.giaotiep.M601_16917_MES_NamNH_151225")</f>
        <v>https://patadovietnam.edu.vn/tienganhgiaotiep_hn/?utm_source=Facebook&amp;utm_medium=MES&amp;utm_term=NEW_ALL_1840_none_151225&amp;utm_content=saletructiep_ALL.M601.1840.giaotiep_PTATT_LD153&amp;utm_campaign=ALL.giaotiep.M601_16917_MES_NamNH_151225</v>
      </c>
      <c r="U10" s="110" t="s">
        <v>1735</v>
      </c>
    </row>
    <row r="11">
      <c r="A11" s="72">
        <v>46008.0</v>
      </c>
      <c r="B11" s="60" t="s">
        <v>1134</v>
      </c>
      <c r="C11" s="67" t="str">
        <f>IFERROR(__xludf.DUMMYFUNCTION("""COMPUTED_VALUE"""),"LD153")</f>
        <v>LD153</v>
      </c>
      <c r="D11" s="55" t="s">
        <v>188</v>
      </c>
      <c r="E11" s="55" t="s">
        <v>193</v>
      </c>
      <c r="F11" s="55" t="s">
        <v>539</v>
      </c>
      <c r="G11" s="55">
        <v>1840.0</v>
      </c>
      <c r="H11" s="55" t="s">
        <v>1261</v>
      </c>
      <c r="I11" s="115" t="s">
        <v>1737</v>
      </c>
      <c r="J11" s="55" t="s">
        <v>1738</v>
      </c>
      <c r="K11" s="55" t="s">
        <v>61</v>
      </c>
      <c r="L11" s="55">
        <v>16917.0</v>
      </c>
      <c r="M11" s="55" t="s">
        <v>78</v>
      </c>
      <c r="N11" s="55" t="s">
        <v>193</v>
      </c>
      <c r="O11" s="55" t="s">
        <v>224</v>
      </c>
      <c r="P11" s="55" t="s">
        <v>110</v>
      </c>
      <c r="Q11" s="67" t="str">
        <f>IFERROR(__xludf.DUMMYFUNCTION("""COMPUTED_VALUE"""),"ALL.giaotiep.hoctienganhonline_16917_SEA_HoaNT_171225")</f>
        <v>ALL.giaotiep.hoctienganhonline_16917_SEA_HoaNT_171225</v>
      </c>
      <c r="R11" s="67" t="str">
        <f>IFERROR(__xludf.DUMMYFUNCTION("""COMPUTED_VALUE"""),"NEW_ALL_1840_none_171225")</f>
        <v>NEW_ALL_1840_none_171225</v>
      </c>
      <c r="S11" s="67" t="str">
        <f>IFERROR(__xludf.DUMMYFUNCTION("""COMPUTED_VALUE"""),"saletructiep_ALL.tienganhtructuyen.1840.giaotiep_PTATT_LD153")</f>
        <v>saletructiep_ALL.tienganhtructuyen.1840.giaotiep_PTATT_LD153</v>
      </c>
      <c r="T11" s="107" t="str">
        <f>IFERROR(__xludf.DUMMYFUNCTION("""COMPUTED_VALUE"""),"https://patadovietnam.edu.vn/tienganhgiaotiep_hn/?utm_source=Google&amp;utm_medium=SEA&amp;utm_term=NEW_ALL_1840_none_171225&amp;utm_content=saletructiep_ALL.tienganhtructuyen.1840.giaotiep_PTATT_LD153&amp;utm_campaign=ALL.giaotiep.hoctienganhonline_16917_SEA_HoaNT_17122"&amp;"5")</f>
        <v>https://patadovietnam.edu.vn/tienganhgiaotiep_hn/?utm_source=Google&amp;utm_medium=SEA&amp;utm_term=NEW_ALL_1840_none_171225&amp;utm_content=saletructiep_ALL.tienganhtructuyen.1840.giaotiep_PTATT_LD153&amp;utm_campaign=ALL.giaotiep.hoctienganhonline_16917_SEA_HoaNT_171225</v>
      </c>
      <c r="U11" s="116"/>
    </row>
    <row r="12">
      <c r="A12" s="72">
        <v>46008.0</v>
      </c>
      <c r="B12" s="60" t="s">
        <v>1134</v>
      </c>
      <c r="C12" s="67" t="str">
        <f>IFERROR(__xludf.DUMMYFUNCTION("""COMPUTED_VALUE"""),"LD153")</f>
        <v>LD153</v>
      </c>
      <c r="D12" s="55" t="s">
        <v>188</v>
      </c>
      <c r="E12" s="55" t="s">
        <v>193</v>
      </c>
      <c r="F12" s="55" t="s">
        <v>539</v>
      </c>
      <c r="G12" s="55">
        <v>1840.0</v>
      </c>
      <c r="H12" s="55" t="s">
        <v>1261</v>
      </c>
      <c r="I12" s="115" t="s">
        <v>1737</v>
      </c>
      <c r="J12" s="55" t="s">
        <v>1738</v>
      </c>
      <c r="K12" s="55" t="s">
        <v>61</v>
      </c>
      <c r="L12" s="55">
        <v>16917.0</v>
      </c>
      <c r="M12" s="55" t="s">
        <v>78</v>
      </c>
      <c r="N12" s="55" t="s">
        <v>193</v>
      </c>
      <c r="O12" s="55" t="s">
        <v>224</v>
      </c>
      <c r="P12" s="55" t="s">
        <v>110</v>
      </c>
      <c r="Q12" s="117" t="str">
        <f>IFERROR(__xludf.DUMMYFUNCTION("""COMPUTED_VALUE"""),"ALL.giaotiep.hoctienganhonline_16917_SEA_HoaNT_171225")</f>
        <v>ALL.giaotiep.hoctienganhonline_16917_SEA_HoaNT_171225</v>
      </c>
      <c r="R12" s="117" t="str">
        <f>IFERROR(__xludf.DUMMYFUNCTION("""COMPUTED_VALUE"""),"NEW_ALL_1840_none_171225")</f>
        <v>NEW_ALL_1840_none_171225</v>
      </c>
      <c r="S12" s="67" t="str">
        <f>IFERROR(__xludf.DUMMYFUNCTION("""COMPUTED_VALUE"""),"saletructiep_ALL.tienganhtructuyen.1840.giaotiep_PTATT_LD153")</f>
        <v>saletructiep_ALL.tienganhtructuyen.1840.giaotiep_PTATT_LD153</v>
      </c>
      <c r="T12" s="132" t="str">
        <f>IFERROR(__xludf.DUMMYFUNCTION("""COMPUTED_VALUE"""),"https://patadovietnam.edu.vn/tienganhgiaotiep_hn/?utm_source=Google&amp;utm_medium=SEA&amp;utm_term=NEW_ALL_1840_none_171225&amp;utm_content=saletructiep_ALL.tienganhtructuyen.1840.giaotiep_PTATT_LD153&amp;utm_campaign=ALL.giaotiep.hoctienganhonline_16917_SEA_HoaNT_17122"&amp;"5")</f>
        <v>https://patadovietnam.edu.vn/tienganhgiaotiep_hn/?utm_source=Google&amp;utm_medium=SEA&amp;utm_term=NEW_ALL_1840_none_171225&amp;utm_content=saletructiep_ALL.tienganhtructuyen.1840.giaotiep_PTATT_LD153&amp;utm_campaign=ALL.giaotiep.hoctienganhonline_16917_SEA_HoaNT_171225</v>
      </c>
      <c r="U12" s="116"/>
    </row>
    <row r="13">
      <c r="A13" s="72">
        <v>46008.0</v>
      </c>
      <c r="B13" s="60" t="s">
        <v>1134</v>
      </c>
      <c r="C13" s="67" t="str">
        <f>IFERROR(__xludf.DUMMYFUNCTION("""COMPUTED_VALUE"""),"LD153")</f>
        <v>LD153</v>
      </c>
      <c r="D13" s="55" t="s">
        <v>188</v>
      </c>
      <c r="E13" s="55" t="s">
        <v>193</v>
      </c>
      <c r="F13" s="55" t="s">
        <v>539</v>
      </c>
      <c r="G13" s="55">
        <v>1840.0</v>
      </c>
      <c r="H13" s="55" t="s">
        <v>1261</v>
      </c>
      <c r="I13" s="115" t="s">
        <v>1737</v>
      </c>
      <c r="J13" s="55" t="s">
        <v>1738</v>
      </c>
      <c r="K13" s="55" t="s">
        <v>61</v>
      </c>
      <c r="L13" s="55">
        <v>16917.0</v>
      </c>
      <c r="M13" s="55" t="s">
        <v>78</v>
      </c>
      <c r="N13" s="55" t="s">
        <v>193</v>
      </c>
      <c r="O13" s="55" t="s">
        <v>224</v>
      </c>
      <c r="P13" s="55" t="s">
        <v>110</v>
      </c>
      <c r="Q13" s="117" t="str">
        <f>IFERROR(__xludf.DUMMYFUNCTION("""COMPUTED_VALUE"""),"ALL.giaotiep.hoctienganhonline_16917_SEA_HoaNT_171225")</f>
        <v>ALL.giaotiep.hoctienganhonline_16917_SEA_HoaNT_171225</v>
      </c>
      <c r="R13" s="117" t="str">
        <f>IFERROR(__xludf.DUMMYFUNCTION("""COMPUTED_VALUE"""),"NEW_ALL_1840_none_171225")</f>
        <v>NEW_ALL_1840_none_171225</v>
      </c>
      <c r="S13" s="67" t="str">
        <f>IFERROR(__xludf.DUMMYFUNCTION("""COMPUTED_VALUE"""),"saletructiep_ALL.tienganhtructuyen.1840.giaotiep_PTATT_LD153")</f>
        <v>saletructiep_ALL.tienganhtructuyen.1840.giaotiep_PTATT_LD153</v>
      </c>
      <c r="T13" s="107" t="str">
        <f>IFERROR(__xludf.DUMMYFUNCTION("""COMPUTED_VALUE"""),"https://patadovietnam.edu.vn/tienganhgiaotiep_hn/?utm_source=Google&amp;utm_medium=SEA&amp;utm_term=NEW_ALL_1840_none_171225&amp;utm_content=saletructiep_ALL.tienganhtructuyen.1840.giaotiep_PTATT_LD153&amp;utm_campaign=ALL.giaotiep.hoctienganhonline_16917_SEA_HoaNT_17122"&amp;"5")</f>
        <v>https://patadovietnam.edu.vn/tienganhgiaotiep_hn/?utm_source=Google&amp;utm_medium=SEA&amp;utm_term=NEW_ALL_1840_none_171225&amp;utm_content=saletructiep_ALL.tienganhtructuyen.1840.giaotiep_PTATT_LD153&amp;utm_campaign=ALL.giaotiep.hoctienganhonline_16917_SEA_HoaNT_171225</v>
      </c>
      <c r="U13" s="116"/>
    </row>
    <row r="14">
      <c r="A14" s="72">
        <v>46007.0</v>
      </c>
      <c r="B14" s="60" t="s">
        <v>1564</v>
      </c>
      <c r="C14" s="67" t="str">
        <f>IFERROR(__xludf.DUMMYFUNCTION("""COMPUTED_VALUE"""),"LD264")</f>
        <v>LD264</v>
      </c>
      <c r="D14" s="55" t="s">
        <v>188</v>
      </c>
      <c r="E14" s="55" t="s">
        <v>193</v>
      </c>
      <c r="F14" s="55" t="s">
        <v>133</v>
      </c>
      <c r="G14" s="55" t="s">
        <v>61</v>
      </c>
      <c r="H14" s="55" t="s">
        <v>1261</v>
      </c>
      <c r="I14" s="115" t="s">
        <v>1764</v>
      </c>
      <c r="J14" s="55" t="s">
        <v>1765</v>
      </c>
      <c r="K14" s="55" t="s">
        <v>61</v>
      </c>
      <c r="L14" s="55" t="s">
        <v>1130</v>
      </c>
      <c r="M14" s="55" t="s">
        <v>78</v>
      </c>
      <c r="N14" s="55" t="s">
        <v>193</v>
      </c>
      <c r="O14" s="55" t="s">
        <v>1768</v>
      </c>
      <c r="P14" s="55" t="s">
        <v>110</v>
      </c>
      <c r="Q14" s="117" t="str">
        <f>IFERROR(__xludf.DUMMYFUNCTION("""COMPUTED_VALUE"""),"Japan.giaotiep.tienganhonline_Patado_SEA_HoaNT_161225")</f>
        <v>Japan.giaotiep.tienganhonline_Patado_SEA_HoaNT_161225</v>
      </c>
      <c r="R14" s="117" t="str">
        <f>IFERROR(__xludf.DUMMYFUNCTION("""COMPUTED_VALUE"""),"NEW_Japan_none_none_161225")</f>
        <v>NEW_Japan_none_none_161225</v>
      </c>
      <c r="S14" s="67" t="str">
        <f>IFERROR(__xludf.DUMMYFUNCTION("""COMPUTED_VALUE"""),"saletructiep_hoctienganhonline_PTAGTTD_LD264")</f>
        <v>saletructiep_hoctienganhonline_PTAGTTD_LD264</v>
      </c>
      <c r="T14" s="107" t="str">
        <f>IFERROR(__xludf.DUMMYFUNCTION("""COMPUTED_VALUE"""),"https://patado.edu.vn/khoa-tieng-anh-giao-tiep-o-nhat-ban/?utm_source=Google&amp;utm_medium=SEA&amp;utm_term=NEW_Japan_none_none_161225&amp;utm_content=saletructiep_hoctienganhonline_PTAGTTD_LD264&amp;utm_campaign=Japan.giaotiep.tienganhonline_Patado_SEA_HoaNT_161225")</f>
        <v>https://patado.edu.vn/khoa-tieng-anh-giao-tiep-o-nhat-ban/?utm_source=Google&amp;utm_medium=SEA&amp;utm_term=NEW_Japan_none_none_161225&amp;utm_content=saletructiep_hoctienganhonline_PTAGTTD_LD264&amp;utm_campaign=Japan.giaotiep.tienganhonline_Patado_SEA_HoaNT_161225</v>
      </c>
      <c r="U14" s="116"/>
    </row>
    <row r="15">
      <c r="A15" s="72">
        <v>46007.0</v>
      </c>
      <c r="B15" s="60" t="s">
        <v>1564</v>
      </c>
      <c r="C15" s="67" t="str">
        <f>IFERROR(__xludf.DUMMYFUNCTION("""COMPUTED_VALUE"""),"LD264")</f>
        <v>LD264</v>
      </c>
      <c r="D15" s="55" t="s">
        <v>188</v>
      </c>
      <c r="E15" s="55" t="s">
        <v>193</v>
      </c>
      <c r="F15" s="55" t="s">
        <v>133</v>
      </c>
      <c r="G15" s="55" t="s">
        <v>61</v>
      </c>
      <c r="H15" s="55" t="s">
        <v>1261</v>
      </c>
      <c r="I15" s="115" t="s">
        <v>1764</v>
      </c>
      <c r="J15" s="55" t="s">
        <v>1775</v>
      </c>
      <c r="K15" s="55" t="s">
        <v>61</v>
      </c>
      <c r="L15" s="55" t="s">
        <v>1130</v>
      </c>
      <c r="M15" s="55" t="s">
        <v>78</v>
      </c>
      <c r="N15" s="55" t="s">
        <v>193</v>
      </c>
      <c r="O15" s="55" t="s">
        <v>1768</v>
      </c>
      <c r="P15" s="55" t="s">
        <v>110</v>
      </c>
      <c r="Q15" s="117" t="str">
        <f>IFERROR(__xludf.DUMMYFUNCTION("""COMPUTED_VALUE"""),"Japan.giaotiep.tienganhonline_Patado_SEA_HoaNT_161225")</f>
        <v>Japan.giaotiep.tienganhonline_Patado_SEA_HoaNT_161225</v>
      </c>
      <c r="R15" s="117" t="str">
        <f>IFERROR(__xludf.DUMMYFUNCTION("""COMPUTED_VALUE"""),"NEW_Japan_none_none_161225")</f>
        <v>NEW_Japan_none_none_161225</v>
      </c>
      <c r="S15" s="67" t="str">
        <f>IFERROR(__xludf.DUMMYFUNCTION("""COMPUTED_VALUE"""),"saletructiep_khoahoctienganhonline_PTAGTTD_LD264")</f>
        <v>saletructiep_khoahoctienganhonline_PTAGTTD_LD264</v>
      </c>
      <c r="T15" s="107" t="str">
        <f>IFERROR(__xludf.DUMMYFUNCTION("""COMPUTED_VALUE"""),"https://patado.edu.vn/khoa-tieng-anh-giao-tiep-o-nhat-ban/?utm_source=Google&amp;utm_medium=SEA&amp;utm_term=NEW_Japan_none_none_161225&amp;utm_content=saletructiep_khoahoctienganhonline_PTAGTTD_LD264&amp;utm_campaign=Japan.giaotiep.tienganhonline_Patado_SEA_HoaNT_161225")</f>
        <v>https://patado.edu.vn/khoa-tieng-anh-giao-tiep-o-nhat-ban/?utm_source=Google&amp;utm_medium=SEA&amp;utm_term=NEW_Japan_none_none_161225&amp;utm_content=saletructiep_khoahoctienganhonline_PTAGTTD_LD264&amp;utm_campaign=Japan.giaotiep.tienganhonline_Patado_SEA_HoaNT_161225</v>
      </c>
      <c r="U15" s="116"/>
    </row>
    <row r="16">
      <c r="A16" s="72">
        <v>46007.0</v>
      </c>
      <c r="B16" s="60" t="s">
        <v>1564</v>
      </c>
      <c r="C16" s="67" t="str">
        <f>IFERROR(__xludf.DUMMYFUNCTION("""COMPUTED_VALUE"""),"LD264")</f>
        <v>LD264</v>
      </c>
      <c r="D16" s="55" t="s">
        <v>188</v>
      </c>
      <c r="E16" s="55" t="s">
        <v>193</v>
      </c>
      <c r="F16" s="55" t="s">
        <v>133</v>
      </c>
      <c r="G16" s="55" t="s">
        <v>61</v>
      </c>
      <c r="H16" s="55" t="s">
        <v>1261</v>
      </c>
      <c r="I16" s="115" t="s">
        <v>1764</v>
      </c>
      <c r="J16" s="55" t="s">
        <v>1781</v>
      </c>
      <c r="K16" s="55" t="s">
        <v>61</v>
      </c>
      <c r="L16" s="55" t="s">
        <v>1130</v>
      </c>
      <c r="M16" s="55" t="s">
        <v>78</v>
      </c>
      <c r="N16" s="55" t="s">
        <v>193</v>
      </c>
      <c r="O16" s="55" t="s">
        <v>1768</v>
      </c>
      <c r="P16" s="55" t="s">
        <v>110</v>
      </c>
      <c r="Q16" s="117" t="str">
        <f>IFERROR(__xludf.DUMMYFUNCTION("""COMPUTED_VALUE"""),"Japan.giaotiep.tienganhonline_Patado_SEA_HoaNT_161225")</f>
        <v>Japan.giaotiep.tienganhonline_Patado_SEA_HoaNT_161225</v>
      </c>
      <c r="R16" s="117" t="str">
        <f>IFERROR(__xludf.DUMMYFUNCTION("""COMPUTED_VALUE"""),"NEW_Japan_none_none_161225")</f>
        <v>NEW_Japan_none_none_161225</v>
      </c>
      <c r="S16" s="67" t="str">
        <f>IFERROR(__xludf.DUMMYFUNCTION("""COMPUTED_VALUE"""),"saletructiep_tienganhonline11_PTAGTTD_LD264")</f>
        <v>saletructiep_tienganhonline11_PTAGTTD_LD264</v>
      </c>
      <c r="T16" s="107" t="str">
        <f>IFERROR(__xludf.DUMMYFUNCTION("""COMPUTED_VALUE"""),"https://patado.edu.vn/khoa-tieng-anh-giao-tiep-o-nhat-ban/?utm_source=Google&amp;utm_medium=SEA&amp;utm_term=NEW_Japan_none_none_161225&amp;utm_content=saletructiep_tienganhonline11_PTAGTTD_LD264&amp;utm_campaign=Japan.giaotiep.tienganhonline_Patado_SEA_HoaNT_161225")</f>
        <v>https://patado.edu.vn/khoa-tieng-anh-giao-tiep-o-nhat-ban/?utm_source=Google&amp;utm_medium=SEA&amp;utm_term=NEW_Japan_none_none_161225&amp;utm_content=saletructiep_tienganhonline11_PTAGTTD_LD264&amp;utm_campaign=Japan.giaotiep.tienganhonline_Patado_SEA_HoaNT_161225</v>
      </c>
      <c r="U16" s="116"/>
    </row>
    <row r="17">
      <c r="A17" s="72">
        <v>46007.0</v>
      </c>
      <c r="B17" s="60" t="s">
        <v>1564</v>
      </c>
      <c r="C17" s="67" t="str">
        <f>IFERROR(__xludf.DUMMYFUNCTION("""COMPUTED_VALUE"""),"LD264")</f>
        <v>LD264</v>
      </c>
      <c r="D17" s="55" t="s">
        <v>188</v>
      </c>
      <c r="E17" s="55" t="s">
        <v>193</v>
      </c>
      <c r="F17" s="55" t="s">
        <v>133</v>
      </c>
      <c r="G17" s="55" t="s">
        <v>61</v>
      </c>
      <c r="H17" s="55" t="s">
        <v>1261</v>
      </c>
      <c r="I17" s="115" t="s">
        <v>1764</v>
      </c>
      <c r="J17" s="55" t="s">
        <v>1790</v>
      </c>
      <c r="K17" s="55" t="s">
        <v>61</v>
      </c>
      <c r="L17" s="55" t="s">
        <v>1130</v>
      </c>
      <c r="M17" s="55" t="s">
        <v>78</v>
      </c>
      <c r="N17" s="55" t="s">
        <v>193</v>
      </c>
      <c r="O17" s="55" t="s">
        <v>1768</v>
      </c>
      <c r="P17" s="55" t="s">
        <v>110</v>
      </c>
      <c r="Q17" s="117" t="str">
        <f>IFERROR(__xludf.DUMMYFUNCTION("""COMPUTED_VALUE"""),"Japan.giaotiep.tienganhonline_Patado_SEA_HoaNT_161225")</f>
        <v>Japan.giaotiep.tienganhonline_Patado_SEA_HoaNT_161225</v>
      </c>
      <c r="R17" s="117" t="str">
        <f>IFERROR(__xludf.DUMMYFUNCTION("""COMPUTED_VALUE"""),"NEW_Japan_none_none_161225")</f>
        <v>NEW_Japan_none_none_161225</v>
      </c>
      <c r="S17" s="67" t="str">
        <f>IFERROR(__xludf.DUMMYFUNCTION("""COMPUTED_VALUE"""),"saletructiep_tienganhgiaotiep11_PTAGTTD_LD264")</f>
        <v>saletructiep_tienganhgiaotiep11_PTAGTTD_LD264</v>
      </c>
      <c r="T17" s="107" t="str">
        <f>IFERROR(__xludf.DUMMYFUNCTION("""COMPUTED_VALUE"""),"https://patado.edu.vn/khoa-tieng-anh-giao-tiep-o-nhat-ban/?utm_source=Google&amp;utm_medium=SEA&amp;utm_term=NEW_Japan_none_none_161225&amp;utm_content=saletructiep_tienganhgiaotiep11_PTAGTTD_LD264&amp;utm_campaign=Japan.giaotiep.tienganhonline_Patado_SEA_HoaNT_161225")</f>
        <v>https://patado.edu.vn/khoa-tieng-anh-giao-tiep-o-nhat-ban/?utm_source=Google&amp;utm_medium=SEA&amp;utm_term=NEW_Japan_none_none_161225&amp;utm_content=saletructiep_tienganhgiaotiep11_PTAGTTD_LD264&amp;utm_campaign=Japan.giaotiep.tienganhonline_Patado_SEA_HoaNT_161225</v>
      </c>
      <c r="U17" s="116"/>
    </row>
    <row r="18">
      <c r="A18" s="72">
        <v>46007.0</v>
      </c>
      <c r="B18" s="60" t="s">
        <v>1564</v>
      </c>
      <c r="C18" s="67" t="str">
        <f>IFERROR(__xludf.DUMMYFUNCTION("""COMPUTED_VALUE"""),"LD264")</f>
        <v>LD264</v>
      </c>
      <c r="D18" s="55" t="s">
        <v>188</v>
      </c>
      <c r="E18" s="55" t="s">
        <v>193</v>
      </c>
      <c r="F18" s="55" t="s">
        <v>133</v>
      </c>
      <c r="G18" s="55" t="s">
        <v>61</v>
      </c>
      <c r="H18" s="55" t="s">
        <v>1261</v>
      </c>
      <c r="I18" s="115" t="s">
        <v>1764</v>
      </c>
      <c r="J18" s="55" t="s">
        <v>1799</v>
      </c>
      <c r="K18" s="55" t="s">
        <v>61</v>
      </c>
      <c r="L18" s="55" t="s">
        <v>1130</v>
      </c>
      <c r="M18" s="55" t="s">
        <v>78</v>
      </c>
      <c r="N18" s="55" t="s">
        <v>193</v>
      </c>
      <c r="O18" s="55" t="s">
        <v>1768</v>
      </c>
      <c r="P18" s="55" t="s">
        <v>110</v>
      </c>
      <c r="Q18" s="117" t="str">
        <f>IFERROR(__xludf.DUMMYFUNCTION("""COMPUTED_VALUE"""),"Japan.giaotiep.tienganhonline_Patado_SEA_HoaNT_161225")</f>
        <v>Japan.giaotiep.tienganhonline_Patado_SEA_HoaNT_161225</v>
      </c>
      <c r="R18" s="117" t="str">
        <f>IFERROR(__xludf.DUMMYFUNCTION("""COMPUTED_VALUE"""),"NEW_Japan_none_none_161225")</f>
        <v>NEW_Japan_none_none_161225</v>
      </c>
      <c r="S18" s="67" t="str">
        <f>IFERROR(__xludf.DUMMYFUNCTION("""COMPUTED_VALUE"""),"saletructiep_tienganhchongbatdau_PTAGTTD_LD264")</f>
        <v>saletructiep_tienganhchongbatdau_PTAGTTD_LD264</v>
      </c>
      <c r="T18" s="107" t="str">
        <f>IFERROR(__xludf.DUMMYFUNCTION("""COMPUTED_VALUE"""),"https://patado.edu.vn/khoa-tieng-anh-giao-tiep-o-nhat-ban/?utm_source=Google&amp;utm_medium=SEA&amp;utm_term=NEW_Japan_none_none_161225&amp;utm_content=saletructiep_tienganhchongbatdau_PTAGTTD_LD264&amp;utm_campaign=Japan.giaotiep.tienganhonline_Patado_SEA_HoaNT_161225")</f>
        <v>https://patado.edu.vn/khoa-tieng-anh-giao-tiep-o-nhat-ban/?utm_source=Google&amp;utm_medium=SEA&amp;utm_term=NEW_Japan_none_none_161225&amp;utm_content=saletructiep_tienganhchongbatdau_PTAGTTD_LD264&amp;utm_campaign=Japan.giaotiep.tienganhonline_Patado_SEA_HoaNT_161225</v>
      </c>
      <c r="U18" s="116"/>
    </row>
    <row r="19">
      <c r="A19" s="72">
        <v>46007.0</v>
      </c>
      <c r="B19" s="60" t="s">
        <v>1564</v>
      </c>
      <c r="C19" s="67" t="str">
        <f>IFERROR(__xludf.DUMMYFUNCTION("""COMPUTED_VALUE"""),"LD264")</f>
        <v>LD264</v>
      </c>
      <c r="D19" s="55" t="s">
        <v>188</v>
      </c>
      <c r="E19" s="55" t="s">
        <v>193</v>
      </c>
      <c r="F19" s="55" t="s">
        <v>133</v>
      </c>
      <c r="G19" s="55" t="s">
        <v>61</v>
      </c>
      <c r="H19" s="55" t="s">
        <v>1261</v>
      </c>
      <c r="I19" s="115" t="s">
        <v>1764</v>
      </c>
      <c r="J19" s="55" t="s">
        <v>1805</v>
      </c>
      <c r="K19" s="55" t="s">
        <v>61</v>
      </c>
      <c r="L19" s="55" t="s">
        <v>1130</v>
      </c>
      <c r="M19" s="55" t="s">
        <v>78</v>
      </c>
      <c r="N19" s="55" t="s">
        <v>193</v>
      </c>
      <c r="O19" s="55" t="s">
        <v>1768</v>
      </c>
      <c r="P19" s="55" t="s">
        <v>110</v>
      </c>
      <c r="Q19" s="117" t="str">
        <f>IFERROR(__xludf.DUMMYFUNCTION("""COMPUTED_VALUE"""),"Japan.giaotiep.tienganhonline_Patado_SEA_HoaNT_161225")</f>
        <v>Japan.giaotiep.tienganhonline_Patado_SEA_HoaNT_161225</v>
      </c>
      <c r="R19" s="117" t="str">
        <f>IFERROR(__xludf.DUMMYFUNCTION("""COMPUTED_VALUE"""),"NEW_Japan_none_none_161225")</f>
        <v>NEW_Japan_none_none_161225</v>
      </c>
      <c r="S19" s="67" t="str">
        <f>IFERROR(__xludf.DUMMYFUNCTION("""COMPUTED_VALUE"""),"saletructiep_tienganhgiaotiepngbatdau_PTAGTTD_LD264")</f>
        <v>saletructiep_tienganhgiaotiepngbatdau_PTAGTTD_LD264</v>
      </c>
      <c r="T19" s="107" t="str">
        <f>IFERROR(__xludf.DUMMYFUNCTION("""COMPUTED_VALUE"""),"https://patado.edu.vn/khoa-tieng-anh-giao-tiep-o-nhat-ban/?utm_source=Google&amp;utm_medium=SEA&amp;utm_term=NEW_Japan_none_none_161225&amp;utm_content=saletructiep_tienganhgiaotiepngbatdau_PTAGTTD_LD264&amp;utm_campaign=Japan.giaotiep.tienganhonline_Patado_SEA_HoaNT_161"&amp;"225")</f>
        <v>https://patado.edu.vn/khoa-tieng-anh-giao-tiep-o-nhat-ban/?utm_source=Google&amp;utm_medium=SEA&amp;utm_term=NEW_Japan_none_none_161225&amp;utm_content=saletructiep_tienganhgiaotiepngbatdau_PTAGTTD_LD264&amp;utm_campaign=Japan.giaotiep.tienganhonline_Patado_SEA_HoaNT_161225</v>
      </c>
      <c r="U19" s="116"/>
    </row>
    <row r="20">
      <c r="A20" s="72">
        <v>46007.0</v>
      </c>
      <c r="B20" s="60" t="s">
        <v>1564</v>
      </c>
      <c r="C20" s="67" t="str">
        <f>IFERROR(__xludf.DUMMYFUNCTION("""COMPUTED_VALUE"""),"LD264")</f>
        <v>LD264</v>
      </c>
      <c r="D20" s="55" t="s">
        <v>188</v>
      </c>
      <c r="E20" s="55" t="s">
        <v>193</v>
      </c>
      <c r="F20" s="55" t="s">
        <v>133</v>
      </c>
      <c r="G20" s="55" t="s">
        <v>61</v>
      </c>
      <c r="H20" s="55" t="s">
        <v>1261</v>
      </c>
      <c r="I20" s="115" t="s">
        <v>1764</v>
      </c>
      <c r="J20" s="55" t="s">
        <v>1814</v>
      </c>
      <c r="K20" s="55" t="s">
        <v>61</v>
      </c>
      <c r="L20" s="55" t="s">
        <v>1130</v>
      </c>
      <c r="M20" s="55" t="s">
        <v>78</v>
      </c>
      <c r="N20" s="55" t="s">
        <v>193</v>
      </c>
      <c r="O20" s="55" t="s">
        <v>1768</v>
      </c>
      <c r="P20" s="55" t="s">
        <v>110</v>
      </c>
      <c r="Q20" s="117" t="str">
        <f>IFERROR(__xludf.DUMMYFUNCTION("""COMPUTED_VALUE"""),"Japan.giaotiep.tienganhonline_Patado_SEA_HoaNT_161225")</f>
        <v>Japan.giaotiep.tienganhonline_Patado_SEA_HoaNT_161225</v>
      </c>
      <c r="R20" s="117" t="str">
        <f>IFERROR(__xludf.DUMMYFUNCTION("""COMPUTED_VALUE"""),"NEW_Japan_none_none_161225")</f>
        <v>NEW_Japan_none_none_161225</v>
      </c>
      <c r="S20" s="67" t="str">
        <f>IFERROR(__xludf.DUMMYFUNCTION("""COMPUTED_VALUE"""),"saletructiep_tienganhngmatgoc_PTAGTTD_LD264")</f>
        <v>saletructiep_tienganhngmatgoc_PTAGTTD_LD264</v>
      </c>
      <c r="T20" s="107" t="str">
        <f>IFERROR(__xludf.DUMMYFUNCTION("""COMPUTED_VALUE"""),"https://patado.edu.vn/khoa-tieng-anh-giao-tiep-o-nhat-ban/?utm_source=Google&amp;utm_medium=SEA&amp;utm_term=NEW_Japan_none_none_161225&amp;utm_content=saletructiep_tienganhngmatgoc_PTAGTTD_LD264&amp;utm_campaign=Japan.giaotiep.tienganhonline_Patado_SEA_HoaNT_161225")</f>
        <v>https://patado.edu.vn/khoa-tieng-anh-giao-tiep-o-nhat-ban/?utm_source=Google&amp;utm_medium=SEA&amp;utm_term=NEW_Japan_none_none_161225&amp;utm_content=saletructiep_tienganhngmatgoc_PTAGTTD_LD264&amp;utm_campaign=Japan.giaotiep.tienganhonline_Patado_SEA_HoaNT_161225</v>
      </c>
      <c r="U20" s="116"/>
    </row>
    <row r="21">
      <c r="A21" s="72">
        <v>46007.0</v>
      </c>
      <c r="B21" s="60" t="s">
        <v>1564</v>
      </c>
      <c r="C21" s="67" t="str">
        <f>IFERROR(__xludf.DUMMYFUNCTION("""COMPUTED_VALUE"""),"LD264")</f>
        <v>LD264</v>
      </c>
      <c r="D21" s="55" t="s">
        <v>188</v>
      </c>
      <c r="E21" s="55" t="s">
        <v>193</v>
      </c>
      <c r="F21" s="55" t="s">
        <v>133</v>
      </c>
      <c r="G21" s="55" t="s">
        <v>61</v>
      </c>
      <c r="H21" s="55" t="s">
        <v>1261</v>
      </c>
      <c r="I21" s="115" t="s">
        <v>1764</v>
      </c>
      <c r="J21" s="55" t="s">
        <v>1822</v>
      </c>
      <c r="K21" s="55" t="s">
        <v>61</v>
      </c>
      <c r="L21" s="55" t="s">
        <v>1130</v>
      </c>
      <c r="M21" s="55" t="s">
        <v>78</v>
      </c>
      <c r="N21" s="55" t="s">
        <v>193</v>
      </c>
      <c r="O21" s="55" t="s">
        <v>1768</v>
      </c>
      <c r="P21" s="55" t="s">
        <v>110</v>
      </c>
      <c r="Q21" s="117" t="str">
        <f>IFERROR(__xludf.DUMMYFUNCTION("""COMPUTED_VALUE"""),"Japan.giaotiep.tienganhonline_Patado_SEA_HoaNT_161225")</f>
        <v>Japan.giaotiep.tienganhonline_Patado_SEA_HoaNT_161225</v>
      </c>
      <c r="R21" s="117" t="str">
        <f>IFERROR(__xludf.DUMMYFUNCTION("""COMPUTED_VALUE"""),"NEW_Japan_none_none_161225")</f>
        <v>NEW_Japan_none_none_161225</v>
      </c>
      <c r="S21" s="67" t="str">
        <f>IFERROR(__xludf.DUMMYFUNCTION("""COMPUTED_VALUE"""),"saletructiep_tienganh11chobe_PTAGTTD_LD264")</f>
        <v>saletructiep_tienganh11chobe_PTAGTTD_LD264</v>
      </c>
      <c r="T21" s="107" t="str">
        <f>IFERROR(__xludf.DUMMYFUNCTION("""COMPUTED_VALUE"""),"https://patado.edu.vn/khoa-tieng-anh-giao-tiep-o-nhat-ban/?utm_source=Google&amp;utm_medium=SEA&amp;utm_term=NEW_Japan_none_none_161225&amp;utm_content=saletructiep_tienganh11chobe_PTAGTTD_LD264&amp;utm_campaign=Japan.giaotiep.tienganhonline_Patado_SEA_HoaNT_161225")</f>
        <v>https://patado.edu.vn/khoa-tieng-anh-giao-tiep-o-nhat-ban/?utm_source=Google&amp;utm_medium=SEA&amp;utm_term=NEW_Japan_none_none_161225&amp;utm_content=saletructiep_tienganh11chobe_PTAGTTD_LD264&amp;utm_campaign=Japan.giaotiep.tienganhonline_Patado_SEA_HoaNT_161225</v>
      </c>
      <c r="U21" s="116"/>
    </row>
    <row r="22">
      <c r="A22" s="72">
        <v>46007.0</v>
      </c>
      <c r="B22" s="60" t="s">
        <v>1564</v>
      </c>
      <c r="C22" s="67" t="str">
        <f>IFERROR(__xludf.DUMMYFUNCTION("""COMPUTED_VALUE"""),"LD264")</f>
        <v>LD264</v>
      </c>
      <c r="D22" s="55" t="s">
        <v>188</v>
      </c>
      <c r="E22" s="55" t="s">
        <v>193</v>
      </c>
      <c r="F22" s="55" t="s">
        <v>133</v>
      </c>
      <c r="G22" s="55" t="s">
        <v>61</v>
      </c>
      <c r="H22" s="55" t="s">
        <v>1261</v>
      </c>
      <c r="I22" s="115" t="s">
        <v>1764</v>
      </c>
      <c r="J22" s="55" t="s">
        <v>1830</v>
      </c>
      <c r="K22" s="55" t="s">
        <v>61</v>
      </c>
      <c r="L22" s="55" t="s">
        <v>1130</v>
      </c>
      <c r="M22" s="55" t="s">
        <v>78</v>
      </c>
      <c r="N22" s="55" t="s">
        <v>193</v>
      </c>
      <c r="O22" s="55" t="s">
        <v>1768</v>
      </c>
      <c r="P22" s="55" t="s">
        <v>110</v>
      </c>
      <c r="Q22" s="117" t="str">
        <f>IFERROR(__xludf.DUMMYFUNCTION("""COMPUTED_VALUE"""),"Japan.giaotiep.tienganhonline_Patado_SEA_HoaNT_161225")</f>
        <v>Japan.giaotiep.tienganhonline_Patado_SEA_HoaNT_161225</v>
      </c>
      <c r="R22" s="117" t="str">
        <f>IFERROR(__xludf.DUMMYFUNCTION("""COMPUTED_VALUE"""),"NEW_Japan_none_none_161225")</f>
        <v>NEW_Japan_none_none_161225</v>
      </c>
      <c r="S22" s="67" t="str">
        <f>IFERROR(__xludf.DUMMYFUNCTION("""COMPUTED_VALUE"""),"saletructiep_tienganhonlinechobe_PTAGTTD_LD264")</f>
        <v>saletructiep_tienganhonlinechobe_PTAGTTD_LD264</v>
      </c>
      <c r="T22" s="107" t="str">
        <f>IFERROR(__xludf.DUMMYFUNCTION("""COMPUTED_VALUE"""),"https://patado.edu.vn/khoa-tieng-anh-giao-tiep-o-nhat-ban/?utm_source=Google&amp;utm_medium=SEA&amp;utm_term=NEW_Japan_none_none_161225&amp;utm_content=saletructiep_tienganhonlinechobe_PTAGTTD_LD264&amp;utm_campaign=Japan.giaotiep.tienganhonline_Patado_SEA_HoaNT_161225")</f>
        <v>https://patado.edu.vn/khoa-tieng-anh-giao-tiep-o-nhat-ban/?utm_source=Google&amp;utm_medium=SEA&amp;utm_term=NEW_Japan_none_none_161225&amp;utm_content=saletructiep_tienganhonlinechobe_PTAGTTD_LD264&amp;utm_campaign=Japan.giaotiep.tienganhonline_Patado_SEA_HoaNT_161225</v>
      </c>
      <c r="U22" s="116"/>
    </row>
    <row r="23">
      <c r="A23" s="72">
        <v>46007.0</v>
      </c>
      <c r="B23" s="60" t="s">
        <v>1564</v>
      </c>
      <c r="C23" s="67" t="str">
        <f>IFERROR(__xludf.DUMMYFUNCTION("""COMPUTED_VALUE"""),"LD264")</f>
        <v>LD264</v>
      </c>
      <c r="D23" s="55" t="s">
        <v>188</v>
      </c>
      <c r="E23" s="55" t="s">
        <v>193</v>
      </c>
      <c r="F23" s="55" t="s">
        <v>133</v>
      </c>
      <c r="G23" s="55" t="s">
        <v>61</v>
      </c>
      <c r="H23" s="55" t="s">
        <v>1261</v>
      </c>
      <c r="I23" s="115" t="s">
        <v>1764</v>
      </c>
      <c r="J23" s="55" t="s">
        <v>1837</v>
      </c>
      <c r="K23" s="55" t="s">
        <v>61</v>
      </c>
      <c r="L23" s="55" t="s">
        <v>1130</v>
      </c>
      <c r="M23" s="55" t="s">
        <v>78</v>
      </c>
      <c r="N23" s="55" t="s">
        <v>193</v>
      </c>
      <c r="O23" s="55" t="s">
        <v>1768</v>
      </c>
      <c r="P23" s="55" t="s">
        <v>110</v>
      </c>
      <c r="Q23" s="117" t="str">
        <f>IFERROR(__xludf.DUMMYFUNCTION("""COMPUTED_VALUE"""),"Japan.giaotiep.tienganhonline_Patado_SEA_HoaNT_161225")</f>
        <v>Japan.giaotiep.tienganhonline_Patado_SEA_HoaNT_161225</v>
      </c>
      <c r="R23" s="117" t="str">
        <f>IFERROR(__xludf.DUMMYFUNCTION("""COMPUTED_VALUE"""),"NEW_Japan_none_none_161225")</f>
        <v>NEW_Japan_none_none_161225</v>
      </c>
      <c r="S23" s="67" t="str">
        <f>IFERROR(__xludf.DUMMYFUNCTION("""COMPUTED_VALUE"""),"saletructiep_tienganhgiaotiepchobe_PTAGTTD_LD264")</f>
        <v>saletructiep_tienganhgiaotiepchobe_PTAGTTD_LD264</v>
      </c>
      <c r="T23" s="107" t="str">
        <f>IFERROR(__xludf.DUMMYFUNCTION("""COMPUTED_VALUE"""),"https://patado.edu.vn/khoa-tieng-anh-giao-tiep-o-nhat-ban/?utm_source=Google&amp;utm_medium=SEA&amp;utm_term=NEW_Japan_none_none_161225&amp;utm_content=saletructiep_tienganhgiaotiepchobe_PTAGTTD_LD264&amp;utm_campaign=Japan.giaotiep.tienganhonline_Patado_SEA_HoaNT_161225")</f>
        <v>https://patado.edu.vn/khoa-tieng-anh-giao-tiep-o-nhat-ban/?utm_source=Google&amp;utm_medium=SEA&amp;utm_term=NEW_Japan_none_none_161225&amp;utm_content=saletructiep_tienganhgiaotiepchobe_PTAGTTD_LD264&amp;utm_campaign=Japan.giaotiep.tienganhonline_Patado_SEA_HoaNT_161225</v>
      </c>
      <c r="U23" s="116"/>
    </row>
    <row r="24">
      <c r="A24" s="72">
        <v>46007.0</v>
      </c>
      <c r="B24" s="60" t="s">
        <v>1564</v>
      </c>
      <c r="C24" s="67" t="str">
        <f>IFERROR(__xludf.DUMMYFUNCTION("""COMPUTED_VALUE"""),"LD264")</f>
        <v>LD264</v>
      </c>
      <c r="D24" s="55" t="s">
        <v>188</v>
      </c>
      <c r="E24" s="55" t="s">
        <v>193</v>
      </c>
      <c r="F24" s="55" t="s">
        <v>133</v>
      </c>
      <c r="G24" s="55" t="s">
        <v>61</v>
      </c>
      <c r="H24" s="55" t="s">
        <v>1261</v>
      </c>
      <c r="I24" s="115" t="s">
        <v>1764</v>
      </c>
      <c r="J24" s="55" t="s">
        <v>1843</v>
      </c>
      <c r="K24" s="55" t="s">
        <v>61</v>
      </c>
      <c r="L24" s="55" t="s">
        <v>1130</v>
      </c>
      <c r="M24" s="55" t="s">
        <v>78</v>
      </c>
      <c r="N24" s="55" t="s">
        <v>193</v>
      </c>
      <c r="O24" s="55" t="s">
        <v>1768</v>
      </c>
      <c r="P24" s="55" t="s">
        <v>110</v>
      </c>
      <c r="Q24" s="117" t="str">
        <f>IFERROR(__xludf.DUMMYFUNCTION("""COMPUTED_VALUE"""),"Japan.giaotiep.tienganhonline_Patado_SEA_HoaNT_161225")</f>
        <v>Japan.giaotiep.tienganhonline_Patado_SEA_HoaNT_161225</v>
      </c>
      <c r="R24" s="117" t="str">
        <f>IFERROR(__xludf.DUMMYFUNCTION("""COMPUTED_VALUE"""),"NEW_Japan_none_none_161225")</f>
        <v>NEW_Japan_none_none_161225</v>
      </c>
      <c r="S24" s="67" t="str">
        <f>IFERROR(__xludf.DUMMYFUNCTION("""COMPUTED_VALUE"""),"saletructiep_khoahocngdilam_PTAGTTD_LD264")</f>
        <v>saletructiep_khoahocngdilam_PTAGTTD_LD264</v>
      </c>
      <c r="T24" s="107" t="str">
        <f>IFERROR(__xludf.DUMMYFUNCTION("""COMPUTED_VALUE"""),"https://patado.edu.vn/khoa-tieng-anh-giao-tiep-o-nhat-ban/?utm_source=Google&amp;utm_medium=SEA&amp;utm_term=NEW_Japan_none_none_161225&amp;utm_content=saletructiep_khoahocngdilam_PTAGTTD_LD264&amp;utm_campaign=Japan.giaotiep.tienganhonline_Patado_SEA_HoaNT_161225")</f>
        <v>https://patado.edu.vn/khoa-tieng-anh-giao-tiep-o-nhat-ban/?utm_source=Google&amp;utm_medium=SEA&amp;utm_term=NEW_Japan_none_none_161225&amp;utm_content=saletructiep_khoahocngdilam_PTAGTTD_LD264&amp;utm_campaign=Japan.giaotiep.tienganhonline_Patado_SEA_HoaNT_161225</v>
      </c>
      <c r="U24" s="116"/>
    </row>
    <row r="25">
      <c r="A25" s="72">
        <v>46007.0</v>
      </c>
      <c r="B25" s="60" t="s">
        <v>1564</v>
      </c>
      <c r="C25" s="67" t="str">
        <f>IFERROR(__xludf.DUMMYFUNCTION("""COMPUTED_VALUE"""),"LD264")</f>
        <v>LD264</v>
      </c>
      <c r="D25" s="55" t="s">
        <v>188</v>
      </c>
      <c r="E25" s="55" t="s">
        <v>193</v>
      </c>
      <c r="F25" s="55" t="s">
        <v>133</v>
      </c>
      <c r="G25" s="55" t="s">
        <v>61</v>
      </c>
      <c r="H25" s="55" t="s">
        <v>1261</v>
      </c>
      <c r="I25" s="115" t="s">
        <v>1764</v>
      </c>
      <c r="J25" s="55" t="s">
        <v>1851</v>
      </c>
      <c r="K25" s="55" t="s">
        <v>61</v>
      </c>
      <c r="L25" s="55" t="s">
        <v>1130</v>
      </c>
      <c r="M25" s="55" t="s">
        <v>78</v>
      </c>
      <c r="N25" s="55" t="s">
        <v>193</v>
      </c>
      <c r="O25" s="55" t="s">
        <v>1768</v>
      </c>
      <c r="P25" s="55" t="s">
        <v>110</v>
      </c>
      <c r="Q25" s="117" t="str">
        <f>IFERROR(__xludf.DUMMYFUNCTION("""COMPUTED_VALUE"""),"Japan.giaotiep.tienganhonline_Patado_SEA_HoaNT_161225")</f>
        <v>Japan.giaotiep.tienganhonline_Patado_SEA_HoaNT_161225</v>
      </c>
      <c r="R25" s="117" t="str">
        <f>IFERROR(__xludf.DUMMYFUNCTION("""COMPUTED_VALUE"""),"NEW_Japan_none_none_161225")</f>
        <v>NEW_Japan_none_none_161225</v>
      </c>
      <c r="S25" s="67" t="str">
        <f>IFERROR(__xludf.DUMMYFUNCTION("""COMPUTED_VALUE"""),"saletructiep_trungtamchongdilam_PTAGTTD_LD264")</f>
        <v>saletructiep_trungtamchongdilam_PTAGTTD_LD264</v>
      </c>
      <c r="T25" s="107" t="str">
        <f>IFERROR(__xludf.DUMMYFUNCTION("""COMPUTED_VALUE"""),"https://patado.edu.vn/khoa-tieng-anh-giao-tiep-o-nhat-ban/?utm_source=Google&amp;utm_medium=SEA&amp;utm_term=NEW_Japan_none_none_161225&amp;utm_content=saletructiep_trungtamchongdilam_PTAGTTD_LD264&amp;utm_campaign=Japan.giaotiep.tienganhonline_Patado_SEA_HoaNT_161225")</f>
        <v>https://patado.edu.vn/khoa-tieng-anh-giao-tiep-o-nhat-ban/?utm_source=Google&amp;utm_medium=SEA&amp;utm_term=NEW_Japan_none_none_161225&amp;utm_content=saletructiep_trungtamchongdilam_PTAGTTD_LD264&amp;utm_campaign=Japan.giaotiep.tienganhonline_Patado_SEA_HoaNT_161225</v>
      </c>
      <c r="U25" s="116"/>
    </row>
    <row r="26">
      <c r="A26" s="72">
        <v>46007.0</v>
      </c>
      <c r="B26" s="60" t="s">
        <v>1564</v>
      </c>
      <c r="C26" s="67" t="str">
        <f>IFERROR(__xludf.DUMMYFUNCTION("""COMPUTED_VALUE"""),"LD264")</f>
        <v>LD264</v>
      </c>
      <c r="D26" s="55" t="s">
        <v>188</v>
      </c>
      <c r="E26" s="55" t="s">
        <v>193</v>
      </c>
      <c r="F26" s="55" t="s">
        <v>133</v>
      </c>
      <c r="G26" s="55" t="s">
        <v>61</v>
      </c>
      <c r="H26" s="55" t="s">
        <v>1261</v>
      </c>
      <c r="I26" s="115" t="s">
        <v>1764</v>
      </c>
      <c r="J26" s="55" t="s">
        <v>1860</v>
      </c>
      <c r="K26" s="55" t="s">
        <v>61</v>
      </c>
      <c r="L26" s="55" t="s">
        <v>1130</v>
      </c>
      <c r="M26" s="55" t="s">
        <v>78</v>
      </c>
      <c r="N26" s="55" t="s">
        <v>193</v>
      </c>
      <c r="O26" s="55" t="s">
        <v>1768</v>
      </c>
      <c r="P26" s="55" t="s">
        <v>110</v>
      </c>
      <c r="Q26" s="117" t="str">
        <f>IFERROR(__xludf.DUMMYFUNCTION("""COMPUTED_VALUE"""),"Japan.giaotiep.tienganhonline_Patado_SEA_HoaNT_161225")</f>
        <v>Japan.giaotiep.tienganhonline_Patado_SEA_HoaNT_161225</v>
      </c>
      <c r="R26" s="117" t="str">
        <f>IFERROR(__xludf.DUMMYFUNCTION("""COMPUTED_VALUE"""),"NEW_Japan_none_none_161225")</f>
        <v>NEW_Japan_none_none_161225</v>
      </c>
      <c r="S26" s="67" t="str">
        <f>IFERROR(__xludf.DUMMYFUNCTION("""COMPUTED_VALUE"""),"saletructiep_tienganhgiaotiepngdilam_PTAGTTD_LD264")</f>
        <v>saletructiep_tienganhgiaotiepngdilam_PTAGTTD_LD264</v>
      </c>
      <c r="T26" s="107" t="str">
        <f>IFERROR(__xludf.DUMMYFUNCTION("""COMPUTED_VALUE"""),"https://patado.edu.vn/khoa-tieng-anh-giao-tiep-o-nhat-ban/?utm_source=Google&amp;utm_medium=SEA&amp;utm_term=NEW_Japan_none_none_161225&amp;utm_content=saletructiep_tienganhgiaotiepngdilam_PTAGTTD_LD264&amp;utm_campaign=Japan.giaotiep.tienganhonline_Patado_SEA_HoaNT_1612"&amp;"25")</f>
        <v>https://patado.edu.vn/khoa-tieng-anh-giao-tiep-o-nhat-ban/?utm_source=Google&amp;utm_medium=SEA&amp;utm_term=NEW_Japan_none_none_161225&amp;utm_content=saletructiep_tienganhgiaotiepngdilam_PTAGTTD_LD264&amp;utm_campaign=Japan.giaotiep.tienganhonline_Patado_SEA_HoaNT_161225</v>
      </c>
      <c r="U26" s="116"/>
    </row>
    <row r="27">
      <c r="A27" s="72">
        <v>46007.0</v>
      </c>
      <c r="B27" s="60" t="s">
        <v>1564</v>
      </c>
      <c r="C27" s="67" t="str">
        <f>IFERROR(__xludf.DUMMYFUNCTION("""COMPUTED_VALUE"""),"LD264")</f>
        <v>LD264</v>
      </c>
      <c r="D27" s="55" t="s">
        <v>188</v>
      </c>
      <c r="E27" s="55" t="s">
        <v>193</v>
      </c>
      <c r="F27" s="55" t="s">
        <v>133</v>
      </c>
      <c r="G27" s="55" t="s">
        <v>61</v>
      </c>
      <c r="H27" s="55" t="s">
        <v>1261</v>
      </c>
      <c r="I27" s="115" t="s">
        <v>1764</v>
      </c>
      <c r="J27" s="55" t="s">
        <v>1869</v>
      </c>
      <c r="K27" s="55" t="s">
        <v>61</v>
      </c>
      <c r="L27" s="55" t="s">
        <v>1130</v>
      </c>
      <c r="M27" s="55" t="s">
        <v>78</v>
      </c>
      <c r="N27" s="55" t="s">
        <v>193</v>
      </c>
      <c r="O27" s="55" t="s">
        <v>1768</v>
      </c>
      <c r="P27" s="55" t="s">
        <v>110</v>
      </c>
      <c r="Q27" s="117" t="str">
        <f>IFERROR(__xludf.DUMMYFUNCTION("""COMPUTED_VALUE"""),"Japan.giaotiep.tienganhonline_Patado_SEA_HoaNT_161225")</f>
        <v>Japan.giaotiep.tienganhonline_Patado_SEA_HoaNT_161225</v>
      </c>
      <c r="R27" s="117" t="str">
        <f>IFERROR(__xludf.DUMMYFUNCTION("""COMPUTED_VALUE"""),"NEW_Japan_none_none_161225")</f>
        <v>NEW_Japan_none_none_161225</v>
      </c>
      <c r="S27" s="67" t="str">
        <f>IFERROR(__xludf.DUMMYFUNCTION("""COMPUTED_VALUE"""),"saletructiep_tienganhonlinengdilam_PTAGTTD_LD264")</f>
        <v>saletructiep_tienganhonlinengdilam_PTAGTTD_LD264</v>
      </c>
      <c r="T27" s="107" t="str">
        <f>IFERROR(__xludf.DUMMYFUNCTION("""COMPUTED_VALUE"""),"https://patado.edu.vn/khoa-tieng-anh-giao-tiep-o-nhat-ban/?utm_source=Google&amp;utm_medium=SEA&amp;utm_term=NEW_Japan_none_none_161225&amp;utm_content=saletructiep_tienganhonlinengdilam_PTAGTTD_LD264&amp;utm_campaign=Japan.giaotiep.tienganhonline_Patado_SEA_HoaNT_161225")</f>
        <v>https://patado.edu.vn/khoa-tieng-anh-giao-tiep-o-nhat-ban/?utm_source=Google&amp;utm_medium=SEA&amp;utm_term=NEW_Japan_none_none_161225&amp;utm_content=saletructiep_tienganhonlinengdilam_PTAGTTD_LD264&amp;utm_campaign=Japan.giaotiep.tienganhonline_Patado_SEA_HoaNT_161225</v>
      </c>
      <c r="U27" s="116"/>
    </row>
    <row r="28">
      <c r="A28" s="72">
        <v>46007.0</v>
      </c>
      <c r="B28" s="60" t="s">
        <v>1564</v>
      </c>
      <c r="C28" s="67" t="str">
        <f>IFERROR(__xludf.DUMMYFUNCTION("""COMPUTED_VALUE"""),"LD264")</f>
        <v>LD264</v>
      </c>
      <c r="D28" s="55" t="s">
        <v>188</v>
      </c>
      <c r="E28" s="55" t="s">
        <v>193</v>
      </c>
      <c r="F28" s="55" t="s">
        <v>133</v>
      </c>
      <c r="G28" s="55" t="s">
        <v>61</v>
      </c>
      <c r="H28" s="55" t="s">
        <v>1261</v>
      </c>
      <c r="I28" s="115" t="s">
        <v>1764</v>
      </c>
      <c r="J28" s="55" t="s">
        <v>1876</v>
      </c>
      <c r="K28" s="55" t="s">
        <v>61</v>
      </c>
      <c r="L28" s="55" t="s">
        <v>1130</v>
      </c>
      <c r="M28" s="55" t="s">
        <v>78</v>
      </c>
      <c r="N28" s="55" t="s">
        <v>193</v>
      </c>
      <c r="O28" s="55" t="s">
        <v>1768</v>
      </c>
      <c r="P28" s="55" t="s">
        <v>110</v>
      </c>
      <c r="Q28" s="117" t="str">
        <f>IFERROR(__xludf.DUMMYFUNCTION("""COMPUTED_VALUE"""),"Japan.giaotiep.tienganhonline_Patado_SEA_HoaNT_161225")</f>
        <v>Japan.giaotiep.tienganhonline_Patado_SEA_HoaNT_161225</v>
      </c>
      <c r="R28" s="117" t="str">
        <f>IFERROR(__xludf.DUMMYFUNCTION("""COMPUTED_VALUE"""),"NEW_Japan_none_none_161225")</f>
        <v>NEW_Japan_none_none_161225</v>
      </c>
      <c r="S28" s="67" t="str">
        <f>IFERROR(__xludf.DUMMYFUNCTION("""COMPUTED_VALUE"""),"saletructiep_lotrinhgiaotiep_PTAGTTD_LD264")</f>
        <v>saletructiep_lotrinhgiaotiep_PTAGTTD_LD264</v>
      </c>
      <c r="T28" s="107" t="str">
        <f>IFERROR(__xludf.DUMMYFUNCTION("""COMPUTED_VALUE"""),"https://patado.edu.vn/khoa-tieng-anh-giao-tiep-o-nhat-ban/?utm_source=Google&amp;utm_medium=SEA&amp;utm_term=NEW_Japan_none_none_161225&amp;utm_content=saletructiep_lotrinhgiaotiep_PTAGTTD_LD264&amp;utm_campaign=Japan.giaotiep.tienganhonline_Patado_SEA_HoaNT_161225")</f>
        <v>https://patado.edu.vn/khoa-tieng-anh-giao-tiep-o-nhat-ban/?utm_source=Google&amp;utm_medium=SEA&amp;utm_term=NEW_Japan_none_none_161225&amp;utm_content=saletructiep_lotrinhgiaotiep_PTAGTTD_LD264&amp;utm_campaign=Japan.giaotiep.tienganhonline_Patado_SEA_HoaNT_161225</v>
      </c>
      <c r="U28" s="116"/>
    </row>
    <row r="29">
      <c r="A29" s="72">
        <v>46007.0</v>
      </c>
      <c r="B29" s="60" t="s">
        <v>1564</v>
      </c>
      <c r="C29" s="67" t="str">
        <f>IFERROR(__xludf.DUMMYFUNCTION("""COMPUTED_VALUE"""),"LD264")</f>
        <v>LD264</v>
      </c>
      <c r="D29" s="55" t="s">
        <v>188</v>
      </c>
      <c r="E29" s="55" t="s">
        <v>193</v>
      </c>
      <c r="F29" s="55" t="s">
        <v>133</v>
      </c>
      <c r="G29" s="55" t="s">
        <v>61</v>
      </c>
      <c r="H29" s="55" t="s">
        <v>1261</v>
      </c>
      <c r="I29" s="115" t="s">
        <v>1764</v>
      </c>
      <c r="J29" s="55" t="s">
        <v>1881</v>
      </c>
      <c r="K29" s="55" t="s">
        <v>61</v>
      </c>
      <c r="L29" s="55" t="s">
        <v>1130</v>
      </c>
      <c r="M29" s="55" t="s">
        <v>78</v>
      </c>
      <c r="N29" s="55" t="s">
        <v>193</v>
      </c>
      <c r="O29" s="55" t="s">
        <v>1768</v>
      </c>
      <c r="P29" s="55" t="s">
        <v>110</v>
      </c>
      <c r="Q29" s="117" t="str">
        <f>IFERROR(__xludf.DUMMYFUNCTION("""COMPUTED_VALUE"""),"Japan.giaotiep.tienganhonline_Patado_SEA_HoaNT_161225")</f>
        <v>Japan.giaotiep.tienganhonline_Patado_SEA_HoaNT_161225</v>
      </c>
      <c r="R29" s="117" t="str">
        <f>IFERROR(__xludf.DUMMYFUNCTION("""COMPUTED_VALUE"""),"NEW_Japan_none_none_161225")</f>
        <v>NEW_Japan_none_none_161225</v>
      </c>
      <c r="S29" s="67" t="str">
        <f>IFERROR(__xludf.DUMMYFUNCTION("""COMPUTED_VALUE"""),"saletructiep_tienganhgiaotiep_PTAGTTD_LD264")</f>
        <v>saletructiep_tienganhgiaotiep_PTAGTTD_LD264</v>
      </c>
      <c r="T29" s="107" t="str">
        <f>IFERROR(__xludf.DUMMYFUNCTION("""COMPUTED_VALUE"""),"https://patado.edu.vn/khoa-tieng-anh-giao-tiep-o-nhat-ban/?utm_source=Google&amp;utm_medium=SEA&amp;utm_term=NEW_Japan_none_none_161225&amp;utm_content=saletructiep_tienganhgiaotiep_PTAGTTD_LD264&amp;utm_campaign=Japan.giaotiep.tienganhonline_Patado_SEA_HoaNT_161225")</f>
        <v>https://patado.edu.vn/khoa-tieng-anh-giao-tiep-o-nhat-ban/?utm_source=Google&amp;utm_medium=SEA&amp;utm_term=NEW_Japan_none_none_161225&amp;utm_content=saletructiep_tienganhgiaotiep_PTAGTTD_LD264&amp;utm_campaign=Japan.giaotiep.tienganhonline_Patado_SEA_HoaNT_161225</v>
      </c>
      <c r="U29" s="116"/>
    </row>
    <row r="30">
      <c r="A30" s="72">
        <v>46007.0</v>
      </c>
      <c r="B30" s="60" t="s">
        <v>1564</v>
      </c>
      <c r="C30" s="67" t="str">
        <f>IFERROR(__xludf.DUMMYFUNCTION("""COMPUTED_VALUE"""),"LD264")</f>
        <v>LD264</v>
      </c>
      <c r="D30" s="55" t="s">
        <v>188</v>
      </c>
      <c r="E30" s="55" t="s">
        <v>193</v>
      </c>
      <c r="F30" s="55" t="s">
        <v>133</v>
      </c>
      <c r="G30" s="55" t="s">
        <v>61</v>
      </c>
      <c r="H30" s="55" t="s">
        <v>1261</v>
      </c>
      <c r="I30" s="115" t="s">
        <v>1764</v>
      </c>
      <c r="J30" s="55" t="s">
        <v>1890</v>
      </c>
      <c r="K30" s="55" t="s">
        <v>61</v>
      </c>
      <c r="L30" s="55" t="s">
        <v>1130</v>
      </c>
      <c r="M30" s="55" t="s">
        <v>78</v>
      </c>
      <c r="N30" s="55" t="s">
        <v>193</v>
      </c>
      <c r="O30" s="55" t="s">
        <v>1768</v>
      </c>
      <c r="P30" s="55" t="s">
        <v>110</v>
      </c>
      <c r="Q30" s="117" t="str">
        <f>IFERROR(__xludf.DUMMYFUNCTION("""COMPUTED_VALUE"""),"Japan.giaotiep.tienganhonline_Patado_SEA_HoaNT_161225")</f>
        <v>Japan.giaotiep.tienganhonline_Patado_SEA_HoaNT_161225</v>
      </c>
      <c r="R30" s="117" t="str">
        <f>IFERROR(__xludf.DUMMYFUNCTION("""COMPUTED_VALUE"""),"NEW_Japan_none_none_161225")</f>
        <v>NEW_Japan_none_none_161225</v>
      </c>
      <c r="S30" s="67" t="str">
        <f>IFERROR(__xludf.DUMMYFUNCTION("""COMPUTED_VALUE"""),"saletructiep_lopgiaotiep_PTAGTTD_LD264")</f>
        <v>saletructiep_lopgiaotiep_PTAGTTD_LD264</v>
      </c>
      <c r="T30" s="107" t="str">
        <f>IFERROR(__xludf.DUMMYFUNCTION("""COMPUTED_VALUE"""),"https://patado.edu.vn/khoa-tieng-anh-giao-tiep-o-nhat-ban/?utm_source=Google&amp;utm_medium=SEA&amp;utm_term=NEW_Japan_none_none_161225&amp;utm_content=saletructiep_lopgiaotiep_PTAGTTD_LD264&amp;utm_campaign=Japan.giaotiep.tienganhonline_Patado_SEA_HoaNT_161225")</f>
        <v>https://patado.edu.vn/khoa-tieng-anh-giao-tiep-o-nhat-ban/?utm_source=Google&amp;utm_medium=SEA&amp;utm_term=NEW_Japan_none_none_161225&amp;utm_content=saletructiep_lopgiaotiep_PTAGTTD_LD264&amp;utm_campaign=Japan.giaotiep.tienganhonline_Patado_SEA_HoaNT_161225</v>
      </c>
      <c r="U30" s="116"/>
    </row>
    <row r="31">
      <c r="A31" s="72">
        <v>46007.0</v>
      </c>
      <c r="B31" s="60" t="s">
        <v>1564</v>
      </c>
      <c r="C31" s="67" t="str">
        <f>IFERROR(__xludf.DUMMYFUNCTION("""COMPUTED_VALUE"""),"LD264")</f>
        <v>LD264</v>
      </c>
      <c r="D31" s="55" t="s">
        <v>188</v>
      </c>
      <c r="E31" s="55" t="s">
        <v>193</v>
      </c>
      <c r="F31" s="55" t="s">
        <v>133</v>
      </c>
      <c r="G31" s="55" t="s">
        <v>61</v>
      </c>
      <c r="H31" s="55" t="s">
        <v>1261</v>
      </c>
      <c r="I31" s="115" t="s">
        <v>1764</v>
      </c>
      <c r="J31" s="55" t="s">
        <v>1900</v>
      </c>
      <c r="K31" s="55" t="s">
        <v>61</v>
      </c>
      <c r="L31" s="55" t="s">
        <v>1130</v>
      </c>
      <c r="M31" s="55" t="s">
        <v>78</v>
      </c>
      <c r="N31" s="55" t="s">
        <v>193</v>
      </c>
      <c r="O31" s="55" t="s">
        <v>1768</v>
      </c>
      <c r="P31" s="55" t="s">
        <v>110</v>
      </c>
      <c r="Q31" s="117" t="str">
        <f>IFERROR(__xludf.DUMMYFUNCTION("""COMPUTED_VALUE"""),"Japan.giaotiep.tienganhonline_Patado_SEA_HoaNT_161225")</f>
        <v>Japan.giaotiep.tienganhonline_Patado_SEA_HoaNT_161225</v>
      </c>
      <c r="R31" s="117" t="str">
        <f>IFERROR(__xludf.DUMMYFUNCTION("""COMPUTED_VALUE"""),"NEW_Japan_none_none_161225")</f>
        <v>NEW_Japan_none_none_161225</v>
      </c>
      <c r="S31" s="67" t="str">
        <f>IFERROR(__xludf.DUMMYFUNCTION("""COMPUTED_VALUE"""),"saletructiep_khoahocgiaotiep_PTAGTTD_LD264")</f>
        <v>saletructiep_khoahocgiaotiep_PTAGTTD_LD264</v>
      </c>
      <c r="T31" s="107" t="str">
        <f>IFERROR(__xludf.DUMMYFUNCTION("""COMPUTED_VALUE"""),"https://patado.edu.vn/khoa-tieng-anh-giao-tiep-o-nhat-ban/?utm_source=Google&amp;utm_medium=SEA&amp;utm_term=NEW_Japan_none_none_161225&amp;utm_content=saletructiep_khoahocgiaotiep_PTAGTTD_LD264&amp;utm_campaign=Japan.giaotiep.tienganhonline_Patado_SEA_HoaNT_161225")</f>
        <v>https://patado.edu.vn/khoa-tieng-anh-giao-tiep-o-nhat-ban/?utm_source=Google&amp;utm_medium=SEA&amp;utm_term=NEW_Japan_none_none_161225&amp;utm_content=saletructiep_khoahocgiaotiep_PTAGTTD_LD264&amp;utm_campaign=Japan.giaotiep.tienganhonline_Patado_SEA_HoaNT_161225</v>
      </c>
      <c r="U31" s="116"/>
    </row>
    <row r="32">
      <c r="A32" s="72">
        <v>46007.0</v>
      </c>
      <c r="B32" s="60" t="s">
        <v>1564</v>
      </c>
      <c r="C32" s="67" t="str">
        <f>IFERROR(__xludf.DUMMYFUNCTION("""COMPUTED_VALUE"""),"LD264")</f>
        <v>LD264</v>
      </c>
      <c r="D32" s="55" t="s">
        <v>188</v>
      </c>
      <c r="E32" s="55" t="s">
        <v>193</v>
      </c>
      <c r="F32" s="55" t="s">
        <v>133</v>
      </c>
      <c r="G32" s="55" t="s">
        <v>61</v>
      </c>
      <c r="H32" s="55" t="s">
        <v>1261</v>
      </c>
      <c r="I32" s="115" t="s">
        <v>1764</v>
      </c>
      <c r="J32" s="55" t="s">
        <v>1907</v>
      </c>
      <c r="K32" s="55" t="s">
        <v>61</v>
      </c>
      <c r="L32" s="55" t="s">
        <v>1130</v>
      </c>
      <c r="M32" s="55" t="s">
        <v>78</v>
      </c>
      <c r="N32" s="55" t="s">
        <v>193</v>
      </c>
      <c r="O32" s="55" t="s">
        <v>1768</v>
      </c>
      <c r="P32" s="55" t="s">
        <v>110</v>
      </c>
      <c r="Q32" s="117" t="str">
        <f>IFERROR(__xludf.DUMMYFUNCTION("""COMPUTED_VALUE"""),"Japan.giaotiep.tienganhonline_Patado_SEA_HoaNT_161225")</f>
        <v>Japan.giaotiep.tienganhonline_Patado_SEA_HoaNT_161225</v>
      </c>
      <c r="R32" s="117" t="str">
        <f>IFERROR(__xludf.DUMMYFUNCTION("""COMPUTED_VALUE"""),"NEW_Japan_none_none_161225")</f>
        <v>NEW_Japan_none_none_161225</v>
      </c>
      <c r="S32" s="67" t="str">
        <f>IFERROR(__xludf.DUMMYFUNCTION("""COMPUTED_VALUE"""),"saletructiep_trungtamgiaotiep_PTAGTTD_LD264")</f>
        <v>saletructiep_trungtamgiaotiep_PTAGTTD_LD264</v>
      </c>
      <c r="T32" s="107" t="str">
        <f>IFERROR(__xludf.DUMMYFUNCTION("""COMPUTED_VALUE"""),"https://patado.edu.vn/khoa-tieng-anh-giao-tiep-o-nhat-ban/?utm_source=Google&amp;utm_medium=SEA&amp;utm_term=NEW_Japan_none_none_161225&amp;utm_content=saletructiep_trungtamgiaotiep_PTAGTTD_LD264&amp;utm_campaign=Japan.giaotiep.tienganhonline_Patado_SEA_HoaNT_161225")</f>
        <v>https://patado.edu.vn/khoa-tieng-anh-giao-tiep-o-nhat-ban/?utm_source=Google&amp;utm_medium=SEA&amp;utm_term=NEW_Japan_none_none_161225&amp;utm_content=saletructiep_trungtamgiaotiep_PTAGTTD_LD264&amp;utm_campaign=Japan.giaotiep.tienganhonline_Patado_SEA_HoaNT_161225</v>
      </c>
      <c r="U32" s="116"/>
    </row>
    <row r="33">
      <c r="A33" s="72">
        <v>46007.0</v>
      </c>
      <c r="B33" s="60" t="s">
        <v>1564</v>
      </c>
      <c r="C33" s="67" t="str">
        <f>IFERROR(__xludf.DUMMYFUNCTION("""COMPUTED_VALUE"""),"LD264")</f>
        <v>LD264</v>
      </c>
      <c r="D33" s="55" t="s">
        <v>188</v>
      </c>
      <c r="E33" s="55" t="s">
        <v>193</v>
      </c>
      <c r="F33" s="55" t="s">
        <v>133</v>
      </c>
      <c r="G33" s="55" t="s">
        <v>61</v>
      </c>
      <c r="H33" s="55" t="s">
        <v>1261</v>
      </c>
      <c r="I33" s="115" t="s">
        <v>1764</v>
      </c>
      <c r="J33" s="55" t="s">
        <v>1913</v>
      </c>
      <c r="K33" s="55" t="s">
        <v>61</v>
      </c>
      <c r="L33" s="55" t="s">
        <v>1130</v>
      </c>
      <c r="M33" s="55" t="s">
        <v>78</v>
      </c>
      <c r="N33" s="55" t="s">
        <v>193</v>
      </c>
      <c r="O33" s="55" t="s">
        <v>1768</v>
      </c>
      <c r="P33" s="55" t="s">
        <v>110</v>
      </c>
      <c r="Q33" s="117" t="str">
        <f>IFERROR(__xludf.DUMMYFUNCTION("""COMPUTED_VALUE"""),"Japan.giaotiep.tienganhonline_Patado_SEA_HoaNT_161225")</f>
        <v>Japan.giaotiep.tienganhonline_Patado_SEA_HoaNT_161225</v>
      </c>
      <c r="R33" s="117" t="str">
        <f>IFERROR(__xludf.DUMMYFUNCTION("""COMPUTED_VALUE"""),"NEW_Japan_none_none_161225")</f>
        <v>NEW_Japan_none_none_161225</v>
      </c>
      <c r="S33" s="67" t="str">
        <f>IFERROR(__xludf.DUMMYFUNCTION("""COMPUTED_VALUE"""),"saletructiep_trungtamielts_PTAGTTD_LD264")</f>
        <v>saletructiep_trungtamielts_PTAGTTD_LD264</v>
      </c>
      <c r="T33" s="107" t="str">
        <f>IFERROR(__xludf.DUMMYFUNCTION("""COMPUTED_VALUE"""),"https://patado.edu.vn/khoa-tieng-anh-giao-tiep-o-nhat-ban/?utm_source=Google&amp;utm_medium=SEA&amp;utm_term=NEW_Japan_none_none_161225&amp;utm_content=saletructiep_trungtamielts_PTAGTTD_LD264&amp;utm_campaign=Japan.giaotiep.tienganhonline_Patado_SEA_HoaNT_161225")</f>
        <v>https://patado.edu.vn/khoa-tieng-anh-giao-tiep-o-nhat-ban/?utm_source=Google&amp;utm_medium=SEA&amp;utm_term=NEW_Japan_none_none_161225&amp;utm_content=saletructiep_trungtamielts_PTAGTTD_LD264&amp;utm_campaign=Japan.giaotiep.tienganhonline_Patado_SEA_HoaNT_161225</v>
      </c>
      <c r="U33" s="116"/>
    </row>
    <row r="34">
      <c r="A34" s="72">
        <v>46007.0</v>
      </c>
      <c r="B34" s="60" t="s">
        <v>1564</v>
      </c>
      <c r="C34" s="67" t="str">
        <f>IFERROR(__xludf.DUMMYFUNCTION("""COMPUTED_VALUE"""),"LD264")</f>
        <v>LD264</v>
      </c>
      <c r="D34" s="55" t="s">
        <v>188</v>
      </c>
      <c r="E34" s="55" t="s">
        <v>193</v>
      </c>
      <c r="F34" s="55" t="s">
        <v>133</v>
      </c>
      <c r="G34" s="55" t="s">
        <v>61</v>
      </c>
      <c r="H34" s="55" t="s">
        <v>1261</v>
      </c>
      <c r="I34" s="115" t="s">
        <v>1764</v>
      </c>
      <c r="J34" s="55" t="s">
        <v>1929</v>
      </c>
      <c r="K34" s="55" t="s">
        <v>61</v>
      </c>
      <c r="L34" s="55" t="s">
        <v>1130</v>
      </c>
      <c r="M34" s="55" t="s">
        <v>78</v>
      </c>
      <c r="N34" s="55" t="s">
        <v>193</v>
      </c>
      <c r="O34" s="55" t="s">
        <v>1768</v>
      </c>
      <c r="P34" s="55" t="s">
        <v>110</v>
      </c>
      <c r="Q34" s="117" t="str">
        <f>IFERROR(__xludf.DUMMYFUNCTION("""COMPUTED_VALUE"""),"Japan.giaotiep.tienganhonline_Patado_SEA_HoaNT_161225")</f>
        <v>Japan.giaotiep.tienganhonline_Patado_SEA_HoaNT_161225</v>
      </c>
      <c r="R34" s="117" t="str">
        <f>IFERROR(__xludf.DUMMYFUNCTION("""COMPUTED_VALUE"""),"NEW_Japan_none_none_161225")</f>
        <v>NEW_Japan_none_none_161225</v>
      </c>
      <c r="S34" s="67" t="str">
        <f>IFERROR(__xludf.DUMMYFUNCTION("""COMPUTED_VALUE"""),"saletructiep_trungtamtoiec_PTAGTTD_LD264")</f>
        <v>saletructiep_trungtamtoiec_PTAGTTD_LD264</v>
      </c>
      <c r="T34" s="107" t="str">
        <f>IFERROR(__xludf.DUMMYFUNCTION("""COMPUTED_VALUE"""),"https://patado.edu.vn/khoa-tieng-anh-giao-tiep-o-nhat-ban/?utm_source=Google&amp;utm_medium=SEA&amp;utm_term=NEW_Japan_none_none_161225&amp;utm_content=saletructiep_trungtamtoiec_PTAGTTD_LD264&amp;utm_campaign=Japan.giaotiep.tienganhonline_Patado_SEA_HoaNT_161225")</f>
        <v>https://patado.edu.vn/khoa-tieng-anh-giao-tiep-o-nhat-ban/?utm_source=Google&amp;utm_medium=SEA&amp;utm_term=NEW_Japan_none_none_161225&amp;utm_content=saletructiep_trungtamtoiec_PTAGTTD_LD264&amp;utm_campaign=Japan.giaotiep.tienganhonline_Patado_SEA_HoaNT_161225</v>
      </c>
      <c r="U34" s="116"/>
    </row>
    <row r="35">
      <c r="A35" s="72">
        <v>46007.0</v>
      </c>
      <c r="B35" s="60" t="s">
        <v>1564</v>
      </c>
      <c r="C35" s="67" t="str">
        <f>IFERROR(__xludf.DUMMYFUNCTION("""COMPUTED_VALUE"""),"LD264")</f>
        <v>LD264</v>
      </c>
      <c r="D35" s="55" t="s">
        <v>188</v>
      </c>
      <c r="E35" s="55" t="s">
        <v>193</v>
      </c>
      <c r="F35" s="55" t="s">
        <v>133</v>
      </c>
      <c r="G35" s="55" t="s">
        <v>61</v>
      </c>
      <c r="H35" s="55" t="s">
        <v>1261</v>
      </c>
      <c r="I35" s="115" t="s">
        <v>1764</v>
      </c>
      <c r="J35" s="55" t="s">
        <v>1936</v>
      </c>
      <c r="K35" s="55" t="s">
        <v>61</v>
      </c>
      <c r="L35" s="55" t="s">
        <v>1130</v>
      </c>
      <c r="M35" s="55" t="s">
        <v>78</v>
      </c>
      <c r="N35" s="55" t="s">
        <v>193</v>
      </c>
      <c r="O35" s="55" t="s">
        <v>1768</v>
      </c>
      <c r="P35" s="55" t="s">
        <v>110</v>
      </c>
      <c r="Q35" s="117" t="str">
        <f>IFERROR(__xludf.DUMMYFUNCTION("""COMPUTED_VALUE"""),"Japan.giaotiep.tienganhonline_Patado_SEA_HoaNT_161225")</f>
        <v>Japan.giaotiep.tienganhonline_Patado_SEA_HoaNT_161225</v>
      </c>
      <c r="R35" s="117" t="str">
        <f>IFERROR(__xludf.DUMMYFUNCTION("""COMPUTED_VALUE"""),"NEW_Japan_none_none_161225")</f>
        <v>NEW_Japan_none_none_161225</v>
      </c>
      <c r="S35" s="67" t="str">
        <f>IFERROR(__xludf.DUMMYFUNCTION("""COMPUTED_VALUE"""),"saletructiep_trungtamPatado_PTAGTTD_LD264")</f>
        <v>saletructiep_trungtamPatado_PTAGTTD_LD264</v>
      </c>
      <c r="T35" s="107" t="str">
        <f>IFERROR(__xludf.DUMMYFUNCTION("""COMPUTED_VALUE"""),"https://patado.edu.vn/khoa-tieng-anh-giao-tiep-o-nhat-ban/?utm_source=Google&amp;utm_medium=SEA&amp;utm_term=NEW_Japan_none_none_161225&amp;utm_content=saletructiep_trungtamPatado_PTAGTTD_LD264&amp;utm_campaign=Japan.giaotiep.tienganhonline_Patado_SEA_HoaNT_161225")</f>
        <v>https://patado.edu.vn/khoa-tieng-anh-giao-tiep-o-nhat-ban/?utm_source=Google&amp;utm_medium=SEA&amp;utm_term=NEW_Japan_none_none_161225&amp;utm_content=saletructiep_trungtamPatado_PTAGTTD_LD264&amp;utm_campaign=Japan.giaotiep.tienganhonline_Patado_SEA_HoaNT_161225</v>
      </c>
      <c r="U35" s="116"/>
    </row>
    <row r="36">
      <c r="A36" s="72">
        <v>46007.0</v>
      </c>
      <c r="B36" s="60" t="s">
        <v>1564</v>
      </c>
      <c r="C36" s="67" t="str">
        <f>IFERROR(__xludf.DUMMYFUNCTION("""COMPUTED_VALUE"""),"LD264")</f>
        <v>LD264</v>
      </c>
      <c r="D36" s="55" t="s">
        <v>188</v>
      </c>
      <c r="E36" s="55" t="s">
        <v>193</v>
      </c>
      <c r="F36" s="55" t="s">
        <v>133</v>
      </c>
      <c r="G36" s="55" t="s">
        <v>61</v>
      </c>
      <c r="H36" s="55" t="s">
        <v>1261</v>
      </c>
      <c r="I36" s="115" t="s">
        <v>1764</v>
      </c>
      <c r="J36" s="55" t="s">
        <v>1943</v>
      </c>
      <c r="K36" s="55" t="s">
        <v>61</v>
      </c>
      <c r="L36" s="55" t="s">
        <v>1130</v>
      </c>
      <c r="M36" s="55" t="s">
        <v>78</v>
      </c>
      <c r="N36" s="55" t="s">
        <v>193</v>
      </c>
      <c r="O36" s="55" t="s">
        <v>1768</v>
      </c>
      <c r="P36" s="55" t="s">
        <v>110</v>
      </c>
      <c r="Q36" s="117" t="str">
        <f>IFERROR(__xludf.DUMMYFUNCTION("""COMPUTED_VALUE"""),"Japan.giaotiep.tienganhonline_Patado_SEA_HoaNT_161225")</f>
        <v>Japan.giaotiep.tienganhonline_Patado_SEA_HoaNT_161225</v>
      </c>
      <c r="R36" s="117" t="str">
        <f>IFERROR(__xludf.DUMMYFUNCTION("""COMPUTED_VALUE"""),"NEW_Japan_none_none_161225")</f>
        <v>NEW_Japan_none_none_161225</v>
      </c>
      <c r="S36" s="67" t="str">
        <f>IFERROR(__xludf.DUMMYFUNCTION("""COMPUTED_VALUE"""),"saletructiep_trungtamonline_PTAGTTD_LD264")</f>
        <v>saletructiep_trungtamonline_PTAGTTD_LD264</v>
      </c>
      <c r="T36" s="107" t="str">
        <f>IFERROR(__xludf.DUMMYFUNCTION("""COMPUTED_VALUE"""),"https://patado.edu.vn/khoa-tieng-anh-giao-tiep-o-nhat-ban/?utm_source=Google&amp;utm_medium=SEA&amp;utm_term=NEW_Japan_none_none_161225&amp;utm_content=saletructiep_trungtamonline_PTAGTTD_LD264&amp;utm_campaign=Japan.giaotiep.tienganhonline_Patado_SEA_HoaNT_161225")</f>
        <v>https://patado.edu.vn/khoa-tieng-anh-giao-tiep-o-nhat-ban/?utm_source=Google&amp;utm_medium=SEA&amp;utm_term=NEW_Japan_none_none_161225&amp;utm_content=saletructiep_trungtamonline_PTAGTTD_LD264&amp;utm_campaign=Japan.giaotiep.tienganhonline_Patado_SEA_HoaNT_161225</v>
      </c>
      <c r="U36" s="116"/>
    </row>
    <row r="37">
      <c r="A37" s="72">
        <v>46007.0</v>
      </c>
      <c r="B37" s="60" t="s">
        <v>1564</v>
      </c>
      <c r="C37" s="67" t="str">
        <f>IFERROR(__xludf.DUMMYFUNCTION("""COMPUTED_VALUE"""),"LD264")</f>
        <v>LD264</v>
      </c>
      <c r="D37" s="55" t="s">
        <v>188</v>
      </c>
      <c r="E37" s="55" t="s">
        <v>193</v>
      </c>
      <c r="F37" s="55" t="s">
        <v>133</v>
      </c>
      <c r="G37" s="55" t="s">
        <v>61</v>
      </c>
      <c r="H37" s="55" t="s">
        <v>1261</v>
      </c>
      <c r="I37" s="115" t="s">
        <v>1764</v>
      </c>
      <c r="J37" s="55" t="s">
        <v>1951</v>
      </c>
      <c r="K37" s="55" t="s">
        <v>61</v>
      </c>
      <c r="L37" s="55" t="s">
        <v>1130</v>
      </c>
      <c r="M37" s="55" t="s">
        <v>78</v>
      </c>
      <c r="N37" s="55" t="s">
        <v>193</v>
      </c>
      <c r="O37" s="55" t="s">
        <v>1768</v>
      </c>
      <c r="P37" s="55" t="s">
        <v>110</v>
      </c>
      <c r="Q37" s="117" t="str">
        <f>IFERROR(__xludf.DUMMYFUNCTION("""COMPUTED_VALUE"""),"Japan.giaotiep.tienganhonline_Patado_SEA_HoaNT_161225")</f>
        <v>Japan.giaotiep.tienganhonline_Patado_SEA_HoaNT_161225</v>
      </c>
      <c r="R37" s="117" t="str">
        <f>IFERROR(__xludf.DUMMYFUNCTION("""COMPUTED_VALUE"""),"NEW_Japan_none_none_161225")</f>
        <v>NEW_Japan_none_none_161225</v>
      </c>
      <c r="S37" s="67" t="str">
        <f>IFERROR(__xludf.DUMMYFUNCTION("""COMPUTED_VALUE"""),"saletructiep_tienganhthuongmai_PTAGTTD_LD264")</f>
        <v>saletructiep_tienganhthuongmai_PTAGTTD_LD264</v>
      </c>
      <c r="T37" s="107" t="str">
        <f>IFERROR(__xludf.DUMMYFUNCTION("""COMPUTED_VALUE"""),"https://patado.edu.vn/khoa-tieng-anh-giao-tiep-o-nhat-ban/?utm_source=Google&amp;utm_medium=SEA&amp;utm_term=NEW_Japan_none_none_161225&amp;utm_content=saletructiep_tienganhthuongmai_PTAGTTD_LD264&amp;utm_campaign=Japan.giaotiep.tienganhonline_Patado_SEA_HoaNT_161225")</f>
        <v>https://patado.edu.vn/khoa-tieng-anh-giao-tiep-o-nhat-ban/?utm_source=Google&amp;utm_medium=SEA&amp;utm_term=NEW_Japan_none_none_161225&amp;utm_content=saletructiep_tienganhthuongmai_PTAGTTD_LD264&amp;utm_campaign=Japan.giaotiep.tienganhonline_Patado_SEA_HoaNT_161225</v>
      </c>
      <c r="U37" s="116"/>
    </row>
    <row r="38">
      <c r="A38" s="72">
        <v>46007.0</v>
      </c>
      <c r="B38" s="60" t="s">
        <v>1564</v>
      </c>
      <c r="C38" s="67" t="str">
        <f>IFERROR(__xludf.DUMMYFUNCTION("""COMPUTED_VALUE"""),"LD264")</f>
        <v>LD264</v>
      </c>
      <c r="D38" s="55" t="s">
        <v>188</v>
      </c>
      <c r="E38" s="55" t="s">
        <v>193</v>
      </c>
      <c r="F38" s="55" t="s">
        <v>133</v>
      </c>
      <c r="G38" s="55" t="s">
        <v>61</v>
      </c>
      <c r="H38" s="55" t="s">
        <v>1261</v>
      </c>
      <c r="I38" s="115" t="s">
        <v>1764</v>
      </c>
      <c r="J38" s="55" t="s">
        <v>1954</v>
      </c>
      <c r="K38" s="55" t="s">
        <v>61</v>
      </c>
      <c r="L38" s="55" t="s">
        <v>1130</v>
      </c>
      <c r="M38" s="55" t="s">
        <v>78</v>
      </c>
      <c r="N38" s="55" t="s">
        <v>193</v>
      </c>
      <c r="O38" s="55" t="s">
        <v>1768</v>
      </c>
      <c r="P38" s="55" t="s">
        <v>110</v>
      </c>
      <c r="Q38" s="117" t="str">
        <f>IFERROR(__xludf.DUMMYFUNCTION("""COMPUTED_VALUE"""),"Japan.giaotiep.tienganhonline_Patado_SEA_HoaNT_161225")</f>
        <v>Japan.giaotiep.tienganhonline_Patado_SEA_HoaNT_161225</v>
      </c>
      <c r="R38" s="117" t="str">
        <f>IFERROR(__xludf.DUMMYFUNCTION("""COMPUTED_VALUE"""),"NEW_Japan_none_none_161225")</f>
        <v>NEW_Japan_none_none_161225</v>
      </c>
      <c r="S38" s="67" t="str">
        <f>IFERROR(__xludf.DUMMYFUNCTION("""COMPUTED_VALUE"""),"saletructiep_hocphi_PTAGTTD_LD264")</f>
        <v>saletructiep_hocphi_PTAGTTD_LD264</v>
      </c>
      <c r="T38" s="107" t="str">
        <f>IFERROR(__xludf.DUMMYFUNCTION("""COMPUTED_VALUE"""),"https://patado.edu.vn/khoa-tieng-anh-giao-tiep-o-nhat-ban/?utm_source=Google&amp;utm_medium=SEA&amp;utm_term=NEW_Japan_none_none_161225&amp;utm_content=saletructiep_hocphi_PTAGTTD_LD264&amp;utm_campaign=Japan.giaotiep.tienganhonline_Patado_SEA_HoaNT_161225")</f>
        <v>https://patado.edu.vn/khoa-tieng-anh-giao-tiep-o-nhat-ban/?utm_source=Google&amp;utm_medium=SEA&amp;utm_term=NEW_Japan_none_none_161225&amp;utm_content=saletructiep_hocphi_PTAGTTD_LD264&amp;utm_campaign=Japan.giaotiep.tienganhonline_Patado_SEA_HoaNT_161225</v>
      </c>
      <c r="U38" s="116"/>
    </row>
    <row r="39">
      <c r="A39" s="72">
        <v>46007.0</v>
      </c>
      <c r="B39" s="60" t="s">
        <v>1958</v>
      </c>
      <c r="C39" s="67" t="str">
        <f>IFERROR(__xludf.DUMMYFUNCTION("""COMPUTED_VALUE"""),"LD253")</f>
        <v>LD253</v>
      </c>
      <c r="D39" s="55" t="s">
        <v>188</v>
      </c>
      <c r="E39" s="55" t="s">
        <v>193</v>
      </c>
      <c r="F39" s="55" t="s">
        <v>107</v>
      </c>
      <c r="G39" s="55" t="s">
        <v>61</v>
      </c>
      <c r="H39" s="55" t="s">
        <v>1261</v>
      </c>
      <c r="I39" s="115" t="s">
        <v>1964</v>
      </c>
      <c r="J39" s="113" t="s">
        <v>57</v>
      </c>
      <c r="K39" s="55" t="s">
        <v>61</v>
      </c>
      <c r="L39" s="55" t="s">
        <v>1130</v>
      </c>
      <c r="M39" s="55" t="s">
        <v>78</v>
      </c>
      <c r="N39" s="55" t="s">
        <v>193</v>
      </c>
      <c r="O39" s="55" t="s">
        <v>1768</v>
      </c>
      <c r="P39" s="55" t="s">
        <v>110</v>
      </c>
      <c r="Q39" s="117" t="str">
        <f>IFERROR(__xludf.DUMMYFUNCTION("""COMPUTED_VALUE"""),"UnitedStates.giaotiep.hocnline_Patado_SEA_HoaNT_161225")</f>
        <v>UnitedStates.giaotiep.hocnline_Patado_SEA_HoaNT_161225</v>
      </c>
      <c r="R39" s="117" t="str">
        <f>IFERROR(__xludf.DUMMYFUNCTION("""COMPUTED_VALUE"""),"NEW_UnitedStates_none_none_161225")</f>
        <v>NEW_UnitedStates_none_none_161225</v>
      </c>
      <c r="S39" s="67" t="str">
        <f>IFERROR(__xludf.DUMMYFUNCTION("""COMPUTED_VALUE"""),"saletructiep_hocielts_PTAGTTD_LD253")</f>
        <v>saletructiep_hocielts_PTAGTTD_LD253</v>
      </c>
      <c r="T39" s="107" t="str">
        <f>IFERROR(__xludf.DUMMYFUNCTION("""COMPUTED_VALUE"""),"https://patadovietnam.edu.vn/tieng-anh-giao-tiep-united-states/?utm_source=Google&amp;utm_medium=SEA&amp;utm_term=NEW_UnitedStates_none_none_161225&amp;utm_content=saletructiep_hocielts_PTAGTTD_LD253&amp;utm_campaign=UnitedStates.giaotiep.hocnline_Patado_SEA_HoaNT_161225")</f>
        <v>https://patadovietnam.edu.vn/tieng-anh-giao-tiep-united-states/?utm_source=Google&amp;utm_medium=SEA&amp;utm_term=NEW_UnitedStates_none_none_161225&amp;utm_content=saletructiep_hocielts_PTAGTTD_LD253&amp;utm_campaign=UnitedStates.giaotiep.hocnline_Patado_SEA_HoaNT_161225</v>
      </c>
      <c r="U39" s="116"/>
    </row>
    <row r="40">
      <c r="A40" s="72">
        <v>46007.0</v>
      </c>
      <c r="B40" s="60" t="s">
        <v>1958</v>
      </c>
      <c r="C40" s="67" t="str">
        <f>IFERROR(__xludf.DUMMYFUNCTION("""COMPUTED_VALUE"""),"LD253")</f>
        <v>LD253</v>
      </c>
      <c r="D40" s="55" t="s">
        <v>188</v>
      </c>
      <c r="E40" s="55" t="s">
        <v>193</v>
      </c>
      <c r="F40" s="55" t="s">
        <v>107</v>
      </c>
      <c r="G40" s="55" t="s">
        <v>61</v>
      </c>
      <c r="H40" s="55" t="s">
        <v>1261</v>
      </c>
      <c r="I40" s="115" t="s">
        <v>1964</v>
      </c>
      <c r="J40" s="113" t="s">
        <v>1970</v>
      </c>
      <c r="K40" s="55" t="s">
        <v>61</v>
      </c>
      <c r="L40" s="55" t="s">
        <v>1130</v>
      </c>
      <c r="M40" s="55" t="s">
        <v>78</v>
      </c>
      <c r="N40" s="55" t="s">
        <v>193</v>
      </c>
      <c r="O40" s="55" t="s">
        <v>1768</v>
      </c>
      <c r="P40" s="55" t="s">
        <v>110</v>
      </c>
      <c r="Q40" s="117" t="str">
        <f>IFERROR(__xludf.DUMMYFUNCTION("""COMPUTED_VALUE"""),"UnitedStates.giaotiep.hocnline_Patado_SEA_HoaNT_161225")</f>
        <v>UnitedStates.giaotiep.hocnline_Patado_SEA_HoaNT_161225</v>
      </c>
      <c r="R40" s="117" t="str">
        <f>IFERROR(__xludf.DUMMYFUNCTION("""COMPUTED_VALUE"""),"NEW_UnitedStates_none_none_161225")</f>
        <v>NEW_UnitedStates_none_none_161225</v>
      </c>
      <c r="S40" s="67" t="str">
        <f>IFERROR(__xludf.DUMMYFUNCTION("""COMPUTED_VALUE"""),"saletructiep_ieltsonline_PTAGTTD_LD253")</f>
        <v>saletructiep_ieltsonline_PTAGTTD_LD253</v>
      </c>
      <c r="T40" s="107" t="str">
        <f>IFERROR(__xludf.DUMMYFUNCTION("""COMPUTED_VALUE"""),"https://patadovietnam.edu.vn/tieng-anh-giao-tiep-united-states/?utm_source=Google&amp;utm_medium=SEA&amp;utm_term=NEW_UnitedStates_none_none_161225&amp;utm_content=saletructiep_ieltsonline_PTAGTTD_LD253&amp;utm_campaign=UnitedStates.giaotiep.hocnline_Patado_SEA_HoaNT_161"&amp;"225")</f>
        <v>https://patadovietnam.edu.vn/tieng-anh-giao-tiep-united-states/?utm_source=Google&amp;utm_medium=SEA&amp;utm_term=NEW_UnitedStates_none_none_161225&amp;utm_content=saletructiep_ieltsonline_PTAGTTD_LD253&amp;utm_campaign=UnitedStates.giaotiep.hocnline_Patado_SEA_HoaNT_161225</v>
      </c>
      <c r="U40" s="116"/>
    </row>
    <row r="41">
      <c r="A41" s="72">
        <v>46007.0</v>
      </c>
      <c r="B41" s="60" t="s">
        <v>1958</v>
      </c>
      <c r="C41" s="67" t="str">
        <f>IFERROR(__xludf.DUMMYFUNCTION("""COMPUTED_VALUE"""),"LD253")</f>
        <v>LD253</v>
      </c>
      <c r="D41" s="55" t="s">
        <v>188</v>
      </c>
      <c r="E41" s="55" t="s">
        <v>193</v>
      </c>
      <c r="F41" s="55" t="s">
        <v>107</v>
      </c>
      <c r="G41" s="55" t="s">
        <v>61</v>
      </c>
      <c r="H41" s="55" t="s">
        <v>1261</v>
      </c>
      <c r="I41" s="115" t="s">
        <v>1964</v>
      </c>
      <c r="J41" s="113" t="s">
        <v>1976</v>
      </c>
      <c r="K41" s="55" t="s">
        <v>61</v>
      </c>
      <c r="L41" s="55" t="s">
        <v>1130</v>
      </c>
      <c r="M41" s="55" t="s">
        <v>78</v>
      </c>
      <c r="N41" s="55" t="s">
        <v>193</v>
      </c>
      <c r="O41" s="55" t="s">
        <v>1768</v>
      </c>
      <c r="P41" s="55" t="s">
        <v>110</v>
      </c>
      <c r="Q41" s="117" t="str">
        <f>IFERROR(__xludf.DUMMYFUNCTION("""COMPUTED_VALUE"""),"UnitedStates.giaotiep.hocnline_Patado_SEA_HoaNT_161225")</f>
        <v>UnitedStates.giaotiep.hocnline_Patado_SEA_HoaNT_161225</v>
      </c>
      <c r="R41" s="117" t="str">
        <f>IFERROR(__xludf.DUMMYFUNCTION("""COMPUTED_VALUE"""),"NEW_UnitedStates_none_none_161225")</f>
        <v>NEW_UnitedStates_none_none_161225</v>
      </c>
      <c r="S41" s="67" t="str">
        <f>IFERROR(__xludf.DUMMYFUNCTION("""COMPUTED_VALUE"""),"saletructiep_ieltsmatgoc_PTAGTTD_LD253")</f>
        <v>saletructiep_ieltsmatgoc_PTAGTTD_LD253</v>
      </c>
      <c r="T41" s="107" t="str">
        <f>IFERROR(__xludf.DUMMYFUNCTION("""COMPUTED_VALUE"""),"https://patadovietnam.edu.vn/tieng-anh-giao-tiep-united-states/?utm_source=Google&amp;utm_medium=SEA&amp;utm_term=NEW_UnitedStates_none_none_161225&amp;utm_content=saletructiep_ieltsmatgoc_PTAGTTD_LD253&amp;utm_campaign=UnitedStates.giaotiep.hocnline_Patado_SEA_HoaNT_161"&amp;"225")</f>
        <v>https://patadovietnam.edu.vn/tieng-anh-giao-tiep-united-states/?utm_source=Google&amp;utm_medium=SEA&amp;utm_term=NEW_UnitedStates_none_none_161225&amp;utm_content=saletructiep_ieltsmatgoc_PTAGTTD_LD253&amp;utm_campaign=UnitedStates.giaotiep.hocnline_Patado_SEA_HoaNT_161225</v>
      </c>
      <c r="U41" s="116"/>
    </row>
    <row r="42">
      <c r="A42" s="72">
        <v>46007.0</v>
      </c>
      <c r="B42" s="60" t="s">
        <v>1958</v>
      </c>
      <c r="C42" s="67" t="str">
        <f>IFERROR(__xludf.DUMMYFUNCTION("""COMPUTED_VALUE"""),"LD253")</f>
        <v>LD253</v>
      </c>
      <c r="D42" s="55" t="s">
        <v>188</v>
      </c>
      <c r="E42" s="55" t="s">
        <v>193</v>
      </c>
      <c r="F42" s="55" t="s">
        <v>107</v>
      </c>
      <c r="G42" s="55" t="s">
        <v>61</v>
      </c>
      <c r="H42" s="55" t="s">
        <v>1261</v>
      </c>
      <c r="I42" s="115" t="s">
        <v>1964</v>
      </c>
      <c r="J42" s="113" t="s">
        <v>1982</v>
      </c>
      <c r="K42" s="55" t="s">
        <v>61</v>
      </c>
      <c r="L42" s="55" t="s">
        <v>1130</v>
      </c>
      <c r="M42" s="55" t="s">
        <v>78</v>
      </c>
      <c r="N42" s="55" t="s">
        <v>193</v>
      </c>
      <c r="O42" s="55" t="s">
        <v>1768</v>
      </c>
      <c r="P42" s="55" t="s">
        <v>110</v>
      </c>
      <c r="Q42" s="117" t="str">
        <f>IFERROR(__xludf.DUMMYFUNCTION("""COMPUTED_VALUE"""),"UnitedStates.giaotiep.hocnline_Patado_SEA_HoaNT_161225")</f>
        <v>UnitedStates.giaotiep.hocnline_Patado_SEA_HoaNT_161225</v>
      </c>
      <c r="R42" s="117" t="str">
        <f>IFERROR(__xludf.DUMMYFUNCTION("""COMPUTED_VALUE"""),"NEW_UnitedStates_none_none_161225")</f>
        <v>NEW_UnitedStates_none_none_161225</v>
      </c>
      <c r="S42" s="67" t="str">
        <f>IFERROR(__xludf.DUMMYFUNCTION("""COMPUTED_VALUE"""),"saletructiep_luyenthiielts_PTAGTTD_LD253")</f>
        <v>saletructiep_luyenthiielts_PTAGTTD_LD253</v>
      </c>
      <c r="T42" s="107" t="str">
        <f>IFERROR(__xludf.DUMMYFUNCTION("""COMPUTED_VALUE"""),"https://patadovietnam.edu.vn/tieng-anh-giao-tiep-united-states/?utm_source=Google&amp;utm_medium=SEA&amp;utm_term=NEW_UnitedStates_none_none_161225&amp;utm_content=saletructiep_luyenthiielts_PTAGTTD_LD253&amp;utm_campaign=UnitedStates.giaotiep.hocnline_Patado_SEA_HoaNT_1"&amp;"61225")</f>
        <v>https://patadovietnam.edu.vn/tieng-anh-giao-tiep-united-states/?utm_source=Google&amp;utm_medium=SEA&amp;utm_term=NEW_UnitedStates_none_none_161225&amp;utm_content=saletructiep_luyenthiielts_PTAGTTD_LD253&amp;utm_campaign=UnitedStates.giaotiep.hocnline_Patado_SEA_HoaNT_161225</v>
      </c>
      <c r="U42" s="116"/>
    </row>
    <row r="43">
      <c r="A43" s="72">
        <v>46007.0</v>
      </c>
      <c r="B43" s="60" t="s">
        <v>1958</v>
      </c>
      <c r="C43" s="67" t="str">
        <f>IFERROR(__xludf.DUMMYFUNCTION("""COMPUTED_VALUE"""),"LD253")</f>
        <v>LD253</v>
      </c>
      <c r="D43" s="55" t="s">
        <v>188</v>
      </c>
      <c r="E43" s="55" t="s">
        <v>193</v>
      </c>
      <c r="F43" s="55" t="s">
        <v>107</v>
      </c>
      <c r="G43" s="55" t="s">
        <v>61</v>
      </c>
      <c r="H43" s="55" t="s">
        <v>1261</v>
      </c>
      <c r="I43" s="115" t="s">
        <v>1964</v>
      </c>
      <c r="J43" s="113" t="s">
        <v>1989</v>
      </c>
      <c r="K43" s="55" t="s">
        <v>61</v>
      </c>
      <c r="L43" s="55" t="s">
        <v>1130</v>
      </c>
      <c r="M43" s="55" t="s">
        <v>78</v>
      </c>
      <c r="N43" s="55" t="s">
        <v>193</v>
      </c>
      <c r="O43" s="55" t="s">
        <v>1768</v>
      </c>
      <c r="P43" s="55" t="s">
        <v>110</v>
      </c>
      <c r="Q43" s="117" t="str">
        <f>IFERROR(__xludf.DUMMYFUNCTION("""COMPUTED_VALUE"""),"UnitedStates.giaotiep.hocnline_Patado_SEA_HoaNT_161225")</f>
        <v>UnitedStates.giaotiep.hocnline_Patado_SEA_HoaNT_161225</v>
      </c>
      <c r="R43" s="117" t="str">
        <f>IFERROR(__xludf.DUMMYFUNCTION("""COMPUTED_VALUE"""),"NEW_UnitedStates_none_none_161225")</f>
        <v>NEW_UnitedStates_none_none_161225</v>
      </c>
      <c r="S43" s="67" t="str">
        <f>IFERROR(__xludf.DUMMYFUNCTION("""COMPUTED_VALUE"""),"saletructiep_lotrinhielts_PTAGTTD_LD253")</f>
        <v>saletructiep_lotrinhielts_PTAGTTD_LD253</v>
      </c>
      <c r="T43" s="107" t="str">
        <f>IFERROR(__xludf.DUMMYFUNCTION("""COMPUTED_VALUE"""),"https://patadovietnam.edu.vn/tieng-anh-giao-tiep-united-states/?utm_source=Google&amp;utm_medium=SEA&amp;utm_term=NEW_UnitedStates_none_none_161225&amp;utm_content=saletructiep_lotrinhielts_PTAGTTD_LD253&amp;utm_campaign=UnitedStates.giaotiep.hocnline_Patado_SEA_HoaNT_16"&amp;"1225")</f>
        <v>https://patadovietnam.edu.vn/tieng-anh-giao-tiep-united-states/?utm_source=Google&amp;utm_medium=SEA&amp;utm_term=NEW_UnitedStates_none_none_161225&amp;utm_content=saletructiep_lotrinhielts_PTAGTTD_LD253&amp;utm_campaign=UnitedStates.giaotiep.hocnline_Patado_SEA_HoaNT_161225</v>
      </c>
      <c r="U43" s="116"/>
    </row>
    <row r="44">
      <c r="A44" s="72">
        <v>46007.0</v>
      </c>
      <c r="B44" s="60" t="s">
        <v>1958</v>
      </c>
      <c r="C44" s="67" t="str">
        <f>IFERROR(__xludf.DUMMYFUNCTION("""COMPUTED_VALUE"""),"LD253")</f>
        <v>LD253</v>
      </c>
      <c r="D44" s="55" t="s">
        <v>188</v>
      </c>
      <c r="E44" s="55" t="s">
        <v>193</v>
      </c>
      <c r="F44" s="55" t="s">
        <v>107</v>
      </c>
      <c r="G44" s="55" t="s">
        <v>61</v>
      </c>
      <c r="H44" s="55" t="s">
        <v>1261</v>
      </c>
      <c r="I44" s="115" t="s">
        <v>1964</v>
      </c>
      <c r="J44" s="113" t="s">
        <v>1996</v>
      </c>
      <c r="K44" s="55" t="s">
        <v>61</v>
      </c>
      <c r="L44" s="55" t="s">
        <v>1130</v>
      </c>
      <c r="M44" s="55" t="s">
        <v>78</v>
      </c>
      <c r="N44" s="55" t="s">
        <v>193</v>
      </c>
      <c r="O44" s="55" t="s">
        <v>1768</v>
      </c>
      <c r="P44" s="55" t="s">
        <v>110</v>
      </c>
      <c r="Q44" s="117" t="str">
        <f>IFERROR(__xludf.DUMMYFUNCTION("""COMPUTED_VALUE"""),"UnitedStates.giaotiep.hocnline_Patado_SEA_HoaNT_161225")</f>
        <v>UnitedStates.giaotiep.hocnline_Patado_SEA_HoaNT_161225</v>
      </c>
      <c r="R44" s="117" t="str">
        <f>IFERROR(__xludf.DUMMYFUNCTION("""COMPUTED_VALUE"""),"NEW_UnitedStates_none_none_161225")</f>
        <v>NEW_UnitedStates_none_none_161225</v>
      </c>
      <c r="S44" s="67" t="str">
        <f>IFERROR(__xludf.DUMMYFUNCTION("""COMPUTED_VALUE"""),"saletructiep_ielts1kem1_PTAGTTD_LD253")</f>
        <v>saletructiep_ielts1kem1_PTAGTTD_LD253</v>
      </c>
      <c r="T44" s="107" t="str">
        <f>IFERROR(__xludf.DUMMYFUNCTION("""COMPUTED_VALUE"""),"https://patadovietnam.edu.vn/tieng-anh-giao-tiep-united-states/?utm_source=Google&amp;utm_medium=SEA&amp;utm_term=NEW_UnitedStates_none_none_161225&amp;utm_content=saletructiep_ielts1kem1_PTAGTTD_LD253&amp;utm_campaign=UnitedStates.giaotiep.hocnline_Patado_SEA_HoaNT_1612"&amp;"25")</f>
        <v>https://patadovietnam.edu.vn/tieng-anh-giao-tiep-united-states/?utm_source=Google&amp;utm_medium=SEA&amp;utm_term=NEW_UnitedStates_none_none_161225&amp;utm_content=saletructiep_ielts1kem1_PTAGTTD_LD253&amp;utm_campaign=UnitedStates.giaotiep.hocnline_Patado_SEA_HoaNT_161225</v>
      </c>
      <c r="U44" s="116"/>
    </row>
    <row r="45">
      <c r="A45" s="72">
        <v>46007.0</v>
      </c>
      <c r="B45" s="60" t="s">
        <v>1958</v>
      </c>
      <c r="C45" s="67" t="str">
        <f>IFERROR(__xludf.DUMMYFUNCTION("""COMPUTED_VALUE"""),"LD253")</f>
        <v>LD253</v>
      </c>
      <c r="D45" s="55" t="s">
        <v>188</v>
      </c>
      <c r="E45" s="55" t="s">
        <v>193</v>
      </c>
      <c r="F45" s="55" t="s">
        <v>107</v>
      </c>
      <c r="G45" s="55" t="s">
        <v>61</v>
      </c>
      <c r="H45" s="55" t="s">
        <v>1261</v>
      </c>
      <c r="I45" s="115" t="s">
        <v>1964</v>
      </c>
      <c r="J45" s="113" t="s">
        <v>2001</v>
      </c>
      <c r="K45" s="55" t="s">
        <v>61</v>
      </c>
      <c r="L45" s="55" t="s">
        <v>1130</v>
      </c>
      <c r="M45" s="55" t="s">
        <v>78</v>
      </c>
      <c r="N45" s="55" t="s">
        <v>193</v>
      </c>
      <c r="O45" s="55" t="s">
        <v>1768</v>
      </c>
      <c r="P45" s="55" t="s">
        <v>110</v>
      </c>
      <c r="Q45" s="117" t="str">
        <f>IFERROR(__xludf.DUMMYFUNCTION("""COMPUTED_VALUE"""),"UnitedStates.giaotiep.hocnline_Patado_SEA_HoaNT_161225")</f>
        <v>UnitedStates.giaotiep.hocnline_Patado_SEA_HoaNT_161225</v>
      </c>
      <c r="R45" s="117" t="str">
        <f>IFERROR(__xludf.DUMMYFUNCTION("""COMPUTED_VALUE"""),"NEW_UnitedStates_none_none_161225")</f>
        <v>NEW_UnitedStates_none_none_161225</v>
      </c>
      <c r="S45" s="67" t="str">
        <f>IFERROR(__xludf.DUMMYFUNCTION("""COMPUTED_VALUE"""),"saletructiep_khoahocielts_PTAGTTD_LD253")</f>
        <v>saletructiep_khoahocielts_PTAGTTD_LD253</v>
      </c>
      <c r="T45" s="107" t="str">
        <f>IFERROR(__xludf.DUMMYFUNCTION("""COMPUTED_VALUE"""),"https://patadovietnam.edu.vn/tieng-anh-giao-tiep-united-states/?utm_source=Google&amp;utm_medium=SEA&amp;utm_term=NEW_UnitedStates_none_none_161225&amp;utm_content=saletructiep_khoahocielts_PTAGTTD_LD253&amp;utm_campaign=UnitedStates.giaotiep.hocnline_Patado_SEA_HoaNT_16"&amp;"1225")</f>
        <v>https://patadovietnam.edu.vn/tieng-anh-giao-tiep-united-states/?utm_source=Google&amp;utm_medium=SEA&amp;utm_term=NEW_UnitedStates_none_none_161225&amp;utm_content=saletructiep_khoahocielts_PTAGTTD_LD253&amp;utm_campaign=UnitedStates.giaotiep.hocnline_Patado_SEA_HoaNT_161225</v>
      </c>
      <c r="U45" s="116"/>
    </row>
    <row r="46">
      <c r="A46" s="72">
        <v>46007.0</v>
      </c>
      <c r="B46" s="60" t="s">
        <v>1958</v>
      </c>
      <c r="C46" s="67" t="str">
        <f>IFERROR(__xludf.DUMMYFUNCTION("""COMPUTED_VALUE"""),"LD253")</f>
        <v>LD253</v>
      </c>
      <c r="D46" s="55" t="s">
        <v>188</v>
      </c>
      <c r="E46" s="55" t="s">
        <v>193</v>
      </c>
      <c r="F46" s="55" t="s">
        <v>107</v>
      </c>
      <c r="G46" s="55" t="s">
        <v>61</v>
      </c>
      <c r="H46" s="55" t="s">
        <v>1261</v>
      </c>
      <c r="I46" s="115" t="s">
        <v>1964</v>
      </c>
      <c r="J46" s="113" t="s">
        <v>2006</v>
      </c>
      <c r="K46" s="55" t="s">
        <v>61</v>
      </c>
      <c r="L46" s="55" t="s">
        <v>1130</v>
      </c>
      <c r="M46" s="55" t="s">
        <v>78</v>
      </c>
      <c r="N46" s="55" t="s">
        <v>193</v>
      </c>
      <c r="O46" s="55" t="s">
        <v>1768</v>
      </c>
      <c r="P46" s="55" t="s">
        <v>110</v>
      </c>
      <c r="Q46" s="117" t="str">
        <f>IFERROR(__xludf.DUMMYFUNCTION("""COMPUTED_VALUE"""),"UnitedStates.giaotiep.hocnline_Patado_SEA_HoaNT_161225")</f>
        <v>UnitedStates.giaotiep.hocnline_Patado_SEA_HoaNT_161225</v>
      </c>
      <c r="R46" s="117" t="str">
        <f>IFERROR(__xludf.DUMMYFUNCTION("""COMPUTED_VALUE"""),"NEW_UnitedStates_none_none_161225")</f>
        <v>NEW_UnitedStates_none_none_161225</v>
      </c>
      <c r="S46" s="67" t="str">
        <f>IFERROR(__xludf.DUMMYFUNCTION("""COMPUTED_VALUE"""),"saletructiep_lophocielts_PTAGTTD_LD253")</f>
        <v>saletructiep_lophocielts_PTAGTTD_LD253</v>
      </c>
      <c r="T46" s="107" t="str">
        <f>IFERROR(__xludf.DUMMYFUNCTION("""COMPUTED_VALUE"""),"https://patadovietnam.edu.vn/tieng-anh-giao-tiep-united-states/?utm_source=Google&amp;utm_medium=SEA&amp;utm_term=NEW_UnitedStates_none_none_161225&amp;utm_content=saletructiep_lophocielts_PTAGTTD_LD253&amp;utm_campaign=UnitedStates.giaotiep.hocnline_Patado_SEA_HoaNT_161"&amp;"225")</f>
        <v>https://patadovietnam.edu.vn/tieng-anh-giao-tiep-united-states/?utm_source=Google&amp;utm_medium=SEA&amp;utm_term=NEW_UnitedStates_none_none_161225&amp;utm_content=saletructiep_lophocielts_PTAGTTD_LD253&amp;utm_campaign=UnitedStates.giaotiep.hocnline_Patado_SEA_HoaNT_161225</v>
      </c>
      <c r="U46" s="116"/>
    </row>
    <row r="47">
      <c r="A47" s="72">
        <v>46007.0</v>
      </c>
      <c r="B47" s="60" t="s">
        <v>1958</v>
      </c>
      <c r="C47" s="67" t="str">
        <f>IFERROR(__xludf.DUMMYFUNCTION("""COMPUTED_VALUE"""),"LD253")</f>
        <v>LD253</v>
      </c>
      <c r="D47" s="55" t="s">
        <v>188</v>
      </c>
      <c r="E47" s="55" t="s">
        <v>193</v>
      </c>
      <c r="F47" s="55" t="s">
        <v>107</v>
      </c>
      <c r="G47" s="55" t="s">
        <v>61</v>
      </c>
      <c r="H47" s="55" t="s">
        <v>1261</v>
      </c>
      <c r="I47" s="115" t="s">
        <v>1964</v>
      </c>
      <c r="J47" s="113" t="s">
        <v>2010</v>
      </c>
      <c r="K47" s="55" t="s">
        <v>61</v>
      </c>
      <c r="L47" s="55" t="s">
        <v>1130</v>
      </c>
      <c r="M47" s="55" t="s">
        <v>78</v>
      </c>
      <c r="N47" s="55" t="s">
        <v>193</v>
      </c>
      <c r="O47" s="55" t="s">
        <v>1768</v>
      </c>
      <c r="P47" s="55" t="s">
        <v>110</v>
      </c>
      <c r="Q47" s="117" t="str">
        <f>IFERROR(__xludf.DUMMYFUNCTION("""COMPUTED_VALUE"""),"UnitedStates.giaotiep.hocnline_Patado_SEA_HoaNT_161225")</f>
        <v>UnitedStates.giaotiep.hocnline_Patado_SEA_HoaNT_161225</v>
      </c>
      <c r="R47" s="117" t="str">
        <f>IFERROR(__xludf.DUMMYFUNCTION("""COMPUTED_VALUE"""),"NEW_UnitedStates_none_none_161225")</f>
        <v>NEW_UnitedStates_none_none_161225</v>
      </c>
      <c r="S47" s="67" t="str">
        <f>IFERROR(__xludf.DUMMYFUNCTION("""COMPUTED_VALUE"""),"saletructiep_trungtamluyenielts_PTAGTTD_LD253")</f>
        <v>saletructiep_trungtamluyenielts_PTAGTTD_LD253</v>
      </c>
      <c r="T47" s="107" t="str">
        <f>IFERROR(__xludf.DUMMYFUNCTION("""COMPUTED_VALUE"""),"https://patadovietnam.edu.vn/tieng-anh-giao-tiep-united-states/?utm_source=Google&amp;utm_medium=SEA&amp;utm_term=NEW_UnitedStates_none_none_161225&amp;utm_content=saletructiep_trungtamluyenielts_PTAGTTD_LD253&amp;utm_campaign=UnitedStates.giaotiep.hocnline_Patado_SEA_Ho"&amp;"aNT_161225")</f>
        <v>https://patadovietnam.edu.vn/tieng-anh-giao-tiep-united-states/?utm_source=Google&amp;utm_medium=SEA&amp;utm_term=NEW_UnitedStates_none_none_161225&amp;utm_content=saletructiep_trungtamluyenielts_PTAGTTD_LD253&amp;utm_campaign=UnitedStates.giaotiep.hocnline_Patado_SEA_HoaNT_161225</v>
      </c>
      <c r="U47" s="116"/>
    </row>
    <row r="48">
      <c r="A48" s="72">
        <v>46007.0</v>
      </c>
      <c r="B48" s="60" t="s">
        <v>1958</v>
      </c>
      <c r="C48" s="67" t="str">
        <f>IFERROR(__xludf.DUMMYFUNCTION("""COMPUTED_VALUE"""),"LD253")</f>
        <v>LD253</v>
      </c>
      <c r="D48" s="55" t="s">
        <v>188</v>
      </c>
      <c r="E48" s="55" t="s">
        <v>193</v>
      </c>
      <c r="F48" s="55" t="s">
        <v>107</v>
      </c>
      <c r="G48" s="55" t="s">
        <v>61</v>
      </c>
      <c r="H48" s="55" t="s">
        <v>1261</v>
      </c>
      <c r="I48" s="115" t="s">
        <v>1964</v>
      </c>
      <c r="J48" s="113" t="s">
        <v>2015</v>
      </c>
      <c r="K48" s="55" t="s">
        <v>61</v>
      </c>
      <c r="L48" s="55" t="s">
        <v>1130</v>
      </c>
      <c r="M48" s="55" t="s">
        <v>78</v>
      </c>
      <c r="N48" s="55" t="s">
        <v>193</v>
      </c>
      <c r="O48" s="55" t="s">
        <v>1768</v>
      </c>
      <c r="P48" s="55" t="s">
        <v>110</v>
      </c>
      <c r="Q48" s="117" t="str">
        <f>IFERROR(__xludf.DUMMYFUNCTION("""COMPUTED_VALUE"""),"UnitedStates.giaotiep.hocnline_Patado_SEA_HoaNT_161225")</f>
        <v>UnitedStates.giaotiep.hocnline_Patado_SEA_HoaNT_161225</v>
      </c>
      <c r="R48" s="117" t="str">
        <f>IFERROR(__xludf.DUMMYFUNCTION("""COMPUTED_VALUE"""),"NEW_UnitedStates_none_none_161225")</f>
        <v>NEW_UnitedStates_none_none_161225</v>
      </c>
      <c r="S48" s="67" t="str">
        <f>IFERROR(__xludf.DUMMYFUNCTION("""COMPUTED_VALUE"""),"saletructiep_hocphiielts_PTAGTTD_LD253")</f>
        <v>saletructiep_hocphiielts_PTAGTTD_LD253</v>
      </c>
      <c r="T48" s="107" t="str">
        <f>IFERROR(__xludf.DUMMYFUNCTION("""COMPUTED_VALUE"""),"https://patadovietnam.edu.vn/tieng-anh-giao-tiep-united-states/?utm_source=Google&amp;utm_medium=SEA&amp;utm_term=NEW_UnitedStates_none_none_161225&amp;utm_content=saletructiep_hocphiielts_PTAGTTD_LD253&amp;utm_campaign=UnitedStates.giaotiep.hocnline_Patado_SEA_HoaNT_161"&amp;"225")</f>
        <v>https://patadovietnam.edu.vn/tieng-anh-giao-tiep-united-states/?utm_source=Google&amp;utm_medium=SEA&amp;utm_term=NEW_UnitedStates_none_none_161225&amp;utm_content=saletructiep_hocphiielts_PTAGTTD_LD253&amp;utm_campaign=UnitedStates.giaotiep.hocnline_Patado_SEA_HoaNT_161225</v>
      </c>
      <c r="U48" s="116"/>
    </row>
    <row r="49">
      <c r="A49" s="72">
        <v>46007.0</v>
      </c>
      <c r="B49" s="60" t="s">
        <v>1958</v>
      </c>
      <c r="C49" s="67" t="str">
        <f>IFERROR(__xludf.DUMMYFUNCTION("""COMPUTED_VALUE"""),"LD253")</f>
        <v>LD253</v>
      </c>
      <c r="D49" s="55" t="s">
        <v>188</v>
      </c>
      <c r="E49" s="55" t="s">
        <v>193</v>
      </c>
      <c r="F49" s="55" t="s">
        <v>107</v>
      </c>
      <c r="G49" s="55" t="s">
        <v>61</v>
      </c>
      <c r="H49" s="55" t="s">
        <v>1261</v>
      </c>
      <c r="I49" s="115" t="s">
        <v>1964</v>
      </c>
      <c r="J49" s="113" t="s">
        <v>1900</v>
      </c>
      <c r="K49" s="55" t="s">
        <v>61</v>
      </c>
      <c r="L49" s="55" t="s">
        <v>1130</v>
      </c>
      <c r="M49" s="55" t="s">
        <v>78</v>
      </c>
      <c r="N49" s="55" t="s">
        <v>193</v>
      </c>
      <c r="O49" s="55" t="s">
        <v>1768</v>
      </c>
      <c r="P49" s="55" t="s">
        <v>110</v>
      </c>
      <c r="Q49" s="117" t="str">
        <f>IFERROR(__xludf.DUMMYFUNCTION("""COMPUTED_VALUE"""),"UnitedStates.giaotiep.hocnline_Patado_SEA_HoaNT_161225")</f>
        <v>UnitedStates.giaotiep.hocnline_Patado_SEA_HoaNT_161225</v>
      </c>
      <c r="R49" s="117" t="str">
        <f>IFERROR(__xludf.DUMMYFUNCTION("""COMPUTED_VALUE"""),"NEW_UnitedStates_none_none_161225")</f>
        <v>NEW_UnitedStates_none_none_161225</v>
      </c>
      <c r="S49" s="67" t="str">
        <f>IFERROR(__xludf.DUMMYFUNCTION("""COMPUTED_VALUE"""),"saletructiep_khoahocgiaotiep_PTAGTTD_LD253")</f>
        <v>saletructiep_khoahocgiaotiep_PTAGTTD_LD253</v>
      </c>
      <c r="T49" s="107" t="str">
        <f>IFERROR(__xludf.DUMMYFUNCTION("""COMPUTED_VALUE"""),"https://patadovietnam.edu.vn/tieng-anh-giao-tiep-united-states/?utm_source=Google&amp;utm_medium=SEA&amp;utm_term=NEW_UnitedStates_none_none_161225&amp;utm_content=saletructiep_khoahocgiaotiep_PTAGTTD_LD253&amp;utm_campaign=UnitedStates.giaotiep.hocnline_Patado_SEA_HoaNT"&amp;"_161225")</f>
        <v>https://patadovietnam.edu.vn/tieng-anh-giao-tiep-united-states/?utm_source=Google&amp;utm_medium=SEA&amp;utm_term=NEW_UnitedStates_none_none_161225&amp;utm_content=saletructiep_khoahocgiaotiep_PTAGTTD_LD253&amp;utm_campaign=UnitedStates.giaotiep.hocnline_Patado_SEA_HoaNT_161225</v>
      </c>
      <c r="U49" s="116"/>
    </row>
    <row r="50">
      <c r="A50" s="72">
        <v>46007.0</v>
      </c>
      <c r="B50" s="60" t="s">
        <v>1958</v>
      </c>
      <c r="C50" s="67" t="str">
        <f>IFERROR(__xludf.DUMMYFUNCTION("""COMPUTED_VALUE"""),"LD253")</f>
        <v>LD253</v>
      </c>
      <c r="D50" s="55" t="s">
        <v>188</v>
      </c>
      <c r="E50" s="55" t="s">
        <v>193</v>
      </c>
      <c r="F50" s="55" t="s">
        <v>107</v>
      </c>
      <c r="G50" s="55" t="s">
        <v>61</v>
      </c>
      <c r="H50" s="55" t="s">
        <v>1261</v>
      </c>
      <c r="I50" s="115" t="s">
        <v>1964</v>
      </c>
      <c r="J50" s="113" t="s">
        <v>2027</v>
      </c>
      <c r="K50" s="55" t="s">
        <v>61</v>
      </c>
      <c r="L50" s="55" t="s">
        <v>1130</v>
      </c>
      <c r="M50" s="55" t="s">
        <v>78</v>
      </c>
      <c r="N50" s="55" t="s">
        <v>193</v>
      </c>
      <c r="O50" s="55" t="s">
        <v>1768</v>
      </c>
      <c r="P50" s="55" t="s">
        <v>110</v>
      </c>
      <c r="Q50" s="117" t="str">
        <f>IFERROR(__xludf.DUMMYFUNCTION("""COMPUTED_VALUE"""),"UnitedStates.giaotiep.hocnline_Patado_SEA_HoaNT_161225")</f>
        <v>UnitedStates.giaotiep.hocnline_Patado_SEA_HoaNT_161225</v>
      </c>
      <c r="R50" s="117" t="str">
        <f>IFERROR(__xludf.DUMMYFUNCTION("""COMPUTED_VALUE"""),"NEW_UnitedStates_none_none_161225")</f>
        <v>NEW_UnitedStates_none_none_161225</v>
      </c>
      <c r="S50" s="67" t="str">
        <f>IFERROR(__xludf.DUMMYFUNCTION("""COMPUTED_VALUE"""),"saletructiep_khoahocmatgoc_PTAGTTD_LD253")</f>
        <v>saletructiep_khoahocmatgoc_PTAGTTD_LD253</v>
      </c>
      <c r="T50" s="107" t="str">
        <f>IFERROR(__xludf.DUMMYFUNCTION("""COMPUTED_VALUE"""),"https://patadovietnam.edu.vn/tieng-anh-giao-tiep-united-states/?utm_source=Google&amp;utm_medium=SEA&amp;utm_term=NEW_UnitedStates_none_none_161225&amp;utm_content=saletructiep_khoahocmatgoc_PTAGTTD_LD253&amp;utm_campaign=UnitedStates.giaotiep.hocnline_Patado_SEA_HoaNT_1"&amp;"61225")</f>
        <v>https://patadovietnam.edu.vn/tieng-anh-giao-tiep-united-states/?utm_source=Google&amp;utm_medium=SEA&amp;utm_term=NEW_UnitedStates_none_none_161225&amp;utm_content=saletructiep_khoahocmatgoc_PTAGTTD_LD253&amp;utm_campaign=UnitedStates.giaotiep.hocnline_Patado_SEA_HoaNT_161225</v>
      </c>
      <c r="U50" s="116"/>
    </row>
    <row r="51">
      <c r="A51" s="72">
        <v>46007.0</v>
      </c>
      <c r="B51" s="60" t="s">
        <v>1958</v>
      </c>
      <c r="C51" s="67" t="str">
        <f>IFERROR(__xludf.DUMMYFUNCTION("""COMPUTED_VALUE"""),"LD253")</f>
        <v>LD253</v>
      </c>
      <c r="D51" s="55" t="s">
        <v>188</v>
      </c>
      <c r="E51" s="55" t="s">
        <v>193</v>
      </c>
      <c r="F51" s="55" t="s">
        <v>107</v>
      </c>
      <c r="G51" s="55" t="s">
        <v>61</v>
      </c>
      <c r="H51" s="55" t="s">
        <v>1261</v>
      </c>
      <c r="I51" s="115" t="s">
        <v>1964</v>
      </c>
      <c r="J51" s="113" t="s">
        <v>2035</v>
      </c>
      <c r="K51" s="55" t="s">
        <v>61</v>
      </c>
      <c r="L51" s="55" t="s">
        <v>1130</v>
      </c>
      <c r="M51" s="55" t="s">
        <v>78</v>
      </c>
      <c r="N51" s="55" t="s">
        <v>193</v>
      </c>
      <c r="O51" s="55" t="s">
        <v>1768</v>
      </c>
      <c r="P51" s="55" t="s">
        <v>110</v>
      </c>
      <c r="Q51" s="67" t="str">
        <f>IFERROR(__xludf.DUMMYFUNCTION("""COMPUTED_VALUE"""),"UnitedStates.giaotiep.hocnline_Patado_SEA_HoaNT_161225")</f>
        <v>UnitedStates.giaotiep.hocnline_Patado_SEA_HoaNT_161225</v>
      </c>
      <c r="R51" s="67" t="str">
        <f>IFERROR(__xludf.DUMMYFUNCTION("""COMPUTED_VALUE"""),"NEW_UnitedStates_none_none_161225")</f>
        <v>NEW_UnitedStates_none_none_161225</v>
      </c>
      <c r="S51" s="67" t="str">
        <f>IFERROR(__xludf.DUMMYFUNCTION("""COMPUTED_VALUE"""),"saletructiep_giaotiepngdilam_PTAGTTD_LD253")</f>
        <v>saletructiep_giaotiepngdilam_PTAGTTD_LD253</v>
      </c>
      <c r="T51" s="107" t="str">
        <f>IFERROR(__xludf.DUMMYFUNCTION("""COMPUTED_VALUE"""),"https://patadovietnam.edu.vn/tieng-anh-giao-tiep-united-states/?utm_source=Google&amp;utm_medium=SEA&amp;utm_term=NEW_UnitedStates_none_none_161225&amp;utm_content=saletructiep_giaotiepngdilam_PTAGTTD_LD253&amp;utm_campaign=UnitedStates.giaotiep.hocnline_Patado_SEA_HoaNT"&amp;"_161225")</f>
        <v>https://patadovietnam.edu.vn/tieng-anh-giao-tiep-united-states/?utm_source=Google&amp;utm_medium=SEA&amp;utm_term=NEW_UnitedStates_none_none_161225&amp;utm_content=saletructiep_giaotiepngdilam_PTAGTTD_LD253&amp;utm_campaign=UnitedStates.giaotiep.hocnline_Patado_SEA_HoaNT_161225</v>
      </c>
      <c r="U51" s="116"/>
    </row>
    <row r="52">
      <c r="A52" s="72">
        <v>46007.0</v>
      </c>
      <c r="B52" s="60" t="s">
        <v>1958</v>
      </c>
      <c r="C52" s="67" t="str">
        <f>IFERROR(__xludf.DUMMYFUNCTION("""COMPUTED_VALUE"""),"LD253")</f>
        <v>LD253</v>
      </c>
      <c r="D52" s="55" t="s">
        <v>188</v>
      </c>
      <c r="E52" s="55" t="s">
        <v>193</v>
      </c>
      <c r="F52" s="55" t="s">
        <v>107</v>
      </c>
      <c r="G52" s="55" t="s">
        <v>61</v>
      </c>
      <c r="H52" s="55" t="s">
        <v>1261</v>
      </c>
      <c r="I52" s="115" t="s">
        <v>1964</v>
      </c>
      <c r="J52" s="113" t="s">
        <v>2043</v>
      </c>
      <c r="K52" s="55" t="s">
        <v>61</v>
      </c>
      <c r="L52" s="55" t="s">
        <v>1130</v>
      </c>
      <c r="M52" s="55" t="s">
        <v>78</v>
      </c>
      <c r="N52" s="55" t="s">
        <v>193</v>
      </c>
      <c r="O52" s="55" t="s">
        <v>1768</v>
      </c>
      <c r="P52" s="55" t="s">
        <v>110</v>
      </c>
      <c r="Q52" s="67" t="str">
        <f>IFERROR(__xludf.DUMMYFUNCTION("""COMPUTED_VALUE"""),"UnitedStates.giaotiep.hocnline_Patado_SEA_HoaNT_161225")</f>
        <v>UnitedStates.giaotiep.hocnline_Patado_SEA_HoaNT_161225</v>
      </c>
      <c r="R52" s="67" t="str">
        <f>IFERROR(__xludf.DUMMYFUNCTION("""COMPUTED_VALUE"""),"NEW_UnitedStates_none_none_161225")</f>
        <v>NEW_UnitedStates_none_none_161225</v>
      </c>
      <c r="S52" s="67" t="str">
        <f>IFERROR(__xludf.DUMMYFUNCTION("""COMPUTED_VALUE"""),"saletructiep_toiec_PTAGTTD_LD253")</f>
        <v>saletructiep_toiec_PTAGTTD_LD253</v>
      </c>
      <c r="T52" s="107" t="str">
        <f>IFERROR(__xludf.DUMMYFUNCTION("""COMPUTED_VALUE"""),"https://patadovietnam.edu.vn/tieng-anh-giao-tiep-united-states/?utm_source=Google&amp;utm_medium=SEA&amp;utm_term=NEW_UnitedStates_none_none_161225&amp;utm_content=saletructiep_toiec_PTAGTTD_LD253&amp;utm_campaign=UnitedStates.giaotiep.hocnline_Patado_SEA_HoaNT_161225")</f>
        <v>https://patadovietnam.edu.vn/tieng-anh-giao-tiep-united-states/?utm_source=Google&amp;utm_medium=SEA&amp;utm_term=NEW_UnitedStates_none_none_161225&amp;utm_content=saletructiep_toiec_PTAGTTD_LD253&amp;utm_campaign=UnitedStates.giaotiep.hocnline_Patado_SEA_HoaNT_161225</v>
      </c>
      <c r="U52" s="116"/>
    </row>
    <row r="53">
      <c r="A53" s="72">
        <v>46012.0</v>
      </c>
      <c r="B53" s="60" t="s">
        <v>2048</v>
      </c>
      <c r="C53" s="67" t="str">
        <f>IFERROR(__xludf.DUMMYFUNCTION("""COMPUTED_VALUE"""),"LD254")</f>
        <v>LD254</v>
      </c>
      <c r="D53" s="55" t="s">
        <v>188</v>
      </c>
      <c r="E53" s="55" t="s">
        <v>193</v>
      </c>
      <c r="F53" s="55" t="s">
        <v>539</v>
      </c>
      <c r="G53" s="55" t="s">
        <v>61</v>
      </c>
      <c r="H53" s="55" t="s">
        <v>1261</v>
      </c>
      <c r="I53" s="115" t="s">
        <v>2053</v>
      </c>
      <c r="J53" s="113" t="s">
        <v>57</v>
      </c>
      <c r="K53" s="55" t="s">
        <v>61</v>
      </c>
      <c r="L53" s="55" t="s">
        <v>1130</v>
      </c>
      <c r="M53" s="55" t="s">
        <v>78</v>
      </c>
      <c r="N53" s="55" t="s">
        <v>193</v>
      </c>
      <c r="O53" s="55" t="s">
        <v>1768</v>
      </c>
      <c r="P53" s="55" t="s">
        <v>110</v>
      </c>
      <c r="Q53" s="67" t="str">
        <f>IFERROR(__xludf.DUMMYFUNCTION("""COMPUTED_VALUE"""),"ALL.giaotiep.englishonline_Patado_SEA_HoaNT_211225")</f>
        <v>ALL.giaotiep.englishonline_Patado_SEA_HoaNT_211225</v>
      </c>
      <c r="R53" s="67" t="str">
        <f>IFERROR(__xludf.DUMMYFUNCTION("""COMPUTED_VALUE"""),"NEW_ALL_none_none_211225")</f>
        <v>NEW_ALL_none_none_211225</v>
      </c>
      <c r="S53" s="67" t="str">
        <f>IFERROR(__xludf.DUMMYFUNCTION("""COMPUTED_VALUE"""),"saletructiep_hocielts_PTAGTTD_LD254")</f>
        <v>saletructiep_hocielts_PTAGTTD_LD254</v>
      </c>
      <c r="T53" s="107" t="str">
        <f>IFERROR(__xludf.DUMMYFUNCTION("""COMPUTED_VALUE"""),"https://patadovietnam.edu.vn/tieng-anh-giao-tiep-toan-dien-all/?utm_source=Google&amp;utm_medium=SEA&amp;utm_term=NEW_ALL_none_none_211225&amp;utm_content=saletructiep_hocielts_PTAGTTD_LD254&amp;utm_campaign=ALL.giaotiep.englishonline_Patado_SEA_HoaNT_211225")</f>
        <v>https://patadovietnam.edu.vn/tieng-anh-giao-tiep-toan-dien-all/?utm_source=Google&amp;utm_medium=SEA&amp;utm_term=NEW_ALL_none_none_211225&amp;utm_content=saletructiep_hocielts_PTAGTTD_LD254&amp;utm_campaign=ALL.giaotiep.englishonline_Patado_SEA_HoaNT_211225</v>
      </c>
      <c r="U53" s="116"/>
    </row>
    <row r="54">
      <c r="A54" s="72">
        <v>46012.0</v>
      </c>
      <c r="B54" s="60" t="s">
        <v>2048</v>
      </c>
      <c r="C54" s="67" t="str">
        <f>IFERROR(__xludf.DUMMYFUNCTION("""COMPUTED_VALUE"""),"LD254")</f>
        <v>LD254</v>
      </c>
      <c r="D54" s="55" t="s">
        <v>188</v>
      </c>
      <c r="E54" s="55" t="s">
        <v>193</v>
      </c>
      <c r="F54" s="55" t="s">
        <v>539</v>
      </c>
      <c r="G54" s="55" t="s">
        <v>61</v>
      </c>
      <c r="H54" s="55" t="s">
        <v>1261</v>
      </c>
      <c r="I54" s="115" t="s">
        <v>2053</v>
      </c>
      <c r="J54" s="113" t="s">
        <v>1970</v>
      </c>
      <c r="K54" s="55" t="s">
        <v>61</v>
      </c>
      <c r="L54" s="55" t="s">
        <v>1130</v>
      </c>
      <c r="M54" s="55" t="s">
        <v>78</v>
      </c>
      <c r="N54" s="55" t="s">
        <v>193</v>
      </c>
      <c r="O54" s="55" t="s">
        <v>1768</v>
      </c>
      <c r="P54" s="55" t="s">
        <v>110</v>
      </c>
      <c r="Q54" s="67" t="str">
        <f>IFERROR(__xludf.DUMMYFUNCTION("""COMPUTED_VALUE"""),"ALL.giaotiep.englishonline_Patado_SEA_HoaNT_211225")</f>
        <v>ALL.giaotiep.englishonline_Patado_SEA_HoaNT_211225</v>
      </c>
      <c r="R54" s="67" t="str">
        <f>IFERROR(__xludf.DUMMYFUNCTION("""COMPUTED_VALUE"""),"NEW_ALL_none_none_211225")</f>
        <v>NEW_ALL_none_none_211225</v>
      </c>
      <c r="S54" s="67" t="str">
        <f>IFERROR(__xludf.DUMMYFUNCTION("""COMPUTED_VALUE"""),"saletructiep_ieltsonline_PTAGTTD_LD254")</f>
        <v>saletructiep_ieltsonline_PTAGTTD_LD254</v>
      </c>
      <c r="T54" s="107" t="str">
        <f>IFERROR(__xludf.DUMMYFUNCTION("""COMPUTED_VALUE"""),"https://patadovietnam.edu.vn/tieng-anh-giao-tiep-toan-dien-all/?utm_source=Google&amp;utm_medium=SEA&amp;utm_term=NEW_ALL_none_none_211225&amp;utm_content=saletructiep_ieltsonline_PTAGTTD_LD254&amp;utm_campaign=ALL.giaotiep.englishonline_Patado_SEA_HoaNT_211225")</f>
        <v>https://patadovietnam.edu.vn/tieng-anh-giao-tiep-toan-dien-all/?utm_source=Google&amp;utm_medium=SEA&amp;utm_term=NEW_ALL_none_none_211225&amp;utm_content=saletructiep_ieltsonline_PTAGTTD_LD254&amp;utm_campaign=ALL.giaotiep.englishonline_Patado_SEA_HoaNT_211225</v>
      </c>
      <c r="U54" s="116"/>
    </row>
    <row r="55">
      <c r="A55" s="72">
        <v>46012.0</v>
      </c>
      <c r="B55" s="60" t="s">
        <v>2048</v>
      </c>
      <c r="C55" s="67" t="str">
        <f>IFERROR(__xludf.DUMMYFUNCTION("""COMPUTED_VALUE"""),"LD254")</f>
        <v>LD254</v>
      </c>
      <c r="D55" s="55" t="s">
        <v>188</v>
      </c>
      <c r="E55" s="55" t="s">
        <v>193</v>
      </c>
      <c r="F55" s="55" t="s">
        <v>539</v>
      </c>
      <c r="G55" s="55" t="s">
        <v>61</v>
      </c>
      <c r="H55" s="55" t="s">
        <v>1261</v>
      </c>
      <c r="I55" s="115" t="s">
        <v>2053</v>
      </c>
      <c r="J55" s="113" t="s">
        <v>1976</v>
      </c>
      <c r="K55" s="55" t="s">
        <v>61</v>
      </c>
      <c r="L55" s="55" t="s">
        <v>1130</v>
      </c>
      <c r="M55" s="55" t="s">
        <v>78</v>
      </c>
      <c r="N55" s="55" t="s">
        <v>193</v>
      </c>
      <c r="O55" s="55" t="s">
        <v>1768</v>
      </c>
      <c r="P55" s="55" t="s">
        <v>110</v>
      </c>
      <c r="Q55" s="67" t="str">
        <f>IFERROR(__xludf.DUMMYFUNCTION("""COMPUTED_VALUE"""),"ALL.giaotiep.englishonline_Patado_SEA_HoaNT_211225")</f>
        <v>ALL.giaotiep.englishonline_Patado_SEA_HoaNT_211225</v>
      </c>
      <c r="R55" s="67" t="str">
        <f>IFERROR(__xludf.DUMMYFUNCTION("""COMPUTED_VALUE"""),"NEW_ALL_none_none_211225")</f>
        <v>NEW_ALL_none_none_211225</v>
      </c>
      <c r="S55" s="67" t="str">
        <f>IFERROR(__xludf.DUMMYFUNCTION("""COMPUTED_VALUE"""),"saletructiep_ieltsmatgoc_PTAGTTD_LD254")</f>
        <v>saletructiep_ieltsmatgoc_PTAGTTD_LD254</v>
      </c>
      <c r="T55" s="107" t="str">
        <f>IFERROR(__xludf.DUMMYFUNCTION("""COMPUTED_VALUE"""),"https://patadovietnam.edu.vn/tieng-anh-giao-tiep-toan-dien-all/?utm_source=Google&amp;utm_medium=SEA&amp;utm_term=NEW_ALL_none_none_211225&amp;utm_content=saletructiep_ieltsmatgoc_PTAGTTD_LD254&amp;utm_campaign=ALL.giaotiep.englishonline_Patado_SEA_HoaNT_211225")</f>
        <v>https://patadovietnam.edu.vn/tieng-anh-giao-tiep-toan-dien-all/?utm_source=Google&amp;utm_medium=SEA&amp;utm_term=NEW_ALL_none_none_211225&amp;utm_content=saletructiep_ieltsmatgoc_PTAGTTD_LD254&amp;utm_campaign=ALL.giaotiep.englishonline_Patado_SEA_HoaNT_211225</v>
      </c>
      <c r="U55" s="116"/>
    </row>
    <row r="56">
      <c r="A56" s="72">
        <v>46012.0</v>
      </c>
      <c r="B56" s="60" t="s">
        <v>2048</v>
      </c>
      <c r="C56" s="67" t="str">
        <f>IFERROR(__xludf.DUMMYFUNCTION("""COMPUTED_VALUE"""),"LD254")</f>
        <v>LD254</v>
      </c>
      <c r="D56" s="55" t="s">
        <v>188</v>
      </c>
      <c r="E56" s="55" t="s">
        <v>193</v>
      </c>
      <c r="F56" s="55" t="s">
        <v>539</v>
      </c>
      <c r="G56" s="55" t="s">
        <v>61</v>
      </c>
      <c r="H56" s="55" t="s">
        <v>1261</v>
      </c>
      <c r="I56" s="115" t="s">
        <v>2053</v>
      </c>
      <c r="J56" s="113" t="s">
        <v>1982</v>
      </c>
      <c r="K56" s="55" t="s">
        <v>61</v>
      </c>
      <c r="L56" s="55" t="s">
        <v>1130</v>
      </c>
      <c r="M56" s="55" t="s">
        <v>78</v>
      </c>
      <c r="N56" s="55" t="s">
        <v>193</v>
      </c>
      <c r="O56" s="55" t="s">
        <v>1768</v>
      </c>
      <c r="P56" s="55" t="s">
        <v>110</v>
      </c>
      <c r="Q56" s="84" t="str">
        <f>IFERROR(__xludf.DUMMYFUNCTION("""COMPUTED_VALUE"""),"ALL.giaotiep.englishonline_Patado_SEA_HoaNT_211225")</f>
        <v>ALL.giaotiep.englishonline_Patado_SEA_HoaNT_211225</v>
      </c>
      <c r="R56" s="84" t="str">
        <f>IFERROR(__xludf.DUMMYFUNCTION("""COMPUTED_VALUE"""),"NEW_ALL_none_none_211225")</f>
        <v>NEW_ALL_none_none_211225</v>
      </c>
      <c r="S56" s="67" t="str">
        <f>IFERROR(__xludf.DUMMYFUNCTION("""COMPUTED_VALUE"""),"saletructiep_luyenthiielts_PTAGTTD_LD254")</f>
        <v>saletructiep_luyenthiielts_PTAGTTD_LD254</v>
      </c>
      <c r="T56" s="107" t="str">
        <f>IFERROR(__xludf.DUMMYFUNCTION("""COMPUTED_VALUE"""),"https://patadovietnam.edu.vn/tieng-anh-giao-tiep-toan-dien-all/?utm_source=Google&amp;utm_medium=SEA&amp;utm_term=NEW_ALL_none_none_211225&amp;utm_content=saletructiep_luyenthiielts_PTAGTTD_LD254&amp;utm_campaign=ALL.giaotiep.englishonline_Patado_SEA_HoaNT_211225")</f>
        <v>https://patadovietnam.edu.vn/tieng-anh-giao-tiep-toan-dien-all/?utm_source=Google&amp;utm_medium=SEA&amp;utm_term=NEW_ALL_none_none_211225&amp;utm_content=saletructiep_luyenthiielts_PTAGTTD_LD254&amp;utm_campaign=ALL.giaotiep.englishonline_Patado_SEA_HoaNT_211225</v>
      </c>
      <c r="U56" s="116"/>
    </row>
    <row r="57">
      <c r="A57" s="72">
        <v>46012.0</v>
      </c>
      <c r="B57" s="60" t="s">
        <v>2048</v>
      </c>
      <c r="C57" s="67" t="str">
        <f>IFERROR(__xludf.DUMMYFUNCTION("""COMPUTED_VALUE"""),"LD254")</f>
        <v>LD254</v>
      </c>
      <c r="D57" s="55" t="s">
        <v>188</v>
      </c>
      <c r="E57" s="55" t="s">
        <v>193</v>
      </c>
      <c r="F57" s="55" t="s">
        <v>539</v>
      </c>
      <c r="G57" s="55" t="s">
        <v>61</v>
      </c>
      <c r="H57" s="55" t="s">
        <v>1261</v>
      </c>
      <c r="I57" s="115" t="s">
        <v>2053</v>
      </c>
      <c r="J57" s="113" t="s">
        <v>1989</v>
      </c>
      <c r="K57" s="55" t="s">
        <v>61</v>
      </c>
      <c r="L57" s="55" t="s">
        <v>1130</v>
      </c>
      <c r="M57" s="55" t="s">
        <v>78</v>
      </c>
      <c r="N57" s="55" t="s">
        <v>193</v>
      </c>
      <c r="O57" s="55" t="s">
        <v>1768</v>
      </c>
      <c r="P57" s="55" t="s">
        <v>110</v>
      </c>
      <c r="Q57" s="84" t="str">
        <f>IFERROR(__xludf.DUMMYFUNCTION("""COMPUTED_VALUE"""),"ALL.giaotiep.englishonline_Patado_SEA_HoaNT_211225")</f>
        <v>ALL.giaotiep.englishonline_Patado_SEA_HoaNT_211225</v>
      </c>
      <c r="R57" s="67" t="str">
        <f>IFERROR(__xludf.DUMMYFUNCTION("""COMPUTED_VALUE"""),"NEW_ALL_none_none_211225")</f>
        <v>NEW_ALL_none_none_211225</v>
      </c>
      <c r="S57" s="67" t="str">
        <f>IFERROR(__xludf.DUMMYFUNCTION("""COMPUTED_VALUE"""),"saletructiep_lotrinhielts_PTAGTTD_LD254")</f>
        <v>saletructiep_lotrinhielts_PTAGTTD_LD254</v>
      </c>
      <c r="T57" s="107" t="str">
        <f>IFERROR(__xludf.DUMMYFUNCTION("""COMPUTED_VALUE"""),"https://patadovietnam.edu.vn/tieng-anh-giao-tiep-toan-dien-all/?utm_source=Google&amp;utm_medium=SEA&amp;utm_term=NEW_ALL_none_none_211225&amp;utm_content=saletructiep_lotrinhielts_PTAGTTD_LD254&amp;utm_campaign=ALL.giaotiep.englishonline_Patado_SEA_HoaNT_211225")</f>
        <v>https://patadovietnam.edu.vn/tieng-anh-giao-tiep-toan-dien-all/?utm_source=Google&amp;utm_medium=SEA&amp;utm_term=NEW_ALL_none_none_211225&amp;utm_content=saletructiep_lotrinhielts_PTAGTTD_LD254&amp;utm_campaign=ALL.giaotiep.englishonline_Patado_SEA_HoaNT_211225</v>
      </c>
      <c r="U57" s="116"/>
    </row>
    <row r="58">
      <c r="A58" s="72">
        <v>46012.0</v>
      </c>
      <c r="B58" s="60" t="s">
        <v>2048</v>
      </c>
      <c r="C58" s="67" t="str">
        <f>IFERROR(__xludf.DUMMYFUNCTION("""COMPUTED_VALUE"""),"LD254")</f>
        <v>LD254</v>
      </c>
      <c r="D58" s="55" t="s">
        <v>188</v>
      </c>
      <c r="E58" s="55" t="s">
        <v>193</v>
      </c>
      <c r="F58" s="55" t="s">
        <v>539</v>
      </c>
      <c r="G58" s="55" t="s">
        <v>61</v>
      </c>
      <c r="H58" s="55" t="s">
        <v>1261</v>
      </c>
      <c r="I58" s="115" t="s">
        <v>2053</v>
      </c>
      <c r="J58" s="113" t="s">
        <v>1996</v>
      </c>
      <c r="K58" s="55" t="s">
        <v>61</v>
      </c>
      <c r="L58" s="55" t="s">
        <v>1130</v>
      </c>
      <c r="M58" s="55" t="s">
        <v>78</v>
      </c>
      <c r="N58" s="55" t="s">
        <v>193</v>
      </c>
      <c r="O58" s="55" t="s">
        <v>1768</v>
      </c>
      <c r="P58" s="55" t="s">
        <v>110</v>
      </c>
      <c r="Q58" s="84" t="str">
        <f>IFERROR(__xludf.DUMMYFUNCTION("""COMPUTED_VALUE"""),"ALL.giaotiep.englishonline_Patado_SEA_HoaNT_211225")</f>
        <v>ALL.giaotiep.englishonline_Patado_SEA_HoaNT_211225</v>
      </c>
      <c r="R58" s="84" t="str">
        <f>IFERROR(__xludf.DUMMYFUNCTION("""COMPUTED_VALUE"""),"NEW_ALL_none_none_211225")</f>
        <v>NEW_ALL_none_none_211225</v>
      </c>
      <c r="S58" s="67" t="str">
        <f>IFERROR(__xludf.DUMMYFUNCTION("""COMPUTED_VALUE"""),"saletructiep_ielts1kem1_PTAGTTD_LD254")</f>
        <v>saletructiep_ielts1kem1_PTAGTTD_LD254</v>
      </c>
      <c r="T58" s="107" t="str">
        <f>IFERROR(__xludf.DUMMYFUNCTION("""COMPUTED_VALUE"""),"https://patadovietnam.edu.vn/tieng-anh-giao-tiep-toan-dien-all/?utm_source=Google&amp;utm_medium=SEA&amp;utm_term=NEW_ALL_none_none_211225&amp;utm_content=saletructiep_ielts1kem1_PTAGTTD_LD254&amp;utm_campaign=ALL.giaotiep.englishonline_Patado_SEA_HoaNT_211225")</f>
        <v>https://patadovietnam.edu.vn/tieng-anh-giao-tiep-toan-dien-all/?utm_source=Google&amp;utm_medium=SEA&amp;utm_term=NEW_ALL_none_none_211225&amp;utm_content=saletructiep_ielts1kem1_PTAGTTD_LD254&amp;utm_campaign=ALL.giaotiep.englishonline_Patado_SEA_HoaNT_211225</v>
      </c>
      <c r="U58" s="116"/>
    </row>
    <row r="59">
      <c r="A59" s="72">
        <v>46012.0</v>
      </c>
      <c r="B59" s="60" t="s">
        <v>2048</v>
      </c>
      <c r="C59" s="67" t="str">
        <f>IFERROR(__xludf.DUMMYFUNCTION("""COMPUTED_VALUE"""),"LD254")</f>
        <v>LD254</v>
      </c>
      <c r="D59" s="55" t="s">
        <v>188</v>
      </c>
      <c r="E59" s="55" t="s">
        <v>193</v>
      </c>
      <c r="F59" s="55" t="s">
        <v>539</v>
      </c>
      <c r="G59" s="55" t="s">
        <v>61</v>
      </c>
      <c r="H59" s="55" t="s">
        <v>1261</v>
      </c>
      <c r="I59" s="115" t="s">
        <v>2053</v>
      </c>
      <c r="J59" s="113" t="s">
        <v>2001</v>
      </c>
      <c r="K59" s="55" t="s">
        <v>61</v>
      </c>
      <c r="L59" s="55" t="s">
        <v>1130</v>
      </c>
      <c r="M59" s="55" t="s">
        <v>78</v>
      </c>
      <c r="N59" s="55" t="s">
        <v>193</v>
      </c>
      <c r="O59" s="55" t="s">
        <v>1768</v>
      </c>
      <c r="P59" s="55" t="s">
        <v>110</v>
      </c>
      <c r="Q59" s="84" t="str">
        <f>IFERROR(__xludf.DUMMYFUNCTION("""COMPUTED_VALUE"""),"ALL.giaotiep.englishonline_Patado_SEA_HoaNT_211225")</f>
        <v>ALL.giaotiep.englishonline_Patado_SEA_HoaNT_211225</v>
      </c>
      <c r="R59" s="84" t="str">
        <f>IFERROR(__xludf.DUMMYFUNCTION("""COMPUTED_VALUE"""),"NEW_ALL_none_none_211225")</f>
        <v>NEW_ALL_none_none_211225</v>
      </c>
      <c r="S59" s="67" t="str">
        <f>IFERROR(__xludf.DUMMYFUNCTION("""COMPUTED_VALUE"""),"saletructiep_khoahocielts_PTAGTTD_LD254")</f>
        <v>saletructiep_khoahocielts_PTAGTTD_LD254</v>
      </c>
      <c r="T59" s="107" t="str">
        <f>IFERROR(__xludf.DUMMYFUNCTION("""COMPUTED_VALUE"""),"https://patadovietnam.edu.vn/tieng-anh-giao-tiep-toan-dien-all/?utm_source=Google&amp;utm_medium=SEA&amp;utm_term=NEW_ALL_none_none_211225&amp;utm_content=saletructiep_khoahocielts_PTAGTTD_LD254&amp;utm_campaign=ALL.giaotiep.englishonline_Patado_SEA_HoaNT_211225")</f>
        <v>https://patadovietnam.edu.vn/tieng-anh-giao-tiep-toan-dien-all/?utm_source=Google&amp;utm_medium=SEA&amp;utm_term=NEW_ALL_none_none_211225&amp;utm_content=saletructiep_khoahocielts_PTAGTTD_LD254&amp;utm_campaign=ALL.giaotiep.englishonline_Patado_SEA_HoaNT_211225</v>
      </c>
      <c r="U59" s="116"/>
    </row>
    <row r="60">
      <c r="A60" s="72">
        <v>46012.0</v>
      </c>
      <c r="B60" s="60" t="s">
        <v>2048</v>
      </c>
      <c r="C60" s="67" t="str">
        <f>IFERROR(__xludf.DUMMYFUNCTION("""COMPUTED_VALUE"""),"LD254")</f>
        <v>LD254</v>
      </c>
      <c r="D60" s="55" t="s">
        <v>188</v>
      </c>
      <c r="E60" s="55" t="s">
        <v>193</v>
      </c>
      <c r="F60" s="55" t="s">
        <v>539</v>
      </c>
      <c r="G60" s="55" t="s">
        <v>61</v>
      </c>
      <c r="H60" s="55" t="s">
        <v>1261</v>
      </c>
      <c r="I60" s="115" t="s">
        <v>2053</v>
      </c>
      <c r="J60" s="113" t="s">
        <v>2006</v>
      </c>
      <c r="K60" s="55" t="s">
        <v>61</v>
      </c>
      <c r="L60" s="55" t="s">
        <v>1130</v>
      </c>
      <c r="M60" s="55" t="s">
        <v>78</v>
      </c>
      <c r="N60" s="55" t="s">
        <v>193</v>
      </c>
      <c r="O60" s="55" t="s">
        <v>1768</v>
      </c>
      <c r="P60" s="55" t="s">
        <v>110</v>
      </c>
      <c r="Q60" s="67" t="str">
        <f>IFERROR(__xludf.DUMMYFUNCTION("""COMPUTED_VALUE"""),"ALL.giaotiep.englishonline_Patado_SEA_HoaNT_211225")</f>
        <v>ALL.giaotiep.englishonline_Patado_SEA_HoaNT_211225</v>
      </c>
      <c r="R60" s="67" t="str">
        <f>IFERROR(__xludf.DUMMYFUNCTION("""COMPUTED_VALUE"""),"NEW_ALL_none_none_211225")</f>
        <v>NEW_ALL_none_none_211225</v>
      </c>
      <c r="S60" s="67" t="str">
        <f>IFERROR(__xludf.DUMMYFUNCTION("""COMPUTED_VALUE"""),"saletructiep_lophocielts_PTAGTTD_LD254")</f>
        <v>saletructiep_lophocielts_PTAGTTD_LD254</v>
      </c>
      <c r="T60" s="107" t="str">
        <f>IFERROR(__xludf.DUMMYFUNCTION("""COMPUTED_VALUE"""),"https://patadovietnam.edu.vn/tieng-anh-giao-tiep-toan-dien-all/?utm_source=Google&amp;utm_medium=SEA&amp;utm_term=NEW_ALL_none_none_211225&amp;utm_content=saletructiep_lophocielts_PTAGTTD_LD254&amp;utm_campaign=ALL.giaotiep.englishonline_Patado_SEA_HoaNT_211225")</f>
        <v>https://patadovietnam.edu.vn/tieng-anh-giao-tiep-toan-dien-all/?utm_source=Google&amp;utm_medium=SEA&amp;utm_term=NEW_ALL_none_none_211225&amp;utm_content=saletructiep_lophocielts_PTAGTTD_LD254&amp;utm_campaign=ALL.giaotiep.englishonline_Patado_SEA_HoaNT_211225</v>
      </c>
      <c r="U60" s="116"/>
    </row>
    <row r="61">
      <c r="A61" s="72">
        <v>46012.0</v>
      </c>
      <c r="B61" s="60" t="s">
        <v>2048</v>
      </c>
      <c r="C61" s="67" t="str">
        <f>IFERROR(__xludf.DUMMYFUNCTION("""COMPUTED_VALUE"""),"LD254")</f>
        <v>LD254</v>
      </c>
      <c r="D61" s="55" t="s">
        <v>188</v>
      </c>
      <c r="E61" s="55" t="s">
        <v>193</v>
      </c>
      <c r="F61" s="55" t="s">
        <v>539</v>
      </c>
      <c r="G61" s="55" t="s">
        <v>61</v>
      </c>
      <c r="H61" s="55" t="s">
        <v>1261</v>
      </c>
      <c r="I61" s="115" t="s">
        <v>2053</v>
      </c>
      <c r="J61" s="113" t="s">
        <v>2010</v>
      </c>
      <c r="K61" s="55" t="s">
        <v>61</v>
      </c>
      <c r="L61" s="55" t="s">
        <v>1130</v>
      </c>
      <c r="M61" s="55" t="s">
        <v>78</v>
      </c>
      <c r="N61" s="55" t="s">
        <v>193</v>
      </c>
      <c r="O61" s="55" t="s">
        <v>1768</v>
      </c>
      <c r="P61" s="55" t="s">
        <v>110</v>
      </c>
      <c r="Q61" s="84" t="str">
        <f>IFERROR(__xludf.DUMMYFUNCTION("""COMPUTED_VALUE"""),"ALL.giaotiep.englishonline_Patado_SEA_HoaNT_211225")</f>
        <v>ALL.giaotiep.englishonline_Patado_SEA_HoaNT_211225</v>
      </c>
      <c r="R61" s="67" t="str">
        <f>IFERROR(__xludf.DUMMYFUNCTION("""COMPUTED_VALUE"""),"NEW_ALL_none_none_211225")</f>
        <v>NEW_ALL_none_none_211225</v>
      </c>
      <c r="S61" s="67" t="str">
        <f>IFERROR(__xludf.DUMMYFUNCTION("""COMPUTED_VALUE"""),"saletructiep_trungtamluyenielts_PTAGTTD_LD254")</f>
        <v>saletructiep_trungtamluyenielts_PTAGTTD_LD254</v>
      </c>
      <c r="T61" s="107" t="str">
        <f>IFERROR(__xludf.DUMMYFUNCTION("""COMPUTED_VALUE"""),"https://patadovietnam.edu.vn/tieng-anh-giao-tiep-toan-dien-all/?utm_source=Google&amp;utm_medium=SEA&amp;utm_term=NEW_ALL_none_none_211225&amp;utm_content=saletructiep_trungtamluyenielts_PTAGTTD_LD254&amp;utm_campaign=ALL.giaotiep.englishonline_Patado_SEA_HoaNT_211225")</f>
        <v>https://patadovietnam.edu.vn/tieng-anh-giao-tiep-toan-dien-all/?utm_source=Google&amp;utm_medium=SEA&amp;utm_term=NEW_ALL_none_none_211225&amp;utm_content=saletructiep_trungtamluyenielts_PTAGTTD_LD254&amp;utm_campaign=ALL.giaotiep.englishonline_Patado_SEA_HoaNT_211225</v>
      </c>
      <c r="U61" s="116"/>
    </row>
    <row r="62">
      <c r="A62" s="72">
        <v>46012.0</v>
      </c>
      <c r="B62" s="60" t="s">
        <v>2048</v>
      </c>
      <c r="C62" s="67" t="str">
        <f>IFERROR(__xludf.DUMMYFUNCTION("""COMPUTED_VALUE"""),"LD254")</f>
        <v>LD254</v>
      </c>
      <c r="D62" s="55" t="s">
        <v>188</v>
      </c>
      <c r="E62" s="55" t="s">
        <v>193</v>
      </c>
      <c r="F62" s="55" t="s">
        <v>539</v>
      </c>
      <c r="G62" s="55" t="s">
        <v>61</v>
      </c>
      <c r="H62" s="55" t="s">
        <v>1261</v>
      </c>
      <c r="I62" s="115" t="s">
        <v>2053</v>
      </c>
      <c r="J62" s="113" t="s">
        <v>2015</v>
      </c>
      <c r="K62" s="55" t="s">
        <v>61</v>
      </c>
      <c r="L62" s="55" t="s">
        <v>1130</v>
      </c>
      <c r="M62" s="55" t="s">
        <v>78</v>
      </c>
      <c r="N62" s="55" t="s">
        <v>193</v>
      </c>
      <c r="O62" s="55" t="s">
        <v>1768</v>
      </c>
      <c r="P62" s="55" t="s">
        <v>110</v>
      </c>
      <c r="Q62" s="84" t="str">
        <f>IFERROR(__xludf.DUMMYFUNCTION("""COMPUTED_VALUE"""),"ALL.giaotiep.englishonline_Patado_SEA_HoaNT_211225")</f>
        <v>ALL.giaotiep.englishonline_Patado_SEA_HoaNT_211225</v>
      </c>
      <c r="R62" s="67" t="str">
        <f>IFERROR(__xludf.DUMMYFUNCTION("""COMPUTED_VALUE"""),"NEW_ALL_none_none_211225")</f>
        <v>NEW_ALL_none_none_211225</v>
      </c>
      <c r="S62" s="67" t="str">
        <f>IFERROR(__xludf.DUMMYFUNCTION("""COMPUTED_VALUE"""),"saletructiep_hocphiielts_PTAGTTD_LD254")</f>
        <v>saletructiep_hocphiielts_PTAGTTD_LD254</v>
      </c>
      <c r="T62" s="107" t="str">
        <f>IFERROR(__xludf.DUMMYFUNCTION("""COMPUTED_VALUE"""),"https://patadovietnam.edu.vn/tieng-anh-giao-tiep-toan-dien-all/?utm_source=Google&amp;utm_medium=SEA&amp;utm_term=NEW_ALL_none_none_211225&amp;utm_content=saletructiep_hocphiielts_PTAGTTD_LD254&amp;utm_campaign=ALL.giaotiep.englishonline_Patado_SEA_HoaNT_211225")</f>
        <v>https://patadovietnam.edu.vn/tieng-anh-giao-tiep-toan-dien-all/?utm_source=Google&amp;utm_medium=SEA&amp;utm_term=NEW_ALL_none_none_211225&amp;utm_content=saletructiep_hocphiielts_PTAGTTD_LD254&amp;utm_campaign=ALL.giaotiep.englishonline_Patado_SEA_HoaNT_211225</v>
      </c>
      <c r="U62" s="116"/>
    </row>
    <row r="63">
      <c r="A63" s="72">
        <v>46012.0</v>
      </c>
      <c r="B63" s="60" t="s">
        <v>2048</v>
      </c>
      <c r="C63" s="67" t="str">
        <f>IFERROR(__xludf.DUMMYFUNCTION("""COMPUTED_VALUE"""),"LD254")</f>
        <v>LD254</v>
      </c>
      <c r="D63" s="55" t="s">
        <v>188</v>
      </c>
      <c r="E63" s="55" t="s">
        <v>193</v>
      </c>
      <c r="F63" s="55" t="s">
        <v>539</v>
      </c>
      <c r="G63" s="55" t="s">
        <v>61</v>
      </c>
      <c r="H63" s="55" t="s">
        <v>1261</v>
      </c>
      <c r="I63" s="115" t="s">
        <v>2053</v>
      </c>
      <c r="J63" s="113" t="s">
        <v>1900</v>
      </c>
      <c r="K63" s="55" t="s">
        <v>61</v>
      </c>
      <c r="L63" s="55" t="s">
        <v>1130</v>
      </c>
      <c r="M63" s="55" t="s">
        <v>78</v>
      </c>
      <c r="N63" s="55" t="s">
        <v>193</v>
      </c>
      <c r="O63" s="55" t="s">
        <v>1768</v>
      </c>
      <c r="P63" s="55" t="s">
        <v>110</v>
      </c>
      <c r="Q63" s="67" t="str">
        <f>IFERROR(__xludf.DUMMYFUNCTION("""COMPUTED_VALUE"""),"ALL.giaotiep.englishonline_Patado_SEA_HoaNT_211225")</f>
        <v>ALL.giaotiep.englishonline_Patado_SEA_HoaNT_211225</v>
      </c>
      <c r="R63" s="67" t="str">
        <f>IFERROR(__xludf.DUMMYFUNCTION("""COMPUTED_VALUE"""),"NEW_ALL_none_none_211225")</f>
        <v>NEW_ALL_none_none_211225</v>
      </c>
      <c r="S63" s="67" t="str">
        <f>IFERROR(__xludf.DUMMYFUNCTION("""COMPUTED_VALUE"""),"saletructiep_khoahocgiaotiep_PTAGTTD_LD254")</f>
        <v>saletructiep_khoahocgiaotiep_PTAGTTD_LD254</v>
      </c>
      <c r="T63" s="107" t="str">
        <f>IFERROR(__xludf.DUMMYFUNCTION("""COMPUTED_VALUE"""),"https://patadovietnam.edu.vn/tieng-anh-giao-tiep-toan-dien-all/?utm_source=Google&amp;utm_medium=SEA&amp;utm_term=NEW_ALL_none_none_211225&amp;utm_content=saletructiep_khoahocgiaotiep_PTAGTTD_LD254&amp;utm_campaign=ALL.giaotiep.englishonline_Patado_SEA_HoaNT_211225")</f>
        <v>https://patadovietnam.edu.vn/tieng-anh-giao-tiep-toan-dien-all/?utm_source=Google&amp;utm_medium=SEA&amp;utm_term=NEW_ALL_none_none_211225&amp;utm_content=saletructiep_khoahocgiaotiep_PTAGTTD_LD254&amp;utm_campaign=ALL.giaotiep.englishonline_Patado_SEA_HoaNT_211225</v>
      </c>
      <c r="U63" s="116"/>
    </row>
    <row r="64">
      <c r="A64" s="72">
        <v>46012.0</v>
      </c>
      <c r="B64" s="60" t="s">
        <v>2048</v>
      </c>
      <c r="C64" s="67" t="str">
        <f>IFERROR(__xludf.DUMMYFUNCTION("""COMPUTED_VALUE"""),"LD254")</f>
        <v>LD254</v>
      </c>
      <c r="D64" s="55" t="s">
        <v>188</v>
      </c>
      <c r="E64" s="55" t="s">
        <v>193</v>
      </c>
      <c r="F64" s="55" t="s">
        <v>539</v>
      </c>
      <c r="G64" s="55" t="s">
        <v>61</v>
      </c>
      <c r="H64" s="55" t="s">
        <v>1261</v>
      </c>
      <c r="I64" s="115" t="s">
        <v>2053</v>
      </c>
      <c r="J64" s="113" t="s">
        <v>2027</v>
      </c>
      <c r="K64" s="55" t="s">
        <v>61</v>
      </c>
      <c r="L64" s="55" t="s">
        <v>1130</v>
      </c>
      <c r="M64" s="55" t="s">
        <v>78</v>
      </c>
      <c r="N64" s="55" t="s">
        <v>193</v>
      </c>
      <c r="O64" s="55" t="s">
        <v>1768</v>
      </c>
      <c r="P64" s="55" t="s">
        <v>110</v>
      </c>
      <c r="Q64" s="67" t="str">
        <f>IFERROR(__xludf.DUMMYFUNCTION("""COMPUTED_VALUE"""),"ALL.giaotiep.englishonline_Patado_SEA_HoaNT_211225")</f>
        <v>ALL.giaotiep.englishonline_Patado_SEA_HoaNT_211225</v>
      </c>
      <c r="R64" s="67" t="str">
        <f>IFERROR(__xludf.DUMMYFUNCTION("""COMPUTED_VALUE"""),"NEW_ALL_none_none_211225")</f>
        <v>NEW_ALL_none_none_211225</v>
      </c>
      <c r="S64" s="67" t="str">
        <f>IFERROR(__xludf.DUMMYFUNCTION("""COMPUTED_VALUE"""),"saletructiep_khoahocmatgoc_PTAGTTD_LD254")</f>
        <v>saletructiep_khoahocmatgoc_PTAGTTD_LD254</v>
      </c>
      <c r="T64" s="107" t="str">
        <f>IFERROR(__xludf.DUMMYFUNCTION("""COMPUTED_VALUE"""),"https://patadovietnam.edu.vn/tieng-anh-giao-tiep-toan-dien-all/?utm_source=Google&amp;utm_medium=SEA&amp;utm_term=NEW_ALL_none_none_211225&amp;utm_content=saletructiep_khoahocmatgoc_PTAGTTD_LD254&amp;utm_campaign=ALL.giaotiep.englishonline_Patado_SEA_HoaNT_211225")</f>
        <v>https://patadovietnam.edu.vn/tieng-anh-giao-tiep-toan-dien-all/?utm_source=Google&amp;utm_medium=SEA&amp;utm_term=NEW_ALL_none_none_211225&amp;utm_content=saletructiep_khoahocmatgoc_PTAGTTD_LD254&amp;utm_campaign=ALL.giaotiep.englishonline_Patado_SEA_HoaNT_211225</v>
      </c>
      <c r="U64" s="116"/>
    </row>
    <row r="65">
      <c r="A65" s="72">
        <v>46012.0</v>
      </c>
      <c r="B65" s="60" t="s">
        <v>2048</v>
      </c>
      <c r="C65" s="67" t="str">
        <f>IFERROR(__xludf.DUMMYFUNCTION("""COMPUTED_VALUE"""),"LD254")</f>
        <v>LD254</v>
      </c>
      <c r="D65" s="55" t="s">
        <v>188</v>
      </c>
      <c r="E65" s="55" t="s">
        <v>193</v>
      </c>
      <c r="F65" s="55" t="s">
        <v>539</v>
      </c>
      <c r="G65" s="55" t="s">
        <v>61</v>
      </c>
      <c r="H65" s="55" t="s">
        <v>1261</v>
      </c>
      <c r="I65" s="115" t="s">
        <v>2053</v>
      </c>
      <c r="J65" s="113" t="s">
        <v>2035</v>
      </c>
      <c r="K65" s="55" t="s">
        <v>61</v>
      </c>
      <c r="L65" s="55" t="s">
        <v>1130</v>
      </c>
      <c r="M65" s="55" t="s">
        <v>78</v>
      </c>
      <c r="N65" s="55" t="s">
        <v>193</v>
      </c>
      <c r="O65" s="55" t="s">
        <v>1768</v>
      </c>
      <c r="P65" s="55" t="s">
        <v>110</v>
      </c>
      <c r="Q65" s="67" t="str">
        <f>IFERROR(__xludf.DUMMYFUNCTION("""COMPUTED_VALUE"""),"ALL.giaotiep.englishonline_Patado_SEA_HoaNT_211225")</f>
        <v>ALL.giaotiep.englishonline_Patado_SEA_HoaNT_211225</v>
      </c>
      <c r="R65" s="67" t="str">
        <f>IFERROR(__xludf.DUMMYFUNCTION("""COMPUTED_VALUE"""),"NEW_ALL_none_none_211225")</f>
        <v>NEW_ALL_none_none_211225</v>
      </c>
      <c r="S65" s="67" t="str">
        <f>IFERROR(__xludf.DUMMYFUNCTION("""COMPUTED_VALUE"""),"saletructiep_giaotiepngdilam_PTAGTTD_LD254")</f>
        <v>saletructiep_giaotiepngdilam_PTAGTTD_LD254</v>
      </c>
      <c r="T65" s="107" t="str">
        <f>IFERROR(__xludf.DUMMYFUNCTION("""COMPUTED_VALUE"""),"https://patadovietnam.edu.vn/tieng-anh-giao-tiep-toan-dien-all/?utm_source=Google&amp;utm_medium=SEA&amp;utm_term=NEW_ALL_none_none_211225&amp;utm_content=saletructiep_giaotiepngdilam_PTAGTTD_LD254&amp;utm_campaign=ALL.giaotiep.englishonline_Patado_SEA_HoaNT_211225")</f>
        <v>https://patadovietnam.edu.vn/tieng-anh-giao-tiep-toan-dien-all/?utm_source=Google&amp;utm_medium=SEA&amp;utm_term=NEW_ALL_none_none_211225&amp;utm_content=saletructiep_giaotiepngdilam_PTAGTTD_LD254&amp;utm_campaign=ALL.giaotiep.englishonline_Patado_SEA_HoaNT_211225</v>
      </c>
      <c r="U65" s="116"/>
    </row>
    <row r="66">
      <c r="A66" s="72">
        <v>46012.0</v>
      </c>
      <c r="B66" s="60" t="s">
        <v>2048</v>
      </c>
      <c r="C66" s="67" t="str">
        <f>IFERROR(__xludf.DUMMYFUNCTION("""COMPUTED_VALUE"""),"LD254")</f>
        <v>LD254</v>
      </c>
      <c r="D66" s="55" t="s">
        <v>188</v>
      </c>
      <c r="E66" s="55" t="s">
        <v>193</v>
      </c>
      <c r="F66" s="55" t="s">
        <v>539</v>
      </c>
      <c r="G66" s="55" t="s">
        <v>61</v>
      </c>
      <c r="H66" s="55" t="s">
        <v>1261</v>
      </c>
      <c r="I66" s="115" t="s">
        <v>2053</v>
      </c>
      <c r="J66" s="142" t="s">
        <v>2043</v>
      </c>
      <c r="K66" s="55" t="s">
        <v>61</v>
      </c>
      <c r="L66" s="55" t="s">
        <v>1130</v>
      </c>
      <c r="M66" s="55" t="s">
        <v>78</v>
      </c>
      <c r="N66" s="55" t="s">
        <v>193</v>
      </c>
      <c r="O66" s="55" t="s">
        <v>1768</v>
      </c>
      <c r="P66" s="55" t="s">
        <v>110</v>
      </c>
      <c r="Q66" s="67" t="str">
        <f>IFERROR(__xludf.DUMMYFUNCTION("""COMPUTED_VALUE"""),"ALL.giaotiep.englishonline_Patado_SEA_HoaNT_211225")</f>
        <v>ALL.giaotiep.englishonline_Patado_SEA_HoaNT_211225</v>
      </c>
      <c r="R66" s="67" t="str">
        <f>IFERROR(__xludf.DUMMYFUNCTION("""COMPUTED_VALUE"""),"NEW_ALL_none_none_211225")</f>
        <v>NEW_ALL_none_none_211225</v>
      </c>
      <c r="S66" s="67" t="str">
        <f>IFERROR(__xludf.DUMMYFUNCTION("""COMPUTED_VALUE"""),"saletructiep_toiec_PTAGTTD_LD254")</f>
        <v>saletructiep_toiec_PTAGTTD_LD254</v>
      </c>
      <c r="T66" s="107" t="str">
        <f>IFERROR(__xludf.DUMMYFUNCTION("""COMPUTED_VALUE"""),"https://patadovietnam.edu.vn/tieng-anh-giao-tiep-toan-dien-all/?utm_source=Google&amp;utm_medium=SEA&amp;utm_term=NEW_ALL_none_none_211225&amp;utm_content=saletructiep_toiec_PTAGTTD_LD254&amp;utm_campaign=ALL.giaotiep.englishonline_Patado_SEA_HoaNT_211225")</f>
        <v>https://patadovietnam.edu.vn/tieng-anh-giao-tiep-toan-dien-all/?utm_source=Google&amp;utm_medium=SEA&amp;utm_term=NEW_ALL_none_none_211225&amp;utm_content=saletructiep_toiec_PTAGTTD_LD254&amp;utm_campaign=ALL.giaotiep.englishonline_Patado_SEA_HoaNT_211225</v>
      </c>
      <c r="U66" s="116"/>
    </row>
    <row r="67">
      <c r="A67" s="72">
        <v>46012.0</v>
      </c>
      <c r="B67" s="60" t="s">
        <v>2048</v>
      </c>
      <c r="C67" s="67" t="str">
        <f>IFERROR(__xludf.DUMMYFUNCTION("""COMPUTED_VALUE"""),"LD254")</f>
        <v>LD254</v>
      </c>
      <c r="D67" s="55" t="s">
        <v>188</v>
      </c>
      <c r="E67" s="55" t="s">
        <v>193</v>
      </c>
      <c r="F67" s="55" t="s">
        <v>539</v>
      </c>
      <c r="G67" s="55" t="s">
        <v>61</v>
      </c>
      <c r="H67" s="55" t="s">
        <v>1261</v>
      </c>
      <c r="I67" s="115" t="s">
        <v>2053</v>
      </c>
      <c r="J67" s="142" t="s">
        <v>2158</v>
      </c>
      <c r="K67" s="55" t="s">
        <v>61</v>
      </c>
      <c r="L67" s="55" t="s">
        <v>1130</v>
      </c>
      <c r="M67" s="55" t="s">
        <v>78</v>
      </c>
      <c r="N67" s="55" t="s">
        <v>193</v>
      </c>
      <c r="O67" s="55" t="s">
        <v>1768</v>
      </c>
      <c r="P67" s="55" t="s">
        <v>110</v>
      </c>
      <c r="Q67" s="67" t="str">
        <f>IFERROR(__xludf.DUMMYFUNCTION("""COMPUTED_VALUE"""),"ALL.giaotiep.englishonline_Patado_SEA_HoaNT_211225")</f>
        <v>ALL.giaotiep.englishonline_Patado_SEA_HoaNT_211225</v>
      </c>
      <c r="R67" s="67" t="str">
        <f>IFERROR(__xludf.DUMMYFUNCTION("""COMPUTED_VALUE"""),"NEW_ALL_none_none_211225")</f>
        <v>NEW_ALL_none_none_211225</v>
      </c>
      <c r="S67" s="67" t="str">
        <f>IFERROR(__xludf.DUMMYFUNCTION("""COMPUTED_VALUE"""),"saletructiep_tienganhnail_PTAGTTD_LD254")</f>
        <v>saletructiep_tienganhnail_PTAGTTD_LD254</v>
      </c>
      <c r="T67" s="107" t="str">
        <f>IFERROR(__xludf.DUMMYFUNCTION("""COMPUTED_VALUE"""),"https://patadovietnam.edu.vn/tieng-anh-giao-tiep-toan-dien-all/?utm_source=Google&amp;utm_medium=SEA&amp;utm_term=NEW_ALL_none_none_211225&amp;utm_content=saletructiep_tienganhnail_PTAGTTD_LD254&amp;utm_campaign=ALL.giaotiep.englishonline_Patado_SEA_HoaNT_211225")</f>
        <v>https://patadovietnam.edu.vn/tieng-anh-giao-tiep-toan-dien-all/?utm_source=Google&amp;utm_medium=SEA&amp;utm_term=NEW_ALL_none_none_211225&amp;utm_content=saletructiep_tienganhnail_PTAGTTD_LD254&amp;utm_campaign=ALL.giaotiep.englishonline_Patado_SEA_HoaNT_211225</v>
      </c>
      <c r="U67" s="116"/>
    </row>
    <row r="68">
      <c r="A68" s="72">
        <v>46015.0</v>
      </c>
      <c r="B68" s="60" t="s">
        <v>1256</v>
      </c>
      <c r="C68" s="67" t="str">
        <f>IFERROR(__xludf.DUMMYFUNCTION("""COMPUTED_VALUE"""),"LD255")</f>
        <v>LD255</v>
      </c>
      <c r="D68" s="55" t="s">
        <v>188</v>
      </c>
      <c r="E68" s="55" t="s">
        <v>193</v>
      </c>
      <c r="F68" s="55" t="s">
        <v>107</v>
      </c>
      <c r="G68" s="55" t="s">
        <v>61</v>
      </c>
      <c r="H68" s="55" t="s">
        <v>1261</v>
      </c>
      <c r="I68" s="115" t="s">
        <v>2167</v>
      </c>
      <c r="J68" s="143" t="s">
        <v>1765</v>
      </c>
      <c r="K68" s="55" t="s">
        <v>61</v>
      </c>
      <c r="L68" s="55" t="s">
        <v>1130</v>
      </c>
      <c r="M68" s="55" t="s">
        <v>78</v>
      </c>
      <c r="N68" s="55" t="s">
        <v>193</v>
      </c>
      <c r="O68" s="55" t="s">
        <v>1768</v>
      </c>
      <c r="P68" s="55" t="s">
        <v>110</v>
      </c>
      <c r="Q68" s="67" t="str">
        <f>IFERROR(__xludf.DUMMYFUNCTION("""COMPUTED_VALUE"""),"UnitedStates.giaotiep.tienganh_Patado_SEA_HoaNT_241225")</f>
        <v>UnitedStates.giaotiep.tienganh_Patado_SEA_HoaNT_241225</v>
      </c>
      <c r="R68" s="67" t="str">
        <f>IFERROR(__xludf.DUMMYFUNCTION("""COMPUTED_VALUE"""),"NEW_UnitedStates_none_none_241225")</f>
        <v>NEW_UnitedStates_none_none_241225</v>
      </c>
      <c r="S68" s="67" t="str">
        <f>IFERROR(__xludf.DUMMYFUNCTION("""COMPUTED_VALUE"""),"saletructiep_hoctienganhonline_PTAGTTD_LD255")</f>
        <v>saletructiep_hoctienganhonline_PTAGTTD_LD255</v>
      </c>
      <c r="T68" s="107" t="str">
        <f>IFERROR(__xludf.DUMMYFUNCTION("""COMPUTED_VALUE"""),"https://patadovietnam.edu.vn/khoa-giao-tiep-unitedstates/?utm_source=Google&amp;utm_medium=SEA&amp;utm_term=NEW_UnitedStates_none_none_241225&amp;utm_content=saletructiep_hoctienganhonline_PTAGTTD_LD255&amp;utm_campaign=UnitedStates.giaotiep.tienganh_Patado_SEA_HoaNT_241"&amp;"225")</f>
        <v>https://patadovietnam.edu.vn/khoa-giao-tiep-unitedstates/?utm_source=Google&amp;utm_medium=SEA&amp;utm_term=NEW_UnitedStates_none_none_241225&amp;utm_content=saletructiep_hoctienganhonline_PTAGTTD_LD255&amp;utm_campaign=UnitedStates.giaotiep.tienganh_Patado_SEA_HoaNT_241225</v>
      </c>
      <c r="U68" s="116"/>
    </row>
    <row r="69">
      <c r="A69" s="72">
        <v>46015.0</v>
      </c>
      <c r="B69" s="60" t="s">
        <v>1256</v>
      </c>
      <c r="C69" s="67" t="str">
        <f>IFERROR(__xludf.DUMMYFUNCTION("""COMPUTED_VALUE"""),"LD255")</f>
        <v>LD255</v>
      </c>
      <c r="D69" s="55" t="s">
        <v>188</v>
      </c>
      <c r="E69" s="55" t="s">
        <v>193</v>
      </c>
      <c r="F69" s="55" t="s">
        <v>107</v>
      </c>
      <c r="G69" s="55" t="s">
        <v>61</v>
      </c>
      <c r="H69" s="55" t="s">
        <v>1261</v>
      </c>
      <c r="I69" s="115" t="s">
        <v>2167</v>
      </c>
      <c r="J69" s="55" t="s">
        <v>1775</v>
      </c>
      <c r="K69" s="55" t="s">
        <v>61</v>
      </c>
      <c r="L69" s="55" t="s">
        <v>1130</v>
      </c>
      <c r="M69" s="55" t="s">
        <v>78</v>
      </c>
      <c r="N69" s="55" t="s">
        <v>193</v>
      </c>
      <c r="O69" s="55" t="s">
        <v>1768</v>
      </c>
      <c r="P69" s="55" t="s">
        <v>110</v>
      </c>
      <c r="Q69" s="67" t="str">
        <f>IFERROR(__xludf.DUMMYFUNCTION("""COMPUTED_VALUE"""),"UnitedStates.giaotiep.tienganh_Patado_SEA_HoaNT_241225")</f>
        <v>UnitedStates.giaotiep.tienganh_Patado_SEA_HoaNT_241225</v>
      </c>
      <c r="R69" s="67" t="str">
        <f>IFERROR(__xludf.DUMMYFUNCTION("""COMPUTED_VALUE"""),"NEW_UnitedStates_none_none_241225")</f>
        <v>NEW_UnitedStates_none_none_241225</v>
      </c>
      <c r="S69" s="67" t="str">
        <f>IFERROR(__xludf.DUMMYFUNCTION("""COMPUTED_VALUE"""),"saletructiep_khoahoctienganhonline_PTAGTTD_LD255")</f>
        <v>saletructiep_khoahoctienganhonline_PTAGTTD_LD255</v>
      </c>
      <c r="T69" s="107" t="str">
        <f>IFERROR(__xludf.DUMMYFUNCTION("""COMPUTED_VALUE"""),"https://patadovietnam.edu.vn/khoa-giao-tiep-unitedstates/?utm_source=Google&amp;utm_medium=SEA&amp;utm_term=NEW_UnitedStates_none_none_241225&amp;utm_content=saletructiep_khoahoctienganhonline_PTAGTTD_LD255&amp;utm_campaign=UnitedStates.giaotiep.tienganh_Patado_SEA_HoaNT"&amp;"_241225")</f>
        <v>https://patadovietnam.edu.vn/khoa-giao-tiep-unitedstates/?utm_source=Google&amp;utm_medium=SEA&amp;utm_term=NEW_UnitedStates_none_none_241225&amp;utm_content=saletructiep_khoahoctienganhonline_PTAGTTD_LD255&amp;utm_campaign=UnitedStates.giaotiep.tienganh_Patado_SEA_HoaNT_241225</v>
      </c>
      <c r="U69" s="116"/>
    </row>
    <row r="70">
      <c r="A70" s="72">
        <v>46015.0</v>
      </c>
      <c r="B70" s="60" t="s">
        <v>1256</v>
      </c>
      <c r="C70" s="67" t="str">
        <f>IFERROR(__xludf.DUMMYFUNCTION("""COMPUTED_VALUE"""),"LD255")</f>
        <v>LD255</v>
      </c>
      <c r="D70" s="55" t="s">
        <v>188</v>
      </c>
      <c r="E70" s="55" t="s">
        <v>193</v>
      </c>
      <c r="F70" s="55" t="s">
        <v>107</v>
      </c>
      <c r="G70" s="55" t="s">
        <v>61</v>
      </c>
      <c r="H70" s="55" t="s">
        <v>1261</v>
      </c>
      <c r="I70" s="115" t="s">
        <v>2167</v>
      </c>
      <c r="J70" s="143" t="s">
        <v>1781</v>
      </c>
      <c r="K70" s="55" t="s">
        <v>61</v>
      </c>
      <c r="L70" s="55" t="s">
        <v>1130</v>
      </c>
      <c r="M70" s="55" t="s">
        <v>78</v>
      </c>
      <c r="N70" s="55" t="s">
        <v>193</v>
      </c>
      <c r="O70" s="55" t="s">
        <v>1768</v>
      </c>
      <c r="P70" s="55" t="s">
        <v>110</v>
      </c>
      <c r="Q70" s="67" t="str">
        <f>IFERROR(__xludf.DUMMYFUNCTION("""COMPUTED_VALUE"""),"UnitedStates.giaotiep.tienganh_Patado_SEA_HoaNT_241225")</f>
        <v>UnitedStates.giaotiep.tienganh_Patado_SEA_HoaNT_241225</v>
      </c>
      <c r="R70" s="67" t="str">
        <f>IFERROR(__xludf.DUMMYFUNCTION("""COMPUTED_VALUE"""),"NEW_UnitedStates_none_none_241225")</f>
        <v>NEW_UnitedStates_none_none_241225</v>
      </c>
      <c r="S70" s="67" t="str">
        <f>IFERROR(__xludf.DUMMYFUNCTION("""COMPUTED_VALUE"""),"saletructiep_tienganhonline11_PTAGTTD_LD255")</f>
        <v>saletructiep_tienganhonline11_PTAGTTD_LD255</v>
      </c>
      <c r="T70" s="107" t="str">
        <f>IFERROR(__xludf.DUMMYFUNCTION("""COMPUTED_VALUE"""),"https://patadovietnam.edu.vn/khoa-giao-tiep-unitedstates/?utm_source=Google&amp;utm_medium=SEA&amp;utm_term=NEW_UnitedStates_none_none_241225&amp;utm_content=saletructiep_tienganhonline11_PTAGTTD_LD255&amp;utm_campaign=UnitedStates.giaotiep.tienganh_Patado_SEA_HoaNT_2412"&amp;"25")</f>
        <v>https://patadovietnam.edu.vn/khoa-giao-tiep-unitedstates/?utm_source=Google&amp;utm_medium=SEA&amp;utm_term=NEW_UnitedStates_none_none_241225&amp;utm_content=saletructiep_tienganhonline11_PTAGTTD_LD255&amp;utm_campaign=UnitedStates.giaotiep.tienganh_Patado_SEA_HoaNT_241225</v>
      </c>
      <c r="U70" s="116"/>
    </row>
    <row r="71">
      <c r="A71" s="72">
        <v>46015.0</v>
      </c>
      <c r="B71" s="60" t="s">
        <v>1256</v>
      </c>
      <c r="C71" s="67" t="str">
        <f>IFERROR(__xludf.DUMMYFUNCTION("""COMPUTED_VALUE"""),"LD255")</f>
        <v>LD255</v>
      </c>
      <c r="D71" s="55" t="s">
        <v>188</v>
      </c>
      <c r="E71" s="55" t="s">
        <v>193</v>
      </c>
      <c r="F71" s="55" t="s">
        <v>107</v>
      </c>
      <c r="G71" s="55" t="s">
        <v>61</v>
      </c>
      <c r="H71" s="55" t="s">
        <v>1261</v>
      </c>
      <c r="I71" s="115" t="s">
        <v>2167</v>
      </c>
      <c r="J71" s="143" t="s">
        <v>1799</v>
      </c>
      <c r="K71" s="55" t="s">
        <v>61</v>
      </c>
      <c r="L71" s="55" t="s">
        <v>1130</v>
      </c>
      <c r="M71" s="55" t="s">
        <v>78</v>
      </c>
      <c r="N71" s="55" t="s">
        <v>193</v>
      </c>
      <c r="O71" s="55" t="s">
        <v>1768</v>
      </c>
      <c r="P71" s="55" t="s">
        <v>110</v>
      </c>
      <c r="Q71" s="67" t="str">
        <f>IFERROR(__xludf.DUMMYFUNCTION("""COMPUTED_VALUE"""),"UnitedStates.giaotiep.tienganh_Patado_SEA_HoaNT_241225")</f>
        <v>UnitedStates.giaotiep.tienganh_Patado_SEA_HoaNT_241225</v>
      </c>
      <c r="R71" s="67" t="str">
        <f>IFERROR(__xludf.DUMMYFUNCTION("""COMPUTED_VALUE"""),"NEW_UnitedStates_none_none_241225")</f>
        <v>NEW_UnitedStates_none_none_241225</v>
      </c>
      <c r="S71" s="67" t="str">
        <f>IFERROR(__xludf.DUMMYFUNCTION("""COMPUTED_VALUE"""),"saletructiep_tienganhchongbatdau_PTAGTTD_LD255")</f>
        <v>saletructiep_tienganhchongbatdau_PTAGTTD_LD255</v>
      </c>
      <c r="T71" s="107" t="str">
        <f>IFERROR(__xludf.DUMMYFUNCTION("""COMPUTED_VALUE"""),"https://patadovietnam.edu.vn/khoa-giao-tiep-unitedstates/?utm_source=Google&amp;utm_medium=SEA&amp;utm_term=NEW_UnitedStates_none_none_241225&amp;utm_content=saletructiep_tienganhchongbatdau_PTAGTTD_LD255&amp;utm_campaign=UnitedStates.giaotiep.tienganh_Patado_SEA_HoaNT_2"&amp;"41225")</f>
        <v>https://patadovietnam.edu.vn/khoa-giao-tiep-unitedstates/?utm_source=Google&amp;utm_medium=SEA&amp;utm_term=NEW_UnitedStates_none_none_241225&amp;utm_content=saletructiep_tienganhchongbatdau_PTAGTTD_LD255&amp;utm_campaign=UnitedStates.giaotiep.tienganh_Patado_SEA_HoaNT_241225</v>
      </c>
      <c r="U71" s="116"/>
    </row>
    <row r="72">
      <c r="A72" s="72">
        <v>46015.0</v>
      </c>
      <c r="B72" s="60" t="s">
        <v>1256</v>
      </c>
      <c r="C72" s="67" t="str">
        <f>IFERROR(__xludf.DUMMYFUNCTION("""COMPUTED_VALUE"""),"LD255")</f>
        <v>LD255</v>
      </c>
      <c r="D72" s="55" t="s">
        <v>188</v>
      </c>
      <c r="E72" s="55" t="s">
        <v>193</v>
      </c>
      <c r="F72" s="55" t="s">
        <v>107</v>
      </c>
      <c r="G72" s="55" t="s">
        <v>61</v>
      </c>
      <c r="H72" s="55" t="s">
        <v>1261</v>
      </c>
      <c r="I72" s="115" t="s">
        <v>2167</v>
      </c>
      <c r="J72" s="55" t="s">
        <v>1805</v>
      </c>
      <c r="K72" s="55" t="s">
        <v>61</v>
      </c>
      <c r="L72" s="55" t="s">
        <v>1130</v>
      </c>
      <c r="M72" s="55" t="s">
        <v>78</v>
      </c>
      <c r="N72" s="55" t="s">
        <v>193</v>
      </c>
      <c r="O72" s="55" t="s">
        <v>1768</v>
      </c>
      <c r="P72" s="55" t="s">
        <v>110</v>
      </c>
      <c r="Q72" s="67" t="str">
        <f>IFERROR(__xludf.DUMMYFUNCTION("""COMPUTED_VALUE"""),"UnitedStates.giaotiep.tienganh_Patado_SEA_HoaNT_241225")</f>
        <v>UnitedStates.giaotiep.tienganh_Patado_SEA_HoaNT_241225</v>
      </c>
      <c r="R72" s="67" t="str">
        <f>IFERROR(__xludf.DUMMYFUNCTION("""COMPUTED_VALUE"""),"NEW_UnitedStates_none_none_241225")</f>
        <v>NEW_UnitedStates_none_none_241225</v>
      </c>
      <c r="S72" s="67" t="str">
        <f>IFERROR(__xludf.DUMMYFUNCTION("""COMPUTED_VALUE"""),"saletructiep_tienganhgiaotiepngbatdau_PTAGTTD_LD255")</f>
        <v>saletructiep_tienganhgiaotiepngbatdau_PTAGTTD_LD255</v>
      </c>
      <c r="T72" s="107" t="str">
        <f>IFERROR(__xludf.DUMMYFUNCTION("""COMPUTED_VALUE"""),"https://patadovietnam.edu.vn/khoa-giao-tiep-unitedstates/?utm_source=Google&amp;utm_medium=SEA&amp;utm_term=NEW_UnitedStates_none_none_241225&amp;utm_content=saletructiep_tienganhgiaotiepngbatdau_PTAGTTD_LD255&amp;utm_campaign=UnitedStates.giaotiep.tienganh_Patado_SEA_Ho"&amp;"aNT_241225")</f>
        <v>https://patadovietnam.edu.vn/khoa-giao-tiep-unitedstates/?utm_source=Google&amp;utm_medium=SEA&amp;utm_term=NEW_UnitedStates_none_none_241225&amp;utm_content=saletructiep_tienganhgiaotiepngbatdau_PTAGTTD_LD255&amp;utm_campaign=UnitedStates.giaotiep.tienganh_Patado_SEA_HoaNT_241225</v>
      </c>
      <c r="U72" s="116"/>
    </row>
    <row r="73">
      <c r="A73" s="72">
        <v>46015.0</v>
      </c>
      <c r="B73" s="60" t="s">
        <v>1256</v>
      </c>
      <c r="C73" s="67" t="str">
        <f>IFERROR(__xludf.DUMMYFUNCTION("""COMPUTED_VALUE"""),"LD255")</f>
        <v>LD255</v>
      </c>
      <c r="D73" s="55" t="s">
        <v>188</v>
      </c>
      <c r="E73" s="55" t="s">
        <v>193</v>
      </c>
      <c r="F73" s="55" t="s">
        <v>107</v>
      </c>
      <c r="G73" s="55" t="s">
        <v>61</v>
      </c>
      <c r="H73" s="55" t="s">
        <v>1261</v>
      </c>
      <c r="I73" s="115" t="s">
        <v>2167</v>
      </c>
      <c r="J73" s="143" t="s">
        <v>1814</v>
      </c>
      <c r="K73" s="55" t="s">
        <v>61</v>
      </c>
      <c r="L73" s="55" t="s">
        <v>1130</v>
      </c>
      <c r="M73" s="55" t="s">
        <v>78</v>
      </c>
      <c r="N73" s="55" t="s">
        <v>193</v>
      </c>
      <c r="O73" s="55" t="s">
        <v>1768</v>
      </c>
      <c r="P73" s="55" t="s">
        <v>110</v>
      </c>
      <c r="Q73" s="67" t="str">
        <f>IFERROR(__xludf.DUMMYFUNCTION("""COMPUTED_VALUE"""),"UnitedStates.giaotiep.tienganh_Patado_SEA_HoaNT_241225")</f>
        <v>UnitedStates.giaotiep.tienganh_Patado_SEA_HoaNT_241225</v>
      </c>
      <c r="R73" s="67" t="str">
        <f>IFERROR(__xludf.DUMMYFUNCTION("""COMPUTED_VALUE"""),"NEW_UnitedStates_none_none_241225")</f>
        <v>NEW_UnitedStates_none_none_241225</v>
      </c>
      <c r="S73" s="67" t="str">
        <f>IFERROR(__xludf.DUMMYFUNCTION("""COMPUTED_VALUE"""),"saletructiep_tienganhngmatgoc_PTAGTTD_LD255")</f>
        <v>saletructiep_tienganhngmatgoc_PTAGTTD_LD255</v>
      </c>
      <c r="T73" s="107" t="str">
        <f>IFERROR(__xludf.DUMMYFUNCTION("""COMPUTED_VALUE"""),"https://patadovietnam.edu.vn/khoa-giao-tiep-unitedstates/?utm_source=Google&amp;utm_medium=SEA&amp;utm_term=NEW_UnitedStates_none_none_241225&amp;utm_content=saletructiep_tienganhngmatgoc_PTAGTTD_LD255&amp;utm_campaign=UnitedStates.giaotiep.tienganh_Patado_SEA_HoaNT_2412"&amp;"25")</f>
        <v>https://patadovietnam.edu.vn/khoa-giao-tiep-unitedstates/?utm_source=Google&amp;utm_medium=SEA&amp;utm_term=NEW_UnitedStates_none_none_241225&amp;utm_content=saletructiep_tienganhngmatgoc_PTAGTTD_LD255&amp;utm_campaign=UnitedStates.giaotiep.tienganh_Patado_SEA_HoaNT_241225</v>
      </c>
      <c r="U73" s="116"/>
    </row>
    <row r="74">
      <c r="A74" s="72">
        <v>46015.0</v>
      </c>
      <c r="B74" s="60" t="s">
        <v>1256</v>
      </c>
      <c r="C74" s="67" t="str">
        <f>IFERROR(__xludf.DUMMYFUNCTION("""COMPUTED_VALUE"""),"LD255")</f>
        <v>LD255</v>
      </c>
      <c r="D74" s="55" t="s">
        <v>188</v>
      </c>
      <c r="E74" s="55" t="s">
        <v>193</v>
      </c>
      <c r="F74" s="55" t="s">
        <v>107</v>
      </c>
      <c r="G74" s="55" t="s">
        <v>61</v>
      </c>
      <c r="H74" s="55" t="s">
        <v>1261</v>
      </c>
      <c r="I74" s="115" t="s">
        <v>2167</v>
      </c>
      <c r="J74" s="143" t="s">
        <v>1843</v>
      </c>
      <c r="K74" s="55" t="s">
        <v>61</v>
      </c>
      <c r="L74" s="55" t="s">
        <v>1130</v>
      </c>
      <c r="M74" s="55" t="s">
        <v>78</v>
      </c>
      <c r="N74" s="55" t="s">
        <v>193</v>
      </c>
      <c r="O74" s="55" t="s">
        <v>1768</v>
      </c>
      <c r="P74" s="55" t="s">
        <v>110</v>
      </c>
      <c r="Q74" s="67" t="str">
        <f>IFERROR(__xludf.DUMMYFUNCTION("""COMPUTED_VALUE"""),"UnitedStates.giaotiep.tienganh_Patado_SEA_HoaNT_241225")</f>
        <v>UnitedStates.giaotiep.tienganh_Patado_SEA_HoaNT_241225</v>
      </c>
      <c r="R74" s="67" t="str">
        <f>IFERROR(__xludf.DUMMYFUNCTION("""COMPUTED_VALUE"""),"NEW_UnitedStates_none_none_241225")</f>
        <v>NEW_UnitedStates_none_none_241225</v>
      </c>
      <c r="S74" s="67" t="str">
        <f>IFERROR(__xludf.DUMMYFUNCTION("""COMPUTED_VALUE"""),"saletructiep_khoahocngdilam_PTAGTTD_LD255")</f>
        <v>saletructiep_khoahocngdilam_PTAGTTD_LD255</v>
      </c>
      <c r="T74" s="107" t="str">
        <f>IFERROR(__xludf.DUMMYFUNCTION("""COMPUTED_VALUE"""),"https://patadovietnam.edu.vn/khoa-giao-tiep-unitedstates/?utm_source=Google&amp;utm_medium=SEA&amp;utm_term=NEW_UnitedStates_none_none_241225&amp;utm_content=saletructiep_khoahocngdilam_PTAGTTD_LD255&amp;utm_campaign=UnitedStates.giaotiep.tienganh_Patado_SEA_HoaNT_241225")</f>
        <v>https://patadovietnam.edu.vn/khoa-giao-tiep-unitedstates/?utm_source=Google&amp;utm_medium=SEA&amp;utm_term=NEW_UnitedStates_none_none_241225&amp;utm_content=saletructiep_khoahocngdilam_PTAGTTD_LD255&amp;utm_campaign=UnitedStates.giaotiep.tienganh_Patado_SEA_HoaNT_241225</v>
      </c>
      <c r="U74" s="116"/>
    </row>
    <row r="75">
      <c r="A75" s="72">
        <v>46015.0</v>
      </c>
      <c r="B75" s="60" t="s">
        <v>1256</v>
      </c>
      <c r="C75" s="67" t="str">
        <f>IFERROR(__xludf.DUMMYFUNCTION("""COMPUTED_VALUE"""),"LD255")</f>
        <v>LD255</v>
      </c>
      <c r="D75" s="55" t="s">
        <v>188</v>
      </c>
      <c r="E75" s="55" t="s">
        <v>193</v>
      </c>
      <c r="F75" s="55" t="s">
        <v>107</v>
      </c>
      <c r="G75" s="55" t="s">
        <v>61</v>
      </c>
      <c r="H75" s="55" t="s">
        <v>1261</v>
      </c>
      <c r="I75" s="115" t="s">
        <v>2167</v>
      </c>
      <c r="J75" s="143" t="s">
        <v>1851</v>
      </c>
      <c r="K75" s="55" t="s">
        <v>61</v>
      </c>
      <c r="L75" s="55" t="s">
        <v>1130</v>
      </c>
      <c r="M75" s="55" t="s">
        <v>78</v>
      </c>
      <c r="N75" s="55" t="s">
        <v>193</v>
      </c>
      <c r="O75" s="55" t="s">
        <v>1768</v>
      </c>
      <c r="P75" s="55" t="s">
        <v>110</v>
      </c>
      <c r="Q75" s="67" t="str">
        <f>IFERROR(__xludf.DUMMYFUNCTION("""COMPUTED_VALUE"""),"UnitedStates.giaotiep.tienganh_Patado_SEA_HoaNT_241225")</f>
        <v>UnitedStates.giaotiep.tienganh_Patado_SEA_HoaNT_241225</v>
      </c>
      <c r="R75" s="67" t="str">
        <f>IFERROR(__xludf.DUMMYFUNCTION("""COMPUTED_VALUE"""),"NEW_UnitedStates_none_none_241225")</f>
        <v>NEW_UnitedStates_none_none_241225</v>
      </c>
      <c r="S75" s="67" t="str">
        <f>IFERROR(__xludf.DUMMYFUNCTION("""COMPUTED_VALUE"""),"saletructiep_trungtamchongdilam_PTAGTTD_LD255")</f>
        <v>saletructiep_trungtamchongdilam_PTAGTTD_LD255</v>
      </c>
      <c r="T75" s="107" t="str">
        <f>IFERROR(__xludf.DUMMYFUNCTION("""COMPUTED_VALUE"""),"https://patadovietnam.edu.vn/khoa-giao-tiep-unitedstates/?utm_source=Google&amp;utm_medium=SEA&amp;utm_term=NEW_UnitedStates_none_none_241225&amp;utm_content=saletructiep_trungtamchongdilam_PTAGTTD_LD255&amp;utm_campaign=UnitedStates.giaotiep.tienganh_Patado_SEA_HoaNT_24"&amp;"1225")</f>
        <v>https://patadovietnam.edu.vn/khoa-giao-tiep-unitedstates/?utm_source=Google&amp;utm_medium=SEA&amp;utm_term=NEW_UnitedStates_none_none_241225&amp;utm_content=saletructiep_trungtamchongdilam_PTAGTTD_LD255&amp;utm_campaign=UnitedStates.giaotiep.tienganh_Patado_SEA_HoaNT_241225</v>
      </c>
      <c r="U75" s="116"/>
    </row>
    <row r="76">
      <c r="A76" s="72">
        <v>46015.0</v>
      </c>
      <c r="B76" s="60" t="s">
        <v>1256</v>
      </c>
      <c r="C76" s="67" t="str">
        <f>IFERROR(__xludf.DUMMYFUNCTION("""COMPUTED_VALUE"""),"LD255")</f>
        <v>LD255</v>
      </c>
      <c r="D76" s="55" t="s">
        <v>188</v>
      </c>
      <c r="E76" s="55" t="s">
        <v>193</v>
      </c>
      <c r="F76" s="55" t="s">
        <v>107</v>
      </c>
      <c r="G76" s="55" t="s">
        <v>61</v>
      </c>
      <c r="H76" s="55" t="s">
        <v>1261</v>
      </c>
      <c r="I76" s="115" t="s">
        <v>2167</v>
      </c>
      <c r="J76" s="143" t="s">
        <v>1860</v>
      </c>
      <c r="K76" s="55" t="s">
        <v>61</v>
      </c>
      <c r="L76" s="55" t="s">
        <v>1130</v>
      </c>
      <c r="M76" s="55" t="s">
        <v>78</v>
      </c>
      <c r="N76" s="55" t="s">
        <v>193</v>
      </c>
      <c r="O76" s="55" t="s">
        <v>1768</v>
      </c>
      <c r="P76" s="55" t="s">
        <v>110</v>
      </c>
      <c r="Q76" s="67" t="str">
        <f>IFERROR(__xludf.DUMMYFUNCTION("""COMPUTED_VALUE"""),"UnitedStates.giaotiep.tienganh_Patado_SEA_HoaNT_241225")</f>
        <v>UnitedStates.giaotiep.tienganh_Patado_SEA_HoaNT_241225</v>
      </c>
      <c r="R76" s="67" t="str">
        <f>IFERROR(__xludf.DUMMYFUNCTION("""COMPUTED_VALUE"""),"NEW_UnitedStates_none_none_241225")</f>
        <v>NEW_UnitedStates_none_none_241225</v>
      </c>
      <c r="S76" s="67" t="str">
        <f>IFERROR(__xludf.DUMMYFUNCTION("""COMPUTED_VALUE"""),"saletructiep_tienganhgiaotiepngdilam_PTAGTTD_LD255")</f>
        <v>saletructiep_tienganhgiaotiepngdilam_PTAGTTD_LD255</v>
      </c>
      <c r="T76" s="107" t="str">
        <f>IFERROR(__xludf.DUMMYFUNCTION("""COMPUTED_VALUE"""),"https://patadovietnam.edu.vn/khoa-giao-tiep-unitedstates/?utm_source=Google&amp;utm_medium=SEA&amp;utm_term=NEW_UnitedStates_none_none_241225&amp;utm_content=saletructiep_tienganhgiaotiepngdilam_PTAGTTD_LD255&amp;utm_campaign=UnitedStates.giaotiep.tienganh_Patado_SEA_Hoa"&amp;"NT_241225")</f>
        <v>https://patadovietnam.edu.vn/khoa-giao-tiep-unitedstates/?utm_source=Google&amp;utm_medium=SEA&amp;utm_term=NEW_UnitedStates_none_none_241225&amp;utm_content=saletructiep_tienganhgiaotiepngdilam_PTAGTTD_LD255&amp;utm_campaign=UnitedStates.giaotiep.tienganh_Patado_SEA_HoaNT_241225</v>
      </c>
      <c r="U76" s="116"/>
    </row>
    <row r="77">
      <c r="A77" s="72">
        <v>46015.0</v>
      </c>
      <c r="B77" s="60" t="s">
        <v>1256</v>
      </c>
      <c r="C77" s="67" t="str">
        <f>IFERROR(__xludf.DUMMYFUNCTION("""COMPUTED_VALUE"""),"LD255")</f>
        <v>LD255</v>
      </c>
      <c r="D77" s="55" t="s">
        <v>188</v>
      </c>
      <c r="E77" s="55" t="s">
        <v>193</v>
      </c>
      <c r="F77" s="55" t="s">
        <v>107</v>
      </c>
      <c r="G77" s="55" t="s">
        <v>61</v>
      </c>
      <c r="H77" s="55" t="s">
        <v>1261</v>
      </c>
      <c r="I77" s="115" t="s">
        <v>2167</v>
      </c>
      <c r="J77" s="143" t="s">
        <v>1869</v>
      </c>
      <c r="K77" s="55" t="s">
        <v>61</v>
      </c>
      <c r="L77" s="55" t="s">
        <v>1130</v>
      </c>
      <c r="M77" s="55" t="s">
        <v>78</v>
      </c>
      <c r="N77" s="55" t="s">
        <v>193</v>
      </c>
      <c r="O77" s="55" t="s">
        <v>1768</v>
      </c>
      <c r="P77" s="55" t="s">
        <v>110</v>
      </c>
      <c r="Q77" s="67" t="str">
        <f>IFERROR(__xludf.DUMMYFUNCTION("""COMPUTED_VALUE"""),"UnitedStates.giaotiep.tienganh_Patado_SEA_HoaNT_241225")</f>
        <v>UnitedStates.giaotiep.tienganh_Patado_SEA_HoaNT_241225</v>
      </c>
      <c r="R77" s="67" t="str">
        <f>IFERROR(__xludf.DUMMYFUNCTION("""COMPUTED_VALUE"""),"NEW_UnitedStates_none_none_241225")</f>
        <v>NEW_UnitedStates_none_none_241225</v>
      </c>
      <c r="S77" s="67" t="str">
        <f>IFERROR(__xludf.DUMMYFUNCTION("""COMPUTED_VALUE"""),"saletructiep_tienganhonlinengdilam_PTAGTTD_LD255")</f>
        <v>saletructiep_tienganhonlinengdilam_PTAGTTD_LD255</v>
      </c>
      <c r="T77" s="107" t="str">
        <f>IFERROR(__xludf.DUMMYFUNCTION("""COMPUTED_VALUE"""),"https://patadovietnam.edu.vn/khoa-giao-tiep-unitedstates/?utm_source=Google&amp;utm_medium=SEA&amp;utm_term=NEW_UnitedStates_none_none_241225&amp;utm_content=saletructiep_tienganhonlinengdilam_PTAGTTD_LD255&amp;utm_campaign=UnitedStates.giaotiep.tienganh_Patado_SEA_HoaNT"&amp;"_241225")</f>
        <v>https://patadovietnam.edu.vn/khoa-giao-tiep-unitedstates/?utm_source=Google&amp;utm_medium=SEA&amp;utm_term=NEW_UnitedStates_none_none_241225&amp;utm_content=saletructiep_tienganhonlinengdilam_PTAGTTD_LD255&amp;utm_campaign=UnitedStates.giaotiep.tienganh_Patado_SEA_HoaNT_241225</v>
      </c>
      <c r="U77" s="116"/>
    </row>
    <row r="78">
      <c r="A78" s="72">
        <v>46015.0</v>
      </c>
      <c r="B78" s="60" t="s">
        <v>1256</v>
      </c>
      <c r="C78" s="67" t="str">
        <f>IFERROR(__xludf.DUMMYFUNCTION("""COMPUTED_VALUE"""),"LD255")</f>
        <v>LD255</v>
      </c>
      <c r="D78" s="55" t="s">
        <v>188</v>
      </c>
      <c r="E78" s="55" t="s">
        <v>193</v>
      </c>
      <c r="F78" s="55" t="s">
        <v>107</v>
      </c>
      <c r="G78" s="55" t="s">
        <v>61</v>
      </c>
      <c r="H78" s="55" t="s">
        <v>1261</v>
      </c>
      <c r="I78" s="115" t="s">
        <v>2167</v>
      </c>
      <c r="J78" s="143" t="s">
        <v>1876</v>
      </c>
      <c r="K78" s="55" t="s">
        <v>61</v>
      </c>
      <c r="L78" s="55" t="s">
        <v>1130</v>
      </c>
      <c r="M78" s="55" t="s">
        <v>78</v>
      </c>
      <c r="N78" s="55" t="s">
        <v>193</v>
      </c>
      <c r="O78" s="55" t="s">
        <v>1768</v>
      </c>
      <c r="P78" s="55" t="s">
        <v>110</v>
      </c>
      <c r="Q78" s="67" t="str">
        <f>IFERROR(__xludf.DUMMYFUNCTION("""COMPUTED_VALUE"""),"UnitedStates.giaotiep.tienganh_Patado_SEA_HoaNT_241225")</f>
        <v>UnitedStates.giaotiep.tienganh_Patado_SEA_HoaNT_241225</v>
      </c>
      <c r="R78" s="67" t="str">
        <f>IFERROR(__xludf.DUMMYFUNCTION("""COMPUTED_VALUE"""),"NEW_UnitedStates_none_none_241225")</f>
        <v>NEW_UnitedStates_none_none_241225</v>
      </c>
      <c r="S78" s="67" t="str">
        <f>IFERROR(__xludf.DUMMYFUNCTION("""COMPUTED_VALUE"""),"saletructiep_lotrinhgiaotiep_PTAGTTD_LD255")</f>
        <v>saletructiep_lotrinhgiaotiep_PTAGTTD_LD255</v>
      </c>
      <c r="T78" s="107" t="str">
        <f>IFERROR(__xludf.DUMMYFUNCTION("""COMPUTED_VALUE"""),"https://patadovietnam.edu.vn/khoa-giao-tiep-unitedstates/?utm_source=Google&amp;utm_medium=SEA&amp;utm_term=NEW_UnitedStates_none_none_241225&amp;utm_content=saletructiep_lotrinhgiaotiep_PTAGTTD_LD255&amp;utm_campaign=UnitedStates.giaotiep.tienganh_Patado_SEA_HoaNT_24122"&amp;"5")</f>
        <v>https://patadovietnam.edu.vn/khoa-giao-tiep-unitedstates/?utm_source=Google&amp;utm_medium=SEA&amp;utm_term=NEW_UnitedStates_none_none_241225&amp;utm_content=saletructiep_lotrinhgiaotiep_PTAGTTD_LD255&amp;utm_campaign=UnitedStates.giaotiep.tienganh_Patado_SEA_HoaNT_241225</v>
      </c>
      <c r="U78" s="116"/>
    </row>
    <row r="79">
      <c r="A79" s="72">
        <v>46015.0</v>
      </c>
      <c r="B79" s="60" t="s">
        <v>1256</v>
      </c>
      <c r="C79" s="67" t="str">
        <f>IFERROR(__xludf.DUMMYFUNCTION("""COMPUTED_VALUE"""),"LD255")</f>
        <v>LD255</v>
      </c>
      <c r="D79" s="55" t="s">
        <v>188</v>
      </c>
      <c r="E79" s="55" t="s">
        <v>193</v>
      </c>
      <c r="F79" s="55" t="s">
        <v>107</v>
      </c>
      <c r="G79" s="55" t="s">
        <v>61</v>
      </c>
      <c r="H79" s="55" t="s">
        <v>1261</v>
      </c>
      <c r="I79" s="115" t="s">
        <v>2167</v>
      </c>
      <c r="J79" s="143" t="s">
        <v>1881</v>
      </c>
      <c r="K79" s="55" t="s">
        <v>61</v>
      </c>
      <c r="L79" s="55" t="s">
        <v>1130</v>
      </c>
      <c r="M79" s="55" t="s">
        <v>78</v>
      </c>
      <c r="N79" s="55" t="s">
        <v>193</v>
      </c>
      <c r="O79" s="55" t="s">
        <v>1768</v>
      </c>
      <c r="P79" s="55" t="s">
        <v>110</v>
      </c>
      <c r="Q79" s="67" t="str">
        <f>IFERROR(__xludf.DUMMYFUNCTION("""COMPUTED_VALUE"""),"UnitedStates.giaotiep.tienganh_Patado_SEA_HoaNT_241225")</f>
        <v>UnitedStates.giaotiep.tienganh_Patado_SEA_HoaNT_241225</v>
      </c>
      <c r="R79" s="67" t="str">
        <f>IFERROR(__xludf.DUMMYFUNCTION("""COMPUTED_VALUE"""),"NEW_UnitedStates_none_none_241225")</f>
        <v>NEW_UnitedStates_none_none_241225</v>
      </c>
      <c r="S79" s="67" t="str">
        <f>IFERROR(__xludf.DUMMYFUNCTION("""COMPUTED_VALUE"""),"saletructiep_tienganhgiaotiep_PTAGTTD_LD255")</f>
        <v>saletructiep_tienganhgiaotiep_PTAGTTD_LD255</v>
      </c>
      <c r="T79" s="107" t="str">
        <f>IFERROR(__xludf.DUMMYFUNCTION("""COMPUTED_VALUE"""),"https://patadovietnam.edu.vn/khoa-giao-tiep-unitedstates/?utm_source=Google&amp;utm_medium=SEA&amp;utm_term=NEW_UnitedStates_none_none_241225&amp;utm_content=saletructiep_tienganhgiaotiep_PTAGTTD_LD255&amp;utm_campaign=UnitedStates.giaotiep.tienganh_Patado_SEA_HoaNT_2412"&amp;"25")</f>
        <v>https://patadovietnam.edu.vn/khoa-giao-tiep-unitedstates/?utm_source=Google&amp;utm_medium=SEA&amp;utm_term=NEW_UnitedStates_none_none_241225&amp;utm_content=saletructiep_tienganhgiaotiep_PTAGTTD_LD255&amp;utm_campaign=UnitedStates.giaotiep.tienganh_Patado_SEA_HoaNT_241225</v>
      </c>
      <c r="U79" s="116"/>
    </row>
    <row r="80">
      <c r="A80" s="72">
        <v>46015.0</v>
      </c>
      <c r="B80" s="60" t="s">
        <v>1256</v>
      </c>
      <c r="C80" s="67" t="str">
        <f>IFERROR(__xludf.DUMMYFUNCTION("""COMPUTED_VALUE"""),"LD255")</f>
        <v>LD255</v>
      </c>
      <c r="D80" s="55" t="s">
        <v>188</v>
      </c>
      <c r="E80" s="55" t="s">
        <v>193</v>
      </c>
      <c r="F80" s="55" t="s">
        <v>107</v>
      </c>
      <c r="G80" s="55" t="s">
        <v>61</v>
      </c>
      <c r="H80" s="55" t="s">
        <v>1261</v>
      </c>
      <c r="I80" s="115" t="s">
        <v>2167</v>
      </c>
      <c r="J80" s="143" t="s">
        <v>1890</v>
      </c>
      <c r="K80" s="55" t="s">
        <v>61</v>
      </c>
      <c r="L80" s="55" t="s">
        <v>1130</v>
      </c>
      <c r="M80" s="55" t="s">
        <v>78</v>
      </c>
      <c r="N80" s="55" t="s">
        <v>193</v>
      </c>
      <c r="O80" s="55" t="s">
        <v>1768</v>
      </c>
      <c r="P80" s="55" t="s">
        <v>110</v>
      </c>
      <c r="Q80" s="67" t="str">
        <f>IFERROR(__xludf.DUMMYFUNCTION("""COMPUTED_VALUE"""),"UnitedStates.giaotiep.tienganh_Patado_SEA_HoaNT_241225")</f>
        <v>UnitedStates.giaotiep.tienganh_Patado_SEA_HoaNT_241225</v>
      </c>
      <c r="R80" s="67" t="str">
        <f>IFERROR(__xludf.DUMMYFUNCTION("""COMPUTED_VALUE"""),"NEW_UnitedStates_none_none_241225")</f>
        <v>NEW_UnitedStates_none_none_241225</v>
      </c>
      <c r="S80" s="67" t="str">
        <f>IFERROR(__xludf.DUMMYFUNCTION("""COMPUTED_VALUE"""),"saletructiep_lopgiaotiep_PTAGTTD_LD255")</f>
        <v>saletructiep_lopgiaotiep_PTAGTTD_LD255</v>
      </c>
      <c r="T80" s="107" t="str">
        <f>IFERROR(__xludf.DUMMYFUNCTION("""COMPUTED_VALUE"""),"https://patadovietnam.edu.vn/khoa-giao-tiep-unitedstates/?utm_source=Google&amp;utm_medium=SEA&amp;utm_term=NEW_UnitedStates_none_none_241225&amp;utm_content=saletructiep_lopgiaotiep_PTAGTTD_LD255&amp;utm_campaign=UnitedStates.giaotiep.tienganh_Patado_SEA_HoaNT_241225")</f>
        <v>https://patadovietnam.edu.vn/khoa-giao-tiep-unitedstates/?utm_source=Google&amp;utm_medium=SEA&amp;utm_term=NEW_UnitedStates_none_none_241225&amp;utm_content=saletructiep_lopgiaotiep_PTAGTTD_LD255&amp;utm_campaign=UnitedStates.giaotiep.tienganh_Patado_SEA_HoaNT_241225</v>
      </c>
      <c r="U80" s="116"/>
    </row>
    <row r="81">
      <c r="A81" s="72">
        <v>46015.0</v>
      </c>
      <c r="B81" s="60" t="s">
        <v>1256</v>
      </c>
      <c r="C81" s="67" t="str">
        <f>IFERROR(__xludf.DUMMYFUNCTION("""COMPUTED_VALUE"""),"LD255")</f>
        <v>LD255</v>
      </c>
      <c r="D81" s="55" t="s">
        <v>188</v>
      </c>
      <c r="E81" s="55" t="s">
        <v>193</v>
      </c>
      <c r="F81" s="55" t="s">
        <v>107</v>
      </c>
      <c r="G81" s="55" t="s">
        <v>61</v>
      </c>
      <c r="H81" s="55" t="s">
        <v>1261</v>
      </c>
      <c r="I81" s="115" t="s">
        <v>2167</v>
      </c>
      <c r="J81" s="143" t="s">
        <v>1900</v>
      </c>
      <c r="K81" s="55" t="s">
        <v>61</v>
      </c>
      <c r="L81" s="55" t="s">
        <v>1130</v>
      </c>
      <c r="M81" s="55" t="s">
        <v>78</v>
      </c>
      <c r="N81" s="55" t="s">
        <v>193</v>
      </c>
      <c r="O81" s="55" t="s">
        <v>1768</v>
      </c>
      <c r="P81" s="55" t="s">
        <v>110</v>
      </c>
      <c r="Q81" s="67" t="str">
        <f>IFERROR(__xludf.DUMMYFUNCTION("""COMPUTED_VALUE"""),"UnitedStates.giaotiep.tienganh_Patado_SEA_HoaNT_241225")</f>
        <v>UnitedStates.giaotiep.tienganh_Patado_SEA_HoaNT_241225</v>
      </c>
      <c r="R81" s="67" t="str">
        <f>IFERROR(__xludf.DUMMYFUNCTION("""COMPUTED_VALUE"""),"NEW_UnitedStates_none_none_241225")</f>
        <v>NEW_UnitedStates_none_none_241225</v>
      </c>
      <c r="S81" s="67" t="str">
        <f>IFERROR(__xludf.DUMMYFUNCTION("""COMPUTED_VALUE"""),"saletructiep_khoahocgiaotiep_PTAGTTD_LD255")</f>
        <v>saletructiep_khoahocgiaotiep_PTAGTTD_LD255</v>
      </c>
      <c r="T81" s="107" t="str">
        <f>IFERROR(__xludf.DUMMYFUNCTION("""COMPUTED_VALUE"""),"https://patadovietnam.edu.vn/khoa-giao-tiep-unitedstates/?utm_source=Google&amp;utm_medium=SEA&amp;utm_term=NEW_UnitedStates_none_none_241225&amp;utm_content=saletructiep_khoahocgiaotiep_PTAGTTD_LD255&amp;utm_campaign=UnitedStates.giaotiep.tienganh_Patado_SEA_HoaNT_24122"&amp;"5")</f>
        <v>https://patadovietnam.edu.vn/khoa-giao-tiep-unitedstates/?utm_source=Google&amp;utm_medium=SEA&amp;utm_term=NEW_UnitedStates_none_none_241225&amp;utm_content=saletructiep_khoahocgiaotiep_PTAGTTD_LD255&amp;utm_campaign=UnitedStates.giaotiep.tienganh_Patado_SEA_HoaNT_241225</v>
      </c>
      <c r="U81" s="116"/>
    </row>
    <row r="82">
      <c r="A82" s="72">
        <v>46015.0</v>
      </c>
      <c r="B82" s="60" t="s">
        <v>1256</v>
      </c>
      <c r="C82" s="67" t="str">
        <f>IFERROR(__xludf.DUMMYFUNCTION("""COMPUTED_VALUE"""),"LD255")</f>
        <v>LD255</v>
      </c>
      <c r="D82" s="55" t="s">
        <v>188</v>
      </c>
      <c r="E82" s="55" t="s">
        <v>193</v>
      </c>
      <c r="F82" s="55" t="s">
        <v>107</v>
      </c>
      <c r="G82" s="55" t="s">
        <v>61</v>
      </c>
      <c r="H82" s="55" t="s">
        <v>1261</v>
      </c>
      <c r="I82" s="115" t="s">
        <v>2167</v>
      </c>
      <c r="J82" s="143" t="s">
        <v>1907</v>
      </c>
      <c r="K82" s="55" t="s">
        <v>61</v>
      </c>
      <c r="L82" s="55" t="s">
        <v>1130</v>
      </c>
      <c r="M82" s="55" t="s">
        <v>78</v>
      </c>
      <c r="N82" s="55" t="s">
        <v>193</v>
      </c>
      <c r="O82" s="55" t="s">
        <v>1768</v>
      </c>
      <c r="P82" s="55" t="s">
        <v>110</v>
      </c>
      <c r="Q82" s="67" t="str">
        <f>IFERROR(__xludf.DUMMYFUNCTION("""COMPUTED_VALUE"""),"UnitedStates.giaotiep.tienganh_Patado_SEA_HoaNT_241225")</f>
        <v>UnitedStates.giaotiep.tienganh_Patado_SEA_HoaNT_241225</v>
      </c>
      <c r="R82" s="67" t="str">
        <f>IFERROR(__xludf.DUMMYFUNCTION("""COMPUTED_VALUE"""),"NEW_UnitedStates_none_none_241225")</f>
        <v>NEW_UnitedStates_none_none_241225</v>
      </c>
      <c r="S82" s="67" t="str">
        <f>IFERROR(__xludf.DUMMYFUNCTION("""COMPUTED_VALUE"""),"saletructiep_trungtamgiaotiep_PTAGTTD_LD255")</f>
        <v>saletructiep_trungtamgiaotiep_PTAGTTD_LD255</v>
      </c>
      <c r="T82" s="107" t="str">
        <f>IFERROR(__xludf.DUMMYFUNCTION("""COMPUTED_VALUE"""),"https://patadovietnam.edu.vn/khoa-giao-tiep-unitedstates/?utm_source=Google&amp;utm_medium=SEA&amp;utm_term=NEW_UnitedStates_none_none_241225&amp;utm_content=saletructiep_trungtamgiaotiep_PTAGTTD_LD255&amp;utm_campaign=UnitedStates.giaotiep.tienganh_Patado_SEA_HoaNT_2412"&amp;"25")</f>
        <v>https://patadovietnam.edu.vn/khoa-giao-tiep-unitedstates/?utm_source=Google&amp;utm_medium=SEA&amp;utm_term=NEW_UnitedStates_none_none_241225&amp;utm_content=saletructiep_trungtamgiaotiep_PTAGTTD_LD255&amp;utm_campaign=UnitedStates.giaotiep.tienganh_Patado_SEA_HoaNT_241225</v>
      </c>
      <c r="U82" s="116"/>
    </row>
    <row r="83">
      <c r="A83" s="72">
        <v>46015.0</v>
      </c>
      <c r="B83" s="60" t="s">
        <v>1256</v>
      </c>
      <c r="C83" s="67" t="str">
        <f>IFERROR(__xludf.DUMMYFUNCTION("""COMPUTED_VALUE"""),"LD255")</f>
        <v>LD255</v>
      </c>
      <c r="D83" s="55" t="s">
        <v>188</v>
      </c>
      <c r="E83" s="55" t="s">
        <v>193</v>
      </c>
      <c r="F83" s="55" t="s">
        <v>107</v>
      </c>
      <c r="G83" s="55" t="s">
        <v>61</v>
      </c>
      <c r="H83" s="55" t="s">
        <v>1261</v>
      </c>
      <c r="I83" s="115" t="s">
        <v>2167</v>
      </c>
      <c r="J83" s="143" t="s">
        <v>1936</v>
      </c>
      <c r="K83" s="55" t="s">
        <v>61</v>
      </c>
      <c r="L83" s="55" t="s">
        <v>1130</v>
      </c>
      <c r="M83" s="55" t="s">
        <v>78</v>
      </c>
      <c r="N83" s="55" t="s">
        <v>193</v>
      </c>
      <c r="O83" s="55" t="s">
        <v>1768</v>
      </c>
      <c r="P83" s="55" t="s">
        <v>110</v>
      </c>
      <c r="Q83" s="67" t="str">
        <f>IFERROR(__xludf.DUMMYFUNCTION("""COMPUTED_VALUE"""),"UnitedStates.giaotiep.tienganh_Patado_SEA_HoaNT_241225")</f>
        <v>UnitedStates.giaotiep.tienganh_Patado_SEA_HoaNT_241225</v>
      </c>
      <c r="R83" s="67" t="str">
        <f>IFERROR(__xludf.DUMMYFUNCTION("""COMPUTED_VALUE"""),"NEW_UnitedStates_none_none_241225")</f>
        <v>NEW_UnitedStates_none_none_241225</v>
      </c>
      <c r="S83" s="67" t="str">
        <f>IFERROR(__xludf.DUMMYFUNCTION("""COMPUTED_VALUE"""),"saletructiep_trungtamPatado_PTAGTTD_LD255")</f>
        <v>saletructiep_trungtamPatado_PTAGTTD_LD255</v>
      </c>
      <c r="T83" s="107" t="str">
        <f>IFERROR(__xludf.DUMMYFUNCTION("""COMPUTED_VALUE"""),"https://patadovietnam.edu.vn/khoa-giao-tiep-unitedstates/?utm_source=Google&amp;utm_medium=SEA&amp;utm_term=NEW_UnitedStates_none_none_241225&amp;utm_content=saletructiep_trungtamPatado_PTAGTTD_LD255&amp;utm_campaign=UnitedStates.giaotiep.tienganh_Patado_SEA_HoaNT_241225")</f>
        <v>https://patadovietnam.edu.vn/khoa-giao-tiep-unitedstates/?utm_source=Google&amp;utm_medium=SEA&amp;utm_term=NEW_UnitedStates_none_none_241225&amp;utm_content=saletructiep_trungtamPatado_PTAGTTD_LD255&amp;utm_campaign=UnitedStates.giaotiep.tienganh_Patado_SEA_HoaNT_241225</v>
      </c>
      <c r="U83" s="116"/>
    </row>
    <row r="84">
      <c r="A84" s="72">
        <v>46015.0</v>
      </c>
      <c r="B84" s="60" t="s">
        <v>1256</v>
      </c>
      <c r="C84" s="67" t="str">
        <f>IFERROR(__xludf.DUMMYFUNCTION("""COMPUTED_VALUE"""),"LD255")</f>
        <v>LD255</v>
      </c>
      <c r="D84" s="55" t="s">
        <v>188</v>
      </c>
      <c r="E84" s="55" t="s">
        <v>193</v>
      </c>
      <c r="F84" s="55" t="s">
        <v>107</v>
      </c>
      <c r="G84" s="55" t="s">
        <v>61</v>
      </c>
      <c r="H84" s="55" t="s">
        <v>1261</v>
      </c>
      <c r="I84" s="115" t="s">
        <v>2167</v>
      </c>
      <c r="J84" s="143" t="s">
        <v>1943</v>
      </c>
      <c r="K84" s="55" t="s">
        <v>61</v>
      </c>
      <c r="L84" s="55" t="s">
        <v>1130</v>
      </c>
      <c r="M84" s="55" t="s">
        <v>78</v>
      </c>
      <c r="N84" s="55" t="s">
        <v>193</v>
      </c>
      <c r="O84" s="55" t="s">
        <v>1768</v>
      </c>
      <c r="P84" s="55" t="s">
        <v>110</v>
      </c>
      <c r="Q84" s="67" t="str">
        <f>IFERROR(__xludf.DUMMYFUNCTION("""COMPUTED_VALUE"""),"UnitedStates.giaotiep.tienganh_Patado_SEA_HoaNT_241225")</f>
        <v>UnitedStates.giaotiep.tienganh_Patado_SEA_HoaNT_241225</v>
      </c>
      <c r="R84" s="67" t="str">
        <f>IFERROR(__xludf.DUMMYFUNCTION("""COMPUTED_VALUE"""),"NEW_UnitedStates_none_none_241225")</f>
        <v>NEW_UnitedStates_none_none_241225</v>
      </c>
      <c r="S84" s="67" t="str">
        <f>IFERROR(__xludf.DUMMYFUNCTION("""COMPUTED_VALUE"""),"saletructiep_trungtamonline_PTAGTTD_LD255")</f>
        <v>saletructiep_trungtamonline_PTAGTTD_LD255</v>
      </c>
      <c r="T84" s="107" t="str">
        <f>IFERROR(__xludf.DUMMYFUNCTION("""COMPUTED_VALUE"""),"https://patadovietnam.edu.vn/khoa-giao-tiep-unitedstates/?utm_source=Google&amp;utm_medium=SEA&amp;utm_term=NEW_UnitedStates_none_none_241225&amp;utm_content=saletructiep_trungtamonline_PTAGTTD_LD255&amp;utm_campaign=UnitedStates.giaotiep.tienganh_Patado_SEA_HoaNT_241225")</f>
        <v>https://patadovietnam.edu.vn/khoa-giao-tiep-unitedstates/?utm_source=Google&amp;utm_medium=SEA&amp;utm_term=NEW_UnitedStates_none_none_241225&amp;utm_content=saletructiep_trungtamonline_PTAGTTD_LD255&amp;utm_campaign=UnitedStates.giaotiep.tienganh_Patado_SEA_HoaNT_241225</v>
      </c>
      <c r="U84" s="116"/>
    </row>
    <row r="85">
      <c r="A85" s="72">
        <v>46015.0</v>
      </c>
      <c r="B85" s="60" t="s">
        <v>1256</v>
      </c>
      <c r="C85" s="67" t="str">
        <f>IFERROR(__xludf.DUMMYFUNCTION("""COMPUTED_VALUE"""),"LD255")</f>
        <v>LD255</v>
      </c>
      <c r="D85" s="55" t="s">
        <v>188</v>
      </c>
      <c r="E85" s="55" t="s">
        <v>193</v>
      </c>
      <c r="F85" s="55" t="s">
        <v>107</v>
      </c>
      <c r="G85" s="55" t="s">
        <v>61</v>
      </c>
      <c r="H85" s="55" t="s">
        <v>1261</v>
      </c>
      <c r="I85" s="115" t="s">
        <v>2167</v>
      </c>
      <c r="J85" s="143" t="s">
        <v>1951</v>
      </c>
      <c r="K85" s="55" t="s">
        <v>61</v>
      </c>
      <c r="L85" s="55" t="s">
        <v>1130</v>
      </c>
      <c r="M85" s="55" t="s">
        <v>78</v>
      </c>
      <c r="N85" s="55" t="s">
        <v>193</v>
      </c>
      <c r="O85" s="55" t="s">
        <v>1768</v>
      </c>
      <c r="P85" s="55" t="s">
        <v>110</v>
      </c>
      <c r="Q85" s="67" t="str">
        <f>IFERROR(__xludf.DUMMYFUNCTION("""COMPUTED_VALUE"""),"UnitedStates.giaotiep.tienganh_Patado_SEA_HoaNT_241225")</f>
        <v>UnitedStates.giaotiep.tienganh_Patado_SEA_HoaNT_241225</v>
      </c>
      <c r="R85" s="67" t="str">
        <f>IFERROR(__xludf.DUMMYFUNCTION("""COMPUTED_VALUE"""),"NEW_UnitedStates_none_none_241225")</f>
        <v>NEW_UnitedStates_none_none_241225</v>
      </c>
      <c r="S85" s="67" t="str">
        <f>IFERROR(__xludf.DUMMYFUNCTION("""COMPUTED_VALUE"""),"saletructiep_tienganhthuongmai_PTAGTTD_LD255")</f>
        <v>saletructiep_tienganhthuongmai_PTAGTTD_LD255</v>
      </c>
      <c r="T85" s="107" t="str">
        <f>IFERROR(__xludf.DUMMYFUNCTION("""COMPUTED_VALUE"""),"https://patadovietnam.edu.vn/khoa-giao-tiep-unitedstates/?utm_source=Google&amp;utm_medium=SEA&amp;utm_term=NEW_UnitedStates_none_none_241225&amp;utm_content=saletructiep_tienganhthuongmai_PTAGTTD_LD255&amp;utm_campaign=UnitedStates.giaotiep.tienganh_Patado_SEA_HoaNT_241"&amp;"225")</f>
        <v>https://patadovietnam.edu.vn/khoa-giao-tiep-unitedstates/?utm_source=Google&amp;utm_medium=SEA&amp;utm_term=NEW_UnitedStates_none_none_241225&amp;utm_content=saletructiep_tienganhthuongmai_PTAGTTD_LD255&amp;utm_campaign=UnitedStates.giaotiep.tienganh_Patado_SEA_HoaNT_241225</v>
      </c>
      <c r="U85" s="116"/>
    </row>
    <row r="86">
      <c r="A86" s="72">
        <v>46015.0</v>
      </c>
      <c r="B86" s="60" t="s">
        <v>1256</v>
      </c>
      <c r="C86" s="67" t="str">
        <f>IFERROR(__xludf.DUMMYFUNCTION("""COMPUTED_VALUE"""),"LD255")</f>
        <v>LD255</v>
      </c>
      <c r="D86" s="55" t="s">
        <v>188</v>
      </c>
      <c r="E86" s="55" t="s">
        <v>193</v>
      </c>
      <c r="F86" s="55" t="s">
        <v>107</v>
      </c>
      <c r="G86" s="55" t="s">
        <v>61</v>
      </c>
      <c r="H86" s="55" t="s">
        <v>1261</v>
      </c>
      <c r="I86" s="115" t="s">
        <v>2167</v>
      </c>
      <c r="J86" s="143" t="s">
        <v>1954</v>
      </c>
      <c r="K86" s="55" t="s">
        <v>61</v>
      </c>
      <c r="L86" s="55" t="s">
        <v>1130</v>
      </c>
      <c r="M86" s="55" t="s">
        <v>78</v>
      </c>
      <c r="N86" s="55" t="s">
        <v>193</v>
      </c>
      <c r="O86" s="55" t="s">
        <v>1768</v>
      </c>
      <c r="P86" s="55" t="s">
        <v>110</v>
      </c>
      <c r="Q86" s="67" t="str">
        <f>IFERROR(__xludf.DUMMYFUNCTION("""COMPUTED_VALUE"""),"UnitedStates.giaotiep.tienganh_Patado_SEA_HoaNT_241225")</f>
        <v>UnitedStates.giaotiep.tienganh_Patado_SEA_HoaNT_241225</v>
      </c>
      <c r="R86" s="67" t="str">
        <f>IFERROR(__xludf.DUMMYFUNCTION("""COMPUTED_VALUE"""),"NEW_UnitedStates_none_none_241225")</f>
        <v>NEW_UnitedStates_none_none_241225</v>
      </c>
      <c r="S86" s="67" t="str">
        <f>IFERROR(__xludf.DUMMYFUNCTION("""COMPUTED_VALUE"""),"saletructiep_hocphi_PTAGTTD_LD255")</f>
        <v>saletructiep_hocphi_PTAGTTD_LD255</v>
      </c>
      <c r="T86" s="107" t="str">
        <f>IFERROR(__xludf.DUMMYFUNCTION("""COMPUTED_VALUE"""),"https://patadovietnam.edu.vn/khoa-giao-tiep-unitedstates/?utm_source=Google&amp;utm_medium=SEA&amp;utm_term=NEW_UnitedStates_none_none_241225&amp;utm_content=saletructiep_hocphi_PTAGTTD_LD255&amp;utm_campaign=UnitedStates.giaotiep.tienganh_Patado_SEA_HoaNT_241225")</f>
        <v>https://patadovietnam.edu.vn/khoa-giao-tiep-unitedstates/?utm_source=Google&amp;utm_medium=SEA&amp;utm_term=NEW_UnitedStates_none_none_241225&amp;utm_content=saletructiep_hocphi_PTAGTTD_LD255&amp;utm_campaign=UnitedStates.giaotiep.tienganh_Patado_SEA_HoaNT_241225</v>
      </c>
      <c r="U86" s="116"/>
    </row>
    <row r="87">
      <c r="A87" s="72">
        <v>46015.0</v>
      </c>
      <c r="B87" s="60" t="s">
        <v>1256</v>
      </c>
      <c r="C87" s="67" t="str">
        <f>IFERROR(__xludf.DUMMYFUNCTION("""COMPUTED_VALUE"""),"LD255")</f>
        <v>LD255</v>
      </c>
      <c r="D87" s="55" t="s">
        <v>188</v>
      </c>
      <c r="E87" s="55" t="s">
        <v>193</v>
      </c>
      <c r="F87" s="55" t="s">
        <v>107</v>
      </c>
      <c r="G87" s="55" t="s">
        <v>61</v>
      </c>
      <c r="H87" s="55" t="s">
        <v>1261</v>
      </c>
      <c r="I87" s="115" t="s">
        <v>2167</v>
      </c>
      <c r="J87" s="142" t="s">
        <v>2158</v>
      </c>
      <c r="K87" s="55" t="s">
        <v>61</v>
      </c>
      <c r="L87" s="55" t="s">
        <v>1130</v>
      </c>
      <c r="M87" s="55" t="s">
        <v>78</v>
      </c>
      <c r="N87" s="55" t="s">
        <v>193</v>
      </c>
      <c r="O87" s="55" t="s">
        <v>1768</v>
      </c>
      <c r="P87" s="55" t="s">
        <v>110</v>
      </c>
      <c r="Q87" s="67" t="str">
        <f>IFERROR(__xludf.DUMMYFUNCTION("""COMPUTED_VALUE"""),"UnitedStates.giaotiep.tienganh_Patado_SEA_HoaNT_241225")</f>
        <v>UnitedStates.giaotiep.tienganh_Patado_SEA_HoaNT_241225</v>
      </c>
      <c r="R87" s="67" t="str">
        <f>IFERROR(__xludf.DUMMYFUNCTION("""COMPUTED_VALUE"""),"NEW_UnitedStates_none_none_241225")</f>
        <v>NEW_UnitedStates_none_none_241225</v>
      </c>
      <c r="S87" s="67" t="str">
        <f>IFERROR(__xludf.DUMMYFUNCTION("""COMPUTED_VALUE"""),"saletructiep_tienganhnail_PTAGTTD_LD255")</f>
        <v>saletructiep_tienganhnail_PTAGTTD_LD255</v>
      </c>
      <c r="T87" s="107" t="str">
        <f>IFERROR(__xludf.DUMMYFUNCTION("""COMPUTED_VALUE"""),"https://patadovietnam.edu.vn/khoa-giao-tiep-unitedstates/?utm_source=Google&amp;utm_medium=SEA&amp;utm_term=NEW_UnitedStates_none_none_241225&amp;utm_content=saletructiep_tienganhnail_PTAGTTD_LD255&amp;utm_campaign=UnitedStates.giaotiep.tienganh_Patado_SEA_HoaNT_241225")</f>
        <v>https://patadovietnam.edu.vn/khoa-giao-tiep-unitedstates/?utm_source=Google&amp;utm_medium=SEA&amp;utm_term=NEW_UnitedStates_none_none_241225&amp;utm_content=saletructiep_tienganhnail_PTAGTTD_LD255&amp;utm_campaign=UnitedStates.giaotiep.tienganh_Patado_SEA_HoaNT_241225</v>
      </c>
      <c r="U87" s="116"/>
    </row>
    <row r="88">
      <c r="A88" s="72">
        <v>46015.0</v>
      </c>
      <c r="B88" s="60" t="s">
        <v>1256</v>
      </c>
      <c r="C88" s="67" t="str">
        <f>IFERROR(__xludf.DUMMYFUNCTION("""COMPUTED_VALUE"""),"LD255")</f>
        <v>LD255</v>
      </c>
      <c r="D88" s="55" t="s">
        <v>188</v>
      </c>
      <c r="E88" s="55" t="s">
        <v>193</v>
      </c>
      <c r="F88" s="55" t="s">
        <v>107</v>
      </c>
      <c r="G88" s="55" t="s">
        <v>61</v>
      </c>
      <c r="H88" s="55" t="s">
        <v>1261</v>
      </c>
      <c r="I88" s="115" t="s">
        <v>2167</v>
      </c>
      <c r="J88" s="143" t="s">
        <v>1790</v>
      </c>
      <c r="K88" s="55" t="s">
        <v>61</v>
      </c>
      <c r="L88" s="55" t="s">
        <v>1130</v>
      </c>
      <c r="M88" s="55" t="s">
        <v>78</v>
      </c>
      <c r="N88" s="55" t="s">
        <v>193</v>
      </c>
      <c r="O88" s="55" t="s">
        <v>1768</v>
      </c>
      <c r="P88" s="55" t="s">
        <v>110</v>
      </c>
      <c r="Q88" s="67" t="str">
        <f>IFERROR(__xludf.DUMMYFUNCTION("""COMPUTED_VALUE"""),"UnitedStates.giaotiep.tienganh_Patado_SEA_HoaNT_241225")</f>
        <v>UnitedStates.giaotiep.tienganh_Patado_SEA_HoaNT_241225</v>
      </c>
      <c r="R88" s="67" t="str">
        <f>IFERROR(__xludf.DUMMYFUNCTION("""COMPUTED_VALUE"""),"NEW_UnitedStates_none_none_241225")</f>
        <v>NEW_UnitedStates_none_none_241225</v>
      </c>
      <c r="S88" s="67" t="str">
        <f>IFERROR(__xludf.DUMMYFUNCTION("""COMPUTED_VALUE"""),"saletructiep_tienganhgiaotiep11_PTAGTTD_LD255")</f>
        <v>saletructiep_tienganhgiaotiep11_PTAGTTD_LD255</v>
      </c>
      <c r="T88" s="107" t="str">
        <f>IFERROR(__xludf.DUMMYFUNCTION("""COMPUTED_VALUE"""),"https://patadovietnam.edu.vn/khoa-giao-tiep-unitedstates/?utm_source=Google&amp;utm_medium=SEA&amp;utm_term=NEW_UnitedStates_none_none_241225&amp;utm_content=saletructiep_tienganhgiaotiep11_PTAGTTD_LD255&amp;utm_campaign=UnitedStates.giaotiep.tienganh_Patado_SEA_HoaNT_24"&amp;"1225")</f>
        <v>https://patadovietnam.edu.vn/khoa-giao-tiep-unitedstates/?utm_source=Google&amp;utm_medium=SEA&amp;utm_term=NEW_UnitedStates_none_none_241225&amp;utm_content=saletructiep_tienganhgiaotiep11_PTAGTTD_LD255&amp;utm_campaign=UnitedStates.giaotiep.tienganh_Patado_SEA_HoaNT_241225</v>
      </c>
      <c r="U88" s="116"/>
    </row>
    <row r="89">
      <c r="A89" s="72">
        <v>46015.0</v>
      </c>
      <c r="B89" s="60" t="s">
        <v>1290</v>
      </c>
      <c r="C89" s="67" t="str">
        <f>IFERROR(__xludf.DUMMYFUNCTION("""COMPUTED_VALUE"""),"LD256")</f>
        <v>LD256</v>
      </c>
      <c r="D89" s="55" t="s">
        <v>188</v>
      </c>
      <c r="E89" s="55" t="s">
        <v>193</v>
      </c>
      <c r="F89" s="55" t="s">
        <v>107</v>
      </c>
      <c r="G89" s="55" t="s">
        <v>61</v>
      </c>
      <c r="H89" s="55" t="s">
        <v>1261</v>
      </c>
      <c r="I89" s="115" t="s">
        <v>2305</v>
      </c>
      <c r="J89" s="143" t="s">
        <v>1765</v>
      </c>
      <c r="K89" s="55" t="s">
        <v>61</v>
      </c>
      <c r="L89" s="55" t="s">
        <v>1130</v>
      </c>
      <c r="M89" s="55" t="s">
        <v>78</v>
      </c>
      <c r="N89" s="55" t="s">
        <v>193</v>
      </c>
      <c r="O89" s="55" t="s">
        <v>1768</v>
      </c>
      <c r="P89" s="55" t="s">
        <v>110</v>
      </c>
      <c r="Q89" s="67" t="str">
        <f>IFERROR(__xludf.DUMMYFUNCTION("""COMPUTED_VALUE"""),"ALL.giaotiep.tienganh_Patado_SEA_HoaNT_241225")</f>
        <v>ALL.giaotiep.tienganh_Patado_SEA_HoaNT_241225</v>
      </c>
      <c r="R89" s="67" t="str">
        <f>IFERROR(__xludf.DUMMYFUNCTION("""COMPUTED_VALUE"""),"NEW_UnitedStates_none_none_241225")</f>
        <v>NEW_UnitedStates_none_none_241225</v>
      </c>
      <c r="S89" s="67" t="str">
        <f>IFERROR(__xludf.DUMMYFUNCTION("""COMPUTED_VALUE"""),"saletructiep_hoctienganhonline_PTAGTTD_LD256")</f>
        <v>saletructiep_hoctienganhonline_PTAGTTD_LD256</v>
      </c>
      <c r="T89" s="107" t="str">
        <f>IFERROR(__xludf.DUMMYFUNCTION("""COMPUTED_VALUE"""),"https://patadovietnam.edu.vn/khoa-giao-tiep-tieng-anh-online-all/?utm_source=Google&amp;utm_medium=SEA&amp;utm_term=NEW_UnitedStates_none_none_241225&amp;utm_content=saletructiep_hoctienganhonline_PTAGTTD_LD256&amp;utm_campaign=ALL.giaotiep.tienganh_Patado_SEA_HoaNT_2412"&amp;"25")</f>
        <v>https://patadovietnam.edu.vn/khoa-giao-tiep-tieng-anh-online-all/?utm_source=Google&amp;utm_medium=SEA&amp;utm_term=NEW_UnitedStates_none_none_241225&amp;utm_content=saletructiep_hoctienganhonline_PTAGTTD_LD256&amp;utm_campaign=ALL.giaotiep.tienganh_Patado_SEA_HoaNT_241225</v>
      </c>
      <c r="U89" s="116"/>
    </row>
    <row r="90">
      <c r="A90" s="72">
        <v>46015.0</v>
      </c>
      <c r="B90" s="60" t="s">
        <v>1290</v>
      </c>
      <c r="C90" s="67" t="str">
        <f>IFERROR(__xludf.DUMMYFUNCTION("""COMPUTED_VALUE"""),"LD256")</f>
        <v>LD256</v>
      </c>
      <c r="D90" s="55" t="s">
        <v>188</v>
      </c>
      <c r="E90" s="55" t="s">
        <v>193</v>
      </c>
      <c r="F90" s="55" t="s">
        <v>107</v>
      </c>
      <c r="G90" s="55" t="s">
        <v>61</v>
      </c>
      <c r="H90" s="55" t="s">
        <v>1261</v>
      </c>
      <c r="I90" s="115" t="s">
        <v>2305</v>
      </c>
      <c r="J90" s="55" t="s">
        <v>1775</v>
      </c>
      <c r="K90" s="55" t="s">
        <v>61</v>
      </c>
      <c r="L90" s="55" t="s">
        <v>1130</v>
      </c>
      <c r="M90" s="55" t="s">
        <v>78</v>
      </c>
      <c r="N90" s="55" t="s">
        <v>193</v>
      </c>
      <c r="O90" s="55" t="s">
        <v>1768</v>
      </c>
      <c r="P90" s="55" t="s">
        <v>110</v>
      </c>
      <c r="Q90" s="67" t="str">
        <f>IFERROR(__xludf.DUMMYFUNCTION("""COMPUTED_VALUE"""),"ALL.giaotiep.tienganh_Patado_SEA_HoaNT_241225")</f>
        <v>ALL.giaotiep.tienganh_Patado_SEA_HoaNT_241225</v>
      </c>
      <c r="R90" s="67" t="str">
        <f>IFERROR(__xludf.DUMMYFUNCTION("""COMPUTED_VALUE"""),"NEW_UnitedStates_none_none_241225")</f>
        <v>NEW_UnitedStates_none_none_241225</v>
      </c>
      <c r="S90" s="67" t="str">
        <f>IFERROR(__xludf.DUMMYFUNCTION("""COMPUTED_VALUE"""),"saletructiep_khoahoctienganhonline_PTAGTTD_LD256")</f>
        <v>saletructiep_khoahoctienganhonline_PTAGTTD_LD256</v>
      </c>
      <c r="T90" s="107" t="str">
        <f>IFERROR(__xludf.DUMMYFUNCTION("""COMPUTED_VALUE"""),"https://patadovietnam.edu.vn/khoa-giao-tiep-tieng-anh-online-all/?utm_source=Google&amp;utm_medium=SEA&amp;utm_term=NEW_UnitedStates_none_none_241225&amp;utm_content=saletructiep_khoahoctienganhonline_PTAGTTD_LD256&amp;utm_campaign=ALL.giaotiep.tienganh_Patado_SEA_HoaNT_"&amp;"241225")</f>
        <v>https://patadovietnam.edu.vn/khoa-giao-tiep-tieng-anh-online-all/?utm_source=Google&amp;utm_medium=SEA&amp;utm_term=NEW_UnitedStates_none_none_241225&amp;utm_content=saletructiep_khoahoctienganhonline_PTAGTTD_LD256&amp;utm_campaign=ALL.giaotiep.tienganh_Patado_SEA_HoaNT_241225</v>
      </c>
      <c r="U90" s="116"/>
    </row>
    <row r="91">
      <c r="A91" s="72">
        <v>46015.0</v>
      </c>
      <c r="B91" s="60" t="s">
        <v>1290</v>
      </c>
      <c r="C91" s="67" t="str">
        <f>IFERROR(__xludf.DUMMYFUNCTION("""COMPUTED_VALUE"""),"LD256")</f>
        <v>LD256</v>
      </c>
      <c r="D91" s="55" t="s">
        <v>188</v>
      </c>
      <c r="E91" s="55" t="s">
        <v>193</v>
      </c>
      <c r="F91" s="55" t="s">
        <v>107</v>
      </c>
      <c r="G91" s="55" t="s">
        <v>61</v>
      </c>
      <c r="H91" s="55" t="s">
        <v>1261</v>
      </c>
      <c r="I91" s="115" t="s">
        <v>2305</v>
      </c>
      <c r="J91" s="143" t="s">
        <v>1781</v>
      </c>
      <c r="K91" s="55" t="s">
        <v>61</v>
      </c>
      <c r="L91" s="55" t="s">
        <v>1130</v>
      </c>
      <c r="M91" s="55" t="s">
        <v>78</v>
      </c>
      <c r="N91" s="55" t="s">
        <v>193</v>
      </c>
      <c r="O91" s="55" t="s">
        <v>1768</v>
      </c>
      <c r="P91" s="55" t="s">
        <v>110</v>
      </c>
      <c r="Q91" s="67" t="str">
        <f>IFERROR(__xludf.DUMMYFUNCTION("""COMPUTED_VALUE"""),"ALL.giaotiep.tienganh_Patado_SEA_HoaNT_241225")</f>
        <v>ALL.giaotiep.tienganh_Patado_SEA_HoaNT_241225</v>
      </c>
      <c r="R91" s="67" t="str">
        <f>IFERROR(__xludf.DUMMYFUNCTION("""COMPUTED_VALUE"""),"NEW_UnitedStates_none_none_241225")</f>
        <v>NEW_UnitedStates_none_none_241225</v>
      </c>
      <c r="S91" s="67" t="str">
        <f>IFERROR(__xludf.DUMMYFUNCTION("""COMPUTED_VALUE"""),"saletructiep_tienganhonline11_PTAGTTD_LD256")</f>
        <v>saletructiep_tienganhonline11_PTAGTTD_LD256</v>
      </c>
      <c r="T91" s="107" t="str">
        <f>IFERROR(__xludf.DUMMYFUNCTION("""COMPUTED_VALUE"""),"https://patadovietnam.edu.vn/khoa-giao-tiep-tieng-anh-online-all/?utm_source=Google&amp;utm_medium=SEA&amp;utm_term=NEW_UnitedStates_none_none_241225&amp;utm_content=saletructiep_tienganhonline11_PTAGTTD_LD256&amp;utm_campaign=ALL.giaotiep.tienganh_Patado_SEA_HoaNT_24122"&amp;"5")</f>
        <v>https://patadovietnam.edu.vn/khoa-giao-tiep-tieng-anh-online-all/?utm_source=Google&amp;utm_medium=SEA&amp;utm_term=NEW_UnitedStates_none_none_241225&amp;utm_content=saletructiep_tienganhonline11_PTAGTTD_LD256&amp;utm_campaign=ALL.giaotiep.tienganh_Patado_SEA_HoaNT_241225</v>
      </c>
      <c r="U91" s="116"/>
    </row>
    <row r="92">
      <c r="A92" s="72">
        <v>46015.0</v>
      </c>
      <c r="B92" s="60" t="s">
        <v>1290</v>
      </c>
      <c r="C92" s="67" t="str">
        <f>IFERROR(__xludf.DUMMYFUNCTION("""COMPUTED_VALUE"""),"LD256")</f>
        <v>LD256</v>
      </c>
      <c r="D92" s="55" t="s">
        <v>188</v>
      </c>
      <c r="E92" s="55" t="s">
        <v>193</v>
      </c>
      <c r="F92" s="55" t="s">
        <v>107</v>
      </c>
      <c r="G92" s="55" t="s">
        <v>61</v>
      </c>
      <c r="H92" s="55" t="s">
        <v>1261</v>
      </c>
      <c r="I92" s="115" t="s">
        <v>2305</v>
      </c>
      <c r="J92" s="143" t="s">
        <v>1799</v>
      </c>
      <c r="K92" s="55" t="s">
        <v>61</v>
      </c>
      <c r="L92" s="55" t="s">
        <v>1130</v>
      </c>
      <c r="M92" s="55" t="s">
        <v>78</v>
      </c>
      <c r="N92" s="55" t="s">
        <v>193</v>
      </c>
      <c r="O92" s="55" t="s">
        <v>1768</v>
      </c>
      <c r="P92" s="55" t="s">
        <v>110</v>
      </c>
      <c r="Q92" s="67" t="str">
        <f>IFERROR(__xludf.DUMMYFUNCTION("""COMPUTED_VALUE"""),"ALL.giaotiep.tienganh_Patado_SEA_HoaNT_241225")</f>
        <v>ALL.giaotiep.tienganh_Patado_SEA_HoaNT_241225</v>
      </c>
      <c r="R92" s="67" t="str">
        <f>IFERROR(__xludf.DUMMYFUNCTION("""COMPUTED_VALUE"""),"NEW_UnitedStates_none_none_241225")</f>
        <v>NEW_UnitedStates_none_none_241225</v>
      </c>
      <c r="S92" s="67" t="str">
        <f>IFERROR(__xludf.DUMMYFUNCTION("""COMPUTED_VALUE"""),"saletructiep_tienganhchongbatdau_PTAGTTD_LD256")</f>
        <v>saletructiep_tienganhchongbatdau_PTAGTTD_LD256</v>
      </c>
      <c r="T92" s="107" t="str">
        <f>IFERROR(__xludf.DUMMYFUNCTION("""COMPUTED_VALUE"""),"https://patadovietnam.edu.vn/khoa-giao-tiep-tieng-anh-online-all/?utm_source=Google&amp;utm_medium=SEA&amp;utm_term=NEW_UnitedStates_none_none_241225&amp;utm_content=saletructiep_tienganhchongbatdau_PTAGTTD_LD256&amp;utm_campaign=ALL.giaotiep.tienganh_Patado_SEA_HoaNT_24"&amp;"1225")</f>
        <v>https://patadovietnam.edu.vn/khoa-giao-tiep-tieng-anh-online-all/?utm_source=Google&amp;utm_medium=SEA&amp;utm_term=NEW_UnitedStates_none_none_241225&amp;utm_content=saletructiep_tienganhchongbatdau_PTAGTTD_LD256&amp;utm_campaign=ALL.giaotiep.tienganh_Patado_SEA_HoaNT_241225</v>
      </c>
      <c r="U92" s="116"/>
    </row>
    <row r="93">
      <c r="A93" s="72">
        <v>46015.0</v>
      </c>
      <c r="B93" s="60" t="s">
        <v>1290</v>
      </c>
      <c r="C93" s="67" t="str">
        <f>IFERROR(__xludf.DUMMYFUNCTION("""COMPUTED_VALUE"""),"LD256")</f>
        <v>LD256</v>
      </c>
      <c r="D93" s="55" t="s">
        <v>188</v>
      </c>
      <c r="E93" s="55" t="s">
        <v>193</v>
      </c>
      <c r="F93" s="55" t="s">
        <v>107</v>
      </c>
      <c r="G93" s="55" t="s">
        <v>61</v>
      </c>
      <c r="H93" s="55" t="s">
        <v>1261</v>
      </c>
      <c r="I93" s="115" t="s">
        <v>2305</v>
      </c>
      <c r="J93" s="55" t="s">
        <v>1805</v>
      </c>
      <c r="K93" s="55" t="s">
        <v>61</v>
      </c>
      <c r="L93" s="55" t="s">
        <v>1130</v>
      </c>
      <c r="M93" s="55" t="s">
        <v>78</v>
      </c>
      <c r="N93" s="55" t="s">
        <v>193</v>
      </c>
      <c r="O93" s="55" t="s">
        <v>1768</v>
      </c>
      <c r="P93" s="55" t="s">
        <v>110</v>
      </c>
      <c r="Q93" s="67" t="str">
        <f>IFERROR(__xludf.DUMMYFUNCTION("""COMPUTED_VALUE"""),"ALL.giaotiep.tienganh_Patado_SEA_HoaNT_241225")</f>
        <v>ALL.giaotiep.tienganh_Patado_SEA_HoaNT_241225</v>
      </c>
      <c r="R93" s="67" t="str">
        <f>IFERROR(__xludf.DUMMYFUNCTION("""COMPUTED_VALUE"""),"NEW_UnitedStates_none_none_241225")</f>
        <v>NEW_UnitedStates_none_none_241225</v>
      </c>
      <c r="S93" s="67" t="str">
        <f>IFERROR(__xludf.DUMMYFUNCTION("""COMPUTED_VALUE"""),"saletructiep_tienganhgiaotiepngbatdau_PTAGTTD_LD256")</f>
        <v>saletructiep_tienganhgiaotiepngbatdau_PTAGTTD_LD256</v>
      </c>
      <c r="T93" s="107" t="str">
        <f>IFERROR(__xludf.DUMMYFUNCTION("""COMPUTED_VALUE"""),"https://patadovietnam.edu.vn/khoa-giao-tiep-tieng-anh-online-all/?utm_source=Google&amp;utm_medium=SEA&amp;utm_term=NEW_UnitedStates_none_none_241225&amp;utm_content=saletructiep_tienganhgiaotiepngbatdau_PTAGTTD_LD256&amp;utm_campaign=ALL.giaotiep.tienganh_Patado_SEA_Hoa"&amp;"NT_241225")</f>
        <v>https://patadovietnam.edu.vn/khoa-giao-tiep-tieng-anh-online-all/?utm_source=Google&amp;utm_medium=SEA&amp;utm_term=NEW_UnitedStates_none_none_241225&amp;utm_content=saletructiep_tienganhgiaotiepngbatdau_PTAGTTD_LD256&amp;utm_campaign=ALL.giaotiep.tienganh_Patado_SEA_HoaNT_241225</v>
      </c>
      <c r="U93" s="116"/>
    </row>
    <row r="94">
      <c r="A94" s="72">
        <v>46015.0</v>
      </c>
      <c r="B94" s="60" t="s">
        <v>1290</v>
      </c>
      <c r="C94" s="67" t="str">
        <f>IFERROR(__xludf.DUMMYFUNCTION("""COMPUTED_VALUE"""),"LD256")</f>
        <v>LD256</v>
      </c>
      <c r="D94" s="55" t="s">
        <v>188</v>
      </c>
      <c r="E94" s="55" t="s">
        <v>193</v>
      </c>
      <c r="F94" s="55" t="s">
        <v>107</v>
      </c>
      <c r="G94" s="55" t="s">
        <v>61</v>
      </c>
      <c r="H94" s="55" t="s">
        <v>1261</v>
      </c>
      <c r="I94" s="115" t="s">
        <v>2305</v>
      </c>
      <c r="J94" s="143" t="s">
        <v>1814</v>
      </c>
      <c r="K94" s="55" t="s">
        <v>61</v>
      </c>
      <c r="L94" s="55" t="s">
        <v>1130</v>
      </c>
      <c r="M94" s="55" t="s">
        <v>78</v>
      </c>
      <c r="N94" s="55" t="s">
        <v>193</v>
      </c>
      <c r="O94" s="55" t="s">
        <v>1768</v>
      </c>
      <c r="P94" s="55" t="s">
        <v>110</v>
      </c>
      <c r="Q94" s="67" t="str">
        <f>IFERROR(__xludf.DUMMYFUNCTION("""COMPUTED_VALUE"""),"ALL.giaotiep.tienganh_Patado_SEA_HoaNT_241225")</f>
        <v>ALL.giaotiep.tienganh_Patado_SEA_HoaNT_241225</v>
      </c>
      <c r="R94" s="67" t="str">
        <f>IFERROR(__xludf.DUMMYFUNCTION("""COMPUTED_VALUE"""),"NEW_UnitedStates_none_none_241225")</f>
        <v>NEW_UnitedStates_none_none_241225</v>
      </c>
      <c r="S94" s="67" t="str">
        <f>IFERROR(__xludf.DUMMYFUNCTION("""COMPUTED_VALUE"""),"saletructiep_tienganhngmatgoc_PTAGTTD_LD256")</f>
        <v>saletructiep_tienganhngmatgoc_PTAGTTD_LD256</v>
      </c>
      <c r="T94" s="107" t="str">
        <f>IFERROR(__xludf.DUMMYFUNCTION("""COMPUTED_VALUE"""),"https://patadovietnam.edu.vn/khoa-giao-tiep-tieng-anh-online-all/?utm_source=Google&amp;utm_medium=SEA&amp;utm_term=NEW_UnitedStates_none_none_241225&amp;utm_content=saletructiep_tienganhngmatgoc_PTAGTTD_LD256&amp;utm_campaign=ALL.giaotiep.tienganh_Patado_SEA_HoaNT_24122"&amp;"5")</f>
        <v>https://patadovietnam.edu.vn/khoa-giao-tiep-tieng-anh-online-all/?utm_source=Google&amp;utm_medium=SEA&amp;utm_term=NEW_UnitedStates_none_none_241225&amp;utm_content=saletructiep_tienganhngmatgoc_PTAGTTD_LD256&amp;utm_campaign=ALL.giaotiep.tienganh_Patado_SEA_HoaNT_241225</v>
      </c>
      <c r="U94" s="116"/>
    </row>
    <row r="95">
      <c r="A95" s="72">
        <v>46015.0</v>
      </c>
      <c r="B95" s="60" t="s">
        <v>1290</v>
      </c>
      <c r="C95" s="67" t="str">
        <f>IFERROR(__xludf.DUMMYFUNCTION("""COMPUTED_VALUE"""),"LD256")</f>
        <v>LD256</v>
      </c>
      <c r="D95" s="55" t="s">
        <v>188</v>
      </c>
      <c r="E95" s="55" t="s">
        <v>193</v>
      </c>
      <c r="F95" s="55" t="s">
        <v>107</v>
      </c>
      <c r="G95" s="55" t="s">
        <v>61</v>
      </c>
      <c r="H95" s="55" t="s">
        <v>1261</v>
      </c>
      <c r="I95" s="115" t="s">
        <v>2305</v>
      </c>
      <c r="J95" s="143" t="s">
        <v>1843</v>
      </c>
      <c r="K95" s="55" t="s">
        <v>61</v>
      </c>
      <c r="L95" s="55" t="s">
        <v>1130</v>
      </c>
      <c r="M95" s="55" t="s">
        <v>78</v>
      </c>
      <c r="N95" s="55" t="s">
        <v>193</v>
      </c>
      <c r="O95" s="55" t="s">
        <v>1768</v>
      </c>
      <c r="P95" s="55" t="s">
        <v>110</v>
      </c>
      <c r="Q95" s="67" t="str">
        <f>IFERROR(__xludf.DUMMYFUNCTION("""COMPUTED_VALUE"""),"ALL.giaotiep.tienganh_Patado_SEA_HoaNT_241225")</f>
        <v>ALL.giaotiep.tienganh_Patado_SEA_HoaNT_241225</v>
      </c>
      <c r="R95" s="67" t="str">
        <f>IFERROR(__xludf.DUMMYFUNCTION("""COMPUTED_VALUE"""),"NEW_UnitedStates_none_none_241225")</f>
        <v>NEW_UnitedStates_none_none_241225</v>
      </c>
      <c r="S95" s="67" t="str">
        <f>IFERROR(__xludf.DUMMYFUNCTION("""COMPUTED_VALUE"""),"saletructiep_khoahocngdilam_PTAGTTD_LD256")</f>
        <v>saletructiep_khoahocngdilam_PTAGTTD_LD256</v>
      </c>
      <c r="T95" s="107" t="str">
        <f>IFERROR(__xludf.DUMMYFUNCTION("""COMPUTED_VALUE"""),"https://patadovietnam.edu.vn/khoa-giao-tiep-tieng-anh-online-all/?utm_source=Google&amp;utm_medium=SEA&amp;utm_term=NEW_UnitedStates_none_none_241225&amp;utm_content=saletructiep_khoahocngdilam_PTAGTTD_LD256&amp;utm_campaign=ALL.giaotiep.tienganh_Patado_SEA_HoaNT_241225")</f>
        <v>https://patadovietnam.edu.vn/khoa-giao-tiep-tieng-anh-online-all/?utm_source=Google&amp;utm_medium=SEA&amp;utm_term=NEW_UnitedStates_none_none_241225&amp;utm_content=saletructiep_khoahocngdilam_PTAGTTD_LD256&amp;utm_campaign=ALL.giaotiep.tienganh_Patado_SEA_HoaNT_241225</v>
      </c>
      <c r="U95" s="116"/>
    </row>
    <row r="96">
      <c r="A96" s="72">
        <v>46015.0</v>
      </c>
      <c r="B96" s="60" t="s">
        <v>1290</v>
      </c>
      <c r="C96" s="67" t="str">
        <f>IFERROR(__xludf.DUMMYFUNCTION("""COMPUTED_VALUE"""),"LD256")</f>
        <v>LD256</v>
      </c>
      <c r="D96" s="55" t="s">
        <v>188</v>
      </c>
      <c r="E96" s="55" t="s">
        <v>193</v>
      </c>
      <c r="F96" s="55" t="s">
        <v>107</v>
      </c>
      <c r="G96" s="55" t="s">
        <v>61</v>
      </c>
      <c r="H96" s="55" t="s">
        <v>1261</v>
      </c>
      <c r="I96" s="115" t="s">
        <v>2305</v>
      </c>
      <c r="J96" s="143" t="s">
        <v>1851</v>
      </c>
      <c r="K96" s="55" t="s">
        <v>61</v>
      </c>
      <c r="L96" s="55" t="s">
        <v>1130</v>
      </c>
      <c r="M96" s="55" t="s">
        <v>78</v>
      </c>
      <c r="N96" s="55" t="s">
        <v>193</v>
      </c>
      <c r="O96" s="55" t="s">
        <v>1768</v>
      </c>
      <c r="P96" s="55" t="s">
        <v>110</v>
      </c>
      <c r="Q96" s="67" t="str">
        <f>IFERROR(__xludf.DUMMYFUNCTION("""COMPUTED_VALUE"""),"ALL.giaotiep.tienganh_Patado_SEA_HoaNT_241225")</f>
        <v>ALL.giaotiep.tienganh_Patado_SEA_HoaNT_241225</v>
      </c>
      <c r="R96" s="67" t="str">
        <f>IFERROR(__xludf.DUMMYFUNCTION("""COMPUTED_VALUE"""),"NEW_UnitedStates_none_none_241225")</f>
        <v>NEW_UnitedStates_none_none_241225</v>
      </c>
      <c r="S96" s="67" t="str">
        <f>IFERROR(__xludf.DUMMYFUNCTION("""COMPUTED_VALUE"""),"saletructiep_trungtamchongdilam_PTAGTTD_LD256")</f>
        <v>saletructiep_trungtamchongdilam_PTAGTTD_LD256</v>
      </c>
      <c r="T96" s="107" t="str">
        <f>IFERROR(__xludf.DUMMYFUNCTION("""COMPUTED_VALUE"""),"https://patadovietnam.edu.vn/khoa-giao-tiep-tieng-anh-online-all/?utm_source=Google&amp;utm_medium=SEA&amp;utm_term=NEW_UnitedStates_none_none_241225&amp;utm_content=saletructiep_trungtamchongdilam_PTAGTTD_LD256&amp;utm_campaign=ALL.giaotiep.tienganh_Patado_SEA_HoaNT_241"&amp;"225")</f>
        <v>https://patadovietnam.edu.vn/khoa-giao-tiep-tieng-anh-online-all/?utm_source=Google&amp;utm_medium=SEA&amp;utm_term=NEW_UnitedStates_none_none_241225&amp;utm_content=saletructiep_trungtamchongdilam_PTAGTTD_LD256&amp;utm_campaign=ALL.giaotiep.tienganh_Patado_SEA_HoaNT_241225</v>
      </c>
      <c r="U96" s="116"/>
    </row>
    <row r="97">
      <c r="A97" s="72">
        <v>46015.0</v>
      </c>
      <c r="B97" s="60" t="s">
        <v>1290</v>
      </c>
      <c r="C97" s="67" t="str">
        <f>IFERROR(__xludf.DUMMYFUNCTION("""COMPUTED_VALUE"""),"LD256")</f>
        <v>LD256</v>
      </c>
      <c r="D97" s="55" t="s">
        <v>188</v>
      </c>
      <c r="E97" s="55" t="s">
        <v>193</v>
      </c>
      <c r="F97" s="55" t="s">
        <v>107</v>
      </c>
      <c r="G97" s="55" t="s">
        <v>61</v>
      </c>
      <c r="H97" s="55" t="s">
        <v>1261</v>
      </c>
      <c r="I97" s="115" t="s">
        <v>2305</v>
      </c>
      <c r="J97" s="143" t="s">
        <v>1860</v>
      </c>
      <c r="K97" s="55" t="s">
        <v>61</v>
      </c>
      <c r="L97" s="55" t="s">
        <v>1130</v>
      </c>
      <c r="M97" s="55" t="s">
        <v>78</v>
      </c>
      <c r="N97" s="55" t="s">
        <v>193</v>
      </c>
      <c r="O97" s="55" t="s">
        <v>1768</v>
      </c>
      <c r="P97" s="55" t="s">
        <v>110</v>
      </c>
      <c r="Q97" s="67" t="str">
        <f>IFERROR(__xludf.DUMMYFUNCTION("""COMPUTED_VALUE"""),"ALL.giaotiep.tienganh_Patado_SEA_HoaNT_241225")</f>
        <v>ALL.giaotiep.tienganh_Patado_SEA_HoaNT_241225</v>
      </c>
      <c r="R97" s="67" t="str">
        <f>IFERROR(__xludf.DUMMYFUNCTION("""COMPUTED_VALUE"""),"NEW_UnitedStates_none_none_241225")</f>
        <v>NEW_UnitedStates_none_none_241225</v>
      </c>
      <c r="S97" s="67" t="str">
        <f>IFERROR(__xludf.DUMMYFUNCTION("""COMPUTED_VALUE"""),"saletructiep_tienganhgiaotiepngdilam_PTAGTTD_LD256")</f>
        <v>saletructiep_tienganhgiaotiepngdilam_PTAGTTD_LD256</v>
      </c>
      <c r="T97" s="107" t="str">
        <f>IFERROR(__xludf.DUMMYFUNCTION("""COMPUTED_VALUE"""),"https://patadovietnam.edu.vn/khoa-giao-tiep-tieng-anh-online-all/?utm_source=Google&amp;utm_medium=SEA&amp;utm_term=NEW_UnitedStates_none_none_241225&amp;utm_content=saletructiep_tienganhgiaotiepngdilam_PTAGTTD_LD256&amp;utm_campaign=ALL.giaotiep.tienganh_Patado_SEA_HoaN"&amp;"T_241225")</f>
        <v>https://patadovietnam.edu.vn/khoa-giao-tiep-tieng-anh-online-all/?utm_source=Google&amp;utm_medium=SEA&amp;utm_term=NEW_UnitedStates_none_none_241225&amp;utm_content=saletructiep_tienganhgiaotiepngdilam_PTAGTTD_LD256&amp;utm_campaign=ALL.giaotiep.tienganh_Patado_SEA_HoaNT_241225</v>
      </c>
      <c r="U97" s="116"/>
    </row>
    <row r="98">
      <c r="A98" s="72">
        <v>46015.0</v>
      </c>
      <c r="B98" s="60" t="s">
        <v>1290</v>
      </c>
      <c r="C98" s="67" t="str">
        <f>IFERROR(__xludf.DUMMYFUNCTION("""COMPUTED_VALUE"""),"LD256")</f>
        <v>LD256</v>
      </c>
      <c r="D98" s="55" t="s">
        <v>188</v>
      </c>
      <c r="E98" s="55" t="s">
        <v>193</v>
      </c>
      <c r="F98" s="55" t="s">
        <v>107</v>
      </c>
      <c r="G98" s="55" t="s">
        <v>61</v>
      </c>
      <c r="H98" s="55" t="s">
        <v>1261</v>
      </c>
      <c r="I98" s="115" t="s">
        <v>2305</v>
      </c>
      <c r="J98" s="143" t="s">
        <v>1869</v>
      </c>
      <c r="K98" s="55" t="s">
        <v>61</v>
      </c>
      <c r="L98" s="55" t="s">
        <v>1130</v>
      </c>
      <c r="M98" s="55" t="s">
        <v>78</v>
      </c>
      <c r="N98" s="55" t="s">
        <v>193</v>
      </c>
      <c r="O98" s="55" t="s">
        <v>1768</v>
      </c>
      <c r="P98" s="55" t="s">
        <v>110</v>
      </c>
      <c r="Q98" s="67" t="str">
        <f>IFERROR(__xludf.DUMMYFUNCTION("""COMPUTED_VALUE"""),"ALL.giaotiep.tienganh_Patado_SEA_HoaNT_241225")</f>
        <v>ALL.giaotiep.tienganh_Patado_SEA_HoaNT_241225</v>
      </c>
      <c r="R98" s="67" t="str">
        <f>IFERROR(__xludf.DUMMYFUNCTION("""COMPUTED_VALUE"""),"NEW_UnitedStates_none_none_241225")</f>
        <v>NEW_UnitedStates_none_none_241225</v>
      </c>
      <c r="S98" s="67" t="str">
        <f>IFERROR(__xludf.DUMMYFUNCTION("""COMPUTED_VALUE"""),"saletructiep_tienganhonlinengdilam_PTAGTTD_LD256")</f>
        <v>saletructiep_tienganhonlinengdilam_PTAGTTD_LD256</v>
      </c>
      <c r="T98" s="107" t="str">
        <f>IFERROR(__xludf.DUMMYFUNCTION("""COMPUTED_VALUE"""),"https://patadovietnam.edu.vn/khoa-giao-tiep-tieng-anh-online-all/?utm_source=Google&amp;utm_medium=SEA&amp;utm_term=NEW_UnitedStates_none_none_241225&amp;utm_content=saletructiep_tienganhonlinengdilam_PTAGTTD_LD256&amp;utm_campaign=ALL.giaotiep.tienganh_Patado_SEA_HoaNT_"&amp;"241225")</f>
        <v>https://patadovietnam.edu.vn/khoa-giao-tiep-tieng-anh-online-all/?utm_source=Google&amp;utm_medium=SEA&amp;utm_term=NEW_UnitedStates_none_none_241225&amp;utm_content=saletructiep_tienganhonlinengdilam_PTAGTTD_LD256&amp;utm_campaign=ALL.giaotiep.tienganh_Patado_SEA_HoaNT_241225</v>
      </c>
      <c r="U98" s="116"/>
    </row>
    <row r="99">
      <c r="A99" s="72">
        <v>46015.0</v>
      </c>
      <c r="B99" s="60" t="s">
        <v>1290</v>
      </c>
      <c r="C99" s="67" t="str">
        <f>IFERROR(__xludf.DUMMYFUNCTION("""COMPUTED_VALUE"""),"LD256")</f>
        <v>LD256</v>
      </c>
      <c r="D99" s="55" t="s">
        <v>188</v>
      </c>
      <c r="E99" s="55" t="s">
        <v>193</v>
      </c>
      <c r="F99" s="55" t="s">
        <v>107</v>
      </c>
      <c r="G99" s="55" t="s">
        <v>61</v>
      </c>
      <c r="H99" s="55" t="s">
        <v>1261</v>
      </c>
      <c r="I99" s="115" t="s">
        <v>2305</v>
      </c>
      <c r="J99" s="143" t="s">
        <v>1876</v>
      </c>
      <c r="K99" s="55" t="s">
        <v>61</v>
      </c>
      <c r="L99" s="55" t="s">
        <v>1130</v>
      </c>
      <c r="M99" s="55" t="s">
        <v>78</v>
      </c>
      <c r="N99" s="55" t="s">
        <v>193</v>
      </c>
      <c r="O99" s="55" t="s">
        <v>1768</v>
      </c>
      <c r="P99" s="55" t="s">
        <v>110</v>
      </c>
      <c r="Q99" s="67" t="str">
        <f>IFERROR(__xludf.DUMMYFUNCTION("""COMPUTED_VALUE"""),"ALL.giaotiep.tienganh_Patado_SEA_HoaNT_241225")</f>
        <v>ALL.giaotiep.tienganh_Patado_SEA_HoaNT_241225</v>
      </c>
      <c r="R99" s="67" t="str">
        <f>IFERROR(__xludf.DUMMYFUNCTION("""COMPUTED_VALUE"""),"NEW_UnitedStates_none_none_241225")</f>
        <v>NEW_UnitedStates_none_none_241225</v>
      </c>
      <c r="S99" s="67" t="str">
        <f>IFERROR(__xludf.DUMMYFUNCTION("""COMPUTED_VALUE"""),"saletructiep_lotrinhgiaotiep_PTAGTTD_LD256")</f>
        <v>saletructiep_lotrinhgiaotiep_PTAGTTD_LD256</v>
      </c>
      <c r="T99" s="107" t="str">
        <f>IFERROR(__xludf.DUMMYFUNCTION("""COMPUTED_VALUE"""),"https://patadovietnam.edu.vn/khoa-giao-tiep-tieng-anh-online-all/?utm_source=Google&amp;utm_medium=SEA&amp;utm_term=NEW_UnitedStates_none_none_241225&amp;utm_content=saletructiep_lotrinhgiaotiep_PTAGTTD_LD256&amp;utm_campaign=ALL.giaotiep.tienganh_Patado_SEA_HoaNT_241225")</f>
        <v>https://patadovietnam.edu.vn/khoa-giao-tiep-tieng-anh-online-all/?utm_source=Google&amp;utm_medium=SEA&amp;utm_term=NEW_UnitedStates_none_none_241225&amp;utm_content=saletructiep_lotrinhgiaotiep_PTAGTTD_LD256&amp;utm_campaign=ALL.giaotiep.tienganh_Patado_SEA_HoaNT_241225</v>
      </c>
      <c r="U99" s="116"/>
    </row>
    <row r="100">
      <c r="A100" s="72">
        <v>46015.0</v>
      </c>
      <c r="B100" s="60" t="s">
        <v>1290</v>
      </c>
      <c r="C100" s="67" t="str">
        <f>IFERROR(__xludf.DUMMYFUNCTION("""COMPUTED_VALUE"""),"LD256")</f>
        <v>LD256</v>
      </c>
      <c r="D100" s="55" t="s">
        <v>188</v>
      </c>
      <c r="E100" s="55" t="s">
        <v>193</v>
      </c>
      <c r="F100" s="55" t="s">
        <v>107</v>
      </c>
      <c r="G100" s="55" t="s">
        <v>61</v>
      </c>
      <c r="H100" s="55" t="s">
        <v>1261</v>
      </c>
      <c r="I100" s="115" t="s">
        <v>2305</v>
      </c>
      <c r="J100" s="143" t="s">
        <v>1881</v>
      </c>
      <c r="K100" s="55" t="s">
        <v>61</v>
      </c>
      <c r="L100" s="55" t="s">
        <v>1130</v>
      </c>
      <c r="M100" s="55" t="s">
        <v>78</v>
      </c>
      <c r="N100" s="55" t="s">
        <v>193</v>
      </c>
      <c r="O100" s="55" t="s">
        <v>1768</v>
      </c>
      <c r="P100" s="55" t="s">
        <v>110</v>
      </c>
      <c r="Q100" s="67" t="str">
        <f>IFERROR(__xludf.DUMMYFUNCTION("""COMPUTED_VALUE"""),"ALL.giaotiep.tienganh_Patado_SEA_HoaNT_241225")</f>
        <v>ALL.giaotiep.tienganh_Patado_SEA_HoaNT_241225</v>
      </c>
      <c r="R100" s="67" t="str">
        <f>IFERROR(__xludf.DUMMYFUNCTION("""COMPUTED_VALUE"""),"NEW_UnitedStates_none_none_241225")</f>
        <v>NEW_UnitedStates_none_none_241225</v>
      </c>
      <c r="S100" s="67" t="str">
        <f>IFERROR(__xludf.DUMMYFUNCTION("""COMPUTED_VALUE"""),"saletructiep_tienganhgiaotiep_PTAGTTD_LD256")</f>
        <v>saletructiep_tienganhgiaotiep_PTAGTTD_LD256</v>
      </c>
      <c r="T100" s="107" t="str">
        <f>IFERROR(__xludf.DUMMYFUNCTION("""COMPUTED_VALUE"""),"https://patadovietnam.edu.vn/khoa-giao-tiep-tieng-anh-online-all/?utm_source=Google&amp;utm_medium=SEA&amp;utm_term=NEW_UnitedStates_none_none_241225&amp;utm_content=saletructiep_tienganhgiaotiep_PTAGTTD_LD256&amp;utm_campaign=ALL.giaotiep.tienganh_Patado_SEA_HoaNT_24122"&amp;"5")</f>
        <v>https://patadovietnam.edu.vn/khoa-giao-tiep-tieng-anh-online-all/?utm_source=Google&amp;utm_medium=SEA&amp;utm_term=NEW_UnitedStates_none_none_241225&amp;utm_content=saletructiep_tienganhgiaotiep_PTAGTTD_LD256&amp;utm_campaign=ALL.giaotiep.tienganh_Patado_SEA_HoaNT_241225</v>
      </c>
      <c r="U100" s="116"/>
    </row>
    <row r="101">
      <c r="A101" s="72">
        <v>46015.0</v>
      </c>
      <c r="B101" s="60" t="s">
        <v>1290</v>
      </c>
      <c r="C101" s="67" t="str">
        <f>IFERROR(__xludf.DUMMYFUNCTION("""COMPUTED_VALUE"""),"LD256")</f>
        <v>LD256</v>
      </c>
      <c r="D101" s="55" t="s">
        <v>188</v>
      </c>
      <c r="E101" s="55" t="s">
        <v>193</v>
      </c>
      <c r="F101" s="55" t="s">
        <v>107</v>
      </c>
      <c r="G101" s="55" t="s">
        <v>61</v>
      </c>
      <c r="H101" s="55" t="s">
        <v>1261</v>
      </c>
      <c r="I101" s="115" t="s">
        <v>2305</v>
      </c>
      <c r="J101" s="143" t="s">
        <v>1890</v>
      </c>
      <c r="K101" s="55" t="s">
        <v>61</v>
      </c>
      <c r="L101" s="55" t="s">
        <v>1130</v>
      </c>
      <c r="M101" s="55" t="s">
        <v>78</v>
      </c>
      <c r="N101" s="55" t="s">
        <v>193</v>
      </c>
      <c r="O101" s="55" t="s">
        <v>1768</v>
      </c>
      <c r="P101" s="55" t="s">
        <v>110</v>
      </c>
      <c r="Q101" s="67" t="str">
        <f>IFERROR(__xludf.DUMMYFUNCTION("""COMPUTED_VALUE"""),"ALL.giaotiep.tienganh_Patado_SEA_HoaNT_241225")</f>
        <v>ALL.giaotiep.tienganh_Patado_SEA_HoaNT_241225</v>
      </c>
      <c r="R101" s="67" t="str">
        <f>IFERROR(__xludf.DUMMYFUNCTION("""COMPUTED_VALUE"""),"NEW_UnitedStates_none_none_241225")</f>
        <v>NEW_UnitedStates_none_none_241225</v>
      </c>
      <c r="S101" s="67" t="str">
        <f>IFERROR(__xludf.DUMMYFUNCTION("""COMPUTED_VALUE"""),"saletructiep_lopgiaotiep_PTAGTTD_LD256")</f>
        <v>saletructiep_lopgiaotiep_PTAGTTD_LD256</v>
      </c>
      <c r="T101" s="107" t="str">
        <f>IFERROR(__xludf.DUMMYFUNCTION("""COMPUTED_VALUE"""),"https://patadovietnam.edu.vn/khoa-giao-tiep-tieng-anh-online-all/?utm_source=Google&amp;utm_medium=SEA&amp;utm_term=NEW_UnitedStates_none_none_241225&amp;utm_content=saletructiep_lopgiaotiep_PTAGTTD_LD256&amp;utm_campaign=ALL.giaotiep.tienganh_Patado_SEA_HoaNT_241225")</f>
        <v>https://patadovietnam.edu.vn/khoa-giao-tiep-tieng-anh-online-all/?utm_source=Google&amp;utm_medium=SEA&amp;utm_term=NEW_UnitedStates_none_none_241225&amp;utm_content=saletructiep_lopgiaotiep_PTAGTTD_LD256&amp;utm_campaign=ALL.giaotiep.tienganh_Patado_SEA_HoaNT_241225</v>
      </c>
      <c r="U101" s="116"/>
    </row>
    <row r="102">
      <c r="A102" s="72">
        <v>46015.0</v>
      </c>
      <c r="B102" s="60" t="s">
        <v>1290</v>
      </c>
      <c r="C102" s="67" t="str">
        <f>IFERROR(__xludf.DUMMYFUNCTION("""COMPUTED_VALUE"""),"LD256")</f>
        <v>LD256</v>
      </c>
      <c r="D102" s="55" t="s">
        <v>188</v>
      </c>
      <c r="E102" s="55" t="s">
        <v>193</v>
      </c>
      <c r="F102" s="55" t="s">
        <v>107</v>
      </c>
      <c r="G102" s="55" t="s">
        <v>61</v>
      </c>
      <c r="H102" s="55" t="s">
        <v>1261</v>
      </c>
      <c r="I102" s="115" t="s">
        <v>2305</v>
      </c>
      <c r="J102" s="143" t="s">
        <v>1900</v>
      </c>
      <c r="K102" s="55" t="s">
        <v>61</v>
      </c>
      <c r="L102" s="55" t="s">
        <v>1130</v>
      </c>
      <c r="M102" s="55" t="s">
        <v>78</v>
      </c>
      <c r="N102" s="55" t="s">
        <v>193</v>
      </c>
      <c r="O102" s="55" t="s">
        <v>1768</v>
      </c>
      <c r="P102" s="55" t="s">
        <v>110</v>
      </c>
      <c r="Q102" s="67" t="str">
        <f>IFERROR(__xludf.DUMMYFUNCTION("""COMPUTED_VALUE"""),"ALL.giaotiep.tienganh_Patado_SEA_HoaNT_241225")</f>
        <v>ALL.giaotiep.tienganh_Patado_SEA_HoaNT_241225</v>
      </c>
      <c r="R102" s="67" t="str">
        <f>IFERROR(__xludf.DUMMYFUNCTION("""COMPUTED_VALUE"""),"NEW_UnitedStates_none_none_241225")</f>
        <v>NEW_UnitedStates_none_none_241225</v>
      </c>
      <c r="S102" s="67" t="str">
        <f>IFERROR(__xludf.DUMMYFUNCTION("""COMPUTED_VALUE"""),"saletructiep_khoahocgiaotiep_PTAGTTD_LD256")</f>
        <v>saletructiep_khoahocgiaotiep_PTAGTTD_LD256</v>
      </c>
      <c r="T102" s="107" t="str">
        <f>IFERROR(__xludf.DUMMYFUNCTION("""COMPUTED_VALUE"""),"https://patadovietnam.edu.vn/khoa-giao-tiep-tieng-anh-online-all/?utm_source=Google&amp;utm_medium=SEA&amp;utm_term=NEW_UnitedStates_none_none_241225&amp;utm_content=saletructiep_khoahocgiaotiep_PTAGTTD_LD256&amp;utm_campaign=ALL.giaotiep.tienganh_Patado_SEA_HoaNT_241225")</f>
        <v>https://patadovietnam.edu.vn/khoa-giao-tiep-tieng-anh-online-all/?utm_source=Google&amp;utm_medium=SEA&amp;utm_term=NEW_UnitedStates_none_none_241225&amp;utm_content=saletructiep_khoahocgiaotiep_PTAGTTD_LD256&amp;utm_campaign=ALL.giaotiep.tienganh_Patado_SEA_HoaNT_241225</v>
      </c>
      <c r="U102" s="116"/>
    </row>
    <row r="103">
      <c r="A103" s="72">
        <v>46015.0</v>
      </c>
      <c r="B103" s="60" t="s">
        <v>1290</v>
      </c>
      <c r="C103" s="67" t="str">
        <f>IFERROR(__xludf.DUMMYFUNCTION("""COMPUTED_VALUE"""),"LD256")</f>
        <v>LD256</v>
      </c>
      <c r="D103" s="55" t="s">
        <v>188</v>
      </c>
      <c r="E103" s="55" t="s">
        <v>193</v>
      </c>
      <c r="F103" s="55" t="s">
        <v>107</v>
      </c>
      <c r="G103" s="55" t="s">
        <v>61</v>
      </c>
      <c r="H103" s="55" t="s">
        <v>1261</v>
      </c>
      <c r="I103" s="115" t="s">
        <v>2305</v>
      </c>
      <c r="J103" s="143" t="s">
        <v>1907</v>
      </c>
      <c r="K103" s="55" t="s">
        <v>61</v>
      </c>
      <c r="L103" s="55" t="s">
        <v>1130</v>
      </c>
      <c r="M103" s="55" t="s">
        <v>78</v>
      </c>
      <c r="N103" s="55" t="s">
        <v>193</v>
      </c>
      <c r="O103" s="55" t="s">
        <v>1768</v>
      </c>
      <c r="P103" s="55" t="s">
        <v>110</v>
      </c>
      <c r="Q103" s="67" t="str">
        <f>IFERROR(__xludf.DUMMYFUNCTION("""COMPUTED_VALUE"""),"ALL.giaotiep.tienganh_Patado_SEA_HoaNT_241225")</f>
        <v>ALL.giaotiep.tienganh_Patado_SEA_HoaNT_241225</v>
      </c>
      <c r="R103" s="67" t="str">
        <f>IFERROR(__xludf.DUMMYFUNCTION("""COMPUTED_VALUE"""),"NEW_UnitedStates_none_none_241225")</f>
        <v>NEW_UnitedStates_none_none_241225</v>
      </c>
      <c r="S103" s="67" t="str">
        <f>IFERROR(__xludf.DUMMYFUNCTION("""COMPUTED_VALUE"""),"saletructiep_trungtamgiaotiep_PTAGTTD_LD256")</f>
        <v>saletructiep_trungtamgiaotiep_PTAGTTD_LD256</v>
      </c>
      <c r="T103" s="107" t="str">
        <f>IFERROR(__xludf.DUMMYFUNCTION("""COMPUTED_VALUE"""),"https://patadovietnam.edu.vn/khoa-giao-tiep-tieng-anh-online-all/?utm_source=Google&amp;utm_medium=SEA&amp;utm_term=NEW_UnitedStates_none_none_241225&amp;utm_content=saletructiep_trungtamgiaotiep_PTAGTTD_LD256&amp;utm_campaign=ALL.giaotiep.tienganh_Patado_SEA_HoaNT_24122"&amp;"5")</f>
        <v>https://patadovietnam.edu.vn/khoa-giao-tiep-tieng-anh-online-all/?utm_source=Google&amp;utm_medium=SEA&amp;utm_term=NEW_UnitedStates_none_none_241225&amp;utm_content=saletructiep_trungtamgiaotiep_PTAGTTD_LD256&amp;utm_campaign=ALL.giaotiep.tienganh_Patado_SEA_HoaNT_241225</v>
      </c>
      <c r="U103" s="116"/>
    </row>
    <row r="104">
      <c r="A104" s="72">
        <v>46015.0</v>
      </c>
      <c r="B104" s="60" t="s">
        <v>1290</v>
      </c>
      <c r="C104" s="67" t="str">
        <f>IFERROR(__xludf.DUMMYFUNCTION("""COMPUTED_VALUE"""),"LD256")</f>
        <v>LD256</v>
      </c>
      <c r="D104" s="55" t="s">
        <v>188</v>
      </c>
      <c r="E104" s="55" t="s">
        <v>193</v>
      </c>
      <c r="F104" s="55" t="s">
        <v>107</v>
      </c>
      <c r="G104" s="55" t="s">
        <v>61</v>
      </c>
      <c r="H104" s="55" t="s">
        <v>1261</v>
      </c>
      <c r="I104" s="115" t="s">
        <v>2305</v>
      </c>
      <c r="J104" s="143" t="s">
        <v>1936</v>
      </c>
      <c r="K104" s="55" t="s">
        <v>61</v>
      </c>
      <c r="L104" s="55" t="s">
        <v>1130</v>
      </c>
      <c r="M104" s="55" t="s">
        <v>78</v>
      </c>
      <c r="N104" s="55" t="s">
        <v>193</v>
      </c>
      <c r="O104" s="55" t="s">
        <v>1768</v>
      </c>
      <c r="P104" s="55" t="s">
        <v>110</v>
      </c>
      <c r="Q104" s="67" t="str">
        <f>IFERROR(__xludf.DUMMYFUNCTION("""COMPUTED_VALUE"""),"ALL.giaotiep.tienganh_Patado_SEA_HoaNT_241225")</f>
        <v>ALL.giaotiep.tienganh_Patado_SEA_HoaNT_241225</v>
      </c>
      <c r="R104" s="67" t="str">
        <f>IFERROR(__xludf.DUMMYFUNCTION("""COMPUTED_VALUE"""),"NEW_UnitedStates_none_none_241225")</f>
        <v>NEW_UnitedStates_none_none_241225</v>
      </c>
      <c r="S104" s="67" t="str">
        <f>IFERROR(__xludf.DUMMYFUNCTION("""COMPUTED_VALUE"""),"saletructiep_trungtamPatado_PTAGTTD_LD256")</f>
        <v>saletructiep_trungtamPatado_PTAGTTD_LD256</v>
      </c>
      <c r="T104" s="107" t="str">
        <f>IFERROR(__xludf.DUMMYFUNCTION("""COMPUTED_VALUE"""),"https://patadovietnam.edu.vn/khoa-giao-tiep-tieng-anh-online-all/?utm_source=Google&amp;utm_medium=SEA&amp;utm_term=NEW_UnitedStates_none_none_241225&amp;utm_content=saletructiep_trungtamPatado_PTAGTTD_LD256&amp;utm_campaign=ALL.giaotiep.tienganh_Patado_SEA_HoaNT_241225")</f>
        <v>https://patadovietnam.edu.vn/khoa-giao-tiep-tieng-anh-online-all/?utm_source=Google&amp;utm_medium=SEA&amp;utm_term=NEW_UnitedStates_none_none_241225&amp;utm_content=saletructiep_trungtamPatado_PTAGTTD_LD256&amp;utm_campaign=ALL.giaotiep.tienganh_Patado_SEA_HoaNT_241225</v>
      </c>
      <c r="U104" s="116"/>
    </row>
    <row r="105">
      <c r="A105" s="72">
        <v>46015.0</v>
      </c>
      <c r="B105" s="60" t="s">
        <v>1290</v>
      </c>
      <c r="C105" s="67" t="str">
        <f>IFERROR(__xludf.DUMMYFUNCTION("""COMPUTED_VALUE"""),"LD256")</f>
        <v>LD256</v>
      </c>
      <c r="D105" s="55" t="s">
        <v>188</v>
      </c>
      <c r="E105" s="55" t="s">
        <v>193</v>
      </c>
      <c r="F105" s="55" t="s">
        <v>107</v>
      </c>
      <c r="G105" s="55" t="s">
        <v>61</v>
      </c>
      <c r="H105" s="55" t="s">
        <v>1261</v>
      </c>
      <c r="I105" s="115" t="s">
        <v>2305</v>
      </c>
      <c r="J105" s="143" t="s">
        <v>1943</v>
      </c>
      <c r="K105" s="55" t="s">
        <v>61</v>
      </c>
      <c r="L105" s="55" t="s">
        <v>1130</v>
      </c>
      <c r="M105" s="55" t="s">
        <v>78</v>
      </c>
      <c r="N105" s="55" t="s">
        <v>193</v>
      </c>
      <c r="O105" s="55" t="s">
        <v>1768</v>
      </c>
      <c r="P105" s="55" t="s">
        <v>110</v>
      </c>
      <c r="Q105" s="67" t="str">
        <f>IFERROR(__xludf.DUMMYFUNCTION("""COMPUTED_VALUE"""),"ALL.giaotiep.tienganh_Patado_SEA_HoaNT_241225")</f>
        <v>ALL.giaotiep.tienganh_Patado_SEA_HoaNT_241225</v>
      </c>
      <c r="R105" s="67" t="str">
        <f>IFERROR(__xludf.DUMMYFUNCTION("""COMPUTED_VALUE"""),"NEW_UnitedStates_none_none_241225")</f>
        <v>NEW_UnitedStates_none_none_241225</v>
      </c>
      <c r="S105" s="67" t="str">
        <f>IFERROR(__xludf.DUMMYFUNCTION("""COMPUTED_VALUE"""),"saletructiep_trungtamonline_PTAGTTD_LD256")</f>
        <v>saletructiep_trungtamonline_PTAGTTD_LD256</v>
      </c>
      <c r="T105" s="107" t="str">
        <f>IFERROR(__xludf.DUMMYFUNCTION("""COMPUTED_VALUE"""),"https://patadovietnam.edu.vn/khoa-giao-tiep-tieng-anh-online-all/?utm_source=Google&amp;utm_medium=SEA&amp;utm_term=NEW_UnitedStates_none_none_241225&amp;utm_content=saletructiep_trungtamonline_PTAGTTD_LD256&amp;utm_campaign=ALL.giaotiep.tienganh_Patado_SEA_HoaNT_241225")</f>
        <v>https://patadovietnam.edu.vn/khoa-giao-tiep-tieng-anh-online-all/?utm_source=Google&amp;utm_medium=SEA&amp;utm_term=NEW_UnitedStates_none_none_241225&amp;utm_content=saletructiep_trungtamonline_PTAGTTD_LD256&amp;utm_campaign=ALL.giaotiep.tienganh_Patado_SEA_HoaNT_241225</v>
      </c>
      <c r="U105" s="116"/>
    </row>
    <row r="106">
      <c r="A106" s="72">
        <v>46015.0</v>
      </c>
      <c r="B106" s="60" t="s">
        <v>1290</v>
      </c>
      <c r="C106" s="67" t="str">
        <f>IFERROR(__xludf.DUMMYFUNCTION("""COMPUTED_VALUE"""),"LD256")</f>
        <v>LD256</v>
      </c>
      <c r="D106" s="55" t="s">
        <v>188</v>
      </c>
      <c r="E106" s="55" t="s">
        <v>193</v>
      </c>
      <c r="F106" s="55" t="s">
        <v>107</v>
      </c>
      <c r="G106" s="55" t="s">
        <v>61</v>
      </c>
      <c r="H106" s="55" t="s">
        <v>1261</v>
      </c>
      <c r="I106" s="115" t="s">
        <v>2305</v>
      </c>
      <c r="J106" s="143" t="s">
        <v>1951</v>
      </c>
      <c r="K106" s="55" t="s">
        <v>61</v>
      </c>
      <c r="L106" s="55" t="s">
        <v>1130</v>
      </c>
      <c r="M106" s="55" t="s">
        <v>78</v>
      </c>
      <c r="N106" s="55" t="s">
        <v>193</v>
      </c>
      <c r="O106" s="55" t="s">
        <v>1768</v>
      </c>
      <c r="P106" s="55" t="s">
        <v>110</v>
      </c>
      <c r="Q106" s="67" t="str">
        <f>IFERROR(__xludf.DUMMYFUNCTION("""COMPUTED_VALUE"""),"ALL.giaotiep.tienganh_Patado_SEA_HoaNT_241225")</f>
        <v>ALL.giaotiep.tienganh_Patado_SEA_HoaNT_241225</v>
      </c>
      <c r="R106" s="67" t="str">
        <f>IFERROR(__xludf.DUMMYFUNCTION("""COMPUTED_VALUE"""),"NEW_UnitedStates_none_none_241225")</f>
        <v>NEW_UnitedStates_none_none_241225</v>
      </c>
      <c r="S106" s="67" t="str">
        <f>IFERROR(__xludf.DUMMYFUNCTION("""COMPUTED_VALUE"""),"saletructiep_tienganhthuongmai_PTAGTTD_LD256")</f>
        <v>saletructiep_tienganhthuongmai_PTAGTTD_LD256</v>
      </c>
      <c r="T106" s="107" t="str">
        <f>IFERROR(__xludf.DUMMYFUNCTION("""COMPUTED_VALUE"""),"https://patadovietnam.edu.vn/khoa-giao-tiep-tieng-anh-online-all/?utm_source=Google&amp;utm_medium=SEA&amp;utm_term=NEW_UnitedStates_none_none_241225&amp;utm_content=saletructiep_tienganhthuongmai_PTAGTTD_LD256&amp;utm_campaign=ALL.giaotiep.tienganh_Patado_SEA_HoaNT_2412"&amp;"25")</f>
        <v>https://patadovietnam.edu.vn/khoa-giao-tiep-tieng-anh-online-all/?utm_source=Google&amp;utm_medium=SEA&amp;utm_term=NEW_UnitedStates_none_none_241225&amp;utm_content=saletructiep_tienganhthuongmai_PTAGTTD_LD256&amp;utm_campaign=ALL.giaotiep.tienganh_Patado_SEA_HoaNT_241225</v>
      </c>
      <c r="U106" s="116"/>
    </row>
    <row r="107">
      <c r="A107" s="72">
        <v>46015.0</v>
      </c>
      <c r="B107" s="60" t="s">
        <v>1290</v>
      </c>
      <c r="C107" s="67" t="str">
        <f>IFERROR(__xludf.DUMMYFUNCTION("""COMPUTED_VALUE"""),"LD256")</f>
        <v>LD256</v>
      </c>
      <c r="D107" s="55" t="s">
        <v>188</v>
      </c>
      <c r="E107" s="55" t="s">
        <v>193</v>
      </c>
      <c r="F107" s="55" t="s">
        <v>107</v>
      </c>
      <c r="G107" s="55" t="s">
        <v>61</v>
      </c>
      <c r="H107" s="55" t="s">
        <v>1261</v>
      </c>
      <c r="I107" s="115" t="s">
        <v>2305</v>
      </c>
      <c r="J107" s="143" t="s">
        <v>1954</v>
      </c>
      <c r="K107" s="55" t="s">
        <v>61</v>
      </c>
      <c r="L107" s="55" t="s">
        <v>1130</v>
      </c>
      <c r="M107" s="55" t="s">
        <v>78</v>
      </c>
      <c r="N107" s="55" t="s">
        <v>193</v>
      </c>
      <c r="O107" s="55" t="s">
        <v>1768</v>
      </c>
      <c r="P107" s="55" t="s">
        <v>110</v>
      </c>
      <c r="Q107" s="67" t="str">
        <f>IFERROR(__xludf.DUMMYFUNCTION("""COMPUTED_VALUE"""),"ALL.giaotiep.tienganh_Patado_SEA_HoaNT_241225")</f>
        <v>ALL.giaotiep.tienganh_Patado_SEA_HoaNT_241225</v>
      </c>
      <c r="R107" s="67" t="str">
        <f>IFERROR(__xludf.DUMMYFUNCTION("""COMPUTED_VALUE"""),"NEW_UnitedStates_none_none_241225")</f>
        <v>NEW_UnitedStates_none_none_241225</v>
      </c>
      <c r="S107" s="67" t="str">
        <f>IFERROR(__xludf.DUMMYFUNCTION("""COMPUTED_VALUE"""),"saletructiep_hocphi_PTAGTTD_LD256")</f>
        <v>saletructiep_hocphi_PTAGTTD_LD256</v>
      </c>
      <c r="T107" s="107" t="str">
        <f>IFERROR(__xludf.DUMMYFUNCTION("""COMPUTED_VALUE"""),"https://patadovietnam.edu.vn/khoa-giao-tiep-tieng-anh-online-all/?utm_source=Google&amp;utm_medium=SEA&amp;utm_term=NEW_UnitedStates_none_none_241225&amp;utm_content=saletructiep_hocphi_PTAGTTD_LD256&amp;utm_campaign=ALL.giaotiep.tienganh_Patado_SEA_HoaNT_241225")</f>
        <v>https://patadovietnam.edu.vn/khoa-giao-tiep-tieng-anh-online-all/?utm_source=Google&amp;utm_medium=SEA&amp;utm_term=NEW_UnitedStates_none_none_241225&amp;utm_content=saletructiep_hocphi_PTAGTTD_LD256&amp;utm_campaign=ALL.giaotiep.tienganh_Patado_SEA_HoaNT_241225</v>
      </c>
      <c r="U107" s="116"/>
    </row>
    <row r="108">
      <c r="A108" s="72">
        <v>46015.0</v>
      </c>
      <c r="B108" s="60" t="s">
        <v>1290</v>
      </c>
      <c r="C108" s="67" t="str">
        <f>IFERROR(__xludf.DUMMYFUNCTION("""COMPUTED_VALUE"""),"LD256")</f>
        <v>LD256</v>
      </c>
      <c r="D108" s="55" t="s">
        <v>188</v>
      </c>
      <c r="E108" s="55" t="s">
        <v>193</v>
      </c>
      <c r="F108" s="55" t="s">
        <v>107</v>
      </c>
      <c r="G108" s="55" t="s">
        <v>61</v>
      </c>
      <c r="H108" s="55" t="s">
        <v>1261</v>
      </c>
      <c r="I108" s="115" t="s">
        <v>2305</v>
      </c>
      <c r="J108" s="142" t="s">
        <v>2158</v>
      </c>
      <c r="K108" s="55" t="s">
        <v>61</v>
      </c>
      <c r="L108" s="55" t="s">
        <v>1130</v>
      </c>
      <c r="M108" s="55" t="s">
        <v>78</v>
      </c>
      <c r="N108" s="55" t="s">
        <v>193</v>
      </c>
      <c r="O108" s="55" t="s">
        <v>1768</v>
      </c>
      <c r="P108" s="55" t="s">
        <v>110</v>
      </c>
      <c r="Q108" s="67" t="str">
        <f>IFERROR(__xludf.DUMMYFUNCTION("""COMPUTED_VALUE"""),"ALL.giaotiep.tienganh_Patado_SEA_HoaNT_241225")</f>
        <v>ALL.giaotiep.tienganh_Patado_SEA_HoaNT_241225</v>
      </c>
      <c r="R108" s="67" t="str">
        <f>IFERROR(__xludf.DUMMYFUNCTION("""COMPUTED_VALUE"""),"NEW_UnitedStates_none_none_241225")</f>
        <v>NEW_UnitedStates_none_none_241225</v>
      </c>
      <c r="S108" s="67" t="str">
        <f>IFERROR(__xludf.DUMMYFUNCTION("""COMPUTED_VALUE"""),"saletructiep_tienganhnail_PTAGTTD_LD256")</f>
        <v>saletructiep_tienganhnail_PTAGTTD_LD256</v>
      </c>
      <c r="T108" s="107" t="str">
        <f>IFERROR(__xludf.DUMMYFUNCTION("""COMPUTED_VALUE"""),"https://patadovietnam.edu.vn/khoa-giao-tiep-tieng-anh-online-all/?utm_source=Google&amp;utm_medium=SEA&amp;utm_term=NEW_UnitedStates_none_none_241225&amp;utm_content=saletructiep_tienganhnail_PTAGTTD_LD256&amp;utm_campaign=ALL.giaotiep.tienganh_Patado_SEA_HoaNT_241225")</f>
        <v>https://patadovietnam.edu.vn/khoa-giao-tiep-tieng-anh-online-all/?utm_source=Google&amp;utm_medium=SEA&amp;utm_term=NEW_UnitedStates_none_none_241225&amp;utm_content=saletructiep_tienganhnail_PTAGTTD_LD256&amp;utm_campaign=ALL.giaotiep.tienganh_Patado_SEA_HoaNT_241225</v>
      </c>
      <c r="U108" s="116"/>
    </row>
    <row r="109">
      <c r="A109" s="72">
        <v>46015.0</v>
      </c>
      <c r="B109" s="60" t="s">
        <v>1290</v>
      </c>
      <c r="C109" s="67" t="str">
        <f>IFERROR(__xludf.DUMMYFUNCTION("""COMPUTED_VALUE"""),"LD256")</f>
        <v>LD256</v>
      </c>
      <c r="D109" s="55" t="s">
        <v>188</v>
      </c>
      <c r="E109" s="55" t="s">
        <v>193</v>
      </c>
      <c r="F109" s="55" t="s">
        <v>107</v>
      </c>
      <c r="G109" s="55" t="s">
        <v>61</v>
      </c>
      <c r="H109" s="55" t="s">
        <v>1261</v>
      </c>
      <c r="I109" s="115" t="s">
        <v>2305</v>
      </c>
      <c r="J109" s="143" t="s">
        <v>1790</v>
      </c>
      <c r="K109" s="55" t="s">
        <v>61</v>
      </c>
      <c r="L109" s="55" t="s">
        <v>1130</v>
      </c>
      <c r="M109" s="55" t="s">
        <v>78</v>
      </c>
      <c r="N109" s="55" t="s">
        <v>193</v>
      </c>
      <c r="O109" s="55" t="s">
        <v>1768</v>
      </c>
      <c r="P109" s="55" t="s">
        <v>110</v>
      </c>
      <c r="Q109" s="67" t="str">
        <f>IFERROR(__xludf.DUMMYFUNCTION("""COMPUTED_VALUE"""),"ALL.giaotiep.tienganh_Patado_SEA_HoaNT_241225")</f>
        <v>ALL.giaotiep.tienganh_Patado_SEA_HoaNT_241225</v>
      </c>
      <c r="R109" s="67" t="str">
        <f>IFERROR(__xludf.DUMMYFUNCTION("""COMPUTED_VALUE"""),"NEW_UnitedStates_none_none_241225")</f>
        <v>NEW_UnitedStates_none_none_241225</v>
      </c>
      <c r="S109" s="67" t="str">
        <f>IFERROR(__xludf.DUMMYFUNCTION("""COMPUTED_VALUE"""),"saletructiep_tienganhgiaotiep11_PTAGTTD_LD256")</f>
        <v>saletructiep_tienganhgiaotiep11_PTAGTTD_LD256</v>
      </c>
      <c r="T109" s="107" t="str">
        <f>IFERROR(__xludf.DUMMYFUNCTION("""COMPUTED_VALUE"""),"https://patadovietnam.edu.vn/khoa-giao-tiep-tieng-anh-online-all/?utm_source=Google&amp;utm_medium=SEA&amp;utm_term=NEW_UnitedStates_none_none_241225&amp;utm_content=saletructiep_tienganhgiaotiep11_PTAGTTD_LD256&amp;utm_campaign=ALL.giaotiep.tienganh_Patado_SEA_HoaNT_241"&amp;"225")</f>
        <v>https://patadovietnam.edu.vn/khoa-giao-tiep-tieng-anh-online-all/?utm_source=Google&amp;utm_medium=SEA&amp;utm_term=NEW_UnitedStates_none_none_241225&amp;utm_content=saletructiep_tienganhgiaotiep11_PTAGTTD_LD256&amp;utm_campaign=ALL.giaotiep.tienganh_Patado_SEA_HoaNT_241225</v>
      </c>
      <c r="U109" s="116"/>
    </row>
    <row r="110">
      <c r="A110" s="72">
        <v>46024.0</v>
      </c>
      <c r="B110" s="60" t="s">
        <v>1564</v>
      </c>
      <c r="C110" s="67" t="str">
        <f>IFERROR(__xludf.DUMMYFUNCTION("""COMPUTED_VALUE"""),"LD264")</f>
        <v>LD264</v>
      </c>
      <c r="D110" s="55" t="s">
        <v>188</v>
      </c>
      <c r="E110" s="55" t="s">
        <v>193</v>
      </c>
      <c r="F110" s="55" t="s">
        <v>133</v>
      </c>
      <c r="G110" s="55" t="s">
        <v>61</v>
      </c>
      <c r="H110" s="55" t="s">
        <v>1261</v>
      </c>
      <c r="I110" s="115" t="s">
        <v>2447</v>
      </c>
      <c r="J110" s="149" t="s">
        <v>2448</v>
      </c>
      <c r="K110" s="55" t="s">
        <v>61</v>
      </c>
      <c r="L110" s="55" t="s">
        <v>1130</v>
      </c>
      <c r="M110" s="55" t="s">
        <v>78</v>
      </c>
      <c r="N110" s="55" t="s">
        <v>193</v>
      </c>
      <c r="O110" s="55" t="s">
        <v>1768</v>
      </c>
      <c r="P110" s="55" t="s">
        <v>110</v>
      </c>
      <c r="Q110" s="67" t="str">
        <f>IFERROR(__xludf.DUMMYFUNCTION("""COMPUTED_VALUE"""),"Japan.giaotiep.tienganh_Patado_SEA_HoaNT_020126")</f>
        <v>Japan.giaotiep.tienganh_Patado_SEA_HoaNT_020126</v>
      </c>
      <c r="R110" s="67" t="str">
        <f>IFERROR(__xludf.DUMMYFUNCTION("""COMPUTED_VALUE"""),"NEW_Japan_none_none_020126")</f>
        <v>NEW_Japan_none_none_020126</v>
      </c>
      <c r="S110" s="67" t="str">
        <f>IFERROR(__xludf.DUMMYFUNCTION("""COMPUTED_VALUE"""),"saletructiep_Hoctienganh_PTAGTTD_LD264")</f>
        <v>saletructiep_Hoctienganh_PTAGTTD_LD264</v>
      </c>
      <c r="T110" s="107" t="str">
        <f>IFERROR(__xludf.DUMMYFUNCTION("""COMPUTED_VALUE"""),"https://patado.edu.vn/khoa-tieng-anh-giao-tiep-o-nhat-ban/?utm_source=Google&amp;utm_medium=SEA&amp;utm_term=NEW_Japan_none_none_020126&amp;utm_content=saletructiep_Hoctienganh_PTAGTTD_LD264&amp;utm_campaign=Japan.giaotiep.tienganh_Patado_SEA_HoaNT_020126")</f>
        <v>https://patado.edu.vn/khoa-tieng-anh-giao-tiep-o-nhat-ban/?utm_source=Google&amp;utm_medium=SEA&amp;utm_term=NEW_Japan_none_none_020126&amp;utm_content=saletructiep_Hoctienganh_PTAGTTD_LD264&amp;utm_campaign=Japan.giaotiep.tienganh_Patado_SEA_HoaNT_020126</v>
      </c>
      <c r="U110" s="116"/>
    </row>
    <row r="111">
      <c r="A111" s="72">
        <v>46024.0</v>
      </c>
      <c r="B111" s="60" t="s">
        <v>1564</v>
      </c>
      <c r="C111" s="67" t="str">
        <f>IFERROR(__xludf.DUMMYFUNCTION("""COMPUTED_VALUE"""),"LD264")</f>
        <v>LD264</v>
      </c>
      <c r="D111" s="55" t="s">
        <v>188</v>
      </c>
      <c r="E111" s="55" t="s">
        <v>193</v>
      </c>
      <c r="F111" s="55" t="s">
        <v>133</v>
      </c>
      <c r="G111" s="55" t="s">
        <v>61</v>
      </c>
      <c r="H111" s="55" t="s">
        <v>1261</v>
      </c>
      <c r="I111" s="115" t="s">
        <v>2447</v>
      </c>
      <c r="J111" s="149" t="s">
        <v>2455</v>
      </c>
      <c r="K111" s="55" t="s">
        <v>61</v>
      </c>
      <c r="L111" s="55" t="s">
        <v>1130</v>
      </c>
      <c r="M111" s="55" t="s">
        <v>78</v>
      </c>
      <c r="N111" s="55" t="s">
        <v>193</v>
      </c>
      <c r="O111" s="55" t="s">
        <v>1768</v>
      </c>
      <c r="P111" s="55" t="s">
        <v>110</v>
      </c>
      <c r="Q111" s="67" t="str">
        <f>IFERROR(__xludf.DUMMYFUNCTION("""COMPUTED_VALUE"""),"Japan.giaotiep.tienganh_Patado_SEA_HoaNT_020126")</f>
        <v>Japan.giaotiep.tienganh_Patado_SEA_HoaNT_020126</v>
      </c>
      <c r="R111" s="67" t="str">
        <f>IFERROR(__xludf.DUMMYFUNCTION("""COMPUTED_VALUE"""),"NEW_Japan_none_none_020126")</f>
        <v>NEW_Japan_none_none_020126</v>
      </c>
      <c r="S111" s="67" t="str">
        <f>IFERROR(__xludf.DUMMYFUNCTION("""COMPUTED_VALUE"""),"saletructiep_Hoctienganh11_PTAGTTD_LD264")</f>
        <v>saletructiep_Hoctienganh11_PTAGTTD_LD264</v>
      </c>
      <c r="T111" s="107" t="str">
        <f>IFERROR(__xludf.DUMMYFUNCTION("""COMPUTED_VALUE"""),"https://patado.edu.vn/khoa-tieng-anh-giao-tiep-o-nhat-ban/?utm_source=Google&amp;utm_medium=SEA&amp;utm_term=NEW_Japan_none_none_020126&amp;utm_content=saletructiep_Hoctienganh11_PTAGTTD_LD264&amp;utm_campaign=Japan.giaotiep.tienganh_Patado_SEA_HoaNT_020126")</f>
        <v>https://patado.edu.vn/khoa-tieng-anh-giao-tiep-o-nhat-ban/?utm_source=Google&amp;utm_medium=SEA&amp;utm_term=NEW_Japan_none_none_020126&amp;utm_content=saletructiep_Hoctienganh11_PTAGTTD_LD264&amp;utm_campaign=Japan.giaotiep.tienganh_Patado_SEA_HoaNT_020126</v>
      </c>
      <c r="U111" s="116"/>
    </row>
    <row r="112">
      <c r="A112" s="72">
        <v>46024.0</v>
      </c>
      <c r="B112" s="60" t="s">
        <v>1564</v>
      </c>
      <c r="C112" s="67" t="str">
        <f>IFERROR(__xludf.DUMMYFUNCTION("""COMPUTED_VALUE"""),"LD264")</f>
        <v>LD264</v>
      </c>
      <c r="D112" s="55" t="s">
        <v>188</v>
      </c>
      <c r="E112" s="55" t="s">
        <v>193</v>
      </c>
      <c r="F112" s="55" t="s">
        <v>133</v>
      </c>
      <c r="G112" s="55" t="s">
        <v>61</v>
      </c>
      <c r="H112" s="55" t="s">
        <v>1261</v>
      </c>
      <c r="I112" s="115" t="s">
        <v>2447</v>
      </c>
      <c r="J112" s="149" t="s">
        <v>2462</v>
      </c>
      <c r="K112" s="55" t="s">
        <v>61</v>
      </c>
      <c r="L112" s="55" t="s">
        <v>1130</v>
      </c>
      <c r="M112" s="55" t="s">
        <v>78</v>
      </c>
      <c r="N112" s="55" t="s">
        <v>193</v>
      </c>
      <c r="O112" s="55" t="s">
        <v>1768</v>
      </c>
      <c r="P112" s="55" t="s">
        <v>110</v>
      </c>
      <c r="Q112" s="67" t="str">
        <f>IFERROR(__xludf.DUMMYFUNCTION("""COMPUTED_VALUE"""),"Japan.giaotiep.tienganh_Patado_SEA_HoaNT_020126")</f>
        <v>Japan.giaotiep.tienganh_Patado_SEA_HoaNT_020126</v>
      </c>
      <c r="R112" s="67" t="str">
        <f>IFERROR(__xludf.DUMMYFUNCTION("""COMPUTED_VALUE"""),"NEW_Japan_none_none_020126")</f>
        <v>NEW_Japan_none_none_020126</v>
      </c>
      <c r="S112" s="67" t="str">
        <f>IFERROR(__xludf.DUMMYFUNCTION("""COMPUTED_VALUE"""),"saletructiep_Tienganhtructuyen_PTAGTTD_LD264")</f>
        <v>saletructiep_Tienganhtructuyen_PTAGTTD_LD264</v>
      </c>
      <c r="T112" s="107" t="str">
        <f>IFERROR(__xludf.DUMMYFUNCTION("""COMPUTED_VALUE"""),"https://patado.edu.vn/khoa-tieng-anh-giao-tiep-o-nhat-ban/?utm_source=Google&amp;utm_medium=SEA&amp;utm_term=NEW_Japan_none_none_020126&amp;utm_content=saletructiep_Tienganhtructuyen_PTAGTTD_LD264&amp;utm_campaign=Japan.giaotiep.tienganh_Patado_SEA_HoaNT_020126")</f>
        <v>https://patado.edu.vn/khoa-tieng-anh-giao-tiep-o-nhat-ban/?utm_source=Google&amp;utm_medium=SEA&amp;utm_term=NEW_Japan_none_none_020126&amp;utm_content=saletructiep_Tienganhtructuyen_PTAGTTD_LD264&amp;utm_campaign=Japan.giaotiep.tienganh_Patado_SEA_HoaNT_020126</v>
      </c>
      <c r="U112" s="116"/>
    </row>
    <row r="113">
      <c r="A113" s="72">
        <v>46024.0</v>
      </c>
      <c r="B113" s="60" t="s">
        <v>1564</v>
      </c>
      <c r="C113" s="67" t="str">
        <f>IFERROR(__xludf.DUMMYFUNCTION("""COMPUTED_VALUE"""),"LD264")</f>
        <v>LD264</v>
      </c>
      <c r="D113" s="55" t="s">
        <v>188</v>
      </c>
      <c r="E113" s="55" t="s">
        <v>193</v>
      </c>
      <c r="F113" s="55" t="s">
        <v>133</v>
      </c>
      <c r="G113" s="55" t="s">
        <v>61</v>
      </c>
      <c r="H113" s="55" t="s">
        <v>1261</v>
      </c>
      <c r="I113" s="115" t="s">
        <v>2447</v>
      </c>
      <c r="J113" s="142" t="s">
        <v>2471</v>
      </c>
      <c r="K113" s="55" t="s">
        <v>61</v>
      </c>
      <c r="L113" s="55" t="s">
        <v>1130</v>
      </c>
      <c r="M113" s="55" t="s">
        <v>78</v>
      </c>
      <c r="N113" s="55" t="s">
        <v>193</v>
      </c>
      <c r="O113" s="55" t="s">
        <v>1768</v>
      </c>
      <c r="P113" s="55" t="s">
        <v>110</v>
      </c>
      <c r="Q113" s="67" t="str">
        <f>IFERROR(__xludf.DUMMYFUNCTION("""COMPUTED_VALUE"""),"Japan.giaotiep.tienganh_Patado_SEA_HoaNT_020126")</f>
        <v>Japan.giaotiep.tienganh_Patado_SEA_HoaNT_020126</v>
      </c>
      <c r="R113" s="67" t="str">
        <f>IFERROR(__xludf.DUMMYFUNCTION("""COMPUTED_VALUE"""),"NEW_Japan_none_none_020126")</f>
        <v>NEW_Japan_none_none_020126</v>
      </c>
      <c r="S113" s="67" t="str">
        <f>IFERROR(__xludf.DUMMYFUNCTION("""COMPUTED_VALUE"""),"saletructiep_Tienganhquamang_PTAGTTD_LD264")</f>
        <v>saletructiep_Tienganhquamang_PTAGTTD_LD264</v>
      </c>
      <c r="T113" s="107" t="str">
        <f>IFERROR(__xludf.DUMMYFUNCTION("""COMPUTED_VALUE"""),"https://patado.edu.vn/khoa-tieng-anh-giao-tiep-o-nhat-ban/?utm_source=Google&amp;utm_medium=SEA&amp;utm_term=NEW_Japan_none_none_020126&amp;utm_content=saletructiep_Tienganhquamang_PTAGTTD_LD264&amp;utm_campaign=Japan.giaotiep.tienganh_Patado_SEA_HoaNT_020126")</f>
        <v>https://patado.edu.vn/khoa-tieng-anh-giao-tiep-o-nhat-ban/?utm_source=Google&amp;utm_medium=SEA&amp;utm_term=NEW_Japan_none_none_020126&amp;utm_content=saletructiep_Tienganhquamang_PTAGTTD_LD264&amp;utm_campaign=Japan.giaotiep.tienganh_Patado_SEA_HoaNT_020126</v>
      </c>
      <c r="U113" s="116"/>
    </row>
    <row r="114">
      <c r="A114" s="72">
        <v>46024.0</v>
      </c>
      <c r="B114" s="60" t="s">
        <v>1564</v>
      </c>
      <c r="C114" s="67" t="str">
        <f>IFERROR(__xludf.DUMMYFUNCTION("""COMPUTED_VALUE"""),"LD264")</f>
        <v>LD264</v>
      </c>
      <c r="D114" s="55" t="s">
        <v>188</v>
      </c>
      <c r="E114" s="55" t="s">
        <v>193</v>
      </c>
      <c r="F114" s="55" t="s">
        <v>133</v>
      </c>
      <c r="G114" s="55" t="s">
        <v>61</v>
      </c>
      <c r="H114" s="55" t="s">
        <v>1261</v>
      </c>
      <c r="I114" s="115" t="s">
        <v>2447</v>
      </c>
      <c r="J114" s="142" t="s">
        <v>2476</v>
      </c>
      <c r="K114" s="55" t="s">
        <v>61</v>
      </c>
      <c r="L114" s="55" t="s">
        <v>1130</v>
      </c>
      <c r="M114" s="55" t="s">
        <v>78</v>
      </c>
      <c r="N114" s="55" t="s">
        <v>193</v>
      </c>
      <c r="O114" s="55" t="s">
        <v>1768</v>
      </c>
      <c r="P114" s="55" t="s">
        <v>110</v>
      </c>
      <c r="Q114" s="67" t="str">
        <f>IFERROR(__xludf.DUMMYFUNCTION("""COMPUTED_VALUE"""),"Japan.giaotiep.tienganh_Patado_SEA_HoaNT_020126")</f>
        <v>Japan.giaotiep.tienganh_Patado_SEA_HoaNT_020126</v>
      </c>
      <c r="R114" s="67" t="str">
        <f>IFERROR(__xludf.DUMMYFUNCTION("""COMPUTED_VALUE"""),"NEW_Japan_none_none_020126")</f>
        <v>NEW_Japan_none_none_020126</v>
      </c>
      <c r="S114" s="67" t="str">
        <f>IFERROR(__xludf.DUMMYFUNCTION("""COMPUTED_VALUE"""),"saletructiep_Tienganhonline_PTAGTTD_LD264")</f>
        <v>saletructiep_Tienganhonline_PTAGTTD_LD264</v>
      </c>
      <c r="T114" s="107" t="str">
        <f>IFERROR(__xludf.DUMMYFUNCTION("""COMPUTED_VALUE"""),"https://patado.edu.vn/khoa-tieng-anh-giao-tiep-o-nhat-ban/?utm_source=Google&amp;utm_medium=SEA&amp;utm_term=NEW_Japan_none_none_020126&amp;utm_content=saletructiep_Tienganhonline_PTAGTTD_LD264&amp;utm_campaign=Japan.giaotiep.tienganh_Patado_SEA_HoaNT_020126")</f>
        <v>https://patado.edu.vn/khoa-tieng-anh-giao-tiep-o-nhat-ban/?utm_source=Google&amp;utm_medium=SEA&amp;utm_term=NEW_Japan_none_none_020126&amp;utm_content=saletructiep_Tienganhonline_PTAGTTD_LD264&amp;utm_campaign=Japan.giaotiep.tienganh_Patado_SEA_HoaNT_020126</v>
      </c>
      <c r="U114" s="116"/>
    </row>
    <row r="115">
      <c r="A115" s="72">
        <v>46024.0</v>
      </c>
      <c r="B115" s="60" t="s">
        <v>1564</v>
      </c>
      <c r="C115" s="67" t="str">
        <f>IFERROR(__xludf.DUMMYFUNCTION("""COMPUTED_VALUE"""),"LD264")</f>
        <v>LD264</v>
      </c>
      <c r="D115" s="55" t="s">
        <v>188</v>
      </c>
      <c r="E115" s="55" t="s">
        <v>193</v>
      </c>
      <c r="F115" s="55" t="s">
        <v>133</v>
      </c>
      <c r="G115" s="55" t="s">
        <v>61</v>
      </c>
      <c r="H115" s="55" t="s">
        <v>1261</v>
      </c>
      <c r="I115" s="115" t="s">
        <v>2447</v>
      </c>
      <c r="J115" s="142" t="s">
        <v>2482</v>
      </c>
      <c r="K115" s="55" t="s">
        <v>61</v>
      </c>
      <c r="L115" s="55" t="s">
        <v>1130</v>
      </c>
      <c r="M115" s="55" t="s">
        <v>78</v>
      </c>
      <c r="N115" s="55" t="s">
        <v>193</v>
      </c>
      <c r="O115" s="55" t="s">
        <v>1768</v>
      </c>
      <c r="P115" s="55" t="s">
        <v>110</v>
      </c>
      <c r="Q115" s="67" t="str">
        <f>IFERROR(__xludf.DUMMYFUNCTION("""COMPUTED_VALUE"""),"Japan.giaotiep.tienganh_Patado_SEA_HoaNT_020126")</f>
        <v>Japan.giaotiep.tienganh_Patado_SEA_HoaNT_020126</v>
      </c>
      <c r="R115" s="67" t="str">
        <f>IFERROR(__xludf.DUMMYFUNCTION("""COMPUTED_VALUE"""),"NEW_Japan_none_none_020126")</f>
        <v>NEW_Japan_none_none_020126</v>
      </c>
      <c r="S115" s="67" t="str">
        <f>IFERROR(__xludf.DUMMYFUNCTION("""COMPUTED_VALUE"""),"saletructiep_Tienganhonline11_PTAGTTD_LD264")</f>
        <v>saletructiep_Tienganhonline11_PTAGTTD_LD264</v>
      </c>
      <c r="T115" s="107" t="str">
        <f>IFERROR(__xludf.DUMMYFUNCTION("""COMPUTED_VALUE"""),"https://patado.edu.vn/khoa-tieng-anh-giao-tiep-o-nhat-ban/?utm_source=Google&amp;utm_medium=SEA&amp;utm_term=NEW_Japan_none_none_020126&amp;utm_content=saletructiep_Tienganhonline11_PTAGTTD_LD264&amp;utm_campaign=Japan.giaotiep.tienganh_Patado_SEA_HoaNT_020126")</f>
        <v>https://patado.edu.vn/khoa-tieng-anh-giao-tiep-o-nhat-ban/?utm_source=Google&amp;utm_medium=SEA&amp;utm_term=NEW_Japan_none_none_020126&amp;utm_content=saletructiep_Tienganhonline11_PTAGTTD_LD264&amp;utm_campaign=Japan.giaotiep.tienganh_Patado_SEA_HoaNT_020126</v>
      </c>
      <c r="U115" s="116"/>
    </row>
    <row r="116">
      <c r="A116" s="72">
        <v>46024.0</v>
      </c>
      <c r="B116" s="60" t="s">
        <v>1564</v>
      </c>
      <c r="C116" s="67" t="str">
        <f>IFERROR(__xludf.DUMMYFUNCTION("""COMPUTED_VALUE"""),"LD264")</f>
        <v>LD264</v>
      </c>
      <c r="D116" s="55" t="s">
        <v>188</v>
      </c>
      <c r="E116" s="55" t="s">
        <v>193</v>
      </c>
      <c r="F116" s="55" t="s">
        <v>133</v>
      </c>
      <c r="G116" s="55" t="s">
        <v>61</v>
      </c>
      <c r="H116" s="55" t="s">
        <v>1261</v>
      </c>
      <c r="I116" s="115" t="s">
        <v>2447</v>
      </c>
      <c r="J116" s="142" t="s">
        <v>2486</v>
      </c>
      <c r="K116" s="55" t="s">
        <v>61</v>
      </c>
      <c r="L116" s="55" t="s">
        <v>1130</v>
      </c>
      <c r="M116" s="55" t="s">
        <v>78</v>
      </c>
      <c r="N116" s="55" t="s">
        <v>193</v>
      </c>
      <c r="O116" s="55" t="s">
        <v>1768</v>
      </c>
      <c r="P116" s="55" t="s">
        <v>110</v>
      </c>
      <c r="Q116" s="67" t="str">
        <f>IFERROR(__xludf.DUMMYFUNCTION("""COMPUTED_VALUE"""),"Japan.giaotiep.tienganh_Patado_SEA_HoaNT_020126")</f>
        <v>Japan.giaotiep.tienganh_Patado_SEA_HoaNT_020126</v>
      </c>
      <c r="R116" s="67" t="str">
        <f>IFERROR(__xludf.DUMMYFUNCTION("""COMPUTED_VALUE"""),"NEW_Japan_none_none_020126")</f>
        <v>NEW_Japan_none_none_020126</v>
      </c>
      <c r="S116" s="67" t="str">
        <f>IFERROR(__xludf.DUMMYFUNCTION("""COMPUTED_VALUE"""),"saletructiep_Hoconline_PTAGTTD_LD264")</f>
        <v>saletructiep_Hoconline_PTAGTTD_LD264</v>
      </c>
      <c r="T116" s="107" t="str">
        <f>IFERROR(__xludf.DUMMYFUNCTION("""COMPUTED_VALUE"""),"https://patado.edu.vn/khoa-tieng-anh-giao-tiep-o-nhat-ban/?utm_source=Google&amp;utm_medium=SEA&amp;utm_term=NEW_Japan_none_none_020126&amp;utm_content=saletructiep_Hoconline_PTAGTTD_LD264&amp;utm_campaign=Japan.giaotiep.tienganh_Patado_SEA_HoaNT_020126")</f>
        <v>https://patado.edu.vn/khoa-tieng-anh-giao-tiep-o-nhat-ban/?utm_source=Google&amp;utm_medium=SEA&amp;utm_term=NEW_Japan_none_none_020126&amp;utm_content=saletructiep_Hoconline_PTAGTTD_LD264&amp;utm_campaign=Japan.giaotiep.tienganh_Patado_SEA_HoaNT_020126</v>
      </c>
      <c r="U116" s="116"/>
    </row>
    <row r="117">
      <c r="A117" s="72">
        <v>46024.0</v>
      </c>
      <c r="B117" s="60" t="s">
        <v>1564</v>
      </c>
      <c r="C117" s="67" t="str">
        <f>IFERROR(__xludf.DUMMYFUNCTION("""COMPUTED_VALUE"""),"LD264")</f>
        <v>LD264</v>
      </c>
      <c r="D117" s="55" t="s">
        <v>188</v>
      </c>
      <c r="E117" s="55" t="s">
        <v>193</v>
      </c>
      <c r="F117" s="55" t="s">
        <v>133</v>
      </c>
      <c r="G117" s="55" t="s">
        <v>61</v>
      </c>
      <c r="H117" s="55" t="s">
        <v>1261</v>
      </c>
      <c r="I117" s="115" t="s">
        <v>2447</v>
      </c>
      <c r="J117" s="142" t="s">
        <v>2494</v>
      </c>
      <c r="K117" s="55" t="s">
        <v>61</v>
      </c>
      <c r="L117" s="55" t="s">
        <v>1130</v>
      </c>
      <c r="M117" s="55" t="s">
        <v>78</v>
      </c>
      <c r="N117" s="55" t="s">
        <v>193</v>
      </c>
      <c r="O117" s="55" t="s">
        <v>1768</v>
      </c>
      <c r="P117" s="55" t="s">
        <v>110</v>
      </c>
      <c r="Q117" s="67" t="str">
        <f>IFERROR(__xludf.DUMMYFUNCTION("""COMPUTED_VALUE"""),"Japan.giaotiep.tienganh_Patado_SEA_HoaNT_020126")</f>
        <v>Japan.giaotiep.tienganh_Patado_SEA_HoaNT_020126</v>
      </c>
      <c r="R117" s="67" t="str">
        <f>IFERROR(__xludf.DUMMYFUNCTION("""COMPUTED_VALUE"""),"NEW_Japan_none_none_020126")</f>
        <v>NEW_Japan_none_none_020126</v>
      </c>
      <c r="S117" s="67" t="str">
        <f>IFERROR(__xludf.DUMMYFUNCTION("""COMPUTED_VALUE"""),"saletructiep_Hoconline11_PTAGTTD_LD264")</f>
        <v>saletructiep_Hoconline11_PTAGTTD_LD264</v>
      </c>
      <c r="T117" s="107" t="str">
        <f>IFERROR(__xludf.DUMMYFUNCTION("""COMPUTED_VALUE"""),"https://patado.edu.vn/khoa-tieng-anh-giao-tiep-o-nhat-ban/?utm_source=Google&amp;utm_medium=SEA&amp;utm_term=NEW_Japan_none_none_020126&amp;utm_content=saletructiep_Hoconline11_PTAGTTD_LD264&amp;utm_campaign=Japan.giaotiep.tienganh_Patado_SEA_HoaNT_020126")</f>
        <v>https://patado.edu.vn/khoa-tieng-anh-giao-tiep-o-nhat-ban/?utm_source=Google&amp;utm_medium=SEA&amp;utm_term=NEW_Japan_none_none_020126&amp;utm_content=saletructiep_Hoconline11_PTAGTTD_LD264&amp;utm_campaign=Japan.giaotiep.tienganh_Patado_SEA_HoaNT_020126</v>
      </c>
      <c r="U117" s="116"/>
    </row>
    <row r="118">
      <c r="A118" s="72">
        <v>46024.0</v>
      </c>
      <c r="B118" s="60" t="s">
        <v>1564</v>
      </c>
      <c r="C118" s="67" t="str">
        <f>IFERROR(__xludf.DUMMYFUNCTION("""COMPUTED_VALUE"""),"LD264")</f>
        <v>LD264</v>
      </c>
      <c r="D118" s="55" t="s">
        <v>188</v>
      </c>
      <c r="E118" s="55" t="s">
        <v>193</v>
      </c>
      <c r="F118" s="55" t="s">
        <v>133</v>
      </c>
      <c r="G118" s="55" t="s">
        <v>61</v>
      </c>
      <c r="H118" s="55" t="s">
        <v>1261</v>
      </c>
      <c r="I118" s="115" t="s">
        <v>2447</v>
      </c>
      <c r="J118" s="142" t="s">
        <v>2501</v>
      </c>
      <c r="K118" s="55" t="s">
        <v>61</v>
      </c>
      <c r="L118" s="55" t="s">
        <v>1130</v>
      </c>
      <c r="M118" s="55" t="s">
        <v>78</v>
      </c>
      <c r="N118" s="55" t="s">
        <v>193</v>
      </c>
      <c r="O118" s="55" t="s">
        <v>1768</v>
      </c>
      <c r="P118" s="55" t="s">
        <v>110</v>
      </c>
      <c r="Q118" s="67" t="str">
        <f>IFERROR(__xludf.DUMMYFUNCTION("""COMPUTED_VALUE"""),"Japan.giaotiep.tienganh_Patado_SEA_HoaNT_020126")</f>
        <v>Japan.giaotiep.tienganh_Patado_SEA_HoaNT_020126</v>
      </c>
      <c r="R118" s="67" t="str">
        <f>IFERROR(__xludf.DUMMYFUNCTION("""COMPUTED_VALUE"""),"NEW_Japan_none_none_020126")</f>
        <v>NEW_Japan_none_none_020126</v>
      </c>
      <c r="S118" s="67" t="str">
        <f>IFERROR(__xludf.DUMMYFUNCTION("""COMPUTED_VALUE"""),"saletructiep_Hocgiaotieponline_PTAGTTD_LD264")</f>
        <v>saletructiep_Hocgiaotieponline_PTAGTTD_LD264</v>
      </c>
      <c r="T118" s="107" t="str">
        <f>IFERROR(__xludf.DUMMYFUNCTION("""COMPUTED_VALUE"""),"https://patado.edu.vn/khoa-tieng-anh-giao-tiep-o-nhat-ban/?utm_source=Google&amp;utm_medium=SEA&amp;utm_term=NEW_Japan_none_none_020126&amp;utm_content=saletructiep_Hocgiaotieponline_PTAGTTD_LD264&amp;utm_campaign=Japan.giaotiep.tienganh_Patado_SEA_HoaNT_020126")</f>
        <v>https://patado.edu.vn/khoa-tieng-anh-giao-tiep-o-nhat-ban/?utm_source=Google&amp;utm_medium=SEA&amp;utm_term=NEW_Japan_none_none_020126&amp;utm_content=saletructiep_Hocgiaotieponline_PTAGTTD_LD264&amp;utm_campaign=Japan.giaotiep.tienganh_Patado_SEA_HoaNT_020126</v>
      </c>
      <c r="U118" s="116"/>
    </row>
    <row r="119">
      <c r="A119" s="72">
        <v>46024.0</v>
      </c>
      <c r="B119" s="60" t="s">
        <v>1564</v>
      </c>
      <c r="C119" s="67" t="str">
        <f>IFERROR(__xludf.DUMMYFUNCTION("""COMPUTED_VALUE"""),"LD264")</f>
        <v>LD264</v>
      </c>
      <c r="D119" s="55" t="s">
        <v>188</v>
      </c>
      <c r="E119" s="55" t="s">
        <v>193</v>
      </c>
      <c r="F119" s="55" t="s">
        <v>133</v>
      </c>
      <c r="G119" s="55" t="s">
        <v>61</v>
      </c>
      <c r="H119" s="55" t="s">
        <v>1261</v>
      </c>
      <c r="I119" s="115" t="s">
        <v>2447</v>
      </c>
      <c r="J119" s="142" t="s">
        <v>2505</v>
      </c>
      <c r="K119" s="55" t="s">
        <v>61</v>
      </c>
      <c r="L119" s="55" t="s">
        <v>1130</v>
      </c>
      <c r="M119" s="55" t="s">
        <v>78</v>
      </c>
      <c r="N119" s="55" t="s">
        <v>193</v>
      </c>
      <c r="O119" s="55" t="s">
        <v>1768</v>
      </c>
      <c r="P119" s="55" t="s">
        <v>110</v>
      </c>
      <c r="Q119" s="67" t="str">
        <f>IFERROR(__xludf.DUMMYFUNCTION("""COMPUTED_VALUE"""),"Japan.giaotiep.tienganh_Patado_SEA_HoaNT_020126")</f>
        <v>Japan.giaotiep.tienganh_Patado_SEA_HoaNT_020126</v>
      </c>
      <c r="R119" s="67" t="str">
        <f>IFERROR(__xludf.DUMMYFUNCTION("""COMPUTED_VALUE"""),"NEW_Japan_none_none_020126")</f>
        <v>NEW_Japan_none_none_020126</v>
      </c>
      <c r="S119" s="67" t="str">
        <f>IFERROR(__xludf.DUMMYFUNCTION("""COMPUTED_VALUE"""),"saletructiep_Loponline_PTAGTTD_LD264")</f>
        <v>saletructiep_Loponline_PTAGTTD_LD264</v>
      </c>
      <c r="T119" s="107" t="str">
        <f>IFERROR(__xludf.DUMMYFUNCTION("""COMPUTED_VALUE"""),"https://patado.edu.vn/khoa-tieng-anh-giao-tiep-o-nhat-ban/?utm_source=Google&amp;utm_medium=SEA&amp;utm_term=NEW_Japan_none_none_020126&amp;utm_content=saletructiep_Loponline_PTAGTTD_LD264&amp;utm_campaign=Japan.giaotiep.tienganh_Patado_SEA_HoaNT_020126")</f>
        <v>https://patado.edu.vn/khoa-tieng-anh-giao-tiep-o-nhat-ban/?utm_source=Google&amp;utm_medium=SEA&amp;utm_term=NEW_Japan_none_none_020126&amp;utm_content=saletructiep_Loponline_PTAGTTD_LD264&amp;utm_campaign=Japan.giaotiep.tienganh_Patado_SEA_HoaNT_020126</v>
      </c>
      <c r="U119" s="116"/>
    </row>
    <row r="120">
      <c r="A120" s="72">
        <v>46024.0</v>
      </c>
      <c r="B120" s="60" t="s">
        <v>1564</v>
      </c>
      <c r="C120" s="67" t="str">
        <f>IFERROR(__xludf.DUMMYFUNCTION("""COMPUTED_VALUE"""),"LD264")</f>
        <v>LD264</v>
      </c>
      <c r="D120" s="55" t="s">
        <v>188</v>
      </c>
      <c r="E120" s="55" t="s">
        <v>193</v>
      </c>
      <c r="F120" s="55" t="s">
        <v>133</v>
      </c>
      <c r="G120" s="55" t="s">
        <v>61</v>
      </c>
      <c r="H120" s="55" t="s">
        <v>1261</v>
      </c>
      <c r="I120" s="115" t="s">
        <v>2447</v>
      </c>
      <c r="J120" s="149" t="s">
        <v>2510</v>
      </c>
      <c r="K120" s="55" t="s">
        <v>61</v>
      </c>
      <c r="L120" s="55" t="s">
        <v>1130</v>
      </c>
      <c r="M120" s="55" t="s">
        <v>78</v>
      </c>
      <c r="N120" s="55" t="s">
        <v>193</v>
      </c>
      <c r="O120" s="55" t="s">
        <v>1768</v>
      </c>
      <c r="P120" s="55" t="s">
        <v>110</v>
      </c>
      <c r="Q120" s="67" t="str">
        <f>IFERROR(__xludf.DUMMYFUNCTION("""COMPUTED_VALUE"""),"Japan.giaotiep.tienganh_Patado_SEA_HoaNT_020126")</f>
        <v>Japan.giaotiep.tienganh_Patado_SEA_HoaNT_020126</v>
      </c>
      <c r="R120" s="67" t="str">
        <f>IFERROR(__xludf.DUMMYFUNCTION("""COMPUTED_VALUE"""),"NEW_Japan_none_none_020126")</f>
        <v>NEW_Japan_none_none_020126</v>
      </c>
      <c r="S120" s="67" t="str">
        <f>IFERROR(__xludf.DUMMYFUNCTION("""COMPUTED_VALUE"""),"saletructiep_Khoagiaotieponline_PTAGTTD_LD264")</f>
        <v>saletructiep_Khoagiaotieponline_PTAGTTD_LD264</v>
      </c>
      <c r="T120" s="107" t="str">
        <f>IFERROR(__xludf.DUMMYFUNCTION("""COMPUTED_VALUE"""),"https://patado.edu.vn/khoa-tieng-anh-giao-tiep-o-nhat-ban/?utm_source=Google&amp;utm_medium=SEA&amp;utm_term=NEW_Japan_none_none_020126&amp;utm_content=saletructiep_Khoagiaotieponline_PTAGTTD_LD264&amp;utm_campaign=Japan.giaotiep.tienganh_Patado_SEA_HoaNT_020126")</f>
        <v>https://patado.edu.vn/khoa-tieng-anh-giao-tiep-o-nhat-ban/?utm_source=Google&amp;utm_medium=SEA&amp;utm_term=NEW_Japan_none_none_020126&amp;utm_content=saletructiep_Khoagiaotieponline_PTAGTTD_LD264&amp;utm_campaign=Japan.giaotiep.tienganh_Patado_SEA_HoaNT_020126</v>
      </c>
      <c r="U120" s="116"/>
    </row>
    <row r="121">
      <c r="A121" s="72">
        <v>46024.0</v>
      </c>
      <c r="B121" s="60" t="s">
        <v>1564</v>
      </c>
      <c r="C121" s="67" t="str">
        <f>IFERROR(__xludf.DUMMYFUNCTION("""COMPUTED_VALUE"""),"LD264")</f>
        <v>LD264</v>
      </c>
      <c r="D121" s="55" t="s">
        <v>188</v>
      </c>
      <c r="E121" s="55" t="s">
        <v>193</v>
      </c>
      <c r="F121" s="55" t="s">
        <v>133</v>
      </c>
      <c r="G121" s="55" t="s">
        <v>61</v>
      </c>
      <c r="H121" s="55" t="s">
        <v>1261</v>
      </c>
      <c r="I121" s="115" t="s">
        <v>2447</v>
      </c>
      <c r="J121" s="142" t="s">
        <v>2516</v>
      </c>
      <c r="K121" s="55" t="s">
        <v>61</v>
      </c>
      <c r="L121" s="55" t="s">
        <v>1130</v>
      </c>
      <c r="M121" s="55" t="s">
        <v>78</v>
      </c>
      <c r="N121" s="55" t="s">
        <v>193</v>
      </c>
      <c r="O121" s="55" t="s">
        <v>1768</v>
      </c>
      <c r="P121" s="55" t="s">
        <v>110</v>
      </c>
      <c r="Q121" s="67" t="str">
        <f>IFERROR(__xludf.DUMMYFUNCTION("""COMPUTED_VALUE"""),"Japan.giaotiep.tienganh_Patado_SEA_HoaNT_020126")</f>
        <v>Japan.giaotiep.tienganh_Patado_SEA_HoaNT_020126</v>
      </c>
      <c r="R121" s="67" t="str">
        <f>IFERROR(__xludf.DUMMYFUNCTION("""COMPUTED_VALUE"""),"NEW_Japan_none_none_020126")</f>
        <v>NEW_Japan_none_none_020126</v>
      </c>
      <c r="S121" s="67" t="str">
        <f>IFERROR(__xludf.DUMMYFUNCTION("""COMPUTED_VALUE"""),"saletructiep_Trungtamonline_PTAGTTD_LD264")</f>
        <v>saletructiep_Trungtamonline_PTAGTTD_LD264</v>
      </c>
      <c r="T121" s="107" t="str">
        <f>IFERROR(__xludf.DUMMYFUNCTION("""COMPUTED_VALUE"""),"https://patado.edu.vn/khoa-tieng-anh-giao-tiep-o-nhat-ban/?utm_source=Google&amp;utm_medium=SEA&amp;utm_term=NEW_Japan_none_none_020126&amp;utm_content=saletructiep_Trungtamonline_PTAGTTD_LD264&amp;utm_campaign=Japan.giaotiep.tienganh_Patado_SEA_HoaNT_020126")</f>
        <v>https://patado.edu.vn/khoa-tieng-anh-giao-tiep-o-nhat-ban/?utm_source=Google&amp;utm_medium=SEA&amp;utm_term=NEW_Japan_none_none_020126&amp;utm_content=saletructiep_Trungtamonline_PTAGTTD_LD264&amp;utm_campaign=Japan.giaotiep.tienganh_Patado_SEA_HoaNT_020126</v>
      </c>
      <c r="U121" s="116"/>
    </row>
    <row r="122">
      <c r="A122" s="72">
        <v>46024.0</v>
      </c>
      <c r="B122" s="60" t="s">
        <v>1564</v>
      </c>
      <c r="C122" s="67" t="str">
        <f>IFERROR(__xludf.DUMMYFUNCTION("""COMPUTED_VALUE"""),"LD264")</f>
        <v>LD264</v>
      </c>
      <c r="D122" s="55" t="s">
        <v>188</v>
      </c>
      <c r="E122" s="55" t="s">
        <v>193</v>
      </c>
      <c r="F122" s="55" t="s">
        <v>133</v>
      </c>
      <c r="G122" s="55" t="s">
        <v>61</v>
      </c>
      <c r="H122" s="55" t="s">
        <v>1261</v>
      </c>
      <c r="I122" s="115" t="s">
        <v>2447</v>
      </c>
      <c r="J122" s="142" t="s">
        <v>2527</v>
      </c>
      <c r="K122" s="55" t="s">
        <v>61</v>
      </c>
      <c r="L122" s="55" t="s">
        <v>1130</v>
      </c>
      <c r="M122" s="55" t="s">
        <v>78</v>
      </c>
      <c r="N122" s="55" t="s">
        <v>193</v>
      </c>
      <c r="O122" s="55" t="s">
        <v>1768</v>
      </c>
      <c r="P122" s="55" t="s">
        <v>110</v>
      </c>
      <c r="Q122" s="67" t="str">
        <f>IFERROR(__xludf.DUMMYFUNCTION("""COMPUTED_VALUE"""),"Japan.giaotiep.tienganh_Patado_SEA_HoaNT_020126")</f>
        <v>Japan.giaotiep.tienganh_Patado_SEA_HoaNT_020126</v>
      </c>
      <c r="R122" s="67" t="str">
        <f>IFERROR(__xludf.DUMMYFUNCTION("""COMPUTED_VALUE"""),"NEW_Japan_none_none_020126")</f>
        <v>NEW_Japan_none_none_020126</v>
      </c>
      <c r="S122" s="67" t="str">
        <f>IFERROR(__xludf.DUMMYFUNCTION("""COMPUTED_VALUE"""),"saletructiep_Trungtamhoconline_PTAGTTD_LD264")</f>
        <v>saletructiep_Trungtamhoconline_PTAGTTD_LD264</v>
      </c>
      <c r="T122" s="107" t="str">
        <f>IFERROR(__xludf.DUMMYFUNCTION("""COMPUTED_VALUE"""),"https://patado.edu.vn/khoa-tieng-anh-giao-tiep-o-nhat-ban/?utm_source=Google&amp;utm_medium=SEA&amp;utm_term=NEW_Japan_none_none_020126&amp;utm_content=saletructiep_Trungtamhoconline_PTAGTTD_LD264&amp;utm_campaign=Japan.giaotiep.tienganh_Patado_SEA_HoaNT_020126")</f>
        <v>https://patado.edu.vn/khoa-tieng-anh-giao-tiep-o-nhat-ban/?utm_source=Google&amp;utm_medium=SEA&amp;utm_term=NEW_Japan_none_none_020126&amp;utm_content=saletructiep_Trungtamhoconline_PTAGTTD_LD264&amp;utm_campaign=Japan.giaotiep.tienganh_Patado_SEA_HoaNT_020126</v>
      </c>
      <c r="U122" s="116"/>
    </row>
    <row r="123">
      <c r="A123" s="72">
        <v>46024.0</v>
      </c>
      <c r="B123" s="60" t="s">
        <v>1564</v>
      </c>
      <c r="C123" s="67" t="str">
        <f>IFERROR(__xludf.DUMMYFUNCTION("""COMPUTED_VALUE"""),"LD264")</f>
        <v>LD264</v>
      </c>
      <c r="D123" s="55" t="s">
        <v>188</v>
      </c>
      <c r="E123" s="55" t="s">
        <v>193</v>
      </c>
      <c r="F123" s="55" t="s">
        <v>133</v>
      </c>
      <c r="G123" s="55" t="s">
        <v>61</v>
      </c>
      <c r="H123" s="55" t="s">
        <v>1261</v>
      </c>
      <c r="I123" s="115" t="s">
        <v>2447</v>
      </c>
      <c r="J123" s="142" t="s">
        <v>2532</v>
      </c>
      <c r="K123" s="55" t="s">
        <v>61</v>
      </c>
      <c r="L123" s="55" t="s">
        <v>1130</v>
      </c>
      <c r="M123" s="55" t="s">
        <v>78</v>
      </c>
      <c r="N123" s="55" t="s">
        <v>193</v>
      </c>
      <c r="O123" s="55" t="s">
        <v>1768</v>
      </c>
      <c r="P123" s="55" t="s">
        <v>110</v>
      </c>
      <c r="Q123" s="67" t="str">
        <f>IFERROR(__xludf.DUMMYFUNCTION("""COMPUTED_VALUE"""),"Japan.giaotiep.tienganh_Patado_SEA_HoaNT_020126")</f>
        <v>Japan.giaotiep.tienganh_Patado_SEA_HoaNT_020126</v>
      </c>
      <c r="R123" s="67" t="str">
        <f>IFERROR(__xludf.DUMMYFUNCTION("""COMPUTED_VALUE"""),"NEW_Japan_none_none_020126")</f>
        <v>NEW_Japan_none_none_020126</v>
      </c>
      <c r="S123" s="67" t="str">
        <f>IFERROR(__xludf.DUMMYFUNCTION("""COMPUTED_VALUE"""),"saletructiep_Hocphionline_PTAGTTD_LD264")</f>
        <v>saletructiep_Hocphionline_PTAGTTD_LD264</v>
      </c>
      <c r="T123" s="107" t="str">
        <f>IFERROR(__xludf.DUMMYFUNCTION("""COMPUTED_VALUE"""),"https://patado.edu.vn/khoa-tieng-anh-giao-tiep-o-nhat-ban/?utm_source=Google&amp;utm_medium=SEA&amp;utm_term=NEW_Japan_none_none_020126&amp;utm_content=saletructiep_Hocphionline_PTAGTTD_LD264&amp;utm_campaign=Japan.giaotiep.tienganh_Patado_SEA_HoaNT_020126")</f>
        <v>https://patado.edu.vn/khoa-tieng-anh-giao-tiep-o-nhat-ban/?utm_source=Google&amp;utm_medium=SEA&amp;utm_term=NEW_Japan_none_none_020126&amp;utm_content=saletructiep_Hocphionline_PTAGTTD_LD264&amp;utm_campaign=Japan.giaotiep.tienganh_Patado_SEA_HoaNT_020126</v>
      </c>
      <c r="U123" s="116"/>
    </row>
    <row r="124">
      <c r="A124" s="72">
        <v>46024.0</v>
      </c>
      <c r="B124" s="60" t="s">
        <v>1564</v>
      </c>
      <c r="C124" s="67" t="str">
        <f>IFERROR(__xludf.DUMMYFUNCTION("""COMPUTED_VALUE"""),"LD264")</f>
        <v>LD264</v>
      </c>
      <c r="D124" s="55" t="s">
        <v>188</v>
      </c>
      <c r="E124" s="55" t="s">
        <v>193</v>
      </c>
      <c r="F124" s="55" t="s">
        <v>133</v>
      </c>
      <c r="G124" s="55" t="s">
        <v>61</v>
      </c>
      <c r="H124" s="55" t="s">
        <v>1261</v>
      </c>
      <c r="I124" s="115" t="s">
        <v>2447</v>
      </c>
      <c r="J124" s="142" t="s">
        <v>2541</v>
      </c>
      <c r="K124" s="55" t="s">
        <v>61</v>
      </c>
      <c r="L124" s="55" t="s">
        <v>1130</v>
      </c>
      <c r="M124" s="55" t="s">
        <v>78</v>
      </c>
      <c r="N124" s="55" t="s">
        <v>193</v>
      </c>
      <c r="O124" s="55" t="s">
        <v>1768</v>
      </c>
      <c r="P124" s="55" t="s">
        <v>110</v>
      </c>
      <c r="Q124" s="67" t="str">
        <f>IFERROR(__xludf.DUMMYFUNCTION("""COMPUTED_VALUE"""),"Japan.giaotiep.tienganh_Patado_SEA_HoaNT_020126")</f>
        <v>Japan.giaotiep.tienganh_Patado_SEA_HoaNT_020126</v>
      </c>
      <c r="R124" s="67" t="str">
        <f>IFERROR(__xludf.DUMMYFUNCTION("""COMPUTED_VALUE"""),"NEW_Japan_none_none_020126")</f>
        <v>NEW_Japan_none_none_020126</v>
      </c>
      <c r="S124" s="67" t="str">
        <f>IFERROR(__xludf.DUMMYFUNCTION("""COMPUTED_VALUE"""),"saletructiep_Tienganhgiaotiep_PTAGTTD_LD264")</f>
        <v>saletructiep_Tienganhgiaotiep_PTAGTTD_LD264</v>
      </c>
      <c r="T124" s="107" t="str">
        <f>IFERROR(__xludf.DUMMYFUNCTION("""COMPUTED_VALUE"""),"https://patado.edu.vn/khoa-tieng-anh-giao-tiep-o-nhat-ban/?utm_source=Google&amp;utm_medium=SEA&amp;utm_term=NEW_Japan_none_none_020126&amp;utm_content=saletructiep_Tienganhgiaotiep_PTAGTTD_LD264&amp;utm_campaign=Japan.giaotiep.tienganh_Patado_SEA_HoaNT_020126")</f>
        <v>https://patado.edu.vn/khoa-tieng-anh-giao-tiep-o-nhat-ban/?utm_source=Google&amp;utm_medium=SEA&amp;utm_term=NEW_Japan_none_none_020126&amp;utm_content=saletructiep_Tienganhgiaotiep_PTAGTTD_LD264&amp;utm_campaign=Japan.giaotiep.tienganh_Patado_SEA_HoaNT_020126</v>
      </c>
      <c r="U124" s="116"/>
    </row>
    <row r="125">
      <c r="A125" s="72">
        <v>46024.0</v>
      </c>
      <c r="B125" s="60" t="s">
        <v>1564</v>
      </c>
      <c r="C125" s="67" t="str">
        <f>IFERROR(__xludf.DUMMYFUNCTION("""COMPUTED_VALUE"""),"LD264")</f>
        <v>LD264</v>
      </c>
      <c r="D125" s="55" t="s">
        <v>188</v>
      </c>
      <c r="E125" s="55" t="s">
        <v>193</v>
      </c>
      <c r="F125" s="55" t="s">
        <v>133</v>
      </c>
      <c r="G125" s="55" t="s">
        <v>61</v>
      </c>
      <c r="H125" s="55" t="s">
        <v>1261</v>
      </c>
      <c r="I125" s="115" t="s">
        <v>2447</v>
      </c>
      <c r="J125" s="143" t="s">
        <v>2546</v>
      </c>
      <c r="K125" s="55" t="s">
        <v>61</v>
      </c>
      <c r="L125" s="55" t="s">
        <v>1130</v>
      </c>
      <c r="M125" s="55" t="s">
        <v>78</v>
      </c>
      <c r="N125" s="55" t="s">
        <v>193</v>
      </c>
      <c r="O125" s="55" t="s">
        <v>1768</v>
      </c>
      <c r="P125" s="55" t="s">
        <v>110</v>
      </c>
      <c r="Q125" s="67" t="str">
        <f>IFERROR(__xludf.DUMMYFUNCTION("""COMPUTED_VALUE"""),"Japan.giaotiep.tienganh_Patado_SEA_HoaNT_020126")</f>
        <v>Japan.giaotiep.tienganh_Patado_SEA_HoaNT_020126</v>
      </c>
      <c r="R125" s="67" t="str">
        <f>IFERROR(__xludf.DUMMYFUNCTION("""COMPUTED_VALUE"""),"NEW_Japan_none_none_020126")</f>
        <v>NEW_Japan_none_none_020126</v>
      </c>
      <c r="S125" s="67" t="str">
        <f>IFERROR(__xludf.DUMMYFUNCTION("""COMPUTED_VALUE"""),"saletructiep_Tienganhgiaotiep11_PTAGTTD_LD264")</f>
        <v>saletructiep_Tienganhgiaotiep11_PTAGTTD_LD264</v>
      </c>
      <c r="T125" s="107" t="str">
        <f>IFERROR(__xludf.DUMMYFUNCTION("""COMPUTED_VALUE"""),"https://patado.edu.vn/khoa-tieng-anh-giao-tiep-o-nhat-ban/?utm_source=Google&amp;utm_medium=SEA&amp;utm_term=NEW_Japan_none_none_020126&amp;utm_content=saletructiep_Tienganhgiaotiep11_PTAGTTD_LD264&amp;utm_campaign=Japan.giaotiep.tienganh_Patado_SEA_HoaNT_020126")</f>
        <v>https://patado.edu.vn/khoa-tieng-anh-giao-tiep-o-nhat-ban/?utm_source=Google&amp;utm_medium=SEA&amp;utm_term=NEW_Japan_none_none_020126&amp;utm_content=saletructiep_Tienganhgiaotiep11_PTAGTTD_LD264&amp;utm_campaign=Japan.giaotiep.tienganh_Patado_SEA_HoaNT_020126</v>
      </c>
      <c r="U125" s="116"/>
    </row>
    <row r="126">
      <c r="A126" s="72">
        <v>46024.0</v>
      </c>
      <c r="B126" s="60" t="s">
        <v>1564</v>
      </c>
      <c r="C126" s="67" t="str">
        <f>IFERROR(__xludf.DUMMYFUNCTION("""COMPUTED_VALUE"""),"LD264")</f>
        <v>LD264</v>
      </c>
      <c r="D126" s="55" t="s">
        <v>188</v>
      </c>
      <c r="E126" s="55" t="s">
        <v>193</v>
      </c>
      <c r="F126" s="55" t="s">
        <v>133</v>
      </c>
      <c r="G126" s="55" t="s">
        <v>61</v>
      </c>
      <c r="H126" s="55" t="s">
        <v>1261</v>
      </c>
      <c r="I126" s="115" t="s">
        <v>2447</v>
      </c>
      <c r="J126" s="142" t="s">
        <v>2550</v>
      </c>
      <c r="K126" s="55" t="s">
        <v>61</v>
      </c>
      <c r="L126" s="55" t="s">
        <v>1130</v>
      </c>
      <c r="M126" s="55" t="s">
        <v>78</v>
      </c>
      <c r="N126" s="55" t="s">
        <v>193</v>
      </c>
      <c r="O126" s="55" t="s">
        <v>1768</v>
      </c>
      <c r="P126" s="55" t="s">
        <v>110</v>
      </c>
      <c r="Q126" s="67" t="str">
        <f>IFERROR(__xludf.DUMMYFUNCTION("""COMPUTED_VALUE"""),"Japan.giaotiep.tienganh_Patado_SEA_HoaNT_020126")</f>
        <v>Japan.giaotiep.tienganh_Patado_SEA_HoaNT_020126</v>
      </c>
      <c r="R126" s="67" t="str">
        <f>IFERROR(__xludf.DUMMYFUNCTION("""COMPUTED_VALUE"""),"NEW_Japan_none_none_020126")</f>
        <v>NEW_Japan_none_none_020126</v>
      </c>
      <c r="S126" s="67" t="str">
        <f>IFERROR(__xludf.DUMMYFUNCTION("""COMPUTED_VALUE"""),"saletructiep_Hoctienganhgiaotiep_PTAGTTD_LD264")</f>
        <v>saletructiep_Hoctienganhgiaotiep_PTAGTTD_LD264</v>
      </c>
      <c r="T126" s="107" t="str">
        <f>IFERROR(__xludf.DUMMYFUNCTION("""COMPUTED_VALUE"""),"https://patado.edu.vn/khoa-tieng-anh-giao-tiep-o-nhat-ban/?utm_source=Google&amp;utm_medium=SEA&amp;utm_term=NEW_Japan_none_none_020126&amp;utm_content=saletructiep_Hoctienganhgiaotiep_PTAGTTD_LD264&amp;utm_campaign=Japan.giaotiep.tienganh_Patado_SEA_HoaNT_020126")</f>
        <v>https://patado.edu.vn/khoa-tieng-anh-giao-tiep-o-nhat-ban/?utm_source=Google&amp;utm_medium=SEA&amp;utm_term=NEW_Japan_none_none_020126&amp;utm_content=saletructiep_Hoctienganhgiaotiep_PTAGTTD_LD264&amp;utm_campaign=Japan.giaotiep.tienganh_Patado_SEA_HoaNT_020126</v>
      </c>
      <c r="U126" s="116"/>
    </row>
    <row r="127">
      <c r="A127" s="72">
        <v>46024.0</v>
      </c>
      <c r="B127" s="60" t="s">
        <v>1564</v>
      </c>
      <c r="C127" s="67" t="str">
        <f>IFERROR(__xludf.DUMMYFUNCTION("""COMPUTED_VALUE"""),"LD264")</f>
        <v>LD264</v>
      </c>
      <c r="D127" s="55" t="s">
        <v>188</v>
      </c>
      <c r="E127" s="55" t="s">
        <v>193</v>
      </c>
      <c r="F127" s="55" t="s">
        <v>133</v>
      </c>
      <c r="G127" s="55" t="s">
        <v>61</v>
      </c>
      <c r="H127" s="55" t="s">
        <v>1261</v>
      </c>
      <c r="I127" s="115" t="s">
        <v>2447</v>
      </c>
      <c r="J127" s="142" t="s">
        <v>2555</v>
      </c>
      <c r="K127" s="55" t="s">
        <v>61</v>
      </c>
      <c r="L127" s="55" t="s">
        <v>1130</v>
      </c>
      <c r="M127" s="55" t="s">
        <v>78</v>
      </c>
      <c r="N127" s="55" t="s">
        <v>193</v>
      </c>
      <c r="O127" s="55" t="s">
        <v>1768</v>
      </c>
      <c r="P127" s="55" t="s">
        <v>110</v>
      </c>
      <c r="Q127" s="67" t="str">
        <f>IFERROR(__xludf.DUMMYFUNCTION("""COMPUTED_VALUE"""),"Japan.giaotiep.tienganh_Patado_SEA_HoaNT_020126")</f>
        <v>Japan.giaotiep.tienganh_Patado_SEA_HoaNT_020126</v>
      </c>
      <c r="R127" s="67" t="str">
        <f>IFERROR(__xludf.DUMMYFUNCTION("""COMPUTED_VALUE"""),"NEW_Japan_none_none_020126")</f>
        <v>NEW_Japan_none_none_020126</v>
      </c>
      <c r="S127" s="67" t="str">
        <f>IFERROR(__xludf.DUMMYFUNCTION("""COMPUTED_VALUE"""),"saletructiep_Hocgiaotiepcoban_PTAGTTD_LD264")</f>
        <v>saletructiep_Hocgiaotiepcoban_PTAGTTD_LD264</v>
      </c>
      <c r="T127" s="107" t="str">
        <f>IFERROR(__xludf.DUMMYFUNCTION("""COMPUTED_VALUE"""),"https://patado.edu.vn/khoa-tieng-anh-giao-tiep-o-nhat-ban/?utm_source=Google&amp;utm_medium=SEA&amp;utm_term=NEW_Japan_none_none_020126&amp;utm_content=saletructiep_Hocgiaotiepcoban_PTAGTTD_LD264&amp;utm_campaign=Japan.giaotiep.tienganh_Patado_SEA_HoaNT_020126")</f>
        <v>https://patado.edu.vn/khoa-tieng-anh-giao-tiep-o-nhat-ban/?utm_source=Google&amp;utm_medium=SEA&amp;utm_term=NEW_Japan_none_none_020126&amp;utm_content=saletructiep_Hocgiaotiepcoban_PTAGTTD_LD264&amp;utm_campaign=Japan.giaotiep.tienganh_Patado_SEA_HoaNT_020126</v>
      </c>
      <c r="U127" s="116"/>
    </row>
    <row r="128">
      <c r="A128" s="72">
        <v>46024.0</v>
      </c>
      <c r="B128" s="60" t="s">
        <v>1564</v>
      </c>
      <c r="C128" s="67" t="str">
        <f>IFERROR(__xludf.DUMMYFUNCTION("""COMPUTED_VALUE"""),"LD264")</f>
        <v>LD264</v>
      </c>
      <c r="D128" s="55" t="s">
        <v>188</v>
      </c>
      <c r="E128" s="55" t="s">
        <v>193</v>
      </c>
      <c r="F128" s="55" t="s">
        <v>133</v>
      </c>
      <c r="G128" s="55" t="s">
        <v>61</v>
      </c>
      <c r="H128" s="55" t="s">
        <v>1261</v>
      </c>
      <c r="I128" s="115" t="s">
        <v>2447</v>
      </c>
      <c r="J128" s="142" t="s">
        <v>2560</v>
      </c>
      <c r="K128" s="55" t="s">
        <v>61</v>
      </c>
      <c r="L128" s="55" t="s">
        <v>1130</v>
      </c>
      <c r="M128" s="55" t="s">
        <v>78</v>
      </c>
      <c r="N128" s="55" t="s">
        <v>193</v>
      </c>
      <c r="O128" s="55" t="s">
        <v>1768</v>
      </c>
      <c r="P128" s="55" t="s">
        <v>110</v>
      </c>
      <c r="Q128" s="67" t="str">
        <f>IFERROR(__xludf.DUMMYFUNCTION("""COMPUTED_VALUE"""),"Japan.giaotiep.tienganh_Patado_SEA_HoaNT_020126")</f>
        <v>Japan.giaotiep.tienganh_Patado_SEA_HoaNT_020126</v>
      </c>
      <c r="R128" s="67" t="str">
        <f>IFERROR(__xludf.DUMMYFUNCTION("""COMPUTED_VALUE"""),"NEW_Japan_none_none_020126")</f>
        <v>NEW_Japan_none_none_020126</v>
      </c>
      <c r="S128" s="67" t="str">
        <f>IFERROR(__xludf.DUMMYFUNCTION("""COMPUTED_VALUE"""),"saletructiep_Hocgiaotiepcaptoc_PTAGTTD_LD264")</f>
        <v>saletructiep_Hocgiaotiepcaptoc_PTAGTTD_LD264</v>
      </c>
      <c r="T128" s="107" t="str">
        <f>IFERROR(__xludf.DUMMYFUNCTION("""COMPUTED_VALUE"""),"https://patado.edu.vn/khoa-tieng-anh-giao-tiep-o-nhat-ban/?utm_source=Google&amp;utm_medium=SEA&amp;utm_term=NEW_Japan_none_none_020126&amp;utm_content=saletructiep_Hocgiaotiepcaptoc_PTAGTTD_LD264&amp;utm_campaign=Japan.giaotiep.tienganh_Patado_SEA_HoaNT_020126")</f>
        <v>https://patado.edu.vn/khoa-tieng-anh-giao-tiep-o-nhat-ban/?utm_source=Google&amp;utm_medium=SEA&amp;utm_term=NEW_Japan_none_none_020126&amp;utm_content=saletructiep_Hocgiaotiepcaptoc_PTAGTTD_LD264&amp;utm_campaign=Japan.giaotiep.tienganh_Patado_SEA_HoaNT_020126</v>
      </c>
      <c r="U128" s="116"/>
    </row>
    <row r="129">
      <c r="A129" s="72">
        <v>46024.0</v>
      </c>
      <c r="B129" s="60" t="s">
        <v>1564</v>
      </c>
      <c r="C129" s="67" t="str">
        <f>IFERROR(__xludf.DUMMYFUNCTION("""COMPUTED_VALUE"""),"LD264")</f>
        <v>LD264</v>
      </c>
      <c r="D129" s="55" t="s">
        <v>188</v>
      </c>
      <c r="E129" s="55" t="s">
        <v>193</v>
      </c>
      <c r="F129" s="55" t="s">
        <v>133</v>
      </c>
      <c r="G129" s="55" t="s">
        <v>61</v>
      </c>
      <c r="H129" s="55" t="s">
        <v>1261</v>
      </c>
      <c r="I129" s="115" t="s">
        <v>2447</v>
      </c>
      <c r="J129" s="142" t="s">
        <v>2569</v>
      </c>
      <c r="K129" s="55" t="s">
        <v>61</v>
      </c>
      <c r="L129" s="55" t="s">
        <v>1130</v>
      </c>
      <c r="M129" s="55" t="s">
        <v>78</v>
      </c>
      <c r="N129" s="55" t="s">
        <v>193</v>
      </c>
      <c r="O129" s="55" t="s">
        <v>1768</v>
      </c>
      <c r="P129" s="55" t="s">
        <v>110</v>
      </c>
      <c r="Q129" s="67" t="str">
        <f>IFERROR(__xludf.DUMMYFUNCTION("""COMPUTED_VALUE"""),"Japan.giaotiep.tienganh_Patado_SEA_HoaNT_020126")</f>
        <v>Japan.giaotiep.tienganh_Patado_SEA_HoaNT_020126</v>
      </c>
      <c r="R129" s="67" t="str">
        <f>IFERROR(__xludf.DUMMYFUNCTION("""COMPUTED_VALUE"""),"NEW_Japan_none_none_020126")</f>
        <v>NEW_Japan_none_none_020126</v>
      </c>
      <c r="S129" s="67" t="str">
        <f>IFERROR(__xludf.DUMMYFUNCTION("""COMPUTED_VALUE"""),"saletructiep_Dangkyhocgiaotiep_PTAGTTD_LD264")</f>
        <v>saletructiep_Dangkyhocgiaotiep_PTAGTTD_LD264</v>
      </c>
      <c r="T129" s="107" t="str">
        <f>IFERROR(__xludf.DUMMYFUNCTION("""COMPUTED_VALUE"""),"https://patado.edu.vn/khoa-tieng-anh-giao-tiep-o-nhat-ban/?utm_source=Google&amp;utm_medium=SEA&amp;utm_term=NEW_Japan_none_none_020126&amp;utm_content=saletructiep_Dangkyhocgiaotiep_PTAGTTD_LD264&amp;utm_campaign=Japan.giaotiep.tienganh_Patado_SEA_HoaNT_020126")</f>
        <v>https://patado.edu.vn/khoa-tieng-anh-giao-tiep-o-nhat-ban/?utm_source=Google&amp;utm_medium=SEA&amp;utm_term=NEW_Japan_none_none_020126&amp;utm_content=saletructiep_Dangkyhocgiaotiep_PTAGTTD_LD264&amp;utm_campaign=Japan.giaotiep.tienganh_Patado_SEA_HoaNT_020126</v>
      </c>
      <c r="U129" s="116"/>
    </row>
    <row r="130">
      <c r="A130" s="72">
        <v>46024.0</v>
      </c>
      <c r="B130" s="60" t="s">
        <v>1564</v>
      </c>
      <c r="C130" s="67" t="str">
        <f>IFERROR(__xludf.DUMMYFUNCTION("""COMPUTED_VALUE"""),"LD264")</f>
        <v>LD264</v>
      </c>
      <c r="D130" s="55" t="s">
        <v>188</v>
      </c>
      <c r="E130" s="55" t="s">
        <v>193</v>
      </c>
      <c r="F130" s="55" t="s">
        <v>133</v>
      </c>
      <c r="G130" s="55" t="s">
        <v>61</v>
      </c>
      <c r="H130" s="55" t="s">
        <v>1261</v>
      </c>
      <c r="I130" s="115" t="s">
        <v>2447</v>
      </c>
      <c r="J130" s="142" t="s">
        <v>2574</v>
      </c>
      <c r="K130" s="55" t="s">
        <v>61</v>
      </c>
      <c r="L130" s="55" t="s">
        <v>1130</v>
      </c>
      <c r="M130" s="55" t="s">
        <v>78</v>
      </c>
      <c r="N130" s="55" t="s">
        <v>193</v>
      </c>
      <c r="O130" s="55" t="s">
        <v>1768</v>
      </c>
      <c r="P130" s="55" t="s">
        <v>110</v>
      </c>
      <c r="Q130" s="67" t="str">
        <f>IFERROR(__xludf.DUMMYFUNCTION("""COMPUTED_VALUE"""),"Japan.giaotiep.tienganh_Patado_SEA_HoaNT_020126")</f>
        <v>Japan.giaotiep.tienganh_Patado_SEA_HoaNT_020126</v>
      </c>
      <c r="R130" s="67" t="str">
        <f>IFERROR(__xludf.DUMMYFUNCTION("""COMPUTED_VALUE"""),"NEW_Japan_none_none_020126")</f>
        <v>NEW_Japan_none_none_020126</v>
      </c>
      <c r="S130" s="67" t="str">
        <f>IFERROR(__xludf.DUMMYFUNCTION("""COMPUTED_VALUE"""),"saletructiep_Lotrinhgiaotiep_PTAGTTD_LD264")</f>
        <v>saletructiep_Lotrinhgiaotiep_PTAGTTD_LD264</v>
      </c>
      <c r="T130" s="107" t="str">
        <f>IFERROR(__xludf.DUMMYFUNCTION("""COMPUTED_VALUE"""),"https://patado.edu.vn/khoa-tieng-anh-giao-tiep-o-nhat-ban/?utm_source=Google&amp;utm_medium=SEA&amp;utm_term=NEW_Japan_none_none_020126&amp;utm_content=saletructiep_Lotrinhgiaotiep_PTAGTTD_LD264&amp;utm_campaign=Japan.giaotiep.tienganh_Patado_SEA_HoaNT_020126")</f>
        <v>https://patado.edu.vn/khoa-tieng-anh-giao-tiep-o-nhat-ban/?utm_source=Google&amp;utm_medium=SEA&amp;utm_term=NEW_Japan_none_none_020126&amp;utm_content=saletructiep_Lotrinhgiaotiep_PTAGTTD_LD264&amp;utm_campaign=Japan.giaotiep.tienganh_Patado_SEA_HoaNT_020126</v>
      </c>
      <c r="U130" s="116"/>
    </row>
    <row r="131">
      <c r="A131" s="72">
        <v>46024.0</v>
      </c>
      <c r="B131" s="60" t="s">
        <v>1564</v>
      </c>
      <c r="C131" s="67" t="str">
        <f>IFERROR(__xludf.DUMMYFUNCTION("""COMPUTED_VALUE"""),"LD264")</f>
        <v>LD264</v>
      </c>
      <c r="D131" s="55" t="s">
        <v>188</v>
      </c>
      <c r="E131" s="55" t="s">
        <v>193</v>
      </c>
      <c r="F131" s="55" t="s">
        <v>133</v>
      </c>
      <c r="G131" s="55" t="s">
        <v>61</v>
      </c>
      <c r="H131" s="55" t="s">
        <v>1261</v>
      </c>
      <c r="I131" s="115" t="s">
        <v>2447</v>
      </c>
      <c r="J131" s="143" t="s">
        <v>2580</v>
      </c>
      <c r="K131" s="55" t="s">
        <v>61</v>
      </c>
      <c r="L131" s="55" t="s">
        <v>1130</v>
      </c>
      <c r="M131" s="55" t="s">
        <v>78</v>
      </c>
      <c r="N131" s="55" t="s">
        <v>193</v>
      </c>
      <c r="O131" s="55" t="s">
        <v>1768</v>
      </c>
      <c r="P131" s="55" t="s">
        <v>110</v>
      </c>
      <c r="Q131" s="67" t="str">
        <f>IFERROR(__xludf.DUMMYFUNCTION("""COMPUTED_VALUE"""),"Japan.giaotiep.tienganh_Patado_SEA_HoaNT_020126")</f>
        <v>Japan.giaotiep.tienganh_Patado_SEA_HoaNT_020126</v>
      </c>
      <c r="R131" s="67" t="str">
        <f>IFERROR(__xludf.DUMMYFUNCTION("""COMPUTED_VALUE"""),"NEW_Japan_none_none_020126")</f>
        <v>NEW_Japan_none_none_020126</v>
      </c>
      <c r="S131" s="67" t="str">
        <f>IFERROR(__xludf.DUMMYFUNCTION("""COMPUTED_VALUE"""),"saletructiep_Lopgiaotiep_PTAGTTD_LD264")</f>
        <v>saletructiep_Lopgiaotiep_PTAGTTD_LD264</v>
      </c>
      <c r="T131" s="107" t="str">
        <f>IFERROR(__xludf.DUMMYFUNCTION("""COMPUTED_VALUE"""),"https://patado.edu.vn/khoa-tieng-anh-giao-tiep-o-nhat-ban/?utm_source=Google&amp;utm_medium=SEA&amp;utm_term=NEW_Japan_none_none_020126&amp;utm_content=saletructiep_Lopgiaotiep_PTAGTTD_LD264&amp;utm_campaign=Japan.giaotiep.tienganh_Patado_SEA_HoaNT_020126")</f>
        <v>https://patado.edu.vn/khoa-tieng-anh-giao-tiep-o-nhat-ban/?utm_source=Google&amp;utm_medium=SEA&amp;utm_term=NEW_Japan_none_none_020126&amp;utm_content=saletructiep_Lopgiaotiep_PTAGTTD_LD264&amp;utm_campaign=Japan.giaotiep.tienganh_Patado_SEA_HoaNT_020126</v>
      </c>
      <c r="U131" s="116"/>
    </row>
    <row r="132">
      <c r="A132" s="72">
        <v>46024.0</v>
      </c>
      <c r="B132" s="60" t="s">
        <v>1564</v>
      </c>
      <c r="C132" s="67" t="str">
        <f>IFERROR(__xludf.DUMMYFUNCTION("""COMPUTED_VALUE"""),"LD264")</f>
        <v>LD264</v>
      </c>
      <c r="D132" s="55" t="s">
        <v>188</v>
      </c>
      <c r="E132" s="55" t="s">
        <v>193</v>
      </c>
      <c r="F132" s="55" t="s">
        <v>133</v>
      </c>
      <c r="G132" s="55" t="s">
        <v>61</v>
      </c>
      <c r="H132" s="55" t="s">
        <v>1261</v>
      </c>
      <c r="I132" s="115" t="s">
        <v>2447</v>
      </c>
      <c r="J132" s="142" t="s">
        <v>2586</v>
      </c>
      <c r="K132" s="55" t="s">
        <v>61</v>
      </c>
      <c r="L132" s="55" t="s">
        <v>1130</v>
      </c>
      <c r="M132" s="55" t="s">
        <v>78</v>
      </c>
      <c r="N132" s="55" t="s">
        <v>193</v>
      </c>
      <c r="O132" s="55" t="s">
        <v>1768</v>
      </c>
      <c r="P132" s="55" t="s">
        <v>110</v>
      </c>
      <c r="Q132" s="67" t="str">
        <f>IFERROR(__xludf.DUMMYFUNCTION("""COMPUTED_VALUE"""),"Japan.giaotiep.tienganh_Patado_SEA_HoaNT_020126")</f>
        <v>Japan.giaotiep.tienganh_Patado_SEA_HoaNT_020126</v>
      </c>
      <c r="R132" s="67" t="str">
        <f>IFERROR(__xludf.DUMMYFUNCTION("""COMPUTED_VALUE"""),"NEW_Japan_none_none_020126")</f>
        <v>NEW_Japan_none_none_020126</v>
      </c>
      <c r="S132" s="67" t="str">
        <f>IFERROR(__xludf.DUMMYFUNCTION("""COMPUTED_VALUE"""),"saletructiep_Khoagiaotiep_PTAGTTD_LD264")</f>
        <v>saletructiep_Khoagiaotiep_PTAGTTD_LD264</v>
      </c>
      <c r="T132" s="107" t="str">
        <f>IFERROR(__xludf.DUMMYFUNCTION("""COMPUTED_VALUE"""),"https://patado.edu.vn/khoa-tieng-anh-giao-tiep-o-nhat-ban/?utm_source=Google&amp;utm_medium=SEA&amp;utm_term=NEW_Japan_none_none_020126&amp;utm_content=saletructiep_Khoagiaotiep_PTAGTTD_LD264&amp;utm_campaign=Japan.giaotiep.tienganh_Patado_SEA_HoaNT_020126")</f>
        <v>https://patado.edu.vn/khoa-tieng-anh-giao-tiep-o-nhat-ban/?utm_source=Google&amp;utm_medium=SEA&amp;utm_term=NEW_Japan_none_none_020126&amp;utm_content=saletructiep_Khoagiaotiep_PTAGTTD_LD264&amp;utm_campaign=Japan.giaotiep.tienganh_Patado_SEA_HoaNT_020126</v>
      </c>
      <c r="U132" s="116"/>
    </row>
    <row r="133">
      <c r="A133" s="72">
        <v>46024.0</v>
      </c>
      <c r="B133" s="60" t="s">
        <v>1564</v>
      </c>
      <c r="C133" s="67" t="str">
        <f>IFERROR(__xludf.DUMMYFUNCTION("""COMPUTED_VALUE"""),"LD264")</f>
        <v>LD264</v>
      </c>
      <c r="D133" s="55" t="s">
        <v>188</v>
      </c>
      <c r="E133" s="55" t="s">
        <v>193</v>
      </c>
      <c r="F133" s="55" t="s">
        <v>133</v>
      </c>
      <c r="G133" s="55" t="s">
        <v>61</v>
      </c>
      <c r="H133" s="55" t="s">
        <v>1261</v>
      </c>
      <c r="I133" s="115" t="s">
        <v>2447</v>
      </c>
      <c r="J133" s="143" t="s">
        <v>2594</v>
      </c>
      <c r="K133" s="55" t="s">
        <v>61</v>
      </c>
      <c r="L133" s="55" t="s">
        <v>1130</v>
      </c>
      <c r="M133" s="55" t="s">
        <v>78</v>
      </c>
      <c r="N133" s="55" t="s">
        <v>193</v>
      </c>
      <c r="O133" s="55" t="s">
        <v>1768</v>
      </c>
      <c r="P133" s="55" t="s">
        <v>110</v>
      </c>
      <c r="Q133" s="67" t="str">
        <f>IFERROR(__xludf.DUMMYFUNCTION("""COMPUTED_VALUE"""),"Japan.giaotiep.tienganh_Patado_SEA_HoaNT_020126")</f>
        <v>Japan.giaotiep.tienganh_Patado_SEA_HoaNT_020126</v>
      </c>
      <c r="R133" s="67" t="str">
        <f>IFERROR(__xludf.DUMMYFUNCTION("""COMPUTED_VALUE"""),"NEW_Japan_none_none_020126")</f>
        <v>NEW_Japan_none_none_020126</v>
      </c>
      <c r="S133" s="67" t="str">
        <f>IFERROR(__xludf.DUMMYFUNCTION("""COMPUTED_VALUE"""),"saletructiep_Trungtamgiaotiep_PTAGTTD_LD264")</f>
        <v>saletructiep_Trungtamgiaotiep_PTAGTTD_LD264</v>
      </c>
      <c r="T133" s="107" t="str">
        <f>IFERROR(__xludf.DUMMYFUNCTION("""COMPUTED_VALUE"""),"https://patado.edu.vn/khoa-tieng-anh-giao-tiep-o-nhat-ban/?utm_source=Google&amp;utm_medium=SEA&amp;utm_term=NEW_Japan_none_none_020126&amp;utm_content=saletructiep_Trungtamgiaotiep_PTAGTTD_LD264&amp;utm_campaign=Japan.giaotiep.tienganh_Patado_SEA_HoaNT_020126")</f>
        <v>https://patado.edu.vn/khoa-tieng-anh-giao-tiep-o-nhat-ban/?utm_source=Google&amp;utm_medium=SEA&amp;utm_term=NEW_Japan_none_none_020126&amp;utm_content=saletructiep_Trungtamgiaotiep_PTAGTTD_LD264&amp;utm_campaign=Japan.giaotiep.tienganh_Patado_SEA_HoaNT_020126</v>
      </c>
      <c r="U133" s="116"/>
    </row>
    <row r="134">
      <c r="A134" s="72">
        <v>46024.0</v>
      </c>
      <c r="B134" s="60" t="s">
        <v>1564</v>
      </c>
      <c r="C134" s="67" t="str">
        <f>IFERROR(__xludf.DUMMYFUNCTION("""COMPUTED_VALUE"""),"LD264")</f>
        <v>LD264</v>
      </c>
      <c r="D134" s="55" t="s">
        <v>188</v>
      </c>
      <c r="E134" s="55" t="s">
        <v>193</v>
      </c>
      <c r="F134" s="55" t="s">
        <v>133</v>
      </c>
      <c r="G134" s="55" t="s">
        <v>61</v>
      </c>
      <c r="H134" s="55" t="s">
        <v>1261</v>
      </c>
      <c r="I134" s="115" t="s">
        <v>2447</v>
      </c>
      <c r="J134" s="142" t="s">
        <v>2600</v>
      </c>
      <c r="K134" s="55" t="s">
        <v>61</v>
      </c>
      <c r="L134" s="55" t="s">
        <v>1130</v>
      </c>
      <c r="M134" s="55" t="s">
        <v>78</v>
      </c>
      <c r="N134" s="55" t="s">
        <v>193</v>
      </c>
      <c r="O134" s="55" t="s">
        <v>1768</v>
      </c>
      <c r="P134" s="55" t="s">
        <v>110</v>
      </c>
      <c r="Q134" s="67" t="str">
        <f>IFERROR(__xludf.DUMMYFUNCTION("""COMPUTED_VALUE"""),"Japan.giaotiep.tienganh_Patado_SEA_HoaNT_020126")</f>
        <v>Japan.giaotiep.tienganh_Patado_SEA_HoaNT_020126</v>
      </c>
      <c r="R134" s="67" t="str">
        <f>IFERROR(__xludf.DUMMYFUNCTION("""COMPUTED_VALUE"""),"NEW_Japan_none_none_020126")</f>
        <v>NEW_Japan_none_none_020126</v>
      </c>
      <c r="S134" s="67" t="str">
        <f>IFERROR(__xludf.DUMMYFUNCTION("""COMPUTED_VALUE"""),"saletructiep_Hocphigiaotiep_PTAGTTD_LD264")</f>
        <v>saletructiep_Hocphigiaotiep_PTAGTTD_LD264</v>
      </c>
      <c r="T134" s="107" t="str">
        <f>IFERROR(__xludf.DUMMYFUNCTION("""COMPUTED_VALUE"""),"https://patado.edu.vn/khoa-tieng-anh-giao-tiep-o-nhat-ban/?utm_source=Google&amp;utm_medium=SEA&amp;utm_term=NEW_Japan_none_none_020126&amp;utm_content=saletructiep_Hocphigiaotiep_PTAGTTD_LD264&amp;utm_campaign=Japan.giaotiep.tienganh_Patado_SEA_HoaNT_020126")</f>
        <v>https://patado.edu.vn/khoa-tieng-anh-giao-tiep-o-nhat-ban/?utm_source=Google&amp;utm_medium=SEA&amp;utm_term=NEW_Japan_none_none_020126&amp;utm_content=saletructiep_Hocphigiaotiep_PTAGTTD_LD264&amp;utm_campaign=Japan.giaotiep.tienganh_Patado_SEA_HoaNT_020126</v>
      </c>
      <c r="U134" s="116"/>
    </row>
    <row r="135">
      <c r="A135" s="72">
        <v>46024.0</v>
      </c>
      <c r="B135" s="60" t="s">
        <v>1564</v>
      </c>
      <c r="C135" s="67" t="str">
        <f>IFERROR(__xludf.DUMMYFUNCTION("""COMPUTED_VALUE"""),"LD264")</f>
        <v>LD264</v>
      </c>
      <c r="D135" s="55" t="s">
        <v>188</v>
      </c>
      <c r="E135" s="55" t="s">
        <v>193</v>
      </c>
      <c r="F135" s="55" t="s">
        <v>133</v>
      </c>
      <c r="G135" s="55" t="s">
        <v>61</v>
      </c>
      <c r="H135" s="55" t="s">
        <v>1261</v>
      </c>
      <c r="I135" s="115" t="s">
        <v>2447</v>
      </c>
      <c r="J135" s="142" t="s">
        <v>2607</v>
      </c>
      <c r="K135" s="55" t="s">
        <v>61</v>
      </c>
      <c r="L135" s="55" t="s">
        <v>1130</v>
      </c>
      <c r="M135" s="55" t="s">
        <v>78</v>
      </c>
      <c r="N135" s="55" t="s">
        <v>193</v>
      </c>
      <c r="O135" s="55" t="s">
        <v>1768</v>
      </c>
      <c r="P135" s="55" t="s">
        <v>110</v>
      </c>
      <c r="Q135" s="67" t="str">
        <f>IFERROR(__xludf.DUMMYFUNCTION("""COMPUTED_VALUE"""),"Japan.giaotiep.tienganh_Patado_SEA_HoaNT_020126")</f>
        <v>Japan.giaotiep.tienganh_Patado_SEA_HoaNT_020126</v>
      </c>
      <c r="R135" s="67" t="str">
        <f>IFERROR(__xludf.DUMMYFUNCTION("""COMPUTED_VALUE"""),"NEW_Japan_none_none_020126")</f>
        <v>NEW_Japan_none_none_020126</v>
      </c>
      <c r="S135" s="67" t="str">
        <f>IFERROR(__xludf.DUMMYFUNCTION("""COMPUTED_VALUE"""),"saletructiep_Tienganhngbatdau_PTAGTTD_LD264")</f>
        <v>saletructiep_Tienganhngbatdau_PTAGTTD_LD264</v>
      </c>
      <c r="T135" s="107" t="str">
        <f>IFERROR(__xludf.DUMMYFUNCTION("""COMPUTED_VALUE"""),"https://patado.edu.vn/khoa-tieng-anh-giao-tiep-o-nhat-ban/?utm_source=Google&amp;utm_medium=SEA&amp;utm_term=NEW_Japan_none_none_020126&amp;utm_content=saletructiep_Tienganhngbatdau_PTAGTTD_LD264&amp;utm_campaign=Japan.giaotiep.tienganh_Patado_SEA_HoaNT_020126")</f>
        <v>https://patado.edu.vn/khoa-tieng-anh-giao-tiep-o-nhat-ban/?utm_source=Google&amp;utm_medium=SEA&amp;utm_term=NEW_Japan_none_none_020126&amp;utm_content=saletructiep_Tienganhngbatdau_PTAGTTD_LD264&amp;utm_campaign=Japan.giaotiep.tienganh_Patado_SEA_HoaNT_020126</v>
      </c>
      <c r="U135" s="116"/>
    </row>
    <row r="136">
      <c r="A136" s="72">
        <v>46024.0</v>
      </c>
      <c r="B136" s="60" t="s">
        <v>1564</v>
      </c>
      <c r="C136" s="67" t="str">
        <f>IFERROR(__xludf.DUMMYFUNCTION("""COMPUTED_VALUE"""),"LD264")</f>
        <v>LD264</v>
      </c>
      <c r="D136" s="55" t="s">
        <v>188</v>
      </c>
      <c r="E136" s="55" t="s">
        <v>193</v>
      </c>
      <c r="F136" s="55" t="s">
        <v>133</v>
      </c>
      <c r="G136" s="55" t="s">
        <v>61</v>
      </c>
      <c r="H136" s="55" t="s">
        <v>1261</v>
      </c>
      <c r="I136" s="115" t="s">
        <v>2447</v>
      </c>
      <c r="J136" s="142" t="s">
        <v>2613</v>
      </c>
      <c r="K136" s="55" t="s">
        <v>61</v>
      </c>
      <c r="L136" s="55" t="s">
        <v>1130</v>
      </c>
      <c r="M136" s="55" t="s">
        <v>78</v>
      </c>
      <c r="N136" s="55" t="s">
        <v>193</v>
      </c>
      <c r="O136" s="55" t="s">
        <v>1768</v>
      </c>
      <c r="P136" s="55" t="s">
        <v>110</v>
      </c>
      <c r="Q136" s="67" t="str">
        <f>IFERROR(__xludf.DUMMYFUNCTION("""COMPUTED_VALUE"""),"Japan.giaotiep.tienganh_Patado_SEA_HoaNT_020126")</f>
        <v>Japan.giaotiep.tienganh_Patado_SEA_HoaNT_020126</v>
      </c>
      <c r="R136" s="67" t="str">
        <f>IFERROR(__xludf.DUMMYFUNCTION("""COMPUTED_VALUE"""),"NEW_Japan_none_none_020126")</f>
        <v>NEW_Japan_none_none_020126</v>
      </c>
      <c r="S136" s="67" t="str">
        <f>IFERROR(__xludf.DUMMYFUNCTION("""COMPUTED_VALUE"""),"saletructiep_Tienganhngdilam_PTAGTTD_LD264")</f>
        <v>saletructiep_Tienganhngdilam_PTAGTTD_LD264</v>
      </c>
      <c r="T136" s="107" t="str">
        <f>IFERROR(__xludf.DUMMYFUNCTION("""COMPUTED_VALUE"""),"https://patado.edu.vn/khoa-tieng-anh-giao-tiep-o-nhat-ban/?utm_source=Google&amp;utm_medium=SEA&amp;utm_term=NEW_Japan_none_none_020126&amp;utm_content=saletructiep_Tienganhngdilam_PTAGTTD_LD264&amp;utm_campaign=Japan.giaotiep.tienganh_Patado_SEA_HoaNT_020126")</f>
        <v>https://patado.edu.vn/khoa-tieng-anh-giao-tiep-o-nhat-ban/?utm_source=Google&amp;utm_medium=SEA&amp;utm_term=NEW_Japan_none_none_020126&amp;utm_content=saletructiep_Tienganhngdilam_PTAGTTD_LD264&amp;utm_campaign=Japan.giaotiep.tienganh_Patado_SEA_HoaNT_020126</v>
      </c>
      <c r="U136" s="116"/>
    </row>
    <row r="137">
      <c r="A137" s="72">
        <v>46024.0</v>
      </c>
      <c r="B137" s="60" t="s">
        <v>1564</v>
      </c>
      <c r="C137" s="67" t="str">
        <f>IFERROR(__xludf.DUMMYFUNCTION("""COMPUTED_VALUE"""),"LD264")</f>
        <v>LD264</v>
      </c>
      <c r="D137" s="55" t="s">
        <v>188</v>
      </c>
      <c r="E137" s="55" t="s">
        <v>193</v>
      </c>
      <c r="F137" s="55" t="s">
        <v>133</v>
      </c>
      <c r="G137" s="55" t="s">
        <v>61</v>
      </c>
      <c r="H137" s="55" t="s">
        <v>1261</v>
      </c>
      <c r="I137" s="115" t="s">
        <v>2447</v>
      </c>
      <c r="J137" s="142" t="s">
        <v>2617</v>
      </c>
      <c r="K137" s="55" t="s">
        <v>61</v>
      </c>
      <c r="L137" s="55" t="s">
        <v>1130</v>
      </c>
      <c r="M137" s="55" t="s">
        <v>78</v>
      </c>
      <c r="N137" s="55" t="s">
        <v>193</v>
      </c>
      <c r="O137" s="55" t="s">
        <v>1768</v>
      </c>
      <c r="P137" s="55" t="s">
        <v>110</v>
      </c>
      <c r="Q137" s="67" t="str">
        <f>IFERROR(__xludf.DUMMYFUNCTION("""COMPUTED_VALUE"""),"Japan.giaotiep.tienganh_Patado_SEA_HoaNT_020126")</f>
        <v>Japan.giaotiep.tienganh_Patado_SEA_HoaNT_020126</v>
      </c>
      <c r="R137" s="67" t="str">
        <f>IFERROR(__xludf.DUMMYFUNCTION("""COMPUTED_VALUE"""),"NEW_Japan_none_none_020126")</f>
        <v>NEW_Japan_none_none_020126</v>
      </c>
      <c r="S137" s="67" t="str">
        <f>IFERROR(__xludf.DUMMYFUNCTION("""COMPUTED_VALUE"""),"saletructiep_Tienganhngmatgoc_PTAGTTD_LD264")</f>
        <v>saletructiep_Tienganhngmatgoc_PTAGTTD_LD264</v>
      </c>
      <c r="T137" s="107" t="str">
        <f>IFERROR(__xludf.DUMMYFUNCTION("""COMPUTED_VALUE"""),"https://patado.edu.vn/khoa-tieng-anh-giao-tiep-o-nhat-ban/?utm_source=Google&amp;utm_medium=SEA&amp;utm_term=NEW_Japan_none_none_020126&amp;utm_content=saletructiep_Tienganhngmatgoc_PTAGTTD_LD264&amp;utm_campaign=Japan.giaotiep.tienganh_Patado_SEA_HoaNT_020126")</f>
        <v>https://patado.edu.vn/khoa-tieng-anh-giao-tiep-o-nhat-ban/?utm_source=Google&amp;utm_medium=SEA&amp;utm_term=NEW_Japan_none_none_020126&amp;utm_content=saletructiep_Tienganhngmatgoc_PTAGTTD_LD264&amp;utm_campaign=Japan.giaotiep.tienganh_Patado_SEA_HoaNT_020126</v>
      </c>
      <c r="U137" s="116"/>
    </row>
    <row r="138">
      <c r="A138" s="72">
        <v>46034.0</v>
      </c>
      <c r="B138" s="60" t="s">
        <v>2621</v>
      </c>
      <c r="C138" s="67" t="str">
        <f>IFERROR(__xludf.DUMMYFUNCTION("""COMPUTED_VALUE"""),"LD270")</f>
        <v>LD270</v>
      </c>
      <c r="D138" s="55" t="s">
        <v>188</v>
      </c>
      <c r="E138" s="55" t="s">
        <v>193</v>
      </c>
      <c r="F138" s="55" t="s">
        <v>107</v>
      </c>
      <c r="G138" s="55" t="s">
        <v>61</v>
      </c>
      <c r="H138" s="55" t="s">
        <v>1261</v>
      </c>
      <c r="I138" s="115" t="s">
        <v>2167</v>
      </c>
      <c r="J138" s="150" t="s">
        <v>2448</v>
      </c>
      <c r="K138" s="55" t="s">
        <v>61</v>
      </c>
      <c r="L138" s="55" t="s">
        <v>1130</v>
      </c>
      <c r="M138" s="55" t="s">
        <v>78</v>
      </c>
      <c r="N138" s="55" t="s">
        <v>193</v>
      </c>
      <c r="O138" s="55" t="s">
        <v>1768</v>
      </c>
      <c r="P138" s="55" t="s">
        <v>110</v>
      </c>
      <c r="Q138" s="67" t="str">
        <f>IFERROR(__xludf.DUMMYFUNCTION("""COMPUTED_VALUE"""),"UnitedStates.giaotiep.tienganh_Patado_SEA_HoaNT_120126")</f>
        <v>UnitedStates.giaotiep.tienganh_Patado_SEA_HoaNT_120126</v>
      </c>
      <c r="R138" s="67" t="str">
        <f>IFERROR(__xludf.DUMMYFUNCTION("""COMPUTED_VALUE"""),"NEW_UnitedStates_none_none_120126")</f>
        <v>NEW_UnitedStates_none_none_120126</v>
      </c>
      <c r="S138" s="67" t="str">
        <f>IFERROR(__xludf.DUMMYFUNCTION("""COMPUTED_VALUE"""),"saletructiep_Hoctienganh_PTAGTTD_LD270")</f>
        <v>saletructiep_Hoctienganh_PTAGTTD_LD270</v>
      </c>
      <c r="T138" s="107" t="str">
        <f>IFERROR(__xludf.DUMMYFUNCTION("""COMPUTED_VALUE"""),"https://patado.edu.vn/khoa-giao-tiep-unitedstates/?utm_source=Google&amp;utm_medium=SEA&amp;utm_term=NEW_UnitedStates_none_none_120126&amp;utm_content=saletructiep_Hoctienganh_PTAGTTD_LD270&amp;utm_campaign=UnitedStates.giaotiep.tienganh_Patado_SEA_HoaNT_120126")</f>
        <v>https://patado.edu.vn/khoa-giao-tiep-unitedstates/?utm_source=Google&amp;utm_medium=SEA&amp;utm_term=NEW_UnitedStates_none_none_120126&amp;utm_content=saletructiep_Hoctienganh_PTAGTTD_LD270&amp;utm_campaign=UnitedStates.giaotiep.tienganh_Patado_SEA_HoaNT_120126</v>
      </c>
      <c r="U138" s="116"/>
    </row>
    <row r="139">
      <c r="A139" s="72">
        <v>46034.0</v>
      </c>
      <c r="B139" s="60" t="s">
        <v>1256</v>
      </c>
      <c r="C139" s="67" t="str">
        <f>IFERROR(__xludf.DUMMYFUNCTION("""COMPUTED_VALUE"""),"LD255")</f>
        <v>LD255</v>
      </c>
      <c r="D139" s="55" t="s">
        <v>188</v>
      </c>
      <c r="E139" s="55" t="s">
        <v>193</v>
      </c>
      <c r="F139" s="55" t="s">
        <v>107</v>
      </c>
      <c r="G139" s="55" t="s">
        <v>61</v>
      </c>
      <c r="H139" s="55" t="s">
        <v>1261</v>
      </c>
      <c r="I139" s="115" t="s">
        <v>2167</v>
      </c>
      <c r="J139" s="150" t="s">
        <v>2455</v>
      </c>
      <c r="K139" s="55" t="s">
        <v>61</v>
      </c>
      <c r="L139" s="55" t="s">
        <v>1130</v>
      </c>
      <c r="M139" s="55" t="s">
        <v>78</v>
      </c>
      <c r="N139" s="55" t="s">
        <v>193</v>
      </c>
      <c r="O139" s="55" t="s">
        <v>1768</v>
      </c>
      <c r="P139" s="55" t="s">
        <v>110</v>
      </c>
      <c r="Q139" s="67" t="str">
        <f>IFERROR(__xludf.DUMMYFUNCTION("""COMPUTED_VALUE"""),"UnitedStates.giaotiep.tienganh_Patado_SEA_HoaNT_120126")</f>
        <v>UnitedStates.giaotiep.tienganh_Patado_SEA_HoaNT_120126</v>
      </c>
      <c r="R139" s="67" t="str">
        <f>IFERROR(__xludf.DUMMYFUNCTION("""COMPUTED_VALUE"""),"NEW_UnitedStates_none_none_120126")</f>
        <v>NEW_UnitedStates_none_none_120126</v>
      </c>
      <c r="S139" s="67" t="str">
        <f>IFERROR(__xludf.DUMMYFUNCTION("""COMPUTED_VALUE"""),"saletructiep_Hoctienganh11_PTAGTTD_LD255")</f>
        <v>saletructiep_Hoctienganh11_PTAGTTD_LD255</v>
      </c>
      <c r="T139" s="107" t="str">
        <f>IFERROR(__xludf.DUMMYFUNCTION("""COMPUTED_VALUE"""),"https://patadovietnam.edu.vn/khoa-giao-tiep-unitedstates/?utm_source=Google&amp;utm_medium=SEA&amp;utm_term=NEW_UnitedStates_none_none_120126&amp;utm_content=saletructiep_Hoctienganh11_PTAGTTD_LD255&amp;utm_campaign=UnitedStates.giaotiep.tienganh_Patado_SEA_HoaNT_120126")</f>
        <v>https://patadovietnam.edu.vn/khoa-giao-tiep-unitedstates/?utm_source=Google&amp;utm_medium=SEA&amp;utm_term=NEW_UnitedStates_none_none_120126&amp;utm_content=saletructiep_Hoctienganh11_PTAGTTD_LD255&amp;utm_campaign=UnitedStates.giaotiep.tienganh_Patado_SEA_HoaNT_120126</v>
      </c>
      <c r="U139" s="116"/>
    </row>
    <row r="140">
      <c r="A140" s="72">
        <v>46034.0</v>
      </c>
      <c r="B140" s="60" t="s">
        <v>1256</v>
      </c>
      <c r="C140" s="67" t="str">
        <f>IFERROR(__xludf.DUMMYFUNCTION("""COMPUTED_VALUE"""),"LD255")</f>
        <v>LD255</v>
      </c>
      <c r="D140" s="55" t="s">
        <v>188</v>
      </c>
      <c r="E140" s="55" t="s">
        <v>193</v>
      </c>
      <c r="F140" s="55" t="s">
        <v>107</v>
      </c>
      <c r="G140" s="55" t="s">
        <v>61</v>
      </c>
      <c r="H140" s="55" t="s">
        <v>1261</v>
      </c>
      <c r="I140" s="115" t="s">
        <v>2167</v>
      </c>
      <c r="J140" s="150" t="s">
        <v>2462</v>
      </c>
      <c r="K140" s="55" t="s">
        <v>61</v>
      </c>
      <c r="L140" s="55" t="s">
        <v>1130</v>
      </c>
      <c r="M140" s="55" t="s">
        <v>78</v>
      </c>
      <c r="N140" s="55" t="s">
        <v>193</v>
      </c>
      <c r="O140" s="55" t="s">
        <v>1768</v>
      </c>
      <c r="P140" s="55" t="s">
        <v>110</v>
      </c>
      <c r="Q140" s="67" t="str">
        <f>IFERROR(__xludf.DUMMYFUNCTION("""COMPUTED_VALUE"""),"UnitedStates.giaotiep.tienganh_Patado_SEA_HoaNT_120126")</f>
        <v>UnitedStates.giaotiep.tienganh_Patado_SEA_HoaNT_120126</v>
      </c>
      <c r="R140" s="67" t="str">
        <f>IFERROR(__xludf.DUMMYFUNCTION("""COMPUTED_VALUE"""),"NEW_UnitedStates_none_none_120126")</f>
        <v>NEW_UnitedStates_none_none_120126</v>
      </c>
      <c r="S140" s="67" t="str">
        <f>IFERROR(__xludf.DUMMYFUNCTION("""COMPUTED_VALUE"""),"saletructiep_Tienganhtructuyen_PTAGTTD_LD255")</f>
        <v>saletructiep_Tienganhtructuyen_PTAGTTD_LD255</v>
      </c>
      <c r="T140" s="107" t="str">
        <f>IFERROR(__xludf.DUMMYFUNCTION("""COMPUTED_VALUE"""),"https://patadovietnam.edu.vn/khoa-giao-tiep-unitedstates/?utm_source=Google&amp;utm_medium=SEA&amp;utm_term=NEW_UnitedStates_none_none_120126&amp;utm_content=saletructiep_Tienganhtructuyen_PTAGTTD_LD255&amp;utm_campaign=UnitedStates.giaotiep.tienganh_Patado_SEA_HoaNT_120"&amp;"126")</f>
        <v>https://patadovietnam.edu.vn/khoa-giao-tiep-unitedstates/?utm_source=Google&amp;utm_medium=SEA&amp;utm_term=NEW_UnitedStates_none_none_120126&amp;utm_content=saletructiep_Tienganhtructuyen_PTAGTTD_LD255&amp;utm_campaign=UnitedStates.giaotiep.tienganh_Patado_SEA_HoaNT_120126</v>
      </c>
      <c r="U140" s="116"/>
    </row>
    <row r="141">
      <c r="A141" s="72">
        <v>46034.0</v>
      </c>
      <c r="B141" s="60" t="s">
        <v>1256</v>
      </c>
      <c r="C141" s="67" t="str">
        <f>IFERROR(__xludf.DUMMYFUNCTION("""COMPUTED_VALUE"""),"LD255")</f>
        <v>LD255</v>
      </c>
      <c r="D141" s="55" t="s">
        <v>188</v>
      </c>
      <c r="E141" s="55" t="s">
        <v>193</v>
      </c>
      <c r="F141" s="55" t="s">
        <v>107</v>
      </c>
      <c r="G141" s="55" t="s">
        <v>61</v>
      </c>
      <c r="H141" s="55" t="s">
        <v>1261</v>
      </c>
      <c r="I141" s="115" t="s">
        <v>2167</v>
      </c>
      <c r="J141" s="150" t="s">
        <v>2471</v>
      </c>
      <c r="K141" s="55" t="s">
        <v>61</v>
      </c>
      <c r="L141" s="55" t="s">
        <v>1130</v>
      </c>
      <c r="M141" s="55" t="s">
        <v>78</v>
      </c>
      <c r="N141" s="55" t="s">
        <v>193</v>
      </c>
      <c r="O141" s="55" t="s">
        <v>1768</v>
      </c>
      <c r="P141" s="55" t="s">
        <v>110</v>
      </c>
      <c r="Q141" s="67" t="str">
        <f>IFERROR(__xludf.DUMMYFUNCTION("""COMPUTED_VALUE"""),"UnitedStates.giaotiep.tienganh_Patado_SEA_HoaNT_120126")</f>
        <v>UnitedStates.giaotiep.tienganh_Patado_SEA_HoaNT_120126</v>
      </c>
      <c r="R141" s="67" t="str">
        <f>IFERROR(__xludf.DUMMYFUNCTION("""COMPUTED_VALUE"""),"NEW_UnitedStates_none_none_120126")</f>
        <v>NEW_UnitedStates_none_none_120126</v>
      </c>
      <c r="S141" s="67" t="str">
        <f>IFERROR(__xludf.DUMMYFUNCTION("""COMPUTED_VALUE"""),"saletructiep_Tienganhquamang_PTAGTTD_LD255")</f>
        <v>saletructiep_Tienganhquamang_PTAGTTD_LD255</v>
      </c>
      <c r="T141" s="107" t="str">
        <f>IFERROR(__xludf.DUMMYFUNCTION("""COMPUTED_VALUE"""),"https://patadovietnam.edu.vn/khoa-giao-tiep-unitedstates/?utm_source=Google&amp;utm_medium=SEA&amp;utm_term=NEW_UnitedStates_none_none_120126&amp;utm_content=saletructiep_Tienganhquamang_PTAGTTD_LD255&amp;utm_campaign=UnitedStates.giaotiep.tienganh_Patado_SEA_HoaNT_12012"&amp;"6")</f>
        <v>https://patadovietnam.edu.vn/khoa-giao-tiep-unitedstates/?utm_source=Google&amp;utm_medium=SEA&amp;utm_term=NEW_UnitedStates_none_none_120126&amp;utm_content=saletructiep_Tienganhquamang_PTAGTTD_LD255&amp;utm_campaign=UnitedStates.giaotiep.tienganh_Patado_SEA_HoaNT_120126</v>
      </c>
      <c r="U141" s="116"/>
    </row>
    <row r="142">
      <c r="A142" s="72">
        <v>46034.0</v>
      </c>
      <c r="B142" s="60" t="s">
        <v>1256</v>
      </c>
      <c r="C142" s="67" t="str">
        <f>IFERROR(__xludf.DUMMYFUNCTION("""COMPUTED_VALUE"""),"LD255")</f>
        <v>LD255</v>
      </c>
      <c r="D142" s="55" t="s">
        <v>188</v>
      </c>
      <c r="E142" s="55" t="s">
        <v>193</v>
      </c>
      <c r="F142" s="55" t="s">
        <v>107</v>
      </c>
      <c r="G142" s="55" t="s">
        <v>61</v>
      </c>
      <c r="H142" s="55" t="s">
        <v>1261</v>
      </c>
      <c r="I142" s="115" t="s">
        <v>2167</v>
      </c>
      <c r="J142" s="150" t="s">
        <v>2476</v>
      </c>
      <c r="K142" s="55" t="s">
        <v>61</v>
      </c>
      <c r="L142" s="55" t="s">
        <v>1130</v>
      </c>
      <c r="M142" s="55" t="s">
        <v>78</v>
      </c>
      <c r="N142" s="55" t="s">
        <v>193</v>
      </c>
      <c r="O142" s="55" t="s">
        <v>1768</v>
      </c>
      <c r="P142" s="55" t="s">
        <v>110</v>
      </c>
      <c r="Q142" s="67" t="str">
        <f>IFERROR(__xludf.DUMMYFUNCTION("""COMPUTED_VALUE"""),"UnitedStates.giaotiep.tienganh_Patado_SEA_HoaNT_120126")</f>
        <v>UnitedStates.giaotiep.tienganh_Patado_SEA_HoaNT_120126</v>
      </c>
      <c r="R142" s="67" t="str">
        <f>IFERROR(__xludf.DUMMYFUNCTION("""COMPUTED_VALUE"""),"NEW_UnitedStates_none_none_120126")</f>
        <v>NEW_UnitedStates_none_none_120126</v>
      </c>
      <c r="S142" s="67" t="str">
        <f>IFERROR(__xludf.DUMMYFUNCTION("""COMPUTED_VALUE"""),"saletructiep_Tienganhonline_PTAGTTD_LD255")</f>
        <v>saletructiep_Tienganhonline_PTAGTTD_LD255</v>
      </c>
      <c r="T142" s="107" t="str">
        <f>IFERROR(__xludf.DUMMYFUNCTION("""COMPUTED_VALUE"""),"https://patadovietnam.edu.vn/khoa-giao-tiep-unitedstates/?utm_source=Google&amp;utm_medium=SEA&amp;utm_term=NEW_UnitedStates_none_none_120126&amp;utm_content=saletructiep_Tienganhonline_PTAGTTD_LD255&amp;utm_campaign=UnitedStates.giaotiep.tienganh_Patado_SEA_HoaNT_120126")</f>
        <v>https://patadovietnam.edu.vn/khoa-giao-tiep-unitedstates/?utm_source=Google&amp;utm_medium=SEA&amp;utm_term=NEW_UnitedStates_none_none_120126&amp;utm_content=saletructiep_Tienganhonline_PTAGTTD_LD255&amp;utm_campaign=UnitedStates.giaotiep.tienganh_Patado_SEA_HoaNT_120126</v>
      </c>
      <c r="U142" s="116"/>
    </row>
    <row r="143">
      <c r="A143" s="72">
        <v>46034.0</v>
      </c>
      <c r="B143" s="60" t="s">
        <v>1256</v>
      </c>
      <c r="C143" s="67" t="str">
        <f>IFERROR(__xludf.DUMMYFUNCTION("""COMPUTED_VALUE"""),"LD255")</f>
        <v>LD255</v>
      </c>
      <c r="D143" s="55" t="s">
        <v>188</v>
      </c>
      <c r="E143" s="55" t="s">
        <v>193</v>
      </c>
      <c r="F143" s="55" t="s">
        <v>107</v>
      </c>
      <c r="G143" s="55" t="s">
        <v>61</v>
      </c>
      <c r="H143" s="55" t="s">
        <v>1261</v>
      </c>
      <c r="I143" s="115" t="s">
        <v>2167</v>
      </c>
      <c r="J143" s="150" t="s">
        <v>2482</v>
      </c>
      <c r="K143" s="55" t="s">
        <v>61</v>
      </c>
      <c r="L143" s="55" t="s">
        <v>1130</v>
      </c>
      <c r="M143" s="55" t="s">
        <v>78</v>
      </c>
      <c r="N143" s="55" t="s">
        <v>193</v>
      </c>
      <c r="O143" s="55" t="s">
        <v>1768</v>
      </c>
      <c r="P143" s="55" t="s">
        <v>110</v>
      </c>
      <c r="Q143" s="67" t="str">
        <f>IFERROR(__xludf.DUMMYFUNCTION("""COMPUTED_VALUE"""),"UnitedStates.giaotiep.tienganh_Patado_SEA_HoaNT_120126")</f>
        <v>UnitedStates.giaotiep.tienganh_Patado_SEA_HoaNT_120126</v>
      </c>
      <c r="R143" s="67" t="str">
        <f>IFERROR(__xludf.DUMMYFUNCTION("""COMPUTED_VALUE"""),"NEW_UnitedStates_none_none_120126")</f>
        <v>NEW_UnitedStates_none_none_120126</v>
      </c>
      <c r="S143" s="67" t="str">
        <f>IFERROR(__xludf.DUMMYFUNCTION("""COMPUTED_VALUE"""),"saletructiep_Tienganhonline11_PTAGTTD_LD255")</f>
        <v>saletructiep_Tienganhonline11_PTAGTTD_LD255</v>
      </c>
      <c r="T143" s="107" t="str">
        <f>IFERROR(__xludf.DUMMYFUNCTION("""COMPUTED_VALUE"""),"https://patadovietnam.edu.vn/khoa-giao-tiep-unitedstates/?utm_source=Google&amp;utm_medium=SEA&amp;utm_term=NEW_UnitedStates_none_none_120126&amp;utm_content=saletructiep_Tienganhonline11_PTAGTTD_LD255&amp;utm_campaign=UnitedStates.giaotiep.tienganh_Patado_SEA_HoaNT_1201"&amp;"26")</f>
        <v>https://patadovietnam.edu.vn/khoa-giao-tiep-unitedstates/?utm_source=Google&amp;utm_medium=SEA&amp;utm_term=NEW_UnitedStates_none_none_120126&amp;utm_content=saletructiep_Tienganhonline11_PTAGTTD_LD255&amp;utm_campaign=UnitedStates.giaotiep.tienganh_Patado_SEA_HoaNT_120126</v>
      </c>
      <c r="U143" s="116"/>
    </row>
    <row r="144">
      <c r="A144" s="72">
        <v>46034.0</v>
      </c>
      <c r="B144" s="60" t="s">
        <v>1256</v>
      </c>
      <c r="C144" s="67" t="str">
        <f>IFERROR(__xludf.DUMMYFUNCTION("""COMPUTED_VALUE"""),"LD255")</f>
        <v>LD255</v>
      </c>
      <c r="D144" s="55" t="s">
        <v>188</v>
      </c>
      <c r="E144" s="55" t="s">
        <v>193</v>
      </c>
      <c r="F144" s="55" t="s">
        <v>107</v>
      </c>
      <c r="G144" s="55" t="s">
        <v>61</v>
      </c>
      <c r="H144" s="55" t="s">
        <v>1261</v>
      </c>
      <c r="I144" s="115" t="s">
        <v>2167</v>
      </c>
      <c r="J144" s="150" t="s">
        <v>2486</v>
      </c>
      <c r="K144" s="55" t="s">
        <v>61</v>
      </c>
      <c r="L144" s="55" t="s">
        <v>1130</v>
      </c>
      <c r="M144" s="55" t="s">
        <v>78</v>
      </c>
      <c r="N144" s="55" t="s">
        <v>193</v>
      </c>
      <c r="O144" s="55" t="s">
        <v>1768</v>
      </c>
      <c r="P144" s="55" t="s">
        <v>110</v>
      </c>
      <c r="Q144" s="67" t="str">
        <f>IFERROR(__xludf.DUMMYFUNCTION("""COMPUTED_VALUE"""),"UnitedStates.giaotiep.tienganh_Patado_SEA_HoaNT_120126")</f>
        <v>UnitedStates.giaotiep.tienganh_Patado_SEA_HoaNT_120126</v>
      </c>
      <c r="R144" s="67" t="str">
        <f>IFERROR(__xludf.DUMMYFUNCTION("""COMPUTED_VALUE"""),"NEW_UnitedStates_none_none_120126")</f>
        <v>NEW_UnitedStates_none_none_120126</v>
      </c>
      <c r="S144" s="67" t="str">
        <f>IFERROR(__xludf.DUMMYFUNCTION("""COMPUTED_VALUE"""),"saletructiep_Hoconline_PTAGTTD_LD255")</f>
        <v>saletructiep_Hoconline_PTAGTTD_LD255</v>
      </c>
      <c r="T144" s="107" t="str">
        <f>IFERROR(__xludf.DUMMYFUNCTION("""COMPUTED_VALUE"""),"https://patadovietnam.edu.vn/khoa-giao-tiep-unitedstates/?utm_source=Google&amp;utm_medium=SEA&amp;utm_term=NEW_UnitedStates_none_none_120126&amp;utm_content=saletructiep_Hoconline_PTAGTTD_LD255&amp;utm_campaign=UnitedStates.giaotiep.tienganh_Patado_SEA_HoaNT_120126")</f>
        <v>https://patadovietnam.edu.vn/khoa-giao-tiep-unitedstates/?utm_source=Google&amp;utm_medium=SEA&amp;utm_term=NEW_UnitedStates_none_none_120126&amp;utm_content=saletructiep_Hoconline_PTAGTTD_LD255&amp;utm_campaign=UnitedStates.giaotiep.tienganh_Patado_SEA_HoaNT_120126</v>
      </c>
      <c r="U144" s="116"/>
    </row>
    <row r="145">
      <c r="A145" s="72">
        <v>46034.0</v>
      </c>
      <c r="B145" s="60" t="s">
        <v>1256</v>
      </c>
      <c r="C145" s="67" t="str">
        <f>IFERROR(__xludf.DUMMYFUNCTION("""COMPUTED_VALUE"""),"LD255")</f>
        <v>LD255</v>
      </c>
      <c r="D145" s="55" t="s">
        <v>188</v>
      </c>
      <c r="E145" s="55" t="s">
        <v>193</v>
      </c>
      <c r="F145" s="55" t="s">
        <v>107</v>
      </c>
      <c r="G145" s="55" t="s">
        <v>61</v>
      </c>
      <c r="H145" s="55" t="s">
        <v>1261</v>
      </c>
      <c r="I145" s="115" t="s">
        <v>2167</v>
      </c>
      <c r="J145" s="113" t="s">
        <v>2494</v>
      </c>
      <c r="K145" s="55" t="s">
        <v>61</v>
      </c>
      <c r="L145" s="55" t="s">
        <v>1130</v>
      </c>
      <c r="M145" s="55" t="s">
        <v>78</v>
      </c>
      <c r="N145" s="55" t="s">
        <v>193</v>
      </c>
      <c r="O145" s="55" t="s">
        <v>1768</v>
      </c>
      <c r="P145" s="55" t="s">
        <v>110</v>
      </c>
      <c r="Q145" s="67" t="str">
        <f>IFERROR(__xludf.DUMMYFUNCTION("""COMPUTED_VALUE"""),"UnitedStates.giaotiep.tienganh_Patado_SEA_HoaNT_120126")</f>
        <v>UnitedStates.giaotiep.tienganh_Patado_SEA_HoaNT_120126</v>
      </c>
      <c r="R145" s="67" t="str">
        <f>IFERROR(__xludf.DUMMYFUNCTION("""COMPUTED_VALUE"""),"NEW_UnitedStates_none_none_120126")</f>
        <v>NEW_UnitedStates_none_none_120126</v>
      </c>
      <c r="S145" s="67" t="str">
        <f>IFERROR(__xludf.DUMMYFUNCTION("""COMPUTED_VALUE"""),"saletructiep_Hoconline11_PTAGTTD_LD255")</f>
        <v>saletructiep_Hoconline11_PTAGTTD_LD255</v>
      </c>
      <c r="T145" s="107" t="str">
        <f>IFERROR(__xludf.DUMMYFUNCTION("""COMPUTED_VALUE"""),"https://patadovietnam.edu.vn/khoa-giao-tiep-unitedstates/?utm_source=Google&amp;utm_medium=SEA&amp;utm_term=NEW_UnitedStates_none_none_120126&amp;utm_content=saletructiep_Hoconline11_PTAGTTD_LD255&amp;utm_campaign=UnitedStates.giaotiep.tienganh_Patado_SEA_HoaNT_120126")</f>
        <v>https://patadovietnam.edu.vn/khoa-giao-tiep-unitedstates/?utm_source=Google&amp;utm_medium=SEA&amp;utm_term=NEW_UnitedStates_none_none_120126&amp;utm_content=saletructiep_Hoconline11_PTAGTTD_LD255&amp;utm_campaign=UnitedStates.giaotiep.tienganh_Patado_SEA_HoaNT_120126</v>
      </c>
      <c r="U145" s="116"/>
    </row>
    <row r="146">
      <c r="A146" s="72">
        <v>46034.0</v>
      </c>
      <c r="B146" s="60" t="s">
        <v>1256</v>
      </c>
      <c r="C146" s="67" t="str">
        <f>IFERROR(__xludf.DUMMYFUNCTION("""COMPUTED_VALUE"""),"LD255")</f>
        <v>LD255</v>
      </c>
      <c r="D146" s="55" t="s">
        <v>188</v>
      </c>
      <c r="E146" s="55" t="s">
        <v>193</v>
      </c>
      <c r="F146" s="55" t="s">
        <v>107</v>
      </c>
      <c r="G146" s="55" t="s">
        <v>61</v>
      </c>
      <c r="H146" s="55" t="s">
        <v>1261</v>
      </c>
      <c r="I146" s="115" t="s">
        <v>2167</v>
      </c>
      <c r="J146" s="150" t="s">
        <v>2501</v>
      </c>
      <c r="K146" s="55" t="s">
        <v>61</v>
      </c>
      <c r="L146" s="55" t="s">
        <v>1130</v>
      </c>
      <c r="M146" s="55" t="s">
        <v>78</v>
      </c>
      <c r="N146" s="55" t="s">
        <v>193</v>
      </c>
      <c r="O146" s="55" t="s">
        <v>1768</v>
      </c>
      <c r="P146" s="55" t="s">
        <v>110</v>
      </c>
      <c r="Q146" s="67" t="str">
        <f>IFERROR(__xludf.DUMMYFUNCTION("""COMPUTED_VALUE"""),"UnitedStates.giaotiep.tienganh_Patado_SEA_HoaNT_120126")</f>
        <v>UnitedStates.giaotiep.tienganh_Patado_SEA_HoaNT_120126</v>
      </c>
      <c r="R146" s="67" t="str">
        <f>IFERROR(__xludf.DUMMYFUNCTION("""COMPUTED_VALUE"""),"NEW_UnitedStates_none_none_120126")</f>
        <v>NEW_UnitedStates_none_none_120126</v>
      </c>
      <c r="S146" s="67" t="str">
        <f>IFERROR(__xludf.DUMMYFUNCTION("""COMPUTED_VALUE"""),"saletructiep_Hocgiaotieponline_PTAGTTD_LD255")</f>
        <v>saletructiep_Hocgiaotieponline_PTAGTTD_LD255</v>
      </c>
      <c r="T146" s="107" t="str">
        <f>IFERROR(__xludf.DUMMYFUNCTION("""COMPUTED_VALUE"""),"https://patadovietnam.edu.vn/khoa-giao-tiep-unitedstates/?utm_source=Google&amp;utm_medium=SEA&amp;utm_term=NEW_UnitedStates_none_none_120126&amp;utm_content=saletructiep_Hocgiaotieponline_PTAGTTD_LD255&amp;utm_campaign=UnitedStates.giaotiep.tienganh_Patado_SEA_HoaNT_120"&amp;"126")</f>
        <v>https://patadovietnam.edu.vn/khoa-giao-tiep-unitedstates/?utm_source=Google&amp;utm_medium=SEA&amp;utm_term=NEW_UnitedStates_none_none_120126&amp;utm_content=saletructiep_Hocgiaotieponline_PTAGTTD_LD255&amp;utm_campaign=UnitedStates.giaotiep.tienganh_Patado_SEA_HoaNT_120126</v>
      </c>
      <c r="U146" s="116"/>
    </row>
    <row r="147">
      <c r="A147" s="72">
        <v>46034.0</v>
      </c>
      <c r="B147" s="60" t="s">
        <v>1256</v>
      </c>
      <c r="C147" s="67" t="str">
        <f>IFERROR(__xludf.DUMMYFUNCTION("""COMPUTED_VALUE"""),"LD255")</f>
        <v>LD255</v>
      </c>
      <c r="D147" s="55" t="s">
        <v>188</v>
      </c>
      <c r="E147" s="55" t="s">
        <v>193</v>
      </c>
      <c r="F147" s="55" t="s">
        <v>107</v>
      </c>
      <c r="G147" s="55" t="s">
        <v>61</v>
      </c>
      <c r="H147" s="55" t="s">
        <v>1261</v>
      </c>
      <c r="I147" s="115" t="s">
        <v>2167</v>
      </c>
      <c r="J147" s="113" t="s">
        <v>2505</v>
      </c>
      <c r="K147" s="55" t="s">
        <v>61</v>
      </c>
      <c r="L147" s="55" t="s">
        <v>1130</v>
      </c>
      <c r="M147" s="55" t="s">
        <v>78</v>
      </c>
      <c r="N147" s="55" t="s">
        <v>193</v>
      </c>
      <c r="O147" s="55" t="s">
        <v>1768</v>
      </c>
      <c r="P147" s="55" t="s">
        <v>110</v>
      </c>
      <c r="Q147" s="67" t="str">
        <f>IFERROR(__xludf.DUMMYFUNCTION("""COMPUTED_VALUE"""),"UnitedStates.giaotiep.tienganh_Patado_SEA_HoaNT_120126")</f>
        <v>UnitedStates.giaotiep.tienganh_Patado_SEA_HoaNT_120126</v>
      </c>
      <c r="R147" s="67" t="str">
        <f>IFERROR(__xludf.DUMMYFUNCTION("""COMPUTED_VALUE"""),"NEW_UnitedStates_none_none_120126")</f>
        <v>NEW_UnitedStates_none_none_120126</v>
      </c>
      <c r="S147" s="67" t="str">
        <f>IFERROR(__xludf.DUMMYFUNCTION("""COMPUTED_VALUE"""),"saletructiep_Loponline_PTAGTTD_LD255")</f>
        <v>saletructiep_Loponline_PTAGTTD_LD255</v>
      </c>
      <c r="T147" s="107" t="str">
        <f>IFERROR(__xludf.DUMMYFUNCTION("""COMPUTED_VALUE"""),"https://patadovietnam.edu.vn/khoa-giao-tiep-unitedstates/?utm_source=Google&amp;utm_medium=SEA&amp;utm_term=NEW_UnitedStates_none_none_120126&amp;utm_content=saletructiep_Loponline_PTAGTTD_LD255&amp;utm_campaign=UnitedStates.giaotiep.tienganh_Patado_SEA_HoaNT_120126")</f>
        <v>https://patadovietnam.edu.vn/khoa-giao-tiep-unitedstates/?utm_source=Google&amp;utm_medium=SEA&amp;utm_term=NEW_UnitedStates_none_none_120126&amp;utm_content=saletructiep_Loponline_PTAGTTD_LD255&amp;utm_campaign=UnitedStates.giaotiep.tienganh_Patado_SEA_HoaNT_120126</v>
      </c>
      <c r="U147" s="116"/>
    </row>
    <row r="148">
      <c r="A148" s="72">
        <v>46034.0</v>
      </c>
      <c r="B148" s="60" t="s">
        <v>1256</v>
      </c>
      <c r="C148" s="67" t="str">
        <f>IFERROR(__xludf.DUMMYFUNCTION("""COMPUTED_VALUE"""),"LD255")</f>
        <v>LD255</v>
      </c>
      <c r="D148" s="55" t="s">
        <v>188</v>
      </c>
      <c r="E148" s="55" t="s">
        <v>193</v>
      </c>
      <c r="F148" s="55" t="s">
        <v>107</v>
      </c>
      <c r="G148" s="55" t="s">
        <v>61</v>
      </c>
      <c r="H148" s="55" t="s">
        <v>1261</v>
      </c>
      <c r="I148" s="115" t="s">
        <v>2167</v>
      </c>
      <c r="J148" s="113" t="s">
        <v>2650</v>
      </c>
      <c r="K148" s="55" t="s">
        <v>61</v>
      </c>
      <c r="L148" s="55" t="s">
        <v>1130</v>
      </c>
      <c r="M148" s="55" t="s">
        <v>78</v>
      </c>
      <c r="N148" s="55" t="s">
        <v>193</v>
      </c>
      <c r="O148" s="55" t="s">
        <v>1768</v>
      </c>
      <c r="P148" s="55" t="s">
        <v>110</v>
      </c>
      <c r="Q148" s="67" t="str">
        <f>IFERROR(__xludf.DUMMYFUNCTION("""COMPUTED_VALUE"""),"UnitedStates.giaotiep.tienganh_Patado_SEA_HoaNT_120126")</f>
        <v>UnitedStates.giaotiep.tienganh_Patado_SEA_HoaNT_120126</v>
      </c>
      <c r="R148" s="67" t="str">
        <f>IFERROR(__xludf.DUMMYFUNCTION("""COMPUTED_VALUE"""),"NEW_UnitedStates_none_none_120126")</f>
        <v>NEW_UnitedStates_none_none_120126</v>
      </c>
      <c r="S148" s="67" t="str">
        <f>IFERROR(__xludf.DUMMYFUNCTION("""COMPUTED_VALUE"""),"saletructiep_Khoatienganhonline_PTAGTTD_LD255")</f>
        <v>saletructiep_Khoatienganhonline_PTAGTTD_LD255</v>
      </c>
      <c r="T148" s="107" t="str">
        <f>IFERROR(__xludf.DUMMYFUNCTION("""COMPUTED_VALUE"""),"https://patadovietnam.edu.vn/khoa-giao-tiep-unitedstates/?utm_source=Google&amp;utm_medium=SEA&amp;utm_term=NEW_UnitedStates_none_none_120126&amp;utm_content=saletructiep_Khoatienganhonline_PTAGTTD_LD255&amp;utm_campaign=UnitedStates.giaotiep.tienganh_Patado_SEA_HoaNT_12"&amp;"0126")</f>
        <v>https://patadovietnam.edu.vn/khoa-giao-tiep-unitedstates/?utm_source=Google&amp;utm_medium=SEA&amp;utm_term=NEW_UnitedStates_none_none_120126&amp;utm_content=saletructiep_Khoatienganhonline_PTAGTTD_LD255&amp;utm_campaign=UnitedStates.giaotiep.tienganh_Patado_SEA_HoaNT_120126</v>
      </c>
      <c r="U148" s="116"/>
    </row>
    <row r="149">
      <c r="A149" s="72">
        <v>46034.0</v>
      </c>
      <c r="B149" s="60" t="s">
        <v>1256</v>
      </c>
      <c r="C149" s="67" t="str">
        <f>IFERROR(__xludf.DUMMYFUNCTION("""COMPUTED_VALUE"""),"LD255")</f>
        <v>LD255</v>
      </c>
      <c r="D149" s="55" t="s">
        <v>188</v>
      </c>
      <c r="E149" s="55" t="s">
        <v>193</v>
      </c>
      <c r="F149" s="55" t="s">
        <v>107</v>
      </c>
      <c r="G149" s="55" t="s">
        <v>61</v>
      </c>
      <c r="H149" s="55" t="s">
        <v>1261</v>
      </c>
      <c r="I149" s="115" t="s">
        <v>2167</v>
      </c>
      <c r="J149" s="150" t="s">
        <v>2516</v>
      </c>
      <c r="K149" s="55" t="s">
        <v>61</v>
      </c>
      <c r="L149" s="55" t="s">
        <v>1130</v>
      </c>
      <c r="M149" s="55" t="s">
        <v>78</v>
      </c>
      <c r="N149" s="55" t="s">
        <v>193</v>
      </c>
      <c r="O149" s="55" t="s">
        <v>1768</v>
      </c>
      <c r="P149" s="55" t="s">
        <v>110</v>
      </c>
      <c r="Q149" s="67" t="str">
        <f>IFERROR(__xludf.DUMMYFUNCTION("""COMPUTED_VALUE"""),"UnitedStates.giaotiep.tienganh_Patado_SEA_HoaNT_120126")</f>
        <v>UnitedStates.giaotiep.tienganh_Patado_SEA_HoaNT_120126</v>
      </c>
      <c r="R149" s="67" t="str">
        <f>IFERROR(__xludf.DUMMYFUNCTION("""COMPUTED_VALUE"""),"NEW_UnitedStates_none_none_120126")</f>
        <v>NEW_UnitedStates_none_none_120126</v>
      </c>
      <c r="S149" s="67" t="str">
        <f>IFERROR(__xludf.DUMMYFUNCTION("""COMPUTED_VALUE"""),"saletructiep_Trungtamonline_PTAGTTD_LD255")</f>
        <v>saletructiep_Trungtamonline_PTAGTTD_LD255</v>
      </c>
      <c r="T149" s="107" t="str">
        <f>IFERROR(__xludf.DUMMYFUNCTION("""COMPUTED_VALUE"""),"https://patadovietnam.edu.vn/khoa-giao-tiep-unitedstates/?utm_source=Google&amp;utm_medium=SEA&amp;utm_term=NEW_UnitedStates_none_none_120126&amp;utm_content=saletructiep_Trungtamonline_PTAGTTD_LD255&amp;utm_campaign=UnitedStates.giaotiep.tienganh_Patado_SEA_HoaNT_120126")</f>
        <v>https://patadovietnam.edu.vn/khoa-giao-tiep-unitedstates/?utm_source=Google&amp;utm_medium=SEA&amp;utm_term=NEW_UnitedStates_none_none_120126&amp;utm_content=saletructiep_Trungtamonline_PTAGTTD_LD255&amp;utm_campaign=UnitedStates.giaotiep.tienganh_Patado_SEA_HoaNT_120126</v>
      </c>
      <c r="U149" s="116"/>
    </row>
    <row r="150">
      <c r="A150" s="72">
        <v>46034.0</v>
      </c>
      <c r="B150" s="60" t="s">
        <v>1256</v>
      </c>
      <c r="C150" s="67" t="str">
        <f>IFERROR(__xludf.DUMMYFUNCTION("""COMPUTED_VALUE"""),"LD255")</f>
        <v>LD255</v>
      </c>
      <c r="D150" s="55" t="s">
        <v>188</v>
      </c>
      <c r="E150" s="55" t="s">
        <v>193</v>
      </c>
      <c r="F150" s="55" t="s">
        <v>107</v>
      </c>
      <c r="G150" s="55" t="s">
        <v>61</v>
      </c>
      <c r="H150" s="55" t="s">
        <v>1261</v>
      </c>
      <c r="I150" s="115" t="s">
        <v>2167</v>
      </c>
      <c r="J150" s="150" t="s">
        <v>2527</v>
      </c>
      <c r="K150" s="55" t="s">
        <v>61</v>
      </c>
      <c r="L150" s="55" t="s">
        <v>1130</v>
      </c>
      <c r="M150" s="55" t="s">
        <v>78</v>
      </c>
      <c r="N150" s="55" t="s">
        <v>193</v>
      </c>
      <c r="O150" s="55" t="s">
        <v>1768</v>
      </c>
      <c r="P150" s="55" t="s">
        <v>110</v>
      </c>
      <c r="Q150" s="67" t="str">
        <f>IFERROR(__xludf.DUMMYFUNCTION("""COMPUTED_VALUE"""),"UnitedStates.giaotiep.tienganh_Patado_SEA_HoaNT_120126")</f>
        <v>UnitedStates.giaotiep.tienganh_Patado_SEA_HoaNT_120126</v>
      </c>
      <c r="R150" s="67" t="str">
        <f>IFERROR(__xludf.DUMMYFUNCTION("""COMPUTED_VALUE"""),"NEW_UnitedStates_none_none_120126")</f>
        <v>NEW_UnitedStates_none_none_120126</v>
      </c>
      <c r="S150" s="67" t="str">
        <f>IFERROR(__xludf.DUMMYFUNCTION("""COMPUTED_VALUE"""),"saletructiep_Trungtamhoconline_PTAGTTD_LD255")</f>
        <v>saletructiep_Trungtamhoconline_PTAGTTD_LD255</v>
      </c>
      <c r="T150" s="107" t="str">
        <f>IFERROR(__xludf.DUMMYFUNCTION("""COMPUTED_VALUE"""),"https://patadovietnam.edu.vn/khoa-giao-tiep-unitedstates/?utm_source=Google&amp;utm_medium=SEA&amp;utm_term=NEW_UnitedStates_none_none_120126&amp;utm_content=saletructiep_Trungtamhoconline_PTAGTTD_LD255&amp;utm_campaign=UnitedStates.giaotiep.tienganh_Patado_SEA_HoaNT_120"&amp;"126")</f>
        <v>https://patadovietnam.edu.vn/khoa-giao-tiep-unitedstates/?utm_source=Google&amp;utm_medium=SEA&amp;utm_term=NEW_UnitedStates_none_none_120126&amp;utm_content=saletructiep_Trungtamhoconline_PTAGTTD_LD255&amp;utm_campaign=UnitedStates.giaotiep.tienganh_Patado_SEA_HoaNT_120126</v>
      </c>
      <c r="U150" s="116"/>
    </row>
    <row r="151">
      <c r="A151" s="72">
        <v>46034.0</v>
      </c>
      <c r="B151" s="60" t="s">
        <v>1256</v>
      </c>
      <c r="C151" s="67" t="str">
        <f>IFERROR(__xludf.DUMMYFUNCTION("""COMPUTED_VALUE"""),"LD255")</f>
        <v>LD255</v>
      </c>
      <c r="D151" s="55" t="s">
        <v>188</v>
      </c>
      <c r="E151" s="55" t="s">
        <v>193</v>
      </c>
      <c r="F151" s="55" t="s">
        <v>107</v>
      </c>
      <c r="G151" s="55" t="s">
        <v>61</v>
      </c>
      <c r="H151" s="55" t="s">
        <v>1261</v>
      </c>
      <c r="I151" s="115" t="s">
        <v>2167</v>
      </c>
      <c r="J151" s="113" t="s">
        <v>2532</v>
      </c>
      <c r="K151" s="55" t="s">
        <v>61</v>
      </c>
      <c r="L151" s="55" t="s">
        <v>1130</v>
      </c>
      <c r="M151" s="55" t="s">
        <v>78</v>
      </c>
      <c r="N151" s="55" t="s">
        <v>193</v>
      </c>
      <c r="O151" s="55" t="s">
        <v>1768</v>
      </c>
      <c r="P151" s="55" t="s">
        <v>110</v>
      </c>
      <c r="Q151" s="67" t="str">
        <f>IFERROR(__xludf.DUMMYFUNCTION("""COMPUTED_VALUE"""),"UnitedStates.giaotiep.tienganh_Patado_SEA_HoaNT_120126")</f>
        <v>UnitedStates.giaotiep.tienganh_Patado_SEA_HoaNT_120126</v>
      </c>
      <c r="R151" s="67" t="str">
        <f>IFERROR(__xludf.DUMMYFUNCTION("""COMPUTED_VALUE"""),"NEW_UnitedStates_none_none_120126")</f>
        <v>NEW_UnitedStates_none_none_120126</v>
      </c>
      <c r="S151" s="67" t="str">
        <f>IFERROR(__xludf.DUMMYFUNCTION("""COMPUTED_VALUE"""),"saletructiep_Hocphionline_PTAGTTD_LD255")</f>
        <v>saletructiep_Hocphionline_PTAGTTD_LD255</v>
      </c>
      <c r="T151" s="107" t="str">
        <f>IFERROR(__xludf.DUMMYFUNCTION("""COMPUTED_VALUE"""),"https://patadovietnam.edu.vn/khoa-giao-tiep-unitedstates/?utm_source=Google&amp;utm_medium=SEA&amp;utm_term=NEW_UnitedStates_none_none_120126&amp;utm_content=saletructiep_Hocphionline_PTAGTTD_LD255&amp;utm_campaign=UnitedStates.giaotiep.tienganh_Patado_SEA_HoaNT_120126")</f>
        <v>https://patadovietnam.edu.vn/khoa-giao-tiep-unitedstates/?utm_source=Google&amp;utm_medium=SEA&amp;utm_term=NEW_UnitedStates_none_none_120126&amp;utm_content=saletructiep_Hocphionline_PTAGTTD_LD255&amp;utm_campaign=UnitedStates.giaotiep.tienganh_Patado_SEA_HoaNT_120126</v>
      </c>
      <c r="U151" s="116"/>
    </row>
    <row r="152">
      <c r="A152" s="72">
        <v>46034.0</v>
      </c>
      <c r="B152" s="60" t="s">
        <v>1256</v>
      </c>
      <c r="C152" s="67" t="str">
        <f>IFERROR(__xludf.DUMMYFUNCTION("""COMPUTED_VALUE"""),"LD255")</f>
        <v>LD255</v>
      </c>
      <c r="D152" s="55" t="s">
        <v>188</v>
      </c>
      <c r="E152" s="55" t="s">
        <v>193</v>
      </c>
      <c r="F152" s="55" t="s">
        <v>107</v>
      </c>
      <c r="G152" s="55" t="s">
        <v>61</v>
      </c>
      <c r="H152" s="55" t="s">
        <v>1261</v>
      </c>
      <c r="I152" s="115" t="s">
        <v>2167</v>
      </c>
      <c r="J152" s="113" t="s">
        <v>2541</v>
      </c>
      <c r="K152" s="55" t="s">
        <v>61</v>
      </c>
      <c r="L152" s="55" t="s">
        <v>1130</v>
      </c>
      <c r="M152" s="55" t="s">
        <v>78</v>
      </c>
      <c r="N152" s="55" t="s">
        <v>193</v>
      </c>
      <c r="O152" s="55" t="s">
        <v>1768</v>
      </c>
      <c r="P152" s="55" t="s">
        <v>110</v>
      </c>
      <c r="Q152" s="67" t="str">
        <f>IFERROR(__xludf.DUMMYFUNCTION("""COMPUTED_VALUE"""),"UnitedStates.giaotiep.tienganh_Patado_SEA_HoaNT_120126")</f>
        <v>UnitedStates.giaotiep.tienganh_Patado_SEA_HoaNT_120126</v>
      </c>
      <c r="R152" s="67" t="str">
        <f>IFERROR(__xludf.DUMMYFUNCTION("""COMPUTED_VALUE"""),"NEW_UnitedStates_none_none_120126")</f>
        <v>NEW_UnitedStates_none_none_120126</v>
      </c>
      <c r="S152" s="67" t="str">
        <f>IFERROR(__xludf.DUMMYFUNCTION("""COMPUTED_VALUE"""),"saletructiep_Tienganhgiaotiep_PTAGTTD_LD255")</f>
        <v>saletructiep_Tienganhgiaotiep_PTAGTTD_LD255</v>
      </c>
      <c r="T152" s="107" t="str">
        <f>IFERROR(__xludf.DUMMYFUNCTION("""COMPUTED_VALUE"""),"https://patadovietnam.edu.vn/khoa-giao-tiep-unitedstates/?utm_source=Google&amp;utm_medium=SEA&amp;utm_term=NEW_UnitedStates_none_none_120126&amp;utm_content=saletructiep_Tienganhgiaotiep_PTAGTTD_LD255&amp;utm_campaign=UnitedStates.giaotiep.tienganh_Patado_SEA_HoaNT_1201"&amp;"26")</f>
        <v>https://patadovietnam.edu.vn/khoa-giao-tiep-unitedstates/?utm_source=Google&amp;utm_medium=SEA&amp;utm_term=NEW_UnitedStates_none_none_120126&amp;utm_content=saletructiep_Tienganhgiaotiep_PTAGTTD_LD255&amp;utm_campaign=UnitedStates.giaotiep.tienganh_Patado_SEA_HoaNT_120126</v>
      </c>
      <c r="U152" s="116"/>
    </row>
    <row r="153">
      <c r="A153" s="72">
        <v>46034.0</v>
      </c>
      <c r="B153" s="60" t="s">
        <v>1256</v>
      </c>
      <c r="C153" s="67" t="str">
        <f>IFERROR(__xludf.DUMMYFUNCTION("""COMPUTED_VALUE"""),"LD255")</f>
        <v>LD255</v>
      </c>
      <c r="D153" s="55" t="s">
        <v>188</v>
      </c>
      <c r="E153" s="55" t="s">
        <v>193</v>
      </c>
      <c r="F153" s="55" t="s">
        <v>107</v>
      </c>
      <c r="G153" s="55" t="s">
        <v>61</v>
      </c>
      <c r="H153" s="55" t="s">
        <v>1261</v>
      </c>
      <c r="I153" s="115" t="s">
        <v>2167</v>
      </c>
      <c r="J153" s="87" t="s">
        <v>2546</v>
      </c>
      <c r="K153" s="55" t="s">
        <v>61</v>
      </c>
      <c r="L153" s="55" t="s">
        <v>1130</v>
      </c>
      <c r="M153" s="55" t="s">
        <v>78</v>
      </c>
      <c r="N153" s="55" t="s">
        <v>193</v>
      </c>
      <c r="O153" s="55" t="s">
        <v>1768</v>
      </c>
      <c r="P153" s="55" t="s">
        <v>110</v>
      </c>
      <c r="Q153" s="67" t="str">
        <f>IFERROR(__xludf.DUMMYFUNCTION("""COMPUTED_VALUE"""),"UnitedStates.giaotiep.tienganh_Patado_SEA_HoaNT_120126")</f>
        <v>UnitedStates.giaotiep.tienganh_Patado_SEA_HoaNT_120126</v>
      </c>
      <c r="R153" s="67" t="str">
        <f>IFERROR(__xludf.DUMMYFUNCTION("""COMPUTED_VALUE"""),"NEW_UnitedStates_none_none_120126")</f>
        <v>NEW_UnitedStates_none_none_120126</v>
      </c>
      <c r="S153" s="67" t="str">
        <f>IFERROR(__xludf.DUMMYFUNCTION("""COMPUTED_VALUE"""),"saletructiep_Tienganhgiaotiep11_PTAGTTD_LD255")</f>
        <v>saletructiep_Tienganhgiaotiep11_PTAGTTD_LD255</v>
      </c>
      <c r="T153" s="107" t="str">
        <f>IFERROR(__xludf.DUMMYFUNCTION("""COMPUTED_VALUE"""),"https://patadovietnam.edu.vn/khoa-giao-tiep-unitedstates/?utm_source=Google&amp;utm_medium=SEA&amp;utm_term=NEW_UnitedStates_none_none_120126&amp;utm_content=saletructiep_Tienganhgiaotiep11_PTAGTTD_LD255&amp;utm_campaign=UnitedStates.giaotiep.tienganh_Patado_SEA_HoaNT_12"&amp;"0126")</f>
        <v>https://patadovietnam.edu.vn/khoa-giao-tiep-unitedstates/?utm_source=Google&amp;utm_medium=SEA&amp;utm_term=NEW_UnitedStates_none_none_120126&amp;utm_content=saletructiep_Tienganhgiaotiep11_PTAGTTD_LD255&amp;utm_campaign=UnitedStates.giaotiep.tienganh_Patado_SEA_HoaNT_120126</v>
      </c>
      <c r="U153" s="116"/>
    </row>
    <row r="154">
      <c r="A154" s="72">
        <v>46034.0</v>
      </c>
      <c r="B154" s="60" t="s">
        <v>1256</v>
      </c>
      <c r="C154" s="67" t="str">
        <f>IFERROR(__xludf.DUMMYFUNCTION("""COMPUTED_VALUE"""),"LD255")</f>
        <v>LD255</v>
      </c>
      <c r="D154" s="55" t="s">
        <v>188</v>
      </c>
      <c r="E154" s="55" t="s">
        <v>193</v>
      </c>
      <c r="F154" s="55" t="s">
        <v>107</v>
      </c>
      <c r="G154" s="55" t="s">
        <v>61</v>
      </c>
      <c r="H154" s="55" t="s">
        <v>1261</v>
      </c>
      <c r="I154" s="115" t="s">
        <v>2167</v>
      </c>
      <c r="J154" s="113" t="s">
        <v>2550</v>
      </c>
      <c r="K154" s="55" t="s">
        <v>61</v>
      </c>
      <c r="L154" s="55" t="s">
        <v>1130</v>
      </c>
      <c r="M154" s="55" t="s">
        <v>78</v>
      </c>
      <c r="N154" s="55" t="s">
        <v>193</v>
      </c>
      <c r="O154" s="55" t="s">
        <v>1768</v>
      </c>
      <c r="P154" s="55" t="s">
        <v>110</v>
      </c>
      <c r="Q154" s="67" t="str">
        <f>IFERROR(__xludf.DUMMYFUNCTION("""COMPUTED_VALUE"""),"UnitedStates.giaotiep.tienganh_Patado_SEA_HoaNT_120126")</f>
        <v>UnitedStates.giaotiep.tienganh_Patado_SEA_HoaNT_120126</v>
      </c>
      <c r="R154" s="67" t="str">
        <f>IFERROR(__xludf.DUMMYFUNCTION("""COMPUTED_VALUE"""),"NEW_UnitedStates_none_none_120126")</f>
        <v>NEW_UnitedStates_none_none_120126</v>
      </c>
      <c r="S154" s="67" t="str">
        <f>IFERROR(__xludf.DUMMYFUNCTION("""COMPUTED_VALUE"""),"saletructiep_Hoctienganhgiaotiep_PTAGTTD_LD255")</f>
        <v>saletructiep_Hoctienganhgiaotiep_PTAGTTD_LD255</v>
      </c>
      <c r="T154" s="107" t="str">
        <f>IFERROR(__xludf.DUMMYFUNCTION("""COMPUTED_VALUE"""),"https://patadovietnam.edu.vn/khoa-giao-tiep-unitedstates/?utm_source=Google&amp;utm_medium=SEA&amp;utm_term=NEW_UnitedStates_none_none_120126&amp;utm_content=saletructiep_Hoctienganhgiaotiep_PTAGTTD_LD255&amp;utm_campaign=UnitedStates.giaotiep.tienganh_Patado_SEA_HoaNT_1"&amp;"20126")</f>
        <v>https://patadovietnam.edu.vn/khoa-giao-tiep-unitedstates/?utm_source=Google&amp;utm_medium=SEA&amp;utm_term=NEW_UnitedStates_none_none_120126&amp;utm_content=saletructiep_Hoctienganhgiaotiep_PTAGTTD_LD255&amp;utm_campaign=UnitedStates.giaotiep.tienganh_Patado_SEA_HoaNT_120126</v>
      </c>
      <c r="U154" s="116"/>
    </row>
    <row r="155">
      <c r="A155" s="72">
        <v>46034.0</v>
      </c>
      <c r="B155" s="60" t="s">
        <v>1256</v>
      </c>
      <c r="C155" s="67" t="str">
        <f>IFERROR(__xludf.DUMMYFUNCTION("""COMPUTED_VALUE"""),"LD255")</f>
        <v>LD255</v>
      </c>
      <c r="D155" s="55" t="s">
        <v>188</v>
      </c>
      <c r="E155" s="55" t="s">
        <v>193</v>
      </c>
      <c r="F155" s="55" t="s">
        <v>107</v>
      </c>
      <c r="G155" s="55" t="s">
        <v>61</v>
      </c>
      <c r="H155" s="55" t="s">
        <v>1261</v>
      </c>
      <c r="I155" s="115" t="s">
        <v>2167</v>
      </c>
      <c r="J155" s="113" t="s">
        <v>2555</v>
      </c>
      <c r="K155" s="55" t="s">
        <v>61</v>
      </c>
      <c r="L155" s="55" t="s">
        <v>1130</v>
      </c>
      <c r="M155" s="55" t="s">
        <v>78</v>
      </c>
      <c r="N155" s="55" t="s">
        <v>193</v>
      </c>
      <c r="O155" s="55" t="s">
        <v>1768</v>
      </c>
      <c r="P155" s="55" t="s">
        <v>110</v>
      </c>
      <c r="Q155" s="67" t="str">
        <f>IFERROR(__xludf.DUMMYFUNCTION("""COMPUTED_VALUE"""),"UnitedStates.giaotiep.tienganh_Patado_SEA_HoaNT_120126")</f>
        <v>UnitedStates.giaotiep.tienganh_Patado_SEA_HoaNT_120126</v>
      </c>
      <c r="R155" s="67" t="str">
        <f>IFERROR(__xludf.DUMMYFUNCTION("""COMPUTED_VALUE"""),"NEW_UnitedStates_none_none_120126")</f>
        <v>NEW_UnitedStates_none_none_120126</v>
      </c>
      <c r="S155" s="67" t="str">
        <f>IFERROR(__xludf.DUMMYFUNCTION("""COMPUTED_VALUE"""),"saletructiep_Hocgiaotiepcoban_PTAGTTD_LD255")</f>
        <v>saletructiep_Hocgiaotiepcoban_PTAGTTD_LD255</v>
      </c>
      <c r="T155" s="107" t="str">
        <f>IFERROR(__xludf.DUMMYFUNCTION("""COMPUTED_VALUE"""),"https://patadovietnam.edu.vn/khoa-giao-tiep-unitedstates/?utm_source=Google&amp;utm_medium=SEA&amp;utm_term=NEW_UnitedStates_none_none_120126&amp;utm_content=saletructiep_Hocgiaotiepcoban_PTAGTTD_LD255&amp;utm_campaign=UnitedStates.giaotiep.tienganh_Patado_SEA_HoaNT_1201"&amp;"26")</f>
        <v>https://patadovietnam.edu.vn/khoa-giao-tiep-unitedstates/?utm_source=Google&amp;utm_medium=SEA&amp;utm_term=NEW_UnitedStates_none_none_120126&amp;utm_content=saletructiep_Hocgiaotiepcoban_PTAGTTD_LD255&amp;utm_campaign=UnitedStates.giaotiep.tienganh_Patado_SEA_HoaNT_120126</v>
      </c>
      <c r="U155" s="116"/>
    </row>
    <row r="156">
      <c r="A156" s="72">
        <v>46034.0</v>
      </c>
      <c r="B156" s="60" t="s">
        <v>1256</v>
      </c>
      <c r="C156" s="67" t="str">
        <f>IFERROR(__xludf.DUMMYFUNCTION("""COMPUTED_VALUE"""),"LD255")</f>
        <v>LD255</v>
      </c>
      <c r="D156" s="55" t="s">
        <v>188</v>
      </c>
      <c r="E156" s="55" t="s">
        <v>193</v>
      </c>
      <c r="F156" s="55" t="s">
        <v>107</v>
      </c>
      <c r="G156" s="55" t="s">
        <v>61</v>
      </c>
      <c r="H156" s="55" t="s">
        <v>1261</v>
      </c>
      <c r="I156" s="115" t="s">
        <v>2167</v>
      </c>
      <c r="J156" s="113" t="s">
        <v>2560</v>
      </c>
      <c r="K156" s="55" t="s">
        <v>61</v>
      </c>
      <c r="L156" s="55" t="s">
        <v>1130</v>
      </c>
      <c r="M156" s="55" t="s">
        <v>78</v>
      </c>
      <c r="N156" s="55" t="s">
        <v>193</v>
      </c>
      <c r="O156" s="55" t="s">
        <v>1768</v>
      </c>
      <c r="P156" s="55" t="s">
        <v>110</v>
      </c>
      <c r="Q156" s="67" t="str">
        <f>IFERROR(__xludf.DUMMYFUNCTION("""COMPUTED_VALUE"""),"UnitedStates.giaotiep.tienganh_Patado_SEA_HoaNT_120126")</f>
        <v>UnitedStates.giaotiep.tienganh_Patado_SEA_HoaNT_120126</v>
      </c>
      <c r="R156" s="67" t="str">
        <f>IFERROR(__xludf.DUMMYFUNCTION("""COMPUTED_VALUE"""),"NEW_UnitedStates_none_none_120126")</f>
        <v>NEW_UnitedStates_none_none_120126</v>
      </c>
      <c r="S156" s="67" t="str">
        <f>IFERROR(__xludf.DUMMYFUNCTION("""COMPUTED_VALUE"""),"saletructiep_Hocgiaotiepcaptoc_PTAGTTD_LD255")</f>
        <v>saletructiep_Hocgiaotiepcaptoc_PTAGTTD_LD255</v>
      </c>
      <c r="T156" s="107" t="str">
        <f>IFERROR(__xludf.DUMMYFUNCTION("""COMPUTED_VALUE"""),"https://patadovietnam.edu.vn/khoa-giao-tiep-unitedstates/?utm_source=Google&amp;utm_medium=SEA&amp;utm_term=NEW_UnitedStates_none_none_120126&amp;utm_content=saletructiep_Hocgiaotiepcaptoc_PTAGTTD_LD255&amp;utm_campaign=UnitedStates.giaotiep.tienganh_Patado_SEA_HoaNT_120"&amp;"126")</f>
        <v>https://patadovietnam.edu.vn/khoa-giao-tiep-unitedstates/?utm_source=Google&amp;utm_medium=SEA&amp;utm_term=NEW_UnitedStates_none_none_120126&amp;utm_content=saletructiep_Hocgiaotiepcaptoc_PTAGTTD_LD255&amp;utm_campaign=UnitedStates.giaotiep.tienganh_Patado_SEA_HoaNT_120126</v>
      </c>
      <c r="U156" s="116"/>
    </row>
    <row r="157">
      <c r="A157" s="72">
        <v>46034.0</v>
      </c>
      <c r="B157" s="60" t="s">
        <v>1256</v>
      </c>
      <c r="C157" s="67" t="str">
        <f>IFERROR(__xludf.DUMMYFUNCTION("""COMPUTED_VALUE"""),"LD255")</f>
        <v>LD255</v>
      </c>
      <c r="D157" s="55" t="s">
        <v>188</v>
      </c>
      <c r="E157" s="55" t="s">
        <v>193</v>
      </c>
      <c r="F157" s="55" t="s">
        <v>107</v>
      </c>
      <c r="G157" s="55" t="s">
        <v>61</v>
      </c>
      <c r="H157" s="55" t="s">
        <v>1261</v>
      </c>
      <c r="I157" s="115" t="s">
        <v>2167</v>
      </c>
      <c r="J157" s="113" t="s">
        <v>2569</v>
      </c>
      <c r="K157" s="55" t="s">
        <v>61</v>
      </c>
      <c r="L157" s="55" t="s">
        <v>1130</v>
      </c>
      <c r="M157" s="55" t="s">
        <v>78</v>
      </c>
      <c r="N157" s="55" t="s">
        <v>193</v>
      </c>
      <c r="O157" s="55" t="s">
        <v>1768</v>
      </c>
      <c r="P157" s="55" t="s">
        <v>110</v>
      </c>
      <c r="Q157" s="67" t="str">
        <f>IFERROR(__xludf.DUMMYFUNCTION("""COMPUTED_VALUE"""),"UnitedStates.giaotiep.tienganh_Patado_SEA_HoaNT_120126")</f>
        <v>UnitedStates.giaotiep.tienganh_Patado_SEA_HoaNT_120126</v>
      </c>
      <c r="R157" s="67" t="str">
        <f>IFERROR(__xludf.DUMMYFUNCTION("""COMPUTED_VALUE"""),"NEW_UnitedStates_none_none_120126")</f>
        <v>NEW_UnitedStates_none_none_120126</v>
      </c>
      <c r="S157" s="67" t="str">
        <f>IFERROR(__xludf.DUMMYFUNCTION("""COMPUTED_VALUE"""),"saletructiep_Dangkyhocgiaotiep_PTAGTTD_LD255")</f>
        <v>saletructiep_Dangkyhocgiaotiep_PTAGTTD_LD255</v>
      </c>
      <c r="T157" s="107" t="str">
        <f>IFERROR(__xludf.DUMMYFUNCTION("""COMPUTED_VALUE"""),"https://patadovietnam.edu.vn/khoa-giao-tiep-unitedstates/?utm_source=Google&amp;utm_medium=SEA&amp;utm_term=NEW_UnitedStates_none_none_120126&amp;utm_content=saletructiep_Dangkyhocgiaotiep_PTAGTTD_LD255&amp;utm_campaign=UnitedStates.giaotiep.tienganh_Patado_SEA_HoaNT_120"&amp;"126")</f>
        <v>https://patadovietnam.edu.vn/khoa-giao-tiep-unitedstates/?utm_source=Google&amp;utm_medium=SEA&amp;utm_term=NEW_UnitedStates_none_none_120126&amp;utm_content=saletructiep_Dangkyhocgiaotiep_PTAGTTD_LD255&amp;utm_campaign=UnitedStates.giaotiep.tienganh_Patado_SEA_HoaNT_120126</v>
      </c>
      <c r="U157" s="116"/>
    </row>
    <row r="158">
      <c r="A158" s="72">
        <v>46034.0</v>
      </c>
      <c r="B158" s="60" t="s">
        <v>1256</v>
      </c>
      <c r="C158" s="67" t="str">
        <f>IFERROR(__xludf.DUMMYFUNCTION("""COMPUTED_VALUE"""),"LD255")</f>
        <v>LD255</v>
      </c>
      <c r="D158" s="55" t="s">
        <v>188</v>
      </c>
      <c r="E158" s="55" t="s">
        <v>193</v>
      </c>
      <c r="F158" s="55" t="s">
        <v>107</v>
      </c>
      <c r="G158" s="55" t="s">
        <v>61</v>
      </c>
      <c r="H158" s="55" t="s">
        <v>1261</v>
      </c>
      <c r="I158" s="115" t="s">
        <v>2167</v>
      </c>
      <c r="J158" s="113" t="s">
        <v>2574</v>
      </c>
      <c r="K158" s="55" t="s">
        <v>61</v>
      </c>
      <c r="L158" s="55" t="s">
        <v>1130</v>
      </c>
      <c r="M158" s="55" t="s">
        <v>78</v>
      </c>
      <c r="N158" s="55" t="s">
        <v>193</v>
      </c>
      <c r="O158" s="55" t="s">
        <v>1768</v>
      </c>
      <c r="P158" s="55" t="s">
        <v>110</v>
      </c>
      <c r="Q158" s="67" t="str">
        <f>IFERROR(__xludf.DUMMYFUNCTION("""COMPUTED_VALUE"""),"UnitedStates.giaotiep.tienganh_Patado_SEA_HoaNT_120126")</f>
        <v>UnitedStates.giaotiep.tienganh_Patado_SEA_HoaNT_120126</v>
      </c>
      <c r="R158" s="67" t="str">
        <f>IFERROR(__xludf.DUMMYFUNCTION("""COMPUTED_VALUE"""),"NEW_UnitedStates_none_none_120126")</f>
        <v>NEW_UnitedStates_none_none_120126</v>
      </c>
      <c r="S158" s="67" t="str">
        <f>IFERROR(__xludf.DUMMYFUNCTION("""COMPUTED_VALUE"""),"saletructiep_Lotrinhgiaotiep_PTAGTTD_LD255")</f>
        <v>saletructiep_Lotrinhgiaotiep_PTAGTTD_LD255</v>
      </c>
      <c r="T158" s="107" t="str">
        <f>IFERROR(__xludf.DUMMYFUNCTION("""COMPUTED_VALUE"""),"https://patadovietnam.edu.vn/khoa-giao-tiep-unitedstates/?utm_source=Google&amp;utm_medium=SEA&amp;utm_term=NEW_UnitedStates_none_none_120126&amp;utm_content=saletructiep_Lotrinhgiaotiep_PTAGTTD_LD255&amp;utm_campaign=UnitedStates.giaotiep.tienganh_Patado_SEA_HoaNT_12012"&amp;"6")</f>
        <v>https://patadovietnam.edu.vn/khoa-giao-tiep-unitedstates/?utm_source=Google&amp;utm_medium=SEA&amp;utm_term=NEW_UnitedStates_none_none_120126&amp;utm_content=saletructiep_Lotrinhgiaotiep_PTAGTTD_LD255&amp;utm_campaign=UnitedStates.giaotiep.tienganh_Patado_SEA_HoaNT_120126</v>
      </c>
      <c r="U158" s="116"/>
    </row>
    <row r="159">
      <c r="A159" s="72">
        <v>46034.0</v>
      </c>
      <c r="B159" s="60" t="s">
        <v>1256</v>
      </c>
      <c r="C159" s="67" t="str">
        <f>IFERROR(__xludf.DUMMYFUNCTION("""COMPUTED_VALUE"""),"LD255")</f>
        <v>LD255</v>
      </c>
      <c r="D159" s="55" t="s">
        <v>188</v>
      </c>
      <c r="E159" s="55" t="s">
        <v>193</v>
      </c>
      <c r="F159" s="55" t="s">
        <v>107</v>
      </c>
      <c r="G159" s="55" t="s">
        <v>61</v>
      </c>
      <c r="H159" s="55" t="s">
        <v>1261</v>
      </c>
      <c r="I159" s="115" t="s">
        <v>2167</v>
      </c>
      <c r="J159" s="87" t="s">
        <v>2580</v>
      </c>
      <c r="K159" s="55" t="s">
        <v>61</v>
      </c>
      <c r="L159" s="55" t="s">
        <v>1130</v>
      </c>
      <c r="M159" s="55" t="s">
        <v>78</v>
      </c>
      <c r="N159" s="55" t="s">
        <v>193</v>
      </c>
      <c r="O159" s="55" t="s">
        <v>1768</v>
      </c>
      <c r="P159" s="55" t="s">
        <v>110</v>
      </c>
      <c r="Q159" s="67" t="str">
        <f>IFERROR(__xludf.DUMMYFUNCTION("""COMPUTED_VALUE"""),"UnitedStates.giaotiep.tienganh_Patado_SEA_HoaNT_120126")</f>
        <v>UnitedStates.giaotiep.tienganh_Patado_SEA_HoaNT_120126</v>
      </c>
      <c r="R159" s="67" t="str">
        <f>IFERROR(__xludf.DUMMYFUNCTION("""COMPUTED_VALUE"""),"NEW_UnitedStates_none_none_120126")</f>
        <v>NEW_UnitedStates_none_none_120126</v>
      </c>
      <c r="S159" s="67" t="str">
        <f>IFERROR(__xludf.DUMMYFUNCTION("""COMPUTED_VALUE"""),"saletructiep_Lopgiaotiep_PTAGTTD_LD255")</f>
        <v>saletructiep_Lopgiaotiep_PTAGTTD_LD255</v>
      </c>
      <c r="T159" s="107" t="str">
        <f>IFERROR(__xludf.DUMMYFUNCTION("""COMPUTED_VALUE"""),"https://patadovietnam.edu.vn/khoa-giao-tiep-unitedstates/?utm_source=Google&amp;utm_medium=SEA&amp;utm_term=NEW_UnitedStates_none_none_120126&amp;utm_content=saletructiep_Lopgiaotiep_PTAGTTD_LD255&amp;utm_campaign=UnitedStates.giaotiep.tienganh_Patado_SEA_HoaNT_120126")</f>
        <v>https://patadovietnam.edu.vn/khoa-giao-tiep-unitedstates/?utm_source=Google&amp;utm_medium=SEA&amp;utm_term=NEW_UnitedStates_none_none_120126&amp;utm_content=saletructiep_Lopgiaotiep_PTAGTTD_LD255&amp;utm_campaign=UnitedStates.giaotiep.tienganh_Patado_SEA_HoaNT_120126</v>
      </c>
      <c r="U159" s="116"/>
    </row>
    <row r="160">
      <c r="A160" s="72">
        <v>46034.0</v>
      </c>
      <c r="B160" s="60" t="s">
        <v>1256</v>
      </c>
      <c r="C160" s="67" t="str">
        <f>IFERROR(__xludf.DUMMYFUNCTION("""COMPUTED_VALUE"""),"LD255")</f>
        <v>LD255</v>
      </c>
      <c r="D160" s="55" t="s">
        <v>188</v>
      </c>
      <c r="E160" s="55" t="s">
        <v>193</v>
      </c>
      <c r="F160" s="55" t="s">
        <v>107</v>
      </c>
      <c r="G160" s="55" t="s">
        <v>61</v>
      </c>
      <c r="H160" s="55" t="s">
        <v>1261</v>
      </c>
      <c r="I160" s="115" t="s">
        <v>2167</v>
      </c>
      <c r="J160" s="113" t="s">
        <v>2586</v>
      </c>
      <c r="K160" s="55" t="s">
        <v>61</v>
      </c>
      <c r="L160" s="55" t="s">
        <v>1130</v>
      </c>
      <c r="M160" s="55" t="s">
        <v>78</v>
      </c>
      <c r="N160" s="55" t="s">
        <v>193</v>
      </c>
      <c r="O160" s="55" t="s">
        <v>1768</v>
      </c>
      <c r="P160" s="55" t="s">
        <v>110</v>
      </c>
      <c r="Q160" s="67" t="str">
        <f>IFERROR(__xludf.DUMMYFUNCTION("""COMPUTED_VALUE"""),"UnitedStates.giaotiep.tienganh_Patado_SEA_HoaNT_120126")</f>
        <v>UnitedStates.giaotiep.tienganh_Patado_SEA_HoaNT_120126</v>
      </c>
      <c r="R160" s="67" t="str">
        <f>IFERROR(__xludf.DUMMYFUNCTION("""COMPUTED_VALUE"""),"NEW_UnitedStates_none_none_120126")</f>
        <v>NEW_UnitedStates_none_none_120126</v>
      </c>
      <c r="S160" s="67" t="str">
        <f>IFERROR(__xludf.DUMMYFUNCTION("""COMPUTED_VALUE"""),"saletructiep_Khoagiaotiep_PTAGTTD_LD255")</f>
        <v>saletructiep_Khoagiaotiep_PTAGTTD_LD255</v>
      </c>
      <c r="T160" s="107" t="str">
        <f>IFERROR(__xludf.DUMMYFUNCTION("""COMPUTED_VALUE"""),"https://patadovietnam.edu.vn/khoa-giao-tiep-unitedstates/?utm_source=Google&amp;utm_medium=SEA&amp;utm_term=NEW_UnitedStates_none_none_120126&amp;utm_content=saletructiep_Khoagiaotiep_PTAGTTD_LD255&amp;utm_campaign=UnitedStates.giaotiep.tienganh_Patado_SEA_HoaNT_120126")</f>
        <v>https://patadovietnam.edu.vn/khoa-giao-tiep-unitedstates/?utm_source=Google&amp;utm_medium=SEA&amp;utm_term=NEW_UnitedStates_none_none_120126&amp;utm_content=saletructiep_Khoagiaotiep_PTAGTTD_LD255&amp;utm_campaign=UnitedStates.giaotiep.tienganh_Patado_SEA_HoaNT_120126</v>
      </c>
      <c r="U160" s="116"/>
    </row>
    <row r="161">
      <c r="A161" s="72">
        <v>46034.0</v>
      </c>
      <c r="B161" s="60" t="s">
        <v>1256</v>
      </c>
      <c r="C161" s="67" t="str">
        <f>IFERROR(__xludf.DUMMYFUNCTION("""COMPUTED_VALUE"""),"LD255")</f>
        <v>LD255</v>
      </c>
      <c r="D161" s="55" t="s">
        <v>188</v>
      </c>
      <c r="E161" s="55" t="s">
        <v>193</v>
      </c>
      <c r="F161" s="55" t="s">
        <v>107</v>
      </c>
      <c r="G161" s="55" t="s">
        <v>61</v>
      </c>
      <c r="H161" s="55" t="s">
        <v>1261</v>
      </c>
      <c r="I161" s="115" t="s">
        <v>2167</v>
      </c>
      <c r="J161" s="87" t="s">
        <v>2594</v>
      </c>
      <c r="K161" s="55" t="s">
        <v>61</v>
      </c>
      <c r="L161" s="55" t="s">
        <v>1130</v>
      </c>
      <c r="M161" s="55" t="s">
        <v>78</v>
      </c>
      <c r="N161" s="55" t="s">
        <v>193</v>
      </c>
      <c r="O161" s="55" t="s">
        <v>1768</v>
      </c>
      <c r="P161" s="55" t="s">
        <v>110</v>
      </c>
      <c r="Q161" s="67" t="str">
        <f>IFERROR(__xludf.DUMMYFUNCTION("""COMPUTED_VALUE"""),"UnitedStates.giaotiep.tienganh_Patado_SEA_HoaNT_120126")</f>
        <v>UnitedStates.giaotiep.tienganh_Patado_SEA_HoaNT_120126</v>
      </c>
      <c r="R161" s="67" t="str">
        <f>IFERROR(__xludf.DUMMYFUNCTION("""COMPUTED_VALUE"""),"NEW_UnitedStates_none_none_120126")</f>
        <v>NEW_UnitedStates_none_none_120126</v>
      </c>
      <c r="S161" s="67" t="str">
        <f>IFERROR(__xludf.DUMMYFUNCTION("""COMPUTED_VALUE"""),"saletructiep_Trungtamgiaotiep_PTAGTTD_LD255")</f>
        <v>saletructiep_Trungtamgiaotiep_PTAGTTD_LD255</v>
      </c>
      <c r="T161" s="107" t="str">
        <f>IFERROR(__xludf.DUMMYFUNCTION("""COMPUTED_VALUE"""),"https://patadovietnam.edu.vn/khoa-giao-tiep-unitedstates/?utm_source=Google&amp;utm_medium=SEA&amp;utm_term=NEW_UnitedStates_none_none_120126&amp;utm_content=saletructiep_Trungtamgiaotiep_PTAGTTD_LD255&amp;utm_campaign=UnitedStates.giaotiep.tienganh_Patado_SEA_HoaNT_1201"&amp;"26")</f>
        <v>https://patadovietnam.edu.vn/khoa-giao-tiep-unitedstates/?utm_source=Google&amp;utm_medium=SEA&amp;utm_term=NEW_UnitedStates_none_none_120126&amp;utm_content=saletructiep_Trungtamgiaotiep_PTAGTTD_LD255&amp;utm_campaign=UnitedStates.giaotiep.tienganh_Patado_SEA_HoaNT_120126</v>
      </c>
      <c r="U161" s="116"/>
    </row>
    <row r="162">
      <c r="A162" s="72">
        <v>46034.0</v>
      </c>
      <c r="B162" s="60" t="s">
        <v>1256</v>
      </c>
      <c r="C162" s="67" t="str">
        <f>IFERROR(__xludf.DUMMYFUNCTION("""COMPUTED_VALUE"""),"LD255")</f>
        <v>LD255</v>
      </c>
      <c r="D162" s="55" t="s">
        <v>188</v>
      </c>
      <c r="E162" s="55" t="s">
        <v>193</v>
      </c>
      <c r="F162" s="55" t="s">
        <v>107</v>
      </c>
      <c r="G162" s="55" t="s">
        <v>61</v>
      </c>
      <c r="H162" s="55" t="s">
        <v>1261</v>
      </c>
      <c r="I162" s="115" t="s">
        <v>2167</v>
      </c>
      <c r="J162" s="150" t="s">
        <v>2600</v>
      </c>
      <c r="K162" s="55" t="s">
        <v>61</v>
      </c>
      <c r="L162" s="55" t="s">
        <v>1130</v>
      </c>
      <c r="M162" s="55" t="s">
        <v>78</v>
      </c>
      <c r="N162" s="55" t="s">
        <v>193</v>
      </c>
      <c r="O162" s="55" t="s">
        <v>1768</v>
      </c>
      <c r="P162" s="55" t="s">
        <v>110</v>
      </c>
      <c r="Q162" s="67" t="str">
        <f>IFERROR(__xludf.DUMMYFUNCTION("""COMPUTED_VALUE"""),"UnitedStates.giaotiep.tienganh_Patado_SEA_HoaNT_120126")</f>
        <v>UnitedStates.giaotiep.tienganh_Patado_SEA_HoaNT_120126</v>
      </c>
      <c r="R162" s="67" t="str">
        <f>IFERROR(__xludf.DUMMYFUNCTION("""COMPUTED_VALUE"""),"NEW_UnitedStates_none_none_120126")</f>
        <v>NEW_UnitedStates_none_none_120126</v>
      </c>
      <c r="S162" s="67" t="str">
        <f>IFERROR(__xludf.DUMMYFUNCTION("""COMPUTED_VALUE"""),"saletructiep_Hocphigiaotiep_PTAGTTD_LD255")</f>
        <v>saletructiep_Hocphigiaotiep_PTAGTTD_LD255</v>
      </c>
      <c r="T162" s="107" t="str">
        <f>IFERROR(__xludf.DUMMYFUNCTION("""COMPUTED_VALUE"""),"https://patadovietnam.edu.vn/khoa-giao-tiep-unitedstates/?utm_source=Google&amp;utm_medium=SEA&amp;utm_term=NEW_UnitedStates_none_none_120126&amp;utm_content=saletructiep_Hocphigiaotiep_PTAGTTD_LD255&amp;utm_campaign=UnitedStates.giaotiep.tienganh_Patado_SEA_HoaNT_120126")</f>
        <v>https://patadovietnam.edu.vn/khoa-giao-tiep-unitedstates/?utm_source=Google&amp;utm_medium=SEA&amp;utm_term=NEW_UnitedStates_none_none_120126&amp;utm_content=saletructiep_Hocphigiaotiep_PTAGTTD_LD255&amp;utm_campaign=UnitedStates.giaotiep.tienganh_Patado_SEA_HoaNT_120126</v>
      </c>
      <c r="U162" s="116"/>
    </row>
    <row r="163">
      <c r="A163" s="72">
        <v>46034.0</v>
      </c>
      <c r="B163" s="60" t="s">
        <v>1256</v>
      </c>
      <c r="C163" s="67" t="str">
        <f>IFERROR(__xludf.DUMMYFUNCTION("""COMPUTED_VALUE"""),"LD255")</f>
        <v>LD255</v>
      </c>
      <c r="D163" s="55" t="s">
        <v>188</v>
      </c>
      <c r="E163" s="55" t="s">
        <v>193</v>
      </c>
      <c r="F163" s="55" t="s">
        <v>107</v>
      </c>
      <c r="G163" s="55" t="s">
        <v>61</v>
      </c>
      <c r="H163" s="55" t="s">
        <v>1261</v>
      </c>
      <c r="I163" s="115" t="s">
        <v>2167</v>
      </c>
      <c r="J163" s="113" t="s">
        <v>2607</v>
      </c>
      <c r="K163" s="55" t="s">
        <v>61</v>
      </c>
      <c r="L163" s="55" t="s">
        <v>1130</v>
      </c>
      <c r="M163" s="55" t="s">
        <v>78</v>
      </c>
      <c r="N163" s="55" t="s">
        <v>193</v>
      </c>
      <c r="O163" s="55" t="s">
        <v>1768</v>
      </c>
      <c r="P163" s="55" t="s">
        <v>110</v>
      </c>
      <c r="Q163" s="67" t="str">
        <f>IFERROR(__xludf.DUMMYFUNCTION("""COMPUTED_VALUE"""),"UnitedStates.giaotiep.tienganh_Patado_SEA_HoaNT_120126")</f>
        <v>UnitedStates.giaotiep.tienganh_Patado_SEA_HoaNT_120126</v>
      </c>
      <c r="R163" s="67" t="str">
        <f>IFERROR(__xludf.DUMMYFUNCTION("""COMPUTED_VALUE"""),"NEW_UnitedStates_none_none_120126")</f>
        <v>NEW_UnitedStates_none_none_120126</v>
      </c>
      <c r="S163" s="67" t="str">
        <f>IFERROR(__xludf.DUMMYFUNCTION("""COMPUTED_VALUE"""),"saletructiep_Tienganhngbatdau_PTAGTTD_LD255")</f>
        <v>saletructiep_Tienganhngbatdau_PTAGTTD_LD255</v>
      </c>
      <c r="T163" s="107" t="str">
        <f>IFERROR(__xludf.DUMMYFUNCTION("""COMPUTED_VALUE"""),"https://patadovietnam.edu.vn/khoa-giao-tiep-unitedstates/?utm_source=Google&amp;utm_medium=SEA&amp;utm_term=NEW_UnitedStates_none_none_120126&amp;utm_content=saletructiep_Tienganhngbatdau_PTAGTTD_LD255&amp;utm_campaign=UnitedStates.giaotiep.tienganh_Patado_SEA_HoaNT_1201"&amp;"26")</f>
        <v>https://patadovietnam.edu.vn/khoa-giao-tiep-unitedstates/?utm_source=Google&amp;utm_medium=SEA&amp;utm_term=NEW_UnitedStates_none_none_120126&amp;utm_content=saletructiep_Tienganhngbatdau_PTAGTTD_LD255&amp;utm_campaign=UnitedStates.giaotiep.tienganh_Patado_SEA_HoaNT_120126</v>
      </c>
      <c r="U163" s="116"/>
    </row>
    <row r="164">
      <c r="A164" s="72">
        <v>46034.0</v>
      </c>
      <c r="B164" s="60" t="s">
        <v>1256</v>
      </c>
      <c r="C164" s="67" t="str">
        <f>IFERROR(__xludf.DUMMYFUNCTION("""COMPUTED_VALUE"""),"LD255")</f>
        <v>LD255</v>
      </c>
      <c r="D164" s="55" t="s">
        <v>188</v>
      </c>
      <c r="E164" s="55" t="s">
        <v>193</v>
      </c>
      <c r="F164" s="55" t="s">
        <v>107</v>
      </c>
      <c r="G164" s="55" t="s">
        <v>61</v>
      </c>
      <c r="H164" s="55" t="s">
        <v>1261</v>
      </c>
      <c r="I164" s="115" t="s">
        <v>2167</v>
      </c>
      <c r="J164" s="113" t="s">
        <v>2613</v>
      </c>
      <c r="K164" s="55" t="s">
        <v>61</v>
      </c>
      <c r="L164" s="55" t="s">
        <v>1130</v>
      </c>
      <c r="M164" s="55" t="s">
        <v>78</v>
      </c>
      <c r="N164" s="55" t="s">
        <v>193</v>
      </c>
      <c r="O164" s="55" t="s">
        <v>1768</v>
      </c>
      <c r="P164" s="55" t="s">
        <v>110</v>
      </c>
      <c r="Q164" s="67" t="str">
        <f>IFERROR(__xludf.DUMMYFUNCTION("""COMPUTED_VALUE"""),"UnitedStates.giaotiep.tienganh_Patado_SEA_HoaNT_120126")</f>
        <v>UnitedStates.giaotiep.tienganh_Patado_SEA_HoaNT_120126</v>
      </c>
      <c r="R164" s="67" t="str">
        <f>IFERROR(__xludf.DUMMYFUNCTION("""COMPUTED_VALUE"""),"NEW_UnitedStates_none_none_120126")</f>
        <v>NEW_UnitedStates_none_none_120126</v>
      </c>
      <c r="S164" s="67" t="str">
        <f>IFERROR(__xludf.DUMMYFUNCTION("""COMPUTED_VALUE"""),"saletructiep_Tienganhngdilam_PTAGTTD_LD255")</f>
        <v>saletructiep_Tienganhngdilam_PTAGTTD_LD255</v>
      </c>
      <c r="T164" s="107" t="str">
        <f>IFERROR(__xludf.DUMMYFUNCTION("""COMPUTED_VALUE"""),"https://patadovietnam.edu.vn/khoa-giao-tiep-unitedstates/?utm_source=Google&amp;utm_medium=SEA&amp;utm_term=NEW_UnitedStates_none_none_120126&amp;utm_content=saletructiep_Tienganhngdilam_PTAGTTD_LD255&amp;utm_campaign=UnitedStates.giaotiep.tienganh_Patado_SEA_HoaNT_12012"&amp;"6")</f>
        <v>https://patadovietnam.edu.vn/khoa-giao-tiep-unitedstates/?utm_source=Google&amp;utm_medium=SEA&amp;utm_term=NEW_UnitedStates_none_none_120126&amp;utm_content=saletructiep_Tienganhngdilam_PTAGTTD_LD255&amp;utm_campaign=UnitedStates.giaotiep.tienganh_Patado_SEA_HoaNT_120126</v>
      </c>
      <c r="U164" s="116"/>
    </row>
    <row r="165">
      <c r="A165" s="72">
        <v>46034.0</v>
      </c>
      <c r="B165" s="60" t="s">
        <v>1256</v>
      </c>
      <c r="C165" s="67" t="str">
        <f>IFERROR(__xludf.DUMMYFUNCTION("""COMPUTED_VALUE"""),"LD255")</f>
        <v>LD255</v>
      </c>
      <c r="D165" s="55" t="s">
        <v>188</v>
      </c>
      <c r="E165" s="55" t="s">
        <v>193</v>
      </c>
      <c r="F165" s="55" t="s">
        <v>107</v>
      </c>
      <c r="G165" s="55" t="s">
        <v>61</v>
      </c>
      <c r="H165" s="55" t="s">
        <v>1261</v>
      </c>
      <c r="I165" s="115" t="s">
        <v>2167</v>
      </c>
      <c r="J165" s="113" t="s">
        <v>2617</v>
      </c>
      <c r="K165" s="55" t="s">
        <v>61</v>
      </c>
      <c r="L165" s="55" t="s">
        <v>1130</v>
      </c>
      <c r="M165" s="55" t="s">
        <v>78</v>
      </c>
      <c r="N165" s="55" t="s">
        <v>193</v>
      </c>
      <c r="O165" s="55" t="s">
        <v>1768</v>
      </c>
      <c r="P165" s="55" t="s">
        <v>110</v>
      </c>
      <c r="Q165" s="67" t="str">
        <f>IFERROR(__xludf.DUMMYFUNCTION("""COMPUTED_VALUE"""),"UnitedStates.giaotiep.tienganh_Patado_SEA_HoaNT_120126")</f>
        <v>UnitedStates.giaotiep.tienganh_Patado_SEA_HoaNT_120126</v>
      </c>
      <c r="R165" s="67" t="str">
        <f>IFERROR(__xludf.DUMMYFUNCTION("""COMPUTED_VALUE"""),"NEW_UnitedStates_none_none_120126")</f>
        <v>NEW_UnitedStates_none_none_120126</v>
      </c>
      <c r="S165" s="67" t="str">
        <f>IFERROR(__xludf.DUMMYFUNCTION("""COMPUTED_VALUE"""),"saletructiep_Tienganhngmatgoc_PTAGTTD_LD255")</f>
        <v>saletructiep_Tienganhngmatgoc_PTAGTTD_LD255</v>
      </c>
      <c r="T165" s="107" t="str">
        <f>IFERROR(__xludf.DUMMYFUNCTION("""COMPUTED_VALUE"""),"https://patadovietnam.edu.vn/khoa-giao-tiep-unitedstates/?utm_source=Google&amp;utm_medium=SEA&amp;utm_term=NEW_UnitedStates_none_none_120126&amp;utm_content=saletructiep_Tienganhngmatgoc_PTAGTTD_LD255&amp;utm_campaign=UnitedStates.giaotiep.tienganh_Patado_SEA_HoaNT_1201"&amp;"26")</f>
        <v>https://patadovietnam.edu.vn/khoa-giao-tiep-unitedstates/?utm_source=Google&amp;utm_medium=SEA&amp;utm_term=NEW_UnitedStates_none_none_120126&amp;utm_content=saletructiep_Tienganhngmatgoc_PTAGTTD_LD255&amp;utm_campaign=UnitedStates.giaotiep.tienganh_Patado_SEA_HoaNT_120126</v>
      </c>
      <c r="U165" s="116"/>
    </row>
    <row r="166">
      <c r="A166" s="72">
        <v>46034.0</v>
      </c>
      <c r="B166" s="60" t="s">
        <v>1256</v>
      </c>
      <c r="C166" s="67" t="str">
        <f>IFERROR(__xludf.DUMMYFUNCTION("""COMPUTED_VALUE"""),"LD255")</f>
        <v>LD255</v>
      </c>
      <c r="D166" s="55" t="s">
        <v>188</v>
      </c>
      <c r="E166" s="55" t="s">
        <v>193</v>
      </c>
      <c r="F166" s="55" t="s">
        <v>107</v>
      </c>
      <c r="G166" s="55" t="s">
        <v>61</v>
      </c>
      <c r="H166" s="55" t="s">
        <v>1261</v>
      </c>
      <c r="I166" s="115" t="s">
        <v>2167</v>
      </c>
      <c r="J166" s="113" t="s">
        <v>2712</v>
      </c>
      <c r="K166" s="55" t="s">
        <v>61</v>
      </c>
      <c r="L166" s="55" t="s">
        <v>1130</v>
      </c>
      <c r="M166" s="55" t="s">
        <v>78</v>
      </c>
      <c r="N166" s="55" t="s">
        <v>193</v>
      </c>
      <c r="O166" s="55" t="s">
        <v>1768</v>
      </c>
      <c r="P166" s="55" t="s">
        <v>110</v>
      </c>
      <c r="Q166" s="67" t="str">
        <f>IFERROR(__xludf.DUMMYFUNCTION("""COMPUTED_VALUE"""),"UnitedStates.giaotiep.tienganh_Patado_SEA_HoaNT_120126")</f>
        <v>UnitedStates.giaotiep.tienganh_Patado_SEA_HoaNT_120126</v>
      </c>
      <c r="R166" s="67" t="str">
        <f>IFERROR(__xludf.DUMMYFUNCTION("""COMPUTED_VALUE"""),"NEW_UnitedStates_none_none_120126")</f>
        <v>NEW_UnitedStates_none_none_120126</v>
      </c>
      <c r="S166" s="67" t="str">
        <f>IFERROR(__xludf.DUMMYFUNCTION("""COMPUTED_VALUE"""),"saletructiep_Nail_PTAGTTD_LD255")</f>
        <v>saletructiep_Nail_PTAGTTD_LD255</v>
      </c>
      <c r="T166" s="107" t="str">
        <f>IFERROR(__xludf.DUMMYFUNCTION("""COMPUTED_VALUE"""),"https://patadovietnam.edu.vn/khoa-giao-tiep-unitedstates/?utm_source=Google&amp;utm_medium=SEA&amp;utm_term=NEW_UnitedStates_none_none_120126&amp;utm_content=saletructiep_Nail_PTAGTTD_LD255&amp;utm_campaign=UnitedStates.giaotiep.tienganh_Patado_SEA_HoaNT_120126")</f>
        <v>https://patadovietnam.edu.vn/khoa-giao-tiep-unitedstates/?utm_source=Google&amp;utm_medium=SEA&amp;utm_term=NEW_UnitedStates_none_none_120126&amp;utm_content=saletructiep_Nail_PTAGTTD_LD255&amp;utm_campaign=UnitedStates.giaotiep.tienganh_Patado_SEA_HoaNT_120126</v>
      </c>
      <c r="U166" s="116"/>
    </row>
    <row r="167">
      <c r="A167" s="72">
        <v>46034.0</v>
      </c>
      <c r="B167" s="60" t="s">
        <v>1256</v>
      </c>
      <c r="C167" s="67" t="str">
        <f>IFERROR(__xludf.DUMMYFUNCTION("""COMPUTED_VALUE"""),"LD255")</f>
        <v>LD255</v>
      </c>
      <c r="D167" s="55" t="s">
        <v>188</v>
      </c>
      <c r="E167" s="55" t="s">
        <v>193</v>
      </c>
      <c r="F167" s="55" t="s">
        <v>107</v>
      </c>
      <c r="G167" s="55" t="s">
        <v>61</v>
      </c>
      <c r="H167" s="55" t="s">
        <v>1261</v>
      </c>
      <c r="I167" s="115" t="s">
        <v>2167</v>
      </c>
      <c r="J167" s="113" t="s">
        <v>2717</v>
      </c>
      <c r="K167" s="55" t="s">
        <v>61</v>
      </c>
      <c r="L167" s="55" t="s">
        <v>1130</v>
      </c>
      <c r="M167" s="55" t="s">
        <v>78</v>
      </c>
      <c r="N167" s="55" t="s">
        <v>193</v>
      </c>
      <c r="O167" s="55" t="s">
        <v>1768</v>
      </c>
      <c r="P167" s="55" t="s">
        <v>110</v>
      </c>
      <c r="Q167" s="67" t="str">
        <f>IFERROR(__xludf.DUMMYFUNCTION("""COMPUTED_VALUE"""),"UnitedStates.giaotiep.tienganh_Patado_SEA_HoaNT_120126")</f>
        <v>UnitedStates.giaotiep.tienganh_Patado_SEA_HoaNT_120126</v>
      </c>
      <c r="R167" s="67" t="str">
        <f>IFERROR(__xludf.DUMMYFUNCTION("""COMPUTED_VALUE"""),"NEW_UnitedStates_none_none_120126")</f>
        <v>NEW_UnitedStates_none_none_120126</v>
      </c>
      <c r="S167" s="67" t="str">
        <f>IFERROR(__xludf.DUMMYFUNCTION("""COMPUTED_VALUE"""),"saletructiep_Thiquoctich_PTAGTTD_LD255")</f>
        <v>saletructiep_Thiquoctich_PTAGTTD_LD255</v>
      </c>
      <c r="T167" s="107" t="str">
        <f>IFERROR(__xludf.DUMMYFUNCTION("""COMPUTED_VALUE"""),"https://patadovietnam.edu.vn/khoa-giao-tiep-unitedstates/?utm_source=Google&amp;utm_medium=SEA&amp;utm_term=NEW_UnitedStates_none_none_120126&amp;utm_content=saletructiep_Thiquoctich_PTAGTTD_LD255&amp;utm_campaign=UnitedStates.giaotiep.tienganh_Patado_SEA_HoaNT_120126")</f>
        <v>https://patadovietnam.edu.vn/khoa-giao-tiep-unitedstates/?utm_source=Google&amp;utm_medium=SEA&amp;utm_term=NEW_UnitedStates_none_none_120126&amp;utm_content=saletructiep_Thiquoctich_PTAGTTD_LD255&amp;utm_campaign=UnitedStates.giaotiep.tienganh_Patado_SEA_HoaNT_120126</v>
      </c>
      <c r="U167" s="116"/>
    </row>
    <row r="168">
      <c r="A168" s="72">
        <v>46036.0</v>
      </c>
      <c r="B168" s="60" t="s">
        <v>2720</v>
      </c>
      <c r="C168" s="67" t="str">
        <f>IFERROR(__xludf.DUMMYFUNCTION("""COMPUTED_VALUE"""),"LD258")</f>
        <v>LD258</v>
      </c>
      <c r="D168" s="55" t="s">
        <v>188</v>
      </c>
      <c r="E168" s="55" t="s">
        <v>193</v>
      </c>
      <c r="F168" s="55" t="s">
        <v>539</v>
      </c>
      <c r="G168" s="55">
        <v>1855.0</v>
      </c>
      <c r="H168" s="55" t="s">
        <v>1261</v>
      </c>
      <c r="I168" s="115" t="s">
        <v>2722</v>
      </c>
      <c r="J168" s="142" t="s">
        <v>2723</v>
      </c>
      <c r="K168" s="55" t="s">
        <v>61</v>
      </c>
      <c r="L168" s="55" t="s">
        <v>1130</v>
      </c>
      <c r="M168" s="55" t="s">
        <v>78</v>
      </c>
      <c r="N168" s="55" t="s">
        <v>193</v>
      </c>
      <c r="O168" s="55" t="s">
        <v>1768</v>
      </c>
      <c r="P168" s="55" t="s">
        <v>110</v>
      </c>
      <c r="Q168" s="67" t="str">
        <f>IFERROR(__xludf.DUMMYFUNCTION("""COMPUTED_VALUE"""),"ALL.ielts.tienganh_Patado_SEA_HoaNT_140126")</f>
        <v>ALL.ielts.tienganh_Patado_SEA_HoaNT_140126</v>
      </c>
      <c r="R168" s="67" t="str">
        <f>IFERROR(__xludf.DUMMYFUNCTION("""COMPUTED_VALUE"""),"NEW_ALL_1855_none_140126")</f>
        <v>NEW_ALL_1855_none_140126</v>
      </c>
      <c r="S168" s="67" t="str">
        <f>IFERROR(__xludf.DUMMYFUNCTION("""COMPUTED_VALUE"""),"saletructiep_Hocielts_PTAGTTD_LD258")</f>
        <v>saletructiep_Hocielts_PTAGTTD_LD258</v>
      </c>
      <c r="T168" s="107" t="str">
        <f>IFERROR(__xludf.DUMMYFUNCTION("""COMPUTED_VALUE"""),"https://patadovietnam.edu.vn/khoa-hoc-ielts-patado/?utm_source=Google&amp;utm_medium=SEA&amp;utm_term=NEW_ALL_1855_none_140126&amp;utm_content=saletructiep_Hocielts_PTAGTTD_LD258&amp;utm_campaign=ALL.ielts.tienganh_Patado_SEA_HoaNT_140126")</f>
        <v>https://patadovietnam.edu.vn/khoa-hoc-ielts-patado/?utm_source=Google&amp;utm_medium=SEA&amp;utm_term=NEW_ALL_1855_none_140126&amp;utm_content=saletructiep_Hocielts_PTAGTTD_LD258&amp;utm_campaign=ALL.ielts.tienganh_Patado_SEA_HoaNT_140126</v>
      </c>
      <c r="U168" s="116"/>
    </row>
    <row r="169">
      <c r="A169" s="72">
        <v>46036.0</v>
      </c>
      <c r="B169" s="60" t="s">
        <v>2720</v>
      </c>
      <c r="C169" s="67" t="str">
        <f>IFERROR(__xludf.DUMMYFUNCTION("""COMPUTED_VALUE"""),"LD258")</f>
        <v>LD258</v>
      </c>
      <c r="D169" s="55" t="s">
        <v>188</v>
      </c>
      <c r="E169" s="55" t="s">
        <v>193</v>
      </c>
      <c r="F169" s="55" t="s">
        <v>539</v>
      </c>
      <c r="G169" s="55">
        <v>1855.0</v>
      </c>
      <c r="H169" s="55" t="s">
        <v>1261</v>
      </c>
      <c r="I169" s="115" t="s">
        <v>2722</v>
      </c>
      <c r="J169" s="142" t="s">
        <v>2727</v>
      </c>
      <c r="K169" s="55" t="s">
        <v>61</v>
      </c>
      <c r="L169" s="55" t="s">
        <v>1130</v>
      </c>
      <c r="M169" s="55" t="s">
        <v>78</v>
      </c>
      <c r="N169" s="55" t="s">
        <v>193</v>
      </c>
      <c r="O169" s="55" t="s">
        <v>1768</v>
      </c>
      <c r="P169" s="55" t="s">
        <v>110</v>
      </c>
      <c r="Q169" s="67" t="str">
        <f>IFERROR(__xludf.DUMMYFUNCTION("""COMPUTED_VALUE"""),"ALL.ielts.tienganh_Patado_SEA_HoaNT_140126")</f>
        <v>ALL.ielts.tienganh_Patado_SEA_HoaNT_140126</v>
      </c>
      <c r="R169" s="67" t="str">
        <f>IFERROR(__xludf.DUMMYFUNCTION("""COMPUTED_VALUE"""),"NEW_ALL_1855_none_140126")</f>
        <v>NEW_ALL_1855_none_140126</v>
      </c>
      <c r="S169" s="67" t="str">
        <f>IFERROR(__xludf.DUMMYFUNCTION("""COMPUTED_VALUE"""),"saletructiep_Hoctienganhielts_PTAGTTD_LD258")</f>
        <v>saletructiep_Hoctienganhielts_PTAGTTD_LD258</v>
      </c>
      <c r="T169" s="107" t="str">
        <f>IFERROR(__xludf.DUMMYFUNCTION("""COMPUTED_VALUE"""),"https://patadovietnam.edu.vn/khoa-hoc-ielts-patado/?utm_source=Google&amp;utm_medium=SEA&amp;utm_term=NEW_ALL_1855_none_140126&amp;utm_content=saletructiep_Hoctienganhielts_PTAGTTD_LD258&amp;utm_campaign=ALL.ielts.tienganh_Patado_SEA_HoaNT_140126")</f>
        <v>https://patadovietnam.edu.vn/khoa-hoc-ielts-patado/?utm_source=Google&amp;utm_medium=SEA&amp;utm_term=NEW_ALL_1855_none_140126&amp;utm_content=saletructiep_Hoctienganhielts_PTAGTTD_LD258&amp;utm_campaign=ALL.ielts.tienganh_Patado_SEA_HoaNT_140126</v>
      </c>
      <c r="U169" s="116"/>
    </row>
    <row r="170">
      <c r="A170" s="72">
        <v>46036.0</v>
      </c>
      <c r="B170" s="60" t="s">
        <v>2720</v>
      </c>
      <c r="C170" s="67" t="str">
        <f>IFERROR(__xludf.DUMMYFUNCTION("""COMPUTED_VALUE"""),"LD258")</f>
        <v>LD258</v>
      </c>
      <c r="D170" s="55" t="s">
        <v>188</v>
      </c>
      <c r="E170" s="55" t="s">
        <v>193</v>
      </c>
      <c r="F170" s="55" t="s">
        <v>539</v>
      </c>
      <c r="G170" s="55">
        <v>1855.0</v>
      </c>
      <c r="H170" s="55" t="s">
        <v>1261</v>
      </c>
      <c r="I170" s="115" t="s">
        <v>2722</v>
      </c>
      <c r="J170" s="142" t="s">
        <v>2731</v>
      </c>
      <c r="K170" s="55" t="s">
        <v>61</v>
      </c>
      <c r="L170" s="55" t="s">
        <v>1130</v>
      </c>
      <c r="M170" s="55" t="s">
        <v>78</v>
      </c>
      <c r="N170" s="55" t="s">
        <v>193</v>
      </c>
      <c r="O170" s="55" t="s">
        <v>1768</v>
      </c>
      <c r="P170" s="55" t="s">
        <v>110</v>
      </c>
      <c r="Q170" s="67" t="str">
        <f>IFERROR(__xludf.DUMMYFUNCTION("""COMPUTED_VALUE"""),"ALL.ielts.tienganh_Patado_SEA_HoaNT_140126")</f>
        <v>ALL.ielts.tienganh_Patado_SEA_HoaNT_140126</v>
      </c>
      <c r="R170" s="67" t="str">
        <f>IFERROR(__xludf.DUMMYFUNCTION("""COMPUTED_VALUE"""),"NEW_ALL_1855_none_140126")</f>
        <v>NEW_ALL_1855_none_140126</v>
      </c>
      <c r="S170" s="67" t="str">
        <f>IFERROR(__xludf.DUMMYFUNCTION("""COMPUTED_VALUE"""),"saletructiep_Hocthiielts_PTAGTTD_LD258")</f>
        <v>saletructiep_Hocthiielts_PTAGTTD_LD258</v>
      </c>
      <c r="T170" s="107" t="str">
        <f>IFERROR(__xludf.DUMMYFUNCTION("""COMPUTED_VALUE"""),"https://patadovietnam.edu.vn/khoa-hoc-ielts-patado/?utm_source=Google&amp;utm_medium=SEA&amp;utm_term=NEW_ALL_1855_none_140126&amp;utm_content=saletructiep_Hocthiielts_PTAGTTD_LD258&amp;utm_campaign=ALL.ielts.tienganh_Patado_SEA_HoaNT_140126")</f>
        <v>https://patadovietnam.edu.vn/khoa-hoc-ielts-patado/?utm_source=Google&amp;utm_medium=SEA&amp;utm_term=NEW_ALL_1855_none_140126&amp;utm_content=saletructiep_Hocthiielts_PTAGTTD_LD258&amp;utm_campaign=ALL.ielts.tienganh_Patado_SEA_HoaNT_140126</v>
      </c>
      <c r="U170" s="116"/>
    </row>
    <row r="171">
      <c r="A171" s="72">
        <v>46036.0</v>
      </c>
      <c r="B171" s="60" t="s">
        <v>2720</v>
      </c>
      <c r="C171" s="67" t="str">
        <f>IFERROR(__xludf.DUMMYFUNCTION("""COMPUTED_VALUE"""),"LD258")</f>
        <v>LD258</v>
      </c>
      <c r="D171" s="55" t="s">
        <v>188</v>
      </c>
      <c r="E171" s="55" t="s">
        <v>193</v>
      </c>
      <c r="F171" s="55" t="s">
        <v>539</v>
      </c>
      <c r="G171" s="55">
        <v>1855.0</v>
      </c>
      <c r="H171" s="55" t="s">
        <v>1261</v>
      </c>
      <c r="I171" s="115" t="s">
        <v>2722</v>
      </c>
      <c r="J171" s="142" t="s">
        <v>2733</v>
      </c>
      <c r="K171" s="55" t="s">
        <v>61</v>
      </c>
      <c r="L171" s="55" t="s">
        <v>1130</v>
      </c>
      <c r="M171" s="55" t="s">
        <v>78</v>
      </c>
      <c r="N171" s="55" t="s">
        <v>193</v>
      </c>
      <c r="O171" s="55" t="s">
        <v>1768</v>
      </c>
      <c r="P171" s="55" t="s">
        <v>110</v>
      </c>
      <c r="Q171" s="67" t="str">
        <f>IFERROR(__xludf.DUMMYFUNCTION("""COMPUTED_VALUE"""),"ALL.ielts.tienganh_Patado_SEA_HoaNT_140126")</f>
        <v>ALL.ielts.tienganh_Patado_SEA_HoaNT_140126</v>
      </c>
      <c r="R171" s="67" t="str">
        <f>IFERROR(__xludf.DUMMYFUNCTION("""COMPUTED_VALUE"""),"NEW_ALL_1855_none_140126")</f>
        <v>NEW_ALL_1855_none_140126</v>
      </c>
      <c r="S171" s="67" t="str">
        <f>IFERROR(__xludf.DUMMYFUNCTION("""COMPUTED_VALUE"""),"saletructiep_Ieltsonline_PTAGTTD_LD258")</f>
        <v>saletructiep_Ieltsonline_PTAGTTD_LD258</v>
      </c>
      <c r="T171" s="107" t="str">
        <f>IFERROR(__xludf.DUMMYFUNCTION("""COMPUTED_VALUE"""),"https://patadovietnam.edu.vn/khoa-hoc-ielts-patado/?utm_source=Google&amp;utm_medium=SEA&amp;utm_term=NEW_ALL_1855_none_140126&amp;utm_content=saletructiep_Ieltsonline_PTAGTTD_LD258&amp;utm_campaign=ALL.ielts.tienganh_Patado_SEA_HoaNT_140126")</f>
        <v>https://patadovietnam.edu.vn/khoa-hoc-ielts-patado/?utm_source=Google&amp;utm_medium=SEA&amp;utm_term=NEW_ALL_1855_none_140126&amp;utm_content=saletructiep_Ieltsonline_PTAGTTD_LD258&amp;utm_campaign=ALL.ielts.tienganh_Patado_SEA_HoaNT_140126</v>
      </c>
      <c r="U171" s="116"/>
    </row>
    <row r="172">
      <c r="A172" s="72">
        <v>46036.0</v>
      </c>
      <c r="B172" s="60" t="s">
        <v>2720</v>
      </c>
      <c r="C172" s="67" t="str">
        <f>IFERROR(__xludf.DUMMYFUNCTION("""COMPUTED_VALUE"""),"LD258")</f>
        <v>LD258</v>
      </c>
      <c r="D172" s="55" t="s">
        <v>188</v>
      </c>
      <c r="E172" s="55" t="s">
        <v>193</v>
      </c>
      <c r="F172" s="55" t="s">
        <v>539</v>
      </c>
      <c r="G172" s="55">
        <v>1855.0</v>
      </c>
      <c r="H172" s="55" t="s">
        <v>1261</v>
      </c>
      <c r="I172" s="115" t="s">
        <v>2722</v>
      </c>
      <c r="J172" s="142" t="s">
        <v>2737</v>
      </c>
      <c r="K172" s="55" t="s">
        <v>61</v>
      </c>
      <c r="L172" s="55" t="s">
        <v>1130</v>
      </c>
      <c r="M172" s="55" t="s">
        <v>78</v>
      </c>
      <c r="N172" s="55" t="s">
        <v>193</v>
      </c>
      <c r="O172" s="55" t="s">
        <v>1768</v>
      </c>
      <c r="P172" s="55" t="s">
        <v>110</v>
      </c>
      <c r="Q172" s="67" t="str">
        <f>IFERROR(__xludf.DUMMYFUNCTION("""COMPUTED_VALUE"""),"ALL.ielts.tienganh_Patado_SEA_HoaNT_140126")</f>
        <v>ALL.ielts.tienganh_Patado_SEA_HoaNT_140126</v>
      </c>
      <c r="R172" s="67" t="str">
        <f>IFERROR(__xludf.DUMMYFUNCTION("""COMPUTED_VALUE"""),"NEW_ALL_1855_none_140126")</f>
        <v>NEW_ALL_1855_none_140126</v>
      </c>
      <c r="S172" s="67" t="str">
        <f>IFERROR(__xludf.DUMMYFUNCTION("""COMPUTED_VALUE"""),"saletructiep_Ieltsmatgoc_PTAGTTD_LD258")</f>
        <v>saletructiep_Ieltsmatgoc_PTAGTTD_LD258</v>
      </c>
      <c r="T172" s="107" t="str">
        <f>IFERROR(__xludf.DUMMYFUNCTION("""COMPUTED_VALUE"""),"https://patadovietnam.edu.vn/khoa-hoc-ielts-patado/?utm_source=Google&amp;utm_medium=SEA&amp;utm_term=NEW_ALL_1855_none_140126&amp;utm_content=saletructiep_Ieltsmatgoc_PTAGTTD_LD258&amp;utm_campaign=ALL.ielts.tienganh_Patado_SEA_HoaNT_140126")</f>
        <v>https://patadovietnam.edu.vn/khoa-hoc-ielts-patado/?utm_source=Google&amp;utm_medium=SEA&amp;utm_term=NEW_ALL_1855_none_140126&amp;utm_content=saletructiep_Ieltsmatgoc_PTAGTTD_LD258&amp;utm_campaign=ALL.ielts.tienganh_Patado_SEA_HoaNT_140126</v>
      </c>
      <c r="U172" s="116"/>
    </row>
    <row r="173">
      <c r="A173" s="72">
        <v>46036.0</v>
      </c>
      <c r="B173" s="60" t="s">
        <v>2720</v>
      </c>
      <c r="C173" s="67" t="str">
        <f>IFERROR(__xludf.DUMMYFUNCTION("""COMPUTED_VALUE"""),"LD258")</f>
        <v>LD258</v>
      </c>
      <c r="D173" s="55" t="s">
        <v>188</v>
      </c>
      <c r="E173" s="55" t="s">
        <v>193</v>
      </c>
      <c r="F173" s="55" t="s">
        <v>539</v>
      </c>
      <c r="G173" s="55">
        <v>1855.0</v>
      </c>
      <c r="H173" s="55" t="s">
        <v>1261</v>
      </c>
      <c r="I173" s="115" t="s">
        <v>2722</v>
      </c>
      <c r="J173" s="142" t="s">
        <v>2741</v>
      </c>
      <c r="K173" s="55" t="s">
        <v>61</v>
      </c>
      <c r="L173" s="55" t="s">
        <v>1130</v>
      </c>
      <c r="M173" s="55" t="s">
        <v>78</v>
      </c>
      <c r="N173" s="55" t="s">
        <v>193</v>
      </c>
      <c r="O173" s="55" t="s">
        <v>1768</v>
      </c>
      <c r="P173" s="55" t="s">
        <v>110</v>
      </c>
      <c r="Q173" s="67" t="str">
        <f>IFERROR(__xludf.DUMMYFUNCTION("""COMPUTED_VALUE"""),"ALL.ielts.tienganh_Patado_SEA_HoaNT_140126")</f>
        <v>ALL.ielts.tienganh_Patado_SEA_HoaNT_140126</v>
      </c>
      <c r="R173" s="67" t="str">
        <f>IFERROR(__xludf.DUMMYFUNCTION("""COMPUTED_VALUE"""),"NEW_ALL_1855_none_140126")</f>
        <v>NEW_ALL_1855_none_140126</v>
      </c>
      <c r="S173" s="67" t="str">
        <f>IFERROR(__xludf.DUMMYFUNCTION("""COMPUTED_VALUE"""),"saletructiep_Lotrinhhocielts_PTAGTTD_LD258")</f>
        <v>saletructiep_Lotrinhhocielts_PTAGTTD_LD258</v>
      </c>
      <c r="T173" s="107" t="str">
        <f>IFERROR(__xludf.DUMMYFUNCTION("""COMPUTED_VALUE"""),"https://patadovietnam.edu.vn/khoa-hoc-ielts-patado/?utm_source=Google&amp;utm_medium=SEA&amp;utm_term=NEW_ALL_1855_none_140126&amp;utm_content=saletructiep_Lotrinhhocielts_PTAGTTD_LD258&amp;utm_campaign=ALL.ielts.tienganh_Patado_SEA_HoaNT_140126")</f>
        <v>https://patadovietnam.edu.vn/khoa-hoc-ielts-patado/?utm_source=Google&amp;utm_medium=SEA&amp;utm_term=NEW_ALL_1855_none_140126&amp;utm_content=saletructiep_Lotrinhhocielts_PTAGTTD_LD258&amp;utm_campaign=ALL.ielts.tienganh_Patado_SEA_HoaNT_140126</v>
      </c>
      <c r="U173" s="116"/>
    </row>
    <row r="174">
      <c r="A174" s="72">
        <v>46036.0</v>
      </c>
      <c r="B174" s="60" t="s">
        <v>2720</v>
      </c>
      <c r="C174" s="67" t="str">
        <f>IFERROR(__xludf.DUMMYFUNCTION("""COMPUTED_VALUE"""),"LD258")</f>
        <v>LD258</v>
      </c>
      <c r="D174" s="55" t="s">
        <v>188</v>
      </c>
      <c r="E174" s="55" t="s">
        <v>193</v>
      </c>
      <c r="F174" s="55" t="s">
        <v>539</v>
      </c>
      <c r="G174" s="55">
        <v>1855.0</v>
      </c>
      <c r="H174" s="55" t="s">
        <v>1261</v>
      </c>
      <c r="I174" s="115" t="s">
        <v>2722</v>
      </c>
      <c r="J174" s="142" t="s">
        <v>2744</v>
      </c>
      <c r="K174" s="55" t="s">
        <v>61</v>
      </c>
      <c r="L174" s="55" t="s">
        <v>1130</v>
      </c>
      <c r="M174" s="55" t="s">
        <v>78</v>
      </c>
      <c r="N174" s="55" t="s">
        <v>193</v>
      </c>
      <c r="O174" s="55" t="s">
        <v>1768</v>
      </c>
      <c r="P174" s="55" t="s">
        <v>110</v>
      </c>
      <c r="Q174" s="67" t="str">
        <f>IFERROR(__xludf.DUMMYFUNCTION("""COMPUTED_VALUE"""),"ALL.ielts.tienganh_Patado_SEA_HoaNT_140126")</f>
        <v>ALL.ielts.tienganh_Patado_SEA_HoaNT_140126</v>
      </c>
      <c r="R174" s="67" t="str">
        <f>IFERROR(__xludf.DUMMYFUNCTION("""COMPUTED_VALUE"""),"NEW_ALL_1855_none_140126")</f>
        <v>NEW_ALL_1855_none_140126</v>
      </c>
      <c r="S174" s="67" t="str">
        <f>IFERROR(__xludf.DUMMYFUNCTION("""COMPUTED_VALUE"""),"saletructiep_Khoahocielts_PTAGTTD_LD258")</f>
        <v>saletructiep_Khoahocielts_PTAGTTD_LD258</v>
      </c>
      <c r="T174" s="107" t="str">
        <f>IFERROR(__xludf.DUMMYFUNCTION("""COMPUTED_VALUE"""),"https://patadovietnam.edu.vn/khoa-hoc-ielts-patado/?utm_source=Google&amp;utm_medium=SEA&amp;utm_term=NEW_ALL_1855_none_140126&amp;utm_content=saletructiep_Khoahocielts_PTAGTTD_LD258&amp;utm_campaign=ALL.ielts.tienganh_Patado_SEA_HoaNT_140126")</f>
        <v>https://patadovietnam.edu.vn/khoa-hoc-ielts-patado/?utm_source=Google&amp;utm_medium=SEA&amp;utm_term=NEW_ALL_1855_none_140126&amp;utm_content=saletructiep_Khoahocielts_PTAGTTD_LD258&amp;utm_campaign=ALL.ielts.tienganh_Patado_SEA_HoaNT_140126</v>
      </c>
      <c r="U174" s="116"/>
    </row>
    <row r="175">
      <c r="A175" s="72">
        <v>46036.0</v>
      </c>
      <c r="B175" s="60" t="s">
        <v>2720</v>
      </c>
      <c r="C175" s="67" t="str">
        <f>IFERROR(__xludf.DUMMYFUNCTION("""COMPUTED_VALUE"""),"LD258")</f>
        <v>LD258</v>
      </c>
      <c r="D175" s="55" t="s">
        <v>188</v>
      </c>
      <c r="E175" s="55" t="s">
        <v>193</v>
      </c>
      <c r="F175" s="55" t="s">
        <v>539</v>
      </c>
      <c r="G175" s="55">
        <v>1855.0</v>
      </c>
      <c r="H175" s="55" t="s">
        <v>1261</v>
      </c>
      <c r="I175" s="115" t="s">
        <v>2722</v>
      </c>
      <c r="J175" s="142" t="s">
        <v>2747</v>
      </c>
      <c r="K175" s="55" t="s">
        <v>61</v>
      </c>
      <c r="L175" s="55" t="s">
        <v>1130</v>
      </c>
      <c r="M175" s="55" t="s">
        <v>78</v>
      </c>
      <c r="N175" s="55" t="s">
        <v>193</v>
      </c>
      <c r="O175" s="55" t="s">
        <v>1768</v>
      </c>
      <c r="P175" s="55" t="s">
        <v>110</v>
      </c>
      <c r="Q175" s="67" t="str">
        <f>IFERROR(__xludf.DUMMYFUNCTION("""COMPUTED_VALUE"""),"ALL.ielts.tienganh_Patado_SEA_HoaNT_140126")</f>
        <v>ALL.ielts.tienganh_Patado_SEA_HoaNT_140126</v>
      </c>
      <c r="R175" s="67" t="str">
        <f>IFERROR(__xludf.DUMMYFUNCTION("""COMPUTED_VALUE"""),"NEW_ALL_1855_none_140126")</f>
        <v>NEW_ALL_1855_none_140126</v>
      </c>
      <c r="S175" s="67" t="str">
        <f>IFERROR(__xludf.DUMMYFUNCTION("""COMPUTED_VALUE"""),"saletructiep_Luyenielts_PTAGTTD_LD258")</f>
        <v>saletructiep_Luyenielts_PTAGTTD_LD258</v>
      </c>
      <c r="T175" s="107" t="str">
        <f>IFERROR(__xludf.DUMMYFUNCTION("""COMPUTED_VALUE"""),"https://patadovietnam.edu.vn/khoa-hoc-ielts-patado/?utm_source=Google&amp;utm_medium=SEA&amp;utm_term=NEW_ALL_1855_none_140126&amp;utm_content=saletructiep_Luyenielts_PTAGTTD_LD258&amp;utm_campaign=ALL.ielts.tienganh_Patado_SEA_HoaNT_140126")</f>
        <v>https://patadovietnam.edu.vn/khoa-hoc-ielts-patado/?utm_source=Google&amp;utm_medium=SEA&amp;utm_term=NEW_ALL_1855_none_140126&amp;utm_content=saletructiep_Luyenielts_PTAGTTD_LD258&amp;utm_campaign=ALL.ielts.tienganh_Patado_SEA_HoaNT_140126</v>
      </c>
      <c r="U175" s="116"/>
    </row>
    <row r="176">
      <c r="A176" s="72">
        <v>46036.0</v>
      </c>
      <c r="B176" s="60" t="s">
        <v>2720</v>
      </c>
      <c r="C176" s="67" t="str">
        <f>IFERROR(__xludf.DUMMYFUNCTION("""COMPUTED_VALUE"""),"LD258")</f>
        <v>LD258</v>
      </c>
      <c r="D176" s="55" t="s">
        <v>188</v>
      </c>
      <c r="E176" s="55" t="s">
        <v>193</v>
      </c>
      <c r="F176" s="55" t="s">
        <v>539</v>
      </c>
      <c r="G176" s="55">
        <v>1855.0</v>
      </c>
      <c r="H176" s="55" t="s">
        <v>1261</v>
      </c>
      <c r="I176" s="115" t="s">
        <v>2722</v>
      </c>
      <c r="J176" s="142" t="s">
        <v>2751</v>
      </c>
      <c r="K176" s="55" t="s">
        <v>61</v>
      </c>
      <c r="L176" s="55" t="s">
        <v>1130</v>
      </c>
      <c r="M176" s="55" t="s">
        <v>78</v>
      </c>
      <c r="N176" s="55" t="s">
        <v>193</v>
      </c>
      <c r="O176" s="55" t="s">
        <v>1768</v>
      </c>
      <c r="P176" s="55" t="s">
        <v>110</v>
      </c>
      <c r="Q176" s="67" t="str">
        <f>IFERROR(__xludf.DUMMYFUNCTION("""COMPUTED_VALUE"""),"ALL.ielts.tienganh_Patado_SEA_HoaNT_140126")</f>
        <v>ALL.ielts.tienganh_Patado_SEA_HoaNT_140126</v>
      </c>
      <c r="R176" s="67" t="str">
        <f>IFERROR(__xludf.DUMMYFUNCTION("""COMPUTED_VALUE"""),"NEW_ALL_1855_none_140126")</f>
        <v>NEW_ALL_1855_none_140126</v>
      </c>
      <c r="S176" s="67" t="str">
        <f>IFERROR(__xludf.DUMMYFUNCTION("""COMPUTED_VALUE"""),"saletructiep_Lopielts_PTAGTTD_LD258")</f>
        <v>saletructiep_Lopielts_PTAGTTD_LD258</v>
      </c>
      <c r="T176" s="107" t="str">
        <f>IFERROR(__xludf.DUMMYFUNCTION("""COMPUTED_VALUE"""),"https://patadovietnam.edu.vn/khoa-hoc-ielts-patado/?utm_source=Google&amp;utm_medium=SEA&amp;utm_term=NEW_ALL_1855_none_140126&amp;utm_content=saletructiep_Lopielts_PTAGTTD_LD258&amp;utm_campaign=ALL.ielts.tienganh_Patado_SEA_HoaNT_140126")</f>
        <v>https://patadovietnam.edu.vn/khoa-hoc-ielts-patado/?utm_source=Google&amp;utm_medium=SEA&amp;utm_term=NEW_ALL_1855_none_140126&amp;utm_content=saletructiep_Lopielts_PTAGTTD_LD258&amp;utm_campaign=ALL.ielts.tienganh_Patado_SEA_HoaNT_140126</v>
      </c>
      <c r="U176" s="116"/>
    </row>
    <row r="177">
      <c r="A177" s="72">
        <v>46036.0</v>
      </c>
      <c r="B177" s="60" t="s">
        <v>2720</v>
      </c>
      <c r="C177" s="67" t="str">
        <f>IFERROR(__xludf.DUMMYFUNCTION("""COMPUTED_VALUE"""),"LD258")</f>
        <v>LD258</v>
      </c>
      <c r="D177" s="55" t="s">
        <v>188</v>
      </c>
      <c r="E177" s="55" t="s">
        <v>193</v>
      </c>
      <c r="F177" s="55" t="s">
        <v>539</v>
      </c>
      <c r="G177" s="55">
        <v>1855.0</v>
      </c>
      <c r="H177" s="55" t="s">
        <v>1261</v>
      </c>
      <c r="I177" s="115" t="s">
        <v>2722</v>
      </c>
      <c r="J177" s="142" t="s">
        <v>2753</v>
      </c>
      <c r="K177" s="55" t="s">
        <v>61</v>
      </c>
      <c r="L177" s="55" t="s">
        <v>1130</v>
      </c>
      <c r="M177" s="55" t="s">
        <v>78</v>
      </c>
      <c r="N177" s="55" t="s">
        <v>193</v>
      </c>
      <c r="O177" s="55" t="s">
        <v>1768</v>
      </c>
      <c r="P177" s="55" t="s">
        <v>110</v>
      </c>
      <c r="Q177" s="67" t="str">
        <f>IFERROR(__xludf.DUMMYFUNCTION("""COMPUTED_VALUE"""),"ALL.ielts.tienganh_Patado_SEA_HoaNT_140126")</f>
        <v>ALL.ielts.tienganh_Patado_SEA_HoaNT_140126</v>
      </c>
      <c r="R177" s="67" t="str">
        <f>IFERROR(__xludf.DUMMYFUNCTION("""COMPUTED_VALUE"""),"NEW_ALL_1855_none_140126")</f>
        <v>NEW_ALL_1855_none_140126</v>
      </c>
      <c r="S177" s="67" t="str">
        <f>IFERROR(__xludf.DUMMYFUNCTION("""COMPUTED_VALUE"""),"saletructiep_Ielts1kem1_PTAGTTD_LD258")</f>
        <v>saletructiep_Ielts1kem1_PTAGTTD_LD258</v>
      </c>
      <c r="T177" s="107" t="str">
        <f>IFERROR(__xludf.DUMMYFUNCTION("""COMPUTED_VALUE"""),"https://patadovietnam.edu.vn/khoa-hoc-ielts-patado/?utm_source=Google&amp;utm_medium=SEA&amp;utm_term=NEW_ALL_1855_none_140126&amp;utm_content=saletructiep_Ielts1kem1_PTAGTTD_LD258&amp;utm_campaign=ALL.ielts.tienganh_Patado_SEA_HoaNT_140126")</f>
        <v>https://patadovietnam.edu.vn/khoa-hoc-ielts-patado/?utm_source=Google&amp;utm_medium=SEA&amp;utm_term=NEW_ALL_1855_none_140126&amp;utm_content=saletructiep_Ielts1kem1_PTAGTTD_LD258&amp;utm_campaign=ALL.ielts.tienganh_Patado_SEA_HoaNT_140126</v>
      </c>
      <c r="U177" s="116"/>
    </row>
    <row r="178">
      <c r="A178" s="72">
        <v>46036.0</v>
      </c>
      <c r="B178" s="60" t="s">
        <v>2720</v>
      </c>
      <c r="C178" s="67" t="str">
        <f>IFERROR(__xludf.DUMMYFUNCTION("""COMPUTED_VALUE"""),"LD258")</f>
        <v>LD258</v>
      </c>
      <c r="D178" s="55" t="s">
        <v>188</v>
      </c>
      <c r="E178" s="55" t="s">
        <v>193</v>
      </c>
      <c r="F178" s="55" t="s">
        <v>539</v>
      </c>
      <c r="G178" s="55">
        <v>1855.0</v>
      </c>
      <c r="H178" s="55" t="s">
        <v>1261</v>
      </c>
      <c r="I178" s="115" t="s">
        <v>2722</v>
      </c>
      <c r="J178" s="142" t="s">
        <v>2757</v>
      </c>
      <c r="K178" s="55" t="s">
        <v>61</v>
      </c>
      <c r="L178" s="55" t="s">
        <v>1130</v>
      </c>
      <c r="M178" s="55" t="s">
        <v>78</v>
      </c>
      <c r="N178" s="55" t="s">
        <v>193</v>
      </c>
      <c r="O178" s="55" t="s">
        <v>1768</v>
      </c>
      <c r="P178" s="55" t="s">
        <v>110</v>
      </c>
      <c r="Q178" s="67" t="str">
        <f>IFERROR(__xludf.DUMMYFUNCTION("""COMPUTED_VALUE"""),"ALL.ielts.tienganh_Patado_SEA_HoaNT_140126")</f>
        <v>ALL.ielts.tienganh_Patado_SEA_HoaNT_140126</v>
      </c>
      <c r="R178" s="67" t="str">
        <f>IFERROR(__xludf.DUMMYFUNCTION("""COMPUTED_VALUE"""),"NEW_ALL_1855_none_140126")</f>
        <v>NEW_ALL_1855_none_140126</v>
      </c>
      <c r="S178" s="67" t="str">
        <f>IFERROR(__xludf.DUMMYFUNCTION("""COMPUTED_VALUE"""),"saletructiep_Trungtamtienganhielts_PTAGTTD_LD258")</f>
        <v>saletructiep_Trungtamtienganhielts_PTAGTTD_LD258</v>
      </c>
      <c r="T178" s="107" t="str">
        <f>IFERROR(__xludf.DUMMYFUNCTION("""COMPUTED_VALUE"""),"https://patadovietnam.edu.vn/khoa-hoc-ielts-patado/?utm_source=Google&amp;utm_medium=SEA&amp;utm_term=NEW_ALL_1855_none_140126&amp;utm_content=saletructiep_Trungtamtienganhielts_PTAGTTD_LD258&amp;utm_campaign=ALL.ielts.tienganh_Patado_SEA_HoaNT_140126")</f>
        <v>https://patadovietnam.edu.vn/khoa-hoc-ielts-patado/?utm_source=Google&amp;utm_medium=SEA&amp;utm_term=NEW_ALL_1855_none_140126&amp;utm_content=saletructiep_Trungtamtienganhielts_PTAGTTD_LD258&amp;utm_campaign=ALL.ielts.tienganh_Patado_SEA_HoaNT_140126</v>
      </c>
      <c r="U178" s="116"/>
    </row>
    <row r="179">
      <c r="A179" s="72">
        <v>46036.0</v>
      </c>
      <c r="B179" s="60" t="s">
        <v>2720</v>
      </c>
      <c r="C179" s="67" t="str">
        <f>IFERROR(__xludf.DUMMYFUNCTION("""COMPUTED_VALUE"""),"LD258")</f>
        <v>LD258</v>
      </c>
      <c r="D179" s="55" t="s">
        <v>188</v>
      </c>
      <c r="E179" s="55" t="s">
        <v>193</v>
      </c>
      <c r="F179" s="55" t="s">
        <v>539</v>
      </c>
      <c r="G179" s="55">
        <v>1855.0</v>
      </c>
      <c r="H179" s="55" t="s">
        <v>1261</v>
      </c>
      <c r="I179" s="115" t="s">
        <v>2722</v>
      </c>
      <c r="J179" s="142" t="s">
        <v>2762</v>
      </c>
      <c r="K179" s="55" t="s">
        <v>61</v>
      </c>
      <c r="L179" s="55" t="s">
        <v>1130</v>
      </c>
      <c r="M179" s="55" t="s">
        <v>78</v>
      </c>
      <c r="N179" s="55" t="s">
        <v>193</v>
      </c>
      <c r="O179" s="55" t="s">
        <v>1768</v>
      </c>
      <c r="P179" s="55" t="s">
        <v>110</v>
      </c>
      <c r="Q179" s="67" t="str">
        <f>IFERROR(__xludf.DUMMYFUNCTION("""COMPUTED_VALUE"""),"ALL.ielts.tienganh_Patado_SEA_HoaNT_140126")</f>
        <v>ALL.ielts.tienganh_Patado_SEA_HoaNT_140126</v>
      </c>
      <c r="R179" s="67" t="str">
        <f>IFERROR(__xludf.DUMMYFUNCTION("""COMPUTED_VALUE"""),"NEW_ALL_1855_none_140126")</f>
        <v>NEW_ALL_1855_none_140126</v>
      </c>
      <c r="S179" s="67" t="str">
        <f>IFERROR(__xludf.DUMMYFUNCTION("""COMPUTED_VALUE"""),"saletructiep_Trungtamhocielts_PTAGTTD_LD258")</f>
        <v>saletructiep_Trungtamhocielts_PTAGTTD_LD258</v>
      </c>
      <c r="T179" s="107" t="str">
        <f>IFERROR(__xludf.DUMMYFUNCTION("""COMPUTED_VALUE"""),"https://patadovietnam.edu.vn/khoa-hoc-ielts-patado/?utm_source=Google&amp;utm_medium=SEA&amp;utm_term=NEW_ALL_1855_none_140126&amp;utm_content=saletructiep_Trungtamhocielts_PTAGTTD_LD258&amp;utm_campaign=ALL.ielts.tienganh_Patado_SEA_HoaNT_140126")</f>
        <v>https://patadovietnam.edu.vn/khoa-hoc-ielts-patado/?utm_source=Google&amp;utm_medium=SEA&amp;utm_term=NEW_ALL_1855_none_140126&amp;utm_content=saletructiep_Trungtamhocielts_PTAGTTD_LD258&amp;utm_campaign=ALL.ielts.tienganh_Patado_SEA_HoaNT_140126</v>
      </c>
      <c r="U179" s="116"/>
    </row>
    <row r="180">
      <c r="A180" s="72">
        <v>46036.0</v>
      </c>
      <c r="B180" s="60" t="s">
        <v>2720</v>
      </c>
      <c r="C180" s="67" t="str">
        <f>IFERROR(__xludf.DUMMYFUNCTION("""COMPUTED_VALUE"""),"LD258")</f>
        <v>LD258</v>
      </c>
      <c r="D180" s="55" t="s">
        <v>188</v>
      </c>
      <c r="E180" s="55" t="s">
        <v>193</v>
      </c>
      <c r="F180" s="55" t="s">
        <v>539</v>
      </c>
      <c r="G180" s="55">
        <v>1855.0</v>
      </c>
      <c r="H180" s="55" t="s">
        <v>1261</v>
      </c>
      <c r="I180" s="115" t="s">
        <v>2722</v>
      </c>
      <c r="J180" s="142" t="s">
        <v>2766</v>
      </c>
      <c r="K180" s="55" t="s">
        <v>61</v>
      </c>
      <c r="L180" s="55" t="s">
        <v>1130</v>
      </c>
      <c r="M180" s="55" t="s">
        <v>78</v>
      </c>
      <c r="N180" s="55" t="s">
        <v>193</v>
      </c>
      <c r="O180" s="55" t="s">
        <v>1768</v>
      </c>
      <c r="P180" s="55" t="s">
        <v>110</v>
      </c>
      <c r="Q180" s="67" t="str">
        <f>IFERROR(__xludf.DUMMYFUNCTION("""COMPUTED_VALUE"""),"ALL.ielts.tienganh_Patado_SEA_HoaNT_140126")</f>
        <v>ALL.ielts.tienganh_Patado_SEA_HoaNT_140126</v>
      </c>
      <c r="R180" s="67" t="str">
        <f>IFERROR(__xludf.DUMMYFUNCTION("""COMPUTED_VALUE"""),"NEW_ALL_1855_none_140126")</f>
        <v>NEW_ALL_1855_none_140126</v>
      </c>
      <c r="S180" s="67" t="str">
        <f>IFERROR(__xludf.DUMMYFUNCTION("""COMPUTED_VALUE"""),"saletructiep_Trungtamielts_PTAGTTD_LD258")</f>
        <v>saletructiep_Trungtamielts_PTAGTTD_LD258</v>
      </c>
      <c r="T180" s="107" t="str">
        <f>IFERROR(__xludf.DUMMYFUNCTION("""COMPUTED_VALUE"""),"https://patadovietnam.edu.vn/khoa-hoc-ielts-patado/?utm_source=Google&amp;utm_medium=SEA&amp;utm_term=NEW_ALL_1855_none_140126&amp;utm_content=saletructiep_Trungtamielts_PTAGTTD_LD258&amp;utm_campaign=ALL.ielts.tienganh_Patado_SEA_HoaNT_140126")</f>
        <v>https://patadovietnam.edu.vn/khoa-hoc-ielts-patado/?utm_source=Google&amp;utm_medium=SEA&amp;utm_term=NEW_ALL_1855_none_140126&amp;utm_content=saletructiep_Trungtamielts_PTAGTTD_LD258&amp;utm_campaign=ALL.ielts.tienganh_Patado_SEA_HoaNT_140126</v>
      </c>
      <c r="U180" s="116"/>
    </row>
    <row r="181">
      <c r="A181" s="72">
        <v>46037.0</v>
      </c>
      <c r="B181" s="153" t="s">
        <v>2770</v>
      </c>
      <c r="C181" s="67" t="str">
        <f>IFERROR(__xludf.DUMMYFUNCTION("""COMPUTED_VALUE"""),"LD259")</f>
        <v>LD259</v>
      </c>
      <c r="D181" s="55" t="s">
        <v>188</v>
      </c>
      <c r="E181" s="55" t="s">
        <v>193</v>
      </c>
      <c r="F181" s="55" t="s">
        <v>625</v>
      </c>
      <c r="G181" s="55" t="s">
        <v>61</v>
      </c>
      <c r="H181" s="55" t="s">
        <v>1261</v>
      </c>
      <c r="I181" s="115" t="s">
        <v>2772</v>
      </c>
      <c r="J181" s="154" t="s">
        <v>2448</v>
      </c>
      <c r="K181" s="55" t="s">
        <v>61</v>
      </c>
      <c r="L181" s="55" t="s">
        <v>1130</v>
      </c>
      <c r="M181" s="55" t="s">
        <v>78</v>
      </c>
      <c r="N181" s="55" t="s">
        <v>193</v>
      </c>
      <c r="O181" s="55" t="s">
        <v>1768</v>
      </c>
      <c r="P181" s="55" t="s">
        <v>110</v>
      </c>
      <c r="Q181" s="67" t="str">
        <f>IFERROR(__xludf.DUMMYFUNCTION("""COMPUTED_VALUE"""),"KoreaSouth.giaotiep.tienganh_Patado_SEA_HoaNT_150126")</f>
        <v>KoreaSouth.giaotiep.tienganh_Patado_SEA_HoaNT_150126</v>
      </c>
      <c r="R181" s="67" t="str">
        <f>IFERROR(__xludf.DUMMYFUNCTION("""COMPUTED_VALUE"""),"NEW_KoreaSouth_none_none_150126")</f>
        <v>NEW_KoreaSouth_none_none_150126</v>
      </c>
      <c r="S181" s="67" t="str">
        <f>IFERROR(__xludf.DUMMYFUNCTION("""COMPUTED_VALUE"""),"saletructiep_Hoctienganh_PTAGTTD_LD259")</f>
        <v>saletructiep_Hoctienganh_PTAGTTD_LD259</v>
      </c>
      <c r="T181" s="107" t="str">
        <f>IFERROR(__xludf.DUMMYFUNCTION("""COMPUTED_VALUE"""),"https://patadovietnam.edu.vn/khoa-giao-tiep-cho-nguoi-viet-tai-han-quoc/?utm_source=Google&amp;utm_medium=SEA&amp;utm_term=NEW_KoreaSouth_none_none_150126&amp;utm_content=saletructiep_Hoctienganh_PTAGTTD_LD259&amp;utm_campaign=KoreaSouth.giaotiep.tienganh_Patado_SEA_HoaN"&amp;"T_150126")</f>
        <v>https://patadovietnam.edu.vn/khoa-giao-tiep-cho-nguoi-viet-tai-han-quoc/?utm_source=Google&amp;utm_medium=SEA&amp;utm_term=NEW_KoreaSouth_none_none_150126&amp;utm_content=saletructiep_Hoctienganh_PTAGTTD_LD259&amp;utm_campaign=KoreaSouth.giaotiep.tienganh_Patado_SEA_HoaNT_150126</v>
      </c>
      <c r="U181" s="116"/>
    </row>
    <row r="182">
      <c r="A182" s="72">
        <v>46037.0</v>
      </c>
      <c r="B182" s="60" t="s">
        <v>2770</v>
      </c>
      <c r="C182" s="67" t="str">
        <f>IFERROR(__xludf.DUMMYFUNCTION("""COMPUTED_VALUE"""),"LD259")</f>
        <v>LD259</v>
      </c>
      <c r="D182" s="55" t="s">
        <v>188</v>
      </c>
      <c r="E182" s="55" t="s">
        <v>193</v>
      </c>
      <c r="F182" s="55" t="s">
        <v>625</v>
      </c>
      <c r="G182" s="55" t="s">
        <v>61</v>
      </c>
      <c r="H182" s="55" t="s">
        <v>1261</v>
      </c>
      <c r="I182" s="115" t="s">
        <v>2772</v>
      </c>
      <c r="J182" s="155" t="s">
        <v>2455</v>
      </c>
      <c r="K182" s="55" t="s">
        <v>61</v>
      </c>
      <c r="L182" s="55" t="s">
        <v>1130</v>
      </c>
      <c r="M182" s="55" t="s">
        <v>78</v>
      </c>
      <c r="N182" s="55" t="s">
        <v>193</v>
      </c>
      <c r="O182" s="55" t="s">
        <v>1768</v>
      </c>
      <c r="P182" s="55" t="s">
        <v>110</v>
      </c>
      <c r="Q182" s="67" t="str">
        <f>IFERROR(__xludf.DUMMYFUNCTION("""COMPUTED_VALUE"""),"KoreaSouth.giaotiep.tienganh_Patado_SEA_HoaNT_150126")</f>
        <v>KoreaSouth.giaotiep.tienganh_Patado_SEA_HoaNT_150126</v>
      </c>
      <c r="R182" s="67" t="str">
        <f>IFERROR(__xludf.DUMMYFUNCTION("""COMPUTED_VALUE"""),"NEW_KoreaSouth_none_none_150126")</f>
        <v>NEW_KoreaSouth_none_none_150126</v>
      </c>
      <c r="S182" s="67" t="str">
        <f>IFERROR(__xludf.DUMMYFUNCTION("""COMPUTED_VALUE"""),"saletructiep_Hoctienganh11_PTAGTTD_LD259")</f>
        <v>saletructiep_Hoctienganh11_PTAGTTD_LD259</v>
      </c>
      <c r="T182" s="107" t="str">
        <f>IFERROR(__xludf.DUMMYFUNCTION("""COMPUTED_VALUE"""),"https://patadovietnam.edu.vn/khoa-giao-tiep-cho-nguoi-viet-tai-han-quoc/?utm_source=Google&amp;utm_medium=SEA&amp;utm_term=NEW_KoreaSouth_none_none_150126&amp;utm_content=saletructiep_Hoctienganh11_PTAGTTD_LD259&amp;utm_campaign=KoreaSouth.giaotiep.tienganh_Patado_SEA_Ho"&amp;"aNT_150126")</f>
        <v>https://patadovietnam.edu.vn/khoa-giao-tiep-cho-nguoi-viet-tai-han-quoc/?utm_source=Google&amp;utm_medium=SEA&amp;utm_term=NEW_KoreaSouth_none_none_150126&amp;utm_content=saletructiep_Hoctienganh11_PTAGTTD_LD259&amp;utm_campaign=KoreaSouth.giaotiep.tienganh_Patado_SEA_HoaNT_150126</v>
      </c>
      <c r="U182" s="116"/>
    </row>
    <row r="183">
      <c r="A183" s="72">
        <v>46037.0</v>
      </c>
      <c r="B183" s="60" t="s">
        <v>2770</v>
      </c>
      <c r="C183" s="67" t="str">
        <f>IFERROR(__xludf.DUMMYFUNCTION("""COMPUTED_VALUE"""),"LD259")</f>
        <v>LD259</v>
      </c>
      <c r="D183" s="55" t="s">
        <v>188</v>
      </c>
      <c r="E183" s="55" t="s">
        <v>193</v>
      </c>
      <c r="F183" s="55" t="s">
        <v>625</v>
      </c>
      <c r="G183" s="55" t="s">
        <v>61</v>
      </c>
      <c r="H183" s="55" t="s">
        <v>1261</v>
      </c>
      <c r="I183" s="115" t="s">
        <v>2772</v>
      </c>
      <c r="J183" s="149" t="s">
        <v>2462</v>
      </c>
      <c r="K183" s="55" t="s">
        <v>61</v>
      </c>
      <c r="L183" s="55" t="s">
        <v>1130</v>
      </c>
      <c r="M183" s="55" t="s">
        <v>78</v>
      </c>
      <c r="N183" s="55" t="s">
        <v>193</v>
      </c>
      <c r="O183" s="55" t="s">
        <v>1768</v>
      </c>
      <c r="P183" s="55" t="s">
        <v>110</v>
      </c>
      <c r="Q183" s="67" t="str">
        <f>IFERROR(__xludf.DUMMYFUNCTION("""COMPUTED_VALUE"""),"KoreaSouth.giaotiep.tienganh_Patado_SEA_HoaNT_150126")</f>
        <v>KoreaSouth.giaotiep.tienganh_Patado_SEA_HoaNT_150126</v>
      </c>
      <c r="R183" s="67" t="str">
        <f>IFERROR(__xludf.DUMMYFUNCTION("""COMPUTED_VALUE"""),"NEW_KoreaSouth_none_none_150126")</f>
        <v>NEW_KoreaSouth_none_none_150126</v>
      </c>
      <c r="S183" s="67" t="str">
        <f>IFERROR(__xludf.DUMMYFUNCTION("""COMPUTED_VALUE"""),"saletructiep_Tienganhtructuyen_PTAGTTD_LD259")</f>
        <v>saletructiep_Tienganhtructuyen_PTAGTTD_LD259</v>
      </c>
      <c r="T183" s="107" t="str">
        <f>IFERROR(__xludf.DUMMYFUNCTION("""COMPUTED_VALUE"""),"https://patadovietnam.edu.vn/khoa-giao-tiep-cho-nguoi-viet-tai-han-quoc/?utm_source=Google&amp;utm_medium=SEA&amp;utm_term=NEW_KoreaSouth_none_none_150126&amp;utm_content=saletructiep_Tienganhtructuyen_PTAGTTD_LD259&amp;utm_campaign=KoreaSouth.giaotiep.tienganh_Patado_SE"&amp;"A_HoaNT_150126")</f>
        <v>https://patadovietnam.edu.vn/khoa-giao-tiep-cho-nguoi-viet-tai-han-quoc/?utm_source=Google&amp;utm_medium=SEA&amp;utm_term=NEW_KoreaSouth_none_none_150126&amp;utm_content=saletructiep_Tienganhtructuyen_PTAGTTD_LD259&amp;utm_campaign=KoreaSouth.giaotiep.tienganh_Patado_SEA_HoaNT_150126</v>
      </c>
      <c r="U183" s="116"/>
    </row>
    <row r="184">
      <c r="A184" s="72">
        <v>46037.0</v>
      </c>
      <c r="B184" s="60" t="s">
        <v>2770</v>
      </c>
      <c r="C184" s="67" t="str">
        <f>IFERROR(__xludf.DUMMYFUNCTION("""COMPUTED_VALUE"""),"LD259")</f>
        <v>LD259</v>
      </c>
      <c r="D184" s="55" t="s">
        <v>188</v>
      </c>
      <c r="E184" s="55" t="s">
        <v>193</v>
      </c>
      <c r="F184" s="55" t="s">
        <v>625</v>
      </c>
      <c r="G184" s="55" t="s">
        <v>61</v>
      </c>
      <c r="H184" s="55" t="s">
        <v>1261</v>
      </c>
      <c r="I184" s="115" t="s">
        <v>2772</v>
      </c>
      <c r="J184" s="142" t="s">
        <v>2471</v>
      </c>
      <c r="K184" s="55" t="s">
        <v>61</v>
      </c>
      <c r="L184" s="55" t="s">
        <v>1130</v>
      </c>
      <c r="M184" s="55" t="s">
        <v>78</v>
      </c>
      <c r="N184" s="55" t="s">
        <v>193</v>
      </c>
      <c r="O184" s="55" t="s">
        <v>1768</v>
      </c>
      <c r="P184" s="55" t="s">
        <v>110</v>
      </c>
      <c r="Q184" s="67" t="str">
        <f>IFERROR(__xludf.DUMMYFUNCTION("""COMPUTED_VALUE"""),"KoreaSouth.giaotiep.tienganh_Patado_SEA_HoaNT_150126")</f>
        <v>KoreaSouth.giaotiep.tienganh_Patado_SEA_HoaNT_150126</v>
      </c>
      <c r="R184" s="67" t="str">
        <f>IFERROR(__xludf.DUMMYFUNCTION("""COMPUTED_VALUE"""),"NEW_KoreaSouth_none_none_150126")</f>
        <v>NEW_KoreaSouth_none_none_150126</v>
      </c>
      <c r="S184" s="67" t="str">
        <f>IFERROR(__xludf.DUMMYFUNCTION("""COMPUTED_VALUE"""),"saletructiep_Tienganhquamang_PTAGTTD_LD259")</f>
        <v>saletructiep_Tienganhquamang_PTAGTTD_LD259</v>
      </c>
      <c r="T184" s="107" t="str">
        <f>IFERROR(__xludf.DUMMYFUNCTION("""COMPUTED_VALUE"""),"https://patadovietnam.edu.vn/khoa-giao-tiep-cho-nguoi-viet-tai-han-quoc/?utm_source=Google&amp;utm_medium=SEA&amp;utm_term=NEW_KoreaSouth_none_none_150126&amp;utm_content=saletructiep_Tienganhquamang_PTAGTTD_LD259&amp;utm_campaign=KoreaSouth.giaotiep.tienganh_Patado_SEA_"&amp;"HoaNT_150126")</f>
        <v>https://patadovietnam.edu.vn/khoa-giao-tiep-cho-nguoi-viet-tai-han-quoc/?utm_source=Google&amp;utm_medium=SEA&amp;utm_term=NEW_KoreaSouth_none_none_150126&amp;utm_content=saletructiep_Tienganhquamang_PTAGTTD_LD259&amp;utm_campaign=KoreaSouth.giaotiep.tienganh_Patado_SEA_HoaNT_150126</v>
      </c>
      <c r="U184" s="116"/>
    </row>
    <row r="185">
      <c r="A185" s="72">
        <v>46037.0</v>
      </c>
      <c r="B185" s="60" t="s">
        <v>2770</v>
      </c>
      <c r="C185" s="67" t="str">
        <f>IFERROR(__xludf.DUMMYFUNCTION("""COMPUTED_VALUE"""),"LD259")</f>
        <v>LD259</v>
      </c>
      <c r="D185" s="55" t="s">
        <v>188</v>
      </c>
      <c r="E185" s="55" t="s">
        <v>193</v>
      </c>
      <c r="F185" s="55" t="s">
        <v>625</v>
      </c>
      <c r="G185" s="55" t="s">
        <v>61</v>
      </c>
      <c r="H185" s="55" t="s">
        <v>1261</v>
      </c>
      <c r="I185" s="115" t="s">
        <v>2772</v>
      </c>
      <c r="J185" s="142" t="s">
        <v>2476</v>
      </c>
      <c r="K185" s="55" t="s">
        <v>61</v>
      </c>
      <c r="L185" s="55" t="s">
        <v>1130</v>
      </c>
      <c r="M185" s="55" t="s">
        <v>78</v>
      </c>
      <c r="N185" s="55" t="s">
        <v>193</v>
      </c>
      <c r="O185" s="55" t="s">
        <v>1768</v>
      </c>
      <c r="P185" s="55" t="s">
        <v>110</v>
      </c>
      <c r="Q185" s="67" t="str">
        <f>IFERROR(__xludf.DUMMYFUNCTION("""COMPUTED_VALUE"""),"KoreaSouth.giaotiep.tienganh_Patado_SEA_HoaNT_150126")</f>
        <v>KoreaSouth.giaotiep.tienganh_Patado_SEA_HoaNT_150126</v>
      </c>
      <c r="R185" s="67" t="str">
        <f>IFERROR(__xludf.DUMMYFUNCTION("""COMPUTED_VALUE"""),"NEW_KoreaSouth_none_none_150126")</f>
        <v>NEW_KoreaSouth_none_none_150126</v>
      </c>
      <c r="S185" s="67" t="str">
        <f>IFERROR(__xludf.DUMMYFUNCTION("""COMPUTED_VALUE"""),"saletructiep_Tienganhonline_PTAGTTD_LD259")</f>
        <v>saletructiep_Tienganhonline_PTAGTTD_LD259</v>
      </c>
      <c r="T185" s="107" t="str">
        <f>IFERROR(__xludf.DUMMYFUNCTION("""COMPUTED_VALUE"""),"https://patadovietnam.edu.vn/khoa-giao-tiep-cho-nguoi-viet-tai-han-quoc/?utm_source=Google&amp;utm_medium=SEA&amp;utm_term=NEW_KoreaSouth_none_none_150126&amp;utm_content=saletructiep_Tienganhonline_PTAGTTD_LD259&amp;utm_campaign=KoreaSouth.giaotiep.tienganh_Patado_SEA_H"&amp;"oaNT_150126")</f>
        <v>https://patadovietnam.edu.vn/khoa-giao-tiep-cho-nguoi-viet-tai-han-quoc/?utm_source=Google&amp;utm_medium=SEA&amp;utm_term=NEW_KoreaSouth_none_none_150126&amp;utm_content=saletructiep_Tienganhonline_PTAGTTD_LD259&amp;utm_campaign=KoreaSouth.giaotiep.tienganh_Patado_SEA_HoaNT_150126</v>
      </c>
      <c r="U185" s="116"/>
    </row>
    <row r="186">
      <c r="A186" s="72">
        <v>46037.0</v>
      </c>
      <c r="B186" s="60" t="s">
        <v>2770</v>
      </c>
      <c r="C186" s="67" t="str">
        <f>IFERROR(__xludf.DUMMYFUNCTION("""COMPUTED_VALUE"""),"LD259")</f>
        <v>LD259</v>
      </c>
      <c r="D186" s="55" t="s">
        <v>188</v>
      </c>
      <c r="E186" s="55" t="s">
        <v>193</v>
      </c>
      <c r="F186" s="55" t="s">
        <v>625</v>
      </c>
      <c r="G186" s="55" t="s">
        <v>61</v>
      </c>
      <c r="H186" s="55" t="s">
        <v>1261</v>
      </c>
      <c r="I186" s="115" t="s">
        <v>2772</v>
      </c>
      <c r="J186" s="142" t="s">
        <v>2482</v>
      </c>
      <c r="K186" s="55" t="s">
        <v>61</v>
      </c>
      <c r="L186" s="55" t="s">
        <v>1130</v>
      </c>
      <c r="M186" s="55" t="s">
        <v>78</v>
      </c>
      <c r="N186" s="55" t="s">
        <v>193</v>
      </c>
      <c r="O186" s="55" t="s">
        <v>1768</v>
      </c>
      <c r="P186" s="55" t="s">
        <v>110</v>
      </c>
      <c r="Q186" s="67" t="str">
        <f>IFERROR(__xludf.DUMMYFUNCTION("""COMPUTED_VALUE"""),"KoreaSouth.giaotiep.tienganh_Patado_SEA_HoaNT_150126")</f>
        <v>KoreaSouth.giaotiep.tienganh_Patado_SEA_HoaNT_150126</v>
      </c>
      <c r="R186" s="67" t="str">
        <f>IFERROR(__xludf.DUMMYFUNCTION("""COMPUTED_VALUE"""),"NEW_KoreaSouth_none_none_150126")</f>
        <v>NEW_KoreaSouth_none_none_150126</v>
      </c>
      <c r="S186" s="67" t="str">
        <f>IFERROR(__xludf.DUMMYFUNCTION("""COMPUTED_VALUE"""),"saletructiep_Tienganhonline11_PTAGTTD_LD259")</f>
        <v>saletructiep_Tienganhonline11_PTAGTTD_LD259</v>
      </c>
      <c r="T186" s="107" t="str">
        <f>IFERROR(__xludf.DUMMYFUNCTION("""COMPUTED_VALUE"""),"https://patadovietnam.edu.vn/khoa-giao-tiep-cho-nguoi-viet-tai-han-quoc/?utm_source=Google&amp;utm_medium=SEA&amp;utm_term=NEW_KoreaSouth_none_none_150126&amp;utm_content=saletructiep_Tienganhonline11_PTAGTTD_LD259&amp;utm_campaign=KoreaSouth.giaotiep.tienganh_Patado_SEA"&amp;"_HoaNT_150126")</f>
        <v>https://patadovietnam.edu.vn/khoa-giao-tiep-cho-nguoi-viet-tai-han-quoc/?utm_source=Google&amp;utm_medium=SEA&amp;utm_term=NEW_KoreaSouth_none_none_150126&amp;utm_content=saletructiep_Tienganhonline11_PTAGTTD_LD259&amp;utm_campaign=KoreaSouth.giaotiep.tienganh_Patado_SEA_HoaNT_150126</v>
      </c>
      <c r="U186" s="116"/>
    </row>
    <row r="187">
      <c r="A187" s="72">
        <v>46037.0</v>
      </c>
      <c r="B187" s="153" t="s">
        <v>2770</v>
      </c>
      <c r="C187" s="67" t="str">
        <f>IFERROR(__xludf.DUMMYFUNCTION("""COMPUTED_VALUE"""),"LD259")</f>
        <v>LD259</v>
      </c>
      <c r="D187" s="55" t="s">
        <v>188</v>
      </c>
      <c r="E187" s="55" t="s">
        <v>193</v>
      </c>
      <c r="F187" s="55" t="s">
        <v>625</v>
      </c>
      <c r="G187" s="55" t="s">
        <v>61</v>
      </c>
      <c r="H187" s="55" t="s">
        <v>1261</v>
      </c>
      <c r="I187" s="115" t="s">
        <v>2772</v>
      </c>
      <c r="J187" s="142" t="s">
        <v>2486</v>
      </c>
      <c r="K187" s="55" t="s">
        <v>61</v>
      </c>
      <c r="L187" s="55" t="s">
        <v>1130</v>
      </c>
      <c r="M187" s="55" t="s">
        <v>78</v>
      </c>
      <c r="N187" s="55" t="s">
        <v>193</v>
      </c>
      <c r="O187" s="55" t="s">
        <v>1768</v>
      </c>
      <c r="P187" s="55" t="s">
        <v>110</v>
      </c>
      <c r="Q187" s="67" t="str">
        <f>IFERROR(__xludf.DUMMYFUNCTION("""COMPUTED_VALUE"""),"KoreaSouth.giaotiep.tienganh_Patado_SEA_HoaNT_150126")</f>
        <v>KoreaSouth.giaotiep.tienganh_Patado_SEA_HoaNT_150126</v>
      </c>
      <c r="R187" s="67" t="str">
        <f>IFERROR(__xludf.DUMMYFUNCTION("""COMPUTED_VALUE"""),"NEW_KoreaSouth_none_none_150126")</f>
        <v>NEW_KoreaSouth_none_none_150126</v>
      </c>
      <c r="S187" s="67" t="str">
        <f>IFERROR(__xludf.DUMMYFUNCTION("""COMPUTED_VALUE"""),"saletructiep_Hoconline_PTAGTTD_LD259")</f>
        <v>saletructiep_Hoconline_PTAGTTD_LD259</v>
      </c>
      <c r="T187" s="107" t="str">
        <f>IFERROR(__xludf.DUMMYFUNCTION("""COMPUTED_VALUE"""),"https://patadovietnam.edu.vn/khoa-giao-tiep-cho-nguoi-viet-tai-han-quoc/?utm_source=Google&amp;utm_medium=SEA&amp;utm_term=NEW_KoreaSouth_none_none_150126&amp;utm_content=saletructiep_Hoconline_PTAGTTD_LD259&amp;utm_campaign=KoreaSouth.giaotiep.tienganh_Patado_SEA_HoaNT_"&amp;"150126")</f>
        <v>https://patadovietnam.edu.vn/khoa-giao-tiep-cho-nguoi-viet-tai-han-quoc/?utm_source=Google&amp;utm_medium=SEA&amp;utm_term=NEW_KoreaSouth_none_none_150126&amp;utm_content=saletructiep_Hoconline_PTAGTTD_LD259&amp;utm_campaign=KoreaSouth.giaotiep.tienganh_Patado_SEA_HoaNT_150126</v>
      </c>
      <c r="U187" s="116"/>
    </row>
    <row r="188">
      <c r="A188" s="72">
        <v>46037.0</v>
      </c>
      <c r="B188" s="60" t="s">
        <v>2770</v>
      </c>
      <c r="C188" s="67" t="str">
        <f>IFERROR(__xludf.DUMMYFUNCTION("""COMPUTED_VALUE"""),"LD259")</f>
        <v>LD259</v>
      </c>
      <c r="D188" s="55" t="s">
        <v>188</v>
      </c>
      <c r="E188" s="55" t="s">
        <v>193</v>
      </c>
      <c r="F188" s="55" t="s">
        <v>625</v>
      </c>
      <c r="G188" s="55" t="s">
        <v>61</v>
      </c>
      <c r="H188" s="55" t="s">
        <v>1261</v>
      </c>
      <c r="I188" s="115" t="s">
        <v>2772</v>
      </c>
      <c r="J188" s="142" t="s">
        <v>2494</v>
      </c>
      <c r="K188" s="55" t="s">
        <v>61</v>
      </c>
      <c r="L188" s="55" t="s">
        <v>1130</v>
      </c>
      <c r="M188" s="55" t="s">
        <v>78</v>
      </c>
      <c r="N188" s="55" t="s">
        <v>193</v>
      </c>
      <c r="O188" s="55" t="s">
        <v>1768</v>
      </c>
      <c r="P188" s="55" t="s">
        <v>110</v>
      </c>
      <c r="Q188" s="67" t="str">
        <f>IFERROR(__xludf.DUMMYFUNCTION("""COMPUTED_VALUE"""),"KoreaSouth.giaotiep.tienganh_Patado_SEA_HoaNT_150126")</f>
        <v>KoreaSouth.giaotiep.tienganh_Patado_SEA_HoaNT_150126</v>
      </c>
      <c r="R188" s="67" t="str">
        <f>IFERROR(__xludf.DUMMYFUNCTION("""COMPUTED_VALUE"""),"NEW_KoreaSouth_none_none_150126")</f>
        <v>NEW_KoreaSouth_none_none_150126</v>
      </c>
      <c r="S188" s="67" t="str">
        <f>IFERROR(__xludf.DUMMYFUNCTION("""COMPUTED_VALUE"""),"saletructiep_Hoconline11_PTAGTTD_LD259")</f>
        <v>saletructiep_Hoconline11_PTAGTTD_LD259</v>
      </c>
      <c r="T188" s="107" t="str">
        <f>IFERROR(__xludf.DUMMYFUNCTION("""COMPUTED_VALUE"""),"https://patadovietnam.edu.vn/khoa-giao-tiep-cho-nguoi-viet-tai-han-quoc/?utm_source=Google&amp;utm_medium=SEA&amp;utm_term=NEW_KoreaSouth_none_none_150126&amp;utm_content=saletructiep_Hoconline11_PTAGTTD_LD259&amp;utm_campaign=KoreaSouth.giaotiep.tienganh_Patado_SEA_HoaN"&amp;"T_150126")</f>
        <v>https://patadovietnam.edu.vn/khoa-giao-tiep-cho-nguoi-viet-tai-han-quoc/?utm_source=Google&amp;utm_medium=SEA&amp;utm_term=NEW_KoreaSouth_none_none_150126&amp;utm_content=saletructiep_Hoconline11_PTAGTTD_LD259&amp;utm_campaign=KoreaSouth.giaotiep.tienganh_Patado_SEA_HoaNT_150126</v>
      </c>
      <c r="U188" s="116"/>
    </row>
    <row r="189">
      <c r="A189" s="72">
        <v>46037.0</v>
      </c>
      <c r="B189" s="60" t="s">
        <v>2770</v>
      </c>
      <c r="C189" s="67" t="str">
        <f>IFERROR(__xludf.DUMMYFUNCTION("""COMPUTED_VALUE"""),"LD259")</f>
        <v>LD259</v>
      </c>
      <c r="D189" s="55" t="s">
        <v>188</v>
      </c>
      <c r="E189" s="55" t="s">
        <v>193</v>
      </c>
      <c r="F189" s="55" t="s">
        <v>625</v>
      </c>
      <c r="G189" s="55" t="s">
        <v>61</v>
      </c>
      <c r="H189" s="55" t="s">
        <v>1261</v>
      </c>
      <c r="I189" s="115" t="s">
        <v>2772</v>
      </c>
      <c r="J189" s="142" t="s">
        <v>2501</v>
      </c>
      <c r="K189" s="55" t="s">
        <v>61</v>
      </c>
      <c r="L189" s="55" t="s">
        <v>1130</v>
      </c>
      <c r="M189" s="55" t="s">
        <v>78</v>
      </c>
      <c r="N189" s="55" t="s">
        <v>193</v>
      </c>
      <c r="O189" s="55" t="s">
        <v>1768</v>
      </c>
      <c r="P189" s="55" t="s">
        <v>110</v>
      </c>
      <c r="Q189" s="67" t="str">
        <f>IFERROR(__xludf.DUMMYFUNCTION("""COMPUTED_VALUE"""),"KoreaSouth.giaotiep.tienganh_Patado_SEA_HoaNT_150126")</f>
        <v>KoreaSouth.giaotiep.tienganh_Patado_SEA_HoaNT_150126</v>
      </c>
      <c r="R189" s="67" t="str">
        <f>IFERROR(__xludf.DUMMYFUNCTION("""COMPUTED_VALUE"""),"NEW_KoreaSouth_none_none_150126")</f>
        <v>NEW_KoreaSouth_none_none_150126</v>
      </c>
      <c r="S189" s="67" t="str">
        <f>IFERROR(__xludf.DUMMYFUNCTION("""COMPUTED_VALUE"""),"saletructiep_Hocgiaotieponline_PTAGTTD_LD259")</f>
        <v>saletructiep_Hocgiaotieponline_PTAGTTD_LD259</v>
      </c>
      <c r="T189" s="107" t="str">
        <f>IFERROR(__xludf.DUMMYFUNCTION("""COMPUTED_VALUE"""),"https://patadovietnam.edu.vn/khoa-giao-tiep-cho-nguoi-viet-tai-han-quoc/?utm_source=Google&amp;utm_medium=SEA&amp;utm_term=NEW_KoreaSouth_none_none_150126&amp;utm_content=saletructiep_Hocgiaotieponline_PTAGTTD_LD259&amp;utm_campaign=KoreaSouth.giaotiep.tienganh_Patado_SE"&amp;"A_HoaNT_150126")</f>
        <v>https://patadovietnam.edu.vn/khoa-giao-tiep-cho-nguoi-viet-tai-han-quoc/?utm_source=Google&amp;utm_medium=SEA&amp;utm_term=NEW_KoreaSouth_none_none_150126&amp;utm_content=saletructiep_Hocgiaotieponline_PTAGTTD_LD259&amp;utm_campaign=KoreaSouth.giaotiep.tienganh_Patado_SEA_HoaNT_150126</v>
      </c>
      <c r="U189" s="116"/>
    </row>
    <row r="190">
      <c r="A190" s="72">
        <v>46037.0</v>
      </c>
      <c r="B190" s="60" t="s">
        <v>2770</v>
      </c>
      <c r="C190" s="67" t="str">
        <f>IFERROR(__xludf.DUMMYFUNCTION("""COMPUTED_VALUE"""),"LD259")</f>
        <v>LD259</v>
      </c>
      <c r="D190" s="55" t="s">
        <v>188</v>
      </c>
      <c r="E190" s="55" t="s">
        <v>193</v>
      </c>
      <c r="F190" s="55" t="s">
        <v>625</v>
      </c>
      <c r="G190" s="55" t="s">
        <v>61</v>
      </c>
      <c r="H190" s="55" t="s">
        <v>1261</v>
      </c>
      <c r="I190" s="115" t="s">
        <v>2772</v>
      </c>
      <c r="J190" s="142" t="s">
        <v>2505</v>
      </c>
      <c r="K190" s="55" t="s">
        <v>61</v>
      </c>
      <c r="L190" s="55" t="s">
        <v>1130</v>
      </c>
      <c r="M190" s="55" t="s">
        <v>78</v>
      </c>
      <c r="N190" s="55" t="s">
        <v>193</v>
      </c>
      <c r="O190" s="55" t="s">
        <v>1768</v>
      </c>
      <c r="P190" s="55" t="s">
        <v>110</v>
      </c>
      <c r="Q190" s="67" t="str">
        <f>IFERROR(__xludf.DUMMYFUNCTION("""COMPUTED_VALUE"""),"KoreaSouth.giaotiep.tienganh_Patado_SEA_HoaNT_150126")</f>
        <v>KoreaSouth.giaotiep.tienganh_Patado_SEA_HoaNT_150126</v>
      </c>
      <c r="R190" s="67" t="str">
        <f>IFERROR(__xludf.DUMMYFUNCTION("""COMPUTED_VALUE"""),"NEW_KoreaSouth_none_none_150126")</f>
        <v>NEW_KoreaSouth_none_none_150126</v>
      </c>
      <c r="S190" s="67" t="str">
        <f>IFERROR(__xludf.DUMMYFUNCTION("""COMPUTED_VALUE"""),"saletructiep_Loponline_PTAGTTD_LD259")</f>
        <v>saletructiep_Loponline_PTAGTTD_LD259</v>
      </c>
      <c r="T190" s="107" t="str">
        <f>IFERROR(__xludf.DUMMYFUNCTION("""COMPUTED_VALUE"""),"https://patadovietnam.edu.vn/khoa-giao-tiep-cho-nguoi-viet-tai-han-quoc/?utm_source=Google&amp;utm_medium=SEA&amp;utm_term=NEW_KoreaSouth_none_none_150126&amp;utm_content=saletructiep_Loponline_PTAGTTD_LD259&amp;utm_campaign=KoreaSouth.giaotiep.tienganh_Patado_SEA_HoaNT_"&amp;"150126")</f>
        <v>https://patadovietnam.edu.vn/khoa-giao-tiep-cho-nguoi-viet-tai-han-quoc/?utm_source=Google&amp;utm_medium=SEA&amp;utm_term=NEW_KoreaSouth_none_none_150126&amp;utm_content=saletructiep_Loponline_PTAGTTD_LD259&amp;utm_campaign=KoreaSouth.giaotiep.tienganh_Patado_SEA_HoaNT_150126</v>
      </c>
      <c r="U190" s="116"/>
    </row>
    <row r="191">
      <c r="A191" s="72">
        <v>46037.0</v>
      </c>
      <c r="B191" s="60" t="s">
        <v>2770</v>
      </c>
      <c r="C191" s="67" t="str">
        <f>IFERROR(__xludf.DUMMYFUNCTION("""COMPUTED_VALUE"""),"LD259")</f>
        <v>LD259</v>
      </c>
      <c r="D191" s="55" t="s">
        <v>188</v>
      </c>
      <c r="E191" s="55" t="s">
        <v>193</v>
      </c>
      <c r="F191" s="55" t="s">
        <v>625</v>
      </c>
      <c r="G191" s="55" t="s">
        <v>61</v>
      </c>
      <c r="H191" s="55" t="s">
        <v>1261</v>
      </c>
      <c r="I191" s="115" t="s">
        <v>2772</v>
      </c>
      <c r="J191" s="157" t="s">
        <v>2510</v>
      </c>
      <c r="K191" s="55" t="s">
        <v>61</v>
      </c>
      <c r="L191" s="55" t="s">
        <v>1130</v>
      </c>
      <c r="M191" s="55" t="s">
        <v>78</v>
      </c>
      <c r="N191" s="55" t="s">
        <v>193</v>
      </c>
      <c r="O191" s="55" t="s">
        <v>1768</v>
      </c>
      <c r="P191" s="55" t="s">
        <v>110</v>
      </c>
      <c r="Q191" s="67" t="str">
        <f>IFERROR(__xludf.DUMMYFUNCTION("""COMPUTED_VALUE"""),"KoreaSouth.giaotiep.tienganh_Patado_SEA_HoaNT_150126")</f>
        <v>KoreaSouth.giaotiep.tienganh_Patado_SEA_HoaNT_150126</v>
      </c>
      <c r="R191" s="67" t="str">
        <f>IFERROR(__xludf.DUMMYFUNCTION("""COMPUTED_VALUE"""),"NEW_KoreaSouth_none_none_150126")</f>
        <v>NEW_KoreaSouth_none_none_150126</v>
      </c>
      <c r="S191" s="67" t="str">
        <f>IFERROR(__xludf.DUMMYFUNCTION("""COMPUTED_VALUE"""),"saletructiep_Khoagiaotieponline_PTAGTTD_LD259")</f>
        <v>saletructiep_Khoagiaotieponline_PTAGTTD_LD259</v>
      </c>
      <c r="T191" s="107" t="str">
        <f>IFERROR(__xludf.DUMMYFUNCTION("""COMPUTED_VALUE"""),"https://patadovietnam.edu.vn/khoa-giao-tiep-cho-nguoi-viet-tai-han-quoc/?utm_source=Google&amp;utm_medium=SEA&amp;utm_term=NEW_KoreaSouth_none_none_150126&amp;utm_content=saletructiep_Khoagiaotieponline_PTAGTTD_LD259&amp;utm_campaign=KoreaSouth.giaotiep.tienganh_Patado_S"&amp;"EA_HoaNT_150126")</f>
        <v>https://patadovietnam.edu.vn/khoa-giao-tiep-cho-nguoi-viet-tai-han-quoc/?utm_source=Google&amp;utm_medium=SEA&amp;utm_term=NEW_KoreaSouth_none_none_150126&amp;utm_content=saletructiep_Khoagiaotieponline_PTAGTTD_LD259&amp;utm_campaign=KoreaSouth.giaotiep.tienganh_Patado_SEA_HoaNT_150126</v>
      </c>
      <c r="U191" s="116"/>
    </row>
    <row r="192">
      <c r="A192" s="72">
        <v>46037.0</v>
      </c>
      <c r="B192" s="60" t="s">
        <v>2770</v>
      </c>
      <c r="C192" s="67" t="str">
        <f>IFERROR(__xludf.DUMMYFUNCTION("""COMPUTED_VALUE"""),"LD259")</f>
        <v>LD259</v>
      </c>
      <c r="D192" s="55" t="s">
        <v>188</v>
      </c>
      <c r="E192" s="55" t="s">
        <v>193</v>
      </c>
      <c r="F192" s="55" t="s">
        <v>625</v>
      </c>
      <c r="G192" s="55" t="s">
        <v>61</v>
      </c>
      <c r="H192" s="55" t="s">
        <v>1261</v>
      </c>
      <c r="I192" s="115" t="s">
        <v>2772</v>
      </c>
      <c r="J192" s="142" t="s">
        <v>2516</v>
      </c>
      <c r="K192" s="55" t="s">
        <v>61</v>
      </c>
      <c r="L192" s="55" t="s">
        <v>1130</v>
      </c>
      <c r="M192" s="55" t="s">
        <v>78</v>
      </c>
      <c r="N192" s="55" t="s">
        <v>193</v>
      </c>
      <c r="O192" s="55" t="s">
        <v>1768</v>
      </c>
      <c r="P192" s="55" t="s">
        <v>110</v>
      </c>
      <c r="Q192" s="67" t="str">
        <f>IFERROR(__xludf.DUMMYFUNCTION("""COMPUTED_VALUE"""),"KoreaSouth.giaotiep.tienganh_Patado_SEA_HoaNT_150126")</f>
        <v>KoreaSouth.giaotiep.tienganh_Patado_SEA_HoaNT_150126</v>
      </c>
      <c r="R192" s="67" t="str">
        <f>IFERROR(__xludf.DUMMYFUNCTION("""COMPUTED_VALUE"""),"NEW_KoreaSouth_none_none_150126")</f>
        <v>NEW_KoreaSouth_none_none_150126</v>
      </c>
      <c r="S192" s="67" t="str">
        <f>IFERROR(__xludf.DUMMYFUNCTION("""COMPUTED_VALUE"""),"saletructiep_Trungtamonline_PTAGTTD_LD259")</f>
        <v>saletructiep_Trungtamonline_PTAGTTD_LD259</v>
      </c>
      <c r="T192" s="107" t="str">
        <f>IFERROR(__xludf.DUMMYFUNCTION("""COMPUTED_VALUE"""),"https://patadovietnam.edu.vn/khoa-giao-tiep-cho-nguoi-viet-tai-han-quoc/?utm_source=Google&amp;utm_medium=SEA&amp;utm_term=NEW_KoreaSouth_none_none_150126&amp;utm_content=saletructiep_Trungtamonline_PTAGTTD_LD259&amp;utm_campaign=KoreaSouth.giaotiep.tienganh_Patado_SEA_H"&amp;"oaNT_150126")</f>
        <v>https://patadovietnam.edu.vn/khoa-giao-tiep-cho-nguoi-viet-tai-han-quoc/?utm_source=Google&amp;utm_medium=SEA&amp;utm_term=NEW_KoreaSouth_none_none_150126&amp;utm_content=saletructiep_Trungtamonline_PTAGTTD_LD259&amp;utm_campaign=KoreaSouth.giaotiep.tienganh_Patado_SEA_HoaNT_150126</v>
      </c>
      <c r="U192" s="116"/>
    </row>
    <row r="193">
      <c r="A193" s="72">
        <v>46037.0</v>
      </c>
      <c r="B193" s="153" t="s">
        <v>2770</v>
      </c>
      <c r="C193" s="67" t="str">
        <f>IFERROR(__xludf.DUMMYFUNCTION("""COMPUTED_VALUE"""),"LD259")</f>
        <v>LD259</v>
      </c>
      <c r="D193" s="55" t="s">
        <v>188</v>
      </c>
      <c r="E193" s="55" t="s">
        <v>193</v>
      </c>
      <c r="F193" s="55" t="s">
        <v>625</v>
      </c>
      <c r="G193" s="55" t="s">
        <v>61</v>
      </c>
      <c r="H193" s="55" t="s">
        <v>1261</v>
      </c>
      <c r="I193" s="115" t="s">
        <v>2772</v>
      </c>
      <c r="J193" s="142" t="s">
        <v>2527</v>
      </c>
      <c r="K193" s="55" t="s">
        <v>61</v>
      </c>
      <c r="L193" s="55" t="s">
        <v>1130</v>
      </c>
      <c r="M193" s="55" t="s">
        <v>78</v>
      </c>
      <c r="N193" s="55" t="s">
        <v>193</v>
      </c>
      <c r="O193" s="55" t="s">
        <v>1768</v>
      </c>
      <c r="P193" s="55" t="s">
        <v>110</v>
      </c>
      <c r="Q193" s="67" t="str">
        <f>IFERROR(__xludf.DUMMYFUNCTION("""COMPUTED_VALUE"""),"KoreaSouth.giaotiep.tienganh_Patado_SEA_HoaNT_150126")</f>
        <v>KoreaSouth.giaotiep.tienganh_Patado_SEA_HoaNT_150126</v>
      </c>
      <c r="R193" s="67" t="str">
        <f>IFERROR(__xludf.DUMMYFUNCTION("""COMPUTED_VALUE"""),"NEW_KoreaSouth_none_none_150126")</f>
        <v>NEW_KoreaSouth_none_none_150126</v>
      </c>
      <c r="S193" s="67" t="str">
        <f>IFERROR(__xludf.DUMMYFUNCTION("""COMPUTED_VALUE"""),"saletructiep_Trungtamhoconline_PTAGTTD_LD259")</f>
        <v>saletructiep_Trungtamhoconline_PTAGTTD_LD259</v>
      </c>
      <c r="T193" s="107" t="str">
        <f>IFERROR(__xludf.DUMMYFUNCTION("""COMPUTED_VALUE"""),"https://patadovietnam.edu.vn/khoa-giao-tiep-cho-nguoi-viet-tai-han-quoc/?utm_source=Google&amp;utm_medium=SEA&amp;utm_term=NEW_KoreaSouth_none_none_150126&amp;utm_content=saletructiep_Trungtamhoconline_PTAGTTD_LD259&amp;utm_campaign=KoreaSouth.giaotiep.tienganh_Patado_SE"&amp;"A_HoaNT_150126")</f>
        <v>https://patadovietnam.edu.vn/khoa-giao-tiep-cho-nguoi-viet-tai-han-quoc/?utm_source=Google&amp;utm_medium=SEA&amp;utm_term=NEW_KoreaSouth_none_none_150126&amp;utm_content=saletructiep_Trungtamhoconline_PTAGTTD_LD259&amp;utm_campaign=KoreaSouth.giaotiep.tienganh_Patado_SEA_HoaNT_150126</v>
      </c>
      <c r="U193" s="116"/>
    </row>
    <row r="194">
      <c r="A194" s="72">
        <v>46037.0</v>
      </c>
      <c r="B194" s="60" t="s">
        <v>2770</v>
      </c>
      <c r="C194" s="67" t="str">
        <f>IFERROR(__xludf.DUMMYFUNCTION("""COMPUTED_VALUE"""),"LD259")</f>
        <v>LD259</v>
      </c>
      <c r="D194" s="55" t="s">
        <v>188</v>
      </c>
      <c r="E194" s="55" t="s">
        <v>193</v>
      </c>
      <c r="F194" s="55" t="s">
        <v>625</v>
      </c>
      <c r="G194" s="55" t="s">
        <v>61</v>
      </c>
      <c r="H194" s="55" t="s">
        <v>1261</v>
      </c>
      <c r="I194" s="115" t="s">
        <v>2772</v>
      </c>
      <c r="J194" s="142" t="s">
        <v>2532</v>
      </c>
      <c r="K194" s="55" t="s">
        <v>61</v>
      </c>
      <c r="L194" s="55" t="s">
        <v>1130</v>
      </c>
      <c r="M194" s="55" t="s">
        <v>78</v>
      </c>
      <c r="N194" s="55" t="s">
        <v>193</v>
      </c>
      <c r="O194" s="55" t="s">
        <v>1768</v>
      </c>
      <c r="P194" s="55" t="s">
        <v>110</v>
      </c>
      <c r="Q194" s="67" t="str">
        <f>IFERROR(__xludf.DUMMYFUNCTION("""COMPUTED_VALUE"""),"KoreaSouth.giaotiep.tienganh_Patado_SEA_HoaNT_150126")</f>
        <v>KoreaSouth.giaotiep.tienganh_Patado_SEA_HoaNT_150126</v>
      </c>
      <c r="R194" s="67" t="str">
        <f>IFERROR(__xludf.DUMMYFUNCTION("""COMPUTED_VALUE"""),"NEW_KoreaSouth_none_none_150126")</f>
        <v>NEW_KoreaSouth_none_none_150126</v>
      </c>
      <c r="S194" s="67" t="str">
        <f>IFERROR(__xludf.DUMMYFUNCTION("""COMPUTED_VALUE"""),"saletructiep_Hocphionline_PTAGTTD_LD259")</f>
        <v>saletructiep_Hocphionline_PTAGTTD_LD259</v>
      </c>
      <c r="T194" s="107" t="str">
        <f>IFERROR(__xludf.DUMMYFUNCTION("""COMPUTED_VALUE"""),"https://patadovietnam.edu.vn/khoa-giao-tiep-cho-nguoi-viet-tai-han-quoc/?utm_source=Google&amp;utm_medium=SEA&amp;utm_term=NEW_KoreaSouth_none_none_150126&amp;utm_content=saletructiep_Hocphionline_PTAGTTD_LD259&amp;utm_campaign=KoreaSouth.giaotiep.tienganh_Patado_SEA_Hoa"&amp;"NT_150126")</f>
        <v>https://patadovietnam.edu.vn/khoa-giao-tiep-cho-nguoi-viet-tai-han-quoc/?utm_source=Google&amp;utm_medium=SEA&amp;utm_term=NEW_KoreaSouth_none_none_150126&amp;utm_content=saletructiep_Hocphionline_PTAGTTD_LD259&amp;utm_campaign=KoreaSouth.giaotiep.tienganh_Patado_SEA_HoaNT_150126</v>
      </c>
      <c r="U194" s="116"/>
    </row>
    <row r="195">
      <c r="A195" s="72">
        <v>46037.0</v>
      </c>
      <c r="B195" s="60" t="s">
        <v>2770</v>
      </c>
      <c r="C195" s="67" t="str">
        <f>IFERROR(__xludf.DUMMYFUNCTION("""COMPUTED_VALUE"""),"LD259")</f>
        <v>LD259</v>
      </c>
      <c r="D195" s="55" t="s">
        <v>188</v>
      </c>
      <c r="E195" s="55" t="s">
        <v>193</v>
      </c>
      <c r="F195" s="55" t="s">
        <v>625</v>
      </c>
      <c r="G195" s="55" t="s">
        <v>61</v>
      </c>
      <c r="H195" s="55" t="s">
        <v>1261</v>
      </c>
      <c r="I195" s="115" t="s">
        <v>2772</v>
      </c>
      <c r="J195" s="142" t="s">
        <v>2541</v>
      </c>
      <c r="K195" s="55" t="s">
        <v>61</v>
      </c>
      <c r="L195" s="55" t="s">
        <v>1130</v>
      </c>
      <c r="M195" s="55" t="s">
        <v>78</v>
      </c>
      <c r="N195" s="55" t="s">
        <v>193</v>
      </c>
      <c r="O195" s="55" t="s">
        <v>1768</v>
      </c>
      <c r="P195" s="55" t="s">
        <v>110</v>
      </c>
      <c r="Q195" s="67" t="str">
        <f>IFERROR(__xludf.DUMMYFUNCTION("""COMPUTED_VALUE"""),"KoreaSouth.giaotiep.tienganh_Patado_SEA_HoaNT_150126")</f>
        <v>KoreaSouth.giaotiep.tienganh_Patado_SEA_HoaNT_150126</v>
      </c>
      <c r="R195" s="67" t="str">
        <f>IFERROR(__xludf.DUMMYFUNCTION("""COMPUTED_VALUE"""),"NEW_KoreaSouth_none_none_150126")</f>
        <v>NEW_KoreaSouth_none_none_150126</v>
      </c>
      <c r="S195" s="67" t="str">
        <f>IFERROR(__xludf.DUMMYFUNCTION("""COMPUTED_VALUE"""),"saletructiep_Tienganhgiaotiep_PTAGTTD_LD259")</f>
        <v>saletructiep_Tienganhgiaotiep_PTAGTTD_LD259</v>
      </c>
      <c r="T195" s="107" t="str">
        <f>IFERROR(__xludf.DUMMYFUNCTION("""COMPUTED_VALUE"""),"https://patadovietnam.edu.vn/khoa-giao-tiep-cho-nguoi-viet-tai-han-quoc/?utm_source=Google&amp;utm_medium=SEA&amp;utm_term=NEW_KoreaSouth_none_none_150126&amp;utm_content=saletructiep_Tienganhgiaotiep_PTAGTTD_LD259&amp;utm_campaign=KoreaSouth.giaotiep.tienganh_Patado_SEA"&amp;"_HoaNT_150126")</f>
        <v>https://patadovietnam.edu.vn/khoa-giao-tiep-cho-nguoi-viet-tai-han-quoc/?utm_source=Google&amp;utm_medium=SEA&amp;utm_term=NEW_KoreaSouth_none_none_150126&amp;utm_content=saletructiep_Tienganhgiaotiep_PTAGTTD_LD259&amp;utm_campaign=KoreaSouth.giaotiep.tienganh_Patado_SEA_HoaNT_150126</v>
      </c>
      <c r="U195" s="116"/>
    </row>
    <row r="196">
      <c r="A196" s="72">
        <v>46037.0</v>
      </c>
      <c r="B196" s="60" t="s">
        <v>2770</v>
      </c>
      <c r="C196" s="67" t="str">
        <f>IFERROR(__xludf.DUMMYFUNCTION("""COMPUTED_VALUE"""),"LD259")</f>
        <v>LD259</v>
      </c>
      <c r="D196" s="55" t="s">
        <v>188</v>
      </c>
      <c r="E196" s="55" t="s">
        <v>193</v>
      </c>
      <c r="F196" s="55" t="s">
        <v>625</v>
      </c>
      <c r="G196" s="55" t="s">
        <v>61</v>
      </c>
      <c r="H196" s="55" t="s">
        <v>1261</v>
      </c>
      <c r="I196" s="115" t="s">
        <v>2772</v>
      </c>
      <c r="J196" s="143" t="s">
        <v>2546</v>
      </c>
      <c r="K196" s="55" t="s">
        <v>61</v>
      </c>
      <c r="L196" s="55" t="s">
        <v>1130</v>
      </c>
      <c r="M196" s="55" t="s">
        <v>78</v>
      </c>
      <c r="N196" s="55" t="s">
        <v>193</v>
      </c>
      <c r="O196" s="55" t="s">
        <v>1768</v>
      </c>
      <c r="P196" s="55" t="s">
        <v>110</v>
      </c>
      <c r="Q196" s="67" t="str">
        <f>IFERROR(__xludf.DUMMYFUNCTION("""COMPUTED_VALUE"""),"KoreaSouth.giaotiep.tienganh_Patado_SEA_HoaNT_150126")</f>
        <v>KoreaSouth.giaotiep.tienganh_Patado_SEA_HoaNT_150126</v>
      </c>
      <c r="R196" s="67" t="str">
        <f>IFERROR(__xludf.DUMMYFUNCTION("""COMPUTED_VALUE"""),"NEW_KoreaSouth_none_none_150126")</f>
        <v>NEW_KoreaSouth_none_none_150126</v>
      </c>
      <c r="S196" s="67" t="str">
        <f>IFERROR(__xludf.DUMMYFUNCTION("""COMPUTED_VALUE"""),"saletructiep_Tienganhgiaotiep11_PTAGTTD_LD259")</f>
        <v>saletructiep_Tienganhgiaotiep11_PTAGTTD_LD259</v>
      </c>
      <c r="T196" s="107" t="str">
        <f>IFERROR(__xludf.DUMMYFUNCTION("""COMPUTED_VALUE"""),"https://patadovietnam.edu.vn/khoa-giao-tiep-cho-nguoi-viet-tai-han-quoc/?utm_source=Google&amp;utm_medium=SEA&amp;utm_term=NEW_KoreaSouth_none_none_150126&amp;utm_content=saletructiep_Tienganhgiaotiep11_PTAGTTD_LD259&amp;utm_campaign=KoreaSouth.giaotiep.tienganh_Patado_S"&amp;"EA_HoaNT_150126")</f>
        <v>https://patadovietnam.edu.vn/khoa-giao-tiep-cho-nguoi-viet-tai-han-quoc/?utm_source=Google&amp;utm_medium=SEA&amp;utm_term=NEW_KoreaSouth_none_none_150126&amp;utm_content=saletructiep_Tienganhgiaotiep11_PTAGTTD_LD259&amp;utm_campaign=KoreaSouth.giaotiep.tienganh_Patado_SEA_HoaNT_150126</v>
      </c>
      <c r="U196" s="116"/>
    </row>
    <row r="197">
      <c r="A197" s="72">
        <v>46037.0</v>
      </c>
      <c r="B197" s="60" t="s">
        <v>2770</v>
      </c>
      <c r="C197" s="67" t="str">
        <f>IFERROR(__xludf.DUMMYFUNCTION("""COMPUTED_VALUE"""),"LD259")</f>
        <v>LD259</v>
      </c>
      <c r="D197" s="55" t="s">
        <v>188</v>
      </c>
      <c r="E197" s="55" t="s">
        <v>193</v>
      </c>
      <c r="F197" s="55" t="s">
        <v>625</v>
      </c>
      <c r="G197" s="55" t="s">
        <v>61</v>
      </c>
      <c r="H197" s="55" t="s">
        <v>1261</v>
      </c>
      <c r="I197" s="115" t="s">
        <v>2772</v>
      </c>
      <c r="J197" s="142" t="s">
        <v>2550</v>
      </c>
      <c r="K197" s="55" t="s">
        <v>61</v>
      </c>
      <c r="L197" s="55" t="s">
        <v>1130</v>
      </c>
      <c r="M197" s="55" t="s">
        <v>78</v>
      </c>
      <c r="N197" s="55" t="s">
        <v>193</v>
      </c>
      <c r="O197" s="55" t="s">
        <v>1768</v>
      </c>
      <c r="P197" s="55" t="s">
        <v>110</v>
      </c>
      <c r="Q197" s="67" t="str">
        <f>IFERROR(__xludf.DUMMYFUNCTION("""COMPUTED_VALUE"""),"KoreaSouth.giaotiep.tienganh_Patado_SEA_HoaNT_150126")</f>
        <v>KoreaSouth.giaotiep.tienganh_Patado_SEA_HoaNT_150126</v>
      </c>
      <c r="R197" s="67" t="str">
        <f>IFERROR(__xludf.DUMMYFUNCTION("""COMPUTED_VALUE"""),"NEW_KoreaSouth_none_none_150126")</f>
        <v>NEW_KoreaSouth_none_none_150126</v>
      </c>
      <c r="S197" s="67" t="str">
        <f>IFERROR(__xludf.DUMMYFUNCTION("""COMPUTED_VALUE"""),"saletructiep_Hoctienganhgiaotiep_PTAGTTD_LD259")</f>
        <v>saletructiep_Hoctienganhgiaotiep_PTAGTTD_LD259</v>
      </c>
      <c r="T197" s="107" t="str">
        <f>IFERROR(__xludf.DUMMYFUNCTION("""COMPUTED_VALUE"""),"https://patadovietnam.edu.vn/khoa-giao-tiep-cho-nguoi-viet-tai-han-quoc/?utm_source=Google&amp;utm_medium=SEA&amp;utm_term=NEW_KoreaSouth_none_none_150126&amp;utm_content=saletructiep_Hoctienganhgiaotiep_PTAGTTD_LD259&amp;utm_campaign=KoreaSouth.giaotiep.tienganh_Patado_"&amp;"SEA_HoaNT_150126")</f>
        <v>https://patadovietnam.edu.vn/khoa-giao-tiep-cho-nguoi-viet-tai-han-quoc/?utm_source=Google&amp;utm_medium=SEA&amp;utm_term=NEW_KoreaSouth_none_none_150126&amp;utm_content=saletructiep_Hoctienganhgiaotiep_PTAGTTD_LD259&amp;utm_campaign=KoreaSouth.giaotiep.tienganh_Patado_SEA_HoaNT_150126</v>
      </c>
      <c r="U197" s="116"/>
    </row>
    <row r="198">
      <c r="A198" s="72">
        <v>46037.0</v>
      </c>
      <c r="B198" s="60" t="s">
        <v>2770</v>
      </c>
      <c r="C198" s="67" t="str">
        <f>IFERROR(__xludf.DUMMYFUNCTION("""COMPUTED_VALUE"""),"LD259")</f>
        <v>LD259</v>
      </c>
      <c r="D198" s="55" t="s">
        <v>188</v>
      </c>
      <c r="E198" s="55" t="s">
        <v>193</v>
      </c>
      <c r="F198" s="55" t="s">
        <v>625</v>
      </c>
      <c r="G198" s="55" t="s">
        <v>61</v>
      </c>
      <c r="H198" s="55" t="s">
        <v>1261</v>
      </c>
      <c r="I198" s="115" t="s">
        <v>2772</v>
      </c>
      <c r="J198" s="142" t="s">
        <v>2555</v>
      </c>
      <c r="K198" s="55" t="s">
        <v>61</v>
      </c>
      <c r="L198" s="55" t="s">
        <v>1130</v>
      </c>
      <c r="M198" s="55" t="s">
        <v>78</v>
      </c>
      <c r="N198" s="55" t="s">
        <v>193</v>
      </c>
      <c r="O198" s="55" t="s">
        <v>1768</v>
      </c>
      <c r="P198" s="55" t="s">
        <v>110</v>
      </c>
      <c r="Q198" s="67" t="str">
        <f>IFERROR(__xludf.DUMMYFUNCTION("""COMPUTED_VALUE"""),"KoreaSouth.giaotiep.tienganh_Patado_SEA_HoaNT_150126")</f>
        <v>KoreaSouth.giaotiep.tienganh_Patado_SEA_HoaNT_150126</v>
      </c>
      <c r="R198" s="67" t="str">
        <f>IFERROR(__xludf.DUMMYFUNCTION("""COMPUTED_VALUE"""),"NEW_KoreaSouth_none_none_150126")</f>
        <v>NEW_KoreaSouth_none_none_150126</v>
      </c>
      <c r="S198" s="67" t="str">
        <f>IFERROR(__xludf.DUMMYFUNCTION("""COMPUTED_VALUE"""),"saletructiep_Hocgiaotiepcoban_PTAGTTD_LD259")</f>
        <v>saletructiep_Hocgiaotiepcoban_PTAGTTD_LD259</v>
      </c>
      <c r="T198" s="107" t="str">
        <f>IFERROR(__xludf.DUMMYFUNCTION("""COMPUTED_VALUE"""),"https://patadovietnam.edu.vn/khoa-giao-tiep-cho-nguoi-viet-tai-han-quoc/?utm_source=Google&amp;utm_medium=SEA&amp;utm_term=NEW_KoreaSouth_none_none_150126&amp;utm_content=saletructiep_Hocgiaotiepcoban_PTAGTTD_LD259&amp;utm_campaign=KoreaSouth.giaotiep.tienganh_Patado_SEA"&amp;"_HoaNT_150126")</f>
        <v>https://patadovietnam.edu.vn/khoa-giao-tiep-cho-nguoi-viet-tai-han-quoc/?utm_source=Google&amp;utm_medium=SEA&amp;utm_term=NEW_KoreaSouth_none_none_150126&amp;utm_content=saletructiep_Hocgiaotiepcoban_PTAGTTD_LD259&amp;utm_campaign=KoreaSouth.giaotiep.tienganh_Patado_SEA_HoaNT_150126</v>
      </c>
      <c r="U198" s="116"/>
    </row>
    <row r="199">
      <c r="A199" s="72">
        <v>46037.0</v>
      </c>
      <c r="B199" s="153" t="s">
        <v>2770</v>
      </c>
      <c r="C199" s="67" t="str">
        <f>IFERROR(__xludf.DUMMYFUNCTION("""COMPUTED_VALUE"""),"LD259")</f>
        <v>LD259</v>
      </c>
      <c r="D199" s="55" t="s">
        <v>188</v>
      </c>
      <c r="E199" s="55" t="s">
        <v>193</v>
      </c>
      <c r="F199" s="55" t="s">
        <v>625</v>
      </c>
      <c r="G199" s="55" t="s">
        <v>61</v>
      </c>
      <c r="H199" s="55" t="s">
        <v>1261</v>
      </c>
      <c r="I199" s="115" t="s">
        <v>2772</v>
      </c>
      <c r="J199" s="142" t="s">
        <v>2560</v>
      </c>
      <c r="K199" s="55" t="s">
        <v>61</v>
      </c>
      <c r="L199" s="55" t="s">
        <v>1130</v>
      </c>
      <c r="M199" s="55" t="s">
        <v>78</v>
      </c>
      <c r="N199" s="55" t="s">
        <v>193</v>
      </c>
      <c r="O199" s="55" t="s">
        <v>1768</v>
      </c>
      <c r="P199" s="55" t="s">
        <v>110</v>
      </c>
      <c r="Q199" s="67" t="str">
        <f>IFERROR(__xludf.DUMMYFUNCTION("""COMPUTED_VALUE"""),"KoreaSouth.giaotiep.tienganh_Patado_SEA_HoaNT_150126")</f>
        <v>KoreaSouth.giaotiep.tienganh_Patado_SEA_HoaNT_150126</v>
      </c>
      <c r="R199" s="67" t="str">
        <f>IFERROR(__xludf.DUMMYFUNCTION("""COMPUTED_VALUE"""),"NEW_KoreaSouth_none_none_150126")</f>
        <v>NEW_KoreaSouth_none_none_150126</v>
      </c>
      <c r="S199" s="67" t="str">
        <f>IFERROR(__xludf.DUMMYFUNCTION("""COMPUTED_VALUE"""),"saletructiep_Hocgiaotiepcaptoc_PTAGTTD_LD259")</f>
        <v>saletructiep_Hocgiaotiepcaptoc_PTAGTTD_LD259</v>
      </c>
      <c r="T199" s="107" t="str">
        <f>IFERROR(__xludf.DUMMYFUNCTION("""COMPUTED_VALUE"""),"https://patadovietnam.edu.vn/khoa-giao-tiep-cho-nguoi-viet-tai-han-quoc/?utm_source=Google&amp;utm_medium=SEA&amp;utm_term=NEW_KoreaSouth_none_none_150126&amp;utm_content=saletructiep_Hocgiaotiepcaptoc_PTAGTTD_LD259&amp;utm_campaign=KoreaSouth.giaotiep.tienganh_Patado_SE"&amp;"A_HoaNT_150126")</f>
        <v>https://patadovietnam.edu.vn/khoa-giao-tiep-cho-nguoi-viet-tai-han-quoc/?utm_source=Google&amp;utm_medium=SEA&amp;utm_term=NEW_KoreaSouth_none_none_150126&amp;utm_content=saletructiep_Hocgiaotiepcaptoc_PTAGTTD_LD259&amp;utm_campaign=KoreaSouth.giaotiep.tienganh_Patado_SEA_HoaNT_150126</v>
      </c>
      <c r="U199" s="116"/>
    </row>
    <row r="200">
      <c r="A200" s="72">
        <v>46037.0</v>
      </c>
      <c r="B200" s="60" t="s">
        <v>2770</v>
      </c>
      <c r="C200" s="67" t="str">
        <f>IFERROR(__xludf.DUMMYFUNCTION("""COMPUTED_VALUE"""),"LD259")</f>
        <v>LD259</v>
      </c>
      <c r="D200" s="55" t="s">
        <v>188</v>
      </c>
      <c r="E200" s="55" t="s">
        <v>193</v>
      </c>
      <c r="F200" s="55" t="s">
        <v>625</v>
      </c>
      <c r="G200" s="55" t="s">
        <v>61</v>
      </c>
      <c r="H200" s="55" t="s">
        <v>1261</v>
      </c>
      <c r="I200" s="115" t="s">
        <v>2772</v>
      </c>
      <c r="J200" s="142" t="s">
        <v>2569</v>
      </c>
      <c r="K200" s="55" t="s">
        <v>61</v>
      </c>
      <c r="L200" s="55" t="s">
        <v>1130</v>
      </c>
      <c r="M200" s="55" t="s">
        <v>78</v>
      </c>
      <c r="N200" s="55" t="s">
        <v>193</v>
      </c>
      <c r="O200" s="55" t="s">
        <v>1768</v>
      </c>
      <c r="P200" s="55" t="s">
        <v>110</v>
      </c>
      <c r="Q200" s="67" t="str">
        <f>IFERROR(__xludf.DUMMYFUNCTION("""COMPUTED_VALUE"""),"KoreaSouth.giaotiep.tienganh_Patado_SEA_HoaNT_150126")</f>
        <v>KoreaSouth.giaotiep.tienganh_Patado_SEA_HoaNT_150126</v>
      </c>
      <c r="R200" s="67" t="str">
        <f>IFERROR(__xludf.DUMMYFUNCTION("""COMPUTED_VALUE"""),"NEW_KoreaSouth_none_none_150126")</f>
        <v>NEW_KoreaSouth_none_none_150126</v>
      </c>
      <c r="S200" s="67" t="str">
        <f>IFERROR(__xludf.DUMMYFUNCTION("""COMPUTED_VALUE"""),"saletructiep_Dangkyhocgiaotiep_PTAGTTD_LD259")</f>
        <v>saletructiep_Dangkyhocgiaotiep_PTAGTTD_LD259</v>
      </c>
      <c r="T200" s="107" t="str">
        <f>IFERROR(__xludf.DUMMYFUNCTION("""COMPUTED_VALUE"""),"https://patadovietnam.edu.vn/khoa-giao-tiep-cho-nguoi-viet-tai-han-quoc/?utm_source=Google&amp;utm_medium=SEA&amp;utm_term=NEW_KoreaSouth_none_none_150126&amp;utm_content=saletructiep_Dangkyhocgiaotiep_PTAGTTD_LD259&amp;utm_campaign=KoreaSouth.giaotiep.tienganh_Patado_SE"&amp;"A_HoaNT_150126")</f>
        <v>https://patadovietnam.edu.vn/khoa-giao-tiep-cho-nguoi-viet-tai-han-quoc/?utm_source=Google&amp;utm_medium=SEA&amp;utm_term=NEW_KoreaSouth_none_none_150126&amp;utm_content=saletructiep_Dangkyhocgiaotiep_PTAGTTD_LD259&amp;utm_campaign=KoreaSouth.giaotiep.tienganh_Patado_SEA_HoaNT_150126</v>
      </c>
      <c r="U200" s="116"/>
    </row>
    <row r="201">
      <c r="A201" s="72">
        <v>46037.0</v>
      </c>
      <c r="B201" s="60" t="s">
        <v>2770</v>
      </c>
      <c r="C201" s="67" t="str">
        <f>IFERROR(__xludf.DUMMYFUNCTION("""COMPUTED_VALUE"""),"LD259")</f>
        <v>LD259</v>
      </c>
      <c r="D201" s="55" t="s">
        <v>188</v>
      </c>
      <c r="E201" s="55" t="s">
        <v>193</v>
      </c>
      <c r="F201" s="55" t="s">
        <v>625</v>
      </c>
      <c r="G201" s="55" t="s">
        <v>61</v>
      </c>
      <c r="H201" s="55" t="s">
        <v>1261</v>
      </c>
      <c r="I201" s="115" t="s">
        <v>2772</v>
      </c>
      <c r="J201" s="142" t="s">
        <v>2574</v>
      </c>
      <c r="K201" s="55" t="s">
        <v>61</v>
      </c>
      <c r="L201" s="55" t="s">
        <v>1130</v>
      </c>
      <c r="M201" s="55" t="s">
        <v>78</v>
      </c>
      <c r="N201" s="55" t="s">
        <v>193</v>
      </c>
      <c r="O201" s="55" t="s">
        <v>1768</v>
      </c>
      <c r="P201" s="55" t="s">
        <v>110</v>
      </c>
      <c r="Q201" s="67" t="str">
        <f>IFERROR(__xludf.DUMMYFUNCTION("""COMPUTED_VALUE"""),"KoreaSouth.giaotiep.tienganh_Patado_SEA_HoaNT_150126")</f>
        <v>KoreaSouth.giaotiep.tienganh_Patado_SEA_HoaNT_150126</v>
      </c>
      <c r="R201" s="67" t="str">
        <f>IFERROR(__xludf.DUMMYFUNCTION("""COMPUTED_VALUE"""),"NEW_KoreaSouth_none_none_150126")</f>
        <v>NEW_KoreaSouth_none_none_150126</v>
      </c>
      <c r="S201" s="67" t="str">
        <f>IFERROR(__xludf.DUMMYFUNCTION("""COMPUTED_VALUE"""),"saletructiep_Lotrinhgiaotiep_PTAGTTD_LD259")</f>
        <v>saletructiep_Lotrinhgiaotiep_PTAGTTD_LD259</v>
      </c>
      <c r="T201" s="107" t="str">
        <f>IFERROR(__xludf.DUMMYFUNCTION("""COMPUTED_VALUE"""),"https://patadovietnam.edu.vn/khoa-giao-tiep-cho-nguoi-viet-tai-han-quoc/?utm_source=Google&amp;utm_medium=SEA&amp;utm_term=NEW_KoreaSouth_none_none_150126&amp;utm_content=saletructiep_Lotrinhgiaotiep_PTAGTTD_LD259&amp;utm_campaign=KoreaSouth.giaotiep.tienganh_Patado_SEA_"&amp;"HoaNT_150126")</f>
        <v>https://patadovietnam.edu.vn/khoa-giao-tiep-cho-nguoi-viet-tai-han-quoc/?utm_source=Google&amp;utm_medium=SEA&amp;utm_term=NEW_KoreaSouth_none_none_150126&amp;utm_content=saletructiep_Lotrinhgiaotiep_PTAGTTD_LD259&amp;utm_campaign=KoreaSouth.giaotiep.tienganh_Patado_SEA_HoaNT_150126</v>
      </c>
      <c r="U201" s="116"/>
    </row>
    <row r="202">
      <c r="A202" s="72">
        <v>46037.0</v>
      </c>
      <c r="B202" s="60" t="s">
        <v>2770</v>
      </c>
      <c r="C202" s="67" t="str">
        <f>IFERROR(__xludf.DUMMYFUNCTION("""COMPUTED_VALUE"""),"LD259")</f>
        <v>LD259</v>
      </c>
      <c r="D202" s="55" t="s">
        <v>188</v>
      </c>
      <c r="E202" s="55" t="s">
        <v>193</v>
      </c>
      <c r="F202" s="55" t="s">
        <v>625</v>
      </c>
      <c r="G202" s="55" t="s">
        <v>61</v>
      </c>
      <c r="H202" s="55" t="s">
        <v>1261</v>
      </c>
      <c r="I202" s="115" t="s">
        <v>2772</v>
      </c>
      <c r="J202" s="143" t="s">
        <v>2580</v>
      </c>
      <c r="K202" s="55" t="s">
        <v>61</v>
      </c>
      <c r="L202" s="55" t="s">
        <v>1130</v>
      </c>
      <c r="M202" s="55" t="s">
        <v>78</v>
      </c>
      <c r="N202" s="55" t="s">
        <v>193</v>
      </c>
      <c r="O202" s="55" t="s">
        <v>1768</v>
      </c>
      <c r="P202" s="55" t="s">
        <v>110</v>
      </c>
      <c r="Q202" s="67" t="str">
        <f>IFERROR(__xludf.DUMMYFUNCTION("""COMPUTED_VALUE"""),"KoreaSouth.giaotiep.tienganh_Patado_SEA_HoaNT_150126")</f>
        <v>KoreaSouth.giaotiep.tienganh_Patado_SEA_HoaNT_150126</v>
      </c>
      <c r="R202" s="67" t="str">
        <f>IFERROR(__xludf.DUMMYFUNCTION("""COMPUTED_VALUE"""),"NEW_KoreaSouth_none_none_150126")</f>
        <v>NEW_KoreaSouth_none_none_150126</v>
      </c>
      <c r="S202" s="67" t="str">
        <f>IFERROR(__xludf.DUMMYFUNCTION("""COMPUTED_VALUE"""),"saletructiep_Lopgiaotiep_PTAGTTD_LD259")</f>
        <v>saletructiep_Lopgiaotiep_PTAGTTD_LD259</v>
      </c>
      <c r="T202" s="107" t="str">
        <f>IFERROR(__xludf.DUMMYFUNCTION("""COMPUTED_VALUE"""),"https://patadovietnam.edu.vn/khoa-giao-tiep-cho-nguoi-viet-tai-han-quoc/?utm_source=Google&amp;utm_medium=SEA&amp;utm_term=NEW_KoreaSouth_none_none_150126&amp;utm_content=saletructiep_Lopgiaotiep_PTAGTTD_LD259&amp;utm_campaign=KoreaSouth.giaotiep.tienganh_Patado_SEA_HoaN"&amp;"T_150126")</f>
        <v>https://patadovietnam.edu.vn/khoa-giao-tiep-cho-nguoi-viet-tai-han-quoc/?utm_source=Google&amp;utm_medium=SEA&amp;utm_term=NEW_KoreaSouth_none_none_150126&amp;utm_content=saletructiep_Lopgiaotiep_PTAGTTD_LD259&amp;utm_campaign=KoreaSouth.giaotiep.tienganh_Patado_SEA_HoaNT_150126</v>
      </c>
      <c r="U202" s="116"/>
    </row>
    <row r="203">
      <c r="A203" s="72">
        <v>46037.0</v>
      </c>
      <c r="B203" s="60" t="s">
        <v>2770</v>
      </c>
      <c r="C203" s="67" t="str">
        <f>IFERROR(__xludf.DUMMYFUNCTION("""COMPUTED_VALUE"""),"LD259")</f>
        <v>LD259</v>
      </c>
      <c r="D203" s="55" t="s">
        <v>188</v>
      </c>
      <c r="E203" s="55" t="s">
        <v>193</v>
      </c>
      <c r="F203" s="55" t="s">
        <v>625</v>
      </c>
      <c r="G203" s="55" t="s">
        <v>61</v>
      </c>
      <c r="H203" s="55" t="s">
        <v>1261</v>
      </c>
      <c r="I203" s="115" t="s">
        <v>2772</v>
      </c>
      <c r="J203" s="142" t="s">
        <v>2586</v>
      </c>
      <c r="K203" s="55" t="s">
        <v>61</v>
      </c>
      <c r="L203" s="55" t="s">
        <v>1130</v>
      </c>
      <c r="M203" s="55" t="s">
        <v>78</v>
      </c>
      <c r="N203" s="55" t="s">
        <v>193</v>
      </c>
      <c r="O203" s="55" t="s">
        <v>1768</v>
      </c>
      <c r="P203" s="55" t="s">
        <v>110</v>
      </c>
      <c r="Q203" s="67" t="str">
        <f>IFERROR(__xludf.DUMMYFUNCTION("""COMPUTED_VALUE"""),"KoreaSouth.giaotiep.tienganh_Patado_SEA_HoaNT_150126")</f>
        <v>KoreaSouth.giaotiep.tienganh_Patado_SEA_HoaNT_150126</v>
      </c>
      <c r="R203" s="67" t="str">
        <f>IFERROR(__xludf.DUMMYFUNCTION("""COMPUTED_VALUE"""),"NEW_KoreaSouth_none_none_150126")</f>
        <v>NEW_KoreaSouth_none_none_150126</v>
      </c>
      <c r="S203" s="67" t="str">
        <f>IFERROR(__xludf.DUMMYFUNCTION("""COMPUTED_VALUE"""),"saletructiep_Khoagiaotiep_PTAGTTD_LD259")</f>
        <v>saletructiep_Khoagiaotiep_PTAGTTD_LD259</v>
      </c>
      <c r="T203" s="107" t="str">
        <f>IFERROR(__xludf.DUMMYFUNCTION("""COMPUTED_VALUE"""),"https://patadovietnam.edu.vn/khoa-giao-tiep-cho-nguoi-viet-tai-han-quoc/?utm_source=Google&amp;utm_medium=SEA&amp;utm_term=NEW_KoreaSouth_none_none_150126&amp;utm_content=saletructiep_Khoagiaotiep_PTAGTTD_LD259&amp;utm_campaign=KoreaSouth.giaotiep.tienganh_Patado_SEA_Hoa"&amp;"NT_150126")</f>
        <v>https://patadovietnam.edu.vn/khoa-giao-tiep-cho-nguoi-viet-tai-han-quoc/?utm_source=Google&amp;utm_medium=SEA&amp;utm_term=NEW_KoreaSouth_none_none_150126&amp;utm_content=saletructiep_Khoagiaotiep_PTAGTTD_LD259&amp;utm_campaign=KoreaSouth.giaotiep.tienganh_Patado_SEA_HoaNT_150126</v>
      </c>
      <c r="U203" s="116"/>
    </row>
    <row r="204">
      <c r="A204" s="72">
        <v>46037.0</v>
      </c>
      <c r="B204" s="60" t="s">
        <v>2770</v>
      </c>
      <c r="C204" s="67" t="str">
        <f>IFERROR(__xludf.DUMMYFUNCTION("""COMPUTED_VALUE"""),"LD259")</f>
        <v>LD259</v>
      </c>
      <c r="D204" s="55" t="s">
        <v>188</v>
      </c>
      <c r="E204" s="55" t="s">
        <v>193</v>
      </c>
      <c r="F204" s="55" t="s">
        <v>625</v>
      </c>
      <c r="G204" s="55" t="s">
        <v>61</v>
      </c>
      <c r="H204" s="55" t="s">
        <v>1261</v>
      </c>
      <c r="I204" s="115" t="s">
        <v>2772</v>
      </c>
      <c r="J204" s="143" t="s">
        <v>2594</v>
      </c>
      <c r="K204" s="55" t="s">
        <v>61</v>
      </c>
      <c r="L204" s="55" t="s">
        <v>1130</v>
      </c>
      <c r="M204" s="55" t="s">
        <v>78</v>
      </c>
      <c r="N204" s="55" t="s">
        <v>193</v>
      </c>
      <c r="O204" s="55" t="s">
        <v>1768</v>
      </c>
      <c r="P204" s="55" t="s">
        <v>110</v>
      </c>
      <c r="Q204" s="67" t="str">
        <f>IFERROR(__xludf.DUMMYFUNCTION("""COMPUTED_VALUE"""),"KoreaSouth.giaotiep.tienganh_Patado_SEA_HoaNT_150126")</f>
        <v>KoreaSouth.giaotiep.tienganh_Patado_SEA_HoaNT_150126</v>
      </c>
      <c r="R204" s="67" t="str">
        <f>IFERROR(__xludf.DUMMYFUNCTION("""COMPUTED_VALUE"""),"NEW_KoreaSouth_none_none_150126")</f>
        <v>NEW_KoreaSouth_none_none_150126</v>
      </c>
      <c r="S204" s="67" t="str">
        <f>IFERROR(__xludf.DUMMYFUNCTION("""COMPUTED_VALUE"""),"saletructiep_Trungtamgiaotiep_PTAGTTD_LD259")</f>
        <v>saletructiep_Trungtamgiaotiep_PTAGTTD_LD259</v>
      </c>
      <c r="T204" s="107" t="str">
        <f>IFERROR(__xludf.DUMMYFUNCTION("""COMPUTED_VALUE"""),"https://patadovietnam.edu.vn/khoa-giao-tiep-cho-nguoi-viet-tai-han-quoc/?utm_source=Google&amp;utm_medium=SEA&amp;utm_term=NEW_KoreaSouth_none_none_150126&amp;utm_content=saletructiep_Trungtamgiaotiep_PTAGTTD_LD259&amp;utm_campaign=KoreaSouth.giaotiep.tienganh_Patado_SEA"&amp;"_HoaNT_150126")</f>
        <v>https://patadovietnam.edu.vn/khoa-giao-tiep-cho-nguoi-viet-tai-han-quoc/?utm_source=Google&amp;utm_medium=SEA&amp;utm_term=NEW_KoreaSouth_none_none_150126&amp;utm_content=saletructiep_Trungtamgiaotiep_PTAGTTD_LD259&amp;utm_campaign=KoreaSouth.giaotiep.tienganh_Patado_SEA_HoaNT_150126</v>
      </c>
      <c r="U204" s="116"/>
    </row>
    <row r="205">
      <c r="A205" s="72">
        <v>46037.0</v>
      </c>
      <c r="B205" s="153" t="s">
        <v>2770</v>
      </c>
      <c r="C205" s="67" t="str">
        <f>IFERROR(__xludf.DUMMYFUNCTION("""COMPUTED_VALUE"""),"LD259")</f>
        <v>LD259</v>
      </c>
      <c r="D205" s="55" t="s">
        <v>188</v>
      </c>
      <c r="E205" s="55" t="s">
        <v>193</v>
      </c>
      <c r="F205" s="55" t="s">
        <v>625</v>
      </c>
      <c r="G205" s="55" t="s">
        <v>61</v>
      </c>
      <c r="H205" s="55" t="s">
        <v>1261</v>
      </c>
      <c r="I205" s="115" t="s">
        <v>2772</v>
      </c>
      <c r="J205" s="142" t="s">
        <v>2600</v>
      </c>
      <c r="K205" s="55" t="s">
        <v>61</v>
      </c>
      <c r="L205" s="55" t="s">
        <v>1130</v>
      </c>
      <c r="M205" s="55" t="s">
        <v>78</v>
      </c>
      <c r="N205" s="55" t="s">
        <v>193</v>
      </c>
      <c r="O205" s="55" t="s">
        <v>1768</v>
      </c>
      <c r="P205" s="55" t="s">
        <v>110</v>
      </c>
      <c r="Q205" s="67" t="str">
        <f>IFERROR(__xludf.DUMMYFUNCTION("""COMPUTED_VALUE"""),"KoreaSouth.giaotiep.tienganh_Patado_SEA_HoaNT_150126")</f>
        <v>KoreaSouth.giaotiep.tienganh_Patado_SEA_HoaNT_150126</v>
      </c>
      <c r="R205" s="67" t="str">
        <f>IFERROR(__xludf.DUMMYFUNCTION("""COMPUTED_VALUE"""),"NEW_KoreaSouth_none_none_150126")</f>
        <v>NEW_KoreaSouth_none_none_150126</v>
      </c>
      <c r="S205" s="67" t="str">
        <f>IFERROR(__xludf.DUMMYFUNCTION("""COMPUTED_VALUE"""),"saletructiep_Hocphigiaotiep_PTAGTTD_LD259")</f>
        <v>saletructiep_Hocphigiaotiep_PTAGTTD_LD259</v>
      </c>
      <c r="T205" s="107" t="str">
        <f>IFERROR(__xludf.DUMMYFUNCTION("""COMPUTED_VALUE"""),"https://patadovietnam.edu.vn/khoa-giao-tiep-cho-nguoi-viet-tai-han-quoc/?utm_source=Google&amp;utm_medium=SEA&amp;utm_term=NEW_KoreaSouth_none_none_150126&amp;utm_content=saletructiep_Hocphigiaotiep_PTAGTTD_LD259&amp;utm_campaign=KoreaSouth.giaotiep.tienganh_Patado_SEA_H"&amp;"oaNT_150126")</f>
        <v>https://patadovietnam.edu.vn/khoa-giao-tiep-cho-nguoi-viet-tai-han-quoc/?utm_source=Google&amp;utm_medium=SEA&amp;utm_term=NEW_KoreaSouth_none_none_150126&amp;utm_content=saletructiep_Hocphigiaotiep_PTAGTTD_LD259&amp;utm_campaign=KoreaSouth.giaotiep.tienganh_Patado_SEA_HoaNT_150126</v>
      </c>
      <c r="U205" s="116"/>
    </row>
    <row r="206">
      <c r="A206" s="72">
        <v>46037.0</v>
      </c>
      <c r="B206" s="60" t="s">
        <v>2770</v>
      </c>
      <c r="C206" s="67" t="str">
        <f>IFERROR(__xludf.DUMMYFUNCTION("""COMPUTED_VALUE"""),"LD259")</f>
        <v>LD259</v>
      </c>
      <c r="D206" s="55" t="s">
        <v>188</v>
      </c>
      <c r="E206" s="55" t="s">
        <v>193</v>
      </c>
      <c r="F206" s="55" t="s">
        <v>625</v>
      </c>
      <c r="G206" s="55" t="s">
        <v>61</v>
      </c>
      <c r="H206" s="55" t="s">
        <v>1261</v>
      </c>
      <c r="I206" s="115" t="s">
        <v>2772</v>
      </c>
      <c r="J206" s="142" t="s">
        <v>2607</v>
      </c>
      <c r="K206" s="55" t="s">
        <v>61</v>
      </c>
      <c r="L206" s="55" t="s">
        <v>1130</v>
      </c>
      <c r="M206" s="55" t="s">
        <v>78</v>
      </c>
      <c r="N206" s="55" t="s">
        <v>193</v>
      </c>
      <c r="O206" s="55" t="s">
        <v>1768</v>
      </c>
      <c r="P206" s="55" t="s">
        <v>110</v>
      </c>
      <c r="Q206" s="67" t="str">
        <f>IFERROR(__xludf.DUMMYFUNCTION("""COMPUTED_VALUE"""),"KoreaSouth.giaotiep.tienganh_Patado_SEA_HoaNT_150126")</f>
        <v>KoreaSouth.giaotiep.tienganh_Patado_SEA_HoaNT_150126</v>
      </c>
      <c r="R206" s="67" t="str">
        <f>IFERROR(__xludf.DUMMYFUNCTION("""COMPUTED_VALUE"""),"NEW_KoreaSouth_none_none_150126")</f>
        <v>NEW_KoreaSouth_none_none_150126</v>
      </c>
      <c r="S206" s="67" t="str">
        <f>IFERROR(__xludf.DUMMYFUNCTION("""COMPUTED_VALUE"""),"saletructiep_Tienganhngbatdau_PTAGTTD_LD259")</f>
        <v>saletructiep_Tienganhngbatdau_PTAGTTD_LD259</v>
      </c>
      <c r="T206" s="107" t="str">
        <f>IFERROR(__xludf.DUMMYFUNCTION("""COMPUTED_VALUE"""),"https://patadovietnam.edu.vn/khoa-giao-tiep-cho-nguoi-viet-tai-han-quoc/?utm_source=Google&amp;utm_medium=SEA&amp;utm_term=NEW_KoreaSouth_none_none_150126&amp;utm_content=saletructiep_Tienganhngbatdau_PTAGTTD_LD259&amp;utm_campaign=KoreaSouth.giaotiep.tienganh_Patado_SEA"&amp;"_HoaNT_150126")</f>
        <v>https://patadovietnam.edu.vn/khoa-giao-tiep-cho-nguoi-viet-tai-han-quoc/?utm_source=Google&amp;utm_medium=SEA&amp;utm_term=NEW_KoreaSouth_none_none_150126&amp;utm_content=saletructiep_Tienganhngbatdau_PTAGTTD_LD259&amp;utm_campaign=KoreaSouth.giaotiep.tienganh_Patado_SEA_HoaNT_150126</v>
      </c>
      <c r="U206" s="116"/>
    </row>
    <row r="207">
      <c r="A207" s="72">
        <v>46037.0</v>
      </c>
      <c r="B207" s="60" t="s">
        <v>2770</v>
      </c>
      <c r="C207" s="67" t="str">
        <f>IFERROR(__xludf.DUMMYFUNCTION("""COMPUTED_VALUE"""),"LD259")</f>
        <v>LD259</v>
      </c>
      <c r="D207" s="55" t="s">
        <v>188</v>
      </c>
      <c r="E207" s="55" t="s">
        <v>193</v>
      </c>
      <c r="F207" s="55" t="s">
        <v>625</v>
      </c>
      <c r="G207" s="55" t="s">
        <v>61</v>
      </c>
      <c r="H207" s="55" t="s">
        <v>1261</v>
      </c>
      <c r="I207" s="115" t="s">
        <v>2772</v>
      </c>
      <c r="J207" s="142" t="s">
        <v>2613</v>
      </c>
      <c r="K207" s="55" t="s">
        <v>61</v>
      </c>
      <c r="L207" s="55" t="s">
        <v>1130</v>
      </c>
      <c r="M207" s="55" t="s">
        <v>78</v>
      </c>
      <c r="N207" s="55" t="s">
        <v>193</v>
      </c>
      <c r="O207" s="55" t="s">
        <v>1768</v>
      </c>
      <c r="P207" s="55" t="s">
        <v>110</v>
      </c>
      <c r="Q207" s="67" t="str">
        <f>IFERROR(__xludf.DUMMYFUNCTION("""COMPUTED_VALUE"""),"KoreaSouth.giaotiep.tienganh_Patado_SEA_HoaNT_150126")</f>
        <v>KoreaSouth.giaotiep.tienganh_Patado_SEA_HoaNT_150126</v>
      </c>
      <c r="R207" s="67" t="str">
        <f>IFERROR(__xludf.DUMMYFUNCTION("""COMPUTED_VALUE"""),"NEW_KoreaSouth_none_none_150126")</f>
        <v>NEW_KoreaSouth_none_none_150126</v>
      </c>
      <c r="S207" s="67" t="str">
        <f>IFERROR(__xludf.DUMMYFUNCTION("""COMPUTED_VALUE"""),"saletructiep_Tienganhngdilam_PTAGTTD_LD259")</f>
        <v>saletructiep_Tienganhngdilam_PTAGTTD_LD259</v>
      </c>
      <c r="T207" s="107" t="str">
        <f>IFERROR(__xludf.DUMMYFUNCTION("""COMPUTED_VALUE"""),"https://patadovietnam.edu.vn/khoa-giao-tiep-cho-nguoi-viet-tai-han-quoc/?utm_source=Google&amp;utm_medium=SEA&amp;utm_term=NEW_KoreaSouth_none_none_150126&amp;utm_content=saletructiep_Tienganhngdilam_PTAGTTD_LD259&amp;utm_campaign=KoreaSouth.giaotiep.tienganh_Patado_SEA_"&amp;"HoaNT_150126")</f>
        <v>https://patadovietnam.edu.vn/khoa-giao-tiep-cho-nguoi-viet-tai-han-quoc/?utm_source=Google&amp;utm_medium=SEA&amp;utm_term=NEW_KoreaSouth_none_none_150126&amp;utm_content=saletructiep_Tienganhngdilam_PTAGTTD_LD259&amp;utm_campaign=KoreaSouth.giaotiep.tienganh_Patado_SEA_HoaNT_150126</v>
      </c>
      <c r="U207" s="116"/>
    </row>
    <row r="208">
      <c r="A208" s="72">
        <v>46037.0</v>
      </c>
      <c r="B208" s="60" t="s">
        <v>2770</v>
      </c>
      <c r="C208" s="67" t="str">
        <f>IFERROR(__xludf.DUMMYFUNCTION("""COMPUTED_VALUE"""),"LD259")</f>
        <v>LD259</v>
      </c>
      <c r="D208" s="55" t="s">
        <v>188</v>
      </c>
      <c r="E208" s="55" t="s">
        <v>193</v>
      </c>
      <c r="F208" s="55" t="s">
        <v>625</v>
      </c>
      <c r="G208" s="55" t="s">
        <v>61</v>
      </c>
      <c r="H208" s="55" t="s">
        <v>1261</v>
      </c>
      <c r="I208" s="115" t="s">
        <v>2772</v>
      </c>
      <c r="J208" s="142" t="s">
        <v>2617</v>
      </c>
      <c r="K208" s="55" t="s">
        <v>61</v>
      </c>
      <c r="L208" s="55" t="s">
        <v>1130</v>
      </c>
      <c r="M208" s="55" t="s">
        <v>78</v>
      </c>
      <c r="N208" s="55" t="s">
        <v>193</v>
      </c>
      <c r="O208" s="55" t="s">
        <v>1768</v>
      </c>
      <c r="P208" s="55" t="s">
        <v>110</v>
      </c>
      <c r="Q208" s="67" t="str">
        <f>IFERROR(__xludf.DUMMYFUNCTION("""COMPUTED_VALUE"""),"KoreaSouth.giaotiep.tienganh_Patado_SEA_HoaNT_150126")</f>
        <v>KoreaSouth.giaotiep.tienganh_Patado_SEA_HoaNT_150126</v>
      </c>
      <c r="R208" s="67" t="str">
        <f>IFERROR(__xludf.DUMMYFUNCTION("""COMPUTED_VALUE"""),"NEW_KoreaSouth_none_none_150126")</f>
        <v>NEW_KoreaSouth_none_none_150126</v>
      </c>
      <c r="S208" s="67" t="str">
        <f>IFERROR(__xludf.DUMMYFUNCTION("""COMPUTED_VALUE"""),"saletructiep_Tienganhngmatgoc_PTAGTTD_LD259")</f>
        <v>saletructiep_Tienganhngmatgoc_PTAGTTD_LD259</v>
      </c>
      <c r="T208" s="107" t="str">
        <f>IFERROR(__xludf.DUMMYFUNCTION("""COMPUTED_VALUE"""),"https://patadovietnam.edu.vn/khoa-giao-tiep-cho-nguoi-viet-tai-han-quoc/?utm_source=Google&amp;utm_medium=SEA&amp;utm_term=NEW_KoreaSouth_none_none_150126&amp;utm_content=saletructiep_Tienganhngmatgoc_PTAGTTD_LD259&amp;utm_campaign=KoreaSouth.giaotiep.tienganh_Patado_SEA"&amp;"_HoaNT_150126")</f>
        <v>https://patadovietnam.edu.vn/khoa-giao-tiep-cho-nguoi-viet-tai-han-quoc/?utm_source=Google&amp;utm_medium=SEA&amp;utm_term=NEW_KoreaSouth_none_none_150126&amp;utm_content=saletructiep_Tienganhngmatgoc_PTAGTTD_LD259&amp;utm_campaign=KoreaSouth.giaotiep.tienganh_Patado_SEA_HoaNT_150126</v>
      </c>
      <c r="U208" s="116"/>
    </row>
    <row r="209">
      <c r="A209" s="72">
        <v>46038.0</v>
      </c>
      <c r="B209" s="60" t="s">
        <v>2860</v>
      </c>
      <c r="C209" s="67" t="str">
        <f>IFERROR(__xludf.DUMMYFUNCTION("""COMPUTED_VALUE"""),"LD269")</f>
        <v>LD269</v>
      </c>
      <c r="D209" s="55" t="s">
        <v>188</v>
      </c>
      <c r="E209" s="55" t="s">
        <v>193</v>
      </c>
      <c r="F209" s="55" t="s">
        <v>164</v>
      </c>
      <c r="G209" s="55" t="s">
        <v>61</v>
      </c>
      <c r="H209" s="55" t="s">
        <v>1261</v>
      </c>
      <c r="I209" s="115" t="s">
        <v>2862</v>
      </c>
      <c r="J209" s="159" t="s">
        <v>2448</v>
      </c>
      <c r="K209" s="55" t="s">
        <v>61</v>
      </c>
      <c r="L209" s="55" t="s">
        <v>1130</v>
      </c>
      <c r="M209" s="55" t="s">
        <v>78</v>
      </c>
      <c r="N209" s="55" t="s">
        <v>193</v>
      </c>
      <c r="O209" s="55" t="s">
        <v>1768</v>
      </c>
      <c r="P209" s="55" t="s">
        <v>110</v>
      </c>
      <c r="Q209" s="67" t="str">
        <f>IFERROR(__xludf.DUMMYFUNCTION("""COMPUTED_VALUE"""),"Taiwan.giaotiep.tienganh_Patado_SEA_HoaNT_160126")</f>
        <v>Taiwan.giaotiep.tienganh_Patado_SEA_HoaNT_160126</v>
      </c>
      <c r="R209" s="67" t="str">
        <f>IFERROR(__xludf.DUMMYFUNCTION("""COMPUTED_VALUE"""),"NEW_Taiwan_none_none_160126")</f>
        <v>NEW_Taiwan_none_none_160126</v>
      </c>
      <c r="S209" s="67" t="str">
        <f>IFERROR(__xludf.DUMMYFUNCTION("""COMPUTED_VALUE"""),"saletructiep_Hoctienganh_PTAGTTD_LD269")</f>
        <v>saletructiep_Hoctienganh_PTAGTTD_LD269</v>
      </c>
      <c r="T209" s="107" t="str">
        <f>IFERROR(__xludf.DUMMYFUNCTION("""COMPUTED_VALUE"""),"https://patado.edu.vn/khoa-tieng-anh-giao-tiep-dai-loan/?utm_source=Google&amp;utm_medium=SEA&amp;utm_term=NEW_Taiwan_none_none_160126&amp;utm_content=saletructiep_Hoctienganh_PTAGTTD_LD269&amp;utm_campaign=Taiwan.giaotiep.tienganh_Patado_SEA_HoaNT_160126")</f>
        <v>https://patado.edu.vn/khoa-tieng-anh-giao-tiep-dai-loan/?utm_source=Google&amp;utm_medium=SEA&amp;utm_term=NEW_Taiwan_none_none_160126&amp;utm_content=saletructiep_Hoctienganh_PTAGTTD_LD269&amp;utm_campaign=Taiwan.giaotiep.tienganh_Patado_SEA_HoaNT_160126</v>
      </c>
      <c r="U209" s="116"/>
    </row>
    <row r="210">
      <c r="A210" s="72">
        <v>46038.0</v>
      </c>
      <c r="B210" s="60" t="s">
        <v>2866</v>
      </c>
      <c r="C210" s="67" t="str">
        <f>IFERROR(__xludf.DUMMYFUNCTION("""COMPUTED_VALUE"""),"LD260")</f>
        <v>LD260</v>
      </c>
      <c r="D210" s="55" t="s">
        <v>188</v>
      </c>
      <c r="E210" s="55" t="s">
        <v>193</v>
      </c>
      <c r="F210" s="55" t="s">
        <v>164</v>
      </c>
      <c r="G210" s="55" t="s">
        <v>61</v>
      </c>
      <c r="H210" s="55" t="s">
        <v>1261</v>
      </c>
      <c r="I210" s="115" t="s">
        <v>2862</v>
      </c>
      <c r="J210" s="155" t="s">
        <v>2455</v>
      </c>
      <c r="K210" s="55" t="s">
        <v>61</v>
      </c>
      <c r="L210" s="55" t="s">
        <v>1130</v>
      </c>
      <c r="M210" s="55" t="s">
        <v>78</v>
      </c>
      <c r="N210" s="55" t="s">
        <v>193</v>
      </c>
      <c r="O210" s="55" t="s">
        <v>1768</v>
      </c>
      <c r="P210" s="55" t="s">
        <v>110</v>
      </c>
      <c r="Q210" s="67" t="str">
        <f>IFERROR(__xludf.DUMMYFUNCTION("""COMPUTED_VALUE"""),"Taiwan.giaotiep.tienganh_Patado_SEA_HoaNT_160126")</f>
        <v>Taiwan.giaotiep.tienganh_Patado_SEA_HoaNT_160126</v>
      </c>
      <c r="R210" s="67" t="str">
        <f>IFERROR(__xludf.DUMMYFUNCTION("""COMPUTED_VALUE"""),"NEW_Taiwan_none_none_160126")</f>
        <v>NEW_Taiwan_none_none_160126</v>
      </c>
      <c r="S210" s="67" t="str">
        <f>IFERROR(__xludf.DUMMYFUNCTION("""COMPUTED_VALUE"""),"saletructiep_Hoctienganh11_PTAGTTD_LD260")</f>
        <v>saletructiep_Hoctienganh11_PTAGTTD_LD260</v>
      </c>
      <c r="T210" s="107" t="str">
        <f>IFERROR(__xludf.DUMMYFUNCTION("""COMPUTED_VALUE"""),"https://patadovietnam.edu.vn/khoa-tieng-anh-giao-tiep-dai-loan/?utm_source=Google&amp;utm_medium=SEA&amp;utm_term=NEW_Taiwan_none_none_160126&amp;utm_content=saletructiep_Hoctienganh11_PTAGTTD_LD260&amp;utm_campaign=Taiwan.giaotiep.tienganh_Patado_SEA_HoaNT_160126")</f>
        <v>https://patadovietnam.edu.vn/khoa-tieng-anh-giao-tiep-dai-loan/?utm_source=Google&amp;utm_medium=SEA&amp;utm_term=NEW_Taiwan_none_none_160126&amp;utm_content=saletructiep_Hoctienganh11_PTAGTTD_LD260&amp;utm_campaign=Taiwan.giaotiep.tienganh_Patado_SEA_HoaNT_160126</v>
      </c>
      <c r="U210" s="116"/>
    </row>
    <row r="211">
      <c r="A211" s="72">
        <v>46038.0</v>
      </c>
      <c r="B211" s="60" t="s">
        <v>2866</v>
      </c>
      <c r="C211" s="67" t="str">
        <f>IFERROR(__xludf.DUMMYFUNCTION("""COMPUTED_VALUE"""),"LD260")</f>
        <v>LD260</v>
      </c>
      <c r="D211" s="55" t="s">
        <v>188</v>
      </c>
      <c r="E211" s="55" t="s">
        <v>193</v>
      </c>
      <c r="F211" s="55" t="s">
        <v>164</v>
      </c>
      <c r="G211" s="55" t="s">
        <v>61</v>
      </c>
      <c r="H211" s="55" t="s">
        <v>1261</v>
      </c>
      <c r="I211" s="115" t="s">
        <v>2862</v>
      </c>
      <c r="J211" s="149" t="s">
        <v>2462</v>
      </c>
      <c r="K211" s="55" t="s">
        <v>61</v>
      </c>
      <c r="L211" s="55" t="s">
        <v>1130</v>
      </c>
      <c r="M211" s="55" t="s">
        <v>78</v>
      </c>
      <c r="N211" s="55" t="s">
        <v>193</v>
      </c>
      <c r="O211" s="55" t="s">
        <v>1768</v>
      </c>
      <c r="P211" s="55" t="s">
        <v>110</v>
      </c>
      <c r="Q211" s="67" t="str">
        <f>IFERROR(__xludf.DUMMYFUNCTION("""COMPUTED_VALUE"""),"Taiwan.giaotiep.tienganh_Patado_SEA_HoaNT_160126")</f>
        <v>Taiwan.giaotiep.tienganh_Patado_SEA_HoaNT_160126</v>
      </c>
      <c r="R211" s="67" t="str">
        <f>IFERROR(__xludf.DUMMYFUNCTION("""COMPUTED_VALUE"""),"NEW_Taiwan_none_none_160126")</f>
        <v>NEW_Taiwan_none_none_160126</v>
      </c>
      <c r="S211" s="67" t="str">
        <f>IFERROR(__xludf.DUMMYFUNCTION("""COMPUTED_VALUE"""),"saletructiep_Tienganhtructuyen_PTAGTTD_LD260")</f>
        <v>saletructiep_Tienganhtructuyen_PTAGTTD_LD260</v>
      </c>
      <c r="T211" s="107" t="str">
        <f>IFERROR(__xludf.DUMMYFUNCTION("""COMPUTED_VALUE"""),"https://patadovietnam.edu.vn/khoa-tieng-anh-giao-tiep-dai-loan/?utm_source=Google&amp;utm_medium=SEA&amp;utm_term=NEW_Taiwan_none_none_160126&amp;utm_content=saletructiep_Tienganhtructuyen_PTAGTTD_LD260&amp;utm_campaign=Taiwan.giaotiep.tienganh_Patado_SEA_HoaNT_160126")</f>
        <v>https://patadovietnam.edu.vn/khoa-tieng-anh-giao-tiep-dai-loan/?utm_source=Google&amp;utm_medium=SEA&amp;utm_term=NEW_Taiwan_none_none_160126&amp;utm_content=saletructiep_Tienganhtructuyen_PTAGTTD_LD260&amp;utm_campaign=Taiwan.giaotiep.tienganh_Patado_SEA_HoaNT_160126</v>
      </c>
      <c r="U211" s="116"/>
    </row>
    <row r="212">
      <c r="A212" s="72">
        <v>46038.0</v>
      </c>
      <c r="B212" s="60" t="s">
        <v>2866</v>
      </c>
      <c r="C212" s="67" t="str">
        <f>IFERROR(__xludf.DUMMYFUNCTION("""COMPUTED_VALUE"""),"LD260")</f>
        <v>LD260</v>
      </c>
      <c r="D212" s="55" t="s">
        <v>188</v>
      </c>
      <c r="E212" s="55" t="s">
        <v>193</v>
      </c>
      <c r="F212" s="55" t="s">
        <v>164</v>
      </c>
      <c r="G212" s="55" t="s">
        <v>61</v>
      </c>
      <c r="H212" s="55" t="s">
        <v>1261</v>
      </c>
      <c r="I212" s="115" t="s">
        <v>2862</v>
      </c>
      <c r="J212" s="142" t="s">
        <v>2471</v>
      </c>
      <c r="K212" s="55" t="s">
        <v>61</v>
      </c>
      <c r="L212" s="55" t="s">
        <v>1130</v>
      </c>
      <c r="M212" s="55" t="s">
        <v>78</v>
      </c>
      <c r="N212" s="55" t="s">
        <v>193</v>
      </c>
      <c r="O212" s="55" t="s">
        <v>1768</v>
      </c>
      <c r="P212" s="55" t="s">
        <v>110</v>
      </c>
      <c r="Q212" s="67" t="str">
        <f>IFERROR(__xludf.DUMMYFUNCTION("""COMPUTED_VALUE"""),"Taiwan.giaotiep.tienganh_Patado_SEA_HoaNT_160126")</f>
        <v>Taiwan.giaotiep.tienganh_Patado_SEA_HoaNT_160126</v>
      </c>
      <c r="R212" s="67" t="str">
        <f>IFERROR(__xludf.DUMMYFUNCTION("""COMPUTED_VALUE"""),"NEW_Taiwan_none_none_160126")</f>
        <v>NEW_Taiwan_none_none_160126</v>
      </c>
      <c r="S212" s="67" t="str">
        <f>IFERROR(__xludf.DUMMYFUNCTION("""COMPUTED_VALUE"""),"saletructiep_Tienganhquamang_PTAGTTD_LD260")</f>
        <v>saletructiep_Tienganhquamang_PTAGTTD_LD260</v>
      </c>
      <c r="T212" s="107" t="str">
        <f>IFERROR(__xludf.DUMMYFUNCTION("""COMPUTED_VALUE"""),"https://patadovietnam.edu.vn/khoa-tieng-anh-giao-tiep-dai-loan/?utm_source=Google&amp;utm_medium=SEA&amp;utm_term=NEW_Taiwan_none_none_160126&amp;utm_content=saletructiep_Tienganhquamang_PTAGTTD_LD260&amp;utm_campaign=Taiwan.giaotiep.tienganh_Patado_SEA_HoaNT_160126")</f>
        <v>https://patadovietnam.edu.vn/khoa-tieng-anh-giao-tiep-dai-loan/?utm_source=Google&amp;utm_medium=SEA&amp;utm_term=NEW_Taiwan_none_none_160126&amp;utm_content=saletructiep_Tienganhquamang_PTAGTTD_LD260&amp;utm_campaign=Taiwan.giaotiep.tienganh_Patado_SEA_HoaNT_160126</v>
      </c>
      <c r="U212" s="116"/>
    </row>
    <row r="213">
      <c r="A213" s="72">
        <v>46038.0</v>
      </c>
      <c r="B213" s="60" t="s">
        <v>2866</v>
      </c>
      <c r="C213" s="67" t="str">
        <f>IFERROR(__xludf.DUMMYFUNCTION("""COMPUTED_VALUE"""),"LD260")</f>
        <v>LD260</v>
      </c>
      <c r="D213" s="55" t="s">
        <v>188</v>
      </c>
      <c r="E213" s="55" t="s">
        <v>193</v>
      </c>
      <c r="F213" s="55" t="s">
        <v>164</v>
      </c>
      <c r="G213" s="55" t="s">
        <v>61</v>
      </c>
      <c r="H213" s="55" t="s">
        <v>1261</v>
      </c>
      <c r="I213" s="115" t="s">
        <v>2862</v>
      </c>
      <c r="J213" s="142" t="s">
        <v>2476</v>
      </c>
      <c r="K213" s="55" t="s">
        <v>61</v>
      </c>
      <c r="L213" s="55" t="s">
        <v>1130</v>
      </c>
      <c r="M213" s="55" t="s">
        <v>78</v>
      </c>
      <c r="N213" s="55" t="s">
        <v>193</v>
      </c>
      <c r="O213" s="55" t="s">
        <v>1768</v>
      </c>
      <c r="P213" s="55" t="s">
        <v>110</v>
      </c>
      <c r="Q213" s="67" t="str">
        <f>IFERROR(__xludf.DUMMYFUNCTION("""COMPUTED_VALUE"""),"Taiwan.giaotiep.tienganh_Patado_SEA_HoaNT_160126")</f>
        <v>Taiwan.giaotiep.tienganh_Patado_SEA_HoaNT_160126</v>
      </c>
      <c r="R213" s="67" t="str">
        <f>IFERROR(__xludf.DUMMYFUNCTION("""COMPUTED_VALUE"""),"NEW_Taiwan_none_none_160126")</f>
        <v>NEW_Taiwan_none_none_160126</v>
      </c>
      <c r="S213" s="67" t="str">
        <f>IFERROR(__xludf.DUMMYFUNCTION("""COMPUTED_VALUE"""),"saletructiep_Tienganhonline_PTAGTTD_LD260")</f>
        <v>saletructiep_Tienganhonline_PTAGTTD_LD260</v>
      </c>
      <c r="T213" s="107" t="str">
        <f>IFERROR(__xludf.DUMMYFUNCTION("""COMPUTED_VALUE"""),"https://patadovietnam.edu.vn/khoa-tieng-anh-giao-tiep-dai-loan/?utm_source=Google&amp;utm_medium=SEA&amp;utm_term=NEW_Taiwan_none_none_160126&amp;utm_content=saletructiep_Tienganhonline_PTAGTTD_LD260&amp;utm_campaign=Taiwan.giaotiep.tienganh_Patado_SEA_HoaNT_160126")</f>
        <v>https://patadovietnam.edu.vn/khoa-tieng-anh-giao-tiep-dai-loan/?utm_source=Google&amp;utm_medium=SEA&amp;utm_term=NEW_Taiwan_none_none_160126&amp;utm_content=saletructiep_Tienganhonline_PTAGTTD_LD260&amp;utm_campaign=Taiwan.giaotiep.tienganh_Patado_SEA_HoaNT_160126</v>
      </c>
      <c r="U213" s="116"/>
    </row>
    <row r="214">
      <c r="A214" s="72">
        <v>46038.0</v>
      </c>
      <c r="B214" s="60" t="s">
        <v>2866</v>
      </c>
      <c r="C214" s="67" t="str">
        <f>IFERROR(__xludf.DUMMYFUNCTION("""COMPUTED_VALUE"""),"LD260")</f>
        <v>LD260</v>
      </c>
      <c r="D214" s="55" t="s">
        <v>188</v>
      </c>
      <c r="E214" s="55" t="s">
        <v>193</v>
      </c>
      <c r="F214" s="55" t="s">
        <v>164</v>
      </c>
      <c r="G214" s="55" t="s">
        <v>61</v>
      </c>
      <c r="H214" s="55" t="s">
        <v>1261</v>
      </c>
      <c r="I214" s="115" t="s">
        <v>2862</v>
      </c>
      <c r="J214" s="142" t="s">
        <v>2482</v>
      </c>
      <c r="K214" s="55" t="s">
        <v>61</v>
      </c>
      <c r="L214" s="55" t="s">
        <v>1130</v>
      </c>
      <c r="M214" s="55" t="s">
        <v>78</v>
      </c>
      <c r="N214" s="55" t="s">
        <v>193</v>
      </c>
      <c r="O214" s="55" t="s">
        <v>1768</v>
      </c>
      <c r="P214" s="55" t="s">
        <v>110</v>
      </c>
      <c r="Q214" s="67" t="str">
        <f>IFERROR(__xludf.DUMMYFUNCTION("""COMPUTED_VALUE"""),"Taiwan.giaotiep.tienganh_Patado_SEA_HoaNT_160126")</f>
        <v>Taiwan.giaotiep.tienganh_Patado_SEA_HoaNT_160126</v>
      </c>
      <c r="R214" s="67" t="str">
        <f>IFERROR(__xludf.DUMMYFUNCTION("""COMPUTED_VALUE"""),"NEW_Taiwan_none_none_160126")</f>
        <v>NEW_Taiwan_none_none_160126</v>
      </c>
      <c r="S214" s="67" t="str">
        <f>IFERROR(__xludf.DUMMYFUNCTION("""COMPUTED_VALUE"""),"saletructiep_Tienganhonline11_PTAGTTD_LD260")</f>
        <v>saletructiep_Tienganhonline11_PTAGTTD_LD260</v>
      </c>
      <c r="T214" s="107" t="str">
        <f>IFERROR(__xludf.DUMMYFUNCTION("""COMPUTED_VALUE"""),"https://patadovietnam.edu.vn/khoa-tieng-anh-giao-tiep-dai-loan/?utm_source=Google&amp;utm_medium=SEA&amp;utm_term=NEW_Taiwan_none_none_160126&amp;utm_content=saletructiep_Tienganhonline11_PTAGTTD_LD260&amp;utm_campaign=Taiwan.giaotiep.tienganh_Patado_SEA_HoaNT_160126")</f>
        <v>https://patadovietnam.edu.vn/khoa-tieng-anh-giao-tiep-dai-loan/?utm_source=Google&amp;utm_medium=SEA&amp;utm_term=NEW_Taiwan_none_none_160126&amp;utm_content=saletructiep_Tienganhonline11_PTAGTTD_LD260&amp;utm_campaign=Taiwan.giaotiep.tienganh_Patado_SEA_HoaNT_160126</v>
      </c>
      <c r="U214" s="116"/>
    </row>
    <row r="215">
      <c r="A215" s="72">
        <v>46038.0</v>
      </c>
      <c r="B215" s="60" t="s">
        <v>2866</v>
      </c>
      <c r="C215" s="67" t="str">
        <f>IFERROR(__xludf.DUMMYFUNCTION("""COMPUTED_VALUE"""),"LD260")</f>
        <v>LD260</v>
      </c>
      <c r="D215" s="55" t="s">
        <v>188</v>
      </c>
      <c r="E215" s="55" t="s">
        <v>193</v>
      </c>
      <c r="F215" s="55" t="s">
        <v>164</v>
      </c>
      <c r="G215" s="55" t="s">
        <v>61</v>
      </c>
      <c r="H215" s="55" t="s">
        <v>1261</v>
      </c>
      <c r="I215" s="115" t="s">
        <v>2862</v>
      </c>
      <c r="J215" s="142" t="s">
        <v>2486</v>
      </c>
      <c r="K215" s="55" t="s">
        <v>61</v>
      </c>
      <c r="L215" s="55" t="s">
        <v>1130</v>
      </c>
      <c r="M215" s="55" t="s">
        <v>78</v>
      </c>
      <c r="N215" s="55" t="s">
        <v>193</v>
      </c>
      <c r="O215" s="55" t="s">
        <v>1768</v>
      </c>
      <c r="P215" s="55" t="s">
        <v>110</v>
      </c>
      <c r="Q215" s="67" t="str">
        <f>IFERROR(__xludf.DUMMYFUNCTION("""COMPUTED_VALUE"""),"Taiwan.giaotiep.tienganh_Patado_SEA_HoaNT_160126")</f>
        <v>Taiwan.giaotiep.tienganh_Patado_SEA_HoaNT_160126</v>
      </c>
      <c r="R215" s="67" t="str">
        <f>IFERROR(__xludf.DUMMYFUNCTION("""COMPUTED_VALUE"""),"NEW_Taiwan_none_none_160126")</f>
        <v>NEW_Taiwan_none_none_160126</v>
      </c>
      <c r="S215" s="67" t="str">
        <f>IFERROR(__xludf.DUMMYFUNCTION("""COMPUTED_VALUE"""),"saletructiep_Hoconline_PTAGTTD_LD260")</f>
        <v>saletructiep_Hoconline_PTAGTTD_LD260</v>
      </c>
      <c r="T215" s="107" t="str">
        <f>IFERROR(__xludf.DUMMYFUNCTION("""COMPUTED_VALUE"""),"https://patadovietnam.edu.vn/khoa-tieng-anh-giao-tiep-dai-loan/?utm_source=Google&amp;utm_medium=SEA&amp;utm_term=NEW_Taiwan_none_none_160126&amp;utm_content=saletructiep_Hoconline_PTAGTTD_LD260&amp;utm_campaign=Taiwan.giaotiep.tienganh_Patado_SEA_HoaNT_160126")</f>
        <v>https://patadovietnam.edu.vn/khoa-tieng-anh-giao-tiep-dai-loan/?utm_source=Google&amp;utm_medium=SEA&amp;utm_term=NEW_Taiwan_none_none_160126&amp;utm_content=saletructiep_Hoconline_PTAGTTD_LD260&amp;utm_campaign=Taiwan.giaotiep.tienganh_Patado_SEA_HoaNT_160126</v>
      </c>
      <c r="U215" s="116"/>
    </row>
    <row r="216">
      <c r="A216" s="72">
        <v>46038.0</v>
      </c>
      <c r="B216" s="60" t="s">
        <v>2866</v>
      </c>
      <c r="C216" s="67" t="str">
        <f>IFERROR(__xludf.DUMMYFUNCTION("""COMPUTED_VALUE"""),"LD260")</f>
        <v>LD260</v>
      </c>
      <c r="D216" s="55" t="s">
        <v>188</v>
      </c>
      <c r="E216" s="55" t="s">
        <v>193</v>
      </c>
      <c r="F216" s="55" t="s">
        <v>164</v>
      </c>
      <c r="G216" s="55" t="s">
        <v>61</v>
      </c>
      <c r="H216" s="55" t="s">
        <v>1261</v>
      </c>
      <c r="I216" s="115" t="s">
        <v>2862</v>
      </c>
      <c r="J216" s="142" t="s">
        <v>2494</v>
      </c>
      <c r="K216" s="55" t="s">
        <v>61</v>
      </c>
      <c r="L216" s="55" t="s">
        <v>1130</v>
      </c>
      <c r="M216" s="55" t="s">
        <v>78</v>
      </c>
      <c r="N216" s="55" t="s">
        <v>193</v>
      </c>
      <c r="O216" s="55" t="s">
        <v>1768</v>
      </c>
      <c r="P216" s="55" t="s">
        <v>110</v>
      </c>
      <c r="Q216" s="67" t="str">
        <f>IFERROR(__xludf.DUMMYFUNCTION("""COMPUTED_VALUE"""),"Taiwan.giaotiep.tienganh_Patado_SEA_HoaNT_160126")</f>
        <v>Taiwan.giaotiep.tienganh_Patado_SEA_HoaNT_160126</v>
      </c>
      <c r="R216" s="67" t="str">
        <f>IFERROR(__xludf.DUMMYFUNCTION("""COMPUTED_VALUE"""),"NEW_Taiwan_none_none_160126")</f>
        <v>NEW_Taiwan_none_none_160126</v>
      </c>
      <c r="S216" s="67" t="str">
        <f>IFERROR(__xludf.DUMMYFUNCTION("""COMPUTED_VALUE"""),"saletructiep_Hoconline11_PTAGTTD_LD260")</f>
        <v>saletructiep_Hoconline11_PTAGTTD_LD260</v>
      </c>
      <c r="T216" s="107" t="str">
        <f>IFERROR(__xludf.DUMMYFUNCTION("""COMPUTED_VALUE"""),"https://patadovietnam.edu.vn/khoa-tieng-anh-giao-tiep-dai-loan/?utm_source=Google&amp;utm_medium=SEA&amp;utm_term=NEW_Taiwan_none_none_160126&amp;utm_content=saletructiep_Hoconline11_PTAGTTD_LD260&amp;utm_campaign=Taiwan.giaotiep.tienganh_Patado_SEA_HoaNT_160126")</f>
        <v>https://patadovietnam.edu.vn/khoa-tieng-anh-giao-tiep-dai-loan/?utm_source=Google&amp;utm_medium=SEA&amp;utm_term=NEW_Taiwan_none_none_160126&amp;utm_content=saletructiep_Hoconline11_PTAGTTD_LD260&amp;utm_campaign=Taiwan.giaotiep.tienganh_Patado_SEA_HoaNT_160126</v>
      </c>
      <c r="U216" s="116"/>
    </row>
    <row r="217">
      <c r="A217" s="72">
        <v>46038.0</v>
      </c>
      <c r="B217" s="60" t="s">
        <v>2866</v>
      </c>
      <c r="C217" s="67" t="str">
        <f>IFERROR(__xludf.DUMMYFUNCTION("""COMPUTED_VALUE"""),"LD260")</f>
        <v>LD260</v>
      </c>
      <c r="D217" s="55" t="s">
        <v>188</v>
      </c>
      <c r="E217" s="55" t="s">
        <v>193</v>
      </c>
      <c r="F217" s="55" t="s">
        <v>164</v>
      </c>
      <c r="G217" s="55" t="s">
        <v>61</v>
      </c>
      <c r="H217" s="55" t="s">
        <v>1261</v>
      </c>
      <c r="I217" s="115" t="s">
        <v>2862</v>
      </c>
      <c r="J217" s="142" t="s">
        <v>2501</v>
      </c>
      <c r="K217" s="55" t="s">
        <v>61</v>
      </c>
      <c r="L217" s="55" t="s">
        <v>1130</v>
      </c>
      <c r="M217" s="55" t="s">
        <v>78</v>
      </c>
      <c r="N217" s="55" t="s">
        <v>193</v>
      </c>
      <c r="O217" s="55" t="s">
        <v>1768</v>
      </c>
      <c r="P217" s="55" t="s">
        <v>110</v>
      </c>
      <c r="Q217" s="67" t="str">
        <f>IFERROR(__xludf.DUMMYFUNCTION("""COMPUTED_VALUE"""),"Taiwan.giaotiep.tienganh_Patado_SEA_HoaNT_160126")</f>
        <v>Taiwan.giaotiep.tienganh_Patado_SEA_HoaNT_160126</v>
      </c>
      <c r="R217" s="67" t="str">
        <f>IFERROR(__xludf.DUMMYFUNCTION("""COMPUTED_VALUE"""),"NEW_Taiwan_none_none_160126")</f>
        <v>NEW_Taiwan_none_none_160126</v>
      </c>
      <c r="S217" s="67" t="str">
        <f>IFERROR(__xludf.DUMMYFUNCTION("""COMPUTED_VALUE"""),"saletructiep_Hocgiaotieponline_PTAGTTD_LD260")</f>
        <v>saletructiep_Hocgiaotieponline_PTAGTTD_LD260</v>
      </c>
      <c r="T217" s="107" t="str">
        <f>IFERROR(__xludf.DUMMYFUNCTION("""COMPUTED_VALUE"""),"https://patadovietnam.edu.vn/khoa-tieng-anh-giao-tiep-dai-loan/?utm_source=Google&amp;utm_medium=SEA&amp;utm_term=NEW_Taiwan_none_none_160126&amp;utm_content=saletructiep_Hocgiaotieponline_PTAGTTD_LD260&amp;utm_campaign=Taiwan.giaotiep.tienganh_Patado_SEA_HoaNT_160126")</f>
        <v>https://patadovietnam.edu.vn/khoa-tieng-anh-giao-tiep-dai-loan/?utm_source=Google&amp;utm_medium=SEA&amp;utm_term=NEW_Taiwan_none_none_160126&amp;utm_content=saletructiep_Hocgiaotieponline_PTAGTTD_LD260&amp;utm_campaign=Taiwan.giaotiep.tienganh_Patado_SEA_HoaNT_160126</v>
      </c>
      <c r="U217" s="116"/>
    </row>
    <row r="218">
      <c r="A218" s="72">
        <v>46038.0</v>
      </c>
      <c r="B218" s="60" t="s">
        <v>2866</v>
      </c>
      <c r="C218" s="67" t="str">
        <f>IFERROR(__xludf.DUMMYFUNCTION("""COMPUTED_VALUE"""),"LD260")</f>
        <v>LD260</v>
      </c>
      <c r="D218" s="55" t="s">
        <v>188</v>
      </c>
      <c r="E218" s="55" t="s">
        <v>193</v>
      </c>
      <c r="F218" s="55" t="s">
        <v>164</v>
      </c>
      <c r="G218" s="55" t="s">
        <v>61</v>
      </c>
      <c r="H218" s="55" t="s">
        <v>1261</v>
      </c>
      <c r="I218" s="115" t="s">
        <v>2862</v>
      </c>
      <c r="J218" s="142" t="s">
        <v>2505</v>
      </c>
      <c r="K218" s="55" t="s">
        <v>61</v>
      </c>
      <c r="L218" s="55" t="s">
        <v>1130</v>
      </c>
      <c r="M218" s="55" t="s">
        <v>78</v>
      </c>
      <c r="N218" s="55" t="s">
        <v>193</v>
      </c>
      <c r="O218" s="55" t="s">
        <v>1768</v>
      </c>
      <c r="P218" s="55" t="s">
        <v>110</v>
      </c>
      <c r="Q218" s="67" t="str">
        <f>IFERROR(__xludf.DUMMYFUNCTION("""COMPUTED_VALUE"""),"Taiwan.giaotiep.tienganh_Patado_SEA_HoaNT_160126")</f>
        <v>Taiwan.giaotiep.tienganh_Patado_SEA_HoaNT_160126</v>
      </c>
      <c r="R218" s="67" t="str">
        <f>IFERROR(__xludf.DUMMYFUNCTION("""COMPUTED_VALUE"""),"NEW_Taiwan_none_none_160126")</f>
        <v>NEW_Taiwan_none_none_160126</v>
      </c>
      <c r="S218" s="67" t="str">
        <f>IFERROR(__xludf.DUMMYFUNCTION("""COMPUTED_VALUE"""),"saletructiep_Loponline_PTAGTTD_LD260")</f>
        <v>saletructiep_Loponline_PTAGTTD_LD260</v>
      </c>
      <c r="T218" s="107" t="str">
        <f>IFERROR(__xludf.DUMMYFUNCTION("""COMPUTED_VALUE"""),"https://patadovietnam.edu.vn/khoa-tieng-anh-giao-tiep-dai-loan/?utm_source=Google&amp;utm_medium=SEA&amp;utm_term=NEW_Taiwan_none_none_160126&amp;utm_content=saletructiep_Loponline_PTAGTTD_LD260&amp;utm_campaign=Taiwan.giaotiep.tienganh_Patado_SEA_HoaNT_160126")</f>
        <v>https://patadovietnam.edu.vn/khoa-tieng-anh-giao-tiep-dai-loan/?utm_source=Google&amp;utm_medium=SEA&amp;utm_term=NEW_Taiwan_none_none_160126&amp;utm_content=saletructiep_Loponline_PTAGTTD_LD260&amp;utm_campaign=Taiwan.giaotiep.tienganh_Patado_SEA_HoaNT_160126</v>
      </c>
      <c r="U218" s="116"/>
    </row>
    <row r="219">
      <c r="A219" s="72">
        <v>46038.0</v>
      </c>
      <c r="B219" s="60" t="s">
        <v>2866</v>
      </c>
      <c r="C219" s="67" t="str">
        <f>IFERROR(__xludf.DUMMYFUNCTION("""COMPUTED_VALUE"""),"LD260")</f>
        <v>LD260</v>
      </c>
      <c r="D219" s="55" t="s">
        <v>188</v>
      </c>
      <c r="E219" s="55" t="s">
        <v>193</v>
      </c>
      <c r="F219" s="55" t="s">
        <v>164</v>
      </c>
      <c r="G219" s="55" t="s">
        <v>61</v>
      </c>
      <c r="H219" s="55" t="s">
        <v>1261</v>
      </c>
      <c r="I219" s="115" t="s">
        <v>2862</v>
      </c>
      <c r="J219" s="157" t="s">
        <v>2510</v>
      </c>
      <c r="K219" s="55" t="s">
        <v>61</v>
      </c>
      <c r="L219" s="55" t="s">
        <v>1130</v>
      </c>
      <c r="M219" s="55" t="s">
        <v>78</v>
      </c>
      <c r="N219" s="55" t="s">
        <v>193</v>
      </c>
      <c r="O219" s="55" t="s">
        <v>1768</v>
      </c>
      <c r="P219" s="55" t="s">
        <v>110</v>
      </c>
      <c r="Q219" s="67" t="str">
        <f>IFERROR(__xludf.DUMMYFUNCTION("""COMPUTED_VALUE"""),"Taiwan.giaotiep.tienganh_Patado_SEA_HoaNT_160126")</f>
        <v>Taiwan.giaotiep.tienganh_Patado_SEA_HoaNT_160126</v>
      </c>
      <c r="R219" s="67" t="str">
        <f>IFERROR(__xludf.DUMMYFUNCTION("""COMPUTED_VALUE"""),"NEW_Taiwan_none_none_160126")</f>
        <v>NEW_Taiwan_none_none_160126</v>
      </c>
      <c r="S219" s="67" t="str">
        <f>IFERROR(__xludf.DUMMYFUNCTION("""COMPUTED_VALUE"""),"saletructiep_Khoagiaotieponline_PTAGTTD_LD260")</f>
        <v>saletructiep_Khoagiaotieponline_PTAGTTD_LD260</v>
      </c>
      <c r="T219" s="107" t="str">
        <f>IFERROR(__xludf.DUMMYFUNCTION("""COMPUTED_VALUE"""),"https://patadovietnam.edu.vn/khoa-tieng-anh-giao-tiep-dai-loan/?utm_source=Google&amp;utm_medium=SEA&amp;utm_term=NEW_Taiwan_none_none_160126&amp;utm_content=saletructiep_Khoagiaotieponline_PTAGTTD_LD260&amp;utm_campaign=Taiwan.giaotiep.tienganh_Patado_SEA_HoaNT_160126")</f>
        <v>https://patadovietnam.edu.vn/khoa-tieng-anh-giao-tiep-dai-loan/?utm_source=Google&amp;utm_medium=SEA&amp;utm_term=NEW_Taiwan_none_none_160126&amp;utm_content=saletructiep_Khoagiaotieponline_PTAGTTD_LD260&amp;utm_campaign=Taiwan.giaotiep.tienganh_Patado_SEA_HoaNT_160126</v>
      </c>
      <c r="U219" s="116"/>
    </row>
    <row r="220">
      <c r="A220" s="72">
        <v>46038.0</v>
      </c>
      <c r="B220" s="60" t="s">
        <v>2866</v>
      </c>
      <c r="C220" s="67" t="str">
        <f>IFERROR(__xludf.DUMMYFUNCTION("""COMPUTED_VALUE"""),"LD260")</f>
        <v>LD260</v>
      </c>
      <c r="D220" s="55" t="s">
        <v>188</v>
      </c>
      <c r="E220" s="55" t="s">
        <v>193</v>
      </c>
      <c r="F220" s="55" t="s">
        <v>164</v>
      </c>
      <c r="G220" s="55" t="s">
        <v>61</v>
      </c>
      <c r="H220" s="55" t="s">
        <v>1261</v>
      </c>
      <c r="I220" s="115" t="s">
        <v>2862</v>
      </c>
      <c r="J220" s="142" t="s">
        <v>2516</v>
      </c>
      <c r="K220" s="55" t="s">
        <v>61</v>
      </c>
      <c r="L220" s="55" t="s">
        <v>1130</v>
      </c>
      <c r="M220" s="55" t="s">
        <v>78</v>
      </c>
      <c r="N220" s="55" t="s">
        <v>193</v>
      </c>
      <c r="O220" s="55" t="s">
        <v>1768</v>
      </c>
      <c r="P220" s="55" t="s">
        <v>110</v>
      </c>
      <c r="Q220" s="67" t="str">
        <f>IFERROR(__xludf.DUMMYFUNCTION("""COMPUTED_VALUE"""),"Taiwan.giaotiep.tienganh_Patado_SEA_HoaNT_160126")</f>
        <v>Taiwan.giaotiep.tienganh_Patado_SEA_HoaNT_160126</v>
      </c>
      <c r="R220" s="67" t="str">
        <f>IFERROR(__xludf.DUMMYFUNCTION("""COMPUTED_VALUE"""),"NEW_Taiwan_none_none_160126")</f>
        <v>NEW_Taiwan_none_none_160126</v>
      </c>
      <c r="S220" s="67" t="str">
        <f>IFERROR(__xludf.DUMMYFUNCTION("""COMPUTED_VALUE"""),"saletructiep_Trungtamonline_PTAGTTD_LD260")</f>
        <v>saletructiep_Trungtamonline_PTAGTTD_LD260</v>
      </c>
      <c r="T220" s="107" t="str">
        <f>IFERROR(__xludf.DUMMYFUNCTION("""COMPUTED_VALUE"""),"https://patadovietnam.edu.vn/khoa-tieng-anh-giao-tiep-dai-loan/?utm_source=Google&amp;utm_medium=SEA&amp;utm_term=NEW_Taiwan_none_none_160126&amp;utm_content=saletructiep_Trungtamonline_PTAGTTD_LD260&amp;utm_campaign=Taiwan.giaotiep.tienganh_Patado_SEA_HoaNT_160126")</f>
        <v>https://patadovietnam.edu.vn/khoa-tieng-anh-giao-tiep-dai-loan/?utm_source=Google&amp;utm_medium=SEA&amp;utm_term=NEW_Taiwan_none_none_160126&amp;utm_content=saletructiep_Trungtamonline_PTAGTTD_LD260&amp;utm_campaign=Taiwan.giaotiep.tienganh_Patado_SEA_HoaNT_160126</v>
      </c>
      <c r="U220" s="116"/>
    </row>
    <row r="221">
      <c r="A221" s="72">
        <v>46038.0</v>
      </c>
      <c r="B221" s="60" t="s">
        <v>2866</v>
      </c>
      <c r="C221" s="67" t="str">
        <f>IFERROR(__xludf.DUMMYFUNCTION("""COMPUTED_VALUE"""),"LD260")</f>
        <v>LD260</v>
      </c>
      <c r="D221" s="55" t="s">
        <v>188</v>
      </c>
      <c r="E221" s="55" t="s">
        <v>193</v>
      </c>
      <c r="F221" s="55" t="s">
        <v>164</v>
      </c>
      <c r="G221" s="55" t="s">
        <v>61</v>
      </c>
      <c r="H221" s="55" t="s">
        <v>1261</v>
      </c>
      <c r="I221" s="115" t="s">
        <v>2862</v>
      </c>
      <c r="J221" s="142" t="s">
        <v>2527</v>
      </c>
      <c r="K221" s="55" t="s">
        <v>61</v>
      </c>
      <c r="L221" s="55" t="s">
        <v>1130</v>
      </c>
      <c r="M221" s="55" t="s">
        <v>78</v>
      </c>
      <c r="N221" s="55" t="s">
        <v>193</v>
      </c>
      <c r="O221" s="55" t="s">
        <v>1768</v>
      </c>
      <c r="P221" s="55" t="s">
        <v>110</v>
      </c>
      <c r="Q221" s="67" t="str">
        <f>IFERROR(__xludf.DUMMYFUNCTION("""COMPUTED_VALUE"""),"Taiwan.giaotiep.tienganh_Patado_SEA_HoaNT_160126")</f>
        <v>Taiwan.giaotiep.tienganh_Patado_SEA_HoaNT_160126</v>
      </c>
      <c r="R221" s="67" t="str">
        <f>IFERROR(__xludf.DUMMYFUNCTION("""COMPUTED_VALUE"""),"NEW_Taiwan_none_none_160126")</f>
        <v>NEW_Taiwan_none_none_160126</v>
      </c>
      <c r="S221" s="67" t="str">
        <f>IFERROR(__xludf.DUMMYFUNCTION("""COMPUTED_VALUE"""),"saletructiep_Trungtamhoconline_PTAGTTD_LD260")</f>
        <v>saletructiep_Trungtamhoconline_PTAGTTD_LD260</v>
      </c>
      <c r="T221" s="107" t="str">
        <f>IFERROR(__xludf.DUMMYFUNCTION("""COMPUTED_VALUE"""),"https://patadovietnam.edu.vn/khoa-tieng-anh-giao-tiep-dai-loan/?utm_source=Google&amp;utm_medium=SEA&amp;utm_term=NEW_Taiwan_none_none_160126&amp;utm_content=saletructiep_Trungtamhoconline_PTAGTTD_LD260&amp;utm_campaign=Taiwan.giaotiep.tienganh_Patado_SEA_HoaNT_160126")</f>
        <v>https://patadovietnam.edu.vn/khoa-tieng-anh-giao-tiep-dai-loan/?utm_source=Google&amp;utm_medium=SEA&amp;utm_term=NEW_Taiwan_none_none_160126&amp;utm_content=saletructiep_Trungtamhoconline_PTAGTTD_LD260&amp;utm_campaign=Taiwan.giaotiep.tienganh_Patado_SEA_HoaNT_160126</v>
      </c>
      <c r="U221" s="116"/>
    </row>
    <row r="222">
      <c r="A222" s="72">
        <v>46038.0</v>
      </c>
      <c r="B222" s="60" t="s">
        <v>2866</v>
      </c>
      <c r="C222" s="67" t="str">
        <f>IFERROR(__xludf.DUMMYFUNCTION("""COMPUTED_VALUE"""),"LD260")</f>
        <v>LD260</v>
      </c>
      <c r="D222" s="55" t="s">
        <v>188</v>
      </c>
      <c r="E222" s="55" t="s">
        <v>193</v>
      </c>
      <c r="F222" s="55" t="s">
        <v>164</v>
      </c>
      <c r="G222" s="55" t="s">
        <v>61</v>
      </c>
      <c r="H222" s="55" t="s">
        <v>1261</v>
      </c>
      <c r="I222" s="115" t="s">
        <v>2862</v>
      </c>
      <c r="J222" s="142" t="s">
        <v>2532</v>
      </c>
      <c r="K222" s="55" t="s">
        <v>61</v>
      </c>
      <c r="L222" s="55" t="s">
        <v>1130</v>
      </c>
      <c r="M222" s="55" t="s">
        <v>78</v>
      </c>
      <c r="N222" s="55" t="s">
        <v>193</v>
      </c>
      <c r="O222" s="55" t="s">
        <v>1768</v>
      </c>
      <c r="P222" s="55" t="s">
        <v>110</v>
      </c>
      <c r="Q222" s="67" t="str">
        <f>IFERROR(__xludf.DUMMYFUNCTION("""COMPUTED_VALUE"""),"Taiwan.giaotiep.tienganh_Patado_SEA_HoaNT_160126")</f>
        <v>Taiwan.giaotiep.tienganh_Patado_SEA_HoaNT_160126</v>
      </c>
      <c r="R222" s="67" t="str">
        <f>IFERROR(__xludf.DUMMYFUNCTION("""COMPUTED_VALUE"""),"NEW_Taiwan_none_none_160126")</f>
        <v>NEW_Taiwan_none_none_160126</v>
      </c>
      <c r="S222" s="67" t="str">
        <f>IFERROR(__xludf.DUMMYFUNCTION("""COMPUTED_VALUE"""),"saletructiep_Hocphionline_PTAGTTD_LD260")</f>
        <v>saletructiep_Hocphionline_PTAGTTD_LD260</v>
      </c>
      <c r="T222" s="107" t="str">
        <f>IFERROR(__xludf.DUMMYFUNCTION("""COMPUTED_VALUE"""),"https://patadovietnam.edu.vn/khoa-tieng-anh-giao-tiep-dai-loan/?utm_source=Google&amp;utm_medium=SEA&amp;utm_term=NEW_Taiwan_none_none_160126&amp;utm_content=saletructiep_Hocphionline_PTAGTTD_LD260&amp;utm_campaign=Taiwan.giaotiep.tienganh_Patado_SEA_HoaNT_160126")</f>
        <v>https://patadovietnam.edu.vn/khoa-tieng-anh-giao-tiep-dai-loan/?utm_source=Google&amp;utm_medium=SEA&amp;utm_term=NEW_Taiwan_none_none_160126&amp;utm_content=saletructiep_Hocphionline_PTAGTTD_LD260&amp;utm_campaign=Taiwan.giaotiep.tienganh_Patado_SEA_HoaNT_160126</v>
      </c>
      <c r="U222" s="116"/>
    </row>
    <row r="223">
      <c r="A223" s="72">
        <v>46038.0</v>
      </c>
      <c r="B223" s="60" t="s">
        <v>2866</v>
      </c>
      <c r="C223" s="67" t="str">
        <f>IFERROR(__xludf.DUMMYFUNCTION("""COMPUTED_VALUE"""),"LD260")</f>
        <v>LD260</v>
      </c>
      <c r="D223" s="55" t="s">
        <v>188</v>
      </c>
      <c r="E223" s="55" t="s">
        <v>193</v>
      </c>
      <c r="F223" s="55" t="s">
        <v>164</v>
      </c>
      <c r="G223" s="55" t="s">
        <v>61</v>
      </c>
      <c r="H223" s="55" t="s">
        <v>1261</v>
      </c>
      <c r="I223" s="115" t="s">
        <v>2862</v>
      </c>
      <c r="J223" s="142" t="s">
        <v>2541</v>
      </c>
      <c r="K223" s="55" t="s">
        <v>61</v>
      </c>
      <c r="L223" s="55" t="s">
        <v>1130</v>
      </c>
      <c r="M223" s="55" t="s">
        <v>78</v>
      </c>
      <c r="N223" s="55" t="s">
        <v>193</v>
      </c>
      <c r="O223" s="55" t="s">
        <v>1768</v>
      </c>
      <c r="P223" s="55" t="s">
        <v>110</v>
      </c>
      <c r="Q223" s="67" t="str">
        <f>IFERROR(__xludf.DUMMYFUNCTION("""COMPUTED_VALUE"""),"Taiwan.giaotiep.tienganh_Patado_SEA_HoaNT_160126")</f>
        <v>Taiwan.giaotiep.tienganh_Patado_SEA_HoaNT_160126</v>
      </c>
      <c r="R223" s="67" t="str">
        <f>IFERROR(__xludf.DUMMYFUNCTION("""COMPUTED_VALUE"""),"NEW_Taiwan_none_none_160126")</f>
        <v>NEW_Taiwan_none_none_160126</v>
      </c>
      <c r="S223" s="67" t="str">
        <f>IFERROR(__xludf.DUMMYFUNCTION("""COMPUTED_VALUE"""),"saletructiep_Tienganhgiaotiep_PTAGTTD_LD260")</f>
        <v>saletructiep_Tienganhgiaotiep_PTAGTTD_LD260</v>
      </c>
      <c r="T223" s="107" t="str">
        <f>IFERROR(__xludf.DUMMYFUNCTION("""COMPUTED_VALUE"""),"https://patadovietnam.edu.vn/khoa-tieng-anh-giao-tiep-dai-loan/?utm_source=Google&amp;utm_medium=SEA&amp;utm_term=NEW_Taiwan_none_none_160126&amp;utm_content=saletructiep_Tienganhgiaotiep_PTAGTTD_LD260&amp;utm_campaign=Taiwan.giaotiep.tienganh_Patado_SEA_HoaNT_160126")</f>
        <v>https://patadovietnam.edu.vn/khoa-tieng-anh-giao-tiep-dai-loan/?utm_source=Google&amp;utm_medium=SEA&amp;utm_term=NEW_Taiwan_none_none_160126&amp;utm_content=saletructiep_Tienganhgiaotiep_PTAGTTD_LD260&amp;utm_campaign=Taiwan.giaotiep.tienganh_Patado_SEA_HoaNT_160126</v>
      </c>
      <c r="U223" s="116"/>
    </row>
    <row r="224">
      <c r="A224" s="72">
        <v>46038.0</v>
      </c>
      <c r="B224" s="60" t="s">
        <v>2866</v>
      </c>
      <c r="C224" s="67" t="str">
        <f>IFERROR(__xludf.DUMMYFUNCTION("""COMPUTED_VALUE"""),"LD260")</f>
        <v>LD260</v>
      </c>
      <c r="D224" s="55" t="s">
        <v>188</v>
      </c>
      <c r="E224" s="55" t="s">
        <v>193</v>
      </c>
      <c r="F224" s="55" t="s">
        <v>164</v>
      </c>
      <c r="G224" s="55" t="s">
        <v>61</v>
      </c>
      <c r="H224" s="55" t="s">
        <v>1261</v>
      </c>
      <c r="I224" s="115" t="s">
        <v>2862</v>
      </c>
      <c r="J224" s="143" t="s">
        <v>2546</v>
      </c>
      <c r="K224" s="55" t="s">
        <v>61</v>
      </c>
      <c r="L224" s="55" t="s">
        <v>1130</v>
      </c>
      <c r="M224" s="55" t="s">
        <v>78</v>
      </c>
      <c r="N224" s="55" t="s">
        <v>193</v>
      </c>
      <c r="O224" s="55" t="s">
        <v>1768</v>
      </c>
      <c r="P224" s="55" t="s">
        <v>110</v>
      </c>
      <c r="Q224" s="67" t="str">
        <f>IFERROR(__xludf.DUMMYFUNCTION("""COMPUTED_VALUE"""),"Taiwan.giaotiep.tienganh_Patado_SEA_HoaNT_160126")</f>
        <v>Taiwan.giaotiep.tienganh_Patado_SEA_HoaNT_160126</v>
      </c>
      <c r="R224" s="67" t="str">
        <f>IFERROR(__xludf.DUMMYFUNCTION("""COMPUTED_VALUE"""),"NEW_Taiwan_none_none_160126")</f>
        <v>NEW_Taiwan_none_none_160126</v>
      </c>
      <c r="S224" s="67" t="str">
        <f>IFERROR(__xludf.DUMMYFUNCTION("""COMPUTED_VALUE"""),"saletructiep_Tienganhgiaotiep11_PTAGTTD_LD260")</f>
        <v>saletructiep_Tienganhgiaotiep11_PTAGTTD_LD260</v>
      </c>
      <c r="T224" s="107" t="str">
        <f>IFERROR(__xludf.DUMMYFUNCTION("""COMPUTED_VALUE"""),"https://patadovietnam.edu.vn/khoa-tieng-anh-giao-tiep-dai-loan/?utm_source=Google&amp;utm_medium=SEA&amp;utm_term=NEW_Taiwan_none_none_160126&amp;utm_content=saletructiep_Tienganhgiaotiep11_PTAGTTD_LD260&amp;utm_campaign=Taiwan.giaotiep.tienganh_Patado_SEA_HoaNT_160126")</f>
        <v>https://patadovietnam.edu.vn/khoa-tieng-anh-giao-tiep-dai-loan/?utm_source=Google&amp;utm_medium=SEA&amp;utm_term=NEW_Taiwan_none_none_160126&amp;utm_content=saletructiep_Tienganhgiaotiep11_PTAGTTD_LD260&amp;utm_campaign=Taiwan.giaotiep.tienganh_Patado_SEA_HoaNT_160126</v>
      </c>
      <c r="U224" s="116"/>
    </row>
    <row r="225">
      <c r="A225" s="72">
        <v>46038.0</v>
      </c>
      <c r="B225" s="60" t="s">
        <v>2866</v>
      </c>
      <c r="C225" s="67" t="str">
        <f>IFERROR(__xludf.DUMMYFUNCTION("""COMPUTED_VALUE"""),"LD260")</f>
        <v>LD260</v>
      </c>
      <c r="D225" s="55" t="s">
        <v>188</v>
      </c>
      <c r="E225" s="55" t="s">
        <v>193</v>
      </c>
      <c r="F225" s="55" t="s">
        <v>164</v>
      </c>
      <c r="G225" s="55" t="s">
        <v>61</v>
      </c>
      <c r="H225" s="55" t="s">
        <v>1261</v>
      </c>
      <c r="I225" s="115" t="s">
        <v>2862</v>
      </c>
      <c r="J225" s="142" t="s">
        <v>2550</v>
      </c>
      <c r="K225" s="55" t="s">
        <v>61</v>
      </c>
      <c r="L225" s="55" t="s">
        <v>1130</v>
      </c>
      <c r="M225" s="55" t="s">
        <v>78</v>
      </c>
      <c r="N225" s="55" t="s">
        <v>193</v>
      </c>
      <c r="O225" s="55" t="s">
        <v>1768</v>
      </c>
      <c r="P225" s="55" t="s">
        <v>110</v>
      </c>
      <c r="Q225" s="67" t="str">
        <f>IFERROR(__xludf.DUMMYFUNCTION("""COMPUTED_VALUE"""),"Taiwan.giaotiep.tienganh_Patado_SEA_HoaNT_160126")</f>
        <v>Taiwan.giaotiep.tienganh_Patado_SEA_HoaNT_160126</v>
      </c>
      <c r="R225" s="67" t="str">
        <f>IFERROR(__xludf.DUMMYFUNCTION("""COMPUTED_VALUE"""),"NEW_Taiwan_none_none_160126")</f>
        <v>NEW_Taiwan_none_none_160126</v>
      </c>
      <c r="S225" s="67" t="str">
        <f>IFERROR(__xludf.DUMMYFUNCTION("""COMPUTED_VALUE"""),"saletructiep_Hoctienganhgiaotiep_PTAGTTD_LD260")</f>
        <v>saletructiep_Hoctienganhgiaotiep_PTAGTTD_LD260</v>
      </c>
      <c r="T225" s="107" t="str">
        <f>IFERROR(__xludf.DUMMYFUNCTION("""COMPUTED_VALUE"""),"https://patadovietnam.edu.vn/khoa-tieng-anh-giao-tiep-dai-loan/?utm_source=Google&amp;utm_medium=SEA&amp;utm_term=NEW_Taiwan_none_none_160126&amp;utm_content=saletructiep_Hoctienganhgiaotiep_PTAGTTD_LD260&amp;utm_campaign=Taiwan.giaotiep.tienganh_Patado_SEA_HoaNT_160126")</f>
        <v>https://patadovietnam.edu.vn/khoa-tieng-anh-giao-tiep-dai-loan/?utm_source=Google&amp;utm_medium=SEA&amp;utm_term=NEW_Taiwan_none_none_160126&amp;utm_content=saletructiep_Hoctienganhgiaotiep_PTAGTTD_LD260&amp;utm_campaign=Taiwan.giaotiep.tienganh_Patado_SEA_HoaNT_160126</v>
      </c>
      <c r="U225" s="116"/>
    </row>
    <row r="226">
      <c r="A226" s="72">
        <v>46038.0</v>
      </c>
      <c r="B226" s="60" t="s">
        <v>2866</v>
      </c>
      <c r="C226" s="67" t="str">
        <f>IFERROR(__xludf.DUMMYFUNCTION("""COMPUTED_VALUE"""),"LD260")</f>
        <v>LD260</v>
      </c>
      <c r="D226" s="55" t="s">
        <v>188</v>
      </c>
      <c r="E226" s="55" t="s">
        <v>193</v>
      </c>
      <c r="F226" s="55" t="s">
        <v>164</v>
      </c>
      <c r="G226" s="55" t="s">
        <v>61</v>
      </c>
      <c r="H226" s="55" t="s">
        <v>1261</v>
      </c>
      <c r="I226" s="115" t="s">
        <v>2862</v>
      </c>
      <c r="J226" s="142" t="s">
        <v>2555</v>
      </c>
      <c r="K226" s="55" t="s">
        <v>61</v>
      </c>
      <c r="L226" s="55" t="s">
        <v>1130</v>
      </c>
      <c r="M226" s="55" t="s">
        <v>78</v>
      </c>
      <c r="N226" s="55" t="s">
        <v>193</v>
      </c>
      <c r="O226" s="55" t="s">
        <v>1768</v>
      </c>
      <c r="P226" s="55" t="s">
        <v>110</v>
      </c>
      <c r="Q226" s="67" t="str">
        <f>IFERROR(__xludf.DUMMYFUNCTION("""COMPUTED_VALUE"""),"Taiwan.giaotiep.tienganh_Patado_SEA_HoaNT_160126")</f>
        <v>Taiwan.giaotiep.tienganh_Patado_SEA_HoaNT_160126</v>
      </c>
      <c r="R226" s="67" t="str">
        <f>IFERROR(__xludf.DUMMYFUNCTION("""COMPUTED_VALUE"""),"NEW_Taiwan_none_none_160126")</f>
        <v>NEW_Taiwan_none_none_160126</v>
      </c>
      <c r="S226" s="67" t="str">
        <f>IFERROR(__xludf.DUMMYFUNCTION("""COMPUTED_VALUE"""),"saletructiep_Hocgiaotiepcoban_PTAGTTD_LD260")</f>
        <v>saletructiep_Hocgiaotiepcoban_PTAGTTD_LD260</v>
      </c>
      <c r="T226" s="107" t="str">
        <f>IFERROR(__xludf.DUMMYFUNCTION("""COMPUTED_VALUE"""),"https://patadovietnam.edu.vn/khoa-tieng-anh-giao-tiep-dai-loan/?utm_source=Google&amp;utm_medium=SEA&amp;utm_term=NEW_Taiwan_none_none_160126&amp;utm_content=saletructiep_Hocgiaotiepcoban_PTAGTTD_LD260&amp;utm_campaign=Taiwan.giaotiep.tienganh_Patado_SEA_HoaNT_160126")</f>
        <v>https://patadovietnam.edu.vn/khoa-tieng-anh-giao-tiep-dai-loan/?utm_source=Google&amp;utm_medium=SEA&amp;utm_term=NEW_Taiwan_none_none_160126&amp;utm_content=saletructiep_Hocgiaotiepcoban_PTAGTTD_LD260&amp;utm_campaign=Taiwan.giaotiep.tienganh_Patado_SEA_HoaNT_160126</v>
      </c>
      <c r="U226" s="116"/>
    </row>
    <row r="227">
      <c r="A227" s="72">
        <v>46038.0</v>
      </c>
      <c r="B227" s="60" t="s">
        <v>2866</v>
      </c>
      <c r="C227" s="67" t="str">
        <f>IFERROR(__xludf.DUMMYFUNCTION("""COMPUTED_VALUE"""),"LD260")</f>
        <v>LD260</v>
      </c>
      <c r="D227" s="55" t="s">
        <v>188</v>
      </c>
      <c r="E227" s="55" t="s">
        <v>193</v>
      </c>
      <c r="F227" s="55" t="s">
        <v>164</v>
      </c>
      <c r="G227" s="55" t="s">
        <v>61</v>
      </c>
      <c r="H227" s="55" t="s">
        <v>1261</v>
      </c>
      <c r="I227" s="115" t="s">
        <v>2862</v>
      </c>
      <c r="J227" s="142" t="s">
        <v>2560</v>
      </c>
      <c r="K227" s="55" t="s">
        <v>61</v>
      </c>
      <c r="L227" s="55" t="s">
        <v>1130</v>
      </c>
      <c r="M227" s="55" t="s">
        <v>78</v>
      </c>
      <c r="N227" s="55" t="s">
        <v>193</v>
      </c>
      <c r="O227" s="55" t="s">
        <v>1768</v>
      </c>
      <c r="P227" s="55" t="s">
        <v>110</v>
      </c>
      <c r="Q227" s="67" t="str">
        <f>IFERROR(__xludf.DUMMYFUNCTION("""COMPUTED_VALUE"""),"Taiwan.giaotiep.tienganh_Patado_SEA_HoaNT_160126")</f>
        <v>Taiwan.giaotiep.tienganh_Patado_SEA_HoaNT_160126</v>
      </c>
      <c r="R227" s="67" t="str">
        <f>IFERROR(__xludf.DUMMYFUNCTION("""COMPUTED_VALUE"""),"NEW_Taiwan_none_none_160126")</f>
        <v>NEW_Taiwan_none_none_160126</v>
      </c>
      <c r="S227" s="67" t="str">
        <f>IFERROR(__xludf.DUMMYFUNCTION("""COMPUTED_VALUE"""),"saletructiep_Hocgiaotiepcaptoc_PTAGTTD_LD260")</f>
        <v>saletructiep_Hocgiaotiepcaptoc_PTAGTTD_LD260</v>
      </c>
      <c r="T227" s="107" t="str">
        <f>IFERROR(__xludf.DUMMYFUNCTION("""COMPUTED_VALUE"""),"https://patadovietnam.edu.vn/khoa-tieng-anh-giao-tiep-dai-loan/?utm_source=Google&amp;utm_medium=SEA&amp;utm_term=NEW_Taiwan_none_none_160126&amp;utm_content=saletructiep_Hocgiaotiepcaptoc_PTAGTTD_LD260&amp;utm_campaign=Taiwan.giaotiep.tienganh_Patado_SEA_HoaNT_160126")</f>
        <v>https://patadovietnam.edu.vn/khoa-tieng-anh-giao-tiep-dai-loan/?utm_source=Google&amp;utm_medium=SEA&amp;utm_term=NEW_Taiwan_none_none_160126&amp;utm_content=saletructiep_Hocgiaotiepcaptoc_PTAGTTD_LD260&amp;utm_campaign=Taiwan.giaotiep.tienganh_Patado_SEA_HoaNT_160126</v>
      </c>
      <c r="U227" s="116"/>
    </row>
    <row r="228">
      <c r="A228" s="72">
        <v>46038.0</v>
      </c>
      <c r="B228" s="60" t="s">
        <v>2866</v>
      </c>
      <c r="C228" s="67" t="str">
        <f>IFERROR(__xludf.DUMMYFUNCTION("""COMPUTED_VALUE"""),"LD260")</f>
        <v>LD260</v>
      </c>
      <c r="D228" s="55" t="s">
        <v>188</v>
      </c>
      <c r="E228" s="55" t="s">
        <v>193</v>
      </c>
      <c r="F228" s="55" t="s">
        <v>164</v>
      </c>
      <c r="G228" s="55" t="s">
        <v>61</v>
      </c>
      <c r="H228" s="55" t="s">
        <v>1261</v>
      </c>
      <c r="I228" s="115" t="s">
        <v>2862</v>
      </c>
      <c r="J228" s="142" t="s">
        <v>2569</v>
      </c>
      <c r="K228" s="55" t="s">
        <v>61</v>
      </c>
      <c r="L228" s="55" t="s">
        <v>1130</v>
      </c>
      <c r="M228" s="55" t="s">
        <v>78</v>
      </c>
      <c r="N228" s="55" t="s">
        <v>193</v>
      </c>
      <c r="O228" s="55" t="s">
        <v>1768</v>
      </c>
      <c r="P228" s="55" t="s">
        <v>110</v>
      </c>
      <c r="Q228" s="67" t="str">
        <f>IFERROR(__xludf.DUMMYFUNCTION("""COMPUTED_VALUE"""),"Taiwan.giaotiep.tienganh_Patado_SEA_HoaNT_160126")</f>
        <v>Taiwan.giaotiep.tienganh_Patado_SEA_HoaNT_160126</v>
      </c>
      <c r="R228" s="67" t="str">
        <f>IFERROR(__xludf.DUMMYFUNCTION("""COMPUTED_VALUE"""),"NEW_Taiwan_none_none_160126")</f>
        <v>NEW_Taiwan_none_none_160126</v>
      </c>
      <c r="S228" s="67" t="str">
        <f>IFERROR(__xludf.DUMMYFUNCTION("""COMPUTED_VALUE"""),"saletructiep_Dangkyhocgiaotiep_PTAGTTD_LD260")</f>
        <v>saletructiep_Dangkyhocgiaotiep_PTAGTTD_LD260</v>
      </c>
      <c r="T228" s="107" t="str">
        <f>IFERROR(__xludf.DUMMYFUNCTION("""COMPUTED_VALUE"""),"https://patadovietnam.edu.vn/khoa-tieng-anh-giao-tiep-dai-loan/?utm_source=Google&amp;utm_medium=SEA&amp;utm_term=NEW_Taiwan_none_none_160126&amp;utm_content=saletructiep_Dangkyhocgiaotiep_PTAGTTD_LD260&amp;utm_campaign=Taiwan.giaotiep.tienganh_Patado_SEA_HoaNT_160126")</f>
        <v>https://patadovietnam.edu.vn/khoa-tieng-anh-giao-tiep-dai-loan/?utm_source=Google&amp;utm_medium=SEA&amp;utm_term=NEW_Taiwan_none_none_160126&amp;utm_content=saletructiep_Dangkyhocgiaotiep_PTAGTTD_LD260&amp;utm_campaign=Taiwan.giaotiep.tienganh_Patado_SEA_HoaNT_160126</v>
      </c>
      <c r="U228" s="116"/>
    </row>
    <row r="229">
      <c r="A229" s="72">
        <v>46038.0</v>
      </c>
      <c r="B229" s="60" t="s">
        <v>2866</v>
      </c>
      <c r="C229" s="67" t="str">
        <f>IFERROR(__xludf.DUMMYFUNCTION("""COMPUTED_VALUE"""),"LD260")</f>
        <v>LD260</v>
      </c>
      <c r="D229" s="55" t="s">
        <v>188</v>
      </c>
      <c r="E229" s="55" t="s">
        <v>193</v>
      </c>
      <c r="F229" s="55" t="s">
        <v>164</v>
      </c>
      <c r="G229" s="55" t="s">
        <v>61</v>
      </c>
      <c r="H229" s="55" t="s">
        <v>1261</v>
      </c>
      <c r="I229" s="115" t="s">
        <v>2862</v>
      </c>
      <c r="J229" s="142" t="s">
        <v>2574</v>
      </c>
      <c r="K229" s="55" t="s">
        <v>61</v>
      </c>
      <c r="L229" s="55" t="s">
        <v>1130</v>
      </c>
      <c r="M229" s="55" t="s">
        <v>78</v>
      </c>
      <c r="N229" s="55" t="s">
        <v>193</v>
      </c>
      <c r="O229" s="55" t="s">
        <v>1768</v>
      </c>
      <c r="P229" s="55" t="s">
        <v>110</v>
      </c>
      <c r="Q229" s="67" t="str">
        <f>IFERROR(__xludf.DUMMYFUNCTION("""COMPUTED_VALUE"""),"Taiwan.giaotiep.tienganh_Patado_SEA_HoaNT_160126")</f>
        <v>Taiwan.giaotiep.tienganh_Patado_SEA_HoaNT_160126</v>
      </c>
      <c r="R229" s="67" t="str">
        <f>IFERROR(__xludf.DUMMYFUNCTION("""COMPUTED_VALUE"""),"NEW_Taiwan_none_none_160126")</f>
        <v>NEW_Taiwan_none_none_160126</v>
      </c>
      <c r="S229" s="67" t="str">
        <f>IFERROR(__xludf.DUMMYFUNCTION("""COMPUTED_VALUE"""),"saletructiep_Lotrinhgiaotiep_PTAGTTD_LD260")</f>
        <v>saletructiep_Lotrinhgiaotiep_PTAGTTD_LD260</v>
      </c>
      <c r="T229" s="107" t="str">
        <f>IFERROR(__xludf.DUMMYFUNCTION("""COMPUTED_VALUE"""),"https://patadovietnam.edu.vn/khoa-tieng-anh-giao-tiep-dai-loan/?utm_source=Google&amp;utm_medium=SEA&amp;utm_term=NEW_Taiwan_none_none_160126&amp;utm_content=saletructiep_Lotrinhgiaotiep_PTAGTTD_LD260&amp;utm_campaign=Taiwan.giaotiep.tienganh_Patado_SEA_HoaNT_160126")</f>
        <v>https://patadovietnam.edu.vn/khoa-tieng-anh-giao-tiep-dai-loan/?utm_source=Google&amp;utm_medium=SEA&amp;utm_term=NEW_Taiwan_none_none_160126&amp;utm_content=saletructiep_Lotrinhgiaotiep_PTAGTTD_LD260&amp;utm_campaign=Taiwan.giaotiep.tienganh_Patado_SEA_HoaNT_160126</v>
      </c>
      <c r="U229" s="116"/>
    </row>
    <row r="230">
      <c r="A230" s="72">
        <v>46038.0</v>
      </c>
      <c r="B230" s="60" t="s">
        <v>2866</v>
      </c>
      <c r="C230" s="67" t="str">
        <f>IFERROR(__xludf.DUMMYFUNCTION("""COMPUTED_VALUE"""),"LD260")</f>
        <v>LD260</v>
      </c>
      <c r="D230" s="55" t="s">
        <v>188</v>
      </c>
      <c r="E230" s="55" t="s">
        <v>193</v>
      </c>
      <c r="F230" s="55" t="s">
        <v>164</v>
      </c>
      <c r="G230" s="55" t="s">
        <v>61</v>
      </c>
      <c r="H230" s="55" t="s">
        <v>1261</v>
      </c>
      <c r="I230" s="115" t="s">
        <v>2862</v>
      </c>
      <c r="J230" s="143" t="s">
        <v>2580</v>
      </c>
      <c r="K230" s="55" t="s">
        <v>61</v>
      </c>
      <c r="L230" s="55" t="s">
        <v>1130</v>
      </c>
      <c r="M230" s="55" t="s">
        <v>78</v>
      </c>
      <c r="N230" s="55" t="s">
        <v>193</v>
      </c>
      <c r="O230" s="55" t="s">
        <v>1768</v>
      </c>
      <c r="P230" s="55" t="s">
        <v>110</v>
      </c>
      <c r="Q230" s="67" t="str">
        <f>IFERROR(__xludf.DUMMYFUNCTION("""COMPUTED_VALUE"""),"Taiwan.giaotiep.tienganh_Patado_SEA_HoaNT_160126")</f>
        <v>Taiwan.giaotiep.tienganh_Patado_SEA_HoaNT_160126</v>
      </c>
      <c r="R230" s="67" t="str">
        <f>IFERROR(__xludf.DUMMYFUNCTION("""COMPUTED_VALUE"""),"NEW_Taiwan_none_none_160126")</f>
        <v>NEW_Taiwan_none_none_160126</v>
      </c>
      <c r="S230" s="67" t="str">
        <f>IFERROR(__xludf.DUMMYFUNCTION("""COMPUTED_VALUE"""),"saletructiep_Lopgiaotiep_PTAGTTD_LD260")</f>
        <v>saletructiep_Lopgiaotiep_PTAGTTD_LD260</v>
      </c>
      <c r="T230" s="107" t="str">
        <f>IFERROR(__xludf.DUMMYFUNCTION("""COMPUTED_VALUE"""),"https://patadovietnam.edu.vn/khoa-tieng-anh-giao-tiep-dai-loan/?utm_source=Google&amp;utm_medium=SEA&amp;utm_term=NEW_Taiwan_none_none_160126&amp;utm_content=saletructiep_Lopgiaotiep_PTAGTTD_LD260&amp;utm_campaign=Taiwan.giaotiep.tienganh_Patado_SEA_HoaNT_160126")</f>
        <v>https://patadovietnam.edu.vn/khoa-tieng-anh-giao-tiep-dai-loan/?utm_source=Google&amp;utm_medium=SEA&amp;utm_term=NEW_Taiwan_none_none_160126&amp;utm_content=saletructiep_Lopgiaotiep_PTAGTTD_LD260&amp;utm_campaign=Taiwan.giaotiep.tienganh_Patado_SEA_HoaNT_160126</v>
      </c>
      <c r="U230" s="116"/>
    </row>
    <row r="231">
      <c r="A231" s="72">
        <v>46038.0</v>
      </c>
      <c r="B231" s="60" t="s">
        <v>2866</v>
      </c>
      <c r="C231" s="67" t="str">
        <f>IFERROR(__xludf.DUMMYFUNCTION("""COMPUTED_VALUE"""),"LD260")</f>
        <v>LD260</v>
      </c>
      <c r="D231" s="55" t="s">
        <v>188</v>
      </c>
      <c r="E231" s="55" t="s">
        <v>193</v>
      </c>
      <c r="F231" s="55" t="s">
        <v>164</v>
      </c>
      <c r="G231" s="55" t="s">
        <v>61</v>
      </c>
      <c r="H231" s="55" t="s">
        <v>1261</v>
      </c>
      <c r="I231" s="115" t="s">
        <v>2862</v>
      </c>
      <c r="J231" s="142" t="s">
        <v>2586</v>
      </c>
      <c r="K231" s="55" t="s">
        <v>61</v>
      </c>
      <c r="L231" s="55" t="s">
        <v>1130</v>
      </c>
      <c r="M231" s="55" t="s">
        <v>78</v>
      </c>
      <c r="N231" s="55" t="s">
        <v>193</v>
      </c>
      <c r="O231" s="55" t="s">
        <v>1768</v>
      </c>
      <c r="P231" s="55" t="s">
        <v>110</v>
      </c>
      <c r="Q231" s="67" t="str">
        <f>IFERROR(__xludf.DUMMYFUNCTION("""COMPUTED_VALUE"""),"Taiwan.giaotiep.tienganh_Patado_SEA_HoaNT_160126")</f>
        <v>Taiwan.giaotiep.tienganh_Patado_SEA_HoaNT_160126</v>
      </c>
      <c r="R231" s="67" t="str">
        <f>IFERROR(__xludf.DUMMYFUNCTION("""COMPUTED_VALUE"""),"NEW_Taiwan_none_none_160126")</f>
        <v>NEW_Taiwan_none_none_160126</v>
      </c>
      <c r="S231" s="67" t="str">
        <f>IFERROR(__xludf.DUMMYFUNCTION("""COMPUTED_VALUE"""),"saletructiep_Khoagiaotiep_PTAGTTD_LD260")</f>
        <v>saletructiep_Khoagiaotiep_PTAGTTD_LD260</v>
      </c>
      <c r="T231" s="107" t="str">
        <f>IFERROR(__xludf.DUMMYFUNCTION("""COMPUTED_VALUE"""),"https://patadovietnam.edu.vn/khoa-tieng-anh-giao-tiep-dai-loan/?utm_source=Google&amp;utm_medium=SEA&amp;utm_term=NEW_Taiwan_none_none_160126&amp;utm_content=saletructiep_Khoagiaotiep_PTAGTTD_LD260&amp;utm_campaign=Taiwan.giaotiep.tienganh_Patado_SEA_HoaNT_160126")</f>
        <v>https://patadovietnam.edu.vn/khoa-tieng-anh-giao-tiep-dai-loan/?utm_source=Google&amp;utm_medium=SEA&amp;utm_term=NEW_Taiwan_none_none_160126&amp;utm_content=saletructiep_Khoagiaotiep_PTAGTTD_LD260&amp;utm_campaign=Taiwan.giaotiep.tienganh_Patado_SEA_HoaNT_160126</v>
      </c>
      <c r="U231" s="116"/>
    </row>
    <row r="232">
      <c r="A232" s="72">
        <v>46038.0</v>
      </c>
      <c r="B232" s="60" t="s">
        <v>2866</v>
      </c>
      <c r="C232" s="67" t="str">
        <f>IFERROR(__xludf.DUMMYFUNCTION("""COMPUTED_VALUE"""),"LD260")</f>
        <v>LD260</v>
      </c>
      <c r="D232" s="55" t="s">
        <v>188</v>
      </c>
      <c r="E232" s="55" t="s">
        <v>193</v>
      </c>
      <c r="F232" s="55" t="s">
        <v>164</v>
      </c>
      <c r="G232" s="55" t="s">
        <v>61</v>
      </c>
      <c r="H232" s="55" t="s">
        <v>1261</v>
      </c>
      <c r="I232" s="115" t="s">
        <v>2862</v>
      </c>
      <c r="J232" s="143" t="s">
        <v>2594</v>
      </c>
      <c r="K232" s="55" t="s">
        <v>61</v>
      </c>
      <c r="L232" s="55" t="s">
        <v>1130</v>
      </c>
      <c r="M232" s="55" t="s">
        <v>78</v>
      </c>
      <c r="N232" s="55" t="s">
        <v>193</v>
      </c>
      <c r="O232" s="55" t="s">
        <v>1768</v>
      </c>
      <c r="P232" s="55" t="s">
        <v>110</v>
      </c>
      <c r="Q232" s="67" t="str">
        <f>IFERROR(__xludf.DUMMYFUNCTION("""COMPUTED_VALUE"""),"Taiwan.giaotiep.tienganh_Patado_SEA_HoaNT_160126")</f>
        <v>Taiwan.giaotiep.tienganh_Patado_SEA_HoaNT_160126</v>
      </c>
      <c r="R232" s="67" t="str">
        <f>IFERROR(__xludf.DUMMYFUNCTION("""COMPUTED_VALUE"""),"NEW_Taiwan_none_none_160126")</f>
        <v>NEW_Taiwan_none_none_160126</v>
      </c>
      <c r="S232" s="67" t="str">
        <f>IFERROR(__xludf.DUMMYFUNCTION("""COMPUTED_VALUE"""),"saletructiep_Trungtamgiaotiep_PTAGTTD_LD260")</f>
        <v>saletructiep_Trungtamgiaotiep_PTAGTTD_LD260</v>
      </c>
      <c r="T232" s="107" t="str">
        <f>IFERROR(__xludf.DUMMYFUNCTION("""COMPUTED_VALUE"""),"https://patadovietnam.edu.vn/khoa-tieng-anh-giao-tiep-dai-loan/?utm_source=Google&amp;utm_medium=SEA&amp;utm_term=NEW_Taiwan_none_none_160126&amp;utm_content=saletructiep_Trungtamgiaotiep_PTAGTTD_LD260&amp;utm_campaign=Taiwan.giaotiep.tienganh_Patado_SEA_HoaNT_160126")</f>
        <v>https://patadovietnam.edu.vn/khoa-tieng-anh-giao-tiep-dai-loan/?utm_source=Google&amp;utm_medium=SEA&amp;utm_term=NEW_Taiwan_none_none_160126&amp;utm_content=saletructiep_Trungtamgiaotiep_PTAGTTD_LD260&amp;utm_campaign=Taiwan.giaotiep.tienganh_Patado_SEA_HoaNT_160126</v>
      </c>
      <c r="U232" s="116"/>
    </row>
    <row r="233">
      <c r="A233" s="72">
        <v>46038.0</v>
      </c>
      <c r="B233" s="60" t="s">
        <v>2866</v>
      </c>
      <c r="C233" s="67" t="str">
        <f>IFERROR(__xludf.DUMMYFUNCTION("""COMPUTED_VALUE"""),"LD260")</f>
        <v>LD260</v>
      </c>
      <c r="D233" s="55" t="s">
        <v>188</v>
      </c>
      <c r="E233" s="55" t="s">
        <v>193</v>
      </c>
      <c r="F233" s="55" t="s">
        <v>164</v>
      </c>
      <c r="G233" s="55" t="s">
        <v>61</v>
      </c>
      <c r="H233" s="55" t="s">
        <v>1261</v>
      </c>
      <c r="I233" s="115" t="s">
        <v>2862</v>
      </c>
      <c r="J233" s="142" t="s">
        <v>2600</v>
      </c>
      <c r="K233" s="55" t="s">
        <v>61</v>
      </c>
      <c r="L233" s="55" t="s">
        <v>1130</v>
      </c>
      <c r="M233" s="55" t="s">
        <v>78</v>
      </c>
      <c r="N233" s="55" t="s">
        <v>193</v>
      </c>
      <c r="O233" s="55" t="s">
        <v>1768</v>
      </c>
      <c r="P233" s="55" t="s">
        <v>110</v>
      </c>
      <c r="Q233" s="67" t="str">
        <f>IFERROR(__xludf.DUMMYFUNCTION("""COMPUTED_VALUE"""),"Taiwan.giaotiep.tienganh_Patado_SEA_HoaNT_160126")</f>
        <v>Taiwan.giaotiep.tienganh_Patado_SEA_HoaNT_160126</v>
      </c>
      <c r="R233" s="67" t="str">
        <f>IFERROR(__xludf.DUMMYFUNCTION("""COMPUTED_VALUE"""),"NEW_Taiwan_none_none_160126")</f>
        <v>NEW_Taiwan_none_none_160126</v>
      </c>
      <c r="S233" s="67" t="str">
        <f>IFERROR(__xludf.DUMMYFUNCTION("""COMPUTED_VALUE"""),"saletructiep_Hocphigiaotiep_PTAGTTD_LD260")</f>
        <v>saletructiep_Hocphigiaotiep_PTAGTTD_LD260</v>
      </c>
      <c r="T233" s="107" t="str">
        <f>IFERROR(__xludf.DUMMYFUNCTION("""COMPUTED_VALUE"""),"https://patadovietnam.edu.vn/khoa-tieng-anh-giao-tiep-dai-loan/?utm_source=Google&amp;utm_medium=SEA&amp;utm_term=NEW_Taiwan_none_none_160126&amp;utm_content=saletructiep_Hocphigiaotiep_PTAGTTD_LD260&amp;utm_campaign=Taiwan.giaotiep.tienganh_Patado_SEA_HoaNT_160126")</f>
        <v>https://patadovietnam.edu.vn/khoa-tieng-anh-giao-tiep-dai-loan/?utm_source=Google&amp;utm_medium=SEA&amp;utm_term=NEW_Taiwan_none_none_160126&amp;utm_content=saletructiep_Hocphigiaotiep_PTAGTTD_LD260&amp;utm_campaign=Taiwan.giaotiep.tienganh_Patado_SEA_HoaNT_160126</v>
      </c>
      <c r="U233" s="116"/>
    </row>
    <row r="234">
      <c r="A234" s="72">
        <v>46038.0</v>
      </c>
      <c r="B234" s="60" t="s">
        <v>2866</v>
      </c>
      <c r="C234" s="67" t="str">
        <f>IFERROR(__xludf.DUMMYFUNCTION("""COMPUTED_VALUE"""),"LD260")</f>
        <v>LD260</v>
      </c>
      <c r="D234" s="55" t="s">
        <v>188</v>
      </c>
      <c r="E234" s="55" t="s">
        <v>193</v>
      </c>
      <c r="F234" s="55" t="s">
        <v>164</v>
      </c>
      <c r="G234" s="55" t="s">
        <v>61</v>
      </c>
      <c r="H234" s="55" t="s">
        <v>1261</v>
      </c>
      <c r="I234" s="115" t="s">
        <v>2862</v>
      </c>
      <c r="J234" s="142" t="s">
        <v>2607</v>
      </c>
      <c r="K234" s="55" t="s">
        <v>61</v>
      </c>
      <c r="L234" s="55" t="s">
        <v>1130</v>
      </c>
      <c r="M234" s="55" t="s">
        <v>78</v>
      </c>
      <c r="N234" s="55" t="s">
        <v>193</v>
      </c>
      <c r="O234" s="55" t="s">
        <v>1768</v>
      </c>
      <c r="P234" s="55" t="s">
        <v>110</v>
      </c>
      <c r="Q234" s="67" t="str">
        <f>IFERROR(__xludf.DUMMYFUNCTION("""COMPUTED_VALUE"""),"Taiwan.giaotiep.tienganh_Patado_SEA_HoaNT_160126")</f>
        <v>Taiwan.giaotiep.tienganh_Patado_SEA_HoaNT_160126</v>
      </c>
      <c r="R234" s="67" t="str">
        <f>IFERROR(__xludf.DUMMYFUNCTION("""COMPUTED_VALUE"""),"NEW_Taiwan_none_none_160126")</f>
        <v>NEW_Taiwan_none_none_160126</v>
      </c>
      <c r="S234" s="67" t="str">
        <f>IFERROR(__xludf.DUMMYFUNCTION("""COMPUTED_VALUE"""),"saletructiep_Tienganhngbatdau_PTAGTTD_LD260")</f>
        <v>saletructiep_Tienganhngbatdau_PTAGTTD_LD260</v>
      </c>
      <c r="T234" s="107" t="str">
        <f>IFERROR(__xludf.DUMMYFUNCTION("""COMPUTED_VALUE"""),"https://patadovietnam.edu.vn/khoa-tieng-anh-giao-tiep-dai-loan/?utm_source=Google&amp;utm_medium=SEA&amp;utm_term=NEW_Taiwan_none_none_160126&amp;utm_content=saletructiep_Tienganhngbatdau_PTAGTTD_LD260&amp;utm_campaign=Taiwan.giaotiep.tienganh_Patado_SEA_HoaNT_160126")</f>
        <v>https://patadovietnam.edu.vn/khoa-tieng-anh-giao-tiep-dai-loan/?utm_source=Google&amp;utm_medium=SEA&amp;utm_term=NEW_Taiwan_none_none_160126&amp;utm_content=saletructiep_Tienganhngbatdau_PTAGTTD_LD260&amp;utm_campaign=Taiwan.giaotiep.tienganh_Patado_SEA_HoaNT_160126</v>
      </c>
      <c r="U234" s="116"/>
    </row>
    <row r="235">
      <c r="A235" s="72">
        <v>46038.0</v>
      </c>
      <c r="B235" s="60" t="s">
        <v>2866</v>
      </c>
      <c r="C235" s="67" t="str">
        <f>IFERROR(__xludf.DUMMYFUNCTION("""COMPUTED_VALUE"""),"LD260")</f>
        <v>LD260</v>
      </c>
      <c r="D235" s="55" t="s">
        <v>188</v>
      </c>
      <c r="E235" s="55" t="s">
        <v>193</v>
      </c>
      <c r="F235" s="55" t="s">
        <v>164</v>
      </c>
      <c r="G235" s="55" t="s">
        <v>61</v>
      </c>
      <c r="H235" s="55" t="s">
        <v>1261</v>
      </c>
      <c r="I235" s="115" t="s">
        <v>2862</v>
      </c>
      <c r="J235" s="142" t="s">
        <v>2613</v>
      </c>
      <c r="K235" s="55" t="s">
        <v>61</v>
      </c>
      <c r="L235" s="55" t="s">
        <v>1130</v>
      </c>
      <c r="M235" s="55" t="s">
        <v>78</v>
      </c>
      <c r="N235" s="55" t="s">
        <v>193</v>
      </c>
      <c r="O235" s="55" t="s">
        <v>1768</v>
      </c>
      <c r="P235" s="55" t="s">
        <v>110</v>
      </c>
      <c r="Q235" s="67" t="str">
        <f>IFERROR(__xludf.DUMMYFUNCTION("""COMPUTED_VALUE"""),"Taiwan.giaotiep.tienganh_Patado_SEA_HoaNT_160126")</f>
        <v>Taiwan.giaotiep.tienganh_Patado_SEA_HoaNT_160126</v>
      </c>
      <c r="R235" s="67" t="str">
        <f>IFERROR(__xludf.DUMMYFUNCTION("""COMPUTED_VALUE"""),"NEW_Taiwan_none_none_160126")</f>
        <v>NEW_Taiwan_none_none_160126</v>
      </c>
      <c r="S235" s="67" t="str">
        <f>IFERROR(__xludf.DUMMYFUNCTION("""COMPUTED_VALUE"""),"saletructiep_Tienganhngdilam_PTAGTTD_LD260")</f>
        <v>saletructiep_Tienganhngdilam_PTAGTTD_LD260</v>
      </c>
      <c r="T235" s="107" t="str">
        <f>IFERROR(__xludf.DUMMYFUNCTION("""COMPUTED_VALUE"""),"https://patadovietnam.edu.vn/khoa-tieng-anh-giao-tiep-dai-loan/?utm_source=Google&amp;utm_medium=SEA&amp;utm_term=NEW_Taiwan_none_none_160126&amp;utm_content=saletructiep_Tienganhngdilam_PTAGTTD_LD260&amp;utm_campaign=Taiwan.giaotiep.tienganh_Patado_SEA_HoaNT_160126")</f>
        <v>https://patadovietnam.edu.vn/khoa-tieng-anh-giao-tiep-dai-loan/?utm_source=Google&amp;utm_medium=SEA&amp;utm_term=NEW_Taiwan_none_none_160126&amp;utm_content=saletructiep_Tienganhngdilam_PTAGTTD_LD260&amp;utm_campaign=Taiwan.giaotiep.tienganh_Patado_SEA_HoaNT_160126</v>
      </c>
      <c r="U235" s="116"/>
    </row>
    <row r="236">
      <c r="A236" s="72">
        <v>46038.0</v>
      </c>
      <c r="B236" s="60" t="s">
        <v>2866</v>
      </c>
      <c r="C236" s="67" t="str">
        <f>IFERROR(__xludf.DUMMYFUNCTION("""COMPUTED_VALUE"""),"LD260")</f>
        <v>LD260</v>
      </c>
      <c r="D236" s="55" t="s">
        <v>188</v>
      </c>
      <c r="E236" s="55" t="s">
        <v>193</v>
      </c>
      <c r="F236" s="55" t="s">
        <v>164</v>
      </c>
      <c r="G236" s="55" t="s">
        <v>61</v>
      </c>
      <c r="H236" s="55" t="s">
        <v>1261</v>
      </c>
      <c r="I236" s="115" t="s">
        <v>2862</v>
      </c>
      <c r="J236" s="142" t="s">
        <v>2617</v>
      </c>
      <c r="K236" s="55" t="s">
        <v>61</v>
      </c>
      <c r="L236" s="55" t="s">
        <v>1130</v>
      </c>
      <c r="M236" s="55" t="s">
        <v>78</v>
      </c>
      <c r="N236" s="55" t="s">
        <v>193</v>
      </c>
      <c r="O236" s="55" t="s">
        <v>1768</v>
      </c>
      <c r="P236" s="55" t="s">
        <v>110</v>
      </c>
      <c r="Q236" s="67" t="str">
        <f>IFERROR(__xludf.DUMMYFUNCTION("""COMPUTED_VALUE"""),"Taiwan.giaotiep.tienganh_Patado_SEA_HoaNT_160126")</f>
        <v>Taiwan.giaotiep.tienganh_Patado_SEA_HoaNT_160126</v>
      </c>
      <c r="R236" s="67" t="str">
        <f>IFERROR(__xludf.DUMMYFUNCTION("""COMPUTED_VALUE"""),"NEW_Taiwan_none_none_160126")</f>
        <v>NEW_Taiwan_none_none_160126</v>
      </c>
      <c r="S236" s="67" t="str">
        <f>IFERROR(__xludf.DUMMYFUNCTION("""COMPUTED_VALUE"""),"saletructiep_Tienganhngmatgoc_PTAGTTD_LD260")</f>
        <v>saletructiep_Tienganhngmatgoc_PTAGTTD_LD260</v>
      </c>
      <c r="T236" s="107" t="str">
        <f>IFERROR(__xludf.DUMMYFUNCTION("""COMPUTED_VALUE"""),"https://patadovietnam.edu.vn/khoa-tieng-anh-giao-tiep-dai-loan/?utm_source=Google&amp;utm_medium=SEA&amp;utm_term=NEW_Taiwan_none_none_160126&amp;utm_content=saletructiep_Tienganhngmatgoc_PTAGTTD_LD260&amp;utm_campaign=Taiwan.giaotiep.tienganh_Patado_SEA_HoaNT_160126")</f>
        <v>https://patadovietnam.edu.vn/khoa-tieng-anh-giao-tiep-dai-loan/?utm_source=Google&amp;utm_medium=SEA&amp;utm_term=NEW_Taiwan_none_none_160126&amp;utm_content=saletructiep_Tienganhngmatgoc_PTAGTTD_LD260&amp;utm_campaign=Taiwan.giaotiep.tienganh_Patado_SEA_HoaNT_160126</v>
      </c>
      <c r="U236" s="116"/>
    </row>
    <row r="237">
      <c r="A237" s="72">
        <v>46038.0</v>
      </c>
      <c r="B237" s="161" t="s">
        <v>2963</v>
      </c>
      <c r="C237" s="67" t="str">
        <f>IFERROR(__xludf.DUMMYFUNCTION("""COMPUTED_VALUE"""),"LD261")</f>
        <v>LD261</v>
      </c>
      <c r="D237" s="55" t="s">
        <v>188</v>
      </c>
      <c r="E237" s="55" t="s">
        <v>193</v>
      </c>
      <c r="F237" s="55" t="s">
        <v>674</v>
      </c>
      <c r="G237" s="55" t="s">
        <v>61</v>
      </c>
      <c r="H237" s="55" t="s">
        <v>1261</v>
      </c>
      <c r="I237" s="115" t="s">
        <v>2964</v>
      </c>
      <c r="J237" s="159" t="s">
        <v>2448</v>
      </c>
      <c r="K237" s="55" t="s">
        <v>61</v>
      </c>
      <c r="L237" s="55" t="s">
        <v>1130</v>
      </c>
      <c r="M237" s="55" t="s">
        <v>78</v>
      </c>
      <c r="N237" s="55" t="s">
        <v>193</v>
      </c>
      <c r="O237" s="55" t="s">
        <v>1768</v>
      </c>
      <c r="P237" s="55" t="s">
        <v>110</v>
      </c>
      <c r="Q237" s="67" t="str">
        <f>IFERROR(__xludf.DUMMYFUNCTION("""COMPUTED_VALUE"""),"Europe.giaotiep.tienganh_Patado_SEA_HoaNT_160126")</f>
        <v>Europe.giaotiep.tienganh_Patado_SEA_HoaNT_160126</v>
      </c>
      <c r="R237" s="67" t="str">
        <f>IFERROR(__xludf.DUMMYFUNCTION("""COMPUTED_VALUE"""),"NEW_Europe_none_none_160126")</f>
        <v>NEW_Europe_none_none_160126</v>
      </c>
      <c r="S237" s="67" t="str">
        <f>IFERROR(__xludf.DUMMYFUNCTION("""COMPUTED_VALUE"""),"saletructiep_Hoctienganh_PTAGTTD_LD261")</f>
        <v>saletructiep_Hoctienganh_PTAGTTD_LD261</v>
      </c>
      <c r="T237" s="107" t="str">
        <f>IFERROR(__xludf.DUMMYFUNCTION("""COMPUTED_VALUE"""),"https://patadovietnam.edu.vn/khoa-tieng-anh-giao-tiep-chau-au/?utm_source=Google&amp;utm_medium=SEA&amp;utm_term=NEW_Europe_none_none_160126&amp;utm_content=saletructiep_Hoctienganh_PTAGTTD_LD261&amp;utm_campaign=Europe.giaotiep.tienganh_Patado_SEA_HoaNT_160126")</f>
        <v>https://patadovietnam.edu.vn/khoa-tieng-anh-giao-tiep-chau-au/?utm_source=Google&amp;utm_medium=SEA&amp;utm_term=NEW_Europe_none_none_160126&amp;utm_content=saletructiep_Hoctienganh_PTAGTTD_LD261&amp;utm_campaign=Europe.giaotiep.tienganh_Patado_SEA_HoaNT_160126</v>
      </c>
      <c r="U237" s="116"/>
    </row>
    <row r="238">
      <c r="A238" s="72">
        <v>46038.0</v>
      </c>
      <c r="B238" s="161" t="s">
        <v>2963</v>
      </c>
      <c r="C238" s="67" t="str">
        <f>IFERROR(__xludf.DUMMYFUNCTION("""COMPUTED_VALUE"""),"LD261")</f>
        <v>LD261</v>
      </c>
      <c r="D238" s="55" t="s">
        <v>188</v>
      </c>
      <c r="E238" s="55" t="s">
        <v>193</v>
      </c>
      <c r="F238" s="55" t="s">
        <v>674</v>
      </c>
      <c r="G238" s="55" t="s">
        <v>61</v>
      </c>
      <c r="H238" s="55" t="s">
        <v>1261</v>
      </c>
      <c r="I238" s="115" t="s">
        <v>2964</v>
      </c>
      <c r="J238" s="155" t="s">
        <v>2455</v>
      </c>
      <c r="K238" s="55" t="s">
        <v>61</v>
      </c>
      <c r="L238" s="55" t="s">
        <v>1130</v>
      </c>
      <c r="M238" s="55" t="s">
        <v>78</v>
      </c>
      <c r="N238" s="55" t="s">
        <v>193</v>
      </c>
      <c r="O238" s="55" t="s">
        <v>1768</v>
      </c>
      <c r="P238" s="55" t="s">
        <v>110</v>
      </c>
      <c r="Q238" s="67" t="str">
        <f>IFERROR(__xludf.DUMMYFUNCTION("""COMPUTED_VALUE"""),"Europe.giaotiep.tienganh_Patado_SEA_HoaNT_160126")</f>
        <v>Europe.giaotiep.tienganh_Patado_SEA_HoaNT_160126</v>
      </c>
      <c r="R238" s="67" t="str">
        <f>IFERROR(__xludf.DUMMYFUNCTION("""COMPUTED_VALUE"""),"NEW_Europe_none_none_160126")</f>
        <v>NEW_Europe_none_none_160126</v>
      </c>
      <c r="S238" s="67" t="str">
        <f>IFERROR(__xludf.DUMMYFUNCTION("""COMPUTED_VALUE"""),"saletructiep_Hoctienganh11_PTAGTTD_LD261")</f>
        <v>saletructiep_Hoctienganh11_PTAGTTD_LD261</v>
      </c>
      <c r="T238" s="107" t="str">
        <f>IFERROR(__xludf.DUMMYFUNCTION("""COMPUTED_VALUE"""),"https://patadovietnam.edu.vn/khoa-tieng-anh-giao-tiep-chau-au/?utm_source=Google&amp;utm_medium=SEA&amp;utm_term=NEW_Europe_none_none_160126&amp;utm_content=saletructiep_Hoctienganh11_PTAGTTD_LD261&amp;utm_campaign=Europe.giaotiep.tienganh_Patado_SEA_HoaNT_160126")</f>
        <v>https://patadovietnam.edu.vn/khoa-tieng-anh-giao-tiep-chau-au/?utm_source=Google&amp;utm_medium=SEA&amp;utm_term=NEW_Europe_none_none_160126&amp;utm_content=saletructiep_Hoctienganh11_PTAGTTD_LD261&amp;utm_campaign=Europe.giaotiep.tienganh_Patado_SEA_HoaNT_160126</v>
      </c>
      <c r="U238" s="116"/>
    </row>
    <row r="239">
      <c r="A239" s="72">
        <v>46038.0</v>
      </c>
      <c r="B239" s="161" t="s">
        <v>2963</v>
      </c>
      <c r="C239" s="67" t="str">
        <f>IFERROR(__xludf.DUMMYFUNCTION("""COMPUTED_VALUE"""),"LD261")</f>
        <v>LD261</v>
      </c>
      <c r="D239" s="55" t="s">
        <v>188</v>
      </c>
      <c r="E239" s="55" t="s">
        <v>193</v>
      </c>
      <c r="F239" s="55" t="s">
        <v>674</v>
      </c>
      <c r="G239" s="55" t="s">
        <v>61</v>
      </c>
      <c r="H239" s="55" t="s">
        <v>1261</v>
      </c>
      <c r="I239" s="115" t="s">
        <v>2964</v>
      </c>
      <c r="J239" s="149" t="s">
        <v>2462</v>
      </c>
      <c r="K239" s="55" t="s">
        <v>61</v>
      </c>
      <c r="L239" s="55" t="s">
        <v>1130</v>
      </c>
      <c r="M239" s="55" t="s">
        <v>78</v>
      </c>
      <c r="N239" s="55" t="s">
        <v>193</v>
      </c>
      <c r="O239" s="55" t="s">
        <v>1768</v>
      </c>
      <c r="P239" s="55" t="s">
        <v>110</v>
      </c>
      <c r="Q239" s="67" t="str">
        <f>IFERROR(__xludf.DUMMYFUNCTION("""COMPUTED_VALUE"""),"Europe.giaotiep.tienganh_Patado_SEA_HoaNT_160126")</f>
        <v>Europe.giaotiep.tienganh_Patado_SEA_HoaNT_160126</v>
      </c>
      <c r="R239" s="67" t="str">
        <f>IFERROR(__xludf.DUMMYFUNCTION("""COMPUTED_VALUE"""),"NEW_Europe_none_none_160126")</f>
        <v>NEW_Europe_none_none_160126</v>
      </c>
      <c r="S239" s="67" t="str">
        <f>IFERROR(__xludf.DUMMYFUNCTION("""COMPUTED_VALUE"""),"saletructiep_Tienganhtructuyen_PTAGTTD_LD261")</f>
        <v>saletructiep_Tienganhtructuyen_PTAGTTD_LD261</v>
      </c>
      <c r="T239" s="107" t="str">
        <f>IFERROR(__xludf.DUMMYFUNCTION("""COMPUTED_VALUE"""),"https://patadovietnam.edu.vn/khoa-tieng-anh-giao-tiep-chau-au/?utm_source=Google&amp;utm_medium=SEA&amp;utm_term=NEW_Europe_none_none_160126&amp;utm_content=saletructiep_Tienganhtructuyen_PTAGTTD_LD261&amp;utm_campaign=Europe.giaotiep.tienganh_Patado_SEA_HoaNT_160126")</f>
        <v>https://patadovietnam.edu.vn/khoa-tieng-anh-giao-tiep-chau-au/?utm_source=Google&amp;utm_medium=SEA&amp;utm_term=NEW_Europe_none_none_160126&amp;utm_content=saletructiep_Tienganhtructuyen_PTAGTTD_LD261&amp;utm_campaign=Europe.giaotiep.tienganh_Patado_SEA_HoaNT_160126</v>
      </c>
      <c r="U239" s="116"/>
    </row>
    <row r="240">
      <c r="A240" s="72">
        <v>46038.0</v>
      </c>
      <c r="B240" s="161" t="s">
        <v>2963</v>
      </c>
      <c r="C240" s="67" t="str">
        <f>IFERROR(__xludf.DUMMYFUNCTION("""COMPUTED_VALUE"""),"LD261")</f>
        <v>LD261</v>
      </c>
      <c r="D240" s="55" t="s">
        <v>188</v>
      </c>
      <c r="E240" s="55" t="s">
        <v>193</v>
      </c>
      <c r="F240" s="55" t="s">
        <v>674</v>
      </c>
      <c r="G240" s="55" t="s">
        <v>61</v>
      </c>
      <c r="H240" s="55" t="s">
        <v>1261</v>
      </c>
      <c r="I240" s="115" t="s">
        <v>2964</v>
      </c>
      <c r="J240" s="142" t="s">
        <v>2471</v>
      </c>
      <c r="K240" s="55" t="s">
        <v>61</v>
      </c>
      <c r="L240" s="55" t="s">
        <v>1130</v>
      </c>
      <c r="M240" s="55" t="s">
        <v>78</v>
      </c>
      <c r="N240" s="55" t="s">
        <v>193</v>
      </c>
      <c r="O240" s="55" t="s">
        <v>1768</v>
      </c>
      <c r="P240" s="55" t="s">
        <v>110</v>
      </c>
      <c r="Q240" s="67" t="str">
        <f>IFERROR(__xludf.DUMMYFUNCTION("""COMPUTED_VALUE"""),"Europe.giaotiep.tienganh_Patado_SEA_HoaNT_160126")</f>
        <v>Europe.giaotiep.tienganh_Patado_SEA_HoaNT_160126</v>
      </c>
      <c r="R240" s="67" t="str">
        <f>IFERROR(__xludf.DUMMYFUNCTION("""COMPUTED_VALUE"""),"NEW_Europe_none_none_160126")</f>
        <v>NEW_Europe_none_none_160126</v>
      </c>
      <c r="S240" s="67" t="str">
        <f>IFERROR(__xludf.DUMMYFUNCTION("""COMPUTED_VALUE"""),"saletructiep_Tienganhquamang_PTAGTTD_LD261")</f>
        <v>saletructiep_Tienganhquamang_PTAGTTD_LD261</v>
      </c>
      <c r="T240" s="107" t="str">
        <f>IFERROR(__xludf.DUMMYFUNCTION("""COMPUTED_VALUE"""),"https://patadovietnam.edu.vn/khoa-tieng-anh-giao-tiep-chau-au/?utm_source=Google&amp;utm_medium=SEA&amp;utm_term=NEW_Europe_none_none_160126&amp;utm_content=saletructiep_Tienganhquamang_PTAGTTD_LD261&amp;utm_campaign=Europe.giaotiep.tienganh_Patado_SEA_HoaNT_160126")</f>
        <v>https://patadovietnam.edu.vn/khoa-tieng-anh-giao-tiep-chau-au/?utm_source=Google&amp;utm_medium=SEA&amp;utm_term=NEW_Europe_none_none_160126&amp;utm_content=saletructiep_Tienganhquamang_PTAGTTD_LD261&amp;utm_campaign=Europe.giaotiep.tienganh_Patado_SEA_HoaNT_160126</v>
      </c>
      <c r="U240" s="116"/>
    </row>
    <row r="241">
      <c r="A241" s="72">
        <v>46038.0</v>
      </c>
      <c r="B241" s="161" t="s">
        <v>2963</v>
      </c>
      <c r="C241" s="67" t="str">
        <f>IFERROR(__xludf.DUMMYFUNCTION("""COMPUTED_VALUE"""),"LD261")</f>
        <v>LD261</v>
      </c>
      <c r="D241" s="55" t="s">
        <v>188</v>
      </c>
      <c r="E241" s="55" t="s">
        <v>193</v>
      </c>
      <c r="F241" s="55" t="s">
        <v>674</v>
      </c>
      <c r="G241" s="55" t="s">
        <v>61</v>
      </c>
      <c r="H241" s="55" t="s">
        <v>1261</v>
      </c>
      <c r="I241" s="115" t="s">
        <v>2964</v>
      </c>
      <c r="J241" s="142" t="s">
        <v>2476</v>
      </c>
      <c r="K241" s="55" t="s">
        <v>61</v>
      </c>
      <c r="L241" s="55" t="s">
        <v>1130</v>
      </c>
      <c r="M241" s="55" t="s">
        <v>78</v>
      </c>
      <c r="N241" s="55" t="s">
        <v>193</v>
      </c>
      <c r="O241" s="55" t="s">
        <v>1768</v>
      </c>
      <c r="P241" s="55" t="s">
        <v>110</v>
      </c>
      <c r="Q241" s="67" t="str">
        <f>IFERROR(__xludf.DUMMYFUNCTION("""COMPUTED_VALUE"""),"Europe.giaotiep.tienganh_Patado_SEA_HoaNT_160126")</f>
        <v>Europe.giaotiep.tienganh_Patado_SEA_HoaNT_160126</v>
      </c>
      <c r="R241" s="67" t="str">
        <f>IFERROR(__xludf.DUMMYFUNCTION("""COMPUTED_VALUE"""),"NEW_Europe_none_none_160126")</f>
        <v>NEW_Europe_none_none_160126</v>
      </c>
      <c r="S241" s="67" t="str">
        <f>IFERROR(__xludf.DUMMYFUNCTION("""COMPUTED_VALUE"""),"saletructiep_Tienganhonline_PTAGTTD_LD261")</f>
        <v>saletructiep_Tienganhonline_PTAGTTD_LD261</v>
      </c>
      <c r="T241" s="107" t="str">
        <f>IFERROR(__xludf.DUMMYFUNCTION("""COMPUTED_VALUE"""),"https://patadovietnam.edu.vn/khoa-tieng-anh-giao-tiep-chau-au/?utm_source=Google&amp;utm_medium=SEA&amp;utm_term=NEW_Europe_none_none_160126&amp;utm_content=saletructiep_Tienganhonline_PTAGTTD_LD261&amp;utm_campaign=Europe.giaotiep.tienganh_Patado_SEA_HoaNT_160126")</f>
        <v>https://patadovietnam.edu.vn/khoa-tieng-anh-giao-tiep-chau-au/?utm_source=Google&amp;utm_medium=SEA&amp;utm_term=NEW_Europe_none_none_160126&amp;utm_content=saletructiep_Tienganhonline_PTAGTTD_LD261&amp;utm_campaign=Europe.giaotiep.tienganh_Patado_SEA_HoaNT_160126</v>
      </c>
      <c r="U241" s="116"/>
    </row>
    <row r="242">
      <c r="A242" s="72">
        <v>46038.0</v>
      </c>
      <c r="B242" s="161" t="s">
        <v>2963</v>
      </c>
      <c r="C242" s="67" t="str">
        <f>IFERROR(__xludf.DUMMYFUNCTION("""COMPUTED_VALUE"""),"LD261")</f>
        <v>LD261</v>
      </c>
      <c r="D242" s="55" t="s">
        <v>188</v>
      </c>
      <c r="E242" s="55" t="s">
        <v>193</v>
      </c>
      <c r="F242" s="55" t="s">
        <v>674</v>
      </c>
      <c r="G242" s="55" t="s">
        <v>61</v>
      </c>
      <c r="H242" s="55" t="s">
        <v>1261</v>
      </c>
      <c r="I242" s="115" t="s">
        <v>2964</v>
      </c>
      <c r="J242" s="142" t="s">
        <v>2482</v>
      </c>
      <c r="K242" s="55" t="s">
        <v>61</v>
      </c>
      <c r="L242" s="55" t="s">
        <v>1130</v>
      </c>
      <c r="M242" s="55" t="s">
        <v>78</v>
      </c>
      <c r="N242" s="55" t="s">
        <v>193</v>
      </c>
      <c r="O242" s="55" t="s">
        <v>1768</v>
      </c>
      <c r="P242" s="55" t="s">
        <v>110</v>
      </c>
      <c r="Q242" s="67" t="str">
        <f>IFERROR(__xludf.DUMMYFUNCTION("""COMPUTED_VALUE"""),"Europe.giaotiep.tienganh_Patado_SEA_HoaNT_160126")</f>
        <v>Europe.giaotiep.tienganh_Patado_SEA_HoaNT_160126</v>
      </c>
      <c r="R242" s="67" t="str">
        <f>IFERROR(__xludf.DUMMYFUNCTION("""COMPUTED_VALUE"""),"NEW_Europe_none_none_160126")</f>
        <v>NEW_Europe_none_none_160126</v>
      </c>
      <c r="S242" s="67" t="str">
        <f>IFERROR(__xludf.DUMMYFUNCTION("""COMPUTED_VALUE"""),"saletructiep_Tienganhonline11_PTAGTTD_LD261")</f>
        <v>saletructiep_Tienganhonline11_PTAGTTD_LD261</v>
      </c>
      <c r="T242" s="107" t="str">
        <f>IFERROR(__xludf.DUMMYFUNCTION("""COMPUTED_VALUE"""),"https://patadovietnam.edu.vn/khoa-tieng-anh-giao-tiep-chau-au/?utm_source=Google&amp;utm_medium=SEA&amp;utm_term=NEW_Europe_none_none_160126&amp;utm_content=saletructiep_Tienganhonline11_PTAGTTD_LD261&amp;utm_campaign=Europe.giaotiep.tienganh_Patado_SEA_HoaNT_160126")</f>
        <v>https://patadovietnam.edu.vn/khoa-tieng-anh-giao-tiep-chau-au/?utm_source=Google&amp;utm_medium=SEA&amp;utm_term=NEW_Europe_none_none_160126&amp;utm_content=saletructiep_Tienganhonline11_PTAGTTD_LD261&amp;utm_campaign=Europe.giaotiep.tienganh_Patado_SEA_HoaNT_160126</v>
      </c>
      <c r="U242" s="116"/>
    </row>
    <row r="243">
      <c r="A243" s="72">
        <v>46038.0</v>
      </c>
      <c r="B243" s="161" t="s">
        <v>2963</v>
      </c>
      <c r="C243" s="67" t="str">
        <f>IFERROR(__xludf.DUMMYFUNCTION("""COMPUTED_VALUE"""),"LD261")</f>
        <v>LD261</v>
      </c>
      <c r="D243" s="55" t="s">
        <v>188</v>
      </c>
      <c r="E243" s="55" t="s">
        <v>193</v>
      </c>
      <c r="F243" s="55" t="s">
        <v>674</v>
      </c>
      <c r="G243" s="55" t="s">
        <v>61</v>
      </c>
      <c r="H243" s="55" t="s">
        <v>1261</v>
      </c>
      <c r="I243" s="115" t="s">
        <v>2964</v>
      </c>
      <c r="J243" s="142" t="s">
        <v>2486</v>
      </c>
      <c r="K243" s="55" t="s">
        <v>61</v>
      </c>
      <c r="L243" s="55" t="s">
        <v>1130</v>
      </c>
      <c r="M243" s="55" t="s">
        <v>78</v>
      </c>
      <c r="N243" s="55" t="s">
        <v>193</v>
      </c>
      <c r="O243" s="55" t="s">
        <v>1768</v>
      </c>
      <c r="P243" s="55" t="s">
        <v>110</v>
      </c>
      <c r="Q243" s="67" t="str">
        <f>IFERROR(__xludf.DUMMYFUNCTION("""COMPUTED_VALUE"""),"Europe.giaotiep.tienganh_Patado_SEA_HoaNT_160126")</f>
        <v>Europe.giaotiep.tienganh_Patado_SEA_HoaNT_160126</v>
      </c>
      <c r="R243" s="67" t="str">
        <f>IFERROR(__xludf.DUMMYFUNCTION("""COMPUTED_VALUE"""),"NEW_Europe_none_none_160126")</f>
        <v>NEW_Europe_none_none_160126</v>
      </c>
      <c r="S243" s="67" t="str">
        <f>IFERROR(__xludf.DUMMYFUNCTION("""COMPUTED_VALUE"""),"saletructiep_Hoconline_PTAGTTD_LD261")</f>
        <v>saletructiep_Hoconline_PTAGTTD_LD261</v>
      </c>
      <c r="T243" s="107" t="str">
        <f>IFERROR(__xludf.DUMMYFUNCTION("""COMPUTED_VALUE"""),"https://patadovietnam.edu.vn/khoa-tieng-anh-giao-tiep-chau-au/?utm_source=Google&amp;utm_medium=SEA&amp;utm_term=NEW_Europe_none_none_160126&amp;utm_content=saletructiep_Hoconline_PTAGTTD_LD261&amp;utm_campaign=Europe.giaotiep.tienganh_Patado_SEA_HoaNT_160126")</f>
        <v>https://patadovietnam.edu.vn/khoa-tieng-anh-giao-tiep-chau-au/?utm_source=Google&amp;utm_medium=SEA&amp;utm_term=NEW_Europe_none_none_160126&amp;utm_content=saletructiep_Hoconline_PTAGTTD_LD261&amp;utm_campaign=Europe.giaotiep.tienganh_Patado_SEA_HoaNT_160126</v>
      </c>
      <c r="U243" s="116"/>
    </row>
    <row r="244">
      <c r="A244" s="72">
        <v>46038.0</v>
      </c>
      <c r="B244" s="161" t="s">
        <v>2963</v>
      </c>
      <c r="C244" s="67" t="str">
        <f>IFERROR(__xludf.DUMMYFUNCTION("""COMPUTED_VALUE"""),"LD261")</f>
        <v>LD261</v>
      </c>
      <c r="D244" s="55" t="s">
        <v>188</v>
      </c>
      <c r="E244" s="55" t="s">
        <v>193</v>
      </c>
      <c r="F244" s="55" t="s">
        <v>674</v>
      </c>
      <c r="G244" s="55" t="s">
        <v>61</v>
      </c>
      <c r="H244" s="55" t="s">
        <v>1261</v>
      </c>
      <c r="I244" s="115" t="s">
        <v>2964</v>
      </c>
      <c r="J244" s="142" t="s">
        <v>2494</v>
      </c>
      <c r="K244" s="55" t="s">
        <v>61</v>
      </c>
      <c r="L244" s="55" t="s">
        <v>1130</v>
      </c>
      <c r="M244" s="55" t="s">
        <v>78</v>
      </c>
      <c r="N244" s="55" t="s">
        <v>193</v>
      </c>
      <c r="O244" s="55" t="s">
        <v>1768</v>
      </c>
      <c r="P244" s="55" t="s">
        <v>110</v>
      </c>
      <c r="Q244" s="67" t="str">
        <f>IFERROR(__xludf.DUMMYFUNCTION("""COMPUTED_VALUE"""),"Europe.giaotiep.tienganh_Patado_SEA_HoaNT_160126")</f>
        <v>Europe.giaotiep.tienganh_Patado_SEA_HoaNT_160126</v>
      </c>
      <c r="R244" s="67" t="str">
        <f>IFERROR(__xludf.DUMMYFUNCTION("""COMPUTED_VALUE"""),"NEW_Europe_none_none_160126")</f>
        <v>NEW_Europe_none_none_160126</v>
      </c>
      <c r="S244" s="67" t="str">
        <f>IFERROR(__xludf.DUMMYFUNCTION("""COMPUTED_VALUE"""),"saletructiep_Hoconline11_PTAGTTD_LD261")</f>
        <v>saletructiep_Hoconline11_PTAGTTD_LD261</v>
      </c>
      <c r="T244" s="107" t="str">
        <f>IFERROR(__xludf.DUMMYFUNCTION("""COMPUTED_VALUE"""),"https://patadovietnam.edu.vn/khoa-tieng-anh-giao-tiep-chau-au/?utm_source=Google&amp;utm_medium=SEA&amp;utm_term=NEW_Europe_none_none_160126&amp;utm_content=saletructiep_Hoconline11_PTAGTTD_LD261&amp;utm_campaign=Europe.giaotiep.tienganh_Patado_SEA_HoaNT_160126")</f>
        <v>https://patadovietnam.edu.vn/khoa-tieng-anh-giao-tiep-chau-au/?utm_source=Google&amp;utm_medium=SEA&amp;utm_term=NEW_Europe_none_none_160126&amp;utm_content=saletructiep_Hoconline11_PTAGTTD_LD261&amp;utm_campaign=Europe.giaotiep.tienganh_Patado_SEA_HoaNT_160126</v>
      </c>
      <c r="U244" s="116"/>
    </row>
    <row r="245">
      <c r="A245" s="72">
        <v>46038.0</v>
      </c>
      <c r="B245" s="161" t="s">
        <v>2963</v>
      </c>
      <c r="C245" s="67" t="str">
        <f>IFERROR(__xludf.DUMMYFUNCTION("""COMPUTED_VALUE"""),"LD261")</f>
        <v>LD261</v>
      </c>
      <c r="D245" s="55" t="s">
        <v>188</v>
      </c>
      <c r="E245" s="55" t="s">
        <v>193</v>
      </c>
      <c r="F245" s="55" t="s">
        <v>674</v>
      </c>
      <c r="G245" s="55" t="s">
        <v>61</v>
      </c>
      <c r="H245" s="55" t="s">
        <v>1261</v>
      </c>
      <c r="I245" s="115" t="s">
        <v>2964</v>
      </c>
      <c r="J245" s="142" t="s">
        <v>2501</v>
      </c>
      <c r="K245" s="55" t="s">
        <v>61</v>
      </c>
      <c r="L245" s="55" t="s">
        <v>1130</v>
      </c>
      <c r="M245" s="55" t="s">
        <v>78</v>
      </c>
      <c r="N245" s="55" t="s">
        <v>193</v>
      </c>
      <c r="O245" s="55" t="s">
        <v>1768</v>
      </c>
      <c r="P245" s="55" t="s">
        <v>110</v>
      </c>
      <c r="Q245" s="67" t="str">
        <f>IFERROR(__xludf.DUMMYFUNCTION("""COMPUTED_VALUE"""),"Europe.giaotiep.tienganh_Patado_SEA_HoaNT_160126")</f>
        <v>Europe.giaotiep.tienganh_Patado_SEA_HoaNT_160126</v>
      </c>
      <c r="R245" s="67" t="str">
        <f>IFERROR(__xludf.DUMMYFUNCTION("""COMPUTED_VALUE"""),"NEW_Europe_none_none_160126")</f>
        <v>NEW_Europe_none_none_160126</v>
      </c>
      <c r="S245" s="67" t="str">
        <f>IFERROR(__xludf.DUMMYFUNCTION("""COMPUTED_VALUE"""),"saletructiep_Hocgiaotieponline_PTAGTTD_LD261")</f>
        <v>saletructiep_Hocgiaotieponline_PTAGTTD_LD261</v>
      </c>
      <c r="T245" s="107" t="str">
        <f>IFERROR(__xludf.DUMMYFUNCTION("""COMPUTED_VALUE"""),"https://patadovietnam.edu.vn/khoa-tieng-anh-giao-tiep-chau-au/?utm_source=Google&amp;utm_medium=SEA&amp;utm_term=NEW_Europe_none_none_160126&amp;utm_content=saletructiep_Hocgiaotieponline_PTAGTTD_LD261&amp;utm_campaign=Europe.giaotiep.tienganh_Patado_SEA_HoaNT_160126")</f>
        <v>https://patadovietnam.edu.vn/khoa-tieng-anh-giao-tiep-chau-au/?utm_source=Google&amp;utm_medium=SEA&amp;utm_term=NEW_Europe_none_none_160126&amp;utm_content=saletructiep_Hocgiaotieponline_PTAGTTD_LD261&amp;utm_campaign=Europe.giaotiep.tienganh_Patado_SEA_HoaNT_160126</v>
      </c>
      <c r="U245" s="116"/>
    </row>
    <row r="246">
      <c r="A246" s="72">
        <v>46038.0</v>
      </c>
      <c r="B246" s="161" t="s">
        <v>2963</v>
      </c>
      <c r="C246" s="67" t="str">
        <f>IFERROR(__xludf.DUMMYFUNCTION("""COMPUTED_VALUE"""),"LD261")</f>
        <v>LD261</v>
      </c>
      <c r="D246" s="55" t="s">
        <v>188</v>
      </c>
      <c r="E246" s="55" t="s">
        <v>193</v>
      </c>
      <c r="F246" s="55" t="s">
        <v>674</v>
      </c>
      <c r="G246" s="55" t="s">
        <v>61</v>
      </c>
      <c r="H246" s="55" t="s">
        <v>1261</v>
      </c>
      <c r="I246" s="115" t="s">
        <v>2964</v>
      </c>
      <c r="J246" s="142" t="s">
        <v>2505</v>
      </c>
      <c r="K246" s="55" t="s">
        <v>61</v>
      </c>
      <c r="L246" s="55" t="s">
        <v>1130</v>
      </c>
      <c r="M246" s="55" t="s">
        <v>78</v>
      </c>
      <c r="N246" s="55" t="s">
        <v>193</v>
      </c>
      <c r="O246" s="55" t="s">
        <v>1768</v>
      </c>
      <c r="P246" s="55" t="s">
        <v>110</v>
      </c>
      <c r="Q246" s="67" t="str">
        <f>IFERROR(__xludf.DUMMYFUNCTION("""COMPUTED_VALUE"""),"Europe.giaotiep.tienganh_Patado_SEA_HoaNT_160126")</f>
        <v>Europe.giaotiep.tienganh_Patado_SEA_HoaNT_160126</v>
      </c>
      <c r="R246" s="67" t="str">
        <f>IFERROR(__xludf.DUMMYFUNCTION("""COMPUTED_VALUE"""),"NEW_Europe_none_none_160126")</f>
        <v>NEW_Europe_none_none_160126</v>
      </c>
      <c r="S246" s="67" t="str">
        <f>IFERROR(__xludf.DUMMYFUNCTION("""COMPUTED_VALUE"""),"saletructiep_Loponline_PTAGTTD_LD261")</f>
        <v>saletructiep_Loponline_PTAGTTD_LD261</v>
      </c>
      <c r="T246" s="107" t="str">
        <f>IFERROR(__xludf.DUMMYFUNCTION("""COMPUTED_VALUE"""),"https://patadovietnam.edu.vn/khoa-tieng-anh-giao-tiep-chau-au/?utm_source=Google&amp;utm_medium=SEA&amp;utm_term=NEW_Europe_none_none_160126&amp;utm_content=saletructiep_Loponline_PTAGTTD_LD261&amp;utm_campaign=Europe.giaotiep.tienganh_Patado_SEA_HoaNT_160126")</f>
        <v>https://patadovietnam.edu.vn/khoa-tieng-anh-giao-tiep-chau-au/?utm_source=Google&amp;utm_medium=SEA&amp;utm_term=NEW_Europe_none_none_160126&amp;utm_content=saletructiep_Loponline_PTAGTTD_LD261&amp;utm_campaign=Europe.giaotiep.tienganh_Patado_SEA_HoaNT_160126</v>
      </c>
      <c r="U246" s="116"/>
    </row>
    <row r="247">
      <c r="A247" s="72">
        <v>46038.0</v>
      </c>
      <c r="B247" s="161" t="s">
        <v>2963</v>
      </c>
      <c r="C247" s="67" t="str">
        <f>IFERROR(__xludf.DUMMYFUNCTION("""COMPUTED_VALUE"""),"LD261")</f>
        <v>LD261</v>
      </c>
      <c r="D247" s="55" t="s">
        <v>188</v>
      </c>
      <c r="E247" s="55" t="s">
        <v>193</v>
      </c>
      <c r="F247" s="55" t="s">
        <v>674</v>
      </c>
      <c r="G247" s="55" t="s">
        <v>61</v>
      </c>
      <c r="H247" s="55" t="s">
        <v>1261</v>
      </c>
      <c r="I247" s="115" t="s">
        <v>2964</v>
      </c>
      <c r="J247" s="157" t="s">
        <v>2510</v>
      </c>
      <c r="K247" s="55" t="s">
        <v>61</v>
      </c>
      <c r="L247" s="55" t="s">
        <v>1130</v>
      </c>
      <c r="M247" s="55" t="s">
        <v>78</v>
      </c>
      <c r="N247" s="55" t="s">
        <v>193</v>
      </c>
      <c r="O247" s="55" t="s">
        <v>1768</v>
      </c>
      <c r="P247" s="55" t="s">
        <v>110</v>
      </c>
      <c r="Q247" s="67" t="str">
        <f>IFERROR(__xludf.DUMMYFUNCTION("""COMPUTED_VALUE"""),"Europe.giaotiep.tienganh_Patado_SEA_HoaNT_160126")</f>
        <v>Europe.giaotiep.tienganh_Patado_SEA_HoaNT_160126</v>
      </c>
      <c r="R247" s="67" t="str">
        <f>IFERROR(__xludf.DUMMYFUNCTION("""COMPUTED_VALUE"""),"NEW_Europe_none_none_160126")</f>
        <v>NEW_Europe_none_none_160126</v>
      </c>
      <c r="S247" s="67" t="str">
        <f>IFERROR(__xludf.DUMMYFUNCTION("""COMPUTED_VALUE"""),"saletructiep_Khoagiaotieponline_PTAGTTD_LD261")</f>
        <v>saletructiep_Khoagiaotieponline_PTAGTTD_LD261</v>
      </c>
      <c r="T247" s="107" t="str">
        <f>IFERROR(__xludf.DUMMYFUNCTION("""COMPUTED_VALUE"""),"https://patadovietnam.edu.vn/khoa-tieng-anh-giao-tiep-chau-au/?utm_source=Google&amp;utm_medium=SEA&amp;utm_term=NEW_Europe_none_none_160126&amp;utm_content=saletructiep_Khoagiaotieponline_PTAGTTD_LD261&amp;utm_campaign=Europe.giaotiep.tienganh_Patado_SEA_HoaNT_160126")</f>
        <v>https://patadovietnam.edu.vn/khoa-tieng-anh-giao-tiep-chau-au/?utm_source=Google&amp;utm_medium=SEA&amp;utm_term=NEW_Europe_none_none_160126&amp;utm_content=saletructiep_Khoagiaotieponline_PTAGTTD_LD261&amp;utm_campaign=Europe.giaotiep.tienganh_Patado_SEA_HoaNT_160126</v>
      </c>
      <c r="U247" s="116"/>
    </row>
    <row r="248">
      <c r="A248" s="72">
        <v>46038.0</v>
      </c>
      <c r="B248" s="161" t="s">
        <v>2963</v>
      </c>
      <c r="C248" s="67" t="str">
        <f>IFERROR(__xludf.DUMMYFUNCTION("""COMPUTED_VALUE"""),"LD261")</f>
        <v>LD261</v>
      </c>
      <c r="D248" s="55" t="s">
        <v>188</v>
      </c>
      <c r="E248" s="55" t="s">
        <v>193</v>
      </c>
      <c r="F248" s="55" t="s">
        <v>674</v>
      </c>
      <c r="G248" s="55" t="s">
        <v>61</v>
      </c>
      <c r="H248" s="55" t="s">
        <v>1261</v>
      </c>
      <c r="I248" s="115" t="s">
        <v>2964</v>
      </c>
      <c r="J248" s="142" t="s">
        <v>2516</v>
      </c>
      <c r="K248" s="55" t="s">
        <v>61</v>
      </c>
      <c r="L248" s="55" t="s">
        <v>1130</v>
      </c>
      <c r="M248" s="55" t="s">
        <v>78</v>
      </c>
      <c r="N248" s="55" t="s">
        <v>193</v>
      </c>
      <c r="O248" s="55" t="s">
        <v>1768</v>
      </c>
      <c r="P248" s="55" t="s">
        <v>110</v>
      </c>
      <c r="Q248" s="67" t="str">
        <f>IFERROR(__xludf.DUMMYFUNCTION("""COMPUTED_VALUE"""),"Europe.giaotiep.tienganh_Patado_SEA_HoaNT_160126")</f>
        <v>Europe.giaotiep.tienganh_Patado_SEA_HoaNT_160126</v>
      </c>
      <c r="R248" s="67" t="str">
        <f>IFERROR(__xludf.DUMMYFUNCTION("""COMPUTED_VALUE"""),"NEW_Europe_none_none_160126")</f>
        <v>NEW_Europe_none_none_160126</v>
      </c>
      <c r="S248" s="67" t="str">
        <f>IFERROR(__xludf.DUMMYFUNCTION("""COMPUTED_VALUE"""),"saletructiep_Trungtamonline_PTAGTTD_LD261")</f>
        <v>saletructiep_Trungtamonline_PTAGTTD_LD261</v>
      </c>
      <c r="T248" s="107" t="str">
        <f>IFERROR(__xludf.DUMMYFUNCTION("""COMPUTED_VALUE"""),"https://patadovietnam.edu.vn/khoa-tieng-anh-giao-tiep-chau-au/?utm_source=Google&amp;utm_medium=SEA&amp;utm_term=NEW_Europe_none_none_160126&amp;utm_content=saletructiep_Trungtamonline_PTAGTTD_LD261&amp;utm_campaign=Europe.giaotiep.tienganh_Patado_SEA_HoaNT_160126")</f>
        <v>https://patadovietnam.edu.vn/khoa-tieng-anh-giao-tiep-chau-au/?utm_source=Google&amp;utm_medium=SEA&amp;utm_term=NEW_Europe_none_none_160126&amp;utm_content=saletructiep_Trungtamonline_PTAGTTD_LD261&amp;utm_campaign=Europe.giaotiep.tienganh_Patado_SEA_HoaNT_160126</v>
      </c>
      <c r="U248" s="116"/>
    </row>
    <row r="249">
      <c r="A249" s="72">
        <v>46038.0</v>
      </c>
      <c r="B249" s="161" t="s">
        <v>2963</v>
      </c>
      <c r="C249" s="67" t="str">
        <f>IFERROR(__xludf.DUMMYFUNCTION("""COMPUTED_VALUE"""),"LD261")</f>
        <v>LD261</v>
      </c>
      <c r="D249" s="55" t="s">
        <v>188</v>
      </c>
      <c r="E249" s="55" t="s">
        <v>193</v>
      </c>
      <c r="F249" s="55" t="s">
        <v>674</v>
      </c>
      <c r="G249" s="55" t="s">
        <v>61</v>
      </c>
      <c r="H249" s="55" t="s">
        <v>1261</v>
      </c>
      <c r="I249" s="115" t="s">
        <v>2964</v>
      </c>
      <c r="J249" s="142" t="s">
        <v>2527</v>
      </c>
      <c r="K249" s="55" t="s">
        <v>61</v>
      </c>
      <c r="L249" s="55" t="s">
        <v>1130</v>
      </c>
      <c r="M249" s="55" t="s">
        <v>78</v>
      </c>
      <c r="N249" s="55" t="s">
        <v>193</v>
      </c>
      <c r="O249" s="55" t="s">
        <v>1768</v>
      </c>
      <c r="P249" s="55" t="s">
        <v>110</v>
      </c>
      <c r="Q249" s="67" t="str">
        <f>IFERROR(__xludf.DUMMYFUNCTION("""COMPUTED_VALUE"""),"Europe.giaotiep.tienganh_Patado_SEA_HoaNT_160126")</f>
        <v>Europe.giaotiep.tienganh_Patado_SEA_HoaNT_160126</v>
      </c>
      <c r="R249" s="67" t="str">
        <f>IFERROR(__xludf.DUMMYFUNCTION("""COMPUTED_VALUE"""),"NEW_Europe_none_none_160126")</f>
        <v>NEW_Europe_none_none_160126</v>
      </c>
      <c r="S249" s="67" t="str">
        <f>IFERROR(__xludf.DUMMYFUNCTION("""COMPUTED_VALUE"""),"saletructiep_Trungtamhoconline_PTAGTTD_LD261")</f>
        <v>saletructiep_Trungtamhoconline_PTAGTTD_LD261</v>
      </c>
      <c r="T249" s="107" t="str">
        <f>IFERROR(__xludf.DUMMYFUNCTION("""COMPUTED_VALUE"""),"https://patadovietnam.edu.vn/khoa-tieng-anh-giao-tiep-chau-au/?utm_source=Google&amp;utm_medium=SEA&amp;utm_term=NEW_Europe_none_none_160126&amp;utm_content=saletructiep_Trungtamhoconline_PTAGTTD_LD261&amp;utm_campaign=Europe.giaotiep.tienganh_Patado_SEA_HoaNT_160126")</f>
        <v>https://patadovietnam.edu.vn/khoa-tieng-anh-giao-tiep-chau-au/?utm_source=Google&amp;utm_medium=SEA&amp;utm_term=NEW_Europe_none_none_160126&amp;utm_content=saletructiep_Trungtamhoconline_PTAGTTD_LD261&amp;utm_campaign=Europe.giaotiep.tienganh_Patado_SEA_HoaNT_160126</v>
      </c>
      <c r="U249" s="116"/>
    </row>
    <row r="250">
      <c r="A250" s="72">
        <v>46038.0</v>
      </c>
      <c r="B250" s="161" t="s">
        <v>2963</v>
      </c>
      <c r="C250" s="67" t="str">
        <f>IFERROR(__xludf.DUMMYFUNCTION("""COMPUTED_VALUE"""),"LD261")</f>
        <v>LD261</v>
      </c>
      <c r="D250" s="55" t="s">
        <v>188</v>
      </c>
      <c r="E250" s="55" t="s">
        <v>193</v>
      </c>
      <c r="F250" s="55" t="s">
        <v>674</v>
      </c>
      <c r="G250" s="55" t="s">
        <v>61</v>
      </c>
      <c r="H250" s="55" t="s">
        <v>1261</v>
      </c>
      <c r="I250" s="115" t="s">
        <v>2964</v>
      </c>
      <c r="J250" s="142" t="s">
        <v>2532</v>
      </c>
      <c r="K250" s="55" t="s">
        <v>61</v>
      </c>
      <c r="L250" s="55" t="s">
        <v>1130</v>
      </c>
      <c r="M250" s="55" t="s">
        <v>78</v>
      </c>
      <c r="N250" s="55" t="s">
        <v>193</v>
      </c>
      <c r="O250" s="55" t="s">
        <v>1768</v>
      </c>
      <c r="P250" s="55" t="s">
        <v>110</v>
      </c>
      <c r="Q250" s="67" t="str">
        <f>IFERROR(__xludf.DUMMYFUNCTION("""COMPUTED_VALUE"""),"Europe.giaotiep.tienganh_Patado_SEA_HoaNT_160126")</f>
        <v>Europe.giaotiep.tienganh_Patado_SEA_HoaNT_160126</v>
      </c>
      <c r="R250" s="67" t="str">
        <f>IFERROR(__xludf.DUMMYFUNCTION("""COMPUTED_VALUE"""),"NEW_Europe_none_none_160126")</f>
        <v>NEW_Europe_none_none_160126</v>
      </c>
      <c r="S250" s="67" t="str">
        <f>IFERROR(__xludf.DUMMYFUNCTION("""COMPUTED_VALUE"""),"saletructiep_Hocphionline_PTAGTTD_LD261")</f>
        <v>saletructiep_Hocphionline_PTAGTTD_LD261</v>
      </c>
      <c r="T250" s="107" t="str">
        <f>IFERROR(__xludf.DUMMYFUNCTION("""COMPUTED_VALUE"""),"https://patadovietnam.edu.vn/khoa-tieng-anh-giao-tiep-chau-au/?utm_source=Google&amp;utm_medium=SEA&amp;utm_term=NEW_Europe_none_none_160126&amp;utm_content=saletructiep_Hocphionline_PTAGTTD_LD261&amp;utm_campaign=Europe.giaotiep.tienganh_Patado_SEA_HoaNT_160126")</f>
        <v>https://patadovietnam.edu.vn/khoa-tieng-anh-giao-tiep-chau-au/?utm_source=Google&amp;utm_medium=SEA&amp;utm_term=NEW_Europe_none_none_160126&amp;utm_content=saletructiep_Hocphionline_PTAGTTD_LD261&amp;utm_campaign=Europe.giaotiep.tienganh_Patado_SEA_HoaNT_160126</v>
      </c>
      <c r="U250" s="116"/>
    </row>
    <row r="251">
      <c r="A251" s="72">
        <v>46038.0</v>
      </c>
      <c r="B251" s="161" t="s">
        <v>2963</v>
      </c>
      <c r="C251" s="67" t="str">
        <f>IFERROR(__xludf.DUMMYFUNCTION("""COMPUTED_VALUE"""),"LD261")</f>
        <v>LD261</v>
      </c>
      <c r="D251" s="55" t="s">
        <v>188</v>
      </c>
      <c r="E251" s="55" t="s">
        <v>193</v>
      </c>
      <c r="F251" s="55" t="s">
        <v>674</v>
      </c>
      <c r="G251" s="55" t="s">
        <v>61</v>
      </c>
      <c r="H251" s="55" t="s">
        <v>1261</v>
      </c>
      <c r="I251" s="115" t="s">
        <v>2964</v>
      </c>
      <c r="J251" s="142" t="s">
        <v>2541</v>
      </c>
      <c r="K251" s="55" t="s">
        <v>61</v>
      </c>
      <c r="L251" s="55" t="s">
        <v>1130</v>
      </c>
      <c r="M251" s="55" t="s">
        <v>78</v>
      </c>
      <c r="N251" s="55" t="s">
        <v>193</v>
      </c>
      <c r="O251" s="55" t="s">
        <v>1768</v>
      </c>
      <c r="P251" s="55" t="s">
        <v>110</v>
      </c>
      <c r="Q251" s="67" t="str">
        <f>IFERROR(__xludf.DUMMYFUNCTION("""COMPUTED_VALUE"""),"Europe.giaotiep.tienganh_Patado_SEA_HoaNT_160126")</f>
        <v>Europe.giaotiep.tienganh_Patado_SEA_HoaNT_160126</v>
      </c>
      <c r="R251" s="67" t="str">
        <f>IFERROR(__xludf.DUMMYFUNCTION("""COMPUTED_VALUE"""),"NEW_Europe_none_none_160126")</f>
        <v>NEW_Europe_none_none_160126</v>
      </c>
      <c r="S251" s="67" t="str">
        <f>IFERROR(__xludf.DUMMYFUNCTION("""COMPUTED_VALUE"""),"saletructiep_Tienganhgiaotiep_PTAGTTD_LD261")</f>
        <v>saletructiep_Tienganhgiaotiep_PTAGTTD_LD261</v>
      </c>
      <c r="T251" s="107" t="str">
        <f>IFERROR(__xludf.DUMMYFUNCTION("""COMPUTED_VALUE"""),"https://patadovietnam.edu.vn/khoa-tieng-anh-giao-tiep-chau-au/?utm_source=Google&amp;utm_medium=SEA&amp;utm_term=NEW_Europe_none_none_160126&amp;utm_content=saletructiep_Tienganhgiaotiep_PTAGTTD_LD261&amp;utm_campaign=Europe.giaotiep.tienganh_Patado_SEA_HoaNT_160126")</f>
        <v>https://patadovietnam.edu.vn/khoa-tieng-anh-giao-tiep-chau-au/?utm_source=Google&amp;utm_medium=SEA&amp;utm_term=NEW_Europe_none_none_160126&amp;utm_content=saletructiep_Tienganhgiaotiep_PTAGTTD_LD261&amp;utm_campaign=Europe.giaotiep.tienganh_Patado_SEA_HoaNT_160126</v>
      </c>
      <c r="U251" s="116"/>
    </row>
    <row r="252">
      <c r="A252" s="72">
        <v>46038.0</v>
      </c>
      <c r="B252" s="161" t="s">
        <v>2963</v>
      </c>
      <c r="C252" s="67" t="str">
        <f>IFERROR(__xludf.DUMMYFUNCTION("""COMPUTED_VALUE"""),"LD261")</f>
        <v>LD261</v>
      </c>
      <c r="D252" s="55" t="s">
        <v>188</v>
      </c>
      <c r="E252" s="55" t="s">
        <v>193</v>
      </c>
      <c r="F252" s="55" t="s">
        <v>674</v>
      </c>
      <c r="G252" s="55" t="s">
        <v>61</v>
      </c>
      <c r="H252" s="55" t="s">
        <v>1261</v>
      </c>
      <c r="I252" s="115" t="s">
        <v>2964</v>
      </c>
      <c r="J252" s="143" t="s">
        <v>2546</v>
      </c>
      <c r="K252" s="55" t="s">
        <v>61</v>
      </c>
      <c r="L252" s="55" t="s">
        <v>1130</v>
      </c>
      <c r="M252" s="55" t="s">
        <v>78</v>
      </c>
      <c r="N252" s="55" t="s">
        <v>193</v>
      </c>
      <c r="O252" s="55" t="s">
        <v>1768</v>
      </c>
      <c r="P252" s="55" t="s">
        <v>110</v>
      </c>
      <c r="Q252" s="67" t="str">
        <f>IFERROR(__xludf.DUMMYFUNCTION("""COMPUTED_VALUE"""),"Europe.giaotiep.tienganh_Patado_SEA_HoaNT_160126")</f>
        <v>Europe.giaotiep.tienganh_Patado_SEA_HoaNT_160126</v>
      </c>
      <c r="R252" s="67" t="str">
        <f>IFERROR(__xludf.DUMMYFUNCTION("""COMPUTED_VALUE"""),"NEW_Europe_none_none_160126")</f>
        <v>NEW_Europe_none_none_160126</v>
      </c>
      <c r="S252" s="67" t="str">
        <f>IFERROR(__xludf.DUMMYFUNCTION("""COMPUTED_VALUE"""),"saletructiep_Tienganhgiaotiep11_PTAGTTD_LD261")</f>
        <v>saletructiep_Tienganhgiaotiep11_PTAGTTD_LD261</v>
      </c>
      <c r="T252" s="107" t="str">
        <f>IFERROR(__xludf.DUMMYFUNCTION("""COMPUTED_VALUE"""),"https://patadovietnam.edu.vn/khoa-tieng-anh-giao-tiep-chau-au/?utm_source=Google&amp;utm_medium=SEA&amp;utm_term=NEW_Europe_none_none_160126&amp;utm_content=saletructiep_Tienganhgiaotiep11_PTAGTTD_LD261&amp;utm_campaign=Europe.giaotiep.tienganh_Patado_SEA_HoaNT_160126")</f>
        <v>https://patadovietnam.edu.vn/khoa-tieng-anh-giao-tiep-chau-au/?utm_source=Google&amp;utm_medium=SEA&amp;utm_term=NEW_Europe_none_none_160126&amp;utm_content=saletructiep_Tienganhgiaotiep11_PTAGTTD_LD261&amp;utm_campaign=Europe.giaotiep.tienganh_Patado_SEA_HoaNT_160126</v>
      </c>
      <c r="U252" s="116"/>
    </row>
    <row r="253">
      <c r="A253" s="72">
        <v>46038.0</v>
      </c>
      <c r="B253" s="161" t="s">
        <v>2963</v>
      </c>
      <c r="C253" s="67" t="str">
        <f>IFERROR(__xludf.DUMMYFUNCTION("""COMPUTED_VALUE"""),"LD261")</f>
        <v>LD261</v>
      </c>
      <c r="D253" s="55" t="s">
        <v>188</v>
      </c>
      <c r="E253" s="55" t="s">
        <v>193</v>
      </c>
      <c r="F253" s="55" t="s">
        <v>674</v>
      </c>
      <c r="G253" s="55" t="s">
        <v>61</v>
      </c>
      <c r="H253" s="55" t="s">
        <v>1261</v>
      </c>
      <c r="I253" s="115" t="s">
        <v>2964</v>
      </c>
      <c r="J253" s="142" t="s">
        <v>2550</v>
      </c>
      <c r="K253" s="55" t="s">
        <v>61</v>
      </c>
      <c r="L253" s="55" t="s">
        <v>1130</v>
      </c>
      <c r="M253" s="55" t="s">
        <v>78</v>
      </c>
      <c r="N253" s="55" t="s">
        <v>193</v>
      </c>
      <c r="O253" s="55" t="s">
        <v>1768</v>
      </c>
      <c r="P253" s="55" t="s">
        <v>110</v>
      </c>
      <c r="Q253" s="67" t="str">
        <f>IFERROR(__xludf.DUMMYFUNCTION("""COMPUTED_VALUE"""),"Europe.giaotiep.tienganh_Patado_SEA_HoaNT_160126")</f>
        <v>Europe.giaotiep.tienganh_Patado_SEA_HoaNT_160126</v>
      </c>
      <c r="R253" s="67" t="str">
        <f>IFERROR(__xludf.DUMMYFUNCTION("""COMPUTED_VALUE"""),"NEW_Europe_none_none_160126")</f>
        <v>NEW_Europe_none_none_160126</v>
      </c>
      <c r="S253" s="67" t="str">
        <f>IFERROR(__xludf.DUMMYFUNCTION("""COMPUTED_VALUE"""),"saletructiep_Hoctienganhgiaotiep_PTAGTTD_LD261")</f>
        <v>saletructiep_Hoctienganhgiaotiep_PTAGTTD_LD261</v>
      </c>
      <c r="T253" s="107" t="str">
        <f>IFERROR(__xludf.DUMMYFUNCTION("""COMPUTED_VALUE"""),"https://patadovietnam.edu.vn/khoa-tieng-anh-giao-tiep-chau-au/?utm_source=Google&amp;utm_medium=SEA&amp;utm_term=NEW_Europe_none_none_160126&amp;utm_content=saletructiep_Hoctienganhgiaotiep_PTAGTTD_LD261&amp;utm_campaign=Europe.giaotiep.tienganh_Patado_SEA_HoaNT_160126")</f>
        <v>https://patadovietnam.edu.vn/khoa-tieng-anh-giao-tiep-chau-au/?utm_source=Google&amp;utm_medium=SEA&amp;utm_term=NEW_Europe_none_none_160126&amp;utm_content=saletructiep_Hoctienganhgiaotiep_PTAGTTD_LD261&amp;utm_campaign=Europe.giaotiep.tienganh_Patado_SEA_HoaNT_160126</v>
      </c>
      <c r="U253" s="116"/>
    </row>
    <row r="254">
      <c r="A254" s="72">
        <v>46038.0</v>
      </c>
      <c r="B254" s="161" t="s">
        <v>2963</v>
      </c>
      <c r="C254" s="67" t="str">
        <f>IFERROR(__xludf.DUMMYFUNCTION("""COMPUTED_VALUE"""),"LD261")</f>
        <v>LD261</v>
      </c>
      <c r="D254" s="55" t="s">
        <v>188</v>
      </c>
      <c r="E254" s="55" t="s">
        <v>193</v>
      </c>
      <c r="F254" s="55" t="s">
        <v>674</v>
      </c>
      <c r="G254" s="55" t="s">
        <v>61</v>
      </c>
      <c r="H254" s="55" t="s">
        <v>1261</v>
      </c>
      <c r="I254" s="115" t="s">
        <v>2964</v>
      </c>
      <c r="J254" s="142" t="s">
        <v>2555</v>
      </c>
      <c r="K254" s="55" t="s">
        <v>61</v>
      </c>
      <c r="L254" s="55" t="s">
        <v>1130</v>
      </c>
      <c r="M254" s="55" t="s">
        <v>78</v>
      </c>
      <c r="N254" s="55" t="s">
        <v>193</v>
      </c>
      <c r="O254" s="55" t="s">
        <v>1768</v>
      </c>
      <c r="P254" s="55" t="s">
        <v>110</v>
      </c>
      <c r="Q254" s="67" t="str">
        <f>IFERROR(__xludf.DUMMYFUNCTION("""COMPUTED_VALUE"""),"Europe.giaotiep.tienganh_Patado_SEA_HoaNT_160126")</f>
        <v>Europe.giaotiep.tienganh_Patado_SEA_HoaNT_160126</v>
      </c>
      <c r="R254" s="67" t="str">
        <f>IFERROR(__xludf.DUMMYFUNCTION("""COMPUTED_VALUE"""),"NEW_Europe_none_none_160126")</f>
        <v>NEW_Europe_none_none_160126</v>
      </c>
      <c r="S254" s="67" t="str">
        <f>IFERROR(__xludf.DUMMYFUNCTION("""COMPUTED_VALUE"""),"saletructiep_Hocgiaotiepcoban_PTAGTTD_LD261")</f>
        <v>saletructiep_Hocgiaotiepcoban_PTAGTTD_LD261</v>
      </c>
      <c r="T254" s="107" t="str">
        <f>IFERROR(__xludf.DUMMYFUNCTION("""COMPUTED_VALUE"""),"https://patadovietnam.edu.vn/khoa-tieng-anh-giao-tiep-chau-au/?utm_source=Google&amp;utm_medium=SEA&amp;utm_term=NEW_Europe_none_none_160126&amp;utm_content=saletructiep_Hocgiaotiepcoban_PTAGTTD_LD261&amp;utm_campaign=Europe.giaotiep.tienganh_Patado_SEA_HoaNT_160126")</f>
        <v>https://patadovietnam.edu.vn/khoa-tieng-anh-giao-tiep-chau-au/?utm_source=Google&amp;utm_medium=SEA&amp;utm_term=NEW_Europe_none_none_160126&amp;utm_content=saletructiep_Hocgiaotiepcoban_PTAGTTD_LD261&amp;utm_campaign=Europe.giaotiep.tienganh_Patado_SEA_HoaNT_160126</v>
      </c>
      <c r="U254" s="116"/>
    </row>
    <row r="255">
      <c r="A255" s="72">
        <v>46038.0</v>
      </c>
      <c r="B255" s="161" t="s">
        <v>2963</v>
      </c>
      <c r="C255" s="67" t="str">
        <f>IFERROR(__xludf.DUMMYFUNCTION("""COMPUTED_VALUE"""),"LD261")</f>
        <v>LD261</v>
      </c>
      <c r="D255" s="55" t="s">
        <v>188</v>
      </c>
      <c r="E255" s="55" t="s">
        <v>193</v>
      </c>
      <c r="F255" s="55" t="s">
        <v>674</v>
      </c>
      <c r="G255" s="55" t="s">
        <v>61</v>
      </c>
      <c r="H255" s="55" t="s">
        <v>1261</v>
      </c>
      <c r="I255" s="115" t="s">
        <v>2964</v>
      </c>
      <c r="J255" s="142" t="s">
        <v>2560</v>
      </c>
      <c r="K255" s="55" t="s">
        <v>61</v>
      </c>
      <c r="L255" s="55" t="s">
        <v>1130</v>
      </c>
      <c r="M255" s="55" t="s">
        <v>78</v>
      </c>
      <c r="N255" s="55" t="s">
        <v>193</v>
      </c>
      <c r="O255" s="55" t="s">
        <v>1768</v>
      </c>
      <c r="P255" s="55" t="s">
        <v>110</v>
      </c>
      <c r="Q255" s="67" t="str">
        <f>IFERROR(__xludf.DUMMYFUNCTION("""COMPUTED_VALUE"""),"Europe.giaotiep.tienganh_Patado_SEA_HoaNT_160126")</f>
        <v>Europe.giaotiep.tienganh_Patado_SEA_HoaNT_160126</v>
      </c>
      <c r="R255" s="67" t="str">
        <f>IFERROR(__xludf.DUMMYFUNCTION("""COMPUTED_VALUE"""),"NEW_Europe_none_none_160126")</f>
        <v>NEW_Europe_none_none_160126</v>
      </c>
      <c r="S255" s="67" t="str">
        <f>IFERROR(__xludf.DUMMYFUNCTION("""COMPUTED_VALUE"""),"saletructiep_Hocgiaotiepcaptoc_PTAGTTD_LD261")</f>
        <v>saletructiep_Hocgiaotiepcaptoc_PTAGTTD_LD261</v>
      </c>
      <c r="T255" s="107" t="str">
        <f>IFERROR(__xludf.DUMMYFUNCTION("""COMPUTED_VALUE"""),"https://patadovietnam.edu.vn/khoa-tieng-anh-giao-tiep-chau-au/?utm_source=Google&amp;utm_medium=SEA&amp;utm_term=NEW_Europe_none_none_160126&amp;utm_content=saletructiep_Hocgiaotiepcaptoc_PTAGTTD_LD261&amp;utm_campaign=Europe.giaotiep.tienganh_Patado_SEA_HoaNT_160126")</f>
        <v>https://patadovietnam.edu.vn/khoa-tieng-anh-giao-tiep-chau-au/?utm_source=Google&amp;utm_medium=SEA&amp;utm_term=NEW_Europe_none_none_160126&amp;utm_content=saletructiep_Hocgiaotiepcaptoc_PTAGTTD_LD261&amp;utm_campaign=Europe.giaotiep.tienganh_Patado_SEA_HoaNT_160126</v>
      </c>
      <c r="U255" s="116"/>
    </row>
    <row r="256">
      <c r="A256" s="72">
        <v>46038.0</v>
      </c>
      <c r="B256" s="161" t="s">
        <v>2963</v>
      </c>
      <c r="C256" s="67" t="str">
        <f>IFERROR(__xludf.DUMMYFUNCTION("""COMPUTED_VALUE"""),"LD261")</f>
        <v>LD261</v>
      </c>
      <c r="D256" s="55" t="s">
        <v>188</v>
      </c>
      <c r="E256" s="55" t="s">
        <v>193</v>
      </c>
      <c r="F256" s="55" t="s">
        <v>674</v>
      </c>
      <c r="G256" s="55" t="s">
        <v>61</v>
      </c>
      <c r="H256" s="55" t="s">
        <v>1261</v>
      </c>
      <c r="I256" s="115" t="s">
        <v>2964</v>
      </c>
      <c r="J256" s="142" t="s">
        <v>2569</v>
      </c>
      <c r="K256" s="55" t="s">
        <v>61</v>
      </c>
      <c r="L256" s="55" t="s">
        <v>1130</v>
      </c>
      <c r="M256" s="55" t="s">
        <v>78</v>
      </c>
      <c r="N256" s="55" t="s">
        <v>193</v>
      </c>
      <c r="O256" s="55" t="s">
        <v>1768</v>
      </c>
      <c r="P256" s="55" t="s">
        <v>110</v>
      </c>
      <c r="Q256" s="67" t="str">
        <f>IFERROR(__xludf.DUMMYFUNCTION("""COMPUTED_VALUE"""),"Europe.giaotiep.tienganh_Patado_SEA_HoaNT_160126")</f>
        <v>Europe.giaotiep.tienganh_Patado_SEA_HoaNT_160126</v>
      </c>
      <c r="R256" s="67" t="str">
        <f>IFERROR(__xludf.DUMMYFUNCTION("""COMPUTED_VALUE"""),"NEW_Europe_none_none_160126")</f>
        <v>NEW_Europe_none_none_160126</v>
      </c>
      <c r="S256" s="67" t="str">
        <f>IFERROR(__xludf.DUMMYFUNCTION("""COMPUTED_VALUE"""),"saletructiep_Dangkyhocgiaotiep_PTAGTTD_LD261")</f>
        <v>saletructiep_Dangkyhocgiaotiep_PTAGTTD_LD261</v>
      </c>
      <c r="T256" s="107" t="str">
        <f>IFERROR(__xludf.DUMMYFUNCTION("""COMPUTED_VALUE"""),"https://patadovietnam.edu.vn/khoa-tieng-anh-giao-tiep-chau-au/?utm_source=Google&amp;utm_medium=SEA&amp;utm_term=NEW_Europe_none_none_160126&amp;utm_content=saletructiep_Dangkyhocgiaotiep_PTAGTTD_LD261&amp;utm_campaign=Europe.giaotiep.tienganh_Patado_SEA_HoaNT_160126")</f>
        <v>https://patadovietnam.edu.vn/khoa-tieng-anh-giao-tiep-chau-au/?utm_source=Google&amp;utm_medium=SEA&amp;utm_term=NEW_Europe_none_none_160126&amp;utm_content=saletructiep_Dangkyhocgiaotiep_PTAGTTD_LD261&amp;utm_campaign=Europe.giaotiep.tienganh_Patado_SEA_HoaNT_160126</v>
      </c>
      <c r="U256" s="116"/>
    </row>
    <row r="257">
      <c r="A257" s="72">
        <v>46038.0</v>
      </c>
      <c r="B257" s="161" t="s">
        <v>2963</v>
      </c>
      <c r="C257" s="67" t="str">
        <f>IFERROR(__xludf.DUMMYFUNCTION("""COMPUTED_VALUE"""),"LD261")</f>
        <v>LD261</v>
      </c>
      <c r="D257" s="55" t="s">
        <v>188</v>
      </c>
      <c r="E257" s="55" t="s">
        <v>193</v>
      </c>
      <c r="F257" s="55" t="s">
        <v>674</v>
      </c>
      <c r="G257" s="55" t="s">
        <v>61</v>
      </c>
      <c r="H257" s="55" t="s">
        <v>1261</v>
      </c>
      <c r="I257" s="115" t="s">
        <v>2964</v>
      </c>
      <c r="J257" s="142" t="s">
        <v>2574</v>
      </c>
      <c r="K257" s="55" t="s">
        <v>61</v>
      </c>
      <c r="L257" s="55" t="s">
        <v>1130</v>
      </c>
      <c r="M257" s="55" t="s">
        <v>78</v>
      </c>
      <c r="N257" s="55" t="s">
        <v>193</v>
      </c>
      <c r="O257" s="55" t="s">
        <v>1768</v>
      </c>
      <c r="P257" s="55" t="s">
        <v>110</v>
      </c>
      <c r="Q257" s="67" t="str">
        <f>IFERROR(__xludf.DUMMYFUNCTION("""COMPUTED_VALUE"""),"Europe.giaotiep.tienganh_Patado_SEA_HoaNT_160126")</f>
        <v>Europe.giaotiep.tienganh_Patado_SEA_HoaNT_160126</v>
      </c>
      <c r="R257" s="67" t="str">
        <f>IFERROR(__xludf.DUMMYFUNCTION("""COMPUTED_VALUE"""),"NEW_Europe_none_none_160126")</f>
        <v>NEW_Europe_none_none_160126</v>
      </c>
      <c r="S257" s="67" t="str">
        <f>IFERROR(__xludf.DUMMYFUNCTION("""COMPUTED_VALUE"""),"saletructiep_Lotrinhgiaotiep_PTAGTTD_LD261")</f>
        <v>saletructiep_Lotrinhgiaotiep_PTAGTTD_LD261</v>
      </c>
      <c r="T257" s="107" t="str">
        <f>IFERROR(__xludf.DUMMYFUNCTION("""COMPUTED_VALUE"""),"https://patadovietnam.edu.vn/khoa-tieng-anh-giao-tiep-chau-au/?utm_source=Google&amp;utm_medium=SEA&amp;utm_term=NEW_Europe_none_none_160126&amp;utm_content=saletructiep_Lotrinhgiaotiep_PTAGTTD_LD261&amp;utm_campaign=Europe.giaotiep.tienganh_Patado_SEA_HoaNT_160126")</f>
        <v>https://patadovietnam.edu.vn/khoa-tieng-anh-giao-tiep-chau-au/?utm_source=Google&amp;utm_medium=SEA&amp;utm_term=NEW_Europe_none_none_160126&amp;utm_content=saletructiep_Lotrinhgiaotiep_PTAGTTD_LD261&amp;utm_campaign=Europe.giaotiep.tienganh_Patado_SEA_HoaNT_160126</v>
      </c>
      <c r="U257" s="116"/>
    </row>
    <row r="258">
      <c r="A258" s="72">
        <v>46038.0</v>
      </c>
      <c r="B258" s="161" t="s">
        <v>2963</v>
      </c>
      <c r="C258" s="67" t="str">
        <f>IFERROR(__xludf.DUMMYFUNCTION("""COMPUTED_VALUE"""),"LD261")</f>
        <v>LD261</v>
      </c>
      <c r="D258" s="55" t="s">
        <v>188</v>
      </c>
      <c r="E258" s="55" t="s">
        <v>193</v>
      </c>
      <c r="F258" s="55" t="s">
        <v>674</v>
      </c>
      <c r="G258" s="55" t="s">
        <v>61</v>
      </c>
      <c r="H258" s="55" t="s">
        <v>1261</v>
      </c>
      <c r="I258" s="115" t="s">
        <v>2964</v>
      </c>
      <c r="J258" s="143" t="s">
        <v>2580</v>
      </c>
      <c r="K258" s="55" t="s">
        <v>61</v>
      </c>
      <c r="L258" s="55" t="s">
        <v>1130</v>
      </c>
      <c r="M258" s="55" t="s">
        <v>78</v>
      </c>
      <c r="N258" s="55" t="s">
        <v>193</v>
      </c>
      <c r="O258" s="55" t="s">
        <v>1768</v>
      </c>
      <c r="P258" s="55" t="s">
        <v>110</v>
      </c>
      <c r="Q258" s="67" t="str">
        <f>IFERROR(__xludf.DUMMYFUNCTION("""COMPUTED_VALUE"""),"Europe.giaotiep.tienganh_Patado_SEA_HoaNT_160126")</f>
        <v>Europe.giaotiep.tienganh_Patado_SEA_HoaNT_160126</v>
      </c>
      <c r="R258" s="67" t="str">
        <f>IFERROR(__xludf.DUMMYFUNCTION("""COMPUTED_VALUE"""),"NEW_Europe_none_none_160126")</f>
        <v>NEW_Europe_none_none_160126</v>
      </c>
      <c r="S258" s="67" t="str">
        <f>IFERROR(__xludf.DUMMYFUNCTION("""COMPUTED_VALUE"""),"saletructiep_Lopgiaotiep_PTAGTTD_LD261")</f>
        <v>saletructiep_Lopgiaotiep_PTAGTTD_LD261</v>
      </c>
      <c r="T258" s="107" t="str">
        <f>IFERROR(__xludf.DUMMYFUNCTION("""COMPUTED_VALUE"""),"https://patadovietnam.edu.vn/khoa-tieng-anh-giao-tiep-chau-au/?utm_source=Google&amp;utm_medium=SEA&amp;utm_term=NEW_Europe_none_none_160126&amp;utm_content=saletructiep_Lopgiaotiep_PTAGTTD_LD261&amp;utm_campaign=Europe.giaotiep.tienganh_Patado_SEA_HoaNT_160126")</f>
        <v>https://patadovietnam.edu.vn/khoa-tieng-anh-giao-tiep-chau-au/?utm_source=Google&amp;utm_medium=SEA&amp;utm_term=NEW_Europe_none_none_160126&amp;utm_content=saletructiep_Lopgiaotiep_PTAGTTD_LD261&amp;utm_campaign=Europe.giaotiep.tienganh_Patado_SEA_HoaNT_160126</v>
      </c>
      <c r="U258" s="116"/>
    </row>
    <row r="259">
      <c r="A259" s="72">
        <v>46038.0</v>
      </c>
      <c r="B259" s="161" t="s">
        <v>2963</v>
      </c>
      <c r="C259" s="67" t="str">
        <f>IFERROR(__xludf.DUMMYFUNCTION("""COMPUTED_VALUE"""),"LD261")</f>
        <v>LD261</v>
      </c>
      <c r="D259" s="55" t="s">
        <v>188</v>
      </c>
      <c r="E259" s="55" t="s">
        <v>193</v>
      </c>
      <c r="F259" s="55" t="s">
        <v>674</v>
      </c>
      <c r="G259" s="55" t="s">
        <v>61</v>
      </c>
      <c r="H259" s="55" t="s">
        <v>1261</v>
      </c>
      <c r="I259" s="115" t="s">
        <v>2964</v>
      </c>
      <c r="J259" s="142" t="s">
        <v>2586</v>
      </c>
      <c r="K259" s="55" t="s">
        <v>61</v>
      </c>
      <c r="L259" s="55" t="s">
        <v>1130</v>
      </c>
      <c r="M259" s="55" t="s">
        <v>78</v>
      </c>
      <c r="N259" s="55" t="s">
        <v>193</v>
      </c>
      <c r="O259" s="55" t="s">
        <v>1768</v>
      </c>
      <c r="P259" s="55" t="s">
        <v>110</v>
      </c>
      <c r="Q259" s="67" t="str">
        <f>IFERROR(__xludf.DUMMYFUNCTION("""COMPUTED_VALUE"""),"Europe.giaotiep.tienganh_Patado_SEA_HoaNT_160126")</f>
        <v>Europe.giaotiep.tienganh_Patado_SEA_HoaNT_160126</v>
      </c>
      <c r="R259" s="67" t="str">
        <f>IFERROR(__xludf.DUMMYFUNCTION("""COMPUTED_VALUE"""),"NEW_Europe_none_none_160126")</f>
        <v>NEW_Europe_none_none_160126</v>
      </c>
      <c r="S259" s="67" t="str">
        <f>IFERROR(__xludf.DUMMYFUNCTION("""COMPUTED_VALUE"""),"saletructiep_Khoagiaotiep_PTAGTTD_LD261")</f>
        <v>saletructiep_Khoagiaotiep_PTAGTTD_LD261</v>
      </c>
      <c r="T259" s="107" t="str">
        <f>IFERROR(__xludf.DUMMYFUNCTION("""COMPUTED_VALUE"""),"https://patadovietnam.edu.vn/khoa-tieng-anh-giao-tiep-chau-au/?utm_source=Google&amp;utm_medium=SEA&amp;utm_term=NEW_Europe_none_none_160126&amp;utm_content=saletructiep_Khoagiaotiep_PTAGTTD_LD261&amp;utm_campaign=Europe.giaotiep.tienganh_Patado_SEA_HoaNT_160126")</f>
        <v>https://patadovietnam.edu.vn/khoa-tieng-anh-giao-tiep-chau-au/?utm_source=Google&amp;utm_medium=SEA&amp;utm_term=NEW_Europe_none_none_160126&amp;utm_content=saletructiep_Khoagiaotiep_PTAGTTD_LD261&amp;utm_campaign=Europe.giaotiep.tienganh_Patado_SEA_HoaNT_160126</v>
      </c>
      <c r="U259" s="116"/>
    </row>
    <row r="260">
      <c r="A260" s="72">
        <v>46038.0</v>
      </c>
      <c r="B260" s="161" t="s">
        <v>2963</v>
      </c>
      <c r="C260" s="67" t="str">
        <f>IFERROR(__xludf.DUMMYFUNCTION("""COMPUTED_VALUE"""),"LD261")</f>
        <v>LD261</v>
      </c>
      <c r="D260" s="55" t="s">
        <v>188</v>
      </c>
      <c r="E260" s="55" t="s">
        <v>193</v>
      </c>
      <c r="F260" s="55" t="s">
        <v>674</v>
      </c>
      <c r="G260" s="55" t="s">
        <v>61</v>
      </c>
      <c r="H260" s="55" t="s">
        <v>1261</v>
      </c>
      <c r="I260" s="115" t="s">
        <v>2964</v>
      </c>
      <c r="J260" s="143" t="s">
        <v>2594</v>
      </c>
      <c r="K260" s="55" t="s">
        <v>61</v>
      </c>
      <c r="L260" s="55" t="s">
        <v>1130</v>
      </c>
      <c r="M260" s="55" t="s">
        <v>78</v>
      </c>
      <c r="N260" s="55" t="s">
        <v>193</v>
      </c>
      <c r="O260" s="55" t="s">
        <v>1768</v>
      </c>
      <c r="P260" s="55" t="s">
        <v>110</v>
      </c>
      <c r="Q260" s="67" t="str">
        <f>IFERROR(__xludf.DUMMYFUNCTION("""COMPUTED_VALUE"""),"Europe.giaotiep.tienganh_Patado_SEA_HoaNT_160126")</f>
        <v>Europe.giaotiep.tienganh_Patado_SEA_HoaNT_160126</v>
      </c>
      <c r="R260" s="67" t="str">
        <f>IFERROR(__xludf.DUMMYFUNCTION("""COMPUTED_VALUE"""),"NEW_Europe_none_none_160126")</f>
        <v>NEW_Europe_none_none_160126</v>
      </c>
      <c r="S260" s="67" t="str">
        <f>IFERROR(__xludf.DUMMYFUNCTION("""COMPUTED_VALUE"""),"saletructiep_Trungtamgiaotiep_PTAGTTD_LD261")</f>
        <v>saletructiep_Trungtamgiaotiep_PTAGTTD_LD261</v>
      </c>
      <c r="T260" s="107" t="str">
        <f>IFERROR(__xludf.DUMMYFUNCTION("""COMPUTED_VALUE"""),"https://patadovietnam.edu.vn/khoa-tieng-anh-giao-tiep-chau-au/?utm_source=Google&amp;utm_medium=SEA&amp;utm_term=NEW_Europe_none_none_160126&amp;utm_content=saletructiep_Trungtamgiaotiep_PTAGTTD_LD261&amp;utm_campaign=Europe.giaotiep.tienganh_Patado_SEA_HoaNT_160126")</f>
        <v>https://patadovietnam.edu.vn/khoa-tieng-anh-giao-tiep-chau-au/?utm_source=Google&amp;utm_medium=SEA&amp;utm_term=NEW_Europe_none_none_160126&amp;utm_content=saletructiep_Trungtamgiaotiep_PTAGTTD_LD261&amp;utm_campaign=Europe.giaotiep.tienganh_Patado_SEA_HoaNT_160126</v>
      </c>
      <c r="U260" s="116"/>
    </row>
    <row r="261">
      <c r="A261" s="72">
        <v>46038.0</v>
      </c>
      <c r="B261" s="161" t="s">
        <v>2963</v>
      </c>
      <c r="C261" s="67" t="str">
        <f>IFERROR(__xludf.DUMMYFUNCTION("""COMPUTED_VALUE"""),"LD261")</f>
        <v>LD261</v>
      </c>
      <c r="D261" s="55" t="s">
        <v>188</v>
      </c>
      <c r="E261" s="55" t="s">
        <v>193</v>
      </c>
      <c r="F261" s="55" t="s">
        <v>674</v>
      </c>
      <c r="G261" s="55" t="s">
        <v>61</v>
      </c>
      <c r="H261" s="55" t="s">
        <v>1261</v>
      </c>
      <c r="I261" s="115" t="s">
        <v>2964</v>
      </c>
      <c r="J261" s="142" t="s">
        <v>2600</v>
      </c>
      <c r="K261" s="55" t="s">
        <v>61</v>
      </c>
      <c r="L261" s="55" t="s">
        <v>1130</v>
      </c>
      <c r="M261" s="55" t="s">
        <v>78</v>
      </c>
      <c r="N261" s="55" t="s">
        <v>193</v>
      </c>
      <c r="O261" s="55" t="s">
        <v>1768</v>
      </c>
      <c r="P261" s="55" t="s">
        <v>110</v>
      </c>
      <c r="Q261" s="67" t="str">
        <f>IFERROR(__xludf.DUMMYFUNCTION("""COMPUTED_VALUE"""),"Europe.giaotiep.tienganh_Patado_SEA_HoaNT_160126")</f>
        <v>Europe.giaotiep.tienganh_Patado_SEA_HoaNT_160126</v>
      </c>
      <c r="R261" s="67" t="str">
        <f>IFERROR(__xludf.DUMMYFUNCTION("""COMPUTED_VALUE"""),"NEW_Europe_none_none_160126")</f>
        <v>NEW_Europe_none_none_160126</v>
      </c>
      <c r="S261" s="67" t="str">
        <f>IFERROR(__xludf.DUMMYFUNCTION("""COMPUTED_VALUE"""),"saletructiep_Hocphigiaotiep_PTAGTTD_LD261")</f>
        <v>saletructiep_Hocphigiaotiep_PTAGTTD_LD261</v>
      </c>
      <c r="T261" s="107" t="str">
        <f>IFERROR(__xludf.DUMMYFUNCTION("""COMPUTED_VALUE"""),"https://patadovietnam.edu.vn/khoa-tieng-anh-giao-tiep-chau-au/?utm_source=Google&amp;utm_medium=SEA&amp;utm_term=NEW_Europe_none_none_160126&amp;utm_content=saletructiep_Hocphigiaotiep_PTAGTTD_LD261&amp;utm_campaign=Europe.giaotiep.tienganh_Patado_SEA_HoaNT_160126")</f>
        <v>https://patadovietnam.edu.vn/khoa-tieng-anh-giao-tiep-chau-au/?utm_source=Google&amp;utm_medium=SEA&amp;utm_term=NEW_Europe_none_none_160126&amp;utm_content=saletructiep_Hocphigiaotiep_PTAGTTD_LD261&amp;utm_campaign=Europe.giaotiep.tienganh_Patado_SEA_HoaNT_160126</v>
      </c>
      <c r="U261" s="116"/>
    </row>
    <row r="262">
      <c r="A262" s="72">
        <v>46038.0</v>
      </c>
      <c r="B262" s="161" t="s">
        <v>2963</v>
      </c>
      <c r="C262" s="67" t="str">
        <f>IFERROR(__xludf.DUMMYFUNCTION("""COMPUTED_VALUE"""),"LD261")</f>
        <v>LD261</v>
      </c>
      <c r="D262" s="55" t="s">
        <v>188</v>
      </c>
      <c r="E262" s="55" t="s">
        <v>193</v>
      </c>
      <c r="F262" s="55" t="s">
        <v>674</v>
      </c>
      <c r="G262" s="55" t="s">
        <v>61</v>
      </c>
      <c r="H262" s="55" t="s">
        <v>1261</v>
      </c>
      <c r="I262" s="115" t="s">
        <v>2964</v>
      </c>
      <c r="J262" s="142" t="s">
        <v>2607</v>
      </c>
      <c r="K262" s="55" t="s">
        <v>61</v>
      </c>
      <c r="L262" s="55" t="s">
        <v>1130</v>
      </c>
      <c r="M262" s="55" t="s">
        <v>78</v>
      </c>
      <c r="N262" s="55" t="s">
        <v>193</v>
      </c>
      <c r="O262" s="55" t="s">
        <v>1768</v>
      </c>
      <c r="P262" s="55" t="s">
        <v>110</v>
      </c>
      <c r="Q262" s="67" t="str">
        <f>IFERROR(__xludf.DUMMYFUNCTION("""COMPUTED_VALUE"""),"Europe.giaotiep.tienganh_Patado_SEA_HoaNT_160126")</f>
        <v>Europe.giaotiep.tienganh_Patado_SEA_HoaNT_160126</v>
      </c>
      <c r="R262" s="67" t="str">
        <f>IFERROR(__xludf.DUMMYFUNCTION("""COMPUTED_VALUE"""),"NEW_Europe_none_none_160126")</f>
        <v>NEW_Europe_none_none_160126</v>
      </c>
      <c r="S262" s="67" t="str">
        <f>IFERROR(__xludf.DUMMYFUNCTION("""COMPUTED_VALUE"""),"saletructiep_Tienganhngbatdau_PTAGTTD_LD261")</f>
        <v>saletructiep_Tienganhngbatdau_PTAGTTD_LD261</v>
      </c>
      <c r="T262" s="107" t="str">
        <f>IFERROR(__xludf.DUMMYFUNCTION("""COMPUTED_VALUE"""),"https://patadovietnam.edu.vn/khoa-tieng-anh-giao-tiep-chau-au/?utm_source=Google&amp;utm_medium=SEA&amp;utm_term=NEW_Europe_none_none_160126&amp;utm_content=saletructiep_Tienganhngbatdau_PTAGTTD_LD261&amp;utm_campaign=Europe.giaotiep.tienganh_Patado_SEA_HoaNT_160126")</f>
        <v>https://patadovietnam.edu.vn/khoa-tieng-anh-giao-tiep-chau-au/?utm_source=Google&amp;utm_medium=SEA&amp;utm_term=NEW_Europe_none_none_160126&amp;utm_content=saletructiep_Tienganhngbatdau_PTAGTTD_LD261&amp;utm_campaign=Europe.giaotiep.tienganh_Patado_SEA_HoaNT_160126</v>
      </c>
      <c r="U262" s="116"/>
    </row>
    <row r="263">
      <c r="A263" s="72">
        <v>46038.0</v>
      </c>
      <c r="B263" s="161" t="s">
        <v>2963</v>
      </c>
      <c r="C263" s="67" t="str">
        <f>IFERROR(__xludf.DUMMYFUNCTION("""COMPUTED_VALUE"""),"LD261")</f>
        <v>LD261</v>
      </c>
      <c r="D263" s="55" t="s">
        <v>188</v>
      </c>
      <c r="E263" s="55" t="s">
        <v>193</v>
      </c>
      <c r="F263" s="55" t="s">
        <v>674</v>
      </c>
      <c r="G263" s="55" t="s">
        <v>61</v>
      </c>
      <c r="H263" s="55" t="s">
        <v>1261</v>
      </c>
      <c r="I263" s="115" t="s">
        <v>2964</v>
      </c>
      <c r="J263" s="142" t="s">
        <v>2613</v>
      </c>
      <c r="K263" s="55" t="s">
        <v>61</v>
      </c>
      <c r="L263" s="55" t="s">
        <v>1130</v>
      </c>
      <c r="M263" s="55" t="s">
        <v>78</v>
      </c>
      <c r="N263" s="55" t="s">
        <v>193</v>
      </c>
      <c r="O263" s="55" t="s">
        <v>1768</v>
      </c>
      <c r="P263" s="55" t="s">
        <v>110</v>
      </c>
      <c r="Q263" s="67" t="str">
        <f>IFERROR(__xludf.DUMMYFUNCTION("""COMPUTED_VALUE"""),"Europe.giaotiep.tienganh_Patado_SEA_HoaNT_160126")</f>
        <v>Europe.giaotiep.tienganh_Patado_SEA_HoaNT_160126</v>
      </c>
      <c r="R263" s="67" t="str">
        <f>IFERROR(__xludf.DUMMYFUNCTION("""COMPUTED_VALUE"""),"NEW_Europe_none_none_160126")</f>
        <v>NEW_Europe_none_none_160126</v>
      </c>
      <c r="S263" s="67" t="str">
        <f>IFERROR(__xludf.DUMMYFUNCTION("""COMPUTED_VALUE"""),"saletructiep_Tienganhngdilam_PTAGTTD_LD261")</f>
        <v>saletructiep_Tienganhngdilam_PTAGTTD_LD261</v>
      </c>
      <c r="T263" s="107" t="str">
        <f>IFERROR(__xludf.DUMMYFUNCTION("""COMPUTED_VALUE"""),"https://patadovietnam.edu.vn/khoa-tieng-anh-giao-tiep-chau-au/?utm_source=Google&amp;utm_medium=SEA&amp;utm_term=NEW_Europe_none_none_160126&amp;utm_content=saletructiep_Tienganhngdilam_PTAGTTD_LD261&amp;utm_campaign=Europe.giaotiep.tienganh_Patado_SEA_HoaNT_160126")</f>
        <v>https://patadovietnam.edu.vn/khoa-tieng-anh-giao-tiep-chau-au/?utm_source=Google&amp;utm_medium=SEA&amp;utm_term=NEW_Europe_none_none_160126&amp;utm_content=saletructiep_Tienganhngdilam_PTAGTTD_LD261&amp;utm_campaign=Europe.giaotiep.tienganh_Patado_SEA_HoaNT_160126</v>
      </c>
      <c r="U263" s="116"/>
    </row>
    <row r="264">
      <c r="A264" s="72">
        <v>46038.0</v>
      </c>
      <c r="B264" s="161" t="s">
        <v>2963</v>
      </c>
      <c r="C264" s="67" t="str">
        <f>IFERROR(__xludf.DUMMYFUNCTION("""COMPUTED_VALUE"""),"LD261")</f>
        <v>LD261</v>
      </c>
      <c r="D264" s="55" t="s">
        <v>188</v>
      </c>
      <c r="E264" s="55" t="s">
        <v>193</v>
      </c>
      <c r="F264" s="55" t="s">
        <v>674</v>
      </c>
      <c r="G264" s="55" t="s">
        <v>61</v>
      </c>
      <c r="H264" s="55" t="s">
        <v>1261</v>
      </c>
      <c r="I264" s="115" t="s">
        <v>2964</v>
      </c>
      <c r="J264" s="142" t="s">
        <v>2617</v>
      </c>
      <c r="K264" s="55" t="s">
        <v>61</v>
      </c>
      <c r="L264" s="55" t="s">
        <v>1130</v>
      </c>
      <c r="M264" s="55" t="s">
        <v>78</v>
      </c>
      <c r="N264" s="55" t="s">
        <v>193</v>
      </c>
      <c r="O264" s="55" t="s">
        <v>1768</v>
      </c>
      <c r="P264" s="55" t="s">
        <v>110</v>
      </c>
      <c r="Q264" s="67" t="str">
        <f>IFERROR(__xludf.DUMMYFUNCTION("""COMPUTED_VALUE"""),"Europe.giaotiep.tienganh_Patado_SEA_HoaNT_160126")</f>
        <v>Europe.giaotiep.tienganh_Patado_SEA_HoaNT_160126</v>
      </c>
      <c r="R264" s="67" t="str">
        <f>IFERROR(__xludf.DUMMYFUNCTION("""COMPUTED_VALUE"""),"NEW_Europe_none_none_160126")</f>
        <v>NEW_Europe_none_none_160126</v>
      </c>
      <c r="S264" s="67" t="str">
        <f>IFERROR(__xludf.DUMMYFUNCTION("""COMPUTED_VALUE"""),"saletructiep_Tienganhngmatgoc_PTAGTTD_LD261")</f>
        <v>saletructiep_Tienganhngmatgoc_PTAGTTD_LD261</v>
      </c>
      <c r="T264" s="107" t="str">
        <f>IFERROR(__xludf.DUMMYFUNCTION("""COMPUTED_VALUE"""),"https://patadovietnam.edu.vn/khoa-tieng-anh-giao-tiep-chau-au/?utm_source=Google&amp;utm_medium=SEA&amp;utm_term=NEW_Europe_none_none_160126&amp;utm_content=saletructiep_Tienganhngmatgoc_PTAGTTD_LD261&amp;utm_campaign=Europe.giaotiep.tienganh_Patado_SEA_HoaNT_160126")</f>
        <v>https://patadovietnam.edu.vn/khoa-tieng-anh-giao-tiep-chau-au/?utm_source=Google&amp;utm_medium=SEA&amp;utm_term=NEW_Europe_none_none_160126&amp;utm_content=saletructiep_Tienganhngmatgoc_PTAGTTD_LD261&amp;utm_campaign=Europe.giaotiep.tienganh_Patado_SEA_HoaNT_160126</v>
      </c>
      <c r="U264" s="116"/>
    </row>
    <row r="265">
      <c r="A265" s="72">
        <v>46039.0</v>
      </c>
      <c r="B265" s="161" t="s">
        <v>3052</v>
      </c>
      <c r="C265" s="67" t="str">
        <f>IFERROR(__xludf.DUMMYFUNCTION("""COMPUTED_VALUE"""),"LD268")</f>
        <v>LD268</v>
      </c>
      <c r="D265" s="55" t="s">
        <v>188</v>
      </c>
      <c r="E265" s="55" t="s">
        <v>193</v>
      </c>
      <c r="F265" s="55" t="s">
        <v>129</v>
      </c>
      <c r="G265" s="55" t="s">
        <v>61</v>
      </c>
      <c r="H265" s="55" t="s">
        <v>1261</v>
      </c>
      <c r="I265" s="115" t="s">
        <v>3054</v>
      </c>
      <c r="J265" s="159" t="s">
        <v>2448</v>
      </c>
      <c r="K265" s="55" t="s">
        <v>61</v>
      </c>
      <c r="L265" s="55" t="s">
        <v>1130</v>
      </c>
      <c r="M265" s="55" t="s">
        <v>78</v>
      </c>
      <c r="N265" s="55" t="s">
        <v>193</v>
      </c>
      <c r="O265" s="55" t="s">
        <v>1768</v>
      </c>
      <c r="P265" s="55" t="s">
        <v>110</v>
      </c>
      <c r="Q265" s="67" t="str">
        <f>IFERROR(__xludf.DUMMYFUNCTION("""COMPUTED_VALUE"""),"Australia.giaotiep.tienganh_Patado_SEA_HoaNT_170126")</f>
        <v>Australia.giaotiep.tienganh_Patado_SEA_HoaNT_170126</v>
      </c>
      <c r="R265" s="67" t="str">
        <f>IFERROR(__xludf.DUMMYFUNCTION("""COMPUTED_VALUE"""),"NEW_Australia_none_none_170126")</f>
        <v>NEW_Australia_none_none_170126</v>
      </c>
      <c r="S265" s="67" t="str">
        <f>IFERROR(__xludf.DUMMYFUNCTION("""COMPUTED_VALUE"""),"saletructiep_Hoctienganh_PTAGTTD_LD268")</f>
        <v>saletructiep_Hoctienganh_PTAGTTD_LD268</v>
      </c>
      <c r="T265" s="107" t="str">
        <f>IFERROR(__xludf.DUMMYFUNCTION("""COMPUTED_VALUE"""),"https://patado.edu.vn/khoa-hoc-tieng-anh-giao-tiep-tai-uc/?utm_source=Google&amp;utm_medium=SEA&amp;utm_term=NEW_Australia_none_none_170126&amp;utm_content=saletructiep_Hoctienganh_PTAGTTD_LD268&amp;utm_campaign=Australia.giaotiep.tienganh_Patado_SEA_HoaNT_170126")</f>
        <v>https://patado.edu.vn/khoa-hoc-tieng-anh-giao-tiep-tai-uc/?utm_source=Google&amp;utm_medium=SEA&amp;utm_term=NEW_Australia_none_none_170126&amp;utm_content=saletructiep_Hoctienganh_PTAGTTD_LD268&amp;utm_campaign=Australia.giaotiep.tienganh_Patado_SEA_HoaNT_170126</v>
      </c>
      <c r="U265" s="116"/>
    </row>
    <row r="266">
      <c r="A266" s="72">
        <v>46039.0</v>
      </c>
      <c r="B266" s="161" t="s">
        <v>3059</v>
      </c>
      <c r="C266" s="67" t="str">
        <f>IFERROR(__xludf.DUMMYFUNCTION("""COMPUTED_VALUE"""),"LD262")</f>
        <v>LD262</v>
      </c>
      <c r="D266" s="55" t="s">
        <v>188</v>
      </c>
      <c r="E266" s="55" t="s">
        <v>193</v>
      </c>
      <c r="F266" s="55" t="s">
        <v>129</v>
      </c>
      <c r="G266" s="55" t="s">
        <v>61</v>
      </c>
      <c r="H266" s="55" t="s">
        <v>1261</v>
      </c>
      <c r="I266" s="115" t="s">
        <v>3054</v>
      </c>
      <c r="J266" s="155" t="s">
        <v>2455</v>
      </c>
      <c r="K266" s="55" t="s">
        <v>61</v>
      </c>
      <c r="L266" s="55" t="s">
        <v>1130</v>
      </c>
      <c r="M266" s="55" t="s">
        <v>78</v>
      </c>
      <c r="N266" s="55" t="s">
        <v>193</v>
      </c>
      <c r="O266" s="55" t="s">
        <v>1768</v>
      </c>
      <c r="P266" s="55" t="s">
        <v>110</v>
      </c>
      <c r="Q266" s="67" t="str">
        <f>IFERROR(__xludf.DUMMYFUNCTION("""COMPUTED_VALUE"""),"Australia.giaotiep.tienganh_Patado_SEA_HoaNT_170126")</f>
        <v>Australia.giaotiep.tienganh_Patado_SEA_HoaNT_170126</v>
      </c>
      <c r="R266" s="67" t="str">
        <f>IFERROR(__xludf.DUMMYFUNCTION("""COMPUTED_VALUE"""),"NEW_Australia_none_none_170126")</f>
        <v>NEW_Australia_none_none_170126</v>
      </c>
      <c r="S266" s="67" t="str">
        <f>IFERROR(__xludf.DUMMYFUNCTION("""COMPUTED_VALUE"""),"saletructiep_Hoctienganh11_PTAGTTD_LD262")</f>
        <v>saletructiep_Hoctienganh11_PTAGTTD_LD262</v>
      </c>
      <c r="T266" s="107" t="str">
        <f>IFERROR(__xludf.DUMMYFUNCTION("""COMPUTED_VALUE"""),"https://patadovietnam.edu.vn/khoa-hoc-tieng-anh-giao-tiep-tai-uc/?utm_source=Google&amp;utm_medium=SEA&amp;utm_term=NEW_Australia_none_none_170126&amp;utm_content=saletructiep_Hoctienganh11_PTAGTTD_LD262&amp;utm_campaign=Australia.giaotiep.tienganh_Patado_SEA_HoaNT_17012"&amp;"6")</f>
        <v>https://patadovietnam.edu.vn/khoa-hoc-tieng-anh-giao-tiep-tai-uc/?utm_source=Google&amp;utm_medium=SEA&amp;utm_term=NEW_Australia_none_none_170126&amp;utm_content=saletructiep_Hoctienganh11_PTAGTTD_LD262&amp;utm_campaign=Australia.giaotiep.tienganh_Patado_SEA_HoaNT_170126</v>
      </c>
      <c r="U266" s="116"/>
    </row>
    <row r="267">
      <c r="A267" s="72">
        <v>46039.0</v>
      </c>
      <c r="B267" s="161" t="s">
        <v>3059</v>
      </c>
      <c r="C267" s="67" t="str">
        <f>IFERROR(__xludf.DUMMYFUNCTION("""COMPUTED_VALUE"""),"LD262")</f>
        <v>LD262</v>
      </c>
      <c r="D267" s="55" t="s">
        <v>188</v>
      </c>
      <c r="E267" s="55" t="s">
        <v>193</v>
      </c>
      <c r="F267" s="55" t="s">
        <v>129</v>
      </c>
      <c r="G267" s="55" t="s">
        <v>61</v>
      </c>
      <c r="H267" s="55" t="s">
        <v>1261</v>
      </c>
      <c r="I267" s="115" t="s">
        <v>3054</v>
      </c>
      <c r="J267" s="149" t="s">
        <v>2462</v>
      </c>
      <c r="K267" s="55" t="s">
        <v>61</v>
      </c>
      <c r="L267" s="55" t="s">
        <v>1130</v>
      </c>
      <c r="M267" s="55" t="s">
        <v>78</v>
      </c>
      <c r="N267" s="55" t="s">
        <v>193</v>
      </c>
      <c r="O267" s="55" t="s">
        <v>1768</v>
      </c>
      <c r="P267" s="55" t="s">
        <v>110</v>
      </c>
      <c r="Q267" s="67" t="str">
        <f>IFERROR(__xludf.DUMMYFUNCTION("""COMPUTED_VALUE"""),"Australia.giaotiep.tienganh_Patado_SEA_HoaNT_170126")</f>
        <v>Australia.giaotiep.tienganh_Patado_SEA_HoaNT_170126</v>
      </c>
      <c r="R267" s="67" t="str">
        <f>IFERROR(__xludf.DUMMYFUNCTION("""COMPUTED_VALUE"""),"NEW_Australia_none_none_170126")</f>
        <v>NEW_Australia_none_none_170126</v>
      </c>
      <c r="S267" s="67" t="str">
        <f>IFERROR(__xludf.DUMMYFUNCTION("""COMPUTED_VALUE"""),"saletructiep_Tienganhtructuyen_PTAGTTD_LD262")</f>
        <v>saletructiep_Tienganhtructuyen_PTAGTTD_LD262</v>
      </c>
      <c r="T267" s="107" t="str">
        <f>IFERROR(__xludf.DUMMYFUNCTION("""COMPUTED_VALUE"""),"https://patadovietnam.edu.vn/khoa-hoc-tieng-anh-giao-tiep-tai-uc/?utm_source=Google&amp;utm_medium=SEA&amp;utm_term=NEW_Australia_none_none_170126&amp;utm_content=saletructiep_Tienganhtructuyen_PTAGTTD_LD262&amp;utm_campaign=Australia.giaotiep.tienganh_Patado_SEA_HoaNT_1"&amp;"70126")</f>
        <v>https://patadovietnam.edu.vn/khoa-hoc-tieng-anh-giao-tiep-tai-uc/?utm_source=Google&amp;utm_medium=SEA&amp;utm_term=NEW_Australia_none_none_170126&amp;utm_content=saletructiep_Tienganhtructuyen_PTAGTTD_LD262&amp;utm_campaign=Australia.giaotiep.tienganh_Patado_SEA_HoaNT_170126</v>
      </c>
      <c r="U267" s="116"/>
    </row>
    <row r="268">
      <c r="A268" s="72">
        <v>46039.0</v>
      </c>
      <c r="B268" s="161" t="s">
        <v>3059</v>
      </c>
      <c r="C268" s="67" t="str">
        <f>IFERROR(__xludf.DUMMYFUNCTION("""COMPUTED_VALUE"""),"LD262")</f>
        <v>LD262</v>
      </c>
      <c r="D268" s="55" t="s">
        <v>188</v>
      </c>
      <c r="E268" s="55" t="s">
        <v>193</v>
      </c>
      <c r="F268" s="55" t="s">
        <v>129</v>
      </c>
      <c r="G268" s="55" t="s">
        <v>61</v>
      </c>
      <c r="H268" s="55" t="s">
        <v>1261</v>
      </c>
      <c r="I268" s="115" t="s">
        <v>3054</v>
      </c>
      <c r="J268" s="142" t="s">
        <v>2471</v>
      </c>
      <c r="K268" s="55" t="s">
        <v>61</v>
      </c>
      <c r="L268" s="55" t="s">
        <v>1130</v>
      </c>
      <c r="M268" s="55" t="s">
        <v>78</v>
      </c>
      <c r="N268" s="55" t="s">
        <v>193</v>
      </c>
      <c r="O268" s="55" t="s">
        <v>1768</v>
      </c>
      <c r="P268" s="55" t="s">
        <v>110</v>
      </c>
      <c r="Q268" s="67" t="str">
        <f>IFERROR(__xludf.DUMMYFUNCTION("""COMPUTED_VALUE"""),"Australia.giaotiep.tienganh_Patado_SEA_HoaNT_170126")</f>
        <v>Australia.giaotiep.tienganh_Patado_SEA_HoaNT_170126</v>
      </c>
      <c r="R268" s="67" t="str">
        <f>IFERROR(__xludf.DUMMYFUNCTION("""COMPUTED_VALUE"""),"NEW_Australia_none_none_170126")</f>
        <v>NEW_Australia_none_none_170126</v>
      </c>
      <c r="S268" s="67" t="str">
        <f>IFERROR(__xludf.DUMMYFUNCTION("""COMPUTED_VALUE"""),"saletructiep_Tienganhquamang_PTAGTTD_LD262")</f>
        <v>saletructiep_Tienganhquamang_PTAGTTD_LD262</v>
      </c>
      <c r="T268" s="107" t="str">
        <f>IFERROR(__xludf.DUMMYFUNCTION("""COMPUTED_VALUE"""),"https://patadovietnam.edu.vn/khoa-hoc-tieng-anh-giao-tiep-tai-uc/?utm_source=Google&amp;utm_medium=SEA&amp;utm_term=NEW_Australia_none_none_170126&amp;utm_content=saletructiep_Tienganhquamang_PTAGTTD_LD262&amp;utm_campaign=Australia.giaotiep.tienganh_Patado_SEA_HoaNT_170"&amp;"126")</f>
        <v>https://patadovietnam.edu.vn/khoa-hoc-tieng-anh-giao-tiep-tai-uc/?utm_source=Google&amp;utm_medium=SEA&amp;utm_term=NEW_Australia_none_none_170126&amp;utm_content=saletructiep_Tienganhquamang_PTAGTTD_LD262&amp;utm_campaign=Australia.giaotiep.tienganh_Patado_SEA_HoaNT_170126</v>
      </c>
      <c r="U268" s="116"/>
    </row>
    <row r="269">
      <c r="A269" s="72">
        <v>46039.0</v>
      </c>
      <c r="B269" s="161" t="s">
        <v>3059</v>
      </c>
      <c r="C269" s="67" t="str">
        <f>IFERROR(__xludf.DUMMYFUNCTION("""COMPUTED_VALUE"""),"LD262")</f>
        <v>LD262</v>
      </c>
      <c r="D269" s="55" t="s">
        <v>188</v>
      </c>
      <c r="E269" s="55" t="s">
        <v>193</v>
      </c>
      <c r="F269" s="55" t="s">
        <v>129</v>
      </c>
      <c r="G269" s="55" t="s">
        <v>61</v>
      </c>
      <c r="H269" s="55" t="s">
        <v>1261</v>
      </c>
      <c r="I269" s="115" t="s">
        <v>3054</v>
      </c>
      <c r="J269" s="142" t="s">
        <v>2476</v>
      </c>
      <c r="K269" s="55" t="s">
        <v>61</v>
      </c>
      <c r="L269" s="55" t="s">
        <v>1130</v>
      </c>
      <c r="M269" s="55" t="s">
        <v>78</v>
      </c>
      <c r="N269" s="55" t="s">
        <v>193</v>
      </c>
      <c r="O269" s="55" t="s">
        <v>1768</v>
      </c>
      <c r="P269" s="55" t="s">
        <v>110</v>
      </c>
      <c r="Q269" s="67" t="str">
        <f>IFERROR(__xludf.DUMMYFUNCTION("""COMPUTED_VALUE"""),"Australia.giaotiep.tienganh_Patado_SEA_HoaNT_170126")</f>
        <v>Australia.giaotiep.tienganh_Patado_SEA_HoaNT_170126</v>
      </c>
      <c r="R269" s="67" t="str">
        <f>IFERROR(__xludf.DUMMYFUNCTION("""COMPUTED_VALUE"""),"NEW_Australia_none_none_170126")</f>
        <v>NEW_Australia_none_none_170126</v>
      </c>
      <c r="S269" s="67" t="str">
        <f>IFERROR(__xludf.DUMMYFUNCTION("""COMPUTED_VALUE"""),"saletructiep_Tienganhonline_PTAGTTD_LD262")</f>
        <v>saletructiep_Tienganhonline_PTAGTTD_LD262</v>
      </c>
      <c r="T269" s="107" t="str">
        <f>IFERROR(__xludf.DUMMYFUNCTION("""COMPUTED_VALUE"""),"https://patadovietnam.edu.vn/khoa-hoc-tieng-anh-giao-tiep-tai-uc/?utm_source=Google&amp;utm_medium=SEA&amp;utm_term=NEW_Australia_none_none_170126&amp;utm_content=saletructiep_Tienganhonline_PTAGTTD_LD262&amp;utm_campaign=Australia.giaotiep.tienganh_Patado_SEA_HoaNT_1701"&amp;"26")</f>
        <v>https://patadovietnam.edu.vn/khoa-hoc-tieng-anh-giao-tiep-tai-uc/?utm_source=Google&amp;utm_medium=SEA&amp;utm_term=NEW_Australia_none_none_170126&amp;utm_content=saletructiep_Tienganhonline_PTAGTTD_LD262&amp;utm_campaign=Australia.giaotiep.tienganh_Patado_SEA_HoaNT_170126</v>
      </c>
      <c r="U269" s="116"/>
    </row>
    <row r="270">
      <c r="A270" s="72">
        <v>46039.0</v>
      </c>
      <c r="B270" s="161" t="s">
        <v>3059</v>
      </c>
      <c r="C270" s="67" t="str">
        <f>IFERROR(__xludf.DUMMYFUNCTION("""COMPUTED_VALUE"""),"LD262")</f>
        <v>LD262</v>
      </c>
      <c r="D270" s="55" t="s">
        <v>188</v>
      </c>
      <c r="E270" s="55" t="s">
        <v>193</v>
      </c>
      <c r="F270" s="55" t="s">
        <v>129</v>
      </c>
      <c r="G270" s="55" t="s">
        <v>61</v>
      </c>
      <c r="H270" s="55" t="s">
        <v>1261</v>
      </c>
      <c r="I270" s="115" t="s">
        <v>3054</v>
      </c>
      <c r="J270" s="142" t="s">
        <v>2482</v>
      </c>
      <c r="K270" s="55" t="s">
        <v>61</v>
      </c>
      <c r="L270" s="55" t="s">
        <v>1130</v>
      </c>
      <c r="M270" s="55" t="s">
        <v>78</v>
      </c>
      <c r="N270" s="55" t="s">
        <v>193</v>
      </c>
      <c r="O270" s="55" t="s">
        <v>1768</v>
      </c>
      <c r="P270" s="55" t="s">
        <v>110</v>
      </c>
      <c r="Q270" s="67" t="str">
        <f>IFERROR(__xludf.DUMMYFUNCTION("""COMPUTED_VALUE"""),"Australia.giaotiep.tienganh_Patado_SEA_HoaNT_170126")</f>
        <v>Australia.giaotiep.tienganh_Patado_SEA_HoaNT_170126</v>
      </c>
      <c r="R270" s="67" t="str">
        <f>IFERROR(__xludf.DUMMYFUNCTION("""COMPUTED_VALUE"""),"NEW_Australia_none_none_170126")</f>
        <v>NEW_Australia_none_none_170126</v>
      </c>
      <c r="S270" s="67" t="str">
        <f>IFERROR(__xludf.DUMMYFUNCTION("""COMPUTED_VALUE"""),"saletructiep_Tienganhonline11_PTAGTTD_LD262")</f>
        <v>saletructiep_Tienganhonline11_PTAGTTD_LD262</v>
      </c>
      <c r="T270" s="107" t="str">
        <f>IFERROR(__xludf.DUMMYFUNCTION("""COMPUTED_VALUE"""),"https://patadovietnam.edu.vn/khoa-hoc-tieng-anh-giao-tiep-tai-uc/?utm_source=Google&amp;utm_medium=SEA&amp;utm_term=NEW_Australia_none_none_170126&amp;utm_content=saletructiep_Tienganhonline11_PTAGTTD_LD262&amp;utm_campaign=Australia.giaotiep.tienganh_Patado_SEA_HoaNT_17"&amp;"0126")</f>
        <v>https://patadovietnam.edu.vn/khoa-hoc-tieng-anh-giao-tiep-tai-uc/?utm_source=Google&amp;utm_medium=SEA&amp;utm_term=NEW_Australia_none_none_170126&amp;utm_content=saletructiep_Tienganhonline11_PTAGTTD_LD262&amp;utm_campaign=Australia.giaotiep.tienganh_Patado_SEA_HoaNT_170126</v>
      </c>
      <c r="U270" s="116"/>
    </row>
    <row r="271">
      <c r="A271" s="72">
        <v>46039.0</v>
      </c>
      <c r="B271" s="161" t="s">
        <v>3059</v>
      </c>
      <c r="C271" s="67" t="str">
        <f>IFERROR(__xludf.DUMMYFUNCTION("""COMPUTED_VALUE"""),"LD262")</f>
        <v>LD262</v>
      </c>
      <c r="D271" s="55" t="s">
        <v>188</v>
      </c>
      <c r="E271" s="55" t="s">
        <v>193</v>
      </c>
      <c r="F271" s="55" t="s">
        <v>129</v>
      </c>
      <c r="G271" s="55" t="s">
        <v>61</v>
      </c>
      <c r="H271" s="55" t="s">
        <v>1261</v>
      </c>
      <c r="I271" s="115" t="s">
        <v>3054</v>
      </c>
      <c r="J271" s="142" t="s">
        <v>2486</v>
      </c>
      <c r="K271" s="55" t="s">
        <v>61</v>
      </c>
      <c r="L271" s="55" t="s">
        <v>1130</v>
      </c>
      <c r="M271" s="55" t="s">
        <v>78</v>
      </c>
      <c r="N271" s="55" t="s">
        <v>193</v>
      </c>
      <c r="O271" s="55" t="s">
        <v>1768</v>
      </c>
      <c r="P271" s="55" t="s">
        <v>110</v>
      </c>
      <c r="Q271" s="67" t="str">
        <f>IFERROR(__xludf.DUMMYFUNCTION("""COMPUTED_VALUE"""),"Australia.giaotiep.tienganh_Patado_SEA_HoaNT_170126")</f>
        <v>Australia.giaotiep.tienganh_Patado_SEA_HoaNT_170126</v>
      </c>
      <c r="R271" s="67" t="str">
        <f>IFERROR(__xludf.DUMMYFUNCTION("""COMPUTED_VALUE"""),"NEW_Australia_none_none_170126")</f>
        <v>NEW_Australia_none_none_170126</v>
      </c>
      <c r="S271" s="67" t="str">
        <f>IFERROR(__xludf.DUMMYFUNCTION("""COMPUTED_VALUE"""),"saletructiep_Hoconline_PTAGTTD_LD262")</f>
        <v>saletructiep_Hoconline_PTAGTTD_LD262</v>
      </c>
      <c r="T271" s="107" t="str">
        <f>IFERROR(__xludf.DUMMYFUNCTION("""COMPUTED_VALUE"""),"https://patadovietnam.edu.vn/khoa-hoc-tieng-anh-giao-tiep-tai-uc/?utm_source=Google&amp;utm_medium=SEA&amp;utm_term=NEW_Australia_none_none_170126&amp;utm_content=saletructiep_Hoconline_PTAGTTD_LD262&amp;utm_campaign=Australia.giaotiep.tienganh_Patado_SEA_HoaNT_170126")</f>
        <v>https://patadovietnam.edu.vn/khoa-hoc-tieng-anh-giao-tiep-tai-uc/?utm_source=Google&amp;utm_medium=SEA&amp;utm_term=NEW_Australia_none_none_170126&amp;utm_content=saletructiep_Hoconline_PTAGTTD_LD262&amp;utm_campaign=Australia.giaotiep.tienganh_Patado_SEA_HoaNT_170126</v>
      </c>
      <c r="U271" s="116"/>
    </row>
    <row r="272">
      <c r="A272" s="72">
        <v>46039.0</v>
      </c>
      <c r="B272" s="161" t="s">
        <v>3059</v>
      </c>
      <c r="C272" s="67" t="str">
        <f>IFERROR(__xludf.DUMMYFUNCTION("""COMPUTED_VALUE"""),"LD262")</f>
        <v>LD262</v>
      </c>
      <c r="D272" s="55" t="s">
        <v>188</v>
      </c>
      <c r="E272" s="55" t="s">
        <v>193</v>
      </c>
      <c r="F272" s="55" t="s">
        <v>129</v>
      </c>
      <c r="G272" s="55" t="s">
        <v>61</v>
      </c>
      <c r="H272" s="55" t="s">
        <v>1261</v>
      </c>
      <c r="I272" s="115" t="s">
        <v>3054</v>
      </c>
      <c r="J272" s="142" t="s">
        <v>2494</v>
      </c>
      <c r="K272" s="55" t="s">
        <v>61</v>
      </c>
      <c r="L272" s="55" t="s">
        <v>1130</v>
      </c>
      <c r="M272" s="55" t="s">
        <v>78</v>
      </c>
      <c r="N272" s="55" t="s">
        <v>193</v>
      </c>
      <c r="O272" s="55" t="s">
        <v>1768</v>
      </c>
      <c r="P272" s="55" t="s">
        <v>110</v>
      </c>
      <c r="Q272" s="67" t="str">
        <f>IFERROR(__xludf.DUMMYFUNCTION("""COMPUTED_VALUE"""),"Australia.giaotiep.tienganh_Patado_SEA_HoaNT_170126")</f>
        <v>Australia.giaotiep.tienganh_Patado_SEA_HoaNT_170126</v>
      </c>
      <c r="R272" s="67" t="str">
        <f>IFERROR(__xludf.DUMMYFUNCTION("""COMPUTED_VALUE"""),"NEW_Australia_none_none_170126")</f>
        <v>NEW_Australia_none_none_170126</v>
      </c>
      <c r="S272" s="67" t="str">
        <f>IFERROR(__xludf.DUMMYFUNCTION("""COMPUTED_VALUE"""),"saletructiep_Hoconline11_PTAGTTD_LD262")</f>
        <v>saletructiep_Hoconline11_PTAGTTD_LD262</v>
      </c>
      <c r="T272" s="107" t="str">
        <f>IFERROR(__xludf.DUMMYFUNCTION("""COMPUTED_VALUE"""),"https://patadovietnam.edu.vn/khoa-hoc-tieng-anh-giao-tiep-tai-uc/?utm_source=Google&amp;utm_medium=SEA&amp;utm_term=NEW_Australia_none_none_170126&amp;utm_content=saletructiep_Hoconline11_PTAGTTD_LD262&amp;utm_campaign=Australia.giaotiep.tienganh_Patado_SEA_HoaNT_170126")</f>
        <v>https://patadovietnam.edu.vn/khoa-hoc-tieng-anh-giao-tiep-tai-uc/?utm_source=Google&amp;utm_medium=SEA&amp;utm_term=NEW_Australia_none_none_170126&amp;utm_content=saletructiep_Hoconline11_PTAGTTD_LD262&amp;utm_campaign=Australia.giaotiep.tienganh_Patado_SEA_HoaNT_170126</v>
      </c>
      <c r="U272" s="116"/>
    </row>
    <row r="273">
      <c r="A273" s="72">
        <v>46039.0</v>
      </c>
      <c r="B273" s="161" t="s">
        <v>3059</v>
      </c>
      <c r="C273" s="67" t="str">
        <f>IFERROR(__xludf.DUMMYFUNCTION("""COMPUTED_VALUE"""),"LD262")</f>
        <v>LD262</v>
      </c>
      <c r="D273" s="55" t="s">
        <v>188</v>
      </c>
      <c r="E273" s="55" t="s">
        <v>193</v>
      </c>
      <c r="F273" s="55" t="s">
        <v>129</v>
      </c>
      <c r="G273" s="55" t="s">
        <v>61</v>
      </c>
      <c r="H273" s="55" t="s">
        <v>1261</v>
      </c>
      <c r="I273" s="115" t="s">
        <v>3054</v>
      </c>
      <c r="J273" s="142" t="s">
        <v>2501</v>
      </c>
      <c r="K273" s="55" t="s">
        <v>61</v>
      </c>
      <c r="L273" s="55" t="s">
        <v>1130</v>
      </c>
      <c r="M273" s="55" t="s">
        <v>78</v>
      </c>
      <c r="N273" s="55" t="s">
        <v>193</v>
      </c>
      <c r="O273" s="55" t="s">
        <v>1768</v>
      </c>
      <c r="P273" s="55" t="s">
        <v>110</v>
      </c>
      <c r="Q273" s="67" t="str">
        <f>IFERROR(__xludf.DUMMYFUNCTION("""COMPUTED_VALUE"""),"Australia.giaotiep.tienganh_Patado_SEA_HoaNT_170126")</f>
        <v>Australia.giaotiep.tienganh_Patado_SEA_HoaNT_170126</v>
      </c>
      <c r="R273" s="67" t="str">
        <f>IFERROR(__xludf.DUMMYFUNCTION("""COMPUTED_VALUE"""),"NEW_Australia_none_none_170126")</f>
        <v>NEW_Australia_none_none_170126</v>
      </c>
      <c r="S273" s="67" t="str">
        <f>IFERROR(__xludf.DUMMYFUNCTION("""COMPUTED_VALUE"""),"saletructiep_Hocgiaotieponline_PTAGTTD_LD262")</f>
        <v>saletructiep_Hocgiaotieponline_PTAGTTD_LD262</v>
      </c>
      <c r="T273" s="107" t="str">
        <f>IFERROR(__xludf.DUMMYFUNCTION("""COMPUTED_VALUE"""),"https://patadovietnam.edu.vn/khoa-hoc-tieng-anh-giao-tiep-tai-uc/?utm_source=Google&amp;utm_medium=SEA&amp;utm_term=NEW_Australia_none_none_170126&amp;utm_content=saletructiep_Hocgiaotieponline_PTAGTTD_LD262&amp;utm_campaign=Australia.giaotiep.tienganh_Patado_SEA_HoaNT_1"&amp;"70126")</f>
        <v>https://patadovietnam.edu.vn/khoa-hoc-tieng-anh-giao-tiep-tai-uc/?utm_source=Google&amp;utm_medium=SEA&amp;utm_term=NEW_Australia_none_none_170126&amp;utm_content=saletructiep_Hocgiaotieponline_PTAGTTD_LD262&amp;utm_campaign=Australia.giaotiep.tienganh_Patado_SEA_HoaNT_170126</v>
      </c>
      <c r="U273" s="116"/>
    </row>
    <row r="274">
      <c r="A274" s="72">
        <v>46039.0</v>
      </c>
      <c r="B274" s="161" t="s">
        <v>3059</v>
      </c>
      <c r="C274" s="67" t="str">
        <f>IFERROR(__xludf.DUMMYFUNCTION("""COMPUTED_VALUE"""),"LD262")</f>
        <v>LD262</v>
      </c>
      <c r="D274" s="55" t="s">
        <v>188</v>
      </c>
      <c r="E274" s="55" t="s">
        <v>193</v>
      </c>
      <c r="F274" s="55" t="s">
        <v>129</v>
      </c>
      <c r="G274" s="55" t="s">
        <v>61</v>
      </c>
      <c r="H274" s="55" t="s">
        <v>1261</v>
      </c>
      <c r="I274" s="115" t="s">
        <v>3054</v>
      </c>
      <c r="J274" s="142" t="s">
        <v>2505</v>
      </c>
      <c r="K274" s="55" t="s">
        <v>61</v>
      </c>
      <c r="L274" s="55" t="s">
        <v>1130</v>
      </c>
      <c r="M274" s="55" t="s">
        <v>78</v>
      </c>
      <c r="N274" s="55" t="s">
        <v>193</v>
      </c>
      <c r="O274" s="55" t="s">
        <v>1768</v>
      </c>
      <c r="P274" s="55" t="s">
        <v>110</v>
      </c>
      <c r="Q274" s="67" t="str">
        <f>IFERROR(__xludf.DUMMYFUNCTION("""COMPUTED_VALUE"""),"Australia.giaotiep.tienganh_Patado_SEA_HoaNT_170126")</f>
        <v>Australia.giaotiep.tienganh_Patado_SEA_HoaNT_170126</v>
      </c>
      <c r="R274" s="67" t="str">
        <f>IFERROR(__xludf.DUMMYFUNCTION("""COMPUTED_VALUE"""),"NEW_Australia_none_none_170126")</f>
        <v>NEW_Australia_none_none_170126</v>
      </c>
      <c r="S274" s="67" t="str">
        <f>IFERROR(__xludf.DUMMYFUNCTION("""COMPUTED_VALUE"""),"saletructiep_Loponline_PTAGTTD_LD262")</f>
        <v>saletructiep_Loponline_PTAGTTD_LD262</v>
      </c>
      <c r="T274" s="107" t="str">
        <f>IFERROR(__xludf.DUMMYFUNCTION("""COMPUTED_VALUE"""),"https://patadovietnam.edu.vn/khoa-hoc-tieng-anh-giao-tiep-tai-uc/?utm_source=Google&amp;utm_medium=SEA&amp;utm_term=NEW_Australia_none_none_170126&amp;utm_content=saletructiep_Loponline_PTAGTTD_LD262&amp;utm_campaign=Australia.giaotiep.tienganh_Patado_SEA_HoaNT_170126")</f>
        <v>https://patadovietnam.edu.vn/khoa-hoc-tieng-anh-giao-tiep-tai-uc/?utm_source=Google&amp;utm_medium=SEA&amp;utm_term=NEW_Australia_none_none_170126&amp;utm_content=saletructiep_Loponline_PTAGTTD_LD262&amp;utm_campaign=Australia.giaotiep.tienganh_Patado_SEA_HoaNT_170126</v>
      </c>
      <c r="U274" s="116"/>
    </row>
    <row r="275">
      <c r="A275" s="72">
        <v>46039.0</v>
      </c>
      <c r="B275" s="161" t="s">
        <v>3059</v>
      </c>
      <c r="C275" s="67" t="str">
        <f>IFERROR(__xludf.DUMMYFUNCTION("""COMPUTED_VALUE"""),"LD262")</f>
        <v>LD262</v>
      </c>
      <c r="D275" s="55" t="s">
        <v>188</v>
      </c>
      <c r="E275" s="55" t="s">
        <v>193</v>
      </c>
      <c r="F275" s="55" t="s">
        <v>129</v>
      </c>
      <c r="G275" s="55" t="s">
        <v>61</v>
      </c>
      <c r="H275" s="55" t="s">
        <v>1261</v>
      </c>
      <c r="I275" s="115" t="s">
        <v>3054</v>
      </c>
      <c r="J275" s="157" t="s">
        <v>2510</v>
      </c>
      <c r="K275" s="55" t="s">
        <v>61</v>
      </c>
      <c r="L275" s="55" t="s">
        <v>1130</v>
      </c>
      <c r="M275" s="55" t="s">
        <v>78</v>
      </c>
      <c r="N275" s="55" t="s">
        <v>193</v>
      </c>
      <c r="O275" s="55" t="s">
        <v>1768</v>
      </c>
      <c r="P275" s="55" t="s">
        <v>110</v>
      </c>
      <c r="Q275" s="67" t="str">
        <f>IFERROR(__xludf.DUMMYFUNCTION("""COMPUTED_VALUE"""),"Australia.giaotiep.tienganh_Patado_SEA_HoaNT_170126")</f>
        <v>Australia.giaotiep.tienganh_Patado_SEA_HoaNT_170126</v>
      </c>
      <c r="R275" s="67" t="str">
        <f>IFERROR(__xludf.DUMMYFUNCTION("""COMPUTED_VALUE"""),"NEW_Australia_none_none_170126")</f>
        <v>NEW_Australia_none_none_170126</v>
      </c>
      <c r="S275" s="67" t="str">
        <f>IFERROR(__xludf.DUMMYFUNCTION("""COMPUTED_VALUE"""),"saletructiep_Khoagiaotieponline_PTAGTTD_LD262")</f>
        <v>saletructiep_Khoagiaotieponline_PTAGTTD_LD262</v>
      </c>
      <c r="T275" s="107" t="str">
        <f>IFERROR(__xludf.DUMMYFUNCTION("""COMPUTED_VALUE"""),"https://patadovietnam.edu.vn/khoa-hoc-tieng-anh-giao-tiep-tai-uc/?utm_source=Google&amp;utm_medium=SEA&amp;utm_term=NEW_Australia_none_none_170126&amp;utm_content=saletructiep_Khoagiaotieponline_PTAGTTD_LD262&amp;utm_campaign=Australia.giaotiep.tienganh_Patado_SEA_HoaNT_"&amp;"170126")</f>
        <v>https://patadovietnam.edu.vn/khoa-hoc-tieng-anh-giao-tiep-tai-uc/?utm_source=Google&amp;utm_medium=SEA&amp;utm_term=NEW_Australia_none_none_170126&amp;utm_content=saletructiep_Khoagiaotieponline_PTAGTTD_LD262&amp;utm_campaign=Australia.giaotiep.tienganh_Patado_SEA_HoaNT_170126</v>
      </c>
      <c r="U275" s="116"/>
    </row>
    <row r="276">
      <c r="A276" s="72">
        <v>46039.0</v>
      </c>
      <c r="B276" s="161" t="s">
        <v>3059</v>
      </c>
      <c r="C276" s="67" t="str">
        <f>IFERROR(__xludf.DUMMYFUNCTION("""COMPUTED_VALUE"""),"LD262")</f>
        <v>LD262</v>
      </c>
      <c r="D276" s="55" t="s">
        <v>188</v>
      </c>
      <c r="E276" s="55" t="s">
        <v>193</v>
      </c>
      <c r="F276" s="55" t="s">
        <v>129</v>
      </c>
      <c r="G276" s="55" t="s">
        <v>61</v>
      </c>
      <c r="H276" s="55" t="s">
        <v>1261</v>
      </c>
      <c r="I276" s="115" t="s">
        <v>3054</v>
      </c>
      <c r="J276" s="142" t="s">
        <v>2516</v>
      </c>
      <c r="K276" s="55" t="s">
        <v>61</v>
      </c>
      <c r="L276" s="55" t="s">
        <v>1130</v>
      </c>
      <c r="M276" s="55" t="s">
        <v>78</v>
      </c>
      <c r="N276" s="55" t="s">
        <v>193</v>
      </c>
      <c r="O276" s="55" t="s">
        <v>1768</v>
      </c>
      <c r="P276" s="55" t="s">
        <v>110</v>
      </c>
      <c r="Q276" s="67" t="str">
        <f>IFERROR(__xludf.DUMMYFUNCTION("""COMPUTED_VALUE"""),"Australia.giaotiep.tienganh_Patado_SEA_HoaNT_170126")</f>
        <v>Australia.giaotiep.tienganh_Patado_SEA_HoaNT_170126</v>
      </c>
      <c r="R276" s="67" t="str">
        <f>IFERROR(__xludf.DUMMYFUNCTION("""COMPUTED_VALUE"""),"NEW_Australia_none_none_170126")</f>
        <v>NEW_Australia_none_none_170126</v>
      </c>
      <c r="S276" s="67" t="str">
        <f>IFERROR(__xludf.DUMMYFUNCTION("""COMPUTED_VALUE"""),"saletructiep_Trungtamonline_PTAGTTD_LD262")</f>
        <v>saletructiep_Trungtamonline_PTAGTTD_LD262</v>
      </c>
      <c r="T276" s="107" t="str">
        <f>IFERROR(__xludf.DUMMYFUNCTION("""COMPUTED_VALUE"""),"https://patadovietnam.edu.vn/khoa-hoc-tieng-anh-giao-tiep-tai-uc/?utm_source=Google&amp;utm_medium=SEA&amp;utm_term=NEW_Australia_none_none_170126&amp;utm_content=saletructiep_Trungtamonline_PTAGTTD_LD262&amp;utm_campaign=Australia.giaotiep.tienganh_Patado_SEA_HoaNT_1701"&amp;"26")</f>
        <v>https://patadovietnam.edu.vn/khoa-hoc-tieng-anh-giao-tiep-tai-uc/?utm_source=Google&amp;utm_medium=SEA&amp;utm_term=NEW_Australia_none_none_170126&amp;utm_content=saletructiep_Trungtamonline_PTAGTTD_LD262&amp;utm_campaign=Australia.giaotiep.tienganh_Patado_SEA_HoaNT_170126</v>
      </c>
      <c r="U276" s="116"/>
    </row>
    <row r="277">
      <c r="A277" s="72">
        <v>46039.0</v>
      </c>
      <c r="B277" s="161" t="s">
        <v>3059</v>
      </c>
      <c r="C277" s="67" t="str">
        <f>IFERROR(__xludf.DUMMYFUNCTION("""COMPUTED_VALUE"""),"LD262")</f>
        <v>LD262</v>
      </c>
      <c r="D277" s="55" t="s">
        <v>188</v>
      </c>
      <c r="E277" s="55" t="s">
        <v>193</v>
      </c>
      <c r="F277" s="55" t="s">
        <v>129</v>
      </c>
      <c r="G277" s="55" t="s">
        <v>61</v>
      </c>
      <c r="H277" s="55" t="s">
        <v>1261</v>
      </c>
      <c r="I277" s="115" t="s">
        <v>3054</v>
      </c>
      <c r="J277" s="142" t="s">
        <v>2527</v>
      </c>
      <c r="K277" s="55" t="s">
        <v>61</v>
      </c>
      <c r="L277" s="55" t="s">
        <v>1130</v>
      </c>
      <c r="M277" s="55" t="s">
        <v>78</v>
      </c>
      <c r="N277" s="55" t="s">
        <v>193</v>
      </c>
      <c r="O277" s="55" t="s">
        <v>1768</v>
      </c>
      <c r="P277" s="55" t="s">
        <v>110</v>
      </c>
      <c r="Q277" s="67" t="str">
        <f>IFERROR(__xludf.DUMMYFUNCTION("""COMPUTED_VALUE"""),"Australia.giaotiep.tienganh_Patado_SEA_HoaNT_170126")</f>
        <v>Australia.giaotiep.tienganh_Patado_SEA_HoaNT_170126</v>
      </c>
      <c r="R277" s="67" t="str">
        <f>IFERROR(__xludf.DUMMYFUNCTION("""COMPUTED_VALUE"""),"NEW_Australia_none_none_170126")</f>
        <v>NEW_Australia_none_none_170126</v>
      </c>
      <c r="S277" s="67" t="str">
        <f>IFERROR(__xludf.DUMMYFUNCTION("""COMPUTED_VALUE"""),"saletructiep_Trungtamhoconline_PTAGTTD_LD262")</f>
        <v>saletructiep_Trungtamhoconline_PTAGTTD_LD262</v>
      </c>
      <c r="T277" s="107" t="str">
        <f>IFERROR(__xludf.DUMMYFUNCTION("""COMPUTED_VALUE"""),"https://patadovietnam.edu.vn/khoa-hoc-tieng-anh-giao-tiep-tai-uc/?utm_source=Google&amp;utm_medium=SEA&amp;utm_term=NEW_Australia_none_none_170126&amp;utm_content=saletructiep_Trungtamhoconline_PTAGTTD_LD262&amp;utm_campaign=Australia.giaotiep.tienganh_Patado_SEA_HoaNT_1"&amp;"70126")</f>
        <v>https://patadovietnam.edu.vn/khoa-hoc-tieng-anh-giao-tiep-tai-uc/?utm_source=Google&amp;utm_medium=SEA&amp;utm_term=NEW_Australia_none_none_170126&amp;utm_content=saletructiep_Trungtamhoconline_PTAGTTD_LD262&amp;utm_campaign=Australia.giaotiep.tienganh_Patado_SEA_HoaNT_170126</v>
      </c>
      <c r="U277" s="116"/>
    </row>
    <row r="278">
      <c r="A278" s="72">
        <v>46039.0</v>
      </c>
      <c r="B278" s="161" t="s">
        <v>3059</v>
      </c>
      <c r="C278" s="67" t="str">
        <f>IFERROR(__xludf.DUMMYFUNCTION("""COMPUTED_VALUE"""),"LD262")</f>
        <v>LD262</v>
      </c>
      <c r="D278" s="55" t="s">
        <v>188</v>
      </c>
      <c r="E278" s="55" t="s">
        <v>193</v>
      </c>
      <c r="F278" s="55" t="s">
        <v>129</v>
      </c>
      <c r="G278" s="55" t="s">
        <v>61</v>
      </c>
      <c r="H278" s="55" t="s">
        <v>1261</v>
      </c>
      <c r="I278" s="115" t="s">
        <v>3054</v>
      </c>
      <c r="J278" s="142" t="s">
        <v>2532</v>
      </c>
      <c r="K278" s="55" t="s">
        <v>61</v>
      </c>
      <c r="L278" s="55" t="s">
        <v>1130</v>
      </c>
      <c r="M278" s="55" t="s">
        <v>78</v>
      </c>
      <c r="N278" s="55" t="s">
        <v>193</v>
      </c>
      <c r="O278" s="55" t="s">
        <v>1768</v>
      </c>
      <c r="P278" s="55" t="s">
        <v>110</v>
      </c>
      <c r="Q278" s="67" t="str">
        <f>IFERROR(__xludf.DUMMYFUNCTION("""COMPUTED_VALUE"""),"Australia.giaotiep.tienganh_Patado_SEA_HoaNT_170126")</f>
        <v>Australia.giaotiep.tienganh_Patado_SEA_HoaNT_170126</v>
      </c>
      <c r="R278" s="67" t="str">
        <f>IFERROR(__xludf.DUMMYFUNCTION("""COMPUTED_VALUE"""),"NEW_Australia_none_none_170126")</f>
        <v>NEW_Australia_none_none_170126</v>
      </c>
      <c r="S278" s="67" t="str">
        <f>IFERROR(__xludf.DUMMYFUNCTION("""COMPUTED_VALUE"""),"saletructiep_Hocphionline_PTAGTTD_LD262")</f>
        <v>saletructiep_Hocphionline_PTAGTTD_LD262</v>
      </c>
      <c r="T278" s="107" t="str">
        <f>IFERROR(__xludf.DUMMYFUNCTION("""COMPUTED_VALUE"""),"https://patadovietnam.edu.vn/khoa-hoc-tieng-anh-giao-tiep-tai-uc/?utm_source=Google&amp;utm_medium=SEA&amp;utm_term=NEW_Australia_none_none_170126&amp;utm_content=saletructiep_Hocphionline_PTAGTTD_LD262&amp;utm_campaign=Australia.giaotiep.tienganh_Patado_SEA_HoaNT_170126")</f>
        <v>https://patadovietnam.edu.vn/khoa-hoc-tieng-anh-giao-tiep-tai-uc/?utm_source=Google&amp;utm_medium=SEA&amp;utm_term=NEW_Australia_none_none_170126&amp;utm_content=saletructiep_Hocphionline_PTAGTTD_LD262&amp;utm_campaign=Australia.giaotiep.tienganh_Patado_SEA_HoaNT_170126</v>
      </c>
      <c r="U278" s="116"/>
    </row>
    <row r="279">
      <c r="A279" s="72">
        <v>46039.0</v>
      </c>
      <c r="B279" s="161" t="s">
        <v>3059</v>
      </c>
      <c r="C279" s="67" t="str">
        <f>IFERROR(__xludf.DUMMYFUNCTION("""COMPUTED_VALUE"""),"LD262")</f>
        <v>LD262</v>
      </c>
      <c r="D279" s="55" t="s">
        <v>188</v>
      </c>
      <c r="E279" s="55" t="s">
        <v>193</v>
      </c>
      <c r="F279" s="55" t="s">
        <v>129</v>
      </c>
      <c r="G279" s="55" t="s">
        <v>61</v>
      </c>
      <c r="H279" s="55" t="s">
        <v>1261</v>
      </c>
      <c r="I279" s="115" t="s">
        <v>3054</v>
      </c>
      <c r="J279" s="142" t="s">
        <v>2541</v>
      </c>
      <c r="K279" s="55" t="s">
        <v>61</v>
      </c>
      <c r="L279" s="55" t="s">
        <v>1130</v>
      </c>
      <c r="M279" s="55" t="s">
        <v>78</v>
      </c>
      <c r="N279" s="55" t="s">
        <v>193</v>
      </c>
      <c r="O279" s="55" t="s">
        <v>1768</v>
      </c>
      <c r="P279" s="55" t="s">
        <v>110</v>
      </c>
      <c r="Q279" s="67" t="str">
        <f>IFERROR(__xludf.DUMMYFUNCTION("""COMPUTED_VALUE"""),"Australia.giaotiep.tienganh_Patado_SEA_HoaNT_170126")</f>
        <v>Australia.giaotiep.tienganh_Patado_SEA_HoaNT_170126</v>
      </c>
      <c r="R279" s="67" t="str">
        <f>IFERROR(__xludf.DUMMYFUNCTION("""COMPUTED_VALUE"""),"NEW_Australia_none_none_170126")</f>
        <v>NEW_Australia_none_none_170126</v>
      </c>
      <c r="S279" s="67" t="str">
        <f>IFERROR(__xludf.DUMMYFUNCTION("""COMPUTED_VALUE"""),"saletructiep_Tienganhgiaotiep_PTAGTTD_LD262")</f>
        <v>saletructiep_Tienganhgiaotiep_PTAGTTD_LD262</v>
      </c>
      <c r="T279" s="107" t="str">
        <f>IFERROR(__xludf.DUMMYFUNCTION("""COMPUTED_VALUE"""),"https://patadovietnam.edu.vn/khoa-hoc-tieng-anh-giao-tiep-tai-uc/?utm_source=Google&amp;utm_medium=SEA&amp;utm_term=NEW_Australia_none_none_170126&amp;utm_content=saletructiep_Tienganhgiaotiep_PTAGTTD_LD262&amp;utm_campaign=Australia.giaotiep.tienganh_Patado_SEA_HoaNT_17"&amp;"0126")</f>
        <v>https://patadovietnam.edu.vn/khoa-hoc-tieng-anh-giao-tiep-tai-uc/?utm_source=Google&amp;utm_medium=SEA&amp;utm_term=NEW_Australia_none_none_170126&amp;utm_content=saletructiep_Tienganhgiaotiep_PTAGTTD_LD262&amp;utm_campaign=Australia.giaotiep.tienganh_Patado_SEA_HoaNT_170126</v>
      </c>
      <c r="U279" s="116"/>
    </row>
    <row r="280">
      <c r="A280" s="72">
        <v>46039.0</v>
      </c>
      <c r="B280" s="161" t="s">
        <v>3059</v>
      </c>
      <c r="C280" s="67" t="str">
        <f>IFERROR(__xludf.DUMMYFUNCTION("""COMPUTED_VALUE"""),"LD262")</f>
        <v>LD262</v>
      </c>
      <c r="D280" s="55" t="s">
        <v>188</v>
      </c>
      <c r="E280" s="55" t="s">
        <v>193</v>
      </c>
      <c r="F280" s="55" t="s">
        <v>129</v>
      </c>
      <c r="G280" s="55" t="s">
        <v>61</v>
      </c>
      <c r="H280" s="55" t="s">
        <v>1261</v>
      </c>
      <c r="I280" s="115" t="s">
        <v>3054</v>
      </c>
      <c r="J280" s="143" t="s">
        <v>2546</v>
      </c>
      <c r="K280" s="55" t="s">
        <v>61</v>
      </c>
      <c r="L280" s="55" t="s">
        <v>1130</v>
      </c>
      <c r="M280" s="55" t="s">
        <v>78</v>
      </c>
      <c r="N280" s="55" t="s">
        <v>193</v>
      </c>
      <c r="O280" s="55" t="s">
        <v>1768</v>
      </c>
      <c r="P280" s="55" t="s">
        <v>110</v>
      </c>
      <c r="Q280" s="67" t="str">
        <f>IFERROR(__xludf.DUMMYFUNCTION("""COMPUTED_VALUE"""),"Australia.giaotiep.tienganh_Patado_SEA_HoaNT_170126")</f>
        <v>Australia.giaotiep.tienganh_Patado_SEA_HoaNT_170126</v>
      </c>
      <c r="R280" s="67" t="str">
        <f>IFERROR(__xludf.DUMMYFUNCTION("""COMPUTED_VALUE"""),"NEW_Australia_none_none_170126")</f>
        <v>NEW_Australia_none_none_170126</v>
      </c>
      <c r="S280" s="67" t="str">
        <f>IFERROR(__xludf.DUMMYFUNCTION("""COMPUTED_VALUE"""),"saletructiep_Tienganhgiaotiep11_PTAGTTD_LD262")</f>
        <v>saletructiep_Tienganhgiaotiep11_PTAGTTD_LD262</v>
      </c>
      <c r="T280" s="107" t="str">
        <f>IFERROR(__xludf.DUMMYFUNCTION("""COMPUTED_VALUE"""),"https://patadovietnam.edu.vn/khoa-hoc-tieng-anh-giao-tiep-tai-uc/?utm_source=Google&amp;utm_medium=SEA&amp;utm_term=NEW_Australia_none_none_170126&amp;utm_content=saletructiep_Tienganhgiaotiep11_PTAGTTD_LD262&amp;utm_campaign=Australia.giaotiep.tienganh_Patado_SEA_HoaNT_"&amp;"170126")</f>
        <v>https://patadovietnam.edu.vn/khoa-hoc-tieng-anh-giao-tiep-tai-uc/?utm_source=Google&amp;utm_medium=SEA&amp;utm_term=NEW_Australia_none_none_170126&amp;utm_content=saletructiep_Tienganhgiaotiep11_PTAGTTD_LD262&amp;utm_campaign=Australia.giaotiep.tienganh_Patado_SEA_HoaNT_170126</v>
      </c>
      <c r="U280" s="116"/>
    </row>
    <row r="281">
      <c r="A281" s="72">
        <v>46039.0</v>
      </c>
      <c r="B281" s="161" t="s">
        <v>3059</v>
      </c>
      <c r="C281" s="67" t="str">
        <f>IFERROR(__xludf.DUMMYFUNCTION("""COMPUTED_VALUE"""),"LD262")</f>
        <v>LD262</v>
      </c>
      <c r="D281" s="55" t="s">
        <v>188</v>
      </c>
      <c r="E281" s="55" t="s">
        <v>193</v>
      </c>
      <c r="F281" s="55" t="s">
        <v>129</v>
      </c>
      <c r="G281" s="55" t="s">
        <v>61</v>
      </c>
      <c r="H281" s="55" t="s">
        <v>1261</v>
      </c>
      <c r="I281" s="115" t="s">
        <v>3054</v>
      </c>
      <c r="J281" s="142" t="s">
        <v>2550</v>
      </c>
      <c r="K281" s="55" t="s">
        <v>61</v>
      </c>
      <c r="L281" s="55" t="s">
        <v>1130</v>
      </c>
      <c r="M281" s="55" t="s">
        <v>78</v>
      </c>
      <c r="N281" s="55" t="s">
        <v>193</v>
      </c>
      <c r="O281" s="55" t="s">
        <v>1768</v>
      </c>
      <c r="P281" s="55" t="s">
        <v>110</v>
      </c>
      <c r="Q281" s="67" t="str">
        <f>IFERROR(__xludf.DUMMYFUNCTION("""COMPUTED_VALUE"""),"Australia.giaotiep.tienganh_Patado_SEA_HoaNT_170126")</f>
        <v>Australia.giaotiep.tienganh_Patado_SEA_HoaNT_170126</v>
      </c>
      <c r="R281" s="67" t="str">
        <f>IFERROR(__xludf.DUMMYFUNCTION("""COMPUTED_VALUE"""),"NEW_Australia_none_none_170126")</f>
        <v>NEW_Australia_none_none_170126</v>
      </c>
      <c r="S281" s="67" t="str">
        <f>IFERROR(__xludf.DUMMYFUNCTION("""COMPUTED_VALUE"""),"saletructiep_Hoctienganhgiaotiep_PTAGTTD_LD262")</f>
        <v>saletructiep_Hoctienganhgiaotiep_PTAGTTD_LD262</v>
      </c>
      <c r="T281" s="107" t="str">
        <f>IFERROR(__xludf.DUMMYFUNCTION("""COMPUTED_VALUE"""),"https://patadovietnam.edu.vn/khoa-hoc-tieng-anh-giao-tiep-tai-uc/?utm_source=Google&amp;utm_medium=SEA&amp;utm_term=NEW_Australia_none_none_170126&amp;utm_content=saletructiep_Hoctienganhgiaotiep_PTAGTTD_LD262&amp;utm_campaign=Australia.giaotiep.tienganh_Patado_SEA_HoaNT"&amp;"_170126")</f>
        <v>https://patadovietnam.edu.vn/khoa-hoc-tieng-anh-giao-tiep-tai-uc/?utm_source=Google&amp;utm_medium=SEA&amp;utm_term=NEW_Australia_none_none_170126&amp;utm_content=saletructiep_Hoctienganhgiaotiep_PTAGTTD_LD262&amp;utm_campaign=Australia.giaotiep.tienganh_Patado_SEA_HoaNT_170126</v>
      </c>
      <c r="U281" s="116"/>
    </row>
    <row r="282">
      <c r="A282" s="72">
        <v>46039.0</v>
      </c>
      <c r="B282" s="161" t="s">
        <v>3059</v>
      </c>
      <c r="C282" s="67" t="str">
        <f>IFERROR(__xludf.DUMMYFUNCTION("""COMPUTED_VALUE"""),"LD262")</f>
        <v>LD262</v>
      </c>
      <c r="D282" s="55" t="s">
        <v>188</v>
      </c>
      <c r="E282" s="55" t="s">
        <v>193</v>
      </c>
      <c r="F282" s="55" t="s">
        <v>129</v>
      </c>
      <c r="G282" s="55" t="s">
        <v>61</v>
      </c>
      <c r="H282" s="55" t="s">
        <v>1261</v>
      </c>
      <c r="I282" s="115" t="s">
        <v>3054</v>
      </c>
      <c r="J282" s="142" t="s">
        <v>2555</v>
      </c>
      <c r="K282" s="55" t="s">
        <v>61</v>
      </c>
      <c r="L282" s="55" t="s">
        <v>1130</v>
      </c>
      <c r="M282" s="55" t="s">
        <v>78</v>
      </c>
      <c r="N282" s="55" t="s">
        <v>193</v>
      </c>
      <c r="O282" s="55" t="s">
        <v>1768</v>
      </c>
      <c r="P282" s="55" t="s">
        <v>110</v>
      </c>
      <c r="Q282" s="67" t="str">
        <f>IFERROR(__xludf.DUMMYFUNCTION("""COMPUTED_VALUE"""),"Australia.giaotiep.tienganh_Patado_SEA_HoaNT_170126")</f>
        <v>Australia.giaotiep.tienganh_Patado_SEA_HoaNT_170126</v>
      </c>
      <c r="R282" s="67" t="str">
        <f>IFERROR(__xludf.DUMMYFUNCTION("""COMPUTED_VALUE"""),"NEW_Australia_none_none_170126")</f>
        <v>NEW_Australia_none_none_170126</v>
      </c>
      <c r="S282" s="67" t="str">
        <f>IFERROR(__xludf.DUMMYFUNCTION("""COMPUTED_VALUE"""),"saletructiep_Hocgiaotiepcoban_PTAGTTD_LD262")</f>
        <v>saletructiep_Hocgiaotiepcoban_PTAGTTD_LD262</v>
      </c>
      <c r="T282" s="107" t="str">
        <f>IFERROR(__xludf.DUMMYFUNCTION("""COMPUTED_VALUE"""),"https://patadovietnam.edu.vn/khoa-hoc-tieng-anh-giao-tiep-tai-uc/?utm_source=Google&amp;utm_medium=SEA&amp;utm_term=NEW_Australia_none_none_170126&amp;utm_content=saletructiep_Hocgiaotiepcoban_PTAGTTD_LD262&amp;utm_campaign=Australia.giaotiep.tienganh_Patado_SEA_HoaNT_17"&amp;"0126")</f>
        <v>https://patadovietnam.edu.vn/khoa-hoc-tieng-anh-giao-tiep-tai-uc/?utm_source=Google&amp;utm_medium=SEA&amp;utm_term=NEW_Australia_none_none_170126&amp;utm_content=saletructiep_Hocgiaotiepcoban_PTAGTTD_LD262&amp;utm_campaign=Australia.giaotiep.tienganh_Patado_SEA_HoaNT_170126</v>
      </c>
      <c r="U282" s="116"/>
    </row>
    <row r="283">
      <c r="A283" s="72">
        <v>46039.0</v>
      </c>
      <c r="B283" s="161" t="s">
        <v>3059</v>
      </c>
      <c r="C283" s="67" t="str">
        <f>IFERROR(__xludf.DUMMYFUNCTION("""COMPUTED_VALUE"""),"LD262")</f>
        <v>LD262</v>
      </c>
      <c r="D283" s="55" t="s">
        <v>188</v>
      </c>
      <c r="E283" s="55" t="s">
        <v>193</v>
      </c>
      <c r="F283" s="55" t="s">
        <v>129</v>
      </c>
      <c r="G283" s="55" t="s">
        <v>61</v>
      </c>
      <c r="H283" s="55" t="s">
        <v>1261</v>
      </c>
      <c r="I283" s="115" t="s">
        <v>3054</v>
      </c>
      <c r="J283" s="142" t="s">
        <v>2560</v>
      </c>
      <c r="K283" s="55" t="s">
        <v>61</v>
      </c>
      <c r="L283" s="55" t="s">
        <v>1130</v>
      </c>
      <c r="M283" s="55" t="s">
        <v>78</v>
      </c>
      <c r="N283" s="55" t="s">
        <v>193</v>
      </c>
      <c r="O283" s="55" t="s">
        <v>1768</v>
      </c>
      <c r="P283" s="55" t="s">
        <v>110</v>
      </c>
      <c r="Q283" s="67" t="str">
        <f>IFERROR(__xludf.DUMMYFUNCTION("""COMPUTED_VALUE"""),"Australia.giaotiep.tienganh_Patado_SEA_HoaNT_170126")</f>
        <v>Australia.giaotiep.tienganh_Patado_SEA_HoaNT_170126</v>
      </c>
      <c r="R283" s="67" t="str">
        <f>IFERROR(__xludf.DUMMYFUNCTION("""COMPUTED_VALUE"""),"NEW_Australia_none_none_170126")</f>
        <v>NEW_Australia_none_none_170126</v>
      </c>
      <c r="S283" s="67" t="str">
        <f>IFERROR(__xludf.DUMMYFUNCTION("""COMPUTED_VALUE"""),"saletructiep_Hocgiaotiepcaptoc_PTAGTTD_LD262")</f>
        <v>saletructiep_Hocgiaotiepcaptoc_PTAGTTD_LD262</v>
      </c>
      <c r="T283" s="107" t="str">
        <f>IFERROR(__xludf.DUMMYFUNCTION("""COMPUTED_VALUE"""),"https://patadovietnam.edu.vn/khoa-hoc-tieng-anh-giao-tiep-tai-uc/?utm_source=Google&amp;utm_medium=SEA&amp;utm_term=NEW_Australia_none_none_170126&amp;utm_content=saletructiep_Hocgiaotiepcaptoc_PTAGTTD_LD262&amp;utm_campaign=Australia.giaotiep.tienganh_Patado_SEA_HoaNT_1"&amp;"70126")</f>
        <v>https://patadovietnam.edu.vn/khoa-hoc-tieng-anh-giao-tiep-tai-uc/?utm_source=Google&amp;utm_medium=SEA&amp;utm_term=NEW_Australia_none_none_170126&amp;utm_content=saletructiep_Hocgiaotiepcaptoc_PTAGTTD_LD262&amp;utm_campaign=Australia.giaotiep.tienganh_Patado_SEA_HoaNT_170126</v>
      </c>
      <c r="U283" s="116"/>
    </row>
    <row r="284">
      <c r="A284" s="72">
        <v>46039.0</v>
      </c>
      <c r="B284" s="161" t="s">
        <v>3059</v>
      </c>
      <c r="C284" s="67" t="str">
        <f>IFERROR(__xludf.DUMMYFUNCTION("""COMPUTED_VALUE"""),"LD262")</f>
        <v>LD262</v>
      </c>
      <c r="D284" s="55" t="s">
        <v>188</v>
      </c>
      <c r="E284" s="55" t="s">
        <v>193</v>
      </c>
      <c r="F284" s="55" t="s">
        <v>129</v>
      </c>
      <c r="G284" s="55" t="s">
        <v>61</v>
      </c>
      <c r="H284" s="55" t="s">
        <v>1261</v>
      </c>
      <c r="I284" s="115" t="s">
        <v>3054</v>
      </c>
      <c r="J284" s="142" t="s">
        <v>2569</v>
      </c>
      <c r="K284" s="55" t="s">
        <v>61</v>
      </c>
      <c r="L284" s="55" t="s">
        <v>1130</v>
      </c>
      <c r="M284" s="55" t="s">
        <v>78</v>
      </c>
      <c r="N284" s="55" t="s">
        <v>193</v>
      </c>
      <c r="O284" s="55" t="s">
        <v>1768</v>
      </c>
      <c r="P284" s="55" t="s">
        <v>110</v>
      </c>
      <c r="Q284" s="67" t="str">
        <f>IFERROR(__xludf.DUMMYFUNCTION("""COMPUTED_VALUE"""),"Australia.giaotiep.tienganh_Patado_SEA_HoaNT_170126")</f>
        <v>Australia.giaotiep.tienganh_Patado_SEA_HoaNT_170126</v>
      </c>
      <c r="R284" s="67" t="str">
        <f>IFERROR(__xludf.DUMMYFUNCTION("""COMPUTED_VALUE"""),"NEW_Australia_none_none_170126")</f>
        <v>NEW_Australia_none_none_170126</v>
      </c>
      <c r="S284" s="67" t="str">
        <f>IFERROR(__xludf.DUMMYFUNCTION("""COMPUTED_VALUE"""),"saletructiep_Dangkyhocgiaotiep_PTAGTTD_LD262")</f>
        <v>saletructiep_Dangkyhocgiaotiep_PTAGTTD_LD262</v>
      </c>
      <c r="T284" s="107" t="str">
        <f>IFERROR(__xludf.DUMMYFUNCTION("""COMPUTED_VALUE"""),"https://patadovietnam.edu.vn/khoa-hoc-tieng-anh-giao-tiep-tai-uc/?utm_source=Google&amp;utm_medium=SEA&amp;utm_term=NEW_Australia_none_none_170126&amp;utm_content=saletructiep_Dangkyhocgiaotiep_PTAGTTD_LD262&amp;utm_campaign=Australia.giaotiep.tienganh_Patado_SEA_HoaNT_1"&amp;"70126")</f>
        <v>https://patadovietnam.edu.vn/khoa-hoc-tieng-anh-giao-tiep-tai-uc/?utm_source=Google&amp;utm_medium=SEA&amp;utm_term=NEW_Australia_none_none_170126&amp;utm_content=saletructiep_Dangkyhocgiaotiep_PTAGTTD_LD262&amp;utm_campaign=Australia.giaotiep.tienganh_Patado_SEA_HoaNT_170126</v>
      </c>
      <c r="U284" s="116"/>
    </row>
    <row r="285">
      <c r="A285" s="72">
        <v>46039.0</v>
      </c>
      <c r="B285" s="161" t="s">
        <v>3059</v>
      </c>
      <c r="C285" s="67" t="str">
        <f>IFERROR(__xludf.DUMMYFUNCTION("""COMPUTED_VALUE"""),"LD262")</f>
        <v>LD262</v>
      </c>
      <c r="D285" s="55" t="s">
        <v>188</v>
      </c>
      <c r="E285" s="55" t="s">
        <v>193</v>
      </c>
      <c r="F285" s="55" t="s">
        <v>129</v>
      </c>
      <c r="G285" s="55" t="s">
        <v>61</v>
      </c>
      <c r="H285" s="55" t="s">
        <v>1261</v>
      </c>
      <c r="I285" s="115" t="s">
        <v>3054</v>
      </c>
      <c r="J285" s="142" t="s">
        <v>2574</v>
      </c>
      <c r="K285" s="55" t="s">
        <v>61</v>
      </c>
      <c r="L285" s="55" t="s">
        <v>1130</v>
      </c>
      <c r="M285" s="55" t="s">
        <v>78</v>
      </c>
      <c r="N285" s="55" t="s">
        <v>193</v>
      </c>
      <c r="O285" s="55" t="s">
        <v>1768</v>
      </c>
      <c r="P285" s="55" t="s">
        <v>110</v>
      </c>
      <c r="Q285" s="67" t="str">
        <f>IFERROR(__xludf.DUMMYFUNCTION("""COMPUTED_VALUE"""),"Australia.giaotiep.tienganh_Patado_SEA_HoaNT_170126")</f>
        <v>Australia.giaotiep.tienganh_Patado_SEA_HoaNT_170126</v>
      </c>
      <c r="R285" s="67" t="str">
        <f>IFERROR(__xludf.DUMMYFUNCTION("""COMPUTED_VALUE"""),"NEW_Australia_none_none_170126")</f>
        <v>NEW_Australia_none_none_170126</v>
      </c>
      <c r="S285" s="67" t="str">
        <f>IFERROR(__xludf.DUMMYFUNCTION("""COMPUTED_VALUE"""),"saletructiep_Lotrinhgiaotiep_PTAGTTD_LD262")</f>
        <v>saletructiep_Lotrinhgiaotiep_PTAGTTD_LD262</v>
      </c>
      <c r="T285" s="107" t="str">
        <f>IFERROR(__xludf.DUMMYFUNCTION("""COMPUTED_VALUE"""),"https://patadovietnam.edu.vn/khoa-hoc-tieng-anh-giao-tiep-tai-uc/?utm_source=Google&amp;utm_medium=SEA&amp;utm_term=NEW_Australia_none_none_170126&amp;utm_content=saletructiep_Lotrinhgiaotiep_PTAGTTD_LD262&amp;utm_campaign=Australia.giaotiep.tienganh_Patado_SEA_HoaNT_170"&amp;"126")</f>
        <v>https://patadovietnam.edu.vn/khoa-hoc-tieng-anh-giao-tiep-tai-uc/?utm_source=Google&amp;utm_medium=SEA&amp;utm_term=NEW_Australia_none_none_170126&amp;utm_content=saletructiep_Lotrinhgiaotiep_PTAGTTD_LD262&amp;utm_campaign=Australia.giaotiep.tienganh_Patado_SEA_HoaNT_170126</v>
      </c>
      <c r="U285" s="116"/>
    </row>
    <row r="286">
      <c r="A286" s="72">
        <v>46039.0</v>
      </c>
      <c r="B286" s="161" t="s">
        <v>3059</v>
      </c>
      <c r="C286" s="67" t="str">
        <f>IFERROR(__xludf.DUMMYFUNCTION("""COMPUTED_VALUE"""),"LD262")</f>
        <v>LD262</v>
      </c>
      <c r="D286" s="55" t="s">
        <v>188</v>
      </c>
      <c r="E286" s="55" t="s">
        <v>193</v>
      </c>
      <c r="F286" s="55" t="s">
        <v>129</v>
      </c>
      <c r="G286" s="55" t="s">
        <v>61</v>
      </c>
      <c r="H286" s="55" t="s">
        <v>1261</v>
      </c>
      <c r="I286" s="115" t="s">
        <v>3054</v>
      </c>
      <c r="J286" s="143" t="s">
        <v>2580</v>
      </c>
      <c r="K286" s="55" t="s">
        <v>61</v>
      </c>
      <c r="L286" s="55" t="s">
        <v>1130</v>
      </c>
      <c r="M286" s="55" t="s">
        <v>78</v>
      </c>
      <c r="N286" s="55" t="s">
        <v>193</v>
      </c>
      <c r="O286" s="55" t="s">
        <v>1768</v>
      </c>
      <c r="P286" s="55" t="s">
        <v>110</v>
      </c>
      <c r="Q286" s="67" t="str">
        <f>IFERROR(__xludf.DUMMYFUNCTION("""COMPUTED_VALUE"""),"Australia.giaotiep.tienganh_Patado_SEA_HoaNT_170126")</f>
        <v>Australia.giaotiep.tienganh_Patado_SEA_HoaNT_170126</v>
      </c>
      <c r="R286" s="67" t="str">
        <f>IFERROR(__xludf.DUMMYFUNCTION("""COMPUTED_VALUE"""),"NEW_Australia_none_none_170126")</f>
        <v>NEW_Australia_none_none_170126</v>
      </c>
      <c r="S286" s="67" t="str">
        <f>IFERROR(__xludf.DUMMYFUNCTION("""COMPUTED_VALUE"""),"saletructiep_Lopgiaotiep_PTAGTTD_LD262")</f>
        <v>saletructiep_Lopgiaotiep_PTAGTTD_LD262</v>
      </c>
      <c r="T286" s="107" t="str">
        <f>IFERROR(__xludf.DUMMYFUNCTION("""COMPUTED_VALUE"""),"https://patadovietnam.edu.vn/khoa-hoc-tieng-anh-giao-tiep-tai-uc/?utm_source=Google&amp;utm_medium=SEA&amp;utm_term=NEW_Australia_none_none_170126&amp;utm_content=saletructiep_Lopgiaotiep_PTAGTTD_LD262&amp;utm_campaign=Australia.giaotiep.tienganh_Patado_SEA_HoaNT_170126")</f>
        <v>https://patadovietnam.edu.vn/khoa-hoc-tieng-anh-giao-tiep-tai-uc/?utm_source=Google&amp;utm_medium=SEA&amp;utm_term=NEW_Australia_none_none_170126&amp;utm_content=saletructiep_Lopgiaotiep_PTAGTTD_LD262&amp;utm_campaign=Australia.giaotiep.tienganh_Patado_SEA_HoaNT_170126</v>
      </c>
      <c r="U286" s="116"/>
    </row>
    <row r="287">
      <c r="A287" s="72">
        <v>46039.0</v>
      </c>
      <c r="B287" s="161" t="s">
        <v>3059</v>
      </c>
      <c r="C287" s="67" t="str">
        <f>IFERROR(__xludf.DUMMYFUNCTION("""COMPUTED_VALUE"""),"LD262")</f>
        <v>LD262</v>
      </c>
      <c r="D287" s="55" t="s">
        <v>188</v>
      </c>
      <c r="E287" s="55" t="s">
        <v>193</v>
      </c>
      <c r="F287" s="55" t="s">
        <v>129</v>
      </c>
      <c r="G287" s="55" t="s">
        <v>61</v>
      </c>
      <c r="H287" s="55" t="s">
        <v>1261</v>
      </c>
      <c r="I287" s="115" t="s">
        <v>3054</v>
      </c>
      <c r="J287" s="142" t="s">
        <v>2586</v>
      </c>
      <c r="K287" s="55" t="s">
        <v>61</v>
      </c>
      <c r="L287" s="55" t="s">
        <v>1130</v>
      </c>
      <c r="M287" s="55" t="s">
        <v>78</v>
      </c>
      <c r="N287" s="55" t="s">
        <v>193</v>
      </c>
      <c r="O287" s="55" t="s">
        <v>1768</v>
      </c>
      <c r="P287" s="55" t="s">
        <v>110</v>
      </c>
      <c r="Q287" s="67" t="str">
        <f>IFERROR(__xludf.DUMMYFUNCTION("""COMPUTED_VALUE"""),"Australia.giaotiep.tienganh_Patado_SEA_HoaNT_170126")</f>
        <v>Australia.giaotiep.tienganh_Patado_SEA_HoaNT_170126</v>
      </c>
      <c r="R287" s="67" t="str">
        <f>IFERROR(__xludf.DUMMYFUNCTION("""COMPUTED_VALUE"""),"NEW_Australia_none_none_170126")</f>
        <v>NEW_Australia_none_none_170126</v>
      </c>
      <c r="S287" s="67" t="str">
        <f>IFERROR(__xludf.DUMMYFUNCTION("""COMPUTED_VALUE"""),"saletructiep_Khoagiaotiep_PTAGTTD_LD262")</f>
        <v>saletructiep_Khoagiaotiep_PTAGTTD_LD262</v>
      </c>
      <c r="T287" s="107" t="str">
        <f>IFERROR(__xludf.DUMMYFUNCTION("""COMPUTED_VALUE"""),"https://patadovietnam.edu.vn/khoa-hoc-tieng-anh-giao-tiep-tai-uc/?utm_source=Google&amp;utm_medium=SEA&amp;utm_term=NEW_Australia_none_none_170126&amp;utm_content=saletructiep_Khoagiaotiep_PTAGTTD_LD262&amp;utm_campaign=Australia.giaotiep.tienganh_Patado_SEA_HoaNT_170126")</f>
        <v>https://patadovietnam.edu.vn/khoa-hoc-tieng-anh-giao-tiep-tai-uc/?utm_source=Google&amp;utm_medium=SEA&amp;utm_term=NEW_Australia_none_none_170126&amp;utm_content=saletructiep_Khoagiaotiep_PTAGTTD_LD262&amp;utm_campaign=Australia.giaotiep.tienganh_Patado_SEA_HoaNT_170126</v>
      </c>
      <c r="U287" s="116"/>
    </row>
    <row r="288">
      <c r="A288" s="72">
        <v>46039.0</v>
      </c>
      <c r="B288" s="161" t="s">
        <v>3059</v>
      </c>
      <c r="C288" s="67" t="str">
        <f>IFERROR(__xludf.DUMMYFUNCTION("""COMPUTED_VALUE"""),"LD262")</f>
        <v>LD262</v>
      </c>
      <c r="D288" s="55" t="s">
        <v>188</v>
      </c>
      <c r="E288" s="55" t="s">
        <v>193</v>
      </c>
      <c r="F288" s="55" t="s">
        <v>129</v>
      </c>
      <c r="G288" s="55" t="s">
        <v>61</v>
      </c>
      <c r="H288" s="55" t="s">
        <v>1261</v>
      </c>
      <c r="I288" s="115" t="s">
        <v>3054</v>
      </c>
      <c r="J288" s="143" t="s">
        <v>2594</v>
      </c>
      <c r="K288" s="55" t="s">
        <v>61</v>
      </c>
      <c r="L288" s="55" t="s">
        <v>1130</v>
      </c>
      <c r="M288" s="55" t="s">
        <v>78</v>
      </c>
      <c r="N288" s="55" t="s">
        <v>193</v>
      </c>
      <c r="O288" s="55" t="s">
        <v>1768</v>
      </c>
      <c r="P288" s="55" t="s">
        <v>110</v>
      </c>
      <c r="Q288" s="67" t="str">
        <f>IFERROR(__xludf.DUMMYFUNCTION("""COMPUTED_VALUE"""),"Australia.giaotiep.tienganh_Patado_SEA_HoaNT_170126")</f>
        <v>Australia.giaotiep.tienganh_Patado_SEA_HoaNT_170126</v>
      </c>
      <c r="R288" s="67" t="str">
        <f>IFERROR(__xludf.DUMMYFUNCTION("""COMPUTED_VALUE"""),"NEW_Australia_none_none_170126")</f>
        <v>NEW_Australia_none_none_170126</v>
      </c>
      <c r="S288" s="67" t="str">
        <f>IFERROR(__xludf.DUMMYFUNCTION("""COMPUTED_VALUE"""),"saletructiep_Trungtamgiaotiep_PTAGTTD_LD262")</f>
        <v>saletructiep_Trungtamgiaotiep_PTAGTTD_LD262</v>
      </c>
      <c r="T288" s="107" t="str">
        <f>IFERROR(__xludf.DUMMYFUNCTION("""COMPUTED_VALUE"""),"https://patadovietnam.edu.vn/khoa-hoc-tieng-anh-giao-tiep-tai-uc/?utm_source=Google&amp;utm_medium=SEA&amp;utm_term=NEW_Australia_none_none_170126&amp;utm_content=saletructiep_Trungtamgiaotiep_PTAGTTD_LD262&amp;utm_campaign=Australia.giaotiep.tienganh_Patado_SEA_HoaNT_17"&amp;"0126")</f>
        <v>https://patadovietnam.edu.vn/khoa-hoc-tieng-anh-giao-tiep-tai-uc/?utm_source=Google&amp;utm_medium=SEA&amp;utm_term=NEW_Australia_none_none_170126&amp;utm_content=saletructiep_Trungtamgiaotiep_PTAGTTD_LD262&amp;utm_campaign=Australia.giaotiep.tienganh_Patado_SEA_HoaNT_170126</v>
      </c>
      <c r="U288" s="116"/>
    </row>
    <row r="289">
      <c r="A289" s="72">
        <v>46039.0</v>
      </c>
      <c r="B289" s="161" t="s">
        <v>3059</v>
      </c>
      <c r="C289" s="67" t="str">
        <f>IFERROR(__xludf.DUMMYFUNCTION("""COMPUTED_VALUE"""),"LD262")</f>
        <v>LD262</v>
      </c>
      <c r="D289" s="55" t="s">
        <v>188</v>
      </c>
      <c r="E289" s="55" t="s">
        <v>193</v>
      </c>
      <c r="F289" s="55" t="s">
        <v>129</v>
      </c>
      <c r="G289" s="55" t="s">
        <v>61</v>
      </c>
      <c r="H289" s="55" t="s">
        <v>1261</v>
      </c>
      <c r="I289" s="115" t="s">
        <v>3054</v>
      </c>
      <c r="J289" s="142" t="s">
        <v>2600</v>
      </c>
      <c r="K289" s="55" t="s">
        <v>61</v>
      </c>
      <c r="L289" s="55" t="s">
        <v>1130</v>
      </c>
      <c r="M289" s="55" t="s">
        <v>78</v>
      </c>
      <c r="N289" s="55" t="s">
        <v>193</v>
      </c>
      <c r="O289" s="55" t="s">
        <v>1768</v>
      </c>
      <c r="P289" s="55" t="s">
        <v>110</v>
      </c>
      <c r="Q289" s="67" t="str">
        <f>IFERROR(__xludf.DUMMYFUNCTION("""COMPUTED_VALUE"""),"Australia.giaotiep.tienganh_Patado_SEA_HoaNT_170126")</f>
        <v>Australia.giaotiep.tienganh_Patado_SEA_HoaNT_170126</v>
      </c>
      <c r="R289" s="67" t="str">
        <f>IFERROR(__xludf.DUMMYFUNCTION("""COMPUTED_VALUE"""),"NEW_Australia_none_none_170126")</f>
        <v>NEW_Australia_none_none_170126</v>
      </c>
      <c r="S289" s="67" t="str">
        <f>IFERROR(__xludf.DUMMYFUNCTION("""COMPUTED_VALUE"""),"saletructiep_Hocphigiaotiep_PTAGTTD_LD262")</f>
        <v>saletructiep_Hocphigiaotiep_PTAGTTD_LD262</v>
      </c>
      <c r="T289" s="107" t="str">
        <f>IFERROR(__xludf.DUMMYFUNCTION("""COMPUTED_VALUE"""),"https://patadovietnam.edu.vn/khoa-hoc-tieng-anh-giao-tiep-tai-uc/?utm_source=Google&amp;utm_medium=SEA&amp;utm_term=NEW_Australia_none_none_170126&amp;utm_content=saletructiep_Hocphigiaotiep_PTAGTTD_LD262&amp;utm_campaign=Australia.giaotiep.tienganh_Patado_SEA_HoaNT_1701"&amp;"26")</f>
        <v>https://patadovietnam.edu.vn/khoa-hoc-tieng-anh-giao-tiep-tai-uc/?utm_source=Google&amp;utm_medium=SEA&amp;utm_term=NEW_Australia_none_none_170126&amp;utm_content=saletructiep_Hocphigiaotiep_PTAGTTD_LD262&amp;utm_campaign=Australia.giaotiep.tienganh_Patado_SEA_HoaNT_170126</v>
      </c>
      <c r="U289" s="116"/>
    </row>
    <row r="290">
      <c r="A290" s="72">
        <v>46039.0</v>
      </c>
      <c r="B290" s="161" t="s">
        <v>3059</v>
      </c>
      <c r="C290" s="67" t="str">
        <f>IFERROR(__xludf.DUMMYFUNCTION("""COMPUTED_VALUE"""),"LD262")</f>
        <v>LD262</v>
      </c>
      <c r="D290" s="55" t="s">
        <v>188</v>
      </c>
      <c r="E290" s="55" t="s">
        <v>193</v>
      </c>
      <c r="F290" s="55" t="s">
        <v>129</v>
      </c>
      <c r="G290" s="55" t="s">
        <v>61</v>
      </c>
      <c r="H290" s="55" t="s">
        <v>1261</v>
      </c>
      <c r="I290" s="115" t="s">
        <v>3054</v>
      </c>
      <c r="J290" s="142" t="s">
        <v>2607</v>
      </c>
      <c r="K290" s="55" t="s">
        <v>61</v>
      </c>
      <c r="L290" s="55" t="s">
        <v>1130</v>
      </c>
      <c r="M290" s="55" t="s">
        <v>78</v>
      </c>
      <c r="N290" s="55" t="s">
        <v>193</v>
      </c>
      <c r="O290" s="55" t="s">
        <v>1768</v>
      </c>
      <c r="P290" s="55" t="s">
        <v>110</v>
      </c>
      <c r="Q290" s="67" t="str">
        <f>IFERROR(__xludf.DUMMYFUNCTION("""COMPUTED_VALUE"""),"Australia.giaotiep.tienganh_Patado_SEA_HoaNT_170126")</f>
        <v>Australia.giaotiep.tienganh_Patado_SEA_HoaNT_170126</v>
      </c>
      <c r="R290" s="67" t="str">
        <f>IFERROR(__xludf.DUMMYFUNCTION("""COMPUTED_VALUE"""),"NEW_Australia_none_none_170126")</f>
        <v>NEW_Australia_none_none_170126</v>
      </c>
      <c r="S290" s="67" t="str">
        <f>IFERROR(__xludf.DUMMYFUNCTION("""COMPUTED_VALUE"""),"saletructiep_Tienganhngbatdau_PTAGTTD_LD262")</f>
        <v>saletructiep_Tienganhngbatdau_PTAGTTD_LD262</v>
      </c>
      <c r="T290" s="107" t="str">
        <f>IFERROR(__xludf.DUMMYFUNCTION("""COMPUTED_VALUE"""),"https://patadovietnam.edu.vn/khoa-hoc-tieng-anh-giao-tiep-tai-uc/?utm_source=Google&amp;utm_medium=SEA&amp;utm_term=NEW_Australia_none_none_170126&amp;utm_content=saletructiep_Tienganhngbatdau_PTAGTTD_LD262&amp;utm_campaign=Australia.giaotiep.tienganh_Patado_SEA_HoaNT_17"&amp;"0126")</f>
        <v>https://patadovietnam.edu.vn/khoa-hoc-tieng-anh-giao-tiep-tai-uc/?utm_source=Google&amp;utm_medium=SEA&amp;utm_term=NEW_Australia_none_none_170126&amp;utm_content=saletructiep_Tienganhngbatdau_PTAGTTD_LD262&amp;utm_campaign=Australia.giaotiep.tienganh_Patado_SEA_HoaNT_170126</v>
      </c>
      <c r="U290" s="116"/>
    </row>
    <row r="291">
      <c r="A291" s="72">
        <v>46039.0</v>
      </c>
      <c r="B291" s="161" t="s">
        <v>3059</v>
      </c>
      <c r="C291" s="67" t="str">
        <f>IFERROR(__xludf.DUMMYFUNCTION("""COMPUTED_VALUE"""),"LD262")</f>
        <v>LD262</v>
      </c>
      <c r="D291" s="55" t="s">
        <v>188</v>
      </c>
      <c r="E291" s="55" t="s">
        <v>193</v>
      </c>
      <c r="F291" s="55" t="s">
        <v>129</v>
      </c>
      <c r="G291" s="55" t="s">
        <v>61</v>
      </c>
      <c r="H291" s="55" t="s">
        <v>1261</v>
      </c>
      <c r="I291" s="115" t="s">
        <v>3054</v>
      </c>
      <c r="J291" s="142" t="s">
        <v>2613</v>
      </c>
      <c r="K291" s="55" t="s">
        <v>61</v>
      </c>
      <c r="L291" s="55" t="s">
        <v>1130</v>
      </c>
      <c r="M291" s="55" t="s">
        <v>78</v>
      </c>
      <c r="N291" s="55" t="s">
        <v>193</v>
      </c>
      <c r="O291" s="55" t="s">
        <v>1768</v>
      </c>
      <c r="P291" s="55" t="s">
        <v>110</v>
      </c>
      <c r="Q291" s="67" t="str">
        <f>IFERROR(__xludf.DUMMYFUNCTION("""COMPUTED_VALUE"""),"Australia.giaotiep.tienganh_Patado_SEA_HoaNT_170126")</f>
        <v>Australia.giaotiep.tienganh_Patado_SEA_HoaNT_170126</v>
      </c>
      <c r="R291" s="67" t="str">
        <f>IFERROR(__xludf.DUMMYFUNCTION("""COMPUTED_VALUE"""),"NEW_Australia_none_none_170126")</f>
        <v>NEW_Australia_none_none_170126</v>
      </c>
      <c r="S291" s="67" t="str">
        <f>IFERROR(__xludf.DUMMYFUNCTION("""COMPUTED_VALUE"""),"saletructiep_Tienganhngdilam_PTAGTTD_LD262")</f>
        <v>saletructiep_Tienganhngdilam_PTAGTTD_LD262</v>
      </c>
      <c r="T291" s="107" t="str">
        <f>IFERROR(__xludf.DUMMYFUNCTION("""COMPUTED_VALUE"""),"https://patadovietnam.edu.vn/khoa-hoc-tieng-anh-giao-tiep-tai-uc/?utm_source=Google&amp;utm_medium=SEA&amp;utm_term=NEW_Australia_none_none_170126&amp;utm_content=saletructiep_Tienganhngdilam_PTAGTTD_LD262&amp;utm_campaign=Australia.giaotiep.tienganh_Patado_SEA_HoaNT_170"&amp;"126")</f>
        <v>https://patadovietnam.edu.vn/khoa-hoc-tieng-anh-giao-tiep-tai-uc/?utm_source=Google&amp;utm_medium=SEA&amp;utm_term=NEW_Australia_none_none_170126&amp;utm_content=saletructiep_Tienganhngdilam_PTAGTTD_LD262&amp;utm_campaign=Australia.giaotiep.tienganh_Patado_SEA_HoaNT_170126</v>
      </c>
      <c r="U291" s="116"/>
    </row>
    <row r="292">
      <c r="A292" s="72">
        <v>46039.0</v>
      </c>
      <c r="B292" s="161" t="s">
        <v>3059</v>
      </c>
      <c r="C292" s="67" t="str">
        <f>IFERROR(__xludf.DUMMYFUNCTION("""COMPUTED_VALUE"""),"LD262")</f>
        <v>LD262</v>
      </c>
      <c r="D292" s="55" t="s">
        <v>188</v>
      </c>
      <c r="E292" s="55" t="s">
        <v>193</v>
      </c>
      <c r="F292" s="55" t="s">
        <v>129</v>
      </c>
      <c r="G292" s="55" t="s">
        <v>61</v>
      </c>
      <c r="H292" s="55" t="s">
        <v>1261</v>
      </c>
      <c r="I292" s="115" t="s">
        <v>3054</v>
      </c>
      <c r="J292" s="142" t="s">
        <v>2617</v>
      </c>
      <c r="K292" s="55" t="s">
        <v>61</v>
      </c>
      <c r="L292" s="55" t="s">
        <v>1130</v>
      </c>
      <c r="M292" s="55" t="s">
        <v>78</v>
      </c>
      <c r="N292" s="55" t="s">
        <v>193</v>
      </c>
      <c r="O292" s="55" t="s">
        <v>1768</v>
      </c>
      <c r="P292" s="55" t="s">
        <v>110</v>
      </c>
      <c r="Q292" s="67" t="str">
        <f>IFERROR(__xludf.DUMMYFUNCTION("""COMPUTED_VALUE"""),"Australia.giaotiep.tienganh_Patado_SEA_HoaNT_170126")</f>
        <v>Australia.giaotiep.tienganh_Patado_SEA_HoaNT_170126</v>
      </c>
      <c r="R292" s="67" t="str">
        <f>IFERROR(__xludf.DUMMYFUNCTION("""COMPUTED_VALUE"""),"NEW_Australia_none_none_170126")</f>
        <v>NEW_Australia_none_none_170126</v>
      </c>
      <c r="S292" s="67" t="str">
        <f>IFERROR(__xludf.DUMMYFUNCTION("""COMPUTED_VALUE"""),"saletructiep_Tienganhngmatgoc_PTAGTTD_LD262")</f>
        <v>saletructiep_Tienganhngmatgoc_PTAGTTD_LD262</v>
      </c>
      <c r="T292" s="107" t="str">
        <f>IFERROR(__xludf.DUMMYFUNCTION("""COMPUTED_VALUE"""),"https://patadovietnam.edu.vn/khoa-hoc-tieng-anh-giao-tiep-tai-uc/?utm_source=Google&amp;utm_medium=SEA&amp;utm_term=NEW_Australia_none_none_170126&amp;utm_content=saletructiep_Tienganhngmatgoc_PTAGTTD_LD262&amp;utm_campaign=Australia.giaotiep.tienganh_Patado_SEA_HoaNT_17"&amp;"0126")</f>
        <v>https://patadovietnam.edu.vn/khoa-hoc-tieng-anh-giao-tiep-tai-uc/?utm_source=Google&amp;utm_medium=SEA&amp;utm_term=NEW_Australia_none_none_170126&amp;utm_content=saletructiep_Tienganhngmatgoc_PTAGTTD_LD262&amp;utm_campaign=Australia.giaotiep.tienganh_Patado_SEA_HoaNT_170126</v>
      </c>
      <c r="U292" s="116"/>
    </row>
    <row r="293">
      <c r="A293" s="72">
        <v>46041.0</v>
      </c>
      <c r="B293" s="161" t="s">
        <v>1290</v>
      </c>
      <c r="C293" s="67" t="str">
        <f>IFERROR(__xludf.DUMMYFUNCTION("""COMPUTED_VALUE"""),"LD256")</f>
        <v>LD256</v>
      </c>
      <c r="D293" s="55" t="s">
        <v>188</v>
      </c>
      <c r="E293" s="55" t="s">
        <v>193</v>
      </c>
      <c r="F293" s="55" t="s">
        <v>539</v>
      </c>
      <c r="G293" s="55" t="s">
        <v>61</v>
      </c>
      <c r="H293" s="55" t="s">
        <v>1261</v>
      </c>
      <c r="I293" s="115" t="s">
        <v>2305</v>
      </c>
      <c r="J293" s="159" t="s">
        <v>2448</v>
      </c>
      <c r="K293" s="55" t="s">
        <v>61</v>
      </c>
      <c r="L293" s="55" t="s">
        <v>1130</v>
      </c>
      <c r="M293" s="55" t="s">
        <v>78</v>
      </c>
      <c r="N293" s="55" t="s">
        <v>193</v>
      </c>
      <c r="O293" s="55" t="s">
        <v>1768</v>
      </c>
      <c r="P293" s="55" t="s">
        <v>110</v>
      </c>
      <c r="Q293" s="67" t="str">
        <f>IFERROR(__xludf.DUMMYFUNCTION("""COMPUTED_VALUE"""),"ALL.giaotiep.tienganh_Patado_SEA_HoaNT_190126")</f>
        <v>ALL.giaotiep.tienganh_Patado_SEA_HoaNT_190126</v>
      </c>
      <c r="R293" s="67" t="str">
        <f>IFERROR(__xludf.DUMMYFUNCTION("""COMPUTED_VALUE"""),"NEW_ALL_none_none_190126")</f>
        <v>NEW_ALL_none_none_190126</v>
      </c>
      <c r="S293" s="67" t="str">
        <f>IFERROR(__xludf.DUMMYFUNCTION("""COMPUTED_VALUE"""),"saletructiep_Hoctienganh_PTAGTTD_LD256")</f>
        <v>saletructiep_Hoctienganh_PTAGTTD_LD256</v>
      </c>
      <c r="T293" s="107" t="str">
        <f>IFERROR(__xludf.DUMMYFUNCTION("""COMPUTED_VALUE"""),"https://patadovietnam.edu.vn/khoa-giao-tiep-tieng-anh-online-all/?utm_source=Google&amp;utm_medium=SEA&amp;utm_term=NEW_ALL_none_none_190126&amp;utm_content=saletructiep_Hoctienganh_PTAGTTD_LD256&amp;utm_campaign=ALL.giaotiep.tienganh_Patado_SEA_HoaNT_190126")</f>
        <v>https://patadovietnam.edu.vn/khoa-giao-tiep-tieng-anh-online-all/?utm_source=Google&amp;utm_medium=SEA&amp;utm_term=NEW_ALL_none_none_190126&amp;utm_content=saletructiep_Hoctienganh_PTAGTTD_LD256&amp;utm_campaign=ALL.giaotiep.tienganh_Patado_SEA_HoaNT_190126</v>
      </c>
      <c r="U293" s="116"/>
    </row>
    <row r="294">
      <c r="A294" s="72">
        <v>46041.0</v>
      </c>
      <c r="B294" s="161" t="s">
        <v>1290</v>
      </c>
      <c r="C294" s="67" t="str">
        <f>IFERROR(__xludf.DUMMYFUNCTION("""COMPUTED_VALUE"""),"LD256")</f>
        <v>LD256</v>
      </c>
      <c r="D294" s="55" t="s">
        <v>188</v>
      </c>
      <c r="E294" s="55" t="s">
        <v>193</v>
      </c>
      <c r="F294" s="55" t="s">
        <v>539</v>
      </c>
      <c r="G294" s="55" t="s">
        <v>61</v>
      </c>
      <c r="H294" s="55" t="s">
        <v>1261</v>
      </c>
      <c r="I294" s="115" t="s">
        <v>2305</v>
      </c>
      <c r="J294" s="155" t="s">
        <v>2455</v>
      </c>
      <c r="K294" s="55" t="s">
        <v>61</v>
      </c>
      <c r="L294" s="55" t="s">
        <v>1130</v>
      </c>
      <c r="M294" s="55" t="s">
        <v>78</v>
      </c>
      <c r="N294" s="55" t="s">
        <v>193</v>
      </c>
      <c r="O294" s="55" t="s">
        <v>1768</v>
      </c>
      <c r="P294" s="55" t="s">
        <v>110</v>
      </c>
      <c r="Q294" s="67" t="str">
        <f>IFERROR(__xludf.DUMMYFUNCTION("""COMPUTED_VALUE"""),"ALL.giaotiep.tienganh_Patado_SEA_HoaNT_190126")</f>
        <v>ALL.giaotiep.tienganh_Patado_SEA_HoaNT_190126</v>
      </c>
      <c r="R294" s="67" t="str">
        <f>IFERROR(__xludf.DUMMYFUNCTION("""COMPUTED_VALUE"""),"NEW_ALL_none_none_190126")</f>
        <v>NEW_ALL_none_none_190126</v>
      </c>
      <c r="S294" s="67" t="str">
        <f>IFERROR(__xludf.DUMMYFUNCTION("""COMPUTED_VALUE"""),"saletructiep_Hoctienganh11_PTAGTTD_LD256")</f>
        <v>saletructiep_Hoctienganh11_PTAGTTD_LD256</v>
      </c>
      <c r="T294" s="107" t="str">
        <f>IFERROR(__xludf.DUMMYFUNCTION("""COMPUTED_VALUE"""),"https://patadovietnam.edu.vn/khoa-giao-tiep-tieng-anh-online-all/?utm_source=Google&amp;utm_medium=SEA&amp;utm_term=NEW_ALL_none_none_190126&amp;utm_content=saletructiep_Hoctienganh11_PTAGTTD_LD256&amp;utm_campaign=ALL.giaotiep.tienganh_Patado_SEA_HoaNT_190126")</f>
        <v>https://patadovietnam.edu.vn/khoa-giao-tiep-tieng-anh-online-all/?utm_source=Google&amp;utm_medium=SEA&amp;utm_term=NEW_ALL_none_none_190126&amp;utm_content=saletructiep_Hoctienganh11_PTAGTTD_LD256&amp;utm_campaign=ALL.giaotiep.tienganh_Patado_SEA_HoaNT_190126</v>
      </c>
      <c r="U294" s="116"/>
    </row>
    <row r="295">
      <c r="A295" s="72">
        <v>46041.0</v>
      </c>
      <c r="B295" s="161" t="s">
        <v>1290</v>
      </c>
      <c r="C295" s="67" t="str">
        <f>IFERROR(__xludf.DUMMYFUNCTION("""COMPUTED_VALUE"""),"LD256")</f>
        <v>LD256</v>
      </c>
      <c r="D295" s="55" t="s">
        <v>188</v>
      </c>
      <c r="E295" s="55" t="s">
        <v>193</v>
      </c>
      <c r="F295" s="55" t="s">
        <v>539</v>
      </c>
      <c r="G295" s="55" t="s">
        <v>61</v>
      </c>
      <c r="H295" s="55" t="s">
        <v>1261</v>
      </c>
      <c r="I295" s="115" t="s">
        <v>2305</v>
      </c>
      <c r="J295" s="149" t="s">
        <v>2462</v>
      </c>
      <c r="K295" s="55" t="s">
        <v>61</v>
      </c>
      <c r="L295" s="55" t="s">
        <v>1130</v>
      </c>
      <c r="M295" s="55" t="s">
        <v>78</v>
      </c>
      <c r="N295" s="55" t="s">
        <v>193</v>
      </c>
      <c r="O295" s="55" t="s">
        <v>1768</v>
      </c>
      <c r="P295" s="55" t="s">
        <v>110</v>
      </c>
      <c r="Q295" s="67" t="str">
        <f>IFERROR(__xludf.DUMMYFUNCTION("""COMPUTED_VALUE"""),"ALL.giaotiep.tienganh_Patado_SEA_HoaNT_190126")</f>
        <v>ALL.giaotiep.tienganh_Patado_SEA_HoaNT_190126</v>
      </c>
      <c r="R295" s="67" t="str">
        <f>IFERROR(__xludf.DUMMYFUNCTION("""COMPUTED_VALUE"""),"NEW_ALL_none_none_190126")</f>
        <v>NEW_ALL_none_none_190126</v>
      </c>
      <c r="S295" s="67" t="str">
        <f>IFERROR(__xludf.DUMMYFUNCTION("""COMPUTED_VALUE"""),"saletructiep_Tienganhtructuyen_PTAGTTD_LD256")</f>
        <v>saletructiep_Tienganhtructuyen_PTAGTTD_LD256</v>
      </c>
      <c r="T295" s="107" t="str">
        <f>IFERROR(__xludf.DUMMYFUNCTION("""COMPUTED_VALUE"""),"https://patadovietnam.edu.vn/khoa-giao-tiep-tieng-anh-online-all/?utm_source=Google&amp;utm_medium=SEA&amp;utm_term=NEW_ALL_none_none_190126&amp;utm_content=saletructiep_Tienganhtructuyen_PTAGTTD_LD256&amp;utm_campaign=ALL.giaotiep.tienganh_Patado_SEA_HoaNT_190126")</f>
        <v>https://patadovietnam.edu.vn/khoa-giao-tiep-tieng-anh-online-all/?utm_source=Google&amp;utm_medium=SEA&amp;utm_term=NEW_ALL_none_none_190126&amp;utm_content=saletructiep_Tienganhtructuyen_PTAGTTD_LD256&amp;utm_campaign=ALL.giaotiep.tienganh_Patado_SEA_HoaNT_190126</v>
      </c>
      <c r="U295" s="116"/>
    </row>
    <row r="296">
      <c r="A296" s="72">
        <v>46041.0</v>
      </c>
      <c r="B296" s="161" t="s">
        <v>1290</v>
      </c>
      <c r="C296" s="67" t="str">
        <f>IFERROR(__xludf.DUMMYFUNCTION("""COMPUTED_VALUE"""),"LD256")</f>
        <v>LD256</v>
      </c>
      <c r="D296" s="55" t="s">
        <v>188</v>
      </c>
      <c r="E296" s="55" t="s">
        <v>193</v>
      </c>
      <c r="F296" s="55" t="s">
        <v>539</v>
      </c>
      <c r="G296" s="55" t="s">
        <v>61</v>
      </c>
      <c r="H296" s="55" t="s">
        <v>1261</v>
      </c>
      <c r="I296" s="115" t="s">
        <v>2305</v>
      </c>
      <c r="J296" s="142" t="s">
        <v>2471</v>
      </c>
      <c r="K296" s="55" t="s">
        <v>61</v>
      </c>
      <c r="L296" s="55" t="s">
        <v>1130</v>
      </c>
      <c r="M296" s="55" t="s">
        <v>78</v>
      </c>
      <c r="N296" s="55" t="s">
        <v>193</v>
      </c>
      <c r="O296" s="55" t="s">
        <v>1768</v>
      </c>
      <c r="P296" s="55" t="s">
        <v>110</v>
      </c>
      <c r="Q296" s="67" t="str">
        <f>IFERROR(__xludf.DUMMYFUNCTION("""COMPUTED_VALUE"""),"ALL.giaotiep.tienganh_Patado_SEA_HoaNT_190126")</f>
        <v>ALL.giaotiep.tienganh_Patado_SEA_HoaNT_190126</v>
      </c>
      <c r="R296" s="67" t="str">
        <f>IFERROR(__xludf.DUMMYFUNCTION("""COMPUTED_VALUE"""),"NEW_ALL_none_none_190126")</f>
        <v>NEW_ALL_none_none_190126</v>
      </c>
      <c r="S296" s="67" t="str">
        <f>IFERROR(__xludf.DUMMYFUNCTION("""COMPUTED_VALUE"""),"saletructiep_Tienganhquamang_PTAGTTD_LD256")</f>
        <v>saletructiep_Tienganhquamang_PTAGTTD_LD256</v>
      </c>
      <c r="T296" s="107" t="str">
        <f>IFERROR(__xludf.DUMMYFUNCTION("""COMPUTED_VALUE"""),"https://patadovietnam.edu.vn/khoa-giao-tiep-tieng-anh-online-all/?utm_source=Google&amp;utm_medium=SEA&amp;utm_term=NEW_ALL_none_none_190126&amp;utm_content=saletructiep_Tienganhquamang_PTAGTTD_LD256&amp;utm_campaign=ALL.giaotiep.tienganh_Patado_SEA_HoaNT_190126")</f>
        <v>https://patadovietnam.edu.vn/khoa-giao-tiep-tieng-anh-online-all/?utm_source=Google&amp;utm_medium=SEA&amp;utm_term=NEW_ALL_none_none_190126&amp;utm_content=saletructiep_Tienganhquamang_PTAGTTD_LD256&amp;utm_campaign=ALL.giaotiep.tienganh_Patado_SEA_HoaNT_190126</v>
      </c>
      <c r="U296" s="116"/>
    </row>
    <row r="297">
      <c r="A297" s="72">
        <v>46041.0</v>
      </c>
      <c r="B297" s="161" t="s">
        <v>1290</v>
      </c>
      <c r="C297" s="67" t="str">
        <f>IFERROR(__xludf.DUMMYFUNCTION("""COMPUTED_VALUE"""),"LD256")</f>
        <v>LD256</v>
      </c>
      <c r="D297" s="55" t="s">
        <v>188</v>
      </c>
      <c r="E297" s="55" t="s">
        <v>193</v>
      </c>
      <c r="F297" s="55" t="s">
        <v>539</v>
      </c>
      <c r="G297" s="55" t="s">
        <v>61</v>
      </c>
      <c r="H297" s="55" t="s">
        <v>1261</v>
      </c>
      <c r="I297" s="115" t="s">
        <v>2305</v>
      </c>
      <c r="J297" s="142" t="s">
        <v>2476</v>
      </c>
      <c r="K297" s="55" t="s">
        <v>61</v>
      </c>
      <c r="L297" s="55" t="s">
        <v>1130</v>
      </c>
      <c r="M297" s="55" t="s">
        <v>78</v>
      </c>
      <c r="N297" s="55" t="s">
        <v>193</v>
      </c>
      <c r="O297" s="55" t="s">
        <v>1768</v>
      </c>
      <c r="P297" s="55" t="s">
        <v>110</v>
      </c>
      <c r="Q297" s="67" t="str">
        <f>IFERROR(__xludf.DUMMYFUNCTION("""COMPUTED_VALUE"""),"ALL.giaotiep.tienganh_Patado_SEA_HoaNT_190126")</f>
        <v>ALL.giaotiep.tienganh_Patado_SEA_HoaNT_190126</v>
      </c>
      <c r="R297" s="67" t="str">
        <f>IFERROR(__xludf.DUMMYFUNCTION("""COMPUTED_VALUE"""),"NEW_ALL_none_none_190126")</f>
        <v>NEW_ALL_none_none_190126</v>
      </c>
      <c r="S297" s="67" t="str">
        <f>IFERROR(__xludf.DUMMYFUNCTION("""COMPUTED_VALUE"""),"saletructiep_Tienganhonline_PTAGTTD_LD256")</f>
        <v>saletructiep_Tienganhonline_PTAGTTD_LD256</v>
      </c>
      <c r="T297" s="107" t="str">
        <f>IFERROR(__xludf.DUMMYFUNCTION("""COMPUTED_VALUE"""),"https://patadovietnam.edu.vn/khoa-giao-tiep-tieng-anh-online-all/?utm_source=Google&amp;utm_medium=SEA&amp;utm_term=NEW_ALL_none_none_190126&amp;utm_content=saletructiep_Tienganhonline_PTAGTTD_LD256&amp;utm_campaign=ALL.giaotiep.tienganh_Patado_SEA_HoaNT_190126")</f>
        <v>https://patadovietnam.edu.vn/khoa-giao-tiep-tieng-anh-online-all/?utm_source=Google&amp;utm_medium=SEA&amp;utm_term=NEW_ALL_none_none_190126&amp;utm_content=saletructiep_Tienganhonline_PTAGTTD_LD256&amp;utm_campaign=ALL.giaotiep.tienganh_Patado_SEA_HoaNT_190126</v>
      </c>
      <c r="U297" s="116"/>
    </row>
    <row r="298">
      <c r="A298" s="72">
        <v>46041.0</v>
      </c>
      <c r="B298" s="161" t="s">
        <v>1290</v>
      </c>
      <c r="C298" s="67" t="str">
        <f>IFERROR(__xludf.DUMMYFUNCTION("""COMPUTED_VALUE"""),"LD256")</f>
        <v>LD256</v>
      </c>
      <c r="D298" s="55" t="s">
        <v>188</v>
      </c>
      <c r="E298" s="55" t="s">
        <v>193</v>
      </c>
      <c r="F298" s="55" t="s">
        <v>539</v>
      </c>
      <c r="G298" s="55" t="s">
        <v>61</v>
      </c>
      <c r="H298" s="55" t="s">
        <v>1261</v>
      </c>
      <c r="I298" s="115" t="s">
        <v>2305</v>
      </c>
      <c r="J298" s="142" t="s">
        <v>2482</v>
      </c>
      <c r="K298" s="55" t="s">
        <v>61</v>
      </c>
      <c r="L298" s="55" t="s">
        <v>1130</v>
      </c>
      <c r="M298" s="55" t="s">
        <v>78</v>
      </c>
      <c r="N298" s="55" t="s">
        <v>193</v>
      </c>
      <c r="O298" s="55" t="s">
        <v>1768</v>
      </c>
      <c r="P298" s="55" t="s">
        <v>110</v>
      </c>
      <c r="Q298" s="67" t="str">
        <f>IFERROR(__xludf.DUMMYFUNCTION("""COMPUTED_VALUE"""),"ALL.giaotiep.tienganh_Patado_SEA_HoaNT_190126")</f>
        <v>ALL.giaotiep.tienganh_Patado_SEA_HoaNT_190126</v>
      </c>
      <c r="R298" s="67" t="str">
        <f>IFERROR(__xludf.DUMMYFUNCTION("""COMPUTED_VALUE"""),"NEW_ALL_none_none_190126")</f>
        <v>NEW_ALL_none_none_190126</v>
      </c>
      <c r="S298" s="67" t="str">
        <f>IFERROR(__xludf.DUMMYFUNCTION("""COMPUTED_VALUE"""),"saletructiep_Tienganhonline11_PTAGTTD_LD256")</f>
        <v>saletructiep_Tienganhonline11_PTAGTTD_LD256</v>
      </c>
      <c r="T298" s="107" t="str">
        <f>IFERROR(__xludf.DUMMYFUNCTION("""COMPUTED_VALUE"""),"https://patadovietnam.edu.vn/khoa-giao-tiep-tieng-anh-online-all/?utm_source=Google&amp;utm_medium=SEA&amp;utm_term=NEW_ALL_none_none_190126&amp;utm_content=saletructiep_Tienganhonline11_PTAGTTD_LD256&amp;utm_campaign=ALL.giaotiep.tienganh_Patado_SEA_HoaNT_190126")</f>
        <v>https://patadovietnam.edu.vn/khoa-giao-tiep-tieng-anh-online-all/?utm_source=Google&amp;utm_medium=SEA&amp;utm_term=NEW_ALL_none_none_190126&amp;utm_content=saletructiep_Tienganhonline11_PTAGTTD_LD256&amp;utm_campaign=ALL.giaotiep.tienganh_Patado_SEA_HoaNT_190126</v>
      </c>
      <c r="U298" s="116"/>
    </row>
    <row r="299">
      <c r="A299" s="72">
        <v>46041.0</v>
      </c>
      <c r="B299" s="161" t="s">
        <v>1290</v>
      </c>
      <c r="C299" s="67" t="str">
        <f>IFERROR(__xludf.DUMMYFUNCTION("""COMPUTED_VALUE"""),"LD256")</f>
        <v>LD256</v>
      </c>
      <c r="D299" s="55" t="s">
        <v>188</v>
      </c>
      <c r="E299" s="55" t="s">
        <v>193</v>
      </c>
      <c r="F299" s="55" t="s">
        <v>539</v>
      </c>
      <c r="G299" s="55" t="s">
        <v>61</v>
      </c>
      <c r="H299" s="55" t="s">
        <v>1261</v>
      </c>
      <c r="I299" s="115" t="s">
        <v>2305</v>
      </c>
      <c r="J299" s="142" t="s">
        <v>2486</v>
      </c>
      <c r="K299" s="55" t="s">
        <v>61</v>
      </c>
      <c r="L299" s="55" t="s">
        <v>1130</v>
      </c>
      <c r="M299" s="55" t="s">
        <v>78</v>
      </c>
      <c r="N299" s="55" t="s">
        <v>193</v>
      </c>
      <c r="O299" s="55" t="s">
        <v>1768</v>
      </c>
      <c r="P299" s="55" t="s">
        <v>110</v>
      </c>
      <c r="Q299" s="67" t="str">
        <f>IFERROR(__xludf.DUMMYFUNCTION("""COMPUTED_VALUE"""),"ALL.giaotiep.tienganh_Patado_SEA_HoaNT_190126")</f>
        <v>ALL.giaotiep.tienganh_Patado_SEA_HoaNT_190126</v>
      </c>
      <c r="R299" s="67" t="str">
        <f>IFERROR(__xludf.DUMMYFUNCTION("""COMPUTED_VALUE"""),"NEW_ALL_none_none_190126")</f>
        <v>NEW_ALL_none_none_190126</v>
      </c>
      <c r="S299" s="67" t="str">
        <f>IFERROR(__xludf.DUMMYFUNCTION("""COMPUTED_VALUE"""),"saletructiep_Hoconline_PTAGTTD_LD256")</f>
        <v>saletructiep_Hoconline_PTAGTTD_LD256</v>
      </c>
      <c r="T299" s="107" t="str">
        <f>IFERROR(__xludf.DUMMYFUNCTION("""COMPUTED_VALUE"""),"https://patadovietnam.edu.vn/khoa-giao-tiep-tieng-anh-online-all/?utm_source=Google&amp;utm_medium=SEA&amp;utm_term=NEW_ALL_none_none_190126&amp;utm_content=saletructiep_Hoconline_PTAGTTD_LD256&amp;utm_campaign=ALL.giaotiep.tienganh_Patado_SEA_HoaNT_190126")</f>
        <v>https://patadovietnam.edu.vn/khoa-giao-tiep-tieng-anh-online-all/?utm_source=Google&amp;utm_medium=SEA&amp;utm_term=NEW_ALL_none_none_190126&amp;utm_content=saletructiep_Hoconline_PTAGTTD_LD256&amp;utm_campaign=ALL.giaotiep.tienganh_Patado_SEA_HoaNT_190126</v>
      </c>
      <c r="U299" s="116"/>
    </row>
    <row r="300">
      <c r="A300" s="72">
        <v>46041.0</v>
      </c>
      <c r="B300" s="161" t="s">
        <v>1290</v>
      </c>
      <c r="C300" s="67" t="str">
        <f>IFERROR(__xludf.DUMMYFUNCTION("""COMPUTED_VALUE"""),"LD256")</f>
        <v>LD256</v>
      </c>
      <c r="D300" s="55" t="s">
        <v>188</v>
      </c>
      <c r="E300" s="55" t="s">
        <v>193</v>
      </c>
      <c r="F300" s="55" t="s">
        <v>539</v>
      </c>
      <c r="G300" s="55" t="s">
        <v>61</v>
      </c>
      <c r="H300" s="55" t="s">
        <v>1261</v>
      </c>
      <c r="I300" s="115" t="s">
        <v>2305</v>
      </c>
      <c r="J300" s="142" t="s">
        <v>2494</v>
      </c>
      <c r="K300" s="55" t="s">
        <v>61</v>
      </c>
      <c r="L300" s="55" t="s">
        <v>1130</v>
      </c>
      <c r="M300" s="55" t="s">
        <v>78</v>
      </c>
      <c r="N300" s="55" t="s">
        <v>193</v>
      </c>
      <c r="O300" s="55" t="s">
        <v>1768</v>
      </c>
      <c r="P300" s="55" t="s">
        <v>110</v>
      </c>
      <c r="Q300" s="67" t="str">
        <f>IFERROR(__xludf.DUMMYFUNCTION("""COMPUTED_VALUE"""),"ALL.giaotiep.tienganh_Patado_SEA_HoaNT_190126")</f>
        <v>ALL.giaotiep.tienganh_Patado_SEA_HoaNT_190126</v>
      </c>
      <c r="R300" s="67" t="str">
        <f>IFERROR(__xludf.DUMMYFUNCTION("""COMPUTED_VALUE"""),"NEW_ALL_none_none_190126")</f>
        <v>NEW_ALL_none_none_190126</v>
      </c>
      <c r="S300" s="67" t="str">
        <f>IFERROR(__xludf.DUMMYFUNCTION("""COMPUTED_VALUE"""),"saletructiep_Hoconline11_PTAGTTD_LD256")</f>
        <v>saletructiep_Hoconline11_PTAGTTD_LD256</v>
      </c>
      <c r="T300" s="107" t="str">
        <f>IFERROR(__xludf.DUMMYFUNCTION("""COMPUTED_VALUE"""),"https://patadovietnam.edu.vn/khoa-giao-tiep-tieng-anh-online-all/?utm_source=Google&amp;utm_medium=SEA&amp;utm_term=NEW_ALL_none_none_190126&amp;utm_content=saletructiep_Hoconline11_PTAGTTD_LD256&amp;utm_campaign=ALL.giaotiep.tienganh_Patado_SEA_HoaNT_190126")</f>
        <v>https://patadovietnam.edu.vn/khoa-giao-tiep-tieng-anh-online-all/?utm_source=Google&amp;utm_medium=SEA&amp;utm_term=NEW_ALL_none_none_190126&amp;utm_content=saletructiep_Hoconline11_PTAGTTD_LD256&amp;utm_campaign=ALL.giaotiep.tienganh_Patado_SEA_HoaNT_190126</v>
      </c>
      <c r="U300" s="116"/>
    </row>
    <row r="301">
      <c r="A301" s="72">
        <v>46041.0</v>
      </c>
      <c r="B301" s="161" t="s">
        <v>1290</v>
      </c>
      <c r="C301" s="67" t="str">
        <f>IFERROR(__xludf.DUMMYFUNCTION("""COMPUTED_VALUE"""),"LD256")</f>
        <v>LD256</v>
      </c>
      <c r="D301" s="55" t="s">
        <v>188</v>
      </c>
      <c r="E301" s="55" t="s">
        <v>193</v>
      </c>
      <c r="F301" s="55" t="s">
        <v>539</v>
      </c>
      <c r="G301" s="55" t="s">
        <v>61</v>
      </c>
      <c r="H301" s="55" t="s">
        <v>1261</v>
      </c>
      <c r="I301" s="115" t="s">
        <v>2305</v>
      </c>
      <c r="J301" s="142" t="s">
        <v>2501</v>
      </c>
      <c r="K301" s="55" t="s">
        <v>61</v>
      </c>
      <c r="L301" s="55" t="s">
        <v>1130</v>
      </c>
      <c r="M301" s="55" t="s">
        <v>78</v>
      </c>
      <c r="N301" s="55" t="s">
        <v>193</v>
      </c>
      <c r="O301" s="55" t="s">
        <v>1768</v>
      </c>
      <c r="P301" s="55" t="s">
        <v>110</v>
      </c>
      <c r="Q301" s="67" t="str">
        <f>IFERROR(__xludf.DUMMYFUNCTION("""COMPUTED_VALUE"""),"ALL.giaotiep.tienganh_Patado_SEA_HoaNT_190126")</f>
        <v>ALL.giaotiep.tienganh_Patado_SEA_HoaNT_190126</v>
      </c>
      <c r="R301" s="67" t="str">
        <f>IFERROR(__xludf.DUMMYFUNCTION("""COMPUTED_VALUE"""),"NEW_ALL_none_none_190126")</f>
        <v>NEW_ALL_none_none_190126</v>
      </c>
      <c r="S301" s="67" t="str">
        <f>IFERROR(__xludf.DUMMYFUNCTION("""COMPUTED_VALUE"""),"saletructiep_Hocgiaotieponline_PTAGTTD_LD256")</f>
        <v>saletructiep_Hocgiaotieponline_PTAGTTD_LD256</v>
      </c>
      <c r="T301" s="107" t="str">
        <f>IFERROR(__xludf.DUMMYFUNCTION("""COMPUTED_VALUE"""),"https://patadovietnam.edu.vn/khoa-giao-tiep-tieng-anh-online-all/?utm_source=Google&amp;utm_medium=SEA&amp;utm_term=NEW_ALL_none_none_190126&amp;utm_content=saletructiep_Hocgiaotieponline_PTAGTTD_LD256&amp;utm_campaign=ALL.giaotiep.tienganh_Patado_SEA_HoaNT_190126")</f>
        <v>https://patadovietnam.edu.vn/khoa-giao-tiep-tieng-anh-online-all/?utm_source=Google&amp;utm_medium=SEA&amp;utm_term=NEW_ALL_none_none_190126&amp;utm_content=saletructiep_Hocgiaotieponline_PTAGTTD_LD256&amp;utm_campaign=ALL.giaotiep.tienganh_Patado_SEA_HoaNT_190126</v>
      </c>
      <c r="U301" s="116"/>
    </row>
    <row r="302">
      <c r="A302" s="72">
        <v>46041.0</v>
      </c>
      <c r="B302" s="161" t="s">
        <v>1290</v>
      </c>
      <c r="C302" s="67" t="str">
        <f>IFERROR(__xludf.DUMMYFUNCTION("""COMPUTED_VALUE"""),"LD256")</f>
        <v>LD256</v>
      </c>
      <c r="D302" s="55" t="s">
        <v>188</v>
      </c>
      <c r="E302" s="55" t="s">
        <v>193</v>
      </c>
      <c r="F302" s="55" t="s">
        <v>539</v>
      </c>
      <c r="G302" s="55" t="s">
        <v>61</v>
      </c>
      <c r="H302" s="55" t="s">
        <v>1261</v>
      </c>
      <c r="I302" s="115" t="s">
        <v>2305</v>
      </c>
      <c r="J302" s="142" t="s">
        <v>2505</v>
      </c>
      <c r="K302" s="55" t="s">
        <v>61</v>
      </c>
      <c r="L302" s="55" t="s">
        <v>1130</v>
      </c>
      <c r="M302" s="55" t="s">
        <v>78</v>
      </c>
      <c r="N302" s="55" t="s">
        <v>193</v>
      </c>
      <c r="O302" s="55" t="s">
        <v>1768</v>
      </c>
      <c r="P302" s="55" t="s">
        <v>110</v>
      </c>
      <c r="Q302" s="67" t="str">
        <f>IFERROR(__xludf.DUMMYFUNCTION("""COMPUTED_VALUE"""),"ALL.giaotiep.tienganh_Patado_SEA_HoaNT_190126")</f>
        <v>ALL.giaotiep.tienganh_Patado_SEA_HoaNT_190126</v>
      </c>
      <c r="R302" s="67" t="str">
        <f>IFERROR(__xludf.DUMMYFUNCTION("""COMPUTED_VALUE"""),"NEW_ALL_none_none_190126")</f>
        <v>NEW_ALL_none_none_190126</v>
      </c>
      <c r="S302" s="67" t="str">
        <f>IFERROR(__xludf.DUMMYFUNCTION("""COMPUTED_VALUE"""),"saletructiep_Loponline_PTAGTTD_LD256")</f>
        <v>saletructiep_Loponline_PTAGTTD_LD256</v>
      </c>
      <c r="T302" s="107" t="str">
        <f>IFERROR(__xludf.DUMMYFUNCTION("""COMPUTED_VALUE"""),"https://patadovietnam.edu.vn/khoa-giao-tiep-tieng-anh-online-all/?utm_source=Google&amp;utm_medium=SEA&amp;utm_term=NEW_ALL_none_none_190126&amp;utm_content=saletructiep_Loponline_PTAGTTD_LD256&amp;utm_campaign=ALL.giaotiep.tienganh_Patado_SEA_HoaNT_190126")</f>
        <v>https://patadovietnam.edu.vn/khoa-giao-tiep-tieng-anh-online-all/?utm_source=Google&amp;utm_medium=SEA&amp;utm_term=NEW_ALL_none_none_190126&amp;utm_content=saletructiep_Loponline_PTAGTTD_LD256&amp;utm_campaign=ALL.giaotiep.tienganh_Patado_SEA_HoaNT_190126</v>
      </c>
      <c r="U302" s="116"/>
    </row>
    <row r="303">
      <c r="A303" s="72">
        <v>46041.0</v>
      </c>
      <c r="B303" s="161" t="s">
        <v>1290</v>
      </c>
      <c r="C303" s="67" t="str">
        <f>IFERROR(__xludf.DUMMYFUNCTION("""COMPUTED_VALUE"""),"LD256")</f>
        <v>LD256</v>
      </c>
      <c r="D303" s="55" t="s">
        <v>188</v>
      </c>
      <c r="E303" s="55" t="s">
        <v>193</v>
      </c>
      <c r="F303" s="55" t="s">
        <v>539</v>
      </c>
      <c r="G303" s="55" t="s">
        <v>61</v>
      </c>
      <c r="H303" s="55" t="s">
        <v>1261</v>
      </c>
      <c r="I303" s="115" t="s">
        <v>2305</v>
      </c>
      <c r="J303" s="157" t="s">
        <v>2510</v>
      </c>
      <c r="K303" s="55" t="s">
        <v>61</v>
      </c>
      <c r="L303" s="55" t="s">
        <v>1130</v>
      </c>
      <c r="M303" s="55" t="s">
        <v>78</v>
      </c>
      <c r="N303" s="55" t="s">
        <v>193</v>
      </c>
      <c r="O303" s="55" t="s">
        <v>1768</v>
      </c>
      <c r="P303" s="55" t="s">
        <v>110</v>
      </c>
      <c r="Q303" s="67" t="str">
        <f>IFERROR(__xludf.DUMMYFUNCTION("""COMPUTED_VALUE"""),"ALL.giaotiep.tienganh_Patado_SEA_HoaNT_190126")</f>
        <v>ALL.giaotiep.tienganh_Patado_SEA_HoaNT_190126</v>
      </c>
      <c r="R303" s="67" t="str">
        <f>IFERROR(__xludf.DUMMYFUNCTION("""COMPUTED_VALUE"""),"NEW_ALL_none_none_190126")</f>
        <v>NEW_ALL_none_none_190126</v>
      </c>
      <c r="S303" s="67" t="str">
        <f>IFERROR(__xludf.DUMMYFUNCTION("""COMPUTED_VALUE"""),"saletructiep_Khoagiaotieponline_PTAGTTD_LD256")</f>
        <v>saletructiep_Khoagiaotieponline_PTAGTTD_LD256</v>
      </c>
      <c r="T303" s="107" t="str">
        <f>IFERROR(__xludf.DUMMYFUNCTION("""COMPUTED_VALUE"""),"https://patadovietnam.edu.vn/khoa-giao-tiep-tieng-anh-online-all/?utm_source=Google&amp;utm_medium=SEA&amp;utm_term=NEW_ALL_none_none_190126&amp;utm_content=saletructiep_Khoagiaotieponline_PTAGTTD_LD256&amp;utm_campaign=ALL.giaotiep.tienganh_Patado_SEA_HoaNT_190126")</f>
        <v>https://patadovietnam.edu.vn/khoa-giao-tiep-tieng-anh-online-all/?utm_source=Google&amp;utm_medium=SEA&amp;utm_term=NEW_ALL_none_none_190126&amp;utm_content=saletructiep_Khoagiaotieponline_PTAGTTD_LD256&amp;utm_campaign=ALL.giaotiep.tienganh_Patado_SEA_HoaNT_190126</v>
      </c>
      <c r="U303" s="116"/>
    </row>
    <row r="304">
      <c r="A304" s="72">
        <v>46041.0</v>
      </c>
      <c r="B304" s="161" t="s">
        <v>1290</v>
      </c>
      <c r="C304" s="67" t="str">
        <f>IFERROR(__xludf.DUMMYFUNCTION("""COMPUTED_VALUE"""),"LD256")</f>
        <v>LD256</v>
      </c>
      <c r="D304" s="55" t="s">
        <v>188</v>
      </c>
      <c r="E304" s="55" t="s">
        <v>193</v>
      </c>
      <c r="F304" s="55" t="s">
        <v>539</v>
      </c>
      <c r="G304" s="55" t="s">
        <v>61</v>
      </c>
      <c r="H304" s="55" t="s">
        <v>1261</v>
      </c>
      <c r="I304" s="115" t="s">
        <v>2305</v>
      </c>
      <c r="J304" s="142" t="s">
        <v>2516</v>
      </c>
      <c r="K304" s="55" t="s">
        <v>61</v>
      </c>
      <c r="L304" s="55" t="s">
        <v>1130</v>
      </c>
      <c r="M304" s="55" t="s">
        <v>78</v>
      </c>
      <c r="N304" s="55" t="s">
        <v>193</v>
      </c>
      <c r="O304" s="55" t="s">
        <v>1768</v>
      </c>
      <c r="P304" s="55" t="s">
        <v>110</v>
      </c>
      <c r="Q304" s="67" t="str">
        <f>IFERROR(__xludf.DUMMYFUNCTION("""COMPUTED_VALUE"""),"ALL.giaotiep.tienganh_Patado_SEA_HoaNT_190126")</f>
        <v>ALL.giaotiep.tienganh_Patado_SEA_HoaNT_190126</v>
      </c>
      <c r="R304" s="67" t="str">
        <f>IFERROR(__xludf.DUMMYFUNCTION("""COMPUTED_VALUE"""),"NEW_ALL_none_none_190126")</f>
        <v>NEW_ALL_none_none_190126</v>
      </c>
      <c r="S304" s="67" t="str">
        <f>IFERROR(__xludf.DUMMYFUNCTION("""COMPUTED_VALUE"""),"saletructiep_Trungtamonline_PTAGTTD_LD256")</f>
        <v>saletructiep_Trungtamonline_PTAGTTD_LD256</v>
      </c>
      <c r="T304" s="107" t="str">
        <f>IFERROR(__xludf.DUMMYFUNCTION("""COMPUTED_VALUE"""),"https://patadovietnam.edu.vn/khoa-giao-tiep-tieng-anh-online-all/?utm_source=Google&amp;utm_medium=SEA&amp;utm_term=NEW_ALL_none_none_190126&amp;utm_content=saletructiep_Trungtamonline_PTAGTTD_LD256&amp;utm_campaign=ALL.giaotiep.tienganh_Patado_SEA_HoaNT_190126")</f>
        <v>https://patadovietnam.edu.vn/khoa-giao-tiep-tieng-anh-online-all/?utm_source=Google&amp;utm_medium=SEA&amp;utm_term=NEW_ALL_none_none_190126&amp;utm_content=saletructiep_Trungtamonline_PTAGTTD_LD256&amp;utm_campaign=ALL.giaotiep.tienganh_Patado_SEA_HoaNT_190126</v>
      </c>
      <c r="U304" s="116"/>
    </row>
    <row r="305">
      <c r="A305" s="72">
        <v>46041.0</v>
      </c>
      <c r="B305" s="161" t="s">
        <v>1290</v>
      </c>
      <c r="C305" s="67" t="str">
        <f>IFERROR(__xludf.DUMMYFUNCTION("""COMPUTED_VALUE"""),"LD256")</f>
        <v>LD256</v>
      </c>
      <c r="D305" s="55" t="s">
        <v>188</v>
      </c>
      <c r="E305" s="55" t="s">
        <v>193</v>
      </c>
      <c r="F305" s="55" t="s">
        <v>539</v>
      </c>
      <c r="G305" s="55" t="s">
        <v>61</v>
      </c>
      <c r="H305" s="55" t="s">
        <v>1261</v>
      </c>
      <c r="I305" s="115" t="s">
        <v>2305</v>
      </c>
      <c r="J305" s="142" t="s">
        <v>2527</v>
      </c>
      <c r="K305" s="55" t="s">
        <v>61</v>
      </c>
      <c r="L305" s="55" t="s">
        <v>1130</v>
      </c>
      <c r="M305" s="55" t="s">
        <v>78</v>
      </c>
      <c r="N305" s="55" t="s">
        <v>193</v>
      </c>
      <c r="O305" s="55" t="s">
        <v>1768</v>
      </c>
      <c r="P305" s="55" t="s">
        <v>110</v>
      </c>
      <c r="Q305" s="67" t="str">
        <f>IFERROR(__xludf.DUMMYFUNCTION("""COMPUTED_VALUE"""),"ALL.giaotiep.tienganh_Patado_SEA_HoaNT_190126")</f>
        <v>ALL.giaotiep.tienganh_Patado_SEA_HoaNT_190126</v>
      </c>
      <c r="R305" s="67" t="str">
        <f>IFERROR(__xludf.DUMMYFUNCTION("""COMPUTED_VALUE"""),"NEW_ALL_none_none_190126")</f>
        <v>NEW_ALL_none_none_190126</v>
      </c>
      <c r="S305" s="67" t="str">
        <f>IFERROR(__xludf.DUMMYFUNCTION("""COMPUTED_VALUE"""),"saletructiep_Trungtamhoconline_PTAGTTD_LD256")</f>
        <v>saletructiep_Trungtamhoconline_PTAGTTD_LD256</v>
      </c>
      <c r="T305" s="107" t="str">
        <f>IFERROR(__xludf.DUMMYFUNCTION("""COMPUTED_VALUE"""),"https://patadovietnam.edu.vn/khoa-giao-tiep-tieng-anh-online-all/?utm_source=Google&amp;utm_medium=SEA&amp;utm_term=NEW_ALL_none_none_190126&amp;utm_content=saletructiep_Trungtamhoconline_PTAGTTD_LD256&amp;utm_campaign=ALL.giaotiep.tienganh_Patado_SEA_HoaNT_190126")</f>
        <v>https://patadovietnam.edu.vn/khoa-giao-tiep-tieng-anh-online-all/?utm_source=Google&amp;utm_medium=SEA&amp;utm_term=NEW_ALL_none_none_190126&amp;utm_content=saletructiep_Trungtamhoconline_PTAGTTD_LD256&amp;utm_campaign=ALL.giaotiep.tienganh_Patado_SEA_HoaNT_190126</v>
      </c>
      <c r="U305" s="116"/>
    </row>
    <row r="306">
      <c r="A306" s="72">
        <v>46041.0</v>
      </c>
      <c r="B306" s="161" t="s">
        <v>1290</v>
      </c>
      <c r="C306" s="67" t="str">
        <f>IFERROR(__xludf.DUMMYFUNCTION("""COMPUTED_VALUE"""),"LD256")</f>
        <v>LD256</v>
      </c>
      <c r="D306" s="55" t="s">
        <v>188</v>
      </c>
      <c r="E306" s="55" t="s">
        <v>193</v>
      </c>
      <c r="F306" s="55" t="s">
        <v>539</v>
      </c>
      <c r="G306" s="55" t="s">
        <v>61</v>
      </c>
      <c r="H306" s="55" t="s">
        <v>1261</v>
      </c>
      <c r="I306" s="115" t="s">
        <v>2305</v>
      </c>
      <c r="J306" s="142" t="s">
        <v>2532</v>
      </c>
      <c r="K306" s="55" t="s">
        <v>61</v>
      </c>
      <c r="L306" s="55" t="s">
        <v>1130</v>
      </c>
      <c r="M306" s="55" t="s">
        <v>78</v>
      </c>
      <c r="N306" s="55" t="s">
        <v>193</v>
      </c>
      <c r="O306" s="55" t="s">
        <v>1768</v>
      </c>
      <c r="P306" s="55" t="s">
        <v>110</v>
      </c>
      <c r="Q306" s="67" t="str">
        <f>IFERROR(__xludf.DUMMYFUNCTION("""COMPUTED_VALUE"""),"ALL.giaotiep.tienganh_Patado_SEA_HoaNT_190126")</f>
        <v>ALL.giaotiep.tienganh_Patado_SEA_HoaNT_190126</v>
      </c>
      <c r="R306" s="67" t="str">
        <f>IFERROR(__xludf.DUMMYFUNCTION("""COMPUTED_VALUE"""),"NEW_ALL_none_none_190126")</f>
        <v>NEW_ALL_none_none_190126</v>
      </c>
      <c r="S306" s="67" t="str">
        <f>IFERROR(__xludf.DUMMYFUNCTION("""COMPUTED_VALUE"""),"saletructiep_Hocphionline_PTAGTTD_LD256")</f>
        <v>saletructiep_Hocphionline_PTAGTTD_LD256</v>
      </c>
      <c r="T306" s="107" t="str">
        <f>IFERROR(__xludf.DUMMYFUNCTION("""COMPUTED_VALUE"""),"https://patadovietnam.edu.vn/khoa-giao-tiep-tieng-anh-online-all/?utm_source=Google&amp;utm_medium=SEA&amp;utm_term=NEW_ALL_none_none_190126&amp;utm_content=saletructiep_Hocphionline_PTAGTTD_LD256&amp;utm_campaign=ALL.giaotiep.tienganh_Patado_SEA_HoaNT_190126")</f>
        <v>https://patadovietnam.edu.vn/khoa-giao-tiep-tieng-anh-online-all/?utm_source=Google&amp;utm_medium=SEA&amp;utm_term=NEW_ALL_none_none_190126&amp;utm_content=saletructiep_Hocphionline_PTAGTTD_LD256&amp;utm_campaign=ALL.giaotiep.tienganh_Patado_SEA_HoaNT_190126</v>
      </c>
      <c r="U306" s="116"/>
    </row>
    <row r="307">
      <c r="A307" s="72">
        <v>46041.0</v>
      </c>
      <c r="B307" s="161" t="s">
        <v>1290</v>
      </c>
      <c r="C307" s="67" t="str">
        <f>IFERROR(__xludf.DUMMYFUNCTION("""COMPUTED_VALUE"""),"LD256")</f>
        <v>LD256</v>
      </c>
      <c r="D307" s="55" t="s">
        <v>188</v>
      </c>
      <c r="E307" s="55" t="s">
        <v>193</v>
      </c>
      <c r="F307" s="55" t="s">
        <v>539</v>
      </c>
      <c r="G307" s="55" t="s">
        <v>61</v>
      </c>
      <c r="H307" s="55" t="s">
        <v>1261</v>
      </c>
      <c r="I307" s="115" t="s">
        <v>2305</v>
      </c>
      <c r="J307" s="142" t="s">
        <v>2541</v>
      </c>
      <c r="K307" s="55" t="s">
        <v>61</v>
      </c>
      <c r="L307" s="55" t="s">
        <v>1130</v>
      </c>
      <c r="M307" s="55" t="s">
        <v>78</v>
      </c>
      <c r="N307" s="55" t="s">
        <v>193</v>
      </c>
      <c r="O307" s="55" t="s">
        <v>1768</v>
      </c>
      <c r="P307" s="55" t="s">
        <v>110</v>
      </c>
      <c r="Q307" s="67" t="str">
        <f>IFERROR(__xludf.DUMMYFUNCTION("""COMPUTED_VALUE"""),"ALL.giaotiep.tienganh_Patado_SEA_HoaNT_190126")</f>
        <v>ALL.giaotiep.tienganh_Patado_SEA_HoaNT_190126</v>
      </c>
      <c r="R307" s="67" t="str">
        <f>IFERROR(__xludf.DUMMYFUNCTION("""COMPUTED_VALUE"""),"NEW_ALL_none_none_190126")</f>
        <v>NEW_ALL_none_none_190126</v>
      </c>
      <c r="S307" s="67" t="str">
        <f>IFERROR(__xludf.DUMMYFUNCTION("""COMPUTED_VALUE"""),"saletructiep_Tienganhgiaotiep_PTAGTTD_LD256")</f>
        <v>saletructiep_Tienganhgiaotiep_PTAGTTD_LD256</v>
      </c>
      <c r="T307" s="107" t="str">
        <f>IFERROR(__xludf.DUMMYFUNCTION("""COMPUTED_VALUE"""),"https://patadovietnam.edu.vn/khoa-giao-tiep-tieng-anh-online-all/?utm_source=Google&amp;utm_medium=SEA&amp;utm_term=NEW_ALL_none_none_190126&amp;utm_content=saletructiep_Tienganhgiaotiep_PTAGTTD_LD256&amp;utm_campaign=ALL.giaotiep.tienganh_Patado_SEA_HoaNT_190126")</f>
        <v>https://patadovietnam.edu.vn/khoa-giao-tiep-tieng-anh-online-all/?utm_source=Google&amp;utm_medium=SEA&amp;utm_term=NEW_ALL_none_none_190126&amp;utm_content=saletructiep_Tienganhgiaotiep_PTAGTTD_LD256&amp;utm_campaign=ALL.giaotiep.tienganh_Patado_SEA_HoaNT_190126</v>
      </c>
      <c r="U307" s="116"/>
    </row>
    <row r="308">
      <c r="A308" s="72">
        <v>46041.0</v>
      </c>
      <c r="B308" s="161" t="s">
        <v>1290</v>
      </c>
      <c r="C308" s="67" t="str">
        <f>IFERROR(__xludf.DUMMYFUNCTION("""COMPUTED_VALUE"""),"LD256")</f>
        <v>LD256</v>
      </c>
      <c r="D308" s="55" t="s">
        <v>188</v>
      </c>
      <c r="E308" s="55" t="s">
        <v>193</v>
      </c>
      <c r="F308" s="55" t="s">
        <v>539</v>
      </c>
      <c r="G308" s="55" t="s">
        <v>61</v>
      </c>
      <c r="H308" s="55" t="s">
        <v>1261</v>
      </c>
      <c r="I308" s="115" t="s">
        <v>2305</v>
      </c>
      <c r="J308" s="143" t="s">
        <v>2546</v>
      </c>
      <c r="K308" s="55" t="s">
        <v>61</v>
      </c>
      <c r="L308" s="55" t="s">
        <v>1130</v>
      </c>
      <c r="M308" s="55" t="s">
        <v>78</v>
      </c>
      <c r="N308" s="55" t="s">
        <v>193</v>
      </c>
      <c r="O308" s="55" t="s">
        <v>1768</v>
      </c>
      <c r="P308" s="55" t="s">
        <v>110</v>
      </c>
      <c r="Q308" s="67" t="str">
        <f>IFERROR(__xludf.DUMMYFUNCTION("""COMPUTED_VALUE"""),"ALL.giaotiep.tienganh_Patado_SEA_HoaNT_190126")</f>
        <v>ALL.giaotiep.tienganh_Patado_SEA_HoaNT_190126</v>
      </c>
      <c r="R308" s="67" t="str">
        <f>IFERROR(__xludf.DUMMYFUNCTION("""COMPUTED_VALUE"""),"NEW_ALL_none_none_190126")</f>
        <v>NEW_ALL_none_none_190126</v>
      </c>
      <c r="S308" s="67" t="str">
        <f>IFERROR(__xludf.DUMMYFUNCTION("""COMPUTED_VALUE"""),"saletructiep_Tienganhgiaotiep11_PTAGTTD_LD256")</f>
        <v>saletructiep_Tienganhgiaotiep11_PTAGTTD_LD256</v>
      </c>
      <c r="T308" s="107" t="str">
        <f>IFERROR(__xludf.DUMMYFUNCTION("""COMPUTED_VALUE"""),"https://patadovietnam.edu.vn/khoa-giao-tiep-tieng-anh-online-all/?utm_source=Google&amp;utm_medium=SEA&amp;utm_term=NEW_ALL_none_none_190126&amp;utm_content=saletructiep_Tienganhgiaotiep11_PTAGTTD_LD256&amp;utm_campaign=ALL.giaotiep.tienganh_Patado_SEA_HoaNT_190126")</f>
        <v>https://patadovietnam.edu.vn/khoa-giao-tiep-tieng-anh-online-all/?utm_source=Google&amp;utm_medium=SEA&amp;utm_term=NEW_ALL_none_none_190126&amp;utm_content=saletructiep_Tienganhgiaotiep11_PTAGTTD_LD256&amp;utm_campaign=ALL.giaotiep.tienganh_Patado_SEA_HoaNT_190126</v>
      </c>
      <c r="U308" s="116"/>
    </row>
    <row r="309">
      <c r="A309" s="72">
        <v>46041.0</v>
      </c>
      <c r="B309" s="161" t="s">
        <v>1290</v>
      </c>
      <c r="C309" s="67" t="str">
        <f>IFERROR(__xludf.DUMMYFUNCTION("""COMPUTED_VALUE"""),"LD256")</f>
        <v>LD256</v>
      </c>
      <c r="D309" s="55" t="s">
        <v>188</v>
      </c>
      <c r="E309" s="55" t="s">
        <v>193</v>
      </c>
      <c r="F309" s="55" t="s">
        <v>539</v>
      </c>
      <c r="G309" s="55" t="s">
        <v>61</v>
      </c>
      <c r="H309" s="55" t="s">
        <v>1261</v>
      </c>
      <c r="I309" s="115" t="s">
        <v>2305</v>
      </c>
      <c r="J309" s="142" t="s">
        <v>2550</v>
      </c>
      <c r="K309" s="55" t="s">
        <v>61</v>
      </c>
      <c r="L309" s="55" t="s">
        <v>1130</v>
      </c>
      <c r="M309" s="55" t="s">
        <v>78</v>
      </c>
      <c r="N309" s="55" t="s">
        <v>193</v>
      </c>
      <c r="O309" s="55" t="s">
        <v>1768</v>
      </c>
      <c r="P309" s="55" t="s">
        <v>110</v>
      </c>
      <c r="Q309" s="67" t="str">
        <f>IFERROR(__xludf.DUMMYFUNCTION("""COMPUTED_VALUE"""),"ALL.giaotiep.tienganh_Patado_SEA_HoaNT_190126")</f>
        <v>ALL.giaotiep.tienganh_Patado_SEA_HoaNT_190126</v>
      </c>
      <c r="R309" s="67" t="str">
        <f>IFERROR(__xludf.DUMMYFUNCTION("""COMPUTED_VALUE"""),"NEW_ALL_none_none_190126")</f>
        <v>NEW_ALL_none_none_190126</v>
      </c>
      <c r="S309" s="67" t="str">
        <f>IFERROR(__xludf.DUMMYFUNCTION("""COMPUTED_VALUE"""),"saletructiep_Hoctienganhgiaotiep_PTAGTTD_LD256")</f>
        <v>saletructiep_Hoctienganhgiaotiep_PTAGTTD_LD256</v>
      </c>
      <c r="T309" s="107" t="str">
        <f>IFERROR(__xludf.DUMMYFUNCTION("""COMPUTED_VALUE"""),"https://patadovietnam.edu.vn/khoa-giao-tiep-tieng-anh-online-all/?utm_source=Google&amp;utm_medium=SEA&amp;utm_term=NEW_ALL_none_none_190126&amp;utm_content=saletructiep_Hoctienganhgiaotiep_PTAGTTD_LD256&amp;utm_campaign=ALL.giaotiep.tienganh_Patado_SEA_HoaNT_190126")</f>
        <v>https://patadovietnam.edu.vn/khoa-giao-tiep-tieng-anh-online-all/?utm_source=Google&amp;utm_medium=SEA&amp;utm_term=NEW_ALL_none_none_190126&amp;utm_content=saletructiep_Hoctienganhgiaotiep_PTAGTTD_LD256&amp;utm_campaign=ALL.giaotiep.tienganh_Patado_SEA_HoaNT_190126</v>
      </c>
      <c r="U309" s="116"/>
    </row>
    <row r="310">
      <c r="A310" s="72">
        <v>46041.0</v>
      </c>
      <c r="B310" s="161" t="s">
        <v>1290</v>
      </c>
      <c r="C310" s="67" t="str">
        <f>IFERROR(__xludf.DUMMYFUNCTION("""COMPUTED_VALUE"""),"LD256")</f>
        <v>LD256</v>
      </c>
      <c r="D310" s="55" t="s">
        <v>188</v>
      </c>
      <c r="E310" s="55" t="s">
        <v>193</v>
      </c>
      <c r="F310" s="55" t="s">
        <v>539</v>
      </c>
      <c r="G310" s="55" t="s">
        <v>61</v>
      </c>
      <c r="H310" s="55" t="s">
        <v>1261</v>
      </c>
      <c r="I310" s="115" t="s">
        <v>2305</v>
      </c>
      <c r="J310" s="142" t="s">
        <v>2555</v>
      </c>
      <c r="K310" s="55" t="s">
        <v>61</v>
      </c>
      <c r="L310" s="55" t="s">
        <v>1130</v>
      </c>
      <c r="M310" s="55" t="s">
        <v>78</v>
      </c>
      <c r="N310" s="55" t="s">
        <v>193</v>
      </c>
      <c r="O310" s="55" t="s">
        <v>1768</v>
      </c>
      <c r="P310" s="55" t="s">
        <v>110</v>
      </c>
      <c r="Q310" s="67" t="str">
        <f>IFERROR(__xludf.DUMMYFUNCTION("""COMPUTED_VALUE"""),"ALL.giaotiep.tienganh_Patado_SEA_HoaNT_190126")</f>
        <v>ALL.giaotiep.tienganh_Patado_SEA_HoaNT_190126</v>
      </c>
      <c r="R310" s="67" t="str">
        <f>IFERROR(__xludf.DUMMYFUNCTION("""COMPUTED_VALUE"""),"NEW_ALL_none_none_190126")</f>
        <v>NEW_ALL_none_none_190126</v>
      </c>
      <c r="S310" s="67" t="str">
        <f>IFERROR(__xludf.DUMMYFUNCTION("""COMPUTED_VALUE"""),"saletructiep_Hocgiaotiepcoban_PTAGTTD_LD256")</f>
        <v>saletructiep_Hocgiaotiepcoban_PTAGTTD_LD256</v>
      </c>
      <c r="T310" s="107" t="str">
        <f>IFERROR(__xludf.DUMMYFUNCTION("""COMPUTED_VALUE"""),"https://patadovietnam.edu.vn/khoa-giao-tiep-tieng-anh-online-all/?utm_source=Google&amp;utm_medium=SEA&amp;utm_term=NEW_ALL_none_none_190126&amp;utm_content=saletructiep_Hocgiaotiepcoban_PTAGTTD_LD256&amp;utm_campaign=ALL.giaotiep.tienganh_Patado_SEA_HoaNT_190126")</f>
        <v>https://patadovietnam.edu.vn/khoa-giao-tiep-tieng-anh-online-all/?utm_source=Google&amp;utm_medium=SEA&amp;utm_term=NEW_ALL_none_none_190126&amp;utm_content=saletructiep_Hocgiaotiepcoban_PTAGTTD_LD256&amp;utm_campaign=ALL.giaotiep.tienganh_Patado_SEA_HoaNT_190126</v>
      </c>
      <c r="U310" s="116"/>
    </row>
    <row r="311">
      <c r="A311" s="72">
        <v>46041.0</v>
      </c>
      <c r="B311" s="161" t="s">
        <v>1290</v>
      </c>
      <c r="C311" s="67" t="str">
        <f>IFERROR(__xludf.DUMMYFUNCTION("""COMPUTED_VALUE"""),"LD256")</f>
        <v>LD256</v>
      </c>
      <c r="D311" s="55" t="s">
        <v>188</v>
      </c>
      <c r="E311" s="55" t="s">
        <v>193</v>
      </c>
      <c r="F311" s="55" t="s">
        <v>539</v>
      </c>
      <c r="G311" s="55" t="s">
        <v>61</v>
      </c>
      <c r="H311" s="55" t="s">
        <v>1261</v>
      </c>
      <c r="I311" s="115" t="s">
        <v>2305</v>
      </c>
      <c r="J311" s="142" t="s">
        <v>2560</v>
      </c>
      <c r="K311" s="55" t="s">
        <v>61</v>
      </c>
      <c r="L311" s="55" t="s">
        <v>1130</v>
      </c>
      <c r="M311" s="55" t="s">
        <v>78</v>
      </c>
      <c r="N311" s="55" t="s">
        <v>193</v>
      </c>
      <c r="O311" s="55" t="s">
        <v>1768</v>
      </c>
      <c r="P311" s="55" t="s">
        <v>110</v>
      </c>
      <c r="Q311" s="67" t="str">
        <f>IFERROR(__xludf.DUMMYFUNCTION("""COMPUTED_VALUE"""),"ALL.giaotiep.tienganh_Patado_SEA_HoaNT_190126")</f>
        <v>ALL.giaotiep.tienganh_Patado_SEA_HoaNT_190126</v>
      </c>
      <c r="R311" s="67" t="str">
        <f>IFERROR(__xludf.DUMMYFUNCTION("""COMPUTED_VALUE"""),"NEW_ALL_none_none_190126")</f>
        <v>NEW_ALL_none_none_190126</v>
      </c>
      <c r="S311" s="67" t="str">
        <f>IFERROR(__xludf.DUMMYFUNCTION("""COMPUTED_VALUE"""),"saletructiep_Hocgiaotiepcaptoc_PTAGTTD_LD256")</f>
        <v>saletructiep_Hocgiaotiepcaptoc_PTAGTTD_LD256</v>
      </c>
      <c r="T311" s="107" t="str">
        <f>IFERROR(__xludf.DUMMYFUNCTION("""COMPUTED_VALUE"""),"https://patadovietnam.edu.vn/khoa-giao-tiep-tieng-anh-online-all/?utm_source=Google&amp;utm_medium=SEA&amp;utm_term=NEW_ALL_none_none_190126&amp;utm_content=saletructiep_Hocgiaotiepcaptoc_PTAGTTD_LD256&amp;utm_campaign=ALL.giaotiep.tienganh_Patado_SEA_HoaNT_190126")</f>
        <v>https://patadovietnam.edu.vn/khoa-giao-tiep-tieng-anh-online-all/?utm_source=Google&amp;utm_medium=SEA&amp;utm_term=NEW_ALL_none_none_190126&amp;utm_content=saletructiep_Hocgiaotiepcaptoc_PTAGTTD_LD256&amp;utm_campaign=ALL.giaotiep.tienganh_Patado_SEA_HoaNT_190126</v>
      </c>
      <c r="U311" s="116"/>
    </row>
    <row r="312">
      <c r="A312" s="72">
        <v>46041.0</v>
      </c>
      <c r="B312" s="161" t="s">
        <v>1290</v>
      </c>
      <c r="C312" s="67" t="str">
        <f>IFERROR(__xludf.DUMMYFUNCTION("""COMPUTED_VALUE"""),"LD256")</f>
        <v>LD256</v>
      </c>
      <c r="D312" s="55" t="s">
        <v>188</v>
      </c>
      <c r="E312" s="55" t="s">
        <v>193</v>
      </c>
      <c r="F312" s="55" t="s">
        <v>539</v>
      </c>
      <c r="G312" s="55" t="s">
        <v>61</v>
      </c>
      <c r="H312" s="55" t="s">
        <v>1261</v>
      </c>
      <c r="I312" s="115" t="s">
        <v>2305</v>
      </c>
      <c r="J312" s="142" t="s">
        <v>2569</v>
      </c>
      <c r="K312" s="55" t="s">
        <v>61</v>
      </c>
      <c r="L312" s="55" t="s">
        <v>1130</v>
      </c>
      <c r="M312" s="55" t="s">
        <v>78</v>
      </c>
      <c r="N312" s="55" t="s">
        <v>193</v>
      </c>
      <c r="O312" s="55" t="s">
        <v>1768</v>
      </c>
      <c r="P312" s="55" t="s">
        <v>110</v>
      </c>
      <c r="Q312" s="67" t="str">
        <f>IFERROR(__xludf.DUMMYFUNCTION("""COMPUTED_VALUE"""),"ALL.giaotiep.tienganh_Patado_SEA_HoaNT_190126")</f>
        <v>ALL.giaotiep.tienganh_Patado_SEA_HoaNT_190126</v>
      </c>
      <c r="R312" s="67" t="str">
        <f>IFERROR(__xludf.DUMMYFUNCTION("""COMPUTED_VALUE"""),"NEW_ALL_none_none_190126")</f>
        <v>NEW_ALL_none_none_190126</v>
      </c>
      <c r="S312" s="67" t="str">
        <f>IFERROR(__xludf.DUMMYFUNCTION("""COMPUTED_VALUE"""),"saletructiep_Dangkyhocgiaotiep_PTAGTTD_LD256")</f>
        <v>saletructiep_Dangkyhocgiaotiep_PTAGTTD_LD256</v>
      </c>
      <c r="T312" s="107" t="str">
        <f>IFERROR(__xludf.DUMMYFUNCTION("""COMPUTED_VALUE"""),"https://patadovietnam.edu.vn/khoa-giao-tiep-tieng-anh-online-all/?utm_source=Google&amp;utm_medium=SEA&amp;utm_term=NEW_ALL_none_none_190126&amp;utm_content=saletructiep_Dangkyhocgiaotiep_PTAGTTD_LD256&amp;utm_campaign=ALL.giaotiep.tienganh_Patado_SEA_HoaNT_190126")</f>
        <v>https://patadovietnam.edu.vn/khoa-giao-tiep-tieng-anh-online-all/?utm_source=Google&amp;utm_medium=SEA&amp;utm_term=NEW_ALL_none_none_190126&amp;utm_content=saletructiep_Dangkyhocgiaotiep_PTAGTTD_LD256&amp;utm_campaign=ALL.giaotiep.tienganh_Patado_SEA_HoaNT_190126</v>
      </c>
      <c r="U312" s="116"/>
    </row>
    <row r="313">
      <c r="A313" s="72">
        <v>46041.0</v>
      </c>
      <c r="B313" s="161" t="s">
        <v>1290</v>
      </c>
      <c r="C313" s="67" t="str">
        <f>IFERROR(__xludf.DUMMYFUNCTION("""COMPUTED_VALUE"""),"LD256")</f>
        <v>LD256</v>
      </c>
      <c r="D313" s="55" t="s">
        <v>188</v>
      </c>
      <c r="E313" s="55" t="s">
        <v>193</v>
      </c>
      <c r="F313" s="55" t="s">
        <v>539</v>
      </c>
      <c r="G313" s="55" t="s">
        <v>61</v>
      </c>
      <c r="H313" s="55" t="s">
        <v>1261</v>
      </c>
      <c r="I313" s="115" t="s">
        <v>2305</v>
      </c>
      <c r="J313" s="142" t="s">
        <v>2574</v>
      </c>
      <c r="K313" s="55" t="s">
        <v>61</v>
      </c>
      <c r="L313" s="55" t="s">
        <v>1130</v>
      </c>
      <c r="M313" s="55" t="s">
        <v>78</v>
      </c>
      <c r="N313" s="55" t="s">
        <v>193</v>
      </c>
      <c r="O313" s="55" t="s">
        <v>1768</v>
      </c>
      <c r="P313" s="55" t="s">
        <v>110</v>
      </c>
      <c r="Q313" s="67" t="str">
        <f>IFERROR(__xludf.DUMMYFUNCTION("""COMPUTED_VALUE"""),"ALL.giaotiep.tienganh_Patado_SEA_HoaNT_190126")</f>
        <v>ALL.giaotiep.tienganh_Patado_SEA_HoaNT_190126</v>
      </c>
      <c r="R313" s="67" t="str">
        <f>IFERROR(__xludf.DUMMYFUNCTION("""COMPUTED_VALUE"""),"NEW_ALL_none_none_190126")</f>
        <v>NEW_ALL_none_none_190126</v>
      </c>
      <c r="S313" s="67" t="str">
        <f>IFERROR(__xludf.DUMMYFUNCTION("""COMPUTED_VALUE"""),"saletructiep_Lotrinhgiaotiep_PTAGTTD_LD256")</f>
        <v>saletructiep_Lotrinhgiaotiep_PTAGTTD_LD256</v>
      </c>
      <c r="T313" s="107" t="str">
        <f>IFERROR(__xludf.DUMMYFUNCTION("""COMPUTED_VALUE"""),"https://patadovietnam.edu.vn/khoa-giao-tiep-tieng-anh-online-all/?utm_source=Google&amp;utm_medium=SEA&amp;utm_term=NEW_ALL_none_none_190126&amp;utm_content=saletructiep_Lotrinhgiaotiep_PTAGTTD_LD256&amp;utm_campaign=ALL.giaotiep.tienganh_Patado_SEA_HoaNT_190126")</f>
        <v>https://patadovietnam.edu.vn/khoa-giao-tiep-tieng-anh-online-all/?utm_source=Google&amp;utm_medium=SEA&amp;utm_term=NEW_ALL_none_none_190126&amp;utm_content=saletructiep_Lotrinhgiaotiep_PTAGTTD_LD256&amp;utm_campaign=ALL.giaotiep.tienganh_Patado_SEA_HoaNT_190126</v>
      </c>
      <c r="U313" s="116"/>
    </row>
    <row r="314">
      <c r="A314" s="72">
        <v>46041.0</v>
      </c>
      <c r="B314" s="161" t="s">
        <v>1290</v>
      </c>
      <c r="C314" s="67" t="str">
        <f>IFERROR(__xludf.DUMMYFUNCTION("""COMPUTED_VALUE"""),"LD256")</f>
        <v>LD256</v>
      </c>
      <c r="D314" s="55" t="s">
        <v>188</v>
      </c>
      <c r="E314" s="55" t="s">
        <v>193</v>
      </c>
      <c r="F314" s="55" t="s">
        <v>539</v>
      </c>
      <c r="G314" s="55" t="s">
        <v>61</v>
      </c>
      <c r="H314" s="55" t="s">
        <v>1261</v>
      </c>
      <c r="I314" s="115" t="s">
        <v>2305</v>
      </c>
      <c r="J314" s="143" t="s">
        <v>2580</v>
      </c>
      <c r="K314" s="55" t="s">
        <v>61</v>
      </c>
      <c r="L314" s="55" t="s">
        <v>1130</v>
      </c>
      <c r="M314" s="55" t="s">
        <v>78</v>
      </c>
      <c r="N314" s="55" t="s">
        <v>193</v>
      </c>
      <c r="O314" s="55" t="s">
        <v>1768</v>
      </c>
      <c r="P314" s="55" t="s">
        <v>110</v>
      </c>
      <c r="Q314" s="67" t="str">
        <f>IFERROR(__xludf.DUMMYFUNCTION("""COMPUTED_VALUE"""),"ALL.giaotiep.tienganh_Patado_SEA_HoaNT_190126")</f>
        <v>ALL.giaotiep.tienganh_Patado_SEA_HoaNT_190126</v>
      </c>
      <c r="R314" s="67" t="str">
        <f>IFERROR(__xludf.DUMMYFUNCTION("""COMPUTED_VALUE"""),"NEW_ALL_none_none_190126")</f>
        <v>NEW_ALL_none_none_190126</v>
      </c>
      <c r="S314" s="67" t="str">
        <f>IFERROR(__xludf.DUMMYFUNCTION("""COMPUTED_VALUE"""),"saletructiep_Lopgiaotiep_PTAGTTD_LD256")</f>
        <v>saletructiep_Lopgiaotiep_PTAGTTD_LD256</v>
      </c>
      <c r="T314" s="107" t="str">
        <f>IFERROR(__xludf.DUMMYFUNCTION("""COMPUTED_VALUE"""),"https://patadovietnam.edu.vn/khoa-giao-tiep-tieng-anh-online-all/?utm_source=Google&amp;utm_medium=SEA&amp;utm_term=NEW_ALL_none_none_190126&amp;utm_content=saletructiep_Lopgiaotiep_PTAGTTD_LD256&amp;utm_campaign=ALL.giaotiep.tienganh_Patado_SEA_HoaNT_190126")</f>
        <v>https://patadovietnam.edu.vn/khoa-giao-tiep-tieng-anh-online-all/?utm_source=Google&amp;utm_medium=SEA&amp;utm_term=NEW_ALL_none_none_190126&amp;utm_content=saletructiep_Lopgiaotiep_PTAGTTD_LD256&amp;utm_campaign=ALL.giaotiep.tienganh_Patado_SEA_HoaNT_190126</v>
      </c>
      <c r="U314" s="116"/>
    </row>
    <row r="315">
      <c r="A315" s="72">
        <v>46041.0</v>
      </c>
      <c r="B315" s="161" t="s">
        <v>1290</v>
      </c>
      <c r="C315" s="67" t="str">
        <f>IFERROR(__xludf.DUMMYFUNCTION("""COMPUTED_VALUE"""),"LD256")</f>
        <v>LD256</v>
      </c>
      <c r="D315" s="55" t="s">
        <v>188</v>
      </c>
      <c r="E315" s="55" t="s">
        <v>193</v>
      </c>
      <c r="F315" s="55" t="s">
        <v>539</v>
      </c>
      <c r="G315" s="55" t="s">
        <v>61</v>
      </c>
      <c r="H315" s="55" t="s">
        <v>1261</v>
      </c>
      <c r="I315" s="115" t="s">
        <v>2305</v>
      </c>
      <c r="J315" s="142" t="s">
        <v>2586</v>
      </c>
      <c r="K315" s="55" t="s">
        <v>61</v>
      </c>
      <c r="L315" s="55" t="s">
        <v>1130</v>
      </c>
      <c r="M315" s="55" t="s">
        <v>78</v>
      </c>
      <c r="N315" s="55" t="s">
        <v>193</v>
      </c>
      <c r="O315" s="55" t="s">
        <v>1768</v>
      </c>
      <c r="P315" s="55" t="s">
        <v>110</v>
      </c>
      <c r="Q315" s="67" t="str">
        <f>IFERROR(__xludf.DUMMYFUNCTION("""COMPUTED_VALUE"""),"ALL.giaotiep.tienganh_Patado_SEA_HoaNT_190126")</f>
        <v>ALL.giaotiep.tienganh_Patado_SEA_HoaNT_190126</v>
      </c>
      <c r="R315" s="67" t="str">
        <f>IFERROR(__xludf.DUMMYFUNCTION("""COMPUTED_VALUE"""),"NEW_ALL_none_none_190126")</f>
        <v>NEW_ALL_none_none_190126</v>
      </c>
      <c r="S315" s="67" t="str">
        <f>IFERROR(__xludf.DUMMYFUNCTION("""COMPUTED_VALUE"""),"saletructiep_Khoagiaotiep_PTAGTTD_LD256")</f>
        <v>saletructiep_Khoagiaotiep_PTAGTTD_LD256</v>
      </c>
      <c r="T315" s="107" t="str">
        <f>IFERROR(__xludf.DUMMYFUNCTION("""COMPUTED_VALUE"""),"https://patadovietnam.edu.vn/khoa-giao-tiep-tieng-anh-online-all/?utm_source=Google&amp;utm_medium=SEA&amp;utm_term=NEW_ALL_none_none_190126&amp;utm_content=saletructiep_Khoagiaotiep_PTAGTTD_LD256&amp;utm_campaign=ALL.giaotiep.tienganh_Patado_SEA_HoaNT_190126")</f>
        <v>https://patadovietnam.edu.vn/khoa-giao-tiep-tieng-anh-online-all/?utm_source=Google&amp;utm_medium=SEA&amp;utm_term=NEW_ALL_none_none_190126&amp;utm_content=saletructiep_Khoagiaotiep_PTAGTTD_LD256&amp;utm_campaign=ALL.giaotiep.tienganh_Patado_SEA_HoaNT_190126</v>
      </c>
      <c r="U315" s="116"/>
    </row>
    <row r="316">
      <c r="A316" s="72">
        <v>46041.0</v>
      </c>
      <c r="B316" s="161" t="s">
        <v>1290</v>
      </c>
      <c r="C316" s="67" t="str">
        <f>IFERROR(__xludf.DUMMYFUNCTION("""COMPUTED_VALUE"""),"LD256")</f>
        <v>LD256</v>
      </c>
      <c r="D316" s="55" t="s">
        <v>188</v>
      </c>
      <c r="E316" s="55" t="s">
        <v>193</v>
      </c>
      <c r="F316" s="55" t="s">
        <v>539</v>
      </c>
      <c r="G316" s="55" t="s">
        <v>61</v>
      </c>
      <c r="H316" s="55" t="s">
        <v>1261</v>
      </c>
      <c r="I316" s="115" t="s">
        <v>2305</v>
      </c>
      <c r="J316" s="143" t="s">
        <v>2594</v>
      </c>
      <c r="K316" s="55" t="s">
        <v>61</v>
      </c>
      <c r="L316" s="55" t="s">
        <v>1130</v>
      </c>
      <c r="M316" s="55" t="s">
        <v>78</v>
      </c>
      <c r="N316" s="55" t="s">
        <v>193</v>
      </c>
      <c r="O316" s="55" t="s">
        <v>1768</v>
      </c>
      <c r="P316" s="55" t="s">
        <v>110</v>
      </c>
      <c r="Q316" s="67" t="str">
        <f>IFERROR(__xludf.DUMMYFUNCTION("""COMPUTED_VALUE"""),"ALL.giaotiep.tienganh_Patado_SEA_HoaNT_190126")</f>
        <v>ALL.giaotiep.tienganh_Patado_SEA_HoaNT_190126</v>
      </c>
      <c r="R316" s="67" t="str">
        <f>IFERROR(__xludf.DUMMYFUNCTION("""COMPUTED_VALUE"""),"NEW_ALL_none_none_190126")</f>
        <v>NEW_ALL_none_none_190126</v>
      </c>
      <c r="S316" s="67" t="str">
        <f>IFERROR(__xludf.DUMMYFUNCTION("""COMPUTED_VALUE"""),"saletructiep_Trungtamgiaotiep_PTAGTTD_LD256")</f>
        <v>saletructiep_Trungtamgiaotiep_PTAGTTD_LD256</v>
      </c>
      <c r="T316" s="107" t="str">
        <f>IFERROR(__xludf.DUMMYFUNCTION("""COMPUTED_VALUE"""),"https://patadovietnam.edu.vn/khoa-giao-tiep-tieng-anh-online-all/?utm_source=Google&amp;utm_medium=SEA&amp;utm_term=NEW_ALL_none_none_190126&amp;utm_content=saletructiep_Trungtamgiaotiep_PTAGTTD_LD256&amp;utm_campaign=ALL.giaotiep.tienganh_Patado_SEA_HoaNT_190126")</f>
        <v>https://patadovietnam.edu.vn/khoa-giao-tiep-tieng-anh-online-all/?utm_source=Google&amp;utm_medium=SEA&amp;utm_term=NEW_ALL_none_none_190126&amp;utm_content=saletructiep_Trungtamgiaotiep_PTAGTTD_LD256&amp;utm_campaign=ALL.giaotiep.tienganh_Patado_SEA_HoaNT_190126</v>
      </c>
      <c r="U316" s="116"/>
    </row>
    <row r="317">
      <c r="A317" s="72">
        <v>46041.0</v>
      </c>
      <c r="B317" s="161" t="s">
        <v>1290</v>
      </c>
      <c r="C317" s="67" t="str">
        <f>IFERROR(__xludf.DUMMYFUNCTION("""COMPUTED_VALUE"""),"LD256")</f>
        <v>LD256</v>
      </c>
      <c r="D317" s="55" t="s">
        <v>188</v>
      </c>
      <c r="E317" s="55" t="s">
        <v>193</v>
      </c>
      <c r="F317" s="55" t="s">
        <v>539</v>
      </c>
      <c r="G317" s="55" t="s">
        <v>61</v>
      </c>
      <c r="H317" s="55" t="s">
        <v>1261</v>
      </c>
      <c r="I317" s="115" t="s">
        <v>2305</v>
      </c>
      <c r="J317" s="142" t="s">
        <v>2600</v>
      </c>
      <c r="K317" s="55" t="s">
        <v>61</v>
      </c>
      <c r="L317" s="55" t="s">
        <v>1130</v>
      </c>
      <c r="M317" s="55" t="s">
        <v>78</v>
      </c>
      <c r="N317" s="55" t="s">
        <v>193</v>
      </c>
      <c r="O317" s="55" t="s">
        <v>1768</v>
      </c>
      <c r="P317" s="55" t="s">
        <v>110</v>
      </c>
      <c r="Q317" s="67" t="str">
        <f>IFERROR(__xludf.DUMMYFUNCTION("""COMPUTED_VALUE"""),"ALL.giaotiep.tienganh_Patado_SEA_HoaNT_190126")</f>
        <v>ALL.giaotiep.tienganh_Patado_SEA_HoaNT_190126</v>
      </c>
      <c r="R317" s="67" t="str">
        <f>IFERROR(__xludf.DUMMYFUNCTION("""COMPUTED_VALUE"""),"NEW_ALL_none_none_190126")</f>
        <v>NEW_ALL_none_none_190126</v>
      </c>
      <c r="S317" s="67" t="str">
        <f>IFERROR(__xludf.DUMMYFUNCTION("""COMPUTED_VALUE"""),"saletructiep_Hocphigiaotiep_PTAGTTD_LD256")</f>
        <v>saletructiep_Hocphigiaotiep_PTAGTTD_LD256</v>
      </c>
      <c r="T317" s="107" t="str">
        <f>IFERROR(__xludf.DUMMYFUNCTION("""COMPUTED_VALUE"""),"https://patadovietnam.edu.vn/khoa-giao-tiep-tieng-anh-online-all/?utm_source=Google&amp;utm_medium=SEA&amp;utm_term=NEW_ALL_none_none_190126&amp;utm_content=saletructiep_Hocphigiaotiep_PTAGTTD_LD256&amp;utm_campaign=ALL.giaotiep.tienganh_Patado_SEA_HoaNT_190126")</f>
        <v>https://patadovietnam.edu.vn/khoa-giao-tiep-tieng-anh-online-all/?utm_source=Google&amp;utm_medium=SEA&amp;utm_term=NEW_ALL_none_none_190126&amp;utm_content=saletructiep_Hocphigiaotiep_PTAGTTD_LD256&amp;utm_campaign=ALL.giaotiep.tienganh_Patado_SEA_HoaNT_190126</v>
      </c>
      <c r="U317" s="116"/>
    </row>
    <row r="318">
      <c r="A318" s="72">
        <v>46041.0</v>
      </c>
      <c r="B318" s="161" t="s">
        <v>1290</v>
      </c>
      <c r="C318" s="67" t="str">
        <f>IFERROR(__xludf.DUMMYFUNCTION("""COMPUTED_VALUE"""),"LD256")</f>
        <v>LD256</v>
      </c>
      <c r="D318" s="55" t="s">
        <v>188</v>
      </c>
      <c r="E318" s="55" t="s">
        <v>193</v>
      </c>
      <c r="F318" s="55" t="s">
        <v>539</v>
      </c>
      <c r="G318" s="55" t="s">
        <v>61</v>
      </c>
      <c r="H318" s="55" t="s">
        <v>1261</v>
      </c>
      <c r="I318" s="115" t="s">
        <v>2305</v>
      </c>
      <c r="J318" s="142" t="s">
        <v>2607</v>
      </c>
      <c r="K318" s="55" t="s">
        <v>61</v>
      </c>
      <c r="L318" s="55" t="s">
        <v>1130</v>
      </c>
      <c r="M318" s="55" t="s">
        <v>78</v>
      </c>
      <c r="N318" s="55" t="s">
        <v>193</v>
      </c>
      <c r="O318" s="55" t="s">
        <v>1768</v>
      </c>
      <c r="P318" s="55" t="s">
        <v>110</v>
      </c>
      <c r="Q318" s="67" t="str">
        <f>IFERROR(__xludf.DUMMYFUNCTION("""COMPUTED_VALUE"""),"ALL.giaotiep.tienganh_Patado_SEA_HoaNT_190126")</f>
        <v>ALL.giaotiep.tienganh_Patado_SEA_HoaNT_190126</v>
      </c>
      <c r="R318" s="67" t="str">
        <f>IFERROR(__xludf.DUMMYFUNCTION("""COMPUTED_VALUE"""),"NEW_ALL_none_none_190126")</f>
        <v>NEW_ALL_none_none_190126</v>
      </c>
      <c r="S318" s="67" t="str">
        <f>IFERROR(__xludf.DUMMYFUNCTION("""COMPUTED_VALUE"""),"saletructiep_Tienganhngbatdau_PTAGTTD_LD256")</f>
        <v>saletructiep_Tienganhngbatdau_PTAGTTD_LD256</v>
      </c>
      <c r="T318" s="107" t="str">
        <f>IFERROR(__xludf.DUMMYFUNCTION("""COMPUTED_VALUE"""),"https://patadovietnam.edu.vn/khoa-giao-tiep-tieng-anh-online-all/?utm_source=Google&amp;utm_medium=SEA&amp;utm_term=NEW_ALL_none_none_190126&amp;utm_content=saletructiep_Tienganhngbatdau_PTAGTTD_LD256&amp;utm_campaign=ALL.giaotiep.tienganh_Patado_SEA_HoaNT_190126")</f>
        <v>https://patadovietnam.edu.vn/khoa-giao-tiep-tieng-anh-online-all/?utm_source=Google&amp;utm_medium=SEA&amp;utm_term=NEW_ALL_none_none_190126&amp;utm_content=saletructiep_Tienganhngbatdau_PTAGTTD_LD256&amp;utm_campaign=ALL.giaotiep.tienganh_Patado_SEA_HoaNT_190126</v>
      </c>
      <c r="U318" s="116"/>
    </row>
    <row r="319">
      <c r="A319" s="72">
        <v>46041.0</v>
      </c>
      <c r="B319" s="161" t="s">
        <v>1290</v>
      </c>
      <c r="C319" s="67" t="str">
        <f>IFERROR(__xludf.DUMMYFUNCTION("""COMPUTED_VALUE"""),"LD256")</f>
        <v>LD256</v>
      </c>
      <c r="D319" s="55" t="s">
        <v>188</v>
      </c>
      <c r="E319" s="55" t="s">
        <v>193</v>
      </c>
      <c r="F319" s="55" t="s">
        <v>539</v>
      </c>
      <c r="G319" s="55" t="s">
        <v>61</v>
      </c>
      <c r="H319" s="55" t="s">
        <v>1261</v>
      </c>
      <c r="I319" s="115" t="s">
        <v>2305</v>
      </c>
      <c r="J319" s="142" t="s">
        <v>2613</v>
      </c>
      <c r="K319" s="55" t="s">
        <v>61</v>
      </c>
      <c r="L319" s="55" t="s">
        <v>1130</v>
      </c>
      <c r="M319" s="55" t="s">
        <v>78</v>
      </c>
      <c r="N319" s="55" t="s">
        <v>193</v>
      </c>
      <c r="O319" s="55" t="s">
        <v>1768</v>
      </c>
      <c r="P319" s="55" t="s">
        <v>110</v>
      </c>
      <c r="Q319" s="67" t="str">
        <f>IFERROR(__xludf.DUMMYFUNCTION("""COMPUTED_VALUE"""),"ALL.giaotiep.tienganh_Patado_SEA_HoaNT_190126")</f>
        <v>ALL.giaotiep.tienganh_Patado_SEA_HoaNT_190126</v>
      </c>
      <c r="R319" s="67" t="str">
        <f>IFERROR(__xludf.DUMMYFUNCTION("""COMPUTED_VALUE"""),"NEW_ALL_none_none_190126")</f>
        <v>NEW_ALL_none_none_190126</v>
      </c>
      <c r="S319" s="67" t="str">
        <f>IFERROR(__xludf.DUMMYFUNCTION("""COMPUTED_VALUE"""),"saletructiep_Tienganhngdilam_PTAGTTD_LD256")</f>
        <v>saletructiep_Tienganhngdilam_PTAGTTD_LD256</v>
      </c>
      <c r="T319" s="107" t="str">
        <f>IFERROR(__xludf.DUMMYFUNCTION("""COMPUTED_VALUE"""),"https://patadovietnam.edu.vn/khoa-giao-tiep-tieng-anh-online-all/?utm_source=Google&amp;utm_medium=SEA&amp;utm_term=NEW_ALL_none_none_190126&amp;utm_content=saletructiep_Tienganhngdilam_PTAGTTD_LD256&amp;utm_campaign=ALL.giaotiep.tienganh_Patado_SEA_HoaNT_190126")</f>
        <v>https://patadovietnam.edu.vn/khoa-giao-tiep-tieng-anh-online-all/?utm_source=Google&amp;utm_medium=SEA&amp;utm_term=NEW_ALL_none_none_190126&amp;utm_content=saletructiep_Tienganhngdilam_PTAGTTD_LD256&amp;utm_campaign=ALL.giaotiep.tienganh_Patado_SEA_HoaNT_190126</v>
      </c>
      <c r="U319" s="116"/>
    </row>
    <row r="320">
      <c r="A320" s="72">
        <v>46041.0</v>
      </c>
      <c r="B320" s="161" t="s">
        <v>1290</v>
      </c>
      <c r="C320" s="67" t="str">
        <f>IFERROR(__xludf.DUMMYFUNCTION("""COMPUTED_VALUE"""),"LD256")</f>
        <v>LD256</v>
      </c>
      <c r="D320" s="55" t="s">
        <v>188</v>
      </c>
      <c r="E320" s="55" t="s">
        <v>193</v>
      </c>
      <c r="F320" s="55" t="s">
        <v>539</v>
      </c>
      <c r="G320" s="55" t="s">
        <v>61</v>
      </c>
      <c r="H320" s="55" t="s">
        <v>1261</v>
      </c>
      <c r="I320" s="115" t="s">
        <v>2305</v>
      </c>
      <c r="J320" s="142" t="s">
        <v>2617</v>
      </c>
      <c r="K320" s="55" t="s">
        <v>61</v>
      </c>
      <c r="L320" s="55" t="s">
        <v>1130</v>
      </c>
      <c r="M320" s="55" t="s">
        <v>78</v>
      </c>
      <c r="N320" s="55" t="s">
        <v>193</v>
      </c>
      <c r="O320" s="55" t="s">
        <v>1768</v>
      </c>
      <c r="P320" s="55" t="s">
        <v>110</v>
      </c>
      <c r="Q320" s="67" t="str">
        <f>IFERROR(__xludf.DUMMYFUNCTION("""COMPUTED_VALUE"""),"ALL.giaotiep.tienganh_Patado_SEA_HoaNT_190126")</f>
        <v>ALL.giaotiep.tienganh_Patado_SEA_HoaNT_190126</v>
      </c>
      <c r="R320" s="67" t="str">
        <f>IFERROR(__xludf.DUMMYFUNCTION("""COMPUTED_VALUE"""),"NEW_ALL_none_none_190126")</f>
        <v>NEW_ALL_none_none_190126</v>
      </c>
      <c r="S320" s="67" t="str">
        <f>IFERROR(__xludf.DUMMYFUNCTION("""COMPUTED_VALUE"""),"saletructiep_Tienganhngmatgoc_PTAGTTD_LD256")</f>
        <v>saletructiep_Tienganhngmatgoc_PTAGTTD_LD256</v>
      </c>
      <c r="T320" s="107" t="str">
        <f>IFERROR(__xludf.DUMMYFUNCTION("""COMPUTED_VALUE"""),"https://patadovietnam.edu.vn/khoa-giao-tiep-tieng-anh-online-all/?utm_source=Google&amp;utm_medium=SEA&amp;utm_term=NEW_ALL_none_none_190126&amp;utm_content=saletructiep_Tienganhngmatgoc_PTAGTTD_LD256&amp;utm_campaign=ALL.giaotiep.tienganh_Patado_SEA_HoaNT_190126")</f>
        <v>https://patadovietnam.edu.vn/khoa-giao-tiep-tieng-anh-online-all/?utm_source=Google&amp;utm_medium=SEA&amp;utm_term=NEW_ALL_none_none_190126&amp;utm_content=saletructiep_Tienganhngmatgoc_PTAGTTD_LD256&amp;utm_campaign=ALL.giaotiep.tienganh_Patado_SEA_HoaNT_190126</v>
      </c>
      <c r="U320" s="116"/>
    </row>
    <row r="321">
      <c r="A321" s="72">
        <v>46120.0</v>
      </c>
      <c r="B321" s="60" t="s">
        <v>1642</v>
      </c>
      <c r="C321" s="67" t="str">
        <f>IFERROR(__xludf.DUMMYFUNCTION("""COMPUTED_VALUE"""),"LD275")</f>
        <v>LD275</v>
      </c>
      <c r="D321" s="55" t="s">
        <v>188</v>
      </c>
      <c r="E321" s="55" t="s">
        <v>193</v>
      </c>
      <c r="F321" s="55" t="s">
        <v>674</v>
      </c>
      <c r="G321" s="55" t="s">
        <v>61</v>
      </c>
      <c r="H321" s="55" t="s">
        <v>1485</v>
      </c>
      <c r="I321" s="115" t="s">
        <v>2964</v>
      </c>
      <c r="J321" s="55" t="s">
        <v>3243</v>
      </c>
      <c r="K321" s="55" t="s">
        <v>61</v>
      </c>
      <c r="L321" s="55" t="s">
        <v>1130</v>
      </c>
      <c r="M321" s="55" t="s">
        <v>78</v>
      </c>
      <c r="N321" s="55" t="s">
        <v>193</v>
      </c>
      <c r="O321" s="55" t="s">
        <v>1768</v>
      </c>
      <c r="P321" s="55" t="s">
        <v>110</v>
      </c>
      <c r="Q321" s="67" t="str">
        <f>IFERROR(__xludf.DUMMYFUNCTION("""COMPUTED_VALUE"""),"Europe.giaotiep.tienganh_Patado_SEA_SangBD_080426")</f>
        <v>Europe.giaotiep.tienganh_Patado_SEA_SangBD_080426</v>
      </c>
      <c r="R321" s="67" t="str">
        <f>IFERROR(__xludf.DUMMYFUNCTION("""COMPUTED_VALUE"""),"NEW_Europe_none_none_080426")</f>
        <v>NEW_Europe_none_none_080426</v>
      </c>
      <c r="S321" s="67" t="str">
        <f>IFERROR(__xludf.DUMMYFUNCTION("""COMPUTED_VALUE"""),"saletructiep_Khoahocgiaotiep_PTAGTTD_LD275")</f>
        <v>saletructiep_Khoahocgiaotiep_PTAGTTD_LD275</v>
      </c>
      <c r="T321" s="107" t="str">
        <f>IFERROR(__xludf.DUMMYFUNCTION("""COMPUTED_VALUE"""),"https://patado.edu.vn/khoa-tieng-anh-giao-tiep-chau-au/?utm_source=Google&amp;utm_medium=SEA&amp;utm_term=NEW_Europe_none_none_080426&amp;utm_content=saletructiep_Khoahocgiaotiep_PTAGTTD_LD275&amp;utm_campaign=Europe.giaotiep.tienganh_Patado_SEA_SangBD_080426")</f>
        <v>https://patado.edu.vn/khoa-tieng-anh-giao-tiep-chau-au/?utm_source=Google&amp;utm_medium=SEA&amp;utm_term=NEW_Europe_none_none_080426&amp;utm_content=saletructiep_Khoahocgiaotiep_PTAGTTD_LD275&amp;utm_campaign=Europe.giaotiep.tienganh_Patado_SEA_SangBD_080426</v>
      </c>
      <c r="U321" s="116"/>
    </row>
    <row r="322">
      <c r="A322" s="72">
        <v>46120.0</v>
      </c>
      <c r="B322" s="60" t="s">
        <v>1553</v>
      </c>
      <c r="C322" s="67" t="str">
        <f>IFERROR(__xludf.DUMMYFUNCTION("""COMPUTED_VALUE"""),"LD263")</f>
        <v>LD263</v>
      </c>
      <c r="D322" s="55" t="s">
        <v>188</v>
      </c>
      <c r="E322" s="55" t="s">
        <v>193</v>
      </c>
      <c r="F322" s="55" t="s">
        <v>539</v>
      </c>
      <c r="G322" s="55" t="s">
        <v>61</v>
      </c>
      <c r="H322" s="55" t="s">
        <v>1485</v>
      </c>
      <c r="I322" s="115" t="s">
        <v>2305</v>
      </c>
      <c r="J322" s="55" t="s">
        <v>3243</v>
      </c>
      <c r="K322" s="55" t="s">
        <v>61</v>
      </c>
      <c r="L322" s="55" t="s">
        <v>1130</v>
      </c>
      <c r="M322" s="55" t="s">
        <v>78</v>
      </c>
      <c r="N322" s="55" t="s">
        <v>193</v>
      </c>
      <c r="O322" s="55" t="s">
        <v>1768</v>
      </c>
      <c r="P322" s="55" t="s">
        <v>110</v>
      </c>
      <c r="Q322" s="67" t="str">
        <f>IFERROR(__xludf.DUMMYFUNCTION("""COMPUTED_VALUE"""),"ALL.giaotiep.tienganh_Patado_SEA_SangBD_080426")</f>
        <v>ALL.giaotiep.tienganh_Patado_SEA_SangBD_080426</v>
      </c>
      <c r="R322" s="67" t="str">
        <f>IFERROR(__xludf.DUMMYFUNCTION("""COMPUTED_VALUE"""),"NEW_ALL_none_none_080426")</f>
        <v>NEW_ALL_none_none_080426</v>
      </c>
      <c r="S322" s="67" t="str">
        <f>IFERROR(__xludf.DUMMYFUNCTION("""COMPUTED_VALUE"""),"saletructiep_Khoahocgiaotiep_PTAGTTD_LD263")</f>
        <v>saletructiep_Khoahocgiaotiep_PTAGTTD_LD263</v>
      </c>
      <c r="T322" s="107" t="str">
        <f>IFERROR(__xludf.DUMMYFUNCTION("""COMPUTED_VALUE"""),"https://patado.edu.vn/khoa-giao-tiep-tieng-anh-online-all/?utm_source=Google&amp;utm_medium=SEA&amp;utm_term=NEW_ALL_none_none_080426&amp;utm_content=saletructiep_Khoahocgiaotiep_PTAGTTD_LD263&amp;utm_campaign=ALL.giaotiep.tienganh_Patado_SEA_SangBD_080426")</f>
        <v>https://patado.edu.vn/khoa-giao-tiep-tieng-anh-online-all/?utm_source=Google&amp;utm_medium=SEA&amp;utm_term=NEW_ALL_none_none_080426&amp;utm_content=saletructiep_Khoahocgiaotiep_PTAGTTD_LD263&amp;utm_campaign=ALL.giaotiep.tienganh_Patado_SEA_SangBD_080426</v>
      </c>
      <c r="U322" s="116"/>
    </row>
    <row r="323">
      <c r="A323" s="72">
        <v>46125.0</v>
      </c>
      <c r="B323" s="60" t="s">
        <v>1553</v>
      </c>
      <c r="C323" s="67" t="str">
        <f>IFERROR(__xludf.DUMMYFUNCTION("""COMPUTED_VALUE"""),"LD263")</f>
        <v>LD263</v>
      </c>
      <c r="D323" s="55" t="s">
        <v>188</v>
      </c>
      <c r="E323" s="55" t="s">
        <v>193</v>
      </c>
      <c r="F323" s="55" t="s">
        <v>539</v>
      </c>
      <c r="G323" s="55" t="s">
        <v>61</v>
      </c>
      <c r="H323" s="55" t="s">
        <v>1485</v>
      </c>
      <c r="I323" s="115" t="s">
        <v>3253</v>
      </c>
      <c r="J323" s="55" t="s">
        <v>1130</v>
      </c>
      <c r="K323" s="55" t="s">
        <v>61</v>
      </c>
      <c r="L323" s="55" t="s">
        <v>1130</v>
      </c>
      <c r="M323" s="55" t="s">
        <v>78</v>
      </c>
      <c r="N323" s="55" t="s">
        <v>193</v>
      </c>
      <c r="O323" s="55" t="s">
        <v>1768</v>
      </c>
      <c r="P323" s="55" t="s">
        <v>110</v>
      </c>
      <c r="Q323" s="67" t="str">
        <f>IFERROR(__xludf.DUMMYFUNCTION("""COMPUTED_VALUE"""),"ALL.thuonghieu.tienganh_Patado_SEA_SangBD_130426")</f>
        <v>ALL.thuonghieu.tienganh_Patado_SEA_SangBD_130426</v>
      </c>
      <c r="R323" s="67" t="str">
        <f>IFERROR(__xludf.DUMMYFUNCTION("""COMPUTED_VALUE"""),"NEW_ALL_none_none_130426")</f>
        <v>NEW_ALL_none_none_130426</v>
      </c>
      <c r="S323" s="67" t="str">
        <f>IFERROR(__xludf.DUMMYFUNCTION("""COMPUTED_VALUE"""),"saletructiep_Patado_PTAGTTD_LD263")</f>
        <v>saletructiep_Patado_PTAGTTD_LD263</v>
      </c>
      <c r="T323" s="107" t="str">
        <f>IFERROR(__xludf.DUMMYFUNCTION("""COMPUTED_VALUE"""),"https://patado.edu.vn/khoa-giao-tiep-tieng-anh-online-all/?utm_source=Google&amp;utm_medium=SEA&amp;utm_term=NEW_ALL_none_none_130426&amp;utm_content=saletructiep_Patado_PTAGTTD_LD263&amp;utm_campaign=ALL.thuonghieu.tienganh_Patado_SEA_SangBD_130426")</f>
        <v>https://patado.edu.vn/khoa-giao-tiep-tieng-anh-online-all/?utm_source=Google&amp;utm_medium=SEA&amp;utm_term=NEW_ALL_none_none_130426&amp;utm_content=saletructiep_Patado_PTAGTTD_LD263&amp;utm_campaign=ALL.thuonghieu.tienganh_Patado_SEA_SangBD_130426</v>
      </c>
      <c r="U323" s="116"/>
    </row>
    <row r="324">
      <c r="A324" s="72">
        <v>46128.0</v>
      </c>
      <c r="B324" s="60" t="s">
        <v>3255</v>
      </c>
      <c r="C324" s="67" t="str">
        <f>IFERROR(__xludf.DUMMYFUNCTION("""COMPUTED_VALUE"""),"LD277")</f>
        <v>LD277</v>
      </c>
      <c r="D324" s="55" t="s">
        <v>188</v>
      </c>
      <c r="E324" s="55" t="s">
        <v>193</v>
      </c>
      <c r="F324" s="55" t="s">
        <v>674</v>
      </c>
      <c r="G324" s="55" t="s">
        <v>61</v>
      </c>
      <c r="H324" s="55" t="s">
        <v>1485</v>
      </c>
      <c r="I324" s="115" t="s">
        <v>3258</v>
      </c>
      <c r="J324" s="55" t="s">
        <v>3259</v>
      </c>
      <c r="K324" s="55" t="s">
        <v>61</v>
      </c>
      <c r="L324" s="55" t="s">
        <v>1130</v>
      </c>
      <c r="M324" s="55" t="s">
        <v>78</v>
      </c>
      <c r="N324" s="55" t="s">
        <v>193</v>
      </c>
      <c r="O324" s="55" t="s">
        <v>1768</v>
      </c>
      <c r="P324" s="55" t="s">
        <v>110</v>
      </c>
      <c r="Q324" s="67" t="str">
        <f>IFERROR(__xludf.DUMMYFUNCTION("""COMPUTED_VALUE"""),"Europe.Ielts.tienganh_Patado_SEA_SangBD_160426")</f>
        <v>Europe.Ielts.tienganh_Patado_SEA_SangBD_160426</v>
      </c>
      <c r="R324" s="67" t="str">
        <f>IFERROR(__xludf.DUMMYFUNCTION("""COMPUTED_VALUE"""),"NEW_Europe_none_none_160426")</f>
        <v>NEW_Europe_none_none_160426</v>
      </c>
      <c r="S324" s="67" t="str">
        <f>IFERROR(__xludf.DUMMYFUNCTION("""COMPUTED_VALUE"""),"saletructiep_Khoahocietls_PTAGTTD_LD277")</f>
        <v>saletructiep_Khoahocietls_PTAGTTD_LD277</v>
      </c>
      <c r="T324" s="107" t="str">
        <f>IFERROR(__xludf.DUMMYFUNCTION("""COMPUTED_VALUE"""),"https://patado.edu.vn/khoa-ielts-patado/?utm_source=Google&amp;utm_medium=SEA&amp;utm_term=NEW_Europe_none_none_160426&amp;utm_content=saletructiep_Khoahocietls_PTAGTTD_LD277&amp;utm_campaign=Europe.Ielts.tienganh_Patado_SEA_SangBD_160426")</f>
        <v>https://patado.edu.vn/khoa-ielts-patado/?utm_source=Google&amp;utm_medium=SEA&amp;utm_term=NEW_Europe_none_none_160426&amp;utm_content=saletructiep_Khoahocietls_PTAGTTD_LD277&amp;utm_campaign=Europe.Ielts.tienganh_Patado_SEA_SangBD_160426</v>
      </c>
      <c r="U324" s="116"/>
    </row>
    <row r="325">
      <c r="A325" s="72">
        <v>46128.0</v>
      </c>
      <c r="B325" s="60" t="s">
        <v>3255</v>
      </c>
      <c r="C325" s="67" t="str">
        <f>IFERROR(__xludf.DUMMYFUNCTION("""COMPUTED_VALUE"""),"LD277")</f>
        <v>LD277</v>
      </c>
      <c r="D325" s="55" t="s">
        <v>188</v>
      </c>
      <c r="E325" s="55" t="s">
        <v>193</v>
      </c>
      <c r="F325" s="55" t="s">
        <v>539</v>
      </c>
      <c r="G325" s="55" t="s">
        <v>61</v>
      </c>
      <c r="H325" s="55" t="s">
        <v>1485</v>
      </c>
      <c r="I325" s="115" t="s">
        <v>3261</v>
      </c>
      <c r="J325" s="55" t="s">
        <v>3259</v>
      </c>
      <c r="K325" s="55" t="s">
        <v>61</v>
      </c>
      <c r="L325" s="55" t="s">
        <v>1130</v>
      </c>
      <c r="M325" s="55" t="s">
        <v>78</v>
      </c>
      <c r="N325" s="55" t="s">
        <v>193</v>
      </c>
      <c r="O325" s="55" t="s">
        <v>1768</v>
      </c>
      <c r="P325" s="55" t="s">
        <v>110</v>
      </c>
      <c r="Q325" s="67" t="str">
        <f>IFERROR(__xludf.DUMMYFUNCTION("""COMPUTED_VALUE"""),"ALL.Ielts.tienganh_Patado_SEA_SangBD_160426")</f>
        <v>ALL.Ielts.tienganh_Patado_SEA_SangBD_160426</v>
      </c>
      <c r="R325" s="67" t="str">
        <f>IFERROR(__xludf.DUMMYFUNCTION("""COMPUTED_VALUE"""),"NEW_ALL_none_none_160426")</f>
        <v>NEW_ALL_none_none_160426</v>
      </c>
      <c r="S325" s="67" t="str">
        <f>IFERROR(__xludf.DUMMYFUNCTION("""COMPUTED_VALUE"""),"saletructiep_Khoahocietls_PTAGTTD_LD277")</f>
        <v>saletructiep_Khoahocietls_PTAGTTD_LD277</v>
      </c>
      <c r="T325" s="120" t="str">
        <f>IFERROR(__xludf.DUMMYFUNCTION("""COMPUTED_VALUE"""),"https://patado.edu.vn/khoa-ielts-patado/?utm_source=Google&amp;utm_medium=SEA&amp;utm_term=NEW_ALL_none_none_160426&amp;utm_content=saletructiep_Khoahocietls_PTAGTTD_LD277&amp;utm_campaign=ALL.Ielts.tienganh_Patado_SEA_SangBD_160426")</f>
        <v>https://patado.edu.vn/khoa-ielts-patado/?utm_source=Google&amp;utm_medium=SEA&amp;utm_term=NEW_ALL_none_none_160426&amp;utm_content=saletructiep_Khoahocietls_PTAGTTD_LD277&amp;utm_campaign=ALL.Ielts.tienganh_Patado_SEA_SangBD_160426</v>
      </c>
      <c r="U325" s="116"/>
    </row>
    <row r="326">
      <c r="A326" s="72">
        <v>46128.0</v>
      </c>
      <c r="B326" s="60" t="s">
        <v>3255</v>
      </c>
      <c r="C326" s="67" t="str">
        <f>IFERROR(__xludf.DUMMYFUNCTION("""COMPUTED_VALUE"""),"LD277")</f>
        <v>LD277</v>
      </c>
      <c r="D326" s="55" t="s">
        <v>188</v>
      </c>
      <c r="E326" s="55" t="s">
        <v>193</v>
      </c>
      <c r="F326" s="55" t="s">
        <v>107</v>
      </c>
      <c r="G326" s="55" t="s">
        <v>61</v>
      </c>
      <c r="H326" s="55" t="s">
        <v>1485</v>
      </c>
      <c r="I326" s="115" t="s">
        <v>3266</v>
      </c>
      <c r="J326" s="55" t="s">
        <v>3259</v>
      </c>
      <c r="K326" s="55" t="s">
        <v>61</v>
      </c>
      <c r="L326" s="55" t="s">
        <v>1130</v>
      </c>
      <c r="M326" s="55" t="s">
        <v>78</v>
      </c>
      <c r="N326" s="55" t="s">
        <v>193</v>
      </c>
      <c r="O326" s="55" t="s">
        <v>1768</v>
      </c>
      <c r="P326" s="55" t="s">
        <v>110</v>
      </c>
      <c r="Q326" s="67" t="str">
        <f>IFERROR(__xludf.DUMMYFUNCTION("""COMPUTED_VALUE"""),"UnitedStates.ielts.tienganh_Patado_SEA_SangBD_160426")</f>
        <v>UnitedStates.ielts.tienganh_Patado_SEA_SangBD_160426</v>
      </c>
      <c r="R326" s="67" t="str">
        <f>IFERROR(__xludf.DUMMYFUNCTION("""COMPUTED_VALUE"""),"NEW_UnitedStates_none_none_160426")</f>
        <v>NEW_UnitedStates_none_none_160426</v>
      </c>
      <c r="S326" s="67" t="str">
        <f>IFERROR(__xludf.DUMMYFUNCTION("""COMPUTED_VALUE"""),"saletructiep_Khoahocietls_PTAGTTD_LD277")</f>
        <v>saletructiep_Khoahocietls_PTAGTTD_LD277</v>
      </c>
      <c r="T326" s="107" t="str">
        <f>IFERROR(__xludf.DUMMYFUNCTION("""COMPUTED_VALUE"""),"https://patado.edu.vn/khoa-ielts-patado/?utm_source=Google&amp;utm_medium=SEA&amp;utm_term=NEW_UnitedStates_none_none_160426&amp;utm_content=saletructiep_Khoahocietls_PTAGTTD_LD277&amp;utm_campaign=UnitedStates.ielts.tienganh_Patado_SEA_SangBD_160426")</f>
        <v>https://patado.edu.vn/khoa-ielts-patado/?utm_source=Google&amp;utm_medium=SEA&amp;utm_term=NEW_UnitedStates_none_none_160426&amp;utm_content=saletructiep_Khoahocietls_PTAGTTD_LD277&amp;utm_campaign=UnitedStates.ielts.tienganh_Patado_SEA_SangBD_160426</v>
      </c>
      <c r="U326" s="116"/>
    </row>
    <row r="327">
      <c r="A327" s="72">
        <v>46134.0</v>
      </c>
      <c r="B327" s="60" t="s">
        <v>3270</v>
      </c>
      <c r="C327" s="67" t="str">
        <f>IFERROR(__xludf.DUMMYFUNCTION("""COMPUTED_VALUE"""),"LD278")</f>
        <v>LD278</v>
      </c>
      <c r="D327" s="55" t="s">
        <v>188</v>
      </c>
      <c r="E327" s="55" t="s">
        <v>193</v>
      </c>
      <c r="F327" s="55" t="s">
        <v>539</v>
      </c>
      <c r="G327" s="55" t="s">
        <v>61</v>
      </c>
      <c r="H327" s="55" t="s">
        <v>1485</v>
      </c>
      <c r="I327" s="115" t="s">
        <v>3272</v>
      </c>
      <c r="J327" s="55" t="s">
        <v>3273</v>
      </c>
      <c r="K327" s="55" t="s">
        <v>61</v>
      </c>
      <c r="L327" s="55" t="s">
        <v>1130</v>
      </c>
      <c r="M327" s="55" t="s">
        <v>78</v>
      </c>
      <c r="N327" s="55" t="s">
        <v>193</v>
      </c>
      <c r="O327" s="55" t="s">
        <v>1768</v>
      </c>
      <c r="P327" s="55" t="s">
        <v>110</v>
      </c>
      <c r="Q327" s="67" t="str">
        <f>IFERROR(__xludf.DUMMYFUNCTION("""COMPUTED_VALUE"""),"ALL.Cambridge.tienganh_Patado_SEA_SangBD_220426")</f>
        <v>ALL.Cambridge.tienganh_Patado_SEA_SangBD_220426</v>
      </c>
      <c r="R327" s="67" t="str">
        <f>IFERROR(__xludf.DUMMYFUNCTION("""COMPUTED_VALUE"""),"NEW_ALL_none_none_220426")</f>
        <v>NEW_ALL_none_none_220426</v>
      </c>
      <c r="S327" s="67" t="str">
        <f>IFERROR(__xludf.DUMMYFUNCTION("""COMPUTED_VALUE"""),"saletructiep_TiengAnhchobe_PTAGTTD_LD278")</f>
        <v>saletructiep_TiengAnhchobe_PTAGTTD_LD278</v>
      </c>
      <c r="T327" s="107" t="str">
        <f>IFERROR(__xludf.DUMMYFUNCTION("""COMPUTED_VALUE"""),"https://patado.edu.vn/khoa-hoc-cambridge-cho-tre/?utm_source=Google&amp;utm_medium=SEA&amp;utm_term=NEW_ALL_none_none_220426&amp;utm_content=saletructiep_TiengAnhchobe_PTAGTTD_LD278&amp;utm_campaign=ALL.Cambridge.tienganh_Patado_SEA_SangBD_220426")</f>
        <v>https://patado.edu.vn/khoa-hoc-cambridge-cho-tre/?utm_source=Google&amp;utm_medium=SEA&amp;utm_term=NEW_ALL_none_none_220426&amp;utm_content=saletructiep_TiengAnhchobe_PTAGTTD_LD278&amp;utm_campaign=ALL.Cambridge.tienganh_Patado_SEA_SangBD_220426</v>
      </c>
      <c r="U327" s="116"/>
    </row>
    <row r="328">
      <c r="A328" s="72">
        <v>46150.0</v>
      </c>
      <c r="B328" s="60" t="s">
        <v>1977</v>
      </c>
      <c r="C328" s="67" t="str">
        <f>IFERROR(__xludf.DUMMYFUNCTION("""COMPUTED_VALUE"""),"LD280")</f>
        <v>LD280</v>
      </c>
      <c r="D328" s="55" t="s">
        <v>188</v>
      </c>
      <c r="E328" s="55" t="s">
        <v>193</v>
      </c>
      <c r="F328" s="55" t="s">
        <v>539</v>
      </c>
      <c r="G328" s="55" t="s">
        <v>61</v>
      </c>
      <c r="H328" s="55" t="s">
        <v>1485</v>
      </c>
      <c r="I328" s="115" t="s">
        <v>3253</v>
      </c>
      <c r="J328" s="55" t="s">
        <v>1130</v>
      </c>
      <c r="K328" s="55" t="s">
        <v>61</v>
      </c>
      <c r="L328" s="55" t="s">
        <v>1130</v>
      </c>
      <c r="M328" s="55" t="s">
        <v>78</v>
      </c>
      <c r="N328" s="55" t="s">
        <v>193</v>
      </c>
      <c r="O328" s="55" t="s">
        <v>1768</v>
      </c>
      <c r="P328" s="55" t="s">
        <v>110</v>
      </c>
      <c r="Q328" s="67" t="str">
        <f>IFERROR(__xludf.DUMMYFUNCTION("""COMPUTED_VALUE"""),"ALL.thuonghieu.tienganh_Patado_SEA_SangBD_080526")</f>
        <v>ALL.thuonghieu.tienganh_Patado_SEA_SangBD_080526</v>
      </c>
      <c r="R328" s="67" t="str">
        <f>IFERROR(__xludf.DUMMYFUNCTION("""COMPUTED_VALUE"""),"NEW_ALL_none_none_080526")</f>
        <v>NEW_ALL_none_none_080526</v>
      </c>
      <c r="S328" s="67" t="str">
        <f>IFERROR(__xludf.DUMMYFUNCTION("""COMPUTED_VALUE"""),"saletructiep_Patado_PTAGTTD_LD280")</f>
        <v>saletructiep_Patado_PTAGTTD_LD280</v>
      </c>
      <c r="T328" s="107" t="str">
        <f>IFERROR(__xludf.DUMMYFUNCTION("""COMPUTED_VALUE"""),"https://patado.edu.vn/trung-tam-tieng-anh-patado/?utm_source=Google&amp;utm_medium=SEA&amp;utm_term=NEW_ALL_none_none_080526&amp;utm_content=saletructiep_Patado_PTAGTTD_LD280&amp;utm_campaign=ALL.thuonghieu.tienganh_Patado_SEA_SangBD_080526")</f>
        <v>https://patado.edu.vn/trung-tam-tieng-anh-patado/?utm_source=Google&amp;utm_medium=SEA&amp;utm_term=NEW_ALL_none_none_080526&amp;utm_content=saletructiep_Patado_PTAGTTD_LD280&amp;utm_campaign=ALL.thuonghieu.tienganh_Patado_SEA_SangBD_080526</v>
      </c>
      <c r="U328" s="116"/>
    </row>
    <row r="329">
      <c r="A329" s="72">
        <v>46177.0</v>
      </c>
      <c r="B329" s="60" t="s">
        <v>3278</v>
      </c>
      <c r="C329" s="67" t="str">
        <f>IFERROR(__xludf.DUMMYFUNCTION("""COMPUTED_VALUE"""),"LD283")</f>
        <v>LD283</v>
      </c>
      <c r="D329" s="55" t="s">
        <v>188</v>
      </c>
      <c r="E329" s="55" t="s">
        <v>193</v>
      </c>
      <c r="F329" s="55" t="s">
        <v>107</v>
      </c>
      <c r="G329" s="55" t="s">
        <v>61</v>
      </c>
      <c r="H329" s="55" t="s">
        <v>1485</v>
      </c>
      <c r="I329" s="115" t="s">
        <v>2167</v>
      </c>
      <c r="J329" s="55" t="s">
        <v>3281</v>
      </c>
      <c r="K329" s="55" t="s">
        <v>61</v>
      </c>
      <c r="L329" s="55" t="s">
        <v>1130</v>
      </c>
      <c r="M329" s="55" t="s">
        <v>78</v>
      </c>
      <c r="N329" s="55" t="s">
        <v>193</v>
      </c>
      <c r="O329" s="55" t="s">
        <v>1768</v>
      </c>
      <c r="P329" s="55" t="s">
        <v>110</v>
      </c>
      <c r="Q329" s="67" t="str">
        <f>IFERROR(__xludf.DUMMYFUNCTION("""COMPUTED_VALUE"""),"UnitedStates.giaotiep.tienganh_Patado_SEA_SangBD_040626")</f>
        <v>UnitedStates.giaotiep.tienganh_Patado_SEA_SangBD_040626</v>
      </c>
      <c r="R329" s="67" t="str">
        <f>IFERROR(__xludf.DUMMYFUNCTION("""COMPUTED_VALUE"""),"NEW_UnitedStates_none_none_040626")</f>
        <v>NEW_UnitedStates_none_none_040626</v>
      </c>
      <c r="S329" s="67" t="str">
        <f>IFERROR(__xludf.DUMMYFUNCTION("""COMPUTED_VALUE"""),"saletructiep_Patadogiaotiep_PTAGTTD_LD283")</f>
        <v>saletructiep_Patadogiaotiep_PTAGTTD_LD283</v>
      </c>
      <c r="T329" s="107" t="str">
        <f>IFERROR(__xludf.DUMMYFUNCTION("""COMPUTED_VALUE"""),"https://patado.edu.vn/tieng-anh-giao-tiep-us-sbd-htt/?utm_source=Google&amp;utm_medium=SEA&amp;utm_term=NEW_UnitedStates_none_none_040626&amp;utm_content=saletructiep_Patadogiaotiep_PTAGTTD_LD283&amp;utm_campaign=UnitedStates.giaotiep.tienganh_Patado_SEA_SangBD_040626")</f>
        <v>https://patado.edu.vn/tieng-anh-giao-tiep-us-sbd-htt/?utm_source=Google&amp;utm_medium=SEA&amp;utm_term=NEW_UnitedStates_none_none_040626&amp;utm_content=saletructiep_Patadogiaotiep_PTAGTTD_LD283&amp;utm_campaign=UnitedStates.giaotiep.tienganh_Patado_SEA_SangBD_040626</v>
      </c>
      <c r="U329" s="116"/>
    </row>
    <row r="330">
      <c r="A330" s="72">
        <v>46183.0</v>
      </c>
      <c r="B330" s="60" t="s">
        <v>3282</v>
      </c>
      <c r="C330" s="67" t="str">
        <f>IFERROR(__xludf.DUMMYFUNCTION("""COMPUTED_VALUE"""),"LD285")</f>
        <v>LD285</v>
      </c>
      <c r="D330" s="55" t="s">
        <v>188</v>
      </c>
      <c r="E330" s="55" t="s">
        <v>193</v>
      </c>
      <c r="F330" s="55" t="s">
        <v>674</v>
      </c>
      <c r="G330" s="55" t="s">
        <v>61</v>
      </c>
      <c r="H330" s="55" t="s">
        <v>1485</v>
      </c>
      <c r="I330" s="115" t="s">
        <v>2964</v>
      </c>
      <c r="J330" s="55" t="s">
        <v>3284</v>
      </c>
      <c r="K330" s="55" t="s">
        <v>61</v>
      </c>
      <c r="L330" s="55" t="s">
        <v>1130</v>
      </c>
      <c r="M330" s="55" t="s">
        <v>78</v>
      </c>
      <c r="N330" s="55" t="s">
        <v>193</v>
      </c>
      <c r="O330" s="55" t="s">
        <v>1768</v>
      </c>
      <c r="P330" s="55" t="s">
        <v>110</v>
      </c>
      <c r="Q330" s="67" t="str">
        <f>IFERROR(__xludf.DUMMYFUNCTION("""COMPUTED_VALUE"""),"Europe.giaotiep.tienganh_Patado_SEA_SangBD_100626")</f>
        <v>Europe.giaotiep.tienganh_Patado_SEA_SangBD_100626</v>
      </c>
      <c r="R330" s="67" t="str">
        <f>IFERROR(__xludf.DUMMYFUNCTION("""COMPUTED_VALUE"""),"NEW_Europe_none_none_100626")</f>
        <v>NEW_Europe_none_none_100626</v>
      </c>
      <c r="S330" s="67" t="str">
        <f>IFERROR(__xludf.DUMMYFUNCTION("""COMPUTED_VALUE"""),"saletructiep_Giaotieptienganh_PTAGTTD_LD285")</f>
        <v>saletructiep_Giaotieptienganh_PTAGTTD_LD285</v>
      </c>
      <c r="T330" s="107" t="str">
        <f>IFERROR(__xludf.DUMMYFUNCTION("""COMPUTED_VALUE"""),"https://patado.edu.vn/tieng-anh-giao-tiep-eu-sbd-htt/?utm_source=Google&amp;utm_medium=SEA&amp;utm_term=NEW_Europe_none_none_100626&amp;utm_content=saletructiep_Giaotieptienganh_PTAGTTD_LD285&amp;utm_campaign=Europe.giaotiep.tienganh_Patado_SEA_SangBD_100626")</f>
        <v>https://patado.edu.vn/tieng-anh-giao-tiep-eu-sbd-htt/?utm_source=Google&amp;utm_medium=SEA&amp;utm_term=NEW_Europe_none_none_100626&amp;utm_content=saletructiep_Giaotieptienganh_PTAGTTD_LD285&amp;utm_campaign=Europe.giaotiep.tienganh_Patado_SEA_SangBD_100626</v>
      </c>
      <c r="U330" s="116"/>
    </row>
    <row r="331">
      <c r="A331" s="72">
        <v>46184.0</v>
      </c>
      <c r="B331" s="60" t="s">
        <v>3287</v>
      </c>
      <c r="C331" s="67" t="str">
        <f>IFERROR(__xludf.DUMMYFUNCTION("""COMPUTED_VALUE"""),"LD286")</f>
        <v>LD286</v>
      </c>
      <c r="D331" s="55" t="s">
        <v>188</v>
      </c>
      <c r="E331" s="55" t="s">
        <v>193</v>
      </c>
      <c r="F331" s="55" t="s">
        <v>164</v>
      </c>
      <c r="G331" s="55" t="s">
        <v>61</v>
      </c>
      <c r="H331" s="55" t="s">
        <v>1485</v>
      </c>
      <c r="I331" s="115" t="s">
        <v>2862</v>
      </c>
      <c r="J331" s="55" t="s">
        <v>3284</v>
      </c>
      <c r="K331" s="55" t="s">
        <v>61</v>
      </c>
      <c r="L331" s="55" t="s">
        <v>1130</v>
      </c>
      <c r="M331" s="55" t="s">
        <v>78</v>
      </c>
      <c r="N331" s="55" t="s">
        <v>193</v>
      </c>
      <c r="O331" s="55" t="s">
        <v>1768</v>
      </c>
      <c r="P331" s="55" t="s">
        <v>110</v>
      </c>
      <c r="Q331" s="67" t="str">
        <f>IFERROR(__xludf.DUMMYFUNCTION("""COMPUTED_VALUE"""),"Taiwan.giaotiep.tienganh_Patado_SEA_SangBD_110626")</f>
        <v>Taiwan.giaotiep.tienganh_Patado_SEA_SangBD_110626</v>
      </c>
      <c r="R331" s="67" t="str">
        <f>IFERROR(__xludf.DUMMYFUNCTION("""COMPUTED_VALUE"""),"NEW_Taiwan_none_none_110626")</f>
        <v>NEW_Taiwan_none_none_110626</v>
      </c>
      <c r="S331" s="67" t="str">
        <f>IFERROR(__xludf.DUMMYFUNCTION("""COMPUTED_VALUE"""),"saletructiep_Giaotieptienganh_PTAGTTD_LD286")</f>
        <v>saletructiep_Giaotieptienganh_PTAGTTD_LD286</v>
      </c>
      <c r="T331" s="107" t="str">
        <f>IFERROR(__xludf.DUMMYFUNCTION("""COMPUTED_VALUE"""),"https://patado.edu.vn/khoa-hoc-tieng-anh-giao-tiep-all-sbd-htt/?utm_source=Google&amp;utm_medium=SEA&amp;utm_term=NEW_Taiwan_none_none_110626&amp;utm_content=saletructiep_Giaotieptienganh_PTAGTTD_LD286&amp;utm_campaign=Taiwan.giaotiep.tienganh_Patado_SEA_SangBD_110626")</f>
        <v>https://patado.edu.vn/khoa-hoc-tieng-anh-giao-tiep-all-sbd-htt/?utm_source=Google&amp;utm_medium=SEA&amp;utm_term=NEW_Taiwan_none_none_110626&amp;utm_content=saletructiep_Giaotieptienganh_PTAGTTD_LD286&amp;utm_campaign=Taiwan.giaotiep.tienganh_Patado_SEA_SangBD_110626</v>
      </c>
      <c r="U331" s="116"/>
    </row>
    <row r="332">
      <c r="A332" s="72">
        <v>46188.0</v>
      </c>
      <c r="B332" s="60" t="s">
        <v>3287</v>
      </c>
      <c r="C332" s="67" t="str">
        <f>IFERROR(__xludf.DUMMYFUNCTION("""COMPUTED_VALUE"""),"LD286")</f>
        <v>LD286</v>
      </c>
      <c r="D332" s="55" t="s">
        <v>188</v>
      </c>
      <c r="E332" s="55" t="s">
        <v>193</v>
      </c>
      <c r="F332" s="55" t="s">
        <v>539</v>
      </c>
      <c r="G332" s="55" t="s">
        <v>61</v>
      </c>
      <c r="H332" s="55" t="s">
        <v>1485</v>
      </c>
      <c r="I332" s="115" t="s">
        <v>3291</v>
      </c>
      <c r="J332" s="55" t="s">
        <v>3292</v>
      </c>
      <c r="K332" s="55" t="s">
        <v>61</v>
      </c>
      <c r="L332" s="55" t="s">
        <v>1130</v>
      </c>
      <c r="M332" s="55" t="s">
        <v>78</v>
      </c>
      <c r="N332" s="55" t="s">
        <v>193</v>
      </c>
      <c r="O332" s="55" t="s">
        <v>1768</v>
      </c>
      <c r="P332" s="55" t="s">
        <v>110</v>
      </c>
      <c r="Q332" s="67" t="str">
        <f>IFERROR(__xludf.DUMMYFUNCTION("""COMPUTED_VALUE"""),"ALL.Pmax.giaotiep_Patado_SEA_SangBD_150626")</f>
        <v>ALL.Pmax.giaotiep_Patado_SEA_SangBD_150626</v>
      </c>
      <c r="R332" s="67" t="str">
        <f>IFERROR(__xludf.DUMMYFUNCTION("""COMPUTED_VALUE"""),"NEW_ALL_none_none_150626")</f>
        <v>NEW_ALL_none_none_150626</v>
      </c>
      <c r="S332" s="67" t="str">
        <f>IFERROR(__xludf.DUMMYFUNCTION("""COMPUTED_VALUE"""),"saletructiep_Pmaxgiaotiep_PTAGTTD_LD286")</f>
        <v>saletructiep_Pmaxgiaotiep_PTAGTTD_LD286</v>
      </c>
      <c r="T332" s="107" t="str">
        <f>IFERROR(__xludf.DUMMYFUNCTION("""COMPUTED_VALUE"""),"https://patado.edu.vn/khoa-hoc-tieng-anh-giao-tiep-all-sbd-htt/?utm_source=Google&amp;utm_medium=SEA&amp;utm_term=NEW_ALL_none_none_150626&amp;utm_content=saletructiep_Pmaxgiaotiep_PTAGTTD_LD286&amp;utm_campaign=ALL.Pmax.giaotiep_Patado_SEA_SangBD_150626")</f>
        <v>https://patado.edu.vn/khoa-hoc-tieng-anh-giao-tiep-all-sbd-htt/?utm_source=Google&amp;utm_medium=SEA&amp;utm_term=NEW_ALL_none_none_150626&amp;utm_content=saletructiep_Pmaxgiaotiep_PTAGTTD_LD286&amp;utm_campaign=ALL.Pmax.giaotiep_Patado_SEA_SangBD_150626</v>
      </c>
      <c r="U332" s="116"/>
    </row>
    <row r="333">
      <c r="A333" s="72">
        <v>46191.0</v>
      </c>
      <c r="B333" s="60" t="s">
        <v>2134</v>
      </c>
      <c r="C333" s="67" t="str">
        <f>IFERROR(__xludf.DUMMYFUNCTION("""COMPUTED_VALUE"""),"LD288")</f>
        <v>LD288</v>
      </c>
      <c r="D333" s="55" t="s">
        <v>188</v>
      </c>
      <c r="E333" s="55" t="s">
        <v>193</v>
      </c>
      <c r="F333" s="55" t="s">
        <v>133</v>
      </c>
      <c r="G333" s="55" t="s">
        <v>61</v>
      </c>
      <c r="H333" s="55" t="s">
        <v>1485</v>
      </c>
      <c r="I333" s="115" t="s">
        <v>2447</v>
      </c>
      <c r="J333" s="55" t="s">
        <v>3284</v>
      </c>
      <c r="K333" s="55" t="s">
        <v>61</v>
      </c>
      <c r="L333" s="55" t="s">
        <v>1130</v>
      </c>
      <c r="M333" s="55" t="s">
        <v>78</v>
      </c>
      <c r="N333" s="55" t="s">
        <v>193</v>
      </c>
      <c r="O333" s="55" t="s">
        <v>1768</v>
      </c>
      <c r="P333" s="55" t="s">
        <v>110</v>
      </c>
      <c r="Q333" s="67" t="str">
        <f>IFERROR(__xludf.DUMMYFUNCTION("""COMPUTED_VALUE"""),"Japan.giaotiep.tienganh_Patado_SEA_SangBD_180626")</f>
        <v>Japan.giaotiep.tienganh_Patado_SEA_SangBD_180626</v>
      </c>
      <c r="R333" s="67" t="str">
        <f>IFERROR(__xludf.DUMMYFUNCTION("""COMPUTED_VALUE"""),"NEW_Japan_none_none_180626")</f>
        <v>NEW_Japan_none_none_180626</v>
      </c>
      <c r="S333" s="67" t="str">
        <f>IFERROR(__xludf.DUMMYFUNCTION("""COMPUTED_VALUE"""),"saletructiep_Giaotieptienganh_PTAGTTD_LD288")</f>
        <v>saletructiep_Giaotieptienganh_PTAGTTD_LD288</v>
      </c>
      <c r="T333" s="107" t="str">
        <f>IFERROR(__xludf.DUMMYFUNCTION("""COMPUTED_VALUE"""),"https://patado.edu.vn/tieng-anh-giao-tiep-cho-nguoi-viet-tai-nhat-sbd-htt/?utm_source=Google&amp;utm_medium=SEA&amp;utm_term=NEW_Japan_none_none_180626&amp;utm_content=saletructiep_Giaotieptienganh_PTAGTTD_LD288&amp;utm_campaign=Japan.giaotiep.tienganh_Patado_SEA_SangBD_"&amp;"180626")</f>
        <v>https://patado.edu.vn/tieng-anh-giao-tiep-cho-nguoi-viet-tai-nhat-sbd-htt/?utm_source=Google&amp;utm_medium=SEA&amp;utm_term=NEW_Japan_none_none_180626&amp;utm_content=saletructiep_Giaotieptienganh_PTAGTTD_LD288&amp;utm_campaign=Japan.giaotiep.tienganh_Patado_SEA_SangBD_180626</v>
      </c>
      <c r="U333" s="116"/>
    </row>
    <row r="334">
      <c r="A334" s="72"/>
      <c r="B334" s="95"/>
      <c r="C334" s="67"/>
      <c r="D334" s="55"/>
      <c r="E334" s="55"/>
      <c r="F334" s="55"/>
      <c r="G334" s="55"/>
      <c r="H334" s="55"/>
      <c r="I334" s="115"/>
      <c r="J334" s="55"/>
      <c r="K334" s="55"/>
      <c r="L334" s="55"/>
      <c r="M334" s="55"/>
      <c r="N334" s="55"/>
      <c r="O334" s="55"/>
      <c r="P334" s="55"/>
      <c r="Q334" s="67"/>
      <c r="R334" s="67"/>
      <c r="S334" s="67"/>
      <c r="T334" s="67"/>
      <c r="U334" s="116"/>
    </row>
    <row r="335">
      <c r="A335" s="72"/>
      <c r="B335" s="95"/>
      <c r="C335" s="67"/>
      <c r="D335" s="55"/>
      <c r="E335" s="55"/>
      <c r="F335" s="55"/>
      <c r="G335" s="55"/>
      <c r="H335" s="55"/>
      <c r="I335" s="115"/>
      <c r="J335" s="55"/>
      <c r="K335" s="55"/>
      <c r="L335" s="55"/>
      <c r="M335" s="55"/>
      <c r="N335" s="55"/>
      <c r="O335" s="55"/>
      <c r="P335" s="55"/>
      <c r="Q335" s="67"/>
      <c r="R335" s="67"/>
      <c r="S335" s="67"/>
      <c r="T335" s="67"/>
      <c r="U335" s="116"/>
    </row>
    <row r="336">
      <c r="A336" s="72"/>
      <c r="B336" s="95"/>
      <c r="C336" s="67"/>
      <c r="D336" s="55"/>
      <c r="E336" s="55"/>
      <c r="F336" s="55"/>
      <c r="G336" s="55"/>
      <c r="H336" s="55"/>
      <c r="I336" s="115"/>
      <c r="J336" s="55"/>
      <c r="K336" s="55"/>
      <c r="L336" s="55"/>
      <c r="M336" s="55"/>
      <c r="N336" s="55"/>
      <c r="O336" s="55"/>
      <c r="P336" s="55"/>
      <c r="Q336" s="67"/>
      <c r="R336" s="67"/>
      <c r="S336" s="67"/>
      <c r="T336" s="67"/>
      <c r="U336" s="116"/>
    </row>
    <row r="337">
      <c r="A337" s="72"/>
      <c r="B337" s="95"/>
      <c r="C337" s="67"/>
      <c r="D337" s="55"/>
      <c r="E337" s="55"/>
      <c r="F337" s="55"/>
      <c r="G337" s="55"/>
      <c r="H337" s="55"/>
      <c r="I337" s="115"/>
      <c r="J337" s="55"/>
      <c r="K337" s="55"/>
      <c r="L337" s="55"/>
      <c r="M337" s="55"/>
      <c r="N337" s="55"/>
      <c r="O337" s="55"/>
      <c r="P337" s="55"/>
      <c r="Q337" s="67"/>
      <c r="R337" s="67"/>
      <c r="S337" s="67"/>
      <c r="T337" s="67"/>
      <c r="U337" s="116"/>
    </row>
    <row r="338">
      <c r="A338" s="72"/>
      <c r="B338" s="95"/>
      <c r="C338" s="67"/>
      <c r="D338" s="55"/>
      <c r="E338" s="55"/>
      <c r="F338" s="55"/>
      <c r="G338" s="55"/>
      <c r="H338" s="55"/>
      <c r="I338" s="115"/>
      <c r="J338" s="55"/>
      <c r="K338" s="55"/>
      <c r="L338" s="55"/>
      <c r="M338" s="55"/>
      <c r="N338" s="55"/>
      <c r="O338" s="55"/>
      <c r="P338" s="55"/>
      <c r="Q338" s="67"/>
      <c r="R338" s="67"/>
      <c r="S338" s="67"/>
      <c r="T338" s="67"/>
      <c r="U338" s="116"/>
    </row>
    <row r="339">
      <c r="A339" s="72"/>
      <c r="B339" s="95"/>
      <c r="C339" s="67"/>
      <c r="D339" s="55"/>
      <c r="E339" s="55"/>
      <c r="F339" s="55"/>
      <c r="G339" s="55"/>
      <c r="H339" s="55"/>
      <c r="I339" s="115"/>
      <c r="J339" s="55"/>
      <c r="K339" s="55"/>
      <c r="L339" s="55"/>
      <c r="M339" s="55"/>
      <c r="N339" s="55"/>
      <c r="O339" s="55"/>
      <c r="P339" s="55"/>
      <c r="Q339" s="67"/>
      <c r="R339" s="67"/>
      <c r="S339" s="67"/>
      <c r="T339" s="67"/>
      <c r="U339" s="116"/>
    </row>
    <row r="340">
      <c r="A340" s="72"/>
      <c r="B340" s="95"/>
      <c r="C340" s="67"/>
      <c r="D340" s="55"/>
      <c r="E340" s="55"/>
      <c r="F340" s="55"/>
      <c r="G340" s="55"/>
      <c r="H340" s="55"/>
      <c r="I340" s="115"/>
      <c r="J340" s="55"/>
      <c r="K340" s="55"/>
      <c r="L340" s="55"/>
      <c r="M340" s="55"/>
      <c r="N340" s="55"/>
      <c r="O340" s="55"/>
      <c r="P340" s="55"/>
      <c r="Q340" s="67"/>
      <c r="R340" s="67"/>
      <c r="S340" s="67"/>
      <c r="T340" s="67"/>
      <c r="U340" s="116"/>
    </row>
    <row r="341">
      <c r="A341" s="72"/>
      <c r="B341" s="95"/>
      <c r="C341" s="67"/>
      <c r="D341" s="55"/>
      <c r="E341" s="55"/>
      <c r="F341" s="55"/>
      <c r="G341" s="55"/>
      <c r="H341" s="55"/>
      <c r="I341" s="115"/>
      <c r="J341" s="55"/>
      <c r="K341" s="55"/>
      <c r="L341" s="55"/>
      <c r="M341" s="55"/>
      <c r="N341" s="55"/>
      <c r="O341" s="55"/>
      <c r="P341" s="55"/>
      <c r="Q341" s="67"/>
      <c r="R341" s="67"/>
      <c r="S341" s="67"/>
      <c r="T341" s="67"/>
      <c r="U341" s="116"/>
    </row>
    <row r="342">
      <c r="A342" s="72"/>
      <c r="B342" s="95"/>
      <c r="C342" s="67"/>
      <c r="D342" s="55"/>
      <c r="E342" s="55"/>
      <c r="F342" s="55"/>
      <c r="G342" s="55"/>
      <c r="H342" s="55"/>
      <c r="I342" s="115"/>
      <c r="J342" s="55"/>
      <c r="K342" s="55"/>
      <c r="L342" s="55"/>
      <c r="M342" s="55"/>
      <c r="N342" s="55"/>
      <c r="O342" s="55"/>
      <c r="P342" s="55"/>
      <c r="Q342" s="67"/>
      <c r="R342" s="67"/>
      <c r="S342" s="67"/>
      <c r="T342" s="67"/>
      <c r="U342" s="116"/>
    </row>
    <row r="343">
      <c r="A343" s="72"/>
      <c r="B343" s="95"/>
      <c r="C343" s="67"/>
      <c r="D343" s="55"/>
      <c r="E343" s="55"/>
      <c r="F343" s="55"/>
      <c r="G343" s="55"/>
      <c r="H343" s="55"/>
      <c r="I343" s="115"/>
      <c r="J343" s="55"/>
      <c r="K343" s="55"/>
      <c r="L343" s="55"/>
      <c r="M343" s="55"/>
      <c r="N343" s="55"/>
      <c r="O343" s="55"/>
      <c r="P343" s="55"/>
      <c r="Q343" s="67"/>
      <c r="R343" s="67"/>
      <c r="S343" s="67"/>
      <c r="T343" s="67"/>
      <c r="U343" s="116"/>
    </row>
    <row r="344">
      <c r="A344" s="72"/>
      <c r="B344" s="95"/>
      <c r="C344" s="67"/>
      <c r="D344" s="55"/>
      <c r="E344" s="55"/>
      <c r="F344" s="55"/>
      <c r="G344" s="55"/>
      <c r="H344" s="55"/>
      <c r="I344" s="115"/>
      <c r="J344" s="55"/>
      <c r="K344" s="55"/>
      <c r="L344" s="55"/>
      <c r="M344" s="55"/>
      <c r="N344" s="55"/>
      <c r="O344" s="55"/>
      <c r="P344" s="55"/>
      <c r="Q344" s="67"/>
      <c r="R344" s="67"/>
      <c r="S344" s="67"/>
      <c r="T344" s="67"/>
      <c r="U344" s="116"/>
    </row>
    <row r="345">
      <c r="A345" s="72"/>
      <c r="B345" s="95"/>
      <c r="C345" s="67"/>
      <c r="D345" s="55"/>
      <c r="E345" s="55"/>
      <c r="F345" s="55"/>
      <c r="G345" s="55"/>
      <c r="H345" s="55"/>
      <c r="I345" s="115"/>
      <c r="J345" s="55"/>
      <c r="K345" s="55"/>
      <c r="L345" s="55"/>
      <c r="M345" s="55"/>
      <c r="N345" s="55"/>
      <c r="O345" s="55"/>
      <c r="P345" s="55"/>
      <c r="Q345" s="67"/>
      <c r="R345" s="67"/>
      <c r="S345" s="67"/>
      <c r="T345" s="67"/>
      <c r="U345" s="116"/>
    </row>
    <row r="346">
      <c r="A346" s="72"/>
      <c r="B346" s="95"/>
      <c r="C346" s="67"/>
      <c r="D346" s="55"/>
      <c r="E346" s="55"/>
      <c r="F346" s="55"/>
      <c r="G346" s="55"/>
      <c r="H346" s="55"/>
      <c r="I346" s="115"/>
      <c r="J346" s="55"/>
      <c r="K346" s="55"/>
      <c r="L346" s="55"/>
      <c r="M346" s="55"/>
      <c r="N346" s="55"/>
      <c r="O346" s="55"/>
      <c r="P346" s="55"/>
      <c r="Q346" s="67"/>
      <c r="R346" s="67"/>
      <c r="S346" s="67"/>
      <c r="T346" s="67"/>
      <c r="U346" s="116"/>
    </row>
    <row r="347">
      <c r="A347" s="72"/>
      <c r="B347" s="95"/>
      <c r="C347" s="67"/>
      <c r="D347" s="55"/>
      <c r="E347" s="55"/>
      <c r="F347" s="55"/>
      <c r="G347" s="55"/>
      <c r="H347" s="55"/>
      <c r="I347" s="115"/>
      <c r="J347" s="55"/>
      <c r="K347" s="55"/>
      <c r="L347" s="55"/>
      <c r="M347" s="55"/>
      <c r="N347" s="55"/>
      <c r="O347" s="55"/>
      <c r="P347" s="55"/>
      <c r="Q347" s="67"/>
      <c r="R347" s="67"/>
      <c r="S347" s="67"/>
      <c r="T347" s="67"/>
      <c r="U347" s="116"/>
    </row>
    <row r="348">
      <c r="A348" s="72"/>
      <c r="B348" s="95"/>
      <c r="C348" s="67"/>
      <c r="D348" s="55"/>
      <c r="E348" s="55"/>
      <c r="F348" s="55"/>
      <c r="G348" s="55"/>
      <c r="H348" s="55"/>
      <c r="I348" s="115"/>
      <c r="J348" s="55"/>
      <c r="K348" s="55"/>
      <c r="L348" s="55"/>
      <c r="M348" s="55"/>
      <c r="N348" s="55"/>
      <c r="O348" s="55"/>
      <c r="P348" s="55"/>
      <c r="Q348" s="67"/>
      <c r="R348" s="67"/>
      <c r="S348" s="67"/>
      <c r="T348" s="67"/>
      <c r="U348" s="116"/>
    </row>
    <row r="349">
      <c r="A349" s="72"/>
      <c r="B349" s="95"/>
      <c r="C349" s="67"/>
      <c r="D349" s="55"/>
      <c r="E349" s="55"/>
      <c r="F349" s="55"/>
      <c r="G349" s="55"/>
      <c r="H349" s="55"/>
      <c r="I349" s="115"/>
      <c r="J349" s="55"/>
      <c r="K349" s="55"/>
      <c r="L349" s="55"/>
      <c r="M349" s="55"/>
      <c r="N349" s="55"/>
      <c r="O349" s="55"/>
      <c r="P349" s="55"/>
      <c r="Q349" s="67"/>
      <c r="R349" s="67"/>
      <c r="S349" s="67"/>
      <c r="T349" s="67"/>
      <c r="U349" s="116"/>
    </row>
    <row r="350">
      <c r="A350" s="72"/>
      <c r="B350" s="95"/>
      <c r="C350" s="67"/>
      <c r="D350" s="55"/>
      <c r="E350" s="55"/>
      <c r="F350" s="55"/>
      <c r="G350" s="55"/>
      <c r="H350" s="55"/>
      <c r="I350" s="115"/>
      <c r="J350" s="55"/>
      <c r="K350" s="55"/>
      <c r="L350" s="55"/>
      <c r="M350" s="55"/>
      <c r="N350" s="55"/>
      <c r="O350" s="55"/>
      <c r="P350" s="55"/>
      <c r="Q350" s="67"/>
      <c r="R350" s="67"/>
      <c r="S350" s="67"/>
      <c r="T350" s="67"/>
      <c r="U350" s="116"/>
    </row>
    <row r="351">
      <c r="A351" s="72"/>
      <c r="B351" s="95"/>
      <c r="C351" s="67"/>
      <c r="D351" s="55"/>
      <c r="E351" s="55"/>
      <c r="F351" s="55"/>
      <c r="G351" s="55"/>
      <c r="H351" s="55"/>
      <c r="I351" s="115"/>
      <c r="J351" s="55"/>
      <c r="K351" s="55"/>
      <c r="L351" s="55"/>
      <c r="M351" s="55"/>
      <c r="N351" s="55"/>
      <c r="O351" s="55"/>
      <c r="P351" s="55"/>
      <c r="Q351" s="67"/>
      <c r="R351" s="67"/>
      <c r="S351" s="67"/>
      <c r="T351" s="67"/>
      <c r="U351" s="116"/>
    </row>
    <row r="352">
      <c r="A352" s="72"/>
      <c r="B352" s="95"/>
      <c r="C352" s="67"/>
      <c r="D352" s="55"/>
      <c r="E352" s="55"/>
      <c r="F352" s="55"/>
      <c r="G352" s="55"/>
      <c r="H352" s="55"/>
      <c r="I352" s="115"/>
      <c r="J352" s="55"/>
      <c r="K352" s="55"/>
      <c r="L352" s="55"/>
      <c r="M352" s="55"/>
      <c r="N352" s="55"/>
      <c r="O352" s="55"/>
      <c r="P352" s="55"/>
      <c r="Q352" s="67"/>
      <c r="R352" s="67"/>
      <c r="S352" s="67"/>
      <c r="T352" s="67"/>
      <c r="U352" s="116"/>
    </row>
    <row r="353">
      <c r="A353" s="72"/>
      <c r="B353" s="95"/>
      <c r="C353" s="67"/>
      <c r="D353" s="55"/>
      <c r="E353" s="55"/>
      <c r="F353" s="55"/>
      <c r="G353" s="55"/>
      <c r="H353" s="55"/>
      <c r="I353" s="115"/>
      <c r="J353" s="55"/>
      <c r="K353" s="55"/>
      <c r="L353" s="55"/>
      <c r="M353" s="55"/>
      <c r="N353" s="55"/>
      <c r="O353" s="55"/>
      <c r="P353" s="55"/>
      <c r="Q353" s="67"/>
      <c r="R353" s="67"/>
      <c r="S353" s="67"/>
      <c r="T353" s="67"/>
      <c r="U353" s="116"/>
    </row>
    <row r="354">
      <c r="A354" s="72"/>
      <c r="B354" s="95"/>
      <c r="C354" s="67"/>
      <c r="D354" s="55"/>
      <c r="E354" s="55"/>
      <c r="F354" s="55"/>
      <c r="G354" s="55"/>
      <c r="H354" s="55"/>
      <c r="I354" s="115"/>
      <c r="J354" s="55"/>
      <c r="K354" s="55"/>
      <c r="L354" s="55"/>
      <c r="M354" s="55"/>
      <c r="N354" s="55"/>
      <c r="O354" s="55"/>
      <c r="P354" s="55"/>
      <c r="Q354" s="67"/>
      <c r="R354" s="67"/>
      <c r="S354" s="67"/>
      <c r="T354" s="67"/>
      <c r="U354" s="116"/>
    </row>
    <row r="355">
      <c r="A355" s="72"/>
      <c r="B355" s="95"/>
      <c r="C355" s="67"/>
      <c r="D355" s="55"/>
      <c r="E355" s="55"/>
      <c r="F355" s="55"/>
      <c r="G355" s="55"/>
      <c r="H355" s="55"/>
      <c r="I355" s="115"/>
      <c r="J355" s="55"/>
      <c r="K355" s="55"/>
      <c r="L355" s="55"/>
      <c r="M355" s="55"/>
      <c r="N355" s="55"/>
      <c r="O355" s="55"/>
      <c r="P355" s="55"/>
      <c r="Q355" s="67"/>
      <c r="R355" s="67"/>
      <c r="S355" s="67"/>
      <c r="T355" s="67"/>
      <c r="U355" s="116"/>
    </row>
    <row r="356">
      <c r="A356" s="72"/>
      <c r="B356" s="95"/>
      <c r="C356" s="67"/>
      <c r="D356" s="55"/>
      <c r="E356" s="55"/>
      <c r="F356" s="55"/>
      <c r="G356" s="55"/>
      <c r="H356" s="55"/>
      <c r="I356" s="115"/>
      <c r="J356" s="55"/>
      <c r="K356" s="55"/>
      <c r="L356" s="55"/>
      <c r="M356" s="55"/>
      <c r="N356" s="55"/>
      <c r="O356" s="55"/>
      <c r="P356" s="55"/>
      <c r="Q356" s="67"/>
      <c r="R356" s="67"/>
      <c r="S356" s="67"/>
      <c r="T356" s="67"/>
      <c r="U356" s="116"/>
    </row>
    <row r="357">
      <c r="A357" s="72"/>
      <c r="B357" s="95"/>
      <c r="C357" s="67"/>
      <c r="D357" s="55"/>
      <c r="E357" s="55"/>
      <c r="F357" s="55"/>
      <c r="G357" s="55"/>
      <c r="H357" s="55"/>
      <c r="I357" s="115"/>
      <c r="J357" s="55"/>
      <c r="K357" s="55"/>
      <c r="L357" s="55"/>
      <c r="M357" s="55"/>
      <c r="N357" s="55"/>
      <c r="O357" s="55"/>
      <c r="P357" s="55"/>
      <c r="Q357" s="67"/>
      <c r="R357" s="67"/>
      <c r="S357" s="67"/>
      <c r="T357" s="67"/>
      <c r="U357" s="116"/>
    </row>
    <row r="358">
      <c r="A358" s="72"/>
      <c r="B358" s="95"/>
      <c r="C358" s="67"/>
      <c r="D358" s="55"/>
      <c r="E358" s="55"/>
      <c r="F358" s="55"/>
      <c r="G358" s="55"/>
      <c r="H358" s="55"/>
      <c r="I358" s="115"/>
      <c r="J358" s="55"/>
      <c r="K358" s="55"/>
      <c r="L358" s="55"/>
      <c r="M358" s="55"/>
      <c r="N358" s="55"/>
      <c r="O358" s="55"/>
      <c r="P358" s="55"/>
      <c r="Q358" s="67"/>
      <c r="R358" s="67"/>
      <c r="S358" s="67"/>
      <c r="T358" s="67"/>
      <c r="U358" s="116"/>
    </row>
    <row r="359">
      <c r="A359" s="72"/>
      <c r="B359" s="95"/>
      <c r="C359" s="67"/>
      <c r="D359" s="55"/>
      <c r="E359" s="55"/>
      <c r="F359" s="55"/>
      <c r="G359" s="55"/>
      <c r="H359" s="55"/>
      <c r="I359" s="115"/>
      <c r="J359" s="55"/>
      <c r="K359" s="55"/>
      <c r="L359" s="55"/>
      <c r="M359" s="55"/>
      <c r="N359" s="55"/>
      <c r="O359" s="55"/>
      <c r="P359" s="55"/>
      <c r="Q359" s="67"/>
      <c r="R359" s="67"/>
      <c r="S359" s="67"/>
      <c r="T359" s="67"/>
      <c r="U359" s="116"/>
    </row>
    <row r="360">
      <c r="A360" s="72"/>
      <c r="B360" s="95"/>
      <c r="C360" s="67"/>
      <c r="D360" s="55"/>
      <c r="E360" s="55"/>
      <c r="F360" s="55"/>
      <c r="G360" s="55"/>
      <c r="H360" s="55"/>
      <c r="I360" s="115"/>
      <c r="J360" s="55"/>
      <c r="K360" s="55"/>
      <c r="L360" s="55"/>
      <c r="M360" s="55"/>
      <c r="N360" s="55"/>
      <c r="O360" s="55"/>
      <c r="P360" s="55"/>
      <c r="Q360" s="67"/>
      <c r="R360" s="67"/>
      <c r="S360" s="67"/>
      <c r="T360" s="67"/>
      <c r="U360" s="116"/>
    </row>
    <row r="361">
      <c r="A361" s="72"/>
      <c r="B361" s="95"/>
      <c r="C361" s="67"/>
      <c r="D361" s="55"/>
      <c r="E361" s="55"/>
      <c r="F361" s="55"/>
      <c r="G361" s="55"/>
      <c r="H361" s="55"/>
      <c r="I361" s="115"/>
      <c r="J361" s="55"/>
      <c r="K361" s="55"/>
      <c r="L361" s="55"/>
      <c r="M361" s="55"/>
      <c r="N361" s="55"/>
      <c r="O361" s="55"/>
      <c r="P361" s="55"/>
      <c r="Q361" s="67"/>
      <c r="R361" s="67"/>
      <c r="S361" s="67"/>
      <c r="T361" s="67"/>
      <c r="U361" s="116"/>
    </row>
    <row r="362">
      <c r="A362" s="72"/>
      <c r="B362" s="95"/>
      <c r="C362" s="67"/>
      <c r="D362" s="55"/>
      <c r="E362" s="55"/>
      <c r="F362" s="55"/>
      <c r="G362" s="55"/>
      <c r="H362" s="55"/>
      <c r="I362" s="115"/>
      <c r="J362" s="55"/>
      <c r="K362" s="55"/>
      <c r="L362" s="55"/>
      <c r="M362" s="55"/>
      <c r="N362" s="55"/>
      <c r="O362" s="55"/>
      <c r="P362" s="55"/>
      <c r="Q362" s="67"/>
      <c r="R362" s="67"/>
      <c r="S362" s="67"/>
      <c r="T362" s="67"/>
      <c r="U362" s="116"/>
    </row>
    <row r="363">
      <c r="A363" s="72"/>
      <c r="B363" s="95"/>
      <c r="C363" s="67"/>
      <c r="D363" s="55"/>
      <c r="E363" s="55"/>
      <c r="F363" s="55"/>
      <c r="G363" s="55"/>
      <c r="H363" s="55"/>
      <c r="I363" s="115"/>
      <c r="J363" s="55"/>
      <c r="K363" s="55"/>
      <c r="L363" s="55"/>
      <c r="M363" s="55"/>
      <c r="N363" s="55"/>
      <c r="O363" s="55"/>
      <c r="P363" s="55"/>
      <c r="Q363" s="67"/>
      <c r="R363" s="67"/>
      <c r="S363" s="67"/>
      <c r="T363" s="67"/>
      <c r="U363" s="116"/>
    </row>
    <row r="364">
      <c r="A364" s="72"/>
      <c r="B364" s="95"/>
      <c r="C364" s="67"/>
      <c r="D364" s="55"/>
      <c r="E364" s="55"/>
      <c r="F364" s="55"/>
      <c r="G364" s="55"/>
      <c r="H364" s="55"/>
      <c r="I364" s="115"/>
      <c r="J364" s="55"/>
      <c r="K364" s="55"/>
      <c r="L364" s="55"/>
      <c r="M364" s="55"/>
      <c r="N364" s="55"/>
      <c r="O364" s="55"/>
      <c r="P364" s="55"/>
      <c r="Q364" s="67"/>
      <c r="R364" s="67"/>
      <c r="S364" s="67"/>
      <c r="T364" s="67"/>
      <c r="U364" s="116"/>
    </row>
    <row r="365">
      <c r="A365" s="72"/>
      <c r="B365" s="95"/>
      <c r="C365" s="67"/>
      <c r="D365" s="55"/>
      <c r="E365" s="55"/>
      <c r="F365" s="55"/>
      <c r="G365" s="55"/>
      <c r="H365" s="55"/>
      <c r="I365" s="115"/>
      <c r="J365" s="55"/>
      <c r="K365" s="55"/>
      <c r="L365" s="55"/>
      <c r="M365" s="55"/>
      <c r="N365" s="55"/>
      <c r="O365" s="55"/>
      <c r="P365" s="55"/>
      <c r="Q365" s="67"/>
      <c r="R365" s="67"/>
      <c r="S365" s="67"/>
      <c r="T365" s="67"/>
      <c r="U365" s="116"/>
    </row>
    <row r="366">
      <c r="A366" s="72"/>
      <c r="B366" s="95"/>
      <c r="C366" s="67"/>
      <c r="D366" s="55"/>
      <c r="E366" s="55"/>
      <c r="F366" s="55"/>
      <c r="G366" s="55"/>
      <c r="H366" s="55"/>
      <c r="I366" s="115"/>
      <c r="J366" s="55"/>
      <c r="K366" s="55"/>
      <c r="L366" s="55"/>
      <c r="M366" s="55"/>
      <c r="N366" s="55"/>
      <c r="O366" s="55"/>
      <c r="P366" s="55"/>
      <c r="Q366" s="67"/>
      <c r="R366" s="67"/>
      <c r="S366" s="67"/>
      <c r="T366" s="67"/>
      <c r="U366" s="116"/>
    </row>
    <row r="367">
      <c r="A367" s="72"/>
      <c r="B367" s="95"/>
      <c r="C367" s="67"/>
      <c r="D367" s="55"/>
      <c r="E367" s="55"/>
      <c r="F367" s="55"/>
      <c r="G367" s="55"/>
      <c r="H367" s="55"/>
      <c r="I367" s="115"/>
      <c r="J367" s="55"/>
      <c r="K367" s="55"/>
      <c r="L367" s="55"/>
      <c r="M367" s="55"/>
      <c r="N367" s="55"/>
      <c r="O367" s="55"/>
      <c r="P367" s="55"/>
      <c r="Q367" s="67"/>
      <c r="R367" s="67"/>
      <c r="S367" s="67"/>
      <c r="T367" s="67"/>
      <c r="U367" s="116"/>
    </row>
    <row r="368">
      <c r="A368" s="72"/>
      <c r="B368" s="95"/>
      <c r="C368" s="67"/>
      <c r="D368" s="55"/>
      <c r="E368" s="55"/>
      <c r="F368" s="55"/>
      <c r="G368" s="55"/>
      <c r="H368" s="55"/>
      <c r="I368" s="115"/>
      <c r="J368" s="55"/>
      <c r="K368" s="55"/>
      <c r="L368" s="55"/>
      <c r="M368" s="55"/>
      <c r="N368" s="55"/>
      <c r="O368" s="55"/>
      <c r="P368" s="55"/>
      <c r="Q368" s="67"/>
      <c r="R368" s="67"/>
      <c r="S368" s="67"/>
      <c r="T368" s="67"/>
      <c r="U368" s="116"/>
    </row>
    <row r="369">
      <c r="A369" s="72"/>
      <c r="B369" s="95"/>
      <c r="C369" s="67"/>
      <c r="D369" s="55"/>
      <c r="E369" s="55"/>
      <c r="F369" s="55"/>
      <c r="G369" s="55"/>
      <c r="H369" s="55"/>
      <c r="I369" s="115"/>
      <c r="J369" s="55"/>
      <c r="K369" s="55"/>
      <c r="L369" s="55"/>
      <c r="M369" s="55"/>
      <c r="N369" s="55"/>
      <c r="O369" s="55"/>
      <c r="P369" s="55"/>
      <c r="Q369" s="67"/>
      <c r="R369" s="67"/>
      <c r="S369" s="67"/>
      <c r="T369" s="67"/>
      <c r="U369" s="116"/>
    </row>
    <row r="370">
      <c r="A370" s="72"/>
      <c r="B370" s="95"/>
      <c r="C370" s="67"/>
      <c r="D370" s="55"/>
      <c r="E370" s="55"/>
      <c r="F370" s="55"/>
      <c r="G370" s="55"/>
      <c r="H370" s="55"/>
      <c r="I370" s="115"/>
      <c r="J370" s="55"/>
      <c r="K370" s="55"/>
      <c r="L370" s="55"/>
      <c r="M370" s="55"/>
      <c r="N370" s="55"/>
      <c r="O370" s="55"/>
      <c r="P370" s="55"/>
      <c r="Q370" s="67"/>
      <c r="R370" s="67"/>
      <c r="S370" s="67"/>
      <c r="T370" s="67"/>
      <c r="U370" s="116"/>
    </row>
    <row r="371">
      <c r="A371" s="72"/>
      <c r="B371" s="95"/>
      <c r="C371" s="67"/>
      <c r="D371" s="55"/>
      <c r="E371" s="55"/>
      <c r="F371" s="55"/>
      <c r="G371" s="55"/>
      <c r="H371" s="55"/>
      <c r="I371" s="115"/>
      <c r="J371" s="55"/>
      <c r="K371" s="55"/>
      <c r="L371" s="55"/>
      <c r="M371" s="55"/>
      <c r="N371" s="55"/>
      <c r="O371" s="55"/>
      <c r="P371" s="55"/>
      <c r="Q371" s="67"/>
      <c r="R371" s="67"/>
      <c r="S371" s="67"/>
      <c r="T371" s="67"/>
      <c r="U371" s="116"/>
    </row>
    <row r="372">
      <c r="A372" s="72"/>
      <c r="B372" s="95"/>
      <c r="C372" s="67"/>
      <c r="D372" s="55"/>
      <c r="E372" s="55"/>
      <c r="F372" s="55"/>
      <c r="G372" s="55"/>
      <c r="H372" s="55"/>
      <c r="I372" s="115"/>
      <c r="J372" s="55"/>
      <c r="K372" s="55"/>
      <c r="L372" s="55"/>
      <c r="M372" s="55"/>
      <c r="N372" s="55"/>
      <c r="O372" s="55"/>
      <c r="P372" s="55"/>
      <c r="Q372" s="67"/>
      <c r="R372" s="67"/>
      <c r="S372" s="67"/>
      <c r="T372" s="67"/>
      <c r="U372" s="116"/>
    </row>
    <row r="373">
      <c r="A373" s="72"/>
      <c r="B373" s="95"/>
      <c r="C373" s="67"/>
      <c r="D373" s="55"/>
      <c r="E373" s="55"/>
      <c r="F373" s="55"/>
      <c r="G373" s="55"/>
      <c r="H373" s="55"/>
      <c r="I373" s="115"/>
      <c r="J373" s="55"/>
      <c r="K373" s="55"/>
      <c r="L373" s="55"/>
      <c r="M373" s="55"/>
      <c r="N373" s="55"/>
      <c r="O373" s="55"/>
      <c r="P373" s="55"/>
      <c r="Q373" s="67"/>
      <c r="R373" s="67"/>
      <c r="S373" s="67"/>
      <c r="T373" s="67"/>
      <c r="U373" s="116"/>
    </row>
    <row r="374">
      <c r="A374" s="72"/>
      <c r="B374" s="95"/>
      <c r="C374" s="67"/>
      <c r="D374" s="55"/>
      <c r="E374" s="55"/>
      <c r="F374" s="55"/>
      <c r="G374" s="55"/>
      <c r="H374" s="55"/>
      <c r="I374" s="115"/>
      <c r="J374" s="55"/>
      <c r="K374" s="55"/>
      <c r="L374" s="55"/>
      <c r="M374" s="55"/>
      <c r="N374" s="55"/>
      <c r="O374" s="55"/>
      <c r="P374" s="55"/>
      <c r="Q374" s="67"/>
      <c r="R374" s="67"/>
      <c r="S374" s="67"/>
      <c r="T374" s="67"/>
      <c r="U374" s="116"/>
    </row>
    <row r="375">
      <c r="A375" s="72"/>
      <c r="B375" s="95"/>
      <c r="C375" s="67"/>
      <c r="D375" s="55"/>
      <c r="E375" s="55"/>
      <c r="F375" s="55"/>
      <c r="G375" s="55"/>
      <c r="H375" s="55"/>
      <c r="I375" s="115"/>
      <c r="J375" s="55"/>
      <c r="K375" s="55"/>
      <c r="L375" s="55"/>
      <c r="M375" s="55"/>
      <c r="N375" s="55"/>
      <c r="O375" s="55"/>
      <c r="P375" s="55"/>
      <c r="Q375" s="67"/>
      <c r="R375" s="67"/>
      <c r="S375" s="67"/>
      <c r="T375" s="67"/>
      <c r="U375" s="116"/>
    </row>
    <row r="376">
      <c r="A376" s="72"/>
      <c r="B376" s="95"/>
      <c r="C376" s="67"/>
      <c r="D376" s="55"/>
      <c r="E376" s="55"/>
      <c r="F376" s="55"/>
      <c r="G376" s="55"/>
      <c r="H376" s="55"/>
      <c r="I376" s="115"/>
      <c r="J376" s="55"/>
      <c r="K376" s="55"/>
      <c r="L376" s="55"/>
      <c r="M376" s="55"/>
      <c r="N376" s="55"/>
      <c r="O376" s="55"/>
      <c r="P376" s="55"/>
      <c r="Q376" s="67"/>
      <c r="R376" s="67"/>
      <c r="S376" s="67"/>
      <c r="T376" s="67"/>
      <c r="U376" s="116"/>
    </row>
    <row r="377">
      <c r="A377" s="72"/>
      <c r="B377" s="95"/>
      <c r="C377" s="67"/>
      <c r="D377" s="55"/>
      <c r="E377" s="55"/>
      <c r="F377" s="55"/>
      <c r="G377" s="55"/>
      <c r="H377" s="55"/>
      <c r="I377" s="115"/>
      <c r="J377" s="55"/>
      <c r="K377" s="55"/>
      <c r="L377" s="55"/>
      <c r="M377" s="55"/>
      <c r="N377" s="55"/>
      <c r="O377" s="55"/>
      <c r="P377" s="55"/>
      <c r="Q377" s="67"/>
      <c r="R377" s="67"/>
      <c r="S377" s="67"/>
      <c r="T377" s="67"/>
      <c r="U377" s="116"/>
    </row>
    <row r="378">
      <c r="A378" s="72"/>
      <c r="B378" s="95"/>
      <c r="C378" s="67"/>
      <c r="D378" s="55"/>
      <c r="E378" s="55"/>
      <c r="F378" s="55"/>
      <c r="G378" s="55"/>
      <c r="H378" s="55"/>
      <c r="I378" s="115"/>
      <c r="J378" s="55"/>
      <c r="K378" s="55"/>
      <c r="L378" s="55"/>
      <c r="M378" s="55"/>
      <c r="N378" s="55"/>
      <c r="O378" s="55"/>
      <c r="P378" s="55"/>
      <c r="Q378" s="67"/>
      <c r="R378" s="67"/>
      <c r="S378" s="67"/>
      <c r="T378" s="67"/>
      <c r="U378" s="116"/>
    </row>
    <row r="379">
      <c r="A379" s="72"/>
      <c r="B379" s="95"/>
      <c r="C379" s="67"/>
      <c r="D379" s="55"/>
      <c r="E379" s="55"/>
      <c r="F379" s="55"/>
      <c r="G379" s="55"/>
      <c r="H379" s="55"/>
      <c r="I379" s="115"/>
      <c r="J379" s="55"/>
      <c r="K379" s="55"/>
      <c r="L379" s="55"/>
      <c r="M379" s="55"/>
      <c r="N379" s="55"/>
      <c r="O379" s="55"/>
      <c r="P379" s="55"/>
      <c r="Q379" s="67"/>
      <c r="R379" s="67"/>
      <c r="S379" s="67"/>
      <c r="T379" s="67"/>
      <c r="U379" s="116"/>
    </row>
    <row r="380">
      <c r="A380" s="72"/>
      <c r="B380" s="95"/>
      <c r="C380" s="67"/>
      <c r="D380" s="55"/>
      <c r="E380" s="55"/>
      <c r="F380" s="55"/>
      <c r="G380" s="55"/>
      <c r="H380" s="55"/>
      <c r="I380" s="115"/>
      <c r="J380" s="55"/>
      <c r="K380" s="55"/>
      <c r="L380" s="55"/>
      <c r="M380" s="55"/>
      <c r="N380" s="55"/>
      <c r="O380" s="55"/>
      <c r="P380" s="55"/>
      <c r="Q380" s="67"/>
      <c r="R380" s="67"/>
      <c r="S380" s="67"/>
      <c r="T380" s="67"/>
      <c r="U380" s="116"/>
    </row>
    <row r="381">
      <c r="A381" s="72"/>
      <c r="B381" s="95"/>
      <c r="C381" s="67"/>
      <c r="D381" s="55"/>
      <c r="E381" s="55"/>
      <c r="F381" s="55"/>
      <c r="G381" s="55"/>
      <c r="H381" s="55"/>
      <c r="I381" s="115"/>
      <c r="J381" s="55"/>
      <c r="K381" s="55"/>
      <c r="L381" s="55"/>
      <c r="M381" s="55"/>
      <c r="N381" s="55"/>
      <c r="O381" s="55"/>
      <c r="P381" s="55"/>
      <c r="Q381" s="67"/>
      <c r="R381" s="67"/>
      <c r="S381" s="67"/>
      <c r="T381" s="67"/>
      <c r="U381" s="116"/>
    </row>
    <row r="382">
      <c r="A382" s="72"/>
      <c r="B382" s="95"/>
      <c r="C382" s="67"/>
      <c r="D382" s="55"/>
      <c r="E382" s="55"/>
      <c r="F382" s="55"/>
      <c r="G382" s="55"/>
      <c r="H382" s="55"/>
      <c r="I382" s="115"/>
      <c r="J382" s="55"/>
      <c r="K382" s="55"/>
      <c r="L382" s="55"/>
      <c r="M382" s="55"/>
      <c r="N382" s="55"/>
      <c r="O382" s="55"/>
      <c r="P382" s="55"/>
      <c r="Q382" s="67"/>
      <c r="R382" s="67"/>
      <c r="S382" s="67"/>
      <c r="T382" s="67"/>
      <c r="U382" s="116"/>
    </row>
    <row r="383">
      <c r="A383" s="72"/>
      <c r="B383" s="95"/>
      <c r="C383" s="67"/>
      <c r="D383" s="55"/>
      <c r="E383" s="55"/>
      <c r="F383" s="55"/>
      <c r="G383" s="55"/>
      <c r="H383" s="55"/>
      <c r="I383" s="115"/>
      <c r="J383" s="55"/>
      <c r="K383" s="55"/>
      <c r="L383" s="55"/>
      <c r="M383" s="55"/>
      <c r="N383" s="55"/>
      <c r="O383" s="55"/>
      <c r="P383" s="55"/>
      <c r="Q383" s="67"/>
      <c r="R383" s="67"/>
      <c r="S383" s="67"/>
      <c r="T383" s="67"/>
      <c r="U383" s="116"/>
    </row>
    <row r="384">
      <c r="A384" s="72"/>
      <c r="B384" s="95"/>
      <c r="C384" s="67"/>
      <c r="D384" s="55"/>
      <c r="E384" s="55"/>
      <c r="F384" s="55"/>
      <c r="G384" s="55"/>
      <c r="H384" s="55"/>
      <c r="I384" s="115"/>
      <c r="J384" s="55"/>
      <c r="K384" s="55"/>
      <c r="L384" s="55"/>
      <c r="M384" s="55"/>
      <c r="N384" s="55"/>
      <c r="O384" s="55"/>
      <c r="P384" s="55"/>
      <c r="Q384" s="67"/>
      <c r="R384" s="67"/>
      <c r="S384" s="67"/>
      <c r="T384" s="67"/>
      <c r="U384" s="116"/>
    </row>
    <row r="385">
      <c r="A385" s="72"/>
      <c r="B385" s="95"/>
      <c r="C385" s="67"/>
      <c r="D385" s="55"/>
      <c r="E385" s="55"/>
      <c r="F385" s="55"/>
      <c r="G385" s="55"/>
      <c r="H385" s="55"/>
      <c r="I385" s="115"/>
      <c r="J385" s="55"/>
      <c r="K385" s="55"/>
      <c r="L385" s="55"/>
      <c r="M385" s="55"/>
      <c r="N385" s="55"/>
      <c r="O385" s="55"/>
      <c r="P385" s="55"/>
      <c r="Q385" s="67"/>
      <c r="R385" s="67"/>
      <c r="S385" s="67"/>
      <c r="T385" s="67"/>
      <c r="U385" s="116"/>
    </row>
    <row r="386">
      <c r="A386" s="72"/>
      <c r="B386" s="95"/>
      <c r="C386" s="67"/>
      <c r="D386" s="55"/>
      <c r="E386" s="55"/>
      <c r="F386" s="55"/>
      <c r="G386" s="55"/>
      <c r="H386" s="55"/>
      <c r="I386" s="115"/>
      <c r="J386" s="55"/>
      <c r="K386" s="55"/>
      <c r="L386" s="55"/>
      <c r="M386" s="55"/>
      <c r="N386" s="55"/>
      <c r="O386" s="55"/>
      <c r="P386" s="55"/>
      <c r="Q386" s="67"/>
      <c r="R386" s="67"/>
      <c r="S386" s="67"/>
      <c r="T386" s="67"/>
      <c r="U386" s="116"/>
    </row>
    <row r="387">
      <c r="A387" s="72"/>
      <c r="B387" s="95"/>
      <c r="C387" s="67"/>
      <c r="D387" s="55"/>
      <c r="E387" s="55"/>
      <c r="F387" s="55"/>
      <c r="G387" s="55"/>
      <c r="H387" s="55"/>
      <c r="I387" s="115"/>
      <c r="J387" s="55"/>
      <c r="K387" s="55"/>
      <c r="L387" s="55"/>
      <c r="M387" s="55"/>
      <c r="N387" s="55"/>
      <c r="O387" s="55"/>
      <c r="P387" s="55"/>
      <c r="Q387" s="67"/>
      <c r="R387" s="67"/>
      <c r="S387" s="67"/>
      <c r="T387" s="67"/>
      <c r="U387" s="116"/>
    </row>
    <row r="388">
      <c r="A388" s="72"/>
      <c r="B388" s="95"/>
      <c r="C388" s="67"/>
      <c r="D388" s="55"/>
      <c r="E388" s="55"/>
      <c r="F388" s="55"/>
      <c r="G388" s="55"/>
      <c r="H388" s="55"/>
      <c r="I388" s="115"/>
      <c r="J388" s="55"/>
      <c r="K388" s="55"/>
      <c r="L388" s="55"/>
      <c r="M388" s="55"/>
      <c r="N388" s="55"/>
      <c r="O388" s="55"/>
      <c r="P388" s="55"/>
      <c r="Q388" s="67"/>
      <c r="R388" s="67"/>
      <c r="S388" s="67"/>
      <c r="T388" s="67"/>
      <c r="U388" s="116"/>
    </row>
    <row r="389">
      <c r="A389" s="72"/>
      <c r="B389" s="95"/>
      <c r="C389" s="67"/>
      <c r="D389" s="55"/>
      <c r="E389" s="55"/>
      <c r="F389" s="55"/>
      <c r="G389" s="55"/>
      <c r="H389" s="55"/>
      <c r="I389" s="115"/>
      <c r="J389" s="55"/>
      <c r="K389" s="55"/>
      <c r="L389" s="55"/>
      <c r="M389" s="55"/>
      <c r="N389" s="55"/>
      <c r="O389" s="55"/>
      <c r="P389" s="55"/>
      <c r="Q389" s="67"/>
      <c r="R389" s="67"/>
      <c r="S389" s="67"/>
      <c r="T389" s="67"/>
      <c r="U389" s="116"/>
    </row>
    <row r="390">
      <c r="A390" s="72"/>
      <c r="B390" s="95"/>
      <c r="C390" s="67"/>
      <c r="D390" s="55"/>
      <c r="E390" s="55"/>
      <c r="F390" s="55"/>
      <c r="G390" s="55"/>
      <c r="H390" s="55"/>
      <c r="I390" s="115"/>
      <c r="J390" s="55"/>
      <c r="K390" s="55"/>
      <c r="L390" s="55"/>
      <c r="M390" s="55"/>
      <c r="N390" s="55"/>
      <c r="O390" s="55"/>
      <c r="P390" s="55"/>
      <c r="Q390" s="67"/>
      <c r="R390" s="67"/>
      <c r="S390" s="67"/>
      <c r="T390" s="67"/>
      <c r="U390" s="116"/>
    </row>
    <row r="391">
      <c r="A391" s="72"/>
      <c r="B391" s="95"/>
      <c r="C391" s="67"/>
      <c r="D391" s="55"/>
      <c r="E391" s="55"/>
      <c r="F391" s="55"/>
      <c r="G391" s="55"/>
      <c r="H391" s="55"/>
      <c r="I391" s="115"/>
      <c r="J391" s="55"/>
      <c r="K391" s="55"/>
      <c r="L391" s="55"/>
      <c r="M391" s="55"/>
      <c r="N391" s="55"/>
      <c r="O391" s="55"/>
      <c r="P391" s="55"/>
      <c r="Q391" s="67"/>
      <c r="R391" s="67"/>
      <c r="S391" s="67"/>
      <c r="T391" s="67"/>
      <c r="U391" s="116"/>
    </row>
    <row r="392">
      <c r="A392" s="72"/>
      <c r="B392" s="95"/>
      <c r="C392" s="67"/>
      <c r="D392" s="55"/>
      <c r="E392" s="55"/>
      <c r="F392" s="55"/>
      <c r="G392" s="55"/>
      <c r="H392" s="55"/>
      <c r="I392" s="115"/>
      <c r="J392" s="55"/>
      <c r="K392" s="55"/>
      <c r="L392" s="55"/>
      <c r="M392" s="55"/>
      <c r="N392" s="55"/>
      <c r="O392" s="55"/>
      <c r="P392" s="55"/>
      <c r="Q392" s="67"/>
      <c r="R392" s="67"/>
      <c r="S392" s="67"/>
      <c r="T392" s="67"/>
      <c r="U392" s="116"/>
    </row>
    <row r="393">
      <c r="A393" s="72"/>
      <c r="B393" s="95"/>
      <c r="C393" s="67"/>
      <c r="D393" s="55"/>
      <c r="E393" s="55"/>
      <c r="F393" s="55"/>
      <c r="G393" s="55"/>
      <c r="H393" s="55"/>
      <c r="I393" s="115"/>
      <c r="J393" s="55"/>
      <c r="K393" s="55"/>
      <c r="L393" s="55"/>
      <c r="M393" s="55"/>
      <c r="N393" s="55"/>
      <c r="O393" s="55"/>
      <c r="P393" s="55"/>
      <c r="Q393" s="67"/>
      <c r="R393" s="67"/>
      <c r="S393" s="67"/>
      <c r="T393" s="67"/>
      <c r="U393" s="116"/>
    </row>
    <row r="394">
      <c r="A394" s="72"/>
      <c r="B394" s="95"/>
      <c r="C394" s="67"/>
      <c r="D394" s="55"/>
      <c r="E394" s="55"/>
      <c r="F394" s="55"/>
      <c r="G394" s="55"/>
      <c r="H394" s="55"/>
      <c r="I394" s="115"/>
      <c r="J394" s="55"/>
      <c r="K394" s="55"/>
      <c r="L394" s="55"/>
      <c r="M394" s="55"/>
      <c r="N394" s="55"/>
      <c r="O394" s="55"/>
      <c r="P394" s="55"/>
      <c r="Q394" s="67"/>
      <c r="R394" s="67"/>
      <c r="S394" s="67"/>
      <c r="T394" s="67"/>
      <c r="U394" s="116"/>
    </row>
    <row r="395">
      <c r="A395" s="72"/>
      <c r="B395" s="95"/>
      <c r="C395" s="67"/>
      <c r="D395" s="55"/>
      <c r="E395" s="55"/>
      <c r="F395" s="55"/>
      <c r="G395" s="55"/>
      <c r="H395" s="55"/>
      <c r="I395" s="115"/>
      <c r="J395" s="55"/>
      <c r="K395" s="55"/>
      <c r="L395" s="55"/>
      <c r="M395" s="55"/>
      <c r="N395" s="55"/>
      <c r="O395" s="55"/>
      <c r="P395" s="55"/>
      <c r="Q395" s="67"/>
      <c r="R395" s="67"/>
      <c r="S395" s="67"/>
      <c r="T395" s="67"/>
      <c r="U395" s="116"/>
    </row>
    <row r="396">
      <c r="A396" s="72"/>
      <c r="B396" s="95"/>
      <c r="C396" s="67"/>
      <c r="D396" s="55"/>
      <c r="E396" s="55"/>
      <c r="F396" s="55"/>
      <c r="G396" s="55"/>
      <c r="H396" s="55"/>
      <c r="I396" s="115"/>
      <c r="J396" s="55"/>
      <c r="K396" s="55"/>
      <c r="L396" s="55"/>
      <c r="M396" s="55"/>
      <c r="N396" s="55"/>
      <c r="O396" s="55"/>
      <c r="P396" s="55"/>
      <c r="Q396" s="67"/>
      <c r="R396" s="67"/>
      <c r="S396" s="67"/>
      <c r="T396" s="67"/>
      <c r="U396" s="116"/>
    </row>
    <row r="397">
      <c r="A397" s="72"/>
      <c r="B397" s="95"/>
      <c r="C397" s="67"/>
      <c r="D397" s="55"/>
      <c r="E397" s="55"/>
      <c r="F397" s="55"/>
      <c r="G397" s="55"/>
      <c r="H397" s="55"/>
      <c r="I397" s="115"/>
      <c r="J397" s="55"/>
      <c r="K397" s="55"/>
      <c r="L397" s="55"/>
      <c r="M397" s="55"/>
      <c r="N397" s="55"/>
      <c r="O397" s="55"/>
      <c r="P397" s="55"/>
      <c r="Q397" s="67"/>
      <c r="R397" s="67"/>
      <c r="S397" s="67"/>
      <c r="T397" s="67"/>
      <c r="U397" s="116"/>
    </row>
    <row r="398">
      <c r="A398" s="72"/>
      <c r="B398" s="95"/>
      <c r="C398" s="67"/>
      <c r="D398" s="55"/>
      <c r="E398" s="55"/>
      <c r="F398" s="55"/>
      <c r="G398" s="55"/>
      <c r="H398" s="55"/>
      <c r="I398" s="115"/>
      <c r="J398" s="55"/>
      <c r="K398" s="55"/>
      <c r="L398" s="55"/>
      <c r="M398" s="55"/>
      <c r="N398" s="55"/>
      <c r="O398" s="55"/>
      <c r="P398" s="55"/>
      <c r="Q398" s="67"/>
      <c r="R398" s="67"/>
      <c r="S398" s="67"/>
      <c r="T398" s="67"/>
      <c r="U398" s="116"/>
    </row>
    <row r="399">
      <c r="A399" s="72"/>
      <c r="B399" s="95"/>
      <c r="C399" s="67"/>
      <c r="D399" s="55"/>
      <c r="E399" s="55"/>
      <c r="F399" s="55"/>
      <c r="G399" s="55"/>
      <c r="H399" s="55"/>
      <c r="I399" s="115"/>
      <c r="J399" s="55"/>
      <c r="K399" s="55"/>
      <c r="L399" s="55"/>
      <c r="M399" s="55"/>
      <c r="N399" s="55"/>
      <c r="O399" s="55"/>
      <c r="P399" s="55"/>
      <c r="Q399" s="67"/>
      <c r="R399" s="67"/>
      <c r="S399" s="67"/>
      <c r="T399" s="67"/>
      <c r="U399" s="116"/>
    </row>
    <row r="400">
      <c r="A400" s="72"/>
      <c r="B400" s="95"/>
      <c r="C400" s="67"/>
      <c r="D400" s="55"/>
      <c r="E400" s="55"/>
      <c r="F400" s="55"/>
      <c r="G400" s="55"/>
      <c r="H400" s="55"/>
      <c r="I400" s="115"/>
      <c r="J400" s="55"/>
      <c r="K400" s="55"/>
      <c r="L400" s="55"/>
      <c r="M400" s="55"/>
      <c r="N400" s="55"/>
      <c r="O400" s="55"/>
      <c r="P400" s="55"/>
      <c r="Q400" s="67"/>
      <c r="R400" s="67"/>
      <c r="S400" s="67"/>
      <c r="T400" s="67"/>
      <c r="U400" s="116"/>
    </row>
    <row r="401">
      <c r="A401" s="72"/>
      <c r="B401" s="95"/>
      <c r="C401" s="67"/>
      <c r="D401" s="55"/>
      <c r="E401" s="55"/>
      <c r="F401" s="55"/>
      <c r="G401" s="55"/>
      <c r="H401" s="55"/>
      <c r="I401" s="115"/>
      <c r="J401" s="55"/>
      <c r="K401" s="55"/>
      <c r="L401" s="55"/>
      <c r="M401" s="55"/>
      <c r="N401" s="55"/>
      <c r="O401" s="55"/>
      <c r="P401" s="55"/>
      <c r="Q401" s="67"/>
      <c r="R401" s="67"/>
      <c r="S401" s="67"/>
      <c r="T401" s="67"/>
      <c r="U401" s="116"/>
    </row>
    <row r="402">
      <c r="A402" s="72"/>
      <c r="B402" s="95"/>
      <c r="C402" s="67"/>
      <c r="D402" s="55"/>
      <c r="E402" s="55"/>
      <c r="F402" s="55"/>
      <c r="G402" s="55"/>
      <c r="H402" s="55"/>
      <c r="I402" s="115"/>
      <c r="J402" s="55"/>
      <c r="K402" s="55"/>
      <c r="L402" s="55"/>
      <c r="M402" s="55"/>
      <c r="N402" s="55"/>
      <c r="O402" s="55"/>
      <c r="P402" s="55"/>
      <c r="Q402" s="67"/>
      <c r="R402" s="67"/>
      <c r="S402" s="67"/>
      <c r="T402" s="67"/>
      <c r="U402" s="116"/>
    </row>
    <row r="403">
      <c r="A403" s="72"/>
      <c r="B403" s="95"/>
      <c r="C403" s="67"/>
      <c r="D403" s="55"/>
      <c r="E403" s="55"/>
      <c r="F403" s="55"/>
      <c r="G403" s="55"/>
      <c r="H403" s="55"/>
      <c r="I403" s="115"/>
      <c r="J403" s="55"/>
      <c r="K403" s="55"/>
      <c r="L403" s="55"/>
      <c r="M403" s="55"/>
      <c r="N403" s="55"/>
      <c r="O403" s="55"/>
      <c r="P403" s="55"/>
      <c r="Q403" s="67"/>
      <c r="R403" s="67"/>
      <c r="S403" s="67"/>
      <c r="T403" s="67"/>
      <c r="U403" s="116"/>
    </row>
    <row r="404">
      <c r="A404" s="72"/>
      <c r="B404" s="95"/>
      <c r="C404" s="67"/>
      <c r="D404" s="55"/>
      <c r="E404" s="55"/>
      <c r="F404" s="55"/>
      <c r="G404" s="55"/>
      <c r="H404" s="55"/>
      <c r="I404" s="115"/>
      <c r="J404" s="55"/>
      <c r="K404" s="55"/>
      <c r="L404" s="55"/>
      <c r="M404" s="55"/>
      <c r="N404" s="55"/>
      <c r="O404" s="55"/>
      <c r="P404" s="55"/>
      <c r="Q404" s="67"/>
      <c r="R404" s="67"/>
      <c r="S404" s="67"/>
      <c r="T404" s="67"/>
      <c r="U404" s="116"/>
    </row>
    <row r="405">
      <c r="A405" s="72"/>
      <c r="B405" s="95"/>
      <c r="C405" s="67"/>
      <c r="D405" s="55"/>
      <c r="E405" s="55"/>
      <c r="F405" s="55"/>
      <c r="G405" s="55"/>
      <c r="H405" s="55"/>
      <c r="I405" s="115"/>
      <c r="J405" s="55"/>
      <c r="K405" s="55"/>
      <c r="L405" s="55"/>
      <c r="M405" s="55"/>
      <c r="N405" s="55"/>
      <c r="O405" s="55"/>
      <c r="P405" s="55"/>
      <c r="Q405" s="67"/>
      <c r="R405" s="67"/>
      <c r="S405" s="67"/>
      <c r="T405" s="67"/>
      <c r="U405" s="116"/>
    </row>
    <row r="406">
      <c r="A406" s="72"/>
      <c r="B406" s="95"/>
      <c r="C406" s="67"/>
      <c r="D406" s="55"/>
      <c r="E406" s="55"/>
      <c r="F406" s="55"/>
      <c r="G406" s="55"/>
      <c r="H406" s="55"/>
      <c r="I406" s="115"/>
      <c r="J406" s="55"/>
      <c r="K406" s="55"/>
      <c r="L406" s="55"/>
      <c r="M406" s="55"/>
      <c r="N406" s="55"/>
      <c r="O406" s="55"/>
      <c r="P406" s="55"/>
      <c r="Q406" s="67"/>
      <c r="R406" s="67"/>
      <c r="S406" s="67"/>
      <c r="T406" s="67"/>
      <c r="U406" s="116"/>
    </row>
    <row r="407">
      <c r="A407" s="72"/>
      <c r="B407" s="95"/>
      <c r="C407" s="67"/>
      <c r="D407" s="55"/>
      <c r="E407" s="55"/>
      <c r="F407" s="55"/>
      <c r="G407" s="55"/>
      <c r="H407" s="55"/>
      <c r="I407" s="115"/>
      <c r="J407" s="55"/>
      <c r="K407" s="55"/>
      <c r="L407" s="55"/>
      <c r="M407" s="55"/>
      <c r="N407" s="55"/>
      <c r="O407" s="55"/>
      <c r="P407" s="55"/>
      <c r="Q407" s="67"/>
      <c r="R407" s="67"/>
      <c r="S407" s="67"/>
      <c r="T407" s="67"/>
      <c r="U407" s="116"/>
    </row>
    <row r="408">
      <c r="A408" s="72"/>
      <c r="B408" s="95"/>
      <c r="C408" s="67"/>
      <c r="D408" s="55"/>
      <c r="E408" s="55"/>
      <c r="F408" s="55"/>
      <c r="G408" s="55"/>
      <c r="H408" s="55"/>
      <c r="I408" s="115"/>
      <c r="J408" s="55"/>
      <c r="K408" s="55"/>
      <c r="L408" s="55"/>
      <c r="M408" s="55"/>
      <c r="N408" s="55"/>
      <c r="O408" s="55"/>
      <c r="P408" s="55"/>
      <c r="Q408" s="67"/>
      <c r="R408" s="67"/>
      <c r="S408" s="67"/>
      <c r="T408" s="67"/>
      <c r="U408" s="116"/>
    </row>
    <row r="409">
      <c r="A409" s="72"/>
      <c r="B409" s="95"/>
      <c r="C409" s="67"/>
      <c r="D409" s="55"/>
      <c r="E409" s="55"/>
      <c r="F409" s="55"/>
      <c r="G409" s="55"/>
      <c r="H409" s="55"/>
      <c r="I409" s="115"/>
      <c r="J409" s="55"/>
      <c r="K409" s="55"/>
      <c r="L409" s="55"/>
      <c r="M409" s="55"/>
      <c r="N409" s="55"/>
      <c r="O409" s="55"/>
      <c r="P409" s="55"/>
      <c r="Q409" s="67"/>
      <c r="R409" s="67"/>
      <c r="S409" s="67"/>
      <c r="T409" s="67"/>
      <c r="U409" s="116"/>
    </row>
    <row r="410">
      <c r="A410" s="72"/>
      <c r="B410" s="95"/>
      <c r="C410" s="67"/>
      <c r="D410" s="55"/>
      <c r="E410" s="55"/>
      <c r="F410" s="55"/>
      <c r="G410" s="55"/>
      <c r="H410" s="55"/>
      <c r="I410" s="115"/>
      <c r="J410" s="55"/>
      <c r="K410" s="55"/>
      <c r="L410" s="55"/>
      <c r="M410" s="55"/>
      <c r="N410" s="55"/>
      <c r="O410" s="55"/>
      <c r="P410" s="55"/>
      <c r="Q410" s="67"/>
      <c r="R410" s="67"/>
      <c r="S410" s="67"/>
      <c r="T410" s="67"/>
      <c r="U410" s="116"/>
    </row>
    <row r="411">
      <c r="A411" s="72"/>
      <c r="B411" s="95"/>
      <c r="C411" s="67"/>
      <c r="D411" s="55"/>
      <c r="E411" s="55"/>
      <c r="F411" s="55"/>
      <c r="G411" s="55"/>
      <c r="H411" s="55"/>
      <c r="I411" s="115"/>
      <c r="J411" s="55"/>
      <c r="K411" s="55"/>
      <c r="L411" s="55"/>
      <c r="M411" s="55"/>
      <c r="N411" s="55"/>
      <c r="O411" s="55"/>
      <c r="P411" s="55"/>
      <c r="Q411" s="67"/>
      <c r="R411" s="67"/>
      <c r="S411" s="67"/>
      <c r="T411" s="67"/>
      <c r="U411" s="116"/>
    </row>
    <row r="412">
      <c r="A412" s="72"/>
      <c r="B412" s="95"/>
      <c r="C412" s="67"/>
      <c r="D412" s="55"/>
      <c r="E412" s="55"/>
      <c r="F412" s="55"/>
      <c r="G412" s="55"/>
      <c r="H412" s="55"/>
      <c r="I412" s="115"/>
      <c r="J412" s="55"/>
      <c r="K412" s="55"/>
      <c r="L412" s="55"/>
      <c r="M412" s="55"/>
      <c r="N412" s="55"/>
      <c r="O412" s="55"/>
      <c r="P412" s="55"/>
      <c r="Q412" s="67"/>
      <c r="R412" s="67"/>
      <c r="S412" s="67"/>
      <c r="T412" s="67"/>
      <c r="U412" s="116"/>
    </row>
    <row r="413">
      <c r="A413" s="72"/>
      <c r="B413" s="95"/>
      <c r="C413" s="67"/>
      <c r="D413" s="55"/>
      <c r="E413" s="55"/>
      <c r="F413" s="55"/>
      <c r="G413" s="55"/>
      <c r="H413" s="55"/>
      <c r="I413" s="115"/>
      <c r="J413" s="55"/>
      <c r="K413" s="55"/>
      <c r="L413" s="55"/>
      <c r="M413" s="55"/>
      <c r="N413" s="55"/>
      <c r="O413" s="55"/>
      <c r="P413" s="55"/>
      <c r="Q413" s="67"/>
      <c r="R413" s="67"/>
      <c r="S413" s="67"/>
      <c r="T413" s="67"/>
      <c r="U413" s="116"/>
    </row>
    <row r="414">
      <c r="A414" s="72"/>
      <c r="B414" s="95"/>
      <c r="C414" s="67"/>
      <c r="D414" s="55"/>
      <c r="E414" s="55"/>
      <c r="F414" s="55"/>
      <c r="G414" s="55"/>
      <c r="H414" s="55"/>
      <c r="I414" s="115"/>
      <c r="J414" s="55"/>
      <c r="K414" s="55"/>
      <c r="L414" s="55"/>
      <c r="M414" s="55"/>
      <c r="N414" s="55"/>
      <c r="O414" s="55"/>
      <c r="P414" s="55"/>
      <c r="Q414" s="67"/>
      <c r="R414" s="67"/>
      <c r="S414" s="67"/>
      <c r="T414" s="67"/>
      <c r="U414" s="116"/>
    </row>
    <row r="415">
      <c r="A415" s="72"/>
      <c r="B415" s="95"/>
      <c r="C415" s="67"/>
      <c r="D415" s="55"/>
      <c r="E415" s="55"/>
      <c r="F415" s="55"/>
      <c r="G415" s="55"/>
      <c r="H415" s="55"/>
      <c r="I415" s="115"/>
      <c r="J415" s="55"/>
      <c r="K415" s="55"/>
      <c r="L415" s="55"/>
      <c r="M415" s="55"/>
      <c r="N415" s="55"/>
      <c r="O415" s="55"/>
      <c r="P415" s="55"/>
      <c r="Q415" s="67"/>
      <c r="R415" s="67"/>
      <c r="S415" s="67"/>
      <c r="T415" s="67"/>
      <c r="U415" s="116"/>
    </row>
    <row r="416">
      <c r="A416" s="72"/>
      <c r="B416" s="95"/>
      <c r="C416" s="67"/>
      <c r="D416" s="55"/>
      <c r="E416" s="55"/>
      <c r="F416" s="55"/>
      <c r="G416" s="55"/>
      <c r="H416" s="55"/>
      <c r="I416" s="115"/>
      <c r="J416" s="55"/>
      <c r="K416" s="55"/>
      <c r="L416" s="55"/>
      <c r="M416" s="55"/>
      <c r="N416" s="55"/>
      <c r="O416" s="55"/>
      <c r="P416" s="55"/>
      <c r="Q416" s="67"/>
      <c r="R416" s="67"/>
      <c r="S416" s="67"/>
      <c r="T416" s="67"/>
      <c r="U416" s="116"/>
    </row>
    <row r="417">
      <c r="A417" s="72"/>
      <c r="B417" s="95"/>
      <c r="C417" s="67"/>
      <c r="D417" s="55"/>
      <c r="E417" s="55"/>
      <c r="F417" s="55"/>
      <c r="G417" s="55"/>
      <c r="H417" s="55"/>
      <c r="I417" s="115"/>
      <c r="J417" s="55"/>
      <c r="K417" s="55"/>
      <c r="L417" s="55"/>
      <c r="M417" s="55"/>
      <c r="N417" s="55"/>
      <c r="O417" s="55"/>
      <c r="P417" s="55"/>
      <c r="Q417" s="67"/>
      <c r="R417" s="67"/>
      <c r="S417" s="67"/>
      <c r="T417" s="67"/>
      <c r="U417" s="116"/>
    </row>
    <row r="418">
      <c r="A418" s="72"/>
      <c r="B418" s="95"/>
      <c r="C418" s="67"/>
      <c r="D418" s="55"/>
      <c r="E418" s="55"/>
      <c r="F418" s="55"/>
      <c r="G418" s="55"/>
      <c r="H418" s="55"/>
      <c r="I418" s="115"/>
      <c r="J418" s="55"/>
      <c r="K418" s="55"/>
      <c r="L418" s="55"/>
      <c r="M418" s="55"/>
      <c r="N418" s="55"/>
      <c r="O418" s="55"/>
      <c r="P418" s="55"/>
      <c r="Q418" s="67"/>
      <c r="R418" s="67"/>
      <c r="S418" s="67"/>
      <c r="T418" s="67"/>
      <c r="U418" s="116"/>
    </row>
    <row r="419">
      <c r="A419" s="72"/>
      <c r="B419" s="95"/>
      <c r="C419" s="67"/>
      <c r="D419" s="55"/>
      <c r="E419" s="55"/>
      <c r="F419" s="55"/>
      <c r="G419" s="55"/>
      <c r="H419" s="55"/>
      <c r="I419" s="115"/>
      <c r="J419" s="55"/>
      <c r="K419" s="55"/>
      <c r="L419" s="55"/>
      <c r="M419" s="55"/>
      <c r="N419" s="55"/>
      <c r="O419" s="55"/>
      <c r="P419" s="55"/>
      <c r="Q419" s="67"/>
      <c r="R419" s="67"/>
      <c r="S419" s="67"/>
      <c r="T419" s="67"/>
      <c r="U419" s="116"/>
    </row>
    <row r="420">
      <c r="A420" s="72"/>
      <c r="B420" s="95"/>
      <c r="C420" s="67"/>
      <c r="D420" s="55"/>
      <c r="E420" s="55"/>
      <c r="F420" s="55"/>
      <c r="G420" s="55"/>
      <c r="H420" s="55"/>
      <c r="I420" s="115"/>
      <c r="J420" s="55"/>
      <c r="K420" s="55"/>
      <c r="L420" s="55"/>
      <c r="M420" s="55"/>
      <c r="N420" s="55"/>
      <c r="O420" s="55"/>
      <c r="P420" s="55"/>
      <c r="Q420" s="67"/>
      <c r="R420" s="67"/>
      <c r="S420" s="67"/>
      <c r="T420" s="67"/>
      <c r="U420" s="116"/>
    </row>
    <row r="421">
      <c r="A421" s="72"/>
      <c r="B421" s="95"/>
      <c r="C421" s="67"/>
      <c r="D421" s="55"/>
      <c r="E421" s="55"/>
      <c r="F421" s="55"/>
      <c r="G421" s="55"/>
      <c r="H421" s="55"/>
      <c r="I421" s="115"/>
      <c r="J421" s="55"/>
      <c r="K421" s="55"/>
      <c r="L421" s="55"/>
      <c r="M421" s="55"/>
      <c r="N421" s="55"/>
      <c r="O421" s="55"/>
      <c r="P421" s="55"/>
      <c r="Q421" s="67"/>
      <c r="R421" s="67"/>
      <c r="S421" s="67"/>
      <c r="T421" s="67"/>
      <c r="U421" s="116"/>
    </row>
    <row r="422">
      <c r="A422" s="72"/>
      <c r="B422" s="95"/>
      <c r="C422" s="67"/>
      <c r="D422" s="55"/>
      <c r="E422" s="55"/>
      <c r="F422" s="55"/>
      <c r="G422" s="55"/>
      <c r="H422" s="55"/>
      <c r="I422" s="115"/>
      <c r="J422" s="55"/>
      <c r="K422" s="55"/>
      <c r="L422" s="55"/>
      <c r="M422" s="55"/>
      <c r="N422" s="55"/>
      <c r="O422" s="55"/>
      <c r="P422" s="55"/>
      <c r="Q422" s="67"/>
      <c r="R422" s="67"/>
      <c r="S422" s="67"/>
      <c r="T422" s="67"/>
      <c r="U422" s="116"/>
    </row>
    <row r="423">
      <c r="A423" s="72"/>
      <c r="B423" s="95"/>
      <c r="C423" s="67"/>
      <c r="D423" s="55"/>
      <c r="E423" s="55"/>
      <c r="F423" s="55"/>
      <c r="G423" s="55"/>
      <c r="H423" s="55"/>
      <c r="I423" s="115"/>
      <c r="J423" s="55"/>
      <c r="K423" s="55"/>
      <c r="L423" s="55"/>
      <c r="M423" s="55"/>
      <c r="N423" s="55"/>
      <c r="O423" s="55"/>
      <c r="P423" s="55"/>
      <c r="Q423" s="67"/>
      <c r="R423" s="67"/>
      <c r="S423" s="67"/>
      <c r="T423" s="67"/>
      <c r="U423" s="116"/>
    </row>
    <row r="424">
      <c r="A424" s="72"/>
      <c r="B424" s="95"/>
      <c r="C424" s="67"/>
      <c r="D424" s="55"/>
      <c r="E424" s="55"/>
      <c r="F424" s="55"/>
      <c r="G424" s="55"/>
      <c r="H424" s="55"/>
      <c r="I424" s="115"/>
      <c r="J424" s="55"/>
      <c r="K424" s="55"/>
      <c r="L424" s="55"/>
      <c r="M424" s="55"/>
      <c r="N424" s="55"/>
      <c r="O424" s="55"/>
      <c r="P424" s="55"/>
      <c r="Q424" s="67"/>
      <c r="R424" s="67"/>
      <c r="S424" s="67"/>
      <c r="T424" s="67"/>
      <c r="U424" s="116"/>
    </row>
    <row r="425">
      <c r="A425" s="72"/>
      <c r="B425" s="95"/>
      <c r="C425" s="67"/>
      <c r="D425" s="55"/>
      <c r="E425" s="55"/>
      <c r="F425" s="55"/>
      <c r="G425" s="55"/>
      <c r="H425" s="55"/>
      <c r="I425" s="115"/>
      <c r="J425" s="55"/>
      <c r="K425" s="55"/>
      <c r="L425" s="55"/>
      <c r="M425" s="55"/>
      <c r="N425" s="55"/>
      <c r="O425" s="55"/>
      <c r="P425" s="55"/>
      <c r="Q425" s="67"/>
      <c r="R425" s="67"/>
      <c r="S425" s="67"/>
      <c r="T425" s="67"/>
      <c r="U425" s="116"/>
    </row>
    <row r="426">
      <c r="A426" s="72"/>
      <c r="B426" s="95"/>
      <c r="C426" s="67"/>
      <c r="D426" s="55"/>
      <c r="E426" s="55"/>
      <c r="F426" s="55"/>
      <c r="G426" s="55"/>
      <c r="H426" s="55"/>
      <c r="I426" s="115"/>
      <c r="J426" s="55"/>
      <c r="K426" s="55"/>
      <c r="L426" s="55"/>
      <c r="M426" s="55"/>
      <c r="N426" s="55"/>
      <c r="O426" s="55"/>
      <c r="P426" s="55"/>
      <c r="Q426" s="67"/>
      <c r="R426" s="67"/>
      <c r="S426" s="67"/>
      <c r="T426" s="67"/>
      <c r="U426" s="116"/>
    </row>
    <row r="427">
      <c r="A427" s="72"/>
      <c r="B427" s="95"/>
      <c r="C427" s="67"/>
      <c r="D427" s="55"/>
      <c r="E427" s="55"/>
      <c r="F427" s="55"/>
      <c r="G427" s="55"/>
      <c r="H427" s="55"/>
      <c r="I427" s="115"/>
      <c r="J427" s="55"/>
      <c r="K427" s="55"/>
      <c r="L427" s="55"/>
      <c r="M427" s="55"/>
      <c r="N427" s="55"/>
      <c r="O427" s="55"/>
      <c r="P427" s="55"/>
      <c r="Q427" s="67"/>
      <c r="R427" s="67"/>
      <c r="S427" s="67"/>
      <c r="T427" s="67"/>
      <c r="U427" s="116"/>
    </row>
    <row r="428">
      <c r="A428" s="72"/>
      <c r="B428" s="95"/>
      <c r="C428" s="67"/>
      <c r="D428" s="55"/>
      <c r="E428" s="55"/>
      <c r="F428" s="55"/>
      <c r="G428" s="55"/>
      <c r="H428" s="55"/>
      <c r="I428" s="115"/>
      <c r="J428" s="55"/>
      <c r="K428" s="55"/>
      <c r="L428" s="55"/>
      <c r="M428" s="55"/>
      <c r="N428" s="55"/>
      <c r="O428" s="55"/>
      <c r="P428" s="55"/>
      <c r="Q428" s="67"/>
      <c r="R428" s="67"/>
      <c r="S428" s="67"/>
      <c r="T428" s="67"/>
      <c r="U428" s="116"/>
    </row>
    <row r="429">
      <c r="A429" s="72"/>
      <c r="B429" s="95"/>
      <c r="C429" s="67"/>
      <c r="D429" s="55"/>
      <c r="E429" s="55"/>
      <c r="F429" s="55"/>
      <c r="G429" s="55"/>
      <c r="H429" s="55"/>
      <c r="I429" s="115"/>
      <c r="J429" s="55"/>
      <c r="K429" s="55"/>
      <c r="L429" s="55"/>
      <c r="M429" s="55"/>
      <c r="N429" s="55"/>
      <c r="O429" s="55"/>
      <c r="P429" s="55"/>
      <c r="Q429" s="67"/>
      <c r="R429" s="67"/>
      <c r="S429" s="67"/>
      <c r="T429" s="67"/>
      <c r="U429" s="116"/>
    </row>
    <row r="430">
      <c r="A430" s="72"/>
      <c r="B430" s="95"/>
      <c r="C430" s="67"/>
      <c r="D430" s="55"/>
      <c r="E430" s="55"/>
      <c r="F430" s="55"/>
      <c r="G430" s="55"/>
      <c r="H430" s="55"/>
      <c r="I430" s="115"/>
      <c r="J430" s="55"/>
      <c r="K430" s="55"/>
      <c r="L430" s="55"/>
      <c r="M430" s="55"/>
      <c r="N430" s="55"/>
      <c r="O430" s="55"/>
      <c r="P430" s="55"/>
      <c r="Q430" s="67"/>
      <c r="R430" s="67"/>
      <c r="S430" s="67"/>
      <c r="T430" s="67"/>
      <c r="U430" s="116"/>
    </row>
    <row r="431">
      <c r="A431" s="72"/>
      <c r="B431" s="95"/>
      <c r="C431" s="67"/>
      <c r="D431" s="55"/>
      <c r="E431" s="55"/>
      <c r="F431" s="55"/>
      <c r="G431" s="55"/>
      <c r="H431" s="55"/>
      <c r="I431" s="115"/>
      <c r="J431" s="55"/>
      <c r="K431" s="55"/>
      <c r="L431" s="55"/>
      <c r="M431" s="55"/>
      <c r="N431" s="55"/>
      <c r="O431" s="55"/>
      <c r="P431" s="55"/>
      <c r="Q431" s="67"/>
      <c r="R431" s="67"/>
      <c r="S431" s="67"/>
      <c r="T431" s="67"/>
      <c r="U431" s="116"/>
    </row>
    <row r="432">
      <c r="A432" s="72"/>
      <c r="B432" s="95"/>
      <c r="C432" s="67"/>
      <c r="D432" s="55"/>
      <c r="E432" s="55"/>
      <c r="F432" s="55"/>
      <c r="G432" s="55"/>
      <c r="H432" s="55"/>
      <c r="I432" s="115"/>
      <c r="J432" s="55"/>
      <c r="K432" s="55"/>
      <c r="L432" s="55"/>
      <c r="M432" s="55"/>
      <c r="N432" s="55"/>
      <c r="O432" s="55"/>
      <c r="P432" s="55"/>
      <c r="Q432" s="67"/>
      <c r="R432" s="67"/>
      <c r="S432" s="67"/>
      <c r="T432" s="67"/>
      <c r="U432" s="116"/>
    </row>
    <row r="433">
      <c r="A433" s="72"/>
      <c r="B433" s="95"/>
      <c r="C433" s="67"/>
      <c r="D433" s="55"/>
      <c r="E433" s="55"/>
      <c r="F433" s="55"/>
      <c r="G433" s="55"/>
      <c r="H433" s="55"/>
      <c r="I433" s="115"/>
      <c r="J433" s="55"/>
      <c r="K433" s="55"/>
      <c r="L433" s="55"/>
      <c r="M433" s="55"/>
      <c r="N433" s="55"/>
      <c r="O433" s="55"/>
      <c r="P433" s="55"/>
      <c r="Q433" s="67"/>
      <c r="R433" s="67"/>
      <c r="S433" s="67"/>
      <c r="T433" s="67"/>
      <c r="U433" s="116"/>
    </row>
    <row r="434">
      <c r="A434" s="72"/>
      <c r="B434" s="95"/>
      <c r="C434" s="67"/>
      <c r="D434" s="55"/>
      <c r="E434" s="55"/>
      <c r="F434" s="55"/>
      <c r="G434" s="55"/>
      <c r="H434" s="55"/>
      <c r="I434" s="115"/>
      <c r="J434" s="55"/>
      <c r="K434" s="55"/>
      <c r="L434" s="55"/>
      <c r="M434" s="55"/>
      <c r="N434" s="55"/>
      <c r="O434" s="55"/>
      <c r="P434" s="55"/>
      <c r="Q434" s="67"/>
      <c r="R434" s="67"/>
      <c r="S434" s="67"/>
      <c r="T434" s="67"/>
      <c r="U434" s="116"/>
    </row>
    <row r="435">
      <c r="A435" s="72"/>
      <c r="B435" s="95"/>
      <c r="C435" s="67"/>
      <c r="D435" s="55"/>
      <c r="E435" s="55"/>
      <c r="F435" s="55"/>
      <c r="G435" s="55"/>
      <c r="H435" s="55"/>
      <c r="I435" s="115"/>
      <c r="J435" s="55"/>
      <c r="K435" s="55"/>
      <c r="L435" s="55"/>
      <c r="M435" s="55"/>
      <c r="N435" s="55"/>
      <c r="O435" s="55"/>
      <c r="P435" s="55"/>
      <c r="Q435" s="67"/>
      <c r="R435" s="67"/>
      <c r="S435" s="67"/>
      <c r="T435" s="67"/>
      <c r="U435" s="116"/>
    </row>
    <row r="436">
      <c r="A436" s="72"/>
      <c r="B436" s="95"/>
      <c r="C436" s="67"/>
      <c r="D436" s="55"/>
      <c r="E436" s="55"/>
      <c r="F436" s="55"/>
      <c r="G436" s="55"/>
      <c r="H436" s="55"/>
      <c r="I436" s="115"/>
      <c r="J436" s="55"/>
      <c r="K436" s="55"/>
      <c r="L436" s="55"/>
      <c r="M436" s="55"/>
      <c r="N436" s="55"/>
      <c r="O436" s="55"/>
      <c r="P436" s="55"/>
      <c r="Q436" s="67"/>
      <c r="R436" s="67"/>
      <c r="S436" s="67"/>
      <c r="T436" s="67"/>
      <c r="U436" s="116"/>
    </row>
    <row r="437">
      <c r="A437" s="72"/>
      <c r="B437" s="95"/>
      <c r="C437" s="67"/>
      <c r="D437" s="55"/>
      <c r="E437" s="55"/>
      <c r="F437" s="55"/>
      <c r="G437" s="55"/>
      <c r="H437" s="55"/>
      <c r="I437" s="115"/>
      <c r="J437" s="55"/>
      <c r="K437" s="55"/>
      <c r="L437" s="55"/>
      <c r="M437" s="55"/>
      <c r="N437" s="55"/>
      <c r="O437" s="55"/>
      <c r="P437" s="55"/>
      <c r="Q437" s="67"/>
      <c r="R437" s="67"/>
      <c r="S437" s="67"/>
      <c r="T437" s="67"/>
      <c r="U437" s="116"/>
    </row>
    <row r="438">
      <c r="A438" s="72"/>
      <c r="B438" s="95"/>
      <c r="C438" s="67"/>
      <c r="D438" s="55"/>
      <c r="E438" s="55"/>
      <c r="F438" s="55"/>
      <c r="G438" s="55"/>
      <c r="H438" s="55"/>
      <c r="I438" s="115"/>
      <c r="J438" s="55"/>
      <c r="K438" s="55"/>
      <c r="L438" s="55"/>
      <c r="M438" s="55"/>
      <c r="N438" s="55"/>
      <c r="O438" s="55"/>
      <c r="P438" s="55"/>
      <c r="Q438" s="67"/>
      <c r="R438" s="67"/>
      <c r="S438" s="67"/>
      <c r="T438" s="67"/>
      <c r="U438" s="116"/>
    </row>
    <row r="439">
      <c r="A439" s="72"/>
      <c r="B439" s="95"/>
      <c r="C439" s="67"/>
      <c r="D439" s="55"/>
      <c r="E439" s="55"/>
      <c r="F439" s="55"/>
      <c r="G439" s="55"/>
      <c r="H439" s="55"/>
      <c r="I439" s="115"/>
      <c r="J439" s="55"/>
      <c r="K439" s="55"/>
      <c r="L439" s="55"/>
      <c r="M439" s="55"/>
      <c r="N439" s="55"/>
      <c r="O439" s="55"/>
      <c r="P439" s="55"/>
      <c r="Q439" s="67"/>
      <c r="R439" s="67"/>
      <c r="S439" s="67"/>
      <c r="T439" s="67"/>
      <c r="U439" s="116"/>
    </row>
    <row r="440">
      <c r="A440" s="72"/>
      <c r="B440" s="95"/>
      <c r="C440" s="67"/>
      <c r="D440" s="55"/>
      <c r="E440" s="55"/>
      <c r="F440" s="55"/>
      <c r="G440" s="55"/>
      <c r="H440" s="55"/>
      <c r="I440" s="115"/>
      <c r="J440" s="55"/>
      <c r="K440" s="55"/>
      <c r="L440" s="55"/>
      <c r="M440" s="55"/>
      <c r="N440" s="55"/>
      <c r="O440" s="55"/>
      <c r="P440" s="55"/>
      <c r="Q440" s="67"/>
      <c r="R440" s="67"/>
      <c r="S440" s="67"/>
      <c r="T440" s="67"/>
      <c r="U440" s="116"/>
    </row>
    <row r="441">
      <c r="A441" s="72"/>
      <c r="B441" s="95"/>
      <c r="C441" s="67"/>
      <c r="D441" s="55"/>
      <c r="E441" s="55"/>
      <c r="F441" s="55"/>
      <c r="G441" s="55"/>
      <c r="H441" s="55"/>
      <c r="I441" s="115"/>
      <c r="J441" s="55"/>
      <c r="K441" s="55"/>
      <c r="L441" s="55"/>
      <c r="M441" s="55"/>
      <c r="N441" s="55"/>
      <c r="O441" s="55"/>
      <c r="P441" s="55"/>
      <c r="Q441" s="67"/>
      <c r="R441" s="67"/>
      <c r="S441" s="67"/>
      <c r="T441" s="67"/>
      <c r="U441" s="116"/>
    </row>
    <row r="442">
      <c r="A442" s="72"/>
      <c r="B442" s="95"/>
      <c r="C442" s="67"/>
      <c r="D442" s="55"/>
      <c r="E442" s="55"/>
      <c r="F442" s="55"/>
      <c r="G442" s="55"/>
      <c r="H442" s="55"/>
      <c r="I442" s="115"/>
      <c r="J442" s="55"/>
      <c r="K442" s="55"/>
      <c r="L442" s="55"/>
      <c r="M442" s="55"/>
      <c r="N442" s="55"/>
      <c r="O442" s="55"/>
      <c r="P442" s="55"/>
      <c r="Q442" s="67"/>
      <c r="R442" s="67"/>
      <c r="S442" s="67"/>
      <c r="T442" s="67"/>
      <c r="U442" s="116"/>
    </row>
    <row r="443">
      <c r="A443" s="72"/>
      <c r="B443" s="95"/>
      <c r="C443" s="67"/>
      <c r="D443" s="55"/>
      <c r="E443" s="55"/>
      <c r="F443" s="55"/>
      <c r="G443" s="55"/>
      <c r="H443" s="55"/>
      <c r="I443" s="115"/>
      <c r="J443" s="55"/>
      <c r="K443" s="55"/>
      <c r="L443" s="55"/>
      <c r="M443" s="55"/>
      <c r="N443" s="55"/>
      <c r="O443" s="55"/>
      <c r="P443" s="55"/>
      <c r="Q443" s="67"/>
      <c r="R443" s="67"/>
      <c r="S443" s="67"/>
      <c r="T443" s="67"/>
      <c r="U443" s="116"/>
    </row>
    <row r="444">
      <c r="A444" s="72"/>
      <c r="B444" s="95"/>
      <c r="C444" s="67"/>
      <c r="D444" s="55"/>
      <c r="E444" s="55"/>
      <c r="F444" s="55"/>
      <c r="G444" s="55"/>
      <c r="H444" s="55"/>
      <c r="I444" s="115"/>
      <c r="J444" s="55"/>
      <c r="K444" s="55"/>
      <c r="L444" s="55"/>
      <c r="M444" s="55"/>
      <c r="N444" s="55"/>
      <c r="O444" s="55"/>
      <c r="P444" s="55"/>
      <c r="Q444" s="67"/>
      <c r="R444" s="67"/>
      <c r="S444" s="67"/>
      <c r="T444" s="67"/>
      <c r="U444" s="116"/>
    </row>
    <row r="445">
      <c r="A445" s="72"/>
      <c r="B445" s="95"/>
      <c r="C445" s="67"/>
      <c r="D445" s="55"/>
      <c r="E445" s="55"/>
      <c r="F445" s="55"/>
      <c r="G445" s="55"/>
      <c r="H445" s="55"/>
      <c r="I445" s="115"/>
      <c r="J445" s="55"/>
      <c r="K445" s="55"/>
      <c r="L445" s="55"/>
      <c r="M445" s="55"/>
      <c r="N445" s="55"/>
      <c r="O445" s="55"/>
      <c r="P445" s="55"/>
      <c r="Q445" s="67"/>
      <c r="R445" s="67"/>
      <c r="S445" s="67"/>
      <c r="T445" s="67"/>
      <c r="U445" s="116"/>
    </row>
    <row r="446">
      <c r="A446" s="72"/>
      <c r="B446" s="95"/>
      <c r="C446" s="67"/>
      <c r="D446" s="55"/>
      <c r="E446" s="55"/>
      <c r="F446" s="55"/>
      <c r="G446" s="55"/>
      <c r="H446" s="55"/>
      <c r="I446" s="115"/>
      <c r="J446" s="55"/>
      <c r="K446" s="55"/>
      <c r="L446" s="55"/>
      <c r="M446" s="55"/>
      <c r="N446" s="55"/>
      <c r="O446" s="55"/>
      <c r="P446" s="55"/>
      <c r="Q446" s="67"/>
      <c r="R446" s="67"/>
      <c r="S446" s="67"/>
      <c r="T446" s="67"/>
      <c r="U446" s="116"/>
    </row>
    <row r="447">
      <c r="A447" s="72"/>
      <c r="B447" s="95"/>
      <c r="C447" s="67"/>
      <c r="D447" s="55"/>
      <c r="E447" s="55"/>
      <c r="F447" s="55"/>
      <c r="G447" s="55"/>
      <c r="H447" s="55"/>
      <c r="I447" s="115"/>
      <c r="J447" s="55"/>
      <c r="K447" s="55"/>
      <c r="L447" s="55"/>
      <c r="M447" s="55"/>
      <c r="N447" s="55"/>
      <c r="O447" s="55"/>
      <c r="P447" s="55"/>
      <c r="Q447" s="67"/>
      <c r="R447" s="67"/>
      <c r="S447" s="67"/>
      <c r="T447" s="67"/>
      <c r="U447" s="116"/>
    </row>
    <row r="448">
      <c r="A448" s="72"/>
      <c r="B448" s="95"/>
      <c r="C448" s="67"/>
      <c r="D448" s="55"/>
      <c r="E448" s="55"/>
      <c r="F448" s="55"/>
      <c r="G448" s="55"/>
      <c r="H448" s="55"/>
      <c r="I448" s="115"/>
      <c r="J448" s="55"/>
      <c r="K448" s="55"/>
      <c r="L448" s="55"/>
      <c r="M448" s="55"/>
      <c r="N448" s="55"/>
      <c r="O448" s="55"/>
      <c r="P448" s="55"/>
      <c r="Q448" s="67"/>
      <c r="R448" s="67"/>
      <c r="S448" s="67"/>
      <c r="T448" s="67"/>
      <c r="U448" s="116"/>
    </row>
    <row r="449">
      <c r="A449" s="72"/>
      <c r="B449" s="95"/>
      <c r="C449" s="67"/>
      <c r="D449" s="55"/>
      <c r="E449" s="55"/>
      <c r="F449" s="55"/>
      <c r="G449" s="55"/>
      <c r="H449" s="55"/>
      <c r="I449" s="115"/>
      <c r="J449" s="55"/>
      <c r="K449" s="55"/>
      <c r="L449" s="55"/>
      <c r="M449" s="55"/>
      <c r="N449" s="55"/>
      <c r="O449" s="55"/>
      <c r="P449" s="55"/>
      <c r="Q449" s="67"/>
      <c r="R449" s="67"/>
      <c r="S449" s="67"/>
      <c r="T449" s="67"/>
      <c r="U449" s="116"/>
    </row>
    <row r="450">
      <c r="A450" s="72"/>
      <c r="B450" s="95"/>
      <c r="C450" s="67"/>
      <c r="D450" s="55"/>
      <c r="E450" s="55"/>
      <c r="F450" s="55"/>
      <c r="G450" s="55"/>
      <c r="H450" s="55"/>
      <c r="I450" s="115"/>
      <c r="J450" s="55"/>
      <c r="K450" s="55"/>
      <c r="L450" s="55"/>
      <c r="M450" s="55"/>
      <c r="N450" s="55"/>
      <c r="O450" s="55"/>
      <c r="P450" s="55"/>
      <c r="Q450" s="67"/>
      <c r="R450" s="67"/>
      <c r="S450" s="67"/>
      <c r="T450" s="67"/>
      <c r="U450" s="116"/>
    </row>
    <row r="451">
      <c r="A451" s="72"/>
      <c r="B451" s="95"/>
      <c r="C451" s="67"/>
      <c r="D451" s="55"/>
      <c r="E451" s="55"/>
      <c r="F451" s="55"/>
      <c r="G451" s="55"/>
      <c r="H451" s="55"/>
      <c r="I451" s="115"/>
      <c r="J451" s="55"/>
      <c r="K451" s="55"/>
      <c r="L451" s="55"/>
      <c r="M451" s="55"/>
      <c r="N451" s="55"/>
      <c r="O451" s="55"/>
      <c r="P451" s="55"/>
      <c r="Q451" s="67"/>
      <c r="R451" s="67"/>
      <c r="S451" s="67"/>
      <c r="T451" s="67"/>
      <c r="U451" s="116"/>
    </row>
    <row r="452">
      <c r="A452" s="72"/>
      <c r="B452" s="95"/>
      <c r="C452" s="67"/>
      <c r="D452" s="55"/>
      <c r="E452" s="55"/>
      <c r="F452" s="55"/>
      <c r="G452" s="55"/>
      <c r="H452" s="55"/>
      <c r="I452" s="115"/>
      <c r="J452" s="55"/>
      <c r="K452" s="55"/>
      <c r="L452" s="55"/>
      <c r="M452" s="55"/>
      <c r="N452" s="55"/>
      <c r="O452" s="55"/>
      <c r="P452" s="55"/>
      <c r="Q452" s="67"/>
      <c r="R452" s="67"/>
      <c r="S452" s="67"/>
      <c r="T452" s="67"/>
      <c r="U452" s="116"/>
    </row>
    <row r="453">
      <c r="A453" s="72"/>
      <c r="B453" s="95"/>
      <c r="C453" s="67"/>
      <c r="D453" s="55"/>
      <c r="E453" s="55"/>
      <c r="F453" s="55"/>
      <c r="G453" s="55"/>
      <c r="H453" s="55"/>
      <c r="I453" s="115"/>
      <c r="J453" s="55"/>
      <c r="K453" s="55"/>
      <c r="L453" s="55"/>
      <c r="M453" s="55"/>
      <c r="N453" s="55"/>
      <c r="O453" s="55"/>
      <c r="P453" s="55"/>
      <c r="Q453" s="67"/>
      <c r="R453" s="67"/>
      <c r="S453" s="67"/>
      <c r="T453" s="67"/>
      <c r="U453" s="116"/>
    </row>
    <row r="454">
      <c r="A454" s="72"/>
      <c r="B454" s="95"/>
      <c r="C454" s="67"/>
      <c r="D454" s="55"/>
      <c r="E454" s="55"/>
      <c r="F454" s="55"/>
      <c r="G454" s="55"/>
      <c r="H454" s="55"/>
      <c r="I454" s="115"/>
      <c r="J454" s="55"/>
      <c r="K454" s="55"/>
      <c r="L454" s="55"/>
      <c r="M454" s="55"/>
      <c r="N454" s="55"/>
      <c r="O454" s="55"/>
      <c r="P454" s="55"/>
      <c r="Q454" s="67"/>
      <c r="R454" s="67"/>
      <c r="S454" s="67"/>
      <c r="T454" s="67"/>
      <c r="U454" s="116"/>
    </row>
    <row r="455">
      <c r="A455" s="72"/>
      <c r="B455" s="95"/>
      <c r="C455" s="67"/>
      <c r="D455" s="55"/>
      <c r="E455" s="55"/>
      <c r="F455" s="55"/>
      <c r="G455" s="55"/>
      <c r="H455" s="55"/>
      <c r="I455" s="115"/>
      <c r="J455" s="55"/>
      <c r="K455" s="55"/>
      <c r="L455" s="55"/>
      <c r="M455" s="55"/>
      <c r="N455" s="55"/>
      <c r="O455" s="55"/>
      <c r="P455" s="55"/>
      <c r="Q455" s="67"/>
      <c r="R455" s="67"/>
      <c r="S455" s="67"/>
      <c r="T455" s="67"/>
      <c r="U455" s="116"/>
    </row>
    <row r="456">
      <c r="A456" s="72"/>
      <c r="B456" s="95"/>
      <c r="C456" s="67"/>
      <c r="D456" s="55"/>
      <c r="E456" s="55"/>
      <c r="F456" s="55"/>
      <c r="G456" s="55"/>
      <c r="H456" s="55"/>
      <c r="I456" s="115"/>
      <c r="J456" s="55"/>
      <c r="K456" s="55"/>
      <c r="L456" s="55"/>
      <c r="M456" s="55"/>
      <c r="N456" s="55"/>
      <c r="O456" s="55"/>
      <c r="P456" s="55"/>
      <c r="Q456" s="67"/>
      <c r="R456" s="67"/>
      <c r="S456" s="67"/>
      <c r="T456" s="67"/>
      <c r="U456" s="116"/>
    </row>
    <row r="457">
      <c r="A457" s="72"/>
      <c r="B457" s="95"/>
      <c r="C457" s="67"/>
      <c r="D457" s="55"/>
      <c r="E457" s="55"/>
      <c r="F457" s="55"/>
      <c r="G457" s="55"/>
      <c r="H457" s="55"/>
      <c r="I457" s="115"/>
      <c r="J457" s="55"/>
      <c r="K457" s="55"/>
      <c r="L457" s="55"/>
      <c r="M457" s="55"/>
      <c r="N457" s="55"/>
      <c r="O457" s="55"/>
      <c r="P457" s="55"/>
      <c r="Q457" s="67"/>
      <c r="R457" s="67"/>
      <c r="S457" s="67"/>
      <c r="T457" s="67"/>
      <c r="U457" s="116"/>
    </row>
    <row r="458">
      <c r="A458" s="72"/>
      <c r="B458" s="95"/>
      <c r="C458" s="67"/>
      <c r="D458" s="55"/>
      <c r="E458" s="55"/>
      <c r="F458" s="55"/>
      <c r="G458" s="55"/>
      <c r="H458" s="55"/>
      <c r="I458" s="115"/>
      <c r="J458" s="55"/>
      <c r="K458" s="55"/>
      <c r="L458" s="55"/>
      <c r="M458" s="55"/>
      <c r="N458" s="55"/>
      <c r="O458" s="55"/>
      <c r="P458" s="55"/>
      <c r="Q458" s="67"/>
      <c r="R458" s="67"/>
      <c r="S458" s="67"/>
      <c r="T458" s="67"/>
      <c r="U458" s="116"/>
    </row>
    <row r="459">
      <c r="A459" s="72"/>
      <c r="B459" s="95"/>
      <c r="C459" s="67"/>
      <c r="D459" s="55"/>
      <c r="E459" s="55"/>
      <c r="F459" s="55"/>
      <c r="G459" s="55"/>
      <c r="H459" s="55"/>
      <c r="I459" s="115"/>
      <c r="J459" s="55"/>
      <c r="K459" s="55"/>
      <c r="L459" s="55"/>
      <c r="M459" s="55"/>
      <c r="N459" s="55"/>
      <c r="O459" s="55"/>
      <c r="P459" s="55"/>
      <c r="Q459" s="67"/>
      <c r="R459" s="67"/>
      <c r="S459" s="67"/>
      <c r="T459" s="67"/>
      <c r="U459" s="116"/>
    </row>
    <row r="460">
      <c r="A460" s="72"/>
      <c r="B460" s="95"/>
      <c r="C460" s="67"/>
      <c r="D460" s="55"/>
      <c r="E460" s="55"/>
      <c r="F460" s="55"/>
      <c r="G460" s="55"/>
      <c r="H460" s="55"/>
      <c r="I460" s="115"/>
      <c r="J460" s="55"/>
      <c r="K460" s="55"/>
      <c r="L460" s="55"/>
      <c r="M460" s="55"/>
      <c r="N460" s="55"/>
      <c r="O460" s="55"/>
      <c r="P460" s="55"/>
      <c r="Q460" s="67"/>
      <c r="R460" s="67"/>
      <c r="S460" s="67"/>
      <c r="T460" s="67"/>
      <c r="U460" s="116"/>
    </row>
    <row r="461">
      <c r="A461" s="72"/>
      <c r="B461" s="95"/>
      <c r="C461" s="67"/>
      <c r="D461" s="55"/>
      <c r="E461" s="55"/>
      <c r="F461" s="55"/>
      <c r="G461" s="55"/>
      <c r="H461" s="55"/>
      <c r="I461" s="115"/>
      <c r="J461" s="55"/>
      <c r="K461" s="55"/>
      <c r="L461" s="55"/>
      <c r="M461" s="55"/>
      <c r="N461" s="55"/>
      <c r="O461" s="55"/>
      <c r="P461" s="55"/>
      <c r="Q461" s="67"/>
      <c r="R461" s="67"/>
      <c r="S461" s="67"/>
      <c r="T461" s="67"/>
      <c r="U461" s="116"/>
    </row>
    <row r="462">
      <c r="A462" s="72"/>
      <c r="B462" s="95"/>
      <c r="C462" s="67"/>
      <c r="D462" s="55"/>
      <c r="E462" s="55"/>
      <c r="F462" s="55"/>
      <c r="G462" s="55"/>
      <c r="H462" s="55"/>
      <c r="I462" s="115"/>
      <c r="J462" s="55"/>
      <c r="K462" s="55"/>
      <c r="L462" s="55"/>
      <c r="M462" s="55"/>
      <c r="N462" s="55"/>
      <c r="O462" s="55"/>
      <c r="P462" s="55"/>
      <c r="Q462" s="67"/>
      <c r="R462" s="67"/>
      <c r="S462" s="67"/>
      <c r="T462" s="67"/>
      <c r="U462" s="116"/>
    </row>
    <row r="463">
      <c r="A463" s="72"/>
      <c r="B463" s="95"/>
      <c r="C463" s="67"/>
      <c r="D463" s="55"/>
      <c r="E463" s="55"/>
      <c r="F463" s="55"/>
      <c r="G463" s="55"/>
      <c r="H463" s="55"/>
      <c r="I463" s="115"/>
      <c r="J463" s="55"/>
      <c r="K463" s="55"/>
      <c r="L463" s="55"/>
      <c r="M463" s="55"/>
      <c r="N463" s="55"/>
      <c r="O463" s="55"/>
      <c r="P463" s="55"/>
      <c r="Q463" s="67"/>
      <c r="R463" s="67"/>
      <c r="S463" s="67"/>
      <c r="T463" s="67"/>
      <c r="U463" s="116"/>
    </row>
    <row r="464">
      <c r="A464" s="72"/>
      <c r="B464" s="95"/>
      <c r="C464" s="67"/>
      <c r="D464" s="55"/>
      <c r="E464" s="55"/>
      <c r="F464" s="55"/>
      <c r="G464" s="55"/>
      <c r="H464" s="55"/>
      <c r="I464" s="115"/>
      <c r="J464" s="55"/>
      <c r="K464" s="55"/>
      <c r="L464" s="55"/>
      <c r="M464" s="55"/>
      <c r="N464" s="55"/>
      <c r="O464" s="55"/>
      <c r="P464" s="55"/>
      <c r="Q464" s="67"/>
      <c r="R464" s="67"/>
      <c r="S464" s="67"/>
      <c r="T464" s="67"/>
      <c r="U464" s="116"/>
    </row>
    <row r="465">
      <c r="A465" s="72"/>
      <c r="B465" s="95"/>
      <c r="C465" s="67"/>
      <c r="D465" s="55"/>
      <c r="E465" s="55"/>
      <c r="F465" s="55"/>
      <c r="G465" s="55"/>
      <c r="H465" s="55"/>
      <c r="I465" s="115"/>
      <c r="J465" s="55"/>
      <c r="K465" s="55"/>
      <c r="L465" s="55"/>
      <c r="M465" s="55"/>
      <c r="N465" s="55"/>
      <c r="O465" s="55"/>
      <c r="P465" s="55"/>
      <c r="Q465" s="67"/>
      <c r="R465" s="67"/>
      <c r="S465" s="67"/>
      <c r="T465" s="67"/>
      <c r="U465" s="116"/>
    </row>
    <row r="466">
      <c r="A466" s="72"/>
      <c r="B466" s="95"/>
      <c r="C466" s="67"/>
      <c r="D466" s="55"/>
      <c r="E466" s="55"/>
      <c r="F466" s="55"/>
      <c r="G466" s="55"/>
      <c r="H466" s="55"/>
      <c r="I466" s="115"/>
      <c r="J466" s="55"/>
      <c r="K466" s="55"/>
      <c r="L466" s="55"/>
      <c r="M466" s="55"/>
      <c r="N466" s="55"/>
      <c r="O466" s="55"/>
      <c r="P466" s="55"/>
      <c r="Q466" s="67"/>
      <c r="R466" s="67"/>
      <c r="S466" s="67"/>
      <c r="T466" s="67"/>
      <c r="U466" s="116"/>
    </row>
    <row r="467">
      <c r="A467" s="72"/>
      <c r="B467" s="95"/>
      <c r="C467" s="67"/>
      <c r="D467" s="55"/>
      <c r="E467" s="55"/>
      <c r="F467" s="55"/>
      <c r="G467" s="55"/>
      <c r="H467" s="55"/>
      <c r="I467" s="115"/>
      <c r="J467" s="55"/>
      <c r="K467" s="55"/>
      <c r="L467" s="55"/>
      <c r="M467" s="55"/>
      <c r="N467" s="55"/>
      <c r="O467" s="55"/>
      <c r="P467" s="55"/>
      <c r="Q467" s="67"/>
      <c r="R467" s="67"/>
      <c r="S467" s="67"/>
      <c r="T467" s="67"/>
      <c r="U467" s="116"/>
    </row>
    <row r="468">
      <c r="A468" s="72"/>
      <c r="B468" s="95"/>
      <c r="C468" s="67"/>
      <c r="D468" s="55"/>
      <c r="E468" s="55"/>
      <c r="F468" s="55"/>
      <c r="G468" s="55"/>
      <c r="H468" s="55"/>
      <c r="I468" s="115"/>
      <c r="J468" s="55"/>
      <c r="K468" s="55"/>
      <c r="L468" s="55"/>
      <c r="M468" s="55"/>
      <c r="N468" s="55"/>
      <c r="O468" s="55"/>
      <c r="P468" s="55"/>
      <c r="Q468" s="67"/>
      <c r="R468" s="67"/>
      <c r="S468" s="67"/>
      <c r="T468" s="67"/>
      <c r="U468" s="116"/>
    </row>
    <row r="469">
      <c r="A469" s="72"/>
      <c r="B469" s="95"/>
      <c r="C469" s="67"/>
      <c r="D469" s="55"/>
      <c r="E469" s="55"/>
      <c r="F469" s="55"/>
      <c r="G469" s="55"/>
      <c r="H469" s="55"/>
      <c r="I469" s="115"/>
      <c r="J469" s="55"/>
      <c r="K469" s="55"/>
      <c r="L469" s="55"/>
      <c r="M469" s="55"/>
      <c r="N469" s="55"/>
      <c r="O469" s="55"/>
      <c r="P469" s="55"/>
      <c r="Q469" s="67"/>
      <c r="R469" s="67"/>
      <c r="S469" s="67"/>
      <c r="T469" s="67"/>
      <c r="U469" s="116"/>
    </row>
    <row r="470">
      <c r="A470" s="72"/>
      <c r="B470" s="95"/>
      <c r="C470" s="67"/>
      <c r="D470" s="55"/>
      <c r="E470" s="55"/>
      <c r="F470" s="55"/>
      <c r="G470" s="55"/>
      <c r="H470" s="55"/>
      <c r="I470" s="115"/>
      <c r="J470" s="55"/>
      <c r="K470" s="55"/>
      <c r="L470" s="55"/>
      <c r="M470" s="55"/>
      <c r="N470" s="55"/>
      <c r="O470" s="55"/>
      <c r="P470" s="55"/>
      <c r="Q470" s="67"/>
      <c r="R470" s="67"/>
      <c r="S470" s="67"/>
      <c r="T470" s="67"/>
      <c r="U470" s="116"/>
    </row>
    <row r="471">
      <c r="A471" s="72"/>
      <c r="B471" s="95"/>
      <c r="C471" s="67"/>
      <c r="D471" s="55"/>
      <c r="E471" s="55"/>
      <c r="F471" s="55"/>
      <c r="G471" s="55"/>
      <c r="H471" s="55"/>
      <c r="I471" s="115"/>
      <c r="J471" s="55"/>
      <c r="K471" s="55"/>
      <c r="L471" s="55"/>
      <c r="M471" s="55"/>
      <c r="N471" s="55"/>
      <c r="O471" s="55"/>
      <c r="P471" s="55"/>
      <c r="Q471" s="67"/>
      <c r="R471" s="67"/>
      <c r="S471" s="67"/>
      <c r="T471" s="67"/>
      <c r="U471" s="116"/>
    </row>
    <row r="472">
      <c r="A472" s="72"/>
      <c r="B472" s="95"/>
      <c r="C472" s="67"/>
      <c r="D472" s="55"/>
      <c r="E472" s="55"/>
      <c r="F472" s="55"/>
      <c r="G472" s="55"/>
      <c r="H472" s="55"/>
      <c r="I472" s="115"/>
      <c r="J472" s="55"/>
      <c r="K472" s="55"/>
      <c r="L472" s="55"/>
      <c r="M472" s="55"/>
      <c r="N472" s="55"/>
      <c r="O472" s="55"/>
      <c r="P472" s="55"/>
      <c r="Q472" s="67"/>
      <c r="R472" s="67"/>
      <c r="S472" s="67"/>
      <c r="T472" s="67"/>
      <c r="U472" s="116"/>
    </row>
    <row r="473">
      <c r="A473" s="72"/>
      <c r="B473" s="95"/>
      <c r="C473" s="67"/>
      <c r="D473" s="55"/>
      <c r="E473" s="55"/>
      <c r="F473" s="55"/>
      <c r="G473" s="55"/>
      <c r="H473" s="55"/>
      <c r="I473" s="115"/>
      <c r="J473" s="55"/>
      <c r="K473" s="55"/>
      <c r="L473" s="55"/>
      <c r="M473" s="55"/>
      <c r="N473" s="55"/>
      <c r="O473" s="55"/>
      <c r="P473" s="55"/>
      <c r="Q473" s="67"/>
      <c r="R473" s="67"/>
      <c r="S473" s="67"/>
      <c r="T473" s="67"/>
      <c r="U473" s="116"/>
    </row>
    <row r="474">
      <c r="A474" s="72"/>
      <c r="B474" s="95"/>
      <c r="C474" s="67"/>
      <c r="D474" s="55"/>
      <c r="E474" s="55"/>
      <c r="F474" s="55"/>
      <c r="G474" s="55"/>
      <c r="H474" s="55"/>
      <c r="I474" s="115"/>
      <c r="J474" s="55"/>
      <c r="K474" s="55"/>
      <c r="L474" s="55"/>
      <c r="M474" s="55"/>
      <c r="N474" s="55"/>
      <c r="O474" s="55"/>
      <c r="P474" s="55"/>
      <c r="Q474" s="67"/>
      <c r="R474" s="67"/>
      <c r="S474" s="67"/>
      <c r="T474" s="67"/>
      <c r="U474" s="116"/>
    </row>
    <row r="475">
      <c r="A475" s="72"/>
      <c r="B475" s="95"/>
      <c r="C475" s="67"/>
      <c r="D475" s="55"/>
      <c r="E475" s="55"/>
      <c r="F475" s="55"/>
      <c r="G475" s="55"/>
      <c r="H475" s="55"/>
      <c r="I475" s="115"/>
      <c r="J475" s="55"/>
      <c r="K475" s="55"/>
      <c r="L475" s="55"/>
      <c r="M475" s="55"/>
      <c r="N475" s="55"/>
      <c r="O475" s="55"/>
      <c r="P475" s="55"/>
      <c r="Q475" s="67"/>
      <c r="R475" s="67"/>
      <c r="S475" s="67"/>
      <c r="T475" s="67"/>
      <c r="U475" s="116"/>
    </row>
    <row r="476">
      <c r="A476" s="72"/>
      <c r="B476" s="95"/>
      <c r="C476" s="67"/>
      <c r="D476" s="55"/>
      <c r="E476" s="55"/>
      <c r="F476" s="55"/>
      <c r="G476" s="55"/>
      <c r="H476" s="55"/>
      <c r="I476" s="115"/>
      <c r="J476" s="55"/>
      <c r="K476" s="55"/>
      <c r="L476" s="55"/>
      <c r="M476" s="55"/>
      <c r="N476" s="55"/>
      <c r="O476" s="55"/>
      <c r="P476" s="55"/>
      <c r="Q476" s="67"/>
      <c r="R476" s="67"/>
      <c r="S476" s="67"/>
      <c r="T476" s="67"/>
      <c r="U476" s="116"/>
    </row>
    <row r="477">
      <c r="A477" s="72"/>
      <c r="B477" s="95"/>
      <c r="C477" s="67"/>
      <c r="D477" s="55"/>
      <c r="E477" s="55"/>
      <c r="F477" s="55"/>
      <c r="G477" s="55"/>
      <c r="H477" s="55"/>
      <c r="I477" s="115"/>
      <c r="J477" s="55"/>
      <c r="K477" s="55"/>
      <c r="L477" s="55"/>
      <c r="M477" s="55"/>
      <c r="N477" s="55"/>
      <c r="O477" s="55"/>
      <c r="P477" s="55"/>
      <c r="Q477" s="67"/>
      <c r="R477" s="67"/>
      <c r="S477" s="67"/>
      <c r="T477" s="67"/>
      <c r="U477" s="116"/>
    </row>
    <row r="478">
      <c r="A478" s="72"/>
      <c r="B478" s="95"/>
      <c r="C478" s="67"/>
      <c r="D478" s="55"/>
      <c r="E478" s="55"/>
      <c r="F478" s="55"/>
      <c r="G478" s="55"/>
      <c r="H478" s="55"/>
      <c r="I478" s="115"/>
      <c r="J478" s="55"/>
      <c r="K478" s="55"/>
      <c r="L478" s="55"/>
      <c r="M478" s="55"/>
      <c r="N478" s="55"/>
      <c r="O478" s="55"/>
      <c r="P478" s="55"/>
      <c r="Q478" s="67"/>
      <c r="R478" s="67"/>
      <c r="S478" s="67"/>
      <c r="T478" s="67"/>
      <c r="U478" s="116"/>
    </row>
    <row r="479">
      <c r="A479" s="72"/>
      <c r="B479" s="95"/>
      <c r="C479" s="67"/>
      <c r="D479" s="55"/>
      <c r="E479" s="55"/>
      <c r="F479" s="55"/>
      <c r="G479" s="55"/>
      <c r="H479" s="55"/>
      <c r="I479" s="115"/>
      <c r="J479" s="55"/>
      <c r="K479" s="55"/>
      <c r="L479" s="55"/>
      <c r="M479" s="55"/>
      <c r="N479" s="55"/>
      <c r="O479" s="55"/>
      <c r="P479" s="55"/>
      <c r="Q479" s="67"/>
      <c r="R479" s="67"/>
      <c r="S479" s="67"/>
      <c r="T479" s="67"/>
      <c r="U479" s="116"/>
    </row>
    <row r="480">
      <c r="A480" s="72"/>
      <c r="B480" s="95"/>
      <c r="C480" s="67"/>
      <c r="D480" s="55"/>
      <c r="E480" s="55"/>
      <c r="F480" s="55"/>
      <c r="G480" s="55"/>
      <c r="H480" s="55"/>
      <c r="I480" s="115"/>
      <c r="J480" s="55"/>
      <c r="K480" s="55"/>
      <c r="L480" s="55"/>
      <c r="M480" s="55"/>
      <c r="N480" s="55"/>
      <c r="O480" s="55"/>
      <c r="P480" s="55"/>
      <c r="Q480" s="67"/>
      <c r="R480" s="67"/>
      <c r="S480" s="67"/>
      <c r="T480" s="67"/>
      <c r="U480" s="116"/>
    </row>
    <row r="481">
      <c r="A481" s="72"/>
      <c r="B481" s="95"/>
      <c r="C481" s="67"/>
      <c r="D481" s="55"/>
      <c r="E481" s="55"/>
      <c r="F481" s="55"/>
      <c r="G481" s="55"/>
      <c r="H481" s="55"/>
      <c r="I481" s="115"/>
      <c r="J481" s="55"/>
      <c r="K481" s="55"/>
      <c r="L481" s="55"/>
      <c r="M481" s="55"/>
      <c r="N481" s="55"/>
      <c r="O481" s="55"/>
      <c r="P481" s="55"/>
      <c r="Q481" s="67"/>
      <c r="R481" s="67"/>
      <c r="S481" s="67"/>
      <c r="T481" s="67"/>
      <c r="U481" s="116"/>
    </row>
    <row r="482">
      <c r="A482" s="72"/>
      <c r="B482" s="95"/>
      <c r="C482" s="67"/>
      <c r="D482" s="55"/>
      <c r="E482" s="55"/>
      <c r="F482" s="55"/>
      <c r="G482" s="55"/>
      <c r="H482" s="55"/>
      <c r="I482" s="115"/>
      <c r="J482" s="55"/>
      <c r="K482" s="55"/>
      <c r="L482" s="55"/>
      <c r="M482" s="55"/>
      <c r="N482" s="55"/>
      <c r="O482" s="55"/>
      <c r="P482" s="55"/>
      <c r="Q482" s="67"/>
      <c r="R482" s="67"/>
      <c r="S482" s="67"/>
      <c r="T482" s="67"/>
      <c r="U482" s="116"/>
    </row>
    <row r="483">
      <c r="A483" s="72"/>
      <c r="B483" s="95"/>
      <c r="C483" s="67"/>
      <c r="D483" s="55"/>
      <c r="E483" s="55"/>
      <c r="F483" s="55"/>
      <c r="G483" s="55"/>
      <c r="H483" s="55"/>
      <c r="I483" s="115"/>
      <c r="J483" s="55"/>
      <c r="K483" s="55"/>
      <c r="L483" s="55"/>
      <c r="M483" s="55"/>
      <c r="N483" s="55"/>
      <c r="O483" s="55"/>
      <c r="P483" s="55"/>
      <c r="Q483" s="67"/>
      <c r="R483" s="67"/>
      <c r="S483" s="67"/>
      <c r="T483" s="67"/>
      <c r="U483" s="116"/>
    </row>
    <row r="484">
      <c r="A484" s="72"/>
      <c r="B484" s="95"/>
      <c r="C484" s="67"/>
      <c r="D484" s="55"/>
      <c r="E484" s="55"/>
      <c r="F484" s="55"/>
      <c r="G484" s="55"/>
      <c r="H484" s="55"/>
      <c r="I484" s="115"/>
      <c r="J484" s="55"/>
      <c r="K484" s="55"/>
      <c r="L484" s="55"/>
      <c r="M484" s="55"/>
      <c r="N484" s="55"/>
      <c r="O484" s="55"/>
      <c r="P484" s="55"/>
      <c r="Q484" s="67"/>
      <c r="R484" s="67"/>
      <c r="S484" s="67"/>
      <c r="T484" s="67"/>
      <c r="U484" s="116"/>
    </row>
    <row r="485">
      <c r="A485" s="72"/>
      <c r="B485" s="95"/>
      <c r="C485" s="67"/>
      <c r="D485" s="55"/>
      <c r="E485" s="55"/>
      <c r="F485" s="55"/>
      <c r="G485" s="55"/>
      <c r="H485" s="55"/>
      <c r="I485" s="115"/>
      <c r="J485" s="55"/>
      <c r="K485" s="55"/>
      <c r="L485" s="55"/>
      <c r="M485" s="55"/>
      <c r="N485" s="55"/>
      <c r="O485" s="55"/>
      <c r="P485" s="55"/>
      <c r="Q485" s="67"/>
      <c r="R485" s="67"/>
      <c r="S485" s="67"/>
      <c r="T485" s="67"/>
      <c r="U485" s="116"/>
    </row>
    <row r="486">
      <c r="A486" s="72"/>
      <c r="B486" s="95"/>
      <c r="C486" s="67"/>
      <c r="D486" s="55"/>
      <c r="E486" s="55"/>
      <c r="F486" s="55"/>
      <c r="G486" s="55"/>
      <c r="H486" s="55"/>
      <c r="I486" s="115"/>
      <c r="J486" s="55"/>
      <c r="K486" s="55"/>
      <c r="L486" s="55"/>
      <c r="M486" s="55"/>
      <c r="N486" s="55"/>
      <c r="O486" s="55"/>
      <c r="P486" s="55"/>
      <c r="Q486" s="67"/>
      <c r="R486" s="67"/>
      <c r="S486" s="67"/>
      <c r="T486" s="67"/>
      <c r="U486" s="116"/>
    </row>
    <row r="487">
      <c r="A487" s="72"/>
      <c r="B487" s="95"/>
      <c r="C487" s="67"/>
      <c r="D487" s="55"/>
      <c r="E487" s="55"/>
      <c r="F487" s="55"/>
      <c r="G487" s="55"/>
      <c r="H487" s="55"/>
      <c r="I487" s="115"/>
      <c r="J487" s="55"/>
      <c r="K487" s="55"/>
      <c r="L487" s="55"/>
      <c r="M487" s="55"/>
      <c r="N487" s="55"/>
      <c r="O487" s="55"/>
      <c r="P487" s="55"/>
      <c r="Q487" s="67"/>
      <c r="R487" s="67"/>
      <c r="S487" s="67"/>
      <c r="T487" s="67"/>
      <c r="U487" s="116"/>
    </row>
    <row r="488">
      <c r="A488" s="72"/>
      <c r="B488" s="95"/>
      <c r="C488" s="67"/>
      <c r="D488" s="55"/>
      <c r="E488" s="55"/>
      <c r="F488" s="55"/>
      <c r="G488" s="55"/>
      <c r="H488" s="55"/>
      <c r="I488" s="115"/>
      <c r="J488" s="55"/>
      <c r="K488" s="55"/>
      <c r="L488" s="55"/>
      <c r="M488" s="55"/>
      <c r="N488" s="55"/>
      <c r="O488" s="55"/>
      <c r="P488" s="55"/>
      <c r="Q488" s="67"/>
      <c r="R488" s="67"/>
      <c r="S488" s="67"/>
      <c r="T488" s="67"/>
      <c r="U488" s="116"/>
    </row>
    <row r="489">
      <c r="A489" s="72"/>
      <c r="B489" s="95"/>
      <c r="C489" s="67"/>
      <c r="D489" s="55"/>
      <c r="E489" s="55"/>
      <c r="F489" s="55"/>
      <c r="G489" s="55"/>
      <c r="H489" s="55"/>
      <c r="I489" s="115"/>
      <c r="J489" s="55"/>
      <c r="K489" s="55"/>
      <c r="L489" s="55"/>
      <c r="M489" s="55"/>
      <c r="N489" s="55"/>
      <c r="O489" s="55"/>
      <c r="P489" s="55"/>
      <c r="Q489" s="67"/>
      <c r="R489" s="67"/>
      <c r="S489" s="67"/>
      <c r="T489" s="67"/>
      <c r="U489" s="116"/>
    </row>
    <row r="490">
      <c r="A490" s="72"/>
      <c r="B490" s="95"/>
      <c r="C490" s="67"/>
      <c r="D490" s="55"/>
      <c r="E490" s="55"/>
      <c r="F490" s="55"/>
      <c r="G490" s="55"/>
      <c r="H490" s="55"/>
      <c r="I490" s="115"/>
      <c r="J490" s="55"/>
      <c r="K490" s="55"/>
      <c r="L490" s="55"/>
      <c r="M490" s="55"/>
      <c r="N490" s="55"/>
      <c r="O490" s="55"/>
      <c r="P490" s="55"/>
      <c r="Q490" s="67"/>
      <c r="R490" s="67"/>
      <c r="S490" s="67"/>
      <c r="T490" s="67"/>
      <c r="U490" s="116"/>
    </row>
    <row r="491">
      <c r="A491" s="72"/>
      <c r="B491" s="95"/>
      <c r="C491" s="67"/>
      <c r="D491" s="55"/>
      <c r="E491" s="55"/>
      <c r="F491" s="55"/>
      <c r="G491" s="55"/>
      <c r="H491" s="55"/>
      <c r="I491" s="115"/>
      <c r="J491" s="55"/>
      <c r="K491" s="55"/>
      <c r="L491" s="55"/>
      <c r="M491" s="55"/>
      <c r="N491" s="55"/>
      <c r="O491" s="55"/>
      <c r="P491" s="55"/>
      <c r="Q491" s="67"/>
      <c r="R491" s="67"/>
      <c r="S491" s="67"/>
      <c r="T491" s="67"/>
      <c r="U491" s="116"/>
    </row>
    <row r="492">
      <c r="A492" s="72"/>
      <c r="B492" s="95"/>
      <c r="C492" s="67"/>
      <c r="D492" s="55"/>
      <c r="E492" s="55"/>
      <c r="F492" s="55"/>
      <c r="G492" s="55"/>
      <c r="H492" s="55"/>
      <c r="I492" s="115"/>
      <c r="J492" s="55"/>
      <c r="K492" s="55"/>
      <c r="L492" s="55"/>
      <c r="M492" s="55"/>
      <c r="N492" s="55"/>
      <c r="O492" s="55"/>
      <c r="P492" s="55"/>
      <c r="Q492" s="67"/>
      <c r="R492" s="67"/>
      <c r="S492" s="67"/>
      <c r="T492" s="67"/>
      <c r="U492" s="116"/>
    </row>
    <row r="493">
      <c r="A493" s="72"/>
      <c r="B493" s="95"/>
      <c r="C493" s="67"/>
      <c r="D493" s="55"/>
      <c r="E493" s="55"/>
      <c r="F493" s="55"/>
      <c r="G493" s="55"/>
      <c r="H493" s="55"/>
      <c r="I493" s="115"/>
      <c r="J493" s="55"/>
      <c r="K493" s="55"/>
      <c r="L493" s="55"/>
      <c r="M493" s="55"/>
      <c r="N493" s="55"/>
      <c r="O493" s="55"/>
      <c r="P493" s="55"/>
      <c r="Q493" s="67"/>
      <c r="R493" s="67"/>
      <c r="S493" s="67"/>
      <c r="T493" s="67"/>
      <c r="U493" s="116"/>
    </row>
    <row r="494">
      <c r="A494" s="72"/>
      <c r="B494" s="95"/>
      <c r="C494" s="67"/>
      <c r="D494" s="55"/>
      <c r="E494" s="55"/>
      <c r="F494" s="55"/>
      <c r="G494" s="55"/>
      <c r="H494" s="55"/>
      <c r="I494" s="115"/>
      <c r="J494" s="55"/>
      <c r="K494" s="55"/>
      <c r="L494" s="55"/>
      <c r="M494" s="55"/>
      <c r="N494" s="55"/>
      <c r="O494" s="55"/>
      <c r="P494" s="55"/>
      <c r="Q494" s="67"/>
      <c r="R494" s="67"/>
      <c r="S494" s="67"/>
      <c r="T494" s="67"/>
      <c r="U494" s="116"/>
    </row>
    <row r="495">
      <c r="A495" s="72"/>
      <c r="B495" s="95"/>
      <c r="C495" s="67"/>
      <c r="D495" s="55"/>
      <c r="E495" s="55"/>
      <c r="F495" s="55"/>
      <c r="G495" s="55"/>
      <c r="H495" s="55"/>
      <c r="I495" s="115"/>
      <c r="J495" s="55"/>
      <c r="K495" s="55"/>
      <c r="L495" s="55"/>
      <c r="M495" s="55"/>
      <c r="N495" s="55"/>
      <c r="O495" s="55"/>
      <c r="P495" s="55"/>
      <c r="Q495" s="67"/>
      <c r="R495" s="67"/>
      <c r="S495" s="67"/>
      <c r="T495" s="67"/>
      <c r="U495" s="116"/>
    </row>
    <row r="496">
      <c r="A496" s="72"/>
      <c r="B496" s="95"/>
      <c r="C496" s="67"/>
      <c r="D496" s="55"/>
      <c r="E496" s="55"/>
      <c r="F496" s="55"/>
      <c r="G496" s="55"/>
      <c r="H496" s="55"/>
      <c r="I496" s="115"/>
      <c r="J496" s="55"/>
      <c r="K496" s="55"/>
      <c r="L496" s="55"/>
      <c r="M496" s="55"/>
      <c r="N496" s="55"/>
      <c r="O496" s="55"/>
      <c r="P496" s="55"/>
      <c r="Q496" s="67"/>
      <c r="R496" s="67"/>
      <c r="S496" s="67"/>
      <c r="T496" s="67"/>
      <c r="U496" s="116"/>
    </row>
    <row r="497">
      <c r="A497" s="72"/>
      <c r="B497" s="95"/>
      <c r="C497" s="67"/>
      <c r="D497" s="55"/>
      <c r="E497" s="55"/>
      <c r="F497" s="55"/>
      <c r="G497" s="55"/>
      <c r="H497" s="55"/>
      <c r="I497" s="115"/>
      <c r="J497" s="55"/>
      <c r="K497" s="55"/>
      <c r="L497" s="55"/>
      <c r="M497" s="55"/>
      <c r="N497" s="55"/>
      <c r="O497" s="55"/>
      <c r="P497" s="55"/>
      <c r="Q497" s="67"/>
      <c r="R497" s="67"/>
      <c r="S497" s="67"/>
      <c r="T497" s="67"/>
      <c r="U497" s="116"/>
    </row>
    <row r="498">
      <c r="A498" s="72"/>
      <c r="B498" s="95"/>
      <c r="C498" s="67"/>
      <c r="D498" s="55"/>
      <c r="E498" s="55"/>
      <c r="F498" s="55"/>
      <c r="G498" s="55"/>
      <c r="H498" s="55"/>
      <c r="I498" s="115"/>
      <c r="J498" s="55"/>
      <c r="K498" s="55"/>
      <c r="L498" s="55"/>
      <c r="M498" s="55"/>
      <c r="N498" s="55"/>
      <c r="O498" s="55"/>
      <c r="P498" s="55"/>
      <c r="Q498" s="67"/>
      <c r="R498" s="67"/>
      <c r="S498" s="67"/>
      <c r="T498" s="67"/>
      <c r="U498" s="116"/>
    </row>
    <row r="499">
      <c r="A499" s="72"/>
      <c r="B499" s="95"/>
      <c r="C499" s="67"/>
      <c r="D499" s="55"/>
      <c r="E499" s="55"/>
      <c r="F499" s="55"/>
      <c r="G499" s="55"/>
      <c r="H499" s="55"/>
      <c r="I499" s="115"/>
      <c r="J499" s="55"/>
      <c r="K499" s="55"/>
      <c r="L499" s="55"/>
      <c r="M499" s="55"/>
      <c r="N499" s="55"/>
      <c r="O499" s="55"/>
      <c r="P499" s="55"/>
      <c r="Q499" s="67"/>
      <c r="R499" s="67"/>
      <c r="S499" s="67"/>
      <c r="T499" s="67"/>
      <c r="U499" s="116"/>
    </row>
    <row r="500">
      <c r="A500" s="72"/>
      <c r="B500" s="95"/>
      <c r="C500" s="67"/>
      <c r="D500" s="55"/>
      <c r="E500" s="55"/>
      <c r="F500" s="55"/>
      <c r="G500" s="55"/>
      <c r="H500" s="55"/>
      <c r="I500" s="115"/>
      <c r="J500" s="55"/>
      <c r="K500" s="55"/>
      <c r="L500" s="55"/>
      <c r="M500" s="55"/>
      <c r="N500" s="55"/>
      <c r="O500" s="55"/>
      <c r="P500" s="55"/>
      <c r="Q500" s="67"/>
      <c r="R500" s="67"/>
      <c r="S500" s="67"/>
      <c r="T500" s="67"/>
      <c r="U500" s="116"/>
    </row>
    <row r="501">
      <c r="A501" s="72"/>
      <c r="B501" s="95"/>
      <c r="C501" s="67"/>
      <c r="D501" s="55"/>
      <c r="E501" s="55"/>
      <c r="F501" s="55"/>
      <c r="G501" s="55"/>
      <c r="H501" s="55"/>
      <c r="I501" s="115"/>
      <c r="J501" s="55"/>
      <c r="K501" s="55"/>
      <c r="L501" s="55"/>
      <c r="M501" s="55"/>
      <c r="N501" s="55"/>
      <c r="O501" s="55"/>
      <c r="P501" s="55"/>
      <c r="Q501" s="67"/>
      <c r="R501" s="67"/>
      <c r="S501" s="67"/>
      <c r="T501" s="67"/>
      <c r="U501" s="116"/>
    </row>
    <row r="502">
      <c r="A502" s="72"/>
      <c r="B502" s="95"/>
      <c r="C502" s="67"/>
      <c r="D502" s="55"/>
      <c r="E502" s="55"/>
      <c r="F502" s="55"/>
      <c r="G502" s="55"/>
      <c r="H502" s="55"/>
      <c r="I502" s="115"/>
      <c r="J502" s="55"/>
      <c r="K502" s="55"/>
      <c r="L502" s="55"/>
      <c r="M502" s="55"/>
      <c r="N502" s="55"/>
      <c r="O502" s="55"/>
      <c r="P502" s="55"/>
      <c r="Q502" s="67"/>
      <c r="R502" s="67"/>
      <c r="S502" s="67"/>
      <c r="T502" s="67"/>
      <c r="U502" s="116"/>
    </row>
    <row r="503">
      <c r="A503" s="72"/>
      <c r="B503" s="95"/>
      <c r="C503" s="67"/>
      <c r="D503" s="55"/>
      <c r="E503" s="55"/>
      <c r="F503" s="55"/>
      <c r="G503" s="55"/>
      <c r="H503" s="55"/>
      <c r="I503" s="115"/>
      <c r="J503" s="55"/>
      <c r="K503" s="55"/>
      <c r="L503" s="55"/>
      <c r="M503" s="55"/>
      <c r="N503" s="55"/>
      <c r="O503" s="55"/>
      <c r="P503" s="55"/>
      <c r="Q503" s="67"/>
      <c r="R503" s="67"/>
      <c r="S503" s="67"/>
      <c r="T503" s="67"/>
      <c r="U503" s="116"/>
    </row>
    <row r="504">
      <c r="A504" s="72"/>
      <c r="B504" s="95"/>
      <c r="C504" s="67"/>
      <c r="D504" s="55"/>
      <c r="E504" s="55"/>
      <c r="F504" s="55"/>
      <c r="G504" s="55"/>
      <c r="H504" s="55"/>
      <c r="I504" s="115"/>
      <c r="J504" s="55"/>
      <c r="K504" s="55"/>
      <c r="L504" s="55"/>
      <c r="M504" s="55"/>
      <c r="N504" s="55"/>
      <c r="O504" s="55"/>
      <c r="P504" s="55"/>
      <c r="Q504" s="67"/>
      <c r="R504" s="67"/>
      <c r="S504" s="67"/>
      <c r="T504" s="67"/>
      <c r="U504" s="116"/>
    </row>
    <row r="505">
      <c r="A505" s="72"/>
      <c r="B505" s="95"/>
      <c r="C505" s="67"/>
      <c r="D505" s="55"/>
      <c r="E505" s="55"/>
      <c r="F505" s="55"/>
      <c r="G505" s="55"/>
      <c r="H505" s="55"/>
      <c r="I505" s="115"/>
      <c r="J505" s="55"/>
      <c r="K505" s="55"/>
      <c r="L505" s="55"/>
      <c r="M505" s="55"/>
      <c r="N505" s="55"/>
      <c r="O505" s="55"/>
      <c r="P505" s="55"/>
      <c r="Q505" s="67"/>
      <c r="R505" s="67"/>
      <c r="S505" s="67"/>
      <c r="T505" s="67"/>
      <c r="U505" s="116"/>
    </row>
    <row r="506">
      <c r="A506" s="72"/>
      <c r="B506" s="95"/>
      <c r="C506" s="67"/>
      <c r="D506" s="55"/>
      <c r="E506" s="55"/>
      <c r="F506" s="55"/>
      <c r="G506" s="55"/>
      <c r="H506" s="55"/>
      <c r="I506" s="115"/>
      <c r="J506" s="55"/>
      <c r="K506" s="55"/>
      <c r="L506" s="55"/>
      <c r="M506" s="55"/>
      <c r="N506" s="55"/>
      <c r="O506" s="55"/>
      <c r="P506" s="55"/>
      <c r="Q506" s="67"/>
      <c r="R506" s="67"/>
      <c r="S506" s="67"/>
      <c r="T506" s="67"/>
      <c r="U506" s="116"/>
    </row>
    <row r="507">
      <c r="A507" s="72"/>
      <c r="B507" s="95"/>
      <c r="C507" s="67"/>
      <c r="D507" s="55"/>
      <c r="E507" s="55"/>
      <c r="F507" s="55"/>
      <c r="G507" s="55"/>
      <c r="H507" s="55"/>
      <c r="I507" s="115"/>
      <c r="J507" s="55"/>
      <c r="K507" s="55"/>
      <c r="L507" s="55"/>
      <c r="M507" s="55"/>
      <c r="N507" s="55"/>
      <c r="O507" s="55"/>
      <c r="P507" s="55"/>
      <c r="Q507" s="67"/>
      <c r="R507" s="67"/>
      <c r="S507" s="67"/>
      <c r="T507" s="67"/>
      <c r="U507" s="116"/>
    </row>
    <row r="508">
      <c r="A508" s="72"/>
      <c r="B508" s="95"/>
      <c r="C508" s="67"/>
      <c r="D508" s="55"/>
      <c r="E508" s="55"/>
      <c r="F508" s="55"/>
      <c r="G508" s="55"/>
      <c r="H508" s="55"/>
      <c r="I508" s="115"/>
      <c r="J508" s="55"/>
      <c r="K508" s="55"/>
      <c r="L508" s="55"/>
      <c r="M508" s="55"/>
      <c r="N508" s="55"/>
      <c r="O508" s="55"/>
      <c r="P508" s="55"/>
      <c r="Q508" s="67"/>
      <c r="R508" s="67"/>
      <c r="S508" s="67"/>
      <c r="T508" s="67"/>
      <c r="U508" s="116"/>
    </row>
    <row r="509">
      <c r="A509" s="72"/>
      <c r="B509" s="95"/>
      <c r="C509" s="67"/>
      <c r="D509" s="55"/>
      <c r="E509" s="55"/>
      <c r="F509" s="55"/>
      <c r="G509" s="55"/>
      <c r="H509" s="55"/>
      <c r="I509" s="115"/>
      <c r="J509" s="55"/>
      <c r="K509" s="55"/>
      <c r="L509" s="55"/>
      <c r="M509" s="55"/>
      <c r="N509" s="55"/>
      <c r="O509" s="55"/>
      <c r="P509" s="55"/>
      <c r="Q509" s="67"/>
      <c r="R509" s="67"/>
      <c r="S509" s="67"/>
      <c r="T509" s="67"/>
      <c r="U509" s="116"/>
    </row>
    <row r="510">
      <c r="A510" s="72"/>
      <c r="B510" s="95"/>
      <c r="C510" s="67"/>
      <c r="D510" s="55"/>
      <c r="E510" s="55"/>
      <c r="F510" s="55"/>
      <c r="G510" s="55"/>
      <c r="H510" s="55"/>
      <c r="I510" s="115"/>
      <c r="J510" s="55"/>
      <c r="K510" s="55"/>
      <c r="L510" s="55"/>
      <c r="M510" s="55"/>
      <c r="N510" s="55"/>
      <c r="O510" s="55"/>
      <c r="P510" s="55"/>
      <c r="Q510" s="67"/>
      <c r="R510" s="67"/>
      <c r="S510" s="67"/>
      <c r="T510" s="67"/>
      <c r="U510" s="116"/>
    </row>
    <row r="511">
      <c r="A511" s="72"/>
      <c r="B511" s="95"/>
      <c r="C511" s="67"/>
      <c r="D511" s="55"/>
      <c r="E511" s="55"/>
      <c r="F511" s="55"/>
      <c r="G511" s="55"/>
      <c r="H511" s="55"/>
      <c r="I511" s="115"/>
      <c r="J511" s="55"/>
      <c r="K511" s="55"/>
      <c r="L511" s="55"/>
      <c r="M511" s="55"/>
      <c r="N511" s="55"/>
      <c r="O511" s="55"/>
      <c r="P511" s="55"/>
      <c r="Q511" s="67"/>
      <c r="R511" s="67"/>
      <c r="S511" s="67"/>
      <c r="T511" s="67"/>
      <c r="U511" s="116"/>
    </row>
    <row r="512">
      <c r="A512" s="72"/>
      <c r="B512" s="95"/>
      <c r="C512" s="67"/>
      <c r="D512" s="55"/>
      <c r="E512" s="55"/>
      <c r="F512" s="55"/>
      <c r="G512" s="55"/>
      <c r="H512" s="55"/>
      <c r="I512" s="115"/>
      <c r="J512" s="55"/>
      <c r="K512" s="55"/>
      <c r="L512" s="55"/>
      <c r="M512" s="55"/>
      <c r="N512" s="55"/>
      <c r="O512" s="55"/>
      <c r="P512" s="55"/>
      <c r="Q512" s="67"/>
      <c r="R512" s="67"/>
      <c r="S512" s="67"/>
      <c r="T512" s="67"/>
      <c r="U512" s="116"/>
    </row>
    <row r="513">
      <c r="A513" s="72"/>
      <c r="B513" s="95"/>
      <c r="C513" s="67"/>
      <c r="D513" s="55"/>
      <c r="E513" s="55"/>
      <c r="F513" s="55"/>
      <c r="G513" s="55"/>
      <c r="H513" s="55"/>
      <c r="I513" s="115"/>
      <c r="J513" s="55"/>
      <c r="K513" s="55"/>
      <c r="L513" s="55"/>
      <c r="M513" s="55"/>
      <c r="N513" s="55"/>
      <c r="O513" s="55"/>
      <c r="P513" s="55"/>
      <c r="Q513" s="67"/>
      <c r="R513" s="67"/>
      <c r="S513" s="67"/>
      <c r="T513" s="67"/>
      <c r="U513" s="116"/>
    </row>
    <row r="514">
      <c r="A514" s="72"/>
      <c r="B514" s="95"/>
      <c r="C514" s="67"/>
      <c r="D514" s="55"/>
      <c r="E514" s="55"/>
      <c r="F514" s="55"/>
      <c r="G514" s="55"/>
      <c r="H514" s="55"/>
      <c r="I514" s="115"/>
      <c r="J514" s="55"/>
      <c r="K514" s="55"/>
      <c r="L514" s="55"/>
      <c r="M514" s="55"/>
      <c r="N514" s="55"/>
      <c r="O514" s="55"/>
      <c r="P514" s="55"/>
      <c r="Q514" s="67"/>
      <c r="R514" s="67"/>
      <c r="S514" s="67"/>
      <c r="T514" s="67"/>
      <c r="U514" s="116"/>
    </row>
    <row r="515">
      <c r="A515" s="72"/>
      <c r="B515" s="95"/>
      <c r="C515" s="67"/>
      <c r="D515" s="55"/>
      <c r="E515" s="55"/>
      <c r="F515" s="55"/>
      <c r="G515" s="55"/>
      <c r="H515" s="55"/>
      <c r="I515" s="115"/>
      <c r="J515" s="55"/>
      <c r="K515" s="55"/>
      <c r="L515" s="55"/>
      <c r="M515" s="55"/>
      <c r="N515" s="55"/>
      <c r="O515" s="55"/>
      <c r="P515" s="55"/>
      <c r="Q515" s="67"/>
      <c r="R515" s="67"/>
      <c r="S515" s="67"/>
      <c r="T515" s="67"/>
      <c r="U515" s="116"/>
    </row>
    <row r="516">
      <c r="A516" s="72"/>
      <c r="B516" s="95"/>
      <c r="C516" s="67"/>
      <c r="D516" s="55"/>
      <c r="E516" s="55"/>
      <c r="F516" s="55"/>
      <c r="G516" s="55"/>
      <c r="H516" s="55"/>
      <c r="I516" s="115"/>
      <c r="J516" s="55"/>
      <c r="K516" s="55"/>
      <c r="L516" s="55"/>
      <c r="M516" s="55"/>
      <c r="N516" s="55"/>
      <c r="O516" s="55"/>
      <c r="P516" s="55"/>
      <c r="Q516" s="67"/>
      <c r="R516" s="67"/>
      <c r="S516" s="67"/>
      <c r="T516" s="67"/>
      <c r="U516" s="116"/>
    </row>
    <row r="517">
      <c r="A517" s="72"/>
      <c r="B517" s="95"/>
      <c r="C517" s="67"/>
      <c r="D517" s="55"/>
      <c r="E517" s="55"/>
      <c r="F517" s="55"/>
      <c r="G517" s="55"/>
      <c r="H517" s="55"/>
      <c r="I517" s="115"/>
      <c r="J517" s="55"/>
      <c r="K517" s="55"/>
      <c r="L517" s="55"/>
      <c r="M517" s="55"/>
      <c r="N517" s="55"/>
      <c r="O517" s="55"/>
      <c r="P517" s="55"/>
      <c r="Q517" s="67"/>
      <c r="R517" s="67"/>
      <c r="S517" s="67"/>
      <c r="T517" s="67"/>
      <c r="U517" s="116"/>
    </row>
    <row r="518">
      <c r="A518" s="72"/>
      <c r="B518" s="95"/>
      <c r="C518" s="67"/>
      <c r="D518" s="55"/>
      <c r="E518" s="55"/>
      <c r="F518" s="55"/>
      <c r="G518" s="55"/>
      <c r="H518" s="55"/>
      <c r="I518" s="115"/>
      <c r="J518" s="55"/>
      <c r="K518" s="55"/>
      <c r="L518" s="55"/>
      <c r="M518" s="55"/>
      <c r="N518" s="55"/>
      <c r="O518" s="55"/>
      <c r="P518" s="55"/>
      <c r="Q518" s="67"/>
      <c r="R518" s="67"/>
      <c r="S518" s="67"/>
      <c r="T518" s="67"/>
      <c r="U518" s="116"/>
    </row>
    <row r="519">
      <c r="A519" s="72"/>
      <c r="B519" s="95"/>
      <c r="C519" s="67"/>
      <c r="D519" s="55"/>
      <c r="E519" s="55"/>
      <c r="F519" s="55"/>
      <c r="G519" s="55"/>
      <c r="H519" s="55"/>
      <c r="I519" s="115"/>
      <c r="J519" s="55"/>
      <c r="K519" s="55"/>
      <c r="L519" s="55"/>
      <c r="M519" s="55"/>
      <c r="N519" s="55"/>
      <c r="O519" s="55"/>
      <c r="P519" s="55"/>
      <c r="Q519" s="67"/>
      <c r="R519" s="67"/>
      <c r="S519" s="67"/>
      <c r="T519" s="67"/>
      <c r="U519" s="116"/>
    </row>
    <row r="520">
      <c r="A520" s="72"/>
      <c r="B520" s="95"/>
      <c r="C520" s="67"/>
      <c r="D520" s="55"/>
      <c r="E520" s="55"/>
      <c r="F520" s="55"/>
      <c r="G520" s="55"/>
      <c r="H520" s="55"/>
      <c r="I520" s="115"/>
      <c r="J520" s="55"/>
      <c r="K520" s="55"/>
      <c r="L520" s="55"/>
      <c r="M520" s="55"/>
      <c r="N520" s="55"/>
      <c r="O520" s="55"/>
      <c r="P520" s="55"/>
      <c r="Q520" s="67"/>
      <c r="R520" s="67"/>
      <c r="S520" s="67"/>
      <c r="T520" s="67"/>
      <c r="U520" s="116"/>
    </row>
    <row r="521">
      <c r="A521" s="72"/>
      <c r="B521" s="95"/>
      <c r="C521" s="67"/>
      <c r="D521" s="55"/>
      <c r="E521" s="55"/>
      <c r="F521" s="55"/>
      <c r="G521" s="55"/>
      <c r="H521" s="55"/>
      <c r="I521" s="115"/>
      <c r="J521" s="55"/>
      <c r="K521" s="55"/>
      <c r="L521" s="55"/>
      <c r="M521" s="55"/>
      <c r="N521" s="55"/>
      <c r="O521" s="55"/>
      <c r="P521" s="55"/>
      <c r="Q521" s="67"/>
      <c r="R521" s="67"/>
      <c r="S521" s="67"/>
      <c r="T521" s="67"/>
      <c r="U521" s="116"/>
    </row>
    <row r="522">
      <c r="A522" s="72"/>
      <c r="B522" s="95"/>
      <c r="C522" s="67"/>
      <c r="D522" s="55"/>
      <c r="E522" s="55"/>
      <c r="F522" s="55"/>
      <c r="G522" s="55"/>
      <c r="H522" s="55"/>
      <c r="I522" s="115"/>
      <c r="J522" s="55"/>
      <c r="K522" s="55"/>
      <c r="L522" s="55"/>
      <c r="M522" s="55"/>
      <c r="N522" s="55"/>
      <c r="O522" s="55"/>
      <c r="P522" s="55"/>
      <c r="Q522" s="67"/>
      <c r="R522" s="67"/>
      <c r="S522" s="67"/>
      <c r="T522" s="67"/>
      <c r="U522" s="116"/>
    </row>
    <row r="523">
      <c r="A523" s="72"/>
      <c r="B523" s="95"/>
      <c r="C523" s="67"/>
      <c r="D523" s="55"/>
      <c r="E523" s="55"/>
      <c r="F523" s="55"/>
      <c r="G523" s="55"/>
      <c r="H523" s="55"/>
      <c r="I523" s="115"/>
      <c r="J523" s="55"/>
      <c r="K523" s="55"/>
      <c r="L523" s="55"/>
      <c r="M523" s="55"/>
      <c r="N523" s="55"/>
      <c r="O523" s="55"/>
      <c r="P523" s="55"/>
      <c r="Q523" s="67"/>
      <c r="R523" s="67"/>
      <c r="S523" s="67"/>
      <c r="T523" s="67"/>
      <c r="U523" s="116"/>
    </row>
    <row r="524">
      <c r="A524" s="72"/>
      <c r="B524" s="95"/>
      <c r="C524" s="67"/>
      <c r="D524" s="55"/>
      <c r="E524" s="55"/>
      <c r="F524" s="55"/>
      <c r="G524" s="55"/>
      <c r="H524" s="55"/>
      <c r="I524" s="115"/>
      <c r="J524" s="55"/>
      <c r="K524" s="55"/>
      <c r="L524" s="55"/>
      <c r="M524" s="55"/>
      <c r="N524" s="55"/>
      <c r="O524" s="55"/>
      <c r="P524" s="55"/>
      <c r="Q524" s="67"/>
      <c r="R524" s="67"/>
      <c r="S524" s="67"/>
      <c r="T524" s="67"/>
      <c r="U524" s="116"/>
    </row>
    <row r="525">
      <c r="A525" s="72"/>
      <c r="B525" s="95"/>
      <c r="C525" s="67"/>
      <c r="D525" s="55"/>
      <c r="E525" s="55"/>
      <c r="F525" s="55"/>
      <c r="G525" s="55"/>
      <c r="H525" s="55"/>
      <c r="I525" s="115"/>
      <c r="J525" s="55"/>
      <c r="K525" s="55"/>
      <c r="L525" s="55"/>
      <c r="M525" s="55"/>
      <c r="N525" s="55"/>
      <c r="O525" s="55"/>
      <c r="P525" s="55"/>
      <c r="Q525" s="67"/>
      <c r="R525" s="67"/>
      <c r="S525" s="67"/>
      <c r="T525" s="67"/>
      <c r="U525" s="116"/>
    </row>
    <row r="526">
      <c r="A526" s="72"/>
      <c r="B526" s="95"/>
      <c r="C526" s="67"/>
      <c r="D526" s="55"/>
      <c r="E526" s="55"/>
      <c r="F526" s="55"/>
      <c r="G526" s="55"/>
      <c r="H526" s="55"/>
      <c r="I526" s="115"/>
      <c r="J526" s="55"/>
      <c r="K526" s="55"/>
      <c r="L526" s="55"/>
      <c r="M526" s="55"/>
      <c r="N526" s="55"/>
      <c r="O526" s="55"/>
      <c r="P526" s="55"/>
      <c r="Q526" s="67"/>
      <c r="R526" s="67"/>
      <c r="S526" s="67"/>
      <c r="T526" s="67"/>
      <c r="U526" s="116"/>
    </row>
    <row r="527">
      <c r="A527" s="72"/>
      <c r="B527" s="95"/>
      <c r="C527" s="67"/>
      <c r="D527" s="55"/>
      <c r="E527" s="55"/>
      <c r="F527" s="55"/>
      <c r="G527" s="55"/>
      <c r="H527" s="55"/>
      <c r="I527" s="115"/>
      <c r="J527" s="55"/>
      <c r="K527" s="55"/>
      <c r="L527" s="55"/>
      <c r="M527" s="55"/>
      <c r="N527" s="55"/>
      <c r="O527" s="55"/>
      <c r="P527" s="55"/>
      <c r="Q527" s="67"/>
      <c r="R527" s="67"/>
      <c r="S527" s="67"/>
      <c r="T527" s="67"/>
      <c r="U527" s="116"/>
    </row>
    <row r="528">
      <c r="A528" s="72"/>
      <c r="B528" s="95"/>
      <c r="C528" s="67"/>
      <c r="D528" s="55"/>
      <c r="E528" s="55"/>
      <c r="F528" s="55"/>
      <c r="G528" s="55"/>
      <c r="H528" s="55"/>
      <c r="I528" s="115"/>
      <c r="J528" s="55"/>
      <c r="K528" s="55"/>
      <c r="L528" s="55"/>
      <c r="M528" s="55"/>
      <c r="N528" s="55"/>
      <c r="O528" s="55"/>
      <c r="P528" s="55"/>
      <c r="Q528" s="67"/>
      <c r="R528" s="67"/>
      <c r="S528" s="67"/>
      <c r="T528" s="67"/>
      <c r="U528" s="116"/>
    </row>
    <row r="529">
      <c r="A529" s="72"/>
      <c r="B529" s="95"/>
      <c r="C529" s="67"/>
      <c r="D529" s="55"/>
      <c r="E529" s="55"/>
      <c r="F529" s="55"/>
      <c r="G529" s="55"/>
      <c r="H529" s="55"/>
      <c r="I529" s="115"/>
      <c r="J529" s="55"/>
      <c r="K529" s="55"/>
      <c r="L529" s="55"/>
      <c r="M529" s="55"/>
      <c r="N529" s="55"/>
      <c r="O529" s="55"/>
      <c r="P529" s="55"/>
      <c r="Q529" s="67"/>
      <c r="R529" s="67"/>
      <c r="S529" s="67"/>
      <c r="T529" s="67"/>
      <c r="U529" s="116"/>
    </row>
    <row r="530">
      <c r="A530" s="72"/>
      <c r="B530" s="95"/>
      <c r="C530" s="67"/>
      <c r="D530" s="55"/>
      <c r="E530" s="55"/>
      <c r="F530" s="55"/>
      <c r="G530" s="55"/>
      <c r="H530" s="55"/>
      <c r="I530" s="115"/>
      <c r="J530" s="55"/>
      <c r="K530" s="55"/>
      <c r="L530" s="55"/>
      <c r="M530" s="55"/>
      <c r="N530" s="55"/>
      <c r="O530" s="55"/>
      <c r="P530" s="55"/>
      <c r="Q530" s="67"/>
      <c r="R530" s="67"/>
      <c r="S530" s="67"/>
      <c r="T530" s="67"/>
      <c r="U530" s="116"/>
    </row>
    <row r="531">
      <c r="A531" s="72"/>
      <c r="B531" s="95"/>
      <c r="C531" s="67"/>
      <c r="D531" s="55"/>
      <c r="E531" s="55"/>
      <c r="F531" s="55"/>
      <c r="G531" s="55"/>
      <c r="H531" s="55"/>
      <c r="I531" s="115"/>
      <c r="J531" s="55"/>
      <c r="K531" s="55"/>
      <c r="L531" s="55"/>
      <c r="M531" s="55"/>
      <c r="N531" s="55"/>
      <c r="O531" s="55"/>
      <c r="P531" s="55"/>
      <c r="Q531" s="67"/>
      <c r="R531" s="67"/>
      <c r="S531" s="67"/>
      <c r="T531" s="67"/>
      <c r="U531" s="116"/>
    </row>
    <row r="532">
      <c r="A532" s="72"/>
      <c r="B532" s="95"/>
      <c r="C532" s="67"/>
      <c r="D532" s="55"/>
      <c r="E532" s="55"/>
      <c r="F532" s="55"/>
      <c r="G532" s="55"/>
      <c r="H532" s="55"/>
      <c r="I532" s="115"/>
      <c r="J532" s="55"/>
      <c r="K532" s="55"/>
      <c r="L532" s="55"/>
      <c r="M532" s="55"/>
      <c r="N532" s="55"/>
      <c r="O532" s="55"/>
      <c r="P532" s="55"/>
      <c r="Q532" s="67"/>
      <c r="R532" s="67"/>
      <c r="S532" s="67"/>
      <c r="T532" s="67"/>
      <c r="U532" s="116"/>
    </row>
    <row r="533">
      <c r="A533" s="72"/>
      <c r="B533" s="95"/>
      <c r="C533" s="67"/>
      <c r="D533" s="55"/>
      <c r="E533" s="55"/>
      <c r="F533" s="55"/>
      <c r="G533" s="55"/>
      <c r="H533" s="55"/>
      <c r="I533" s="115"/>
      <c r="J533" s="55"/>
      <c r="K533" s="55"/>
      <c r="L533" s="55"/>
      <c r="M533" s="55"/>
      <c r="N533" s="55"/>
      <c r="O533" s="55"/>
      <c r="P533" s="55"/>
      <c r="Q533" s="67"/>
      <c r="R533" s="67"/>
      <c r="S533" s="67"/>
      <c r="T533" s="67"/>
      <c r="U533" s="116"/>
    </row>
    <row r="534">
      <c r="A534" s="72"/>
      <c r="B534" s="95"/>
      <c r="C534" s="67"/>
      <c r="D534" s="55"/>
      <c r="E534" s="55"/>
      <c r="F534" s="55"/>
      <c r="G534" s="55"/>
      <c r="H534" s="55"/>
      <c r="I534" s="115"/>
      <c r="J534" s="55"/>
      <c r="K534" s="55"/>
      <c r="L534" s="55"/>
      <c r="M534" s="55"/>
      <c r="N534" s="55"/>
      <c r="O534" s="55"/>
      <c r="P534" s="55"/>
      <c r="Q534" s="67"/>
      <c r="R534" s="67"/>
      <c r="S534" s="67"/>
      <c r="T534" s="67"/>
      <c r="U534" s="116"/>
    </row>
    <row r="535">
      <c r="A535" s="72"/>
      <c r="B535" s="95"/>
      <c r="C535" s="67"/>
      <c r="D535" s="55"/>
      <c r="E535" s="55"/>
      <c r="F535" s="55"/>
      <c r="G535" s="55"/>
      <c r="H535" s="55"/>
      <c r="I535" s="115"/>
      <c r="J535" s="55"/>
      <c r="K535" s="55"/>
      <c r="L535" s="55"/>
      <c r="M535" s="55"/>
      <c r="N535" s="55"/>
      <c r="O535" s="55"/>
      <c r="P535" s="55"/>
      <c r="Q535" s="67"/>
      <c r="R535" s="67"/>
      <c r="S535" s="67"/>
      <c r="T535" s="67"/>
      <c r="U535" s="116"/>
    </row>
    <row r="536">
      <c r="A536" s="72"/>
      <c r="B536" s="95"/>
      <c r="C536" s="67"/>
      <c r="D536" s="55"/>
      <c r="E536" s="55"/>
      <c r="F536" s="55"/>
      <c r="G536" s="55"/>
      <c r="H536" s="55"/>
      <c r="I536" s="115"/>
      <c r="J536" s="55"/>
      <c r="K536" s="55"/>
      <c r="L536" s="55"/>
      <c r="M536" s="55"/>
      <c r="N536" s="55"/>
      <c r="O536" s="55"/>
      <c r="P536" s="55"/>
      <c r="Q536" s="67"/>
      <c r="R536" s="67"/>
      <c r="S536" s="67"/>
      <c r="T536" s="67"/>
      <c r="U536" s="116"/>
    </row>
    <row r="537">
      <c r="A537" s="72"/>
      <c r="B537" s="95"/>
      <c r="C537" s="67"/>
      <c r="D537" s="55"/>
      <c r="E537" s="55"/>
      <c r="F537" s="55"/>
      <c r="G537" s="55"/>
      <c r="H537" s="55"/>
      <c r="I537" s="115"/>
      <c r="J537" s="55"/>
      <c r="K537" s="55"/>
      <c r="L537" s="55"/>
      <c r="M537" s="55"/>
      <c r="N537" s="55"/>
      <c r="O537" s="55"/>
      <c r="P537" s="55"/>
      <c r="Q537" s="67"/>
      <c r="R537" s="67"/>
      <c r="S537" s="67"/>
      <c r="T537" s="67"/>
      <c r="U537" s="116"/>
    </row>
    <row r="538">
      <c r="A538" s="72"/>
      <c r="B538" s="95"/>
      <c r="C538" s="67"/>
      <c r="D538" s="55"/>
      <c r="E538" s="55"/>
      <c r="F538" s="55"/>
      <c r="G538" s="55"/>
      <c r="H538" s="55"/>
      <c r="I538" s="115"/>
      <c r="J538" s="55"/>
      <c r="K538" s="55"/>
      <c r="L538" s="55"/>
      <c r="M538" s="55"/>
      <c r="N538" s="55"/>
      <c r="O538" s="55"/>
      <c r="P538" s="55"/>
      <c r="Q538" s="67"/>
      <c r="R538" s="67"/>
      <c r="S538" s="67"/>
      <c r="T538" s="67"/>
      <c r="U538" s="116"/>
    </row>
    <row r="539">
      <c r="A539" s="72"/>
      <c r="B539" s="95"/>
      <c r="C539" s="67"/>
      <c r="D539" s="55"/>
      <c r="E539" s="55"/>
      <c r="F539" s="55"/>
      <c r="G539" s="55"/>
      <c r="H539" s="55"/>
      <c r="I539" s="115"/>
      <c r="J539" s="55"/>
      <c r="K539" s="55"/>
      <c r="L539" s="55"/>
      <c r="M539" s="55"/>
      <c r="N539" s="55"/>
      <c r="O539" s="55"/>
      <c r="P539" s="55"/>
      <c r="Q539" s="67"/>
      <c r="R539" s="67"/>
      <c r="S539" s="67"/>
      <c r="T539" s="67"/>
      <c r="U539" s="116"/>
    </row>
    <row r="540">
      <c r="A540" s="72"/>
      <c r="B540" s="95"/>
      <c r="C540" s="67"/>
      <c r="D540" s="55"/>
      <c r="E540" s="55"/>
      <c r="F540" s="55"/>
      <c r="G540" s="55"/>
      <c r="H540" s="55"/>
      <c r="I540" s="115"/>
      <c r="J540" s="55"/>
      <c r="K540" s="55"/>
      <c r="L540" s="55"/>
      <c r="M540" s="55"/>
      <c r="N540" s="55"/>
      <c r="O540" s="55"/>
      <c r="P540" s="55"/>
      <c r="Q540" s="67"/>
      <c r="R540" s="67"/>
      <c r="S540" s="67"/>
      <c r="T540" s="67"/>
      <c r="U540" s="116"/>
    </row>
    <row r="541">
      <c r="A541" s="72"/>
      <c r="B541" s="95"/>
      <c r="C541" s="67"/>
      <c r="D541" s="55"/>
      <c r="E541" s="55"/>
      <c r="F541" s="55"/>
      <c r="G541" s="55"/>
      <c r="H541" s="55"/>
      <c r="I541" s="115"/>
      <c r="J541" s="55"/>
      <c r="K541" s="55"/>
      <c r="L541" s="55"/>
      <c r="M541" s="55"/>
      <c r="N541" s="55"/>
      <c r="O541" s="55"/>
      <c r="P541" s="55"/>
      <c r="Q541" s="67"/>
      <c r="R541" s="67"/>
      <c r="S541" s="67"/>
      <c r="T541" s="67"/>
      <c r="U541" s="116"/>
    </row>
    <row r="542">
      <c r="A542" s="72"/>
      <c r="B542" s="95"/>
      <c r="C542" s="67"/>
      <c r="D542" s="55"/>
      <c r="E542" s="55"/>
      <c r="F542" s="55"/>
      <c r="G542" s="55"/>
      <c r="H542" s="55"/>
      <c r="I542" s="115"/>
      <c r="J542" s="55"/>
      <c r="K542" s="55"/>
      <c r="L542" s="55"/>
      <c r="M542" s="55"/>
      <c r="N542" s="55"/>
      <c r="O542" s="55"/>
      <c r="P542" s="55"/>
      <c r="Q542" s="67"/>
      <c r="R542" s="67"/>
      <c r="S542" s="67"/>
      <c r="T542" s="67"/>
      <c r="U542" s="116"/>
    </row>
    <row r="543">
      <c r="A543" s="72"/>
      <c r="B543" s="95"/>
      <c r="C543" s="67"/>
      <c r="D543" s="55"/>
      <c r="E543" s="55"/>
      <c r="F543" s="55"/>
      <c r="G543" s="55"/>
      <c r="H543" s="55"/>
      <c r="I543" s="115"/>
      <c r="J543" s="55"/>
      <c r="K543" s="55"/>
      <c r="L543" s="55"/>
      <c r="M543" s="55"/>
      <c r="N543" s="55"/>
      <c r="O543" s="55"/>
      <c r="P543" s="55"/>
      <c r="Q543" s="67"/>
      <c r="R543" s="67"/>
      <c r="S543" s="67"/>
      <c r="T543" s="67"/>
      <c r="U543" s="116"/>
    </row>
    <row r="544">
      <c r="A544" s="72"/>
      <c r="B544" s="95"/>
      <c r="C544" s="67"/>
      <c r="D544" s="55"/>
      <c r="E544" s="55"/>
      <c r="F544" s="55"/>
      <c r="G544" s="55"/>
      <c r="H544" s="55"/>
      <c r="I544" s="115"/>
      <c r="J544" s="55"/>
      <c r="K544" s="55"/>
      <c r="L544" s="55"/>
      <c r="M544" s="55"/>
      <c r="N544" s="55"/>
      <c r="O544" s="55"/>
      <c r="P544" s="55"/>
      <c r="Q544" s="67"/>
      <c r="R544" s="67"/>
      <c r="S544" s="67"/>
      <c r="T544" s="67"/>
      <c r="U544" s="116"/>
    </row>
    <row r="545">
      <c r="A545" s="72"/>
      <c r="B545" s="95"/>
      <c r="C545" s="67"/>
      <c r="D545" s="55"/>
      <c r="E545" s="55"/>
      <c r="F545" s="55"/>
      <c r="G545" s="55"/>
      <c r="H545" s="55"/>
      <c r="I545" s="115"/>
      <c r="J545" s="55"/>
      <c r="K545" s="55"/>
      <c r="L545" s="55"/>
      <c r="M545" s="55"/>
      <c r="N545" s="55"/>
      <c r="O545" s="55"/>
      <c r="P545" s="55"/>
      <c r="Q545" s="67"/>
      <c r="R545" s="67"/>
      <c r="S545" s="67"/>
      <c r="T545" s="67"/>
      <c r="U545" s="116"/>
    </row>
    <row r="546">
      <c r="A546" s="72"/>
      <c r="B546" s="95"/>
      <c r="C546" s="67"/>
      <c r="D546" s="55"/>
      <c r="E546" s="55"/>
      <c r="F546" s="55"/>
      <c r="G546" s="55"/>
      <c r="H546" s="55"/>
      <c r="I546" s="115"/>
      <c r="J546" s="55"/>
      <c r="K546" s="55"/>
      <c r="L546" s="55"/>
      <c r="M546" s="55"/>
      <c r="N546" s="55"/>
      <c r="O546" s="55"/>
      <c r="P546" s="55"/>
      <c r="Q546" s="67"/>
      <c r="R546" s="67"/>
      <c r="S546" s="67"/>
      <c r="T546" s="67"/>
      <c r="U546" s="116"/>
    </row>
    <row r="547">
      <c r="A547" s="72"/>
      <c r="B547" s="95"/>
      <c r="C547" s="67"/>
      <c r="D547" s="55"/>
      <c r="E547" s="55"/>
      <c r="F547" s="55"/>
      <c r="G547" s="55"/>
      <c r="H547" s="55"/>
      <c r="I547" s="115"/>
      <c r="J547" s="55"/>
      <c r="K547" s="55"/>
      <c r="L547" s="55"/>
      <c r="M547" s="55"/>
      <c r="N547" s="55"/>
      <c r="O547" s="55"/>
      <c r="P547" s="55"/>
      <c r="Q547" s="67"/>
      <c r="R547" s="67"/>
      <c r="S547" s="67"/>
      <c r="T547" s="67"/>
      <c r="U547" s="116"/>
    </row>
    <row r="548">
      <c r="A548" s="72"/>
      <c r="B548" s="95"/>
      <c r="C548" s="67"/>
      <c r="D548" s="55"/>
      <c r="E548" s="55"/>
      <c r="F548" s="55"/>
      <c r="G548" s="55"/>
      <c r="H548" s="55"/>
      <c r="I548" s="115"/>
      <c r="J548" s="55"/>
      <c r="K548" s="55"/>
      <c r="L548" s="55"/>
      <c r="M548" s="55"/>
      <c r="N548" s="55"/>
      <c r="O548" s="55"/>
      <c r="P548" s="55"/>
      <c r="Q548" s="67"/>
      <c r="R548" s="67"/>
      <c r="S548" s="67"/>
      <c r="T548" s="67"/>
      <c r="U548" s="116"/>
    </row>
    <row r="549">
      <c r="A549" s="72"/>
      <c r="B549" s="95"/>
      <c r="C549" s="67"/>
      <c r="D549" s="55"/>
      <c r="E549" s="55"/>
      <c r="F549" s="55"/>
      <c r="G549" s="55"/>
      <c r="H549" s="55"/>
      <c r="I549" s="115"/>
      <c r="J549" s="55"/>
      <c r="K549" s="55"/>
      <c r="L549" s="55"/>
      <c r="M549" s="55"/>
      <c r="N549" s="55"/>
      <c r="O549" s="55"/>
      <c r="P549" s="55"/>
      <c r="Q549" s="67"/>
      <c r="R549" s="67"/>
      <c r="S549" s="67"/>
      <c r="T549" s="67"/>
      <c r="U549" s="116"/>
    </row>
    <row r="550">
      <c r="A550" s="72"/>
      <c r="B550" s="95"/>
      <c r="C550" s="67"/>
      <c r="D550" s="55"/>
      <c r="E550" s="55"/>
      <c r="F550" s="55"/>
      <c r="G550" s="55"/>
      <c r="H550" s="55"/>
      <c r="I550" s="115"/>
      <c r="J550" s="55"/>
      <c r="K550" s="55"/>
      <c r="L550" s="55"/>
      <c r="M550" s="55"/>
      <c r="N550" s="55"/>
      <c r="O550" s="55"/>
      <c r="P550" s="55"/>
      <c r="Q550" s="67"/>
      <c r="R550" s="67"/>
      <c r="S550" s="67"/>
      <c r="T550" s="67"/>
      <c r="U550" s="116"/>
    </row>
    <row r="551">
      <c r="A551" s="72"/>
      <c r="B551" s="95"/>
      <c r="C551" s="67"/>
      <c r="D551" s="55"/>
      <c r="E551" s="55"/>
      <c r="F551" s="55"/>
      <c r="G551" s="55"/>
      <c r="H551" s="55"/>
      <c r="I551" s="115"/>
      <c r="J551" s="55"/>
      <c r="K551" s="55"/>
      <c r="L551" s="55"/>
      <c r="M551" s="55"/>
      <c r="N551" s="55"/>
      <c r="O551" s="55"/>
      <c r="P551" s="55"/>
      <c r="Q551" s="67"/>
      <c r="R551" s="67"/>
      <c r="S551" s="67"/>
      <c r="T551" s="67"/>
      <c r="U551" s="116"/>
    </row>
    <row r="552">
      <c r="A552" s="72"/>
      <c r="B552" s="95"/>
      <c r="C552" s="67"/>
      <c r="D552" s="55"/>
      <c r="E552" s="55"/>
      <c r="F552" s="55"/>
      <c r="G552" s="55"/>
      <c r="H552" s="55"/>
      <c r="I552" s="115"/>
      <c r="J552" s="55"/>
      <c r="K552" s="55"/>
      <c r="L552" s="55"/>
      <c r="M552" s="55"/>
      <c r="N552" s="55"/>
      <c r="O552" s="55"/>
      <c r="P552" s="55"/>
      <c r="Q552" s="67"/>
      <c r="R552" s="67"/>
      <c r="S552" s="67"/>
      <c r="T552" s="67"/>
      <c r="U552" s="116"/>
    </row>
    <row r="553">
      <c r="A553" s="72"/>
      <c r="B553" s="95"/>
      <c r="C553" s="67"/>
      <c r="D553" s="55"/>
      <c r="E553" s="55"/>
      <c r="F553" s="55"/>
      <c r="G553" s="55"/>
      <c r="H553" s="55"/>
      <c r="I553" s="115"/>
      <c r="J553" s="55"/>
      <c r="K553" s="55"/>
      <c r="L553" s="55"/>
      <c r="M553" s="55"/>
      <c r="N553" s="55"/>
      <c r="O553" s="55"/>
      <c r="P553" s="55"/>
      <c r="Q553" s="67"/>
      <c r="R553" s="67"/>
      <c r="S553" s="67"/>
      <c r="T553" s="67"/>
      <c r="U553" s="116"/>
    </row>
    <row r="554">
      <c r="A554" s="72"/>
      <c r="B554" s="95"/>
      <c r="C554" s="67"/>
      <c r="D554" s="55"/>
      <c r="E554" s="55"/>
      <c r="F554" s="55"/>
      <c r="G554" s="55"/>
      <c r="H554" s="55"/>
      <c r="I554" s="115"/>
      <c r="J554" s="55"/>
      <c r="K554" s="55"/>
      <c r="L554" s="55"/>
      <c r="M554" s="55"/>
      <c r="N554" s="55"/>
      <c r="O554" s="55"/>
      <c r="P554" s="55"/>
      <c r="Q554" s="67"/>
      <c r="R554" s="67"/>
      <c r="S554" s="67"/>
      <c r="T554" s="67"/>
      <c r="U554" s="116"/>
    </row>
    <row r="555">
      <c r="A555" s="72"/>
      <c r="B555" s="95"/>
      <c r="C555" s="67"/>
      <c r="D555" s="55"/>
      <c r="E555" s="55"/>
      <c r="F555" s="55"/>
      <c r="G555" s="55"/>
      <c r="H555" s="55"/>
      <c r="I555" s="115"/>
      <c r="J555" s="55"/>
      <c r="K555" s="55"/>
      <c r="L555" s="55"/>
      <c r="M555" s="55"/>
      <c r="N555" s="55"/>
      <c r="O555" s="55"/>
      <c r="P555" s="55"/>
      <c r="Q555" s="67"/>
      <c r="R555" s="67"/>
      <c r="S555" s="67"/>
      <c r="T555" s="67"/>
      <c r="U555" s="116"/>
    </row>
    <row r="556">
      <c r="A556" s="72"/>
      <c r="B556" s="95"/>
      <c r="C556" s="67"/>
      <c r="D556" s="55"/>
      <c r="E556" s="55"/>
      <c r="F556" s="55"/>
      <c r="G556" s="55"/>
      <c r="H556" s="55"/>
      <c r="I556" s="115"/>
      <c r="J556" s="55"/>
      <c r="K556" s="55"/>
      <c r="L556" s="55"/>
      <c r="M556" s="55"/>
      <c r="N556" s="55"/>
      <c r="O556" s="55"/>
      <c r="P556" s="55"/>
      <c r="Q556" s="67"/>
      <c r="R556" s="67"/>
      <c r="S556" s="67"/>
      <c r="T556" s="67"/>
      <c r="U556" s="116"/>
    </row>
    <row r="557">
      <c r="A557" s="72"/>
      <c r="B557" s="95"/>
      <c r="C557" s="67"/>
      <c r="D557" s="55"/>
      <c r="E557" s="55"/>
      <c r="F557" s="55"/>
      <c r="G557" s="55"/>
      <c r="H557" s="55"/>
      <c r="I557" s="115"/>
      <c r="J557" s="55"/>
      <c r="K557" s="55"/>
      <c r="L557" s="55"/>
      <c r="M557" s="55"/>
      <c r="N557" s="55"/>
      <c r="O557" s="55"/>
      <c r="P557" s="55"/>
      <c r="Q557" s="67"/>
      <c r="R557" s="67"/>
      <c r="S557" s="67"/>
      <c r="T557" s="67"/>
      <c r="U557" s="116"/>
    </row>
    <row r="558">
      <c r="A558" s="72"/>
      <c r="B558" s="95"/>
      <c r="C558" s="67"/>
      <c r="D558" s="55"/>
      <c r="E558" s="55"/>
      <c r="F558" s="55"/>
      <c r="G558" s="55"/>
      <c r="H558" s="55"/>
      <c r="I558" s="115"/>
      <c r="J558" s="55"/>
      <c r="K558" s="55"/>
      <c r="L558" s="55"/>
      <c r="M558" s="55"/>
      <c r="N558" s="55"/>
      <c r="O558" s="55"/>
      <c r="P558" s="55"/>
      <c r="Q558" s="67"/>
      <c r="R558" s="67"/>
      <c r="S558" s="67"/>
      <c r="T558" s="67"/>
      <c r="U558" s="116"/>
    </row>
    <row r="559">
      <c r="A559" s="72"/>
      <c r="B559" s="95"/>
      <c r="C559" s="67"/>
      <c r="D559" s="55"/>
      <c r="E559" s="55"/>
      <c r="F559" s="55"/>
      <c r="G559" s="55"/>
      <c r="H559" s="55"/>
      <c r="I559" s="115"/>
      <c r="J559" s="55"/>
      <c r="K559" s="55"/>
      <c r="L559" s="55"/>
      <c r="M559" s="55"/>
      <c r="N559" s="55"/>
      <c r="O559" s="55"/>
      <c r="P559" s="55"/>
      <c r="Q559" s="67"/>
      <c r="R559" s="67"/>
      <c r="S559" s="67"/>
      <c r="T559" s="67"/>
      <c r="U559" s="116"/>
    </row>
    <row r="560">
      <c r="A560" s="72"/>
      <c r="B560" s="95"/>
      <c r="C560" s="67"/>
      <c r="D560" s="55"/>
      <c r="E560" s="55"/>
      <c r="F560" s="55"/>
      <c r="G560" s="55"/>
      <c r="H560" s="55"/>
      <c r="I560" s="115"/>
      <c r="J560" s="55"/>
      <c r="K560" s="55"/>
      <c r="L560" s="55"/>
      <c r="M560" s="55"/>
      <c r="N560" s="55"/>
      <c r="O560" s="55"/>
      <c r="P560" s="55"/>
      <c r="Q560" s="67"/>
      <c r="R560" s="67"/>
      <c r="S560" s="67"/>
      <c r="T560" s="67"/>
      <c r="U560" s="116"/>
    </row>
    <row r="561">
      <c r="A561" s="72"/>
      <c r="B561" s="95"/>
      <c r="C561" s="67"/>
      <c r="D561" s="55"/>
      <c r="E561" s="55"/>
      <c r="F561" s="55"/>
      <c r="G561" s="55"/>
      <c r="H561" s="55"/>
      <c r="I561" s="115"/>
      <c r="J561" s="55"/>
      <c r="K561" s="55"/>
      <c r="L561" s="55"/>
      <c r="M561" s="55"/>
      <c r="N561" s="55"/>
      <c r="O561" s="55"/>
      <c r="P561" s="55"/>
      <c r="Q561" s="67"/>
      <c r="R561" s="67"/>
      <c r="S561" s="67"/>
      <c r="T561" s="67"/>
      <c r="U561" s="116"/>
    </row>
    <row r="562">
      <c r="A562" s="72"/>
      <c r="B562" s="95"/>
      <c r="C562" s="67"/>
      <c r="D562" s="55"/>
      <c r="E562" s="55"/>
      <c r="F562" s="55"/>
      <c r="G562" s="55"/>
      <c r="H562" s="55"/>
      <c r="I562" s="115"/>
      <c r="J562" s="55"/>
      <c r="K562" s="55"/>
      <c r="L562" s="55"/>
      <c r="M562" s="55"/>
      <c r="N562" s="55"/>
      <c r="O562" s="55"/>
      <c r="P562" s="55"/>
      <c r="Q562" s="67"/>
      <c r="R562" s="67"/>
      <c r="S562" s="67"/>
      <c r="T562" s="67"/>
      <c r="U562" s="116"/>
    </row>
    <row r="563">
      <c r="A563" s="72"/>
      <c r="B563" s="95"/>
      <c r="C563" s="67"/>
      <c r="D563" s="55"/>
      <c r="E563" s="55"/>
      <c r="F563" s="55"/>
      <c r="G563" s="55"/>
      <c r="H563" s="55"/>
      <c r="I563" s="115"/>
      <c r="J563" s="55"/>
      <c r="K563" s="55"/>
      <c r="L563" s="55"/>
      <c r="M563" s="55"/>
      <c r="N563" s="55"/>
      <c r="O563" s="55"/>
      <c r="P563" s="55"/>
      <c r="Q563" s="67"/>
      <c r="R563" s="67"/>
      <c r="S563" s="67"/>
      <c r="T563" s="67"/>
      <c r="U563" s="116"/>
    </row>
    <row r="564">
      <c r="A564" s="72"/>
      <c r="B564" s="95"/>
      <c r="C564" s="67"/>
      <c r="D564" s="55"/>
      <c r="E564" s="55"/>
      <c r="F564" s="55"/>
      <c r="G564" s="55"/>
      <c r="H564" s="55"/>
      <c r="I564" s="115"/>
      <c r="J564" s="55"/>
      <c r="K564" s="55"/>
      <c r="L564" s="55"/>
      <c r="M564" s="55"/>
      <c r="N564" s="55"/>
      <c r="O564" s="55"/>
      <c r="P564" s="55"/>
      <c r="Q564" s="67"/>
      <c r="R564" s="67"/>
      <c r="S564" s="67"/>
      <c r="T564" s="67"/>
      <c r="U564" s="116"/>
    </row>
    <row r="565">
      <c r="A565" s="72"/>
      <c r="B565" s="95"/>
      <c r="C565" s="67"/>
      <c r="D565" s="55"/>
      <c r="E565" s="55"/>
      <c r="F565" s="55"/>
      <c r="G565" s="55"/>
      <c r="H565" s="55"/>
      <c r="I565" s="115"/>
      <c r="J565" s="55"/>
      <c r="K565" s="55"/>
      <c r="L565" s="55"/>
      <c r="M565" s="55"/>
      <c r="N565" s="55"/>
      <c r="O565" s="55"/>
      <c r="P565" s="55"/>
      <c r="Q565" s="67"/>
      <c r="R565" s="67"/>
      <c r="S565" s="67"/>
      <c r="T565" s="67"/>
      <c r="U565" s="116"/>
    </row>
    <row r="566">
      <c r="A566" s="72"/>
      <c r="B566" s="95"/>
      <c r="C566" s="67"/>
      <c r="D566" s="55"/>
      <c r="E566" s="55"/>
      <c r="F566" s="55"/>
      <c r="G566" s="55"/>
      <c r="H566" s="55"/>
      <c r="I566" s="115"/>
      <c r="J566" s="55"/>
      <c r="K566" s="55"/>
      <c r="L566" s="55"/>
      <c r="M566" s="55"/>
      <c r="N566" s="55"/>
      <c r="O566" s="55"/>
      <c r="P566" s="55"/>
      <c r="Q566" s="67"/>
      <c r="R566" s="67"/>
      <c r="S566" s="67"/>
      <c r="T566" s="67"/>
      <c r="U566" s="116"/>
    </row>
    <row r="567">
      <c r="A567" s="72"/>
      <c r="B567" s="95"/>
      <c r="C567" s="67"/>
      <c r="D567" s="55"/>
      <c r="E567" s="55"/>
      <c r="F567" s="55"/>
      <c r="G567" s="55"/>
      <c r="H567" s="55"/>
      <c r="I567" s="115"/>
      <c r="J567" s="55"/>
      <c r="K567" s="55"/>
      <c r="L567" s="55"/>
      <c r="M567" s="55"/>
      <c r="N567" s="55"/>
      <c r="O567" s="55"/>
      <c r="P567" s="55"/>
      <c r="Q567" s="67"/>
      <c r="R567" s="67"/>
      <c r="S567" s="67"/>
      <c r="T567" s="67"/>
      <c r="U567" s="116"/>
    </row>
    <row r="568">
      <c r="A568" s="72"/>
      <c r="B568" s="95"/>
      <c r="C568" s="67"/>
      <c r="D568" s="55"/>
      <c r="E568" s="55"/>
      <c r="F568" s="55"/>
      <c r="G568" s="55"/>
      <c r="H568" s="55"/>
      <c r="I568" s="115"/>
      <c r="J568" s="55"/>
      <c r="K568" s="55"/>
      <c r="L568" s="55"/>
      <c r="M568" s="55"/>
      <c r="N568" s="55"/>
      <c r="O568" s="55"/>
      <c r="P568" s="55"/>
      <c r="Q568" s="67"/>
      <c r="R568" s="67"/>
      <c r="S568" s="67"/>
      <c r="T568" s="67"/>
      <c r="U568" s="116"/>
    </row>
    <row r="569">
      <c r="A569" s="72"/>
      <c r="B569" s="95"/>
      <c r="C569" s="67"/>
      <c r="D569" s="55"/>
      <c r="E569" s="55"/>
      <c r="F569" s="55"/>
      <c r="G569" s="55"/>
      <c r="H569" s="55"/>
      <c r="I569" s="115"/>
      <c r="J569" s="55"/>
      <c r="K569" s="55"/>
      <c r="L569" s="55"/>
      <c r="M569" s="55"/>
      <c r="N569" s="55"/>
      <c r="O569" s="55"/>
      <c r="P569" s="55"/>
      <c r="Q569" s="67"/>
      <c r="R569" s="67"/>
      <c r="S569" s="67"/>
      <c r="T569" s="67"/>
      <c r="U569" s="116"/>
    </row>
    <row r="570">
      <c r="A570" s="72"/>
      <c r="B570" s="95"/>
      <c r="C570" s="67"/>
      <c r="D570" s="55"/>
      <c r="E570" s="55"/>
      <c r="F570" s="55"/>
      <c r="G570" s="55"/>
      <c r="H570" s="55"/>
      <c r="I570" s="115"/>
      <c r="J570" s="55"/>
      <c r="K570" s="55"/>
      <c r="L570" s="55"/>
      <c r="M570" s="55"/>
      <c r="N570" s="55"/>
      <c r="O570" s="55"/>
      <c r="P570" s="55"/>
      <c r="Q570" s="67"/>
      <c r="R570" s="67"/>
      <c r="S570" s="67"/>
      <c r="T570" s="67"/>
      <c r="U570" s="116"/>
    </row>
    <row r="571">
      <c r="A571" s="72"/>
      <c r="B571" s="95"/>
      <c r="C571" s="67"/>
      <c r="D571" s="55"/>
      <c r="E571" s="55"/>
      <c r="F571" s="55"/>
      <c r="G571" s="55"/>
      <c r="H571" s="55"/>
      <c r="I571" s="115"/>
      <c r="J571" s="55"/>
      <c r="K571" s="55"/>
      <c r="L571" s="55"/>
      <c r="M571" s="55"/>
      <c r="N571" s="55"/>
      <c r="O571" s="55"/>
      <c r="P571" s="55"/>
      <c r="Q571" s="67"/>
      <c r="R571" s="67"/>
      <c r="S571" s="67"/>
      <c r="T571" s="67"/>
      <c r="U571" s="116"/>
    </row>
    <row r="572">
      <c r="A572" s="72"/>
      <c r="B572" s="95"/>
      <c r="C572" s="67"/>
      <c r="D572" s="55"/>
      <c r="E572" s="55"/>
      <c r="F572" s="55"/>
      <c r="G572" s="55"/>
      <c r="H572" s="55"/>
      <c r="I572" s="115"/>
      <c r="J572" s="55"/>
      <c r="K572" s="55"/>
      <c r="L572" s="55"/>
      <c r="M572" s="55"/>
      <c r="N572" s="55"/>
      <c r="O572" s="55"/>
      <c r="P572" s="55"/>
      <c r="Q572" s="67"/>
      <c r="R572" s="67"/>
      <c r="S572" s="67"/>
      <c r="T572" s="67"/>
      <c r="U572" s="116"/>
    </row>
    <row r="573">
      <c r="A573" s="72"/>
      <c r="B573" s="95"/>
      <c r="C573" s="67"/>
      <c r="D573" s="55"/>
      <c r="E573" s="55"/>
      <c r="F573" s="55"/>
      <c r="G573" s="55"/>
      <c r="H573" s="55"/>
      <c r="I573" s="115"/>
      <c r="J573" s="55"/>
      <c r="K573" s="55"/>
      <c r="L573" s="55"/>
      <c r="M573" s="55"/>
      <c r="N573" s="55"/>
      <c r="O573" s="55"/>
      <c r="P573" s="55"/>
      <c r="Q573" s="67"/>
      <c r="R573" s="67"/>
      <c r="S573" s="67"/>
      <c r="T573" s="67"/>
      <c r="U573" s="116"/>
    </row>
    <row r="574">
      <c r="A574" s="72"/>
      <c r="B574" s="95"/>
      <c r="C574" s="67"/>
      <c r="D574" s="55"/>
      <c r="E574" s="55"/>
      <c r="F574" s="55"/>
      <c r="G574" s="55"/>
      <c r="H574" s="55"/>
      <c r="I574" s="115"/>
      <c r="J574" s="55"/>
      <c r="K574" s="55"/>
      <c r="L574" s="55"/>
      <c r="M574" s="55"/>
      <c r="N574" s="55"/>
      <c r="O574" s="55"/>
      <c r="P574" s="55"/>
      <c r="Q574" s="67"/>
      <c r="R574" s="67"/>
      <c r="S574" s="67"/>
      <c r="T574" s="67"/>
      <c r="U574" s="116"/>
    </row>
    <row r="575">
      <c r="A575" s="72"/>
      <c r="B575" s="95"/>
      <c r="C575" s="67"/>
      <c r="D575" s="55"/>
      <c r="E575" s="55"/>
      <c r="F575" s="55"/>
      <c r="G575" s="55"/>
      <c r="H575" s="55"/>
      <c r="I575" s="115"/>
      <c r="J575" s="55"/>
      <c r="K575" s="55"/>
      <c r="L575" s="55"/>
      <c r="M575" s="55"/>
      <c r="N575" s="55"/>
      <c r="O575" s="55"/>
      <c r="P575" s="55"/>
      <c r="Q575" s="67"/>
      <c r="R575" s="67"/>
      <c r="S575" s="67"/>
      <c r="T575" s="67"/>
      <c r="U575" s="116"/>
    </row>
    <row r="576">
      <c r="A576" s="72"/>
      <c r="B576" s="95"/>
      <c r="C576" s="67"/>
      <c r="D576" s="55"/>
      <c r="E576" s="55"/>
      <c r="F576" s="55"/>
      <c r="G576" s="55"/>
      <c r="H576" s="55"/>
      <c r="I576" s="115"/>
      <c r="J576" s="55"/>
      <c r="K576" s="55"/>
      <c r="L576" s="55"/>
      <c r="M576" s="55"/>
      <c r="N576" s="55"/>
      <c r="O576" s="55"/>
      <c r="P576" s="55"/>
      <c r="Q576" s="67"/>
      <c r="R576" s="67"/>
      <c r="S576" s="67"/>
      <c r="T576" s="67"/>
      <c r="U576" s="116"/>
    </row>
    <row r="577">
      <c r="A577" s="72"/>
      <c r="B577" s="95"/>
      <c r="C577" s="67"/>
      <c r="D577" s="55"/>
      <c r="E577" s="55"/>
      <c r="F577" s="55"/>
      <c r="G577" s="55"/>
      <c r="H577" s="55"/>
      <c r="I577" s="115"/>
      <c r="J577" s="55"/>
      <c r="K577" s="55"/>
      <c r="L577" s="55"/>
      <c r="M577" s="55"/>
      <c r="N577" s="55"/>
      <c r="O577" s="55"/>
      <c r="P577" s="55"/>
      <c r="Q577" s="67"/>
      <c r="R577" s="67"/>
      <c r="S577" s="67"/>
      <c r="T577" s="67"/>
      <c r="U577" s="116"/>
    </row>
    <row r="578">
      <c r="A578" s="72"/>
      <c r="B578" s="95"/>
      <c r="C578" s="67"/>
      <c r="D578" s="55"/>
      <c r="E578" s="55"/>
      <c r="F578" s="55"/>
      <c r="G578" s="55"/>
      <c r="H578" s="55"/>
      <c r="I578" s="115"/>
      <c r="J578" s="55"/>
      <c r="K578" s="55"/>
      <c r="L578" s="55"/>
      <c r="M578" s="55"/>
      <c r="N578" s="55"/>
      <c r="O578" s="55"/>
      <c r="P578" s="55"/>
      <c r="Q578" s="67"/>
      <c r="R578" s="67"/>
      <c r="S578" s="67"/>
      <c r="T578" s="67"/>
      <c r="U578" s="116"/>
    </row>
    <row r="579">
      <c r="A579" s="72"/>
      <c r="B579" s="95"/>
      <c r="C579" s="67"/>
      <c r="D579" s="55"/>
      <c r="E579" s="55"/>
      <c r="F579" s="55"/>
      <c r="G579" s="55"/>
      <c r="H579" s="55"/>
      <c r="I579" s="115"/>
      <c r="J579" s="55"/>
      <c r="K579" s="55"/>
      <c r="L579" s="55"/>
      <c r="M579" s="55"/>
      <c r="N579" s="55"/>
      <c r="O579" s="55"/>
      <c r="P579" s="55"/>
      <c r="Q579" s="67"/>
      <c r="R579" s="67"/>
      <c r="S579" s="67"/>
      <c r="T579" s="67"/>
      <c r="U579" s="116"/>
    </row>
    <row r="580">
      <c r="A580" s="72"/>
      <c r="B580" s="95"/>
      <c r="C580" s="67"/>
      <c r="D580" s="55"/>
      <c r="E580" s="55"/>
      <c r="F580" s="55"/>
      <c r="G580" s="55"/>
      <c r="H580" s="55"/>
      <c r="I580" s="115"/>
      <c r="J580" s="55"/>
      <c r="K580" s="55"/>
      <c r="L580" s="55"/>
      <c r="M580" s="55"/>
      <c r="N580" s="55"/>
      <c r="O580" s="55"/>
      <c r="P580" s="55"/>
      <c r="Q580" s="67"/>
      <c r="R580" s="67"/>
      <c r="S580" s="67"/>
      <c r="T580" s="67"/>
      <c r="U580" s="116"/>
    </row>
    <row r="581">
      <c r="A581" s="72"/>
      <c r="B581" s="95"/>
      <c r="C581" s="67"/>
      <c r="D581" s="55"/>
      <c r="E581" s="55"/>
      <c r="F581" s="55"/>
      <c r="G581" s="55"/>
      <c r="H581" s="55"/>
      <c r="I581" s="115"/>
      <c r="J581" s="55"/>
      <c r="K581" s="55"/>
      <c r="L581" s="55"/>
      <c r="M581" s="55"/>
      <c r="N581" s="55"/>
      <c r="O581" s="55"/>
      <c r="P581" s="55"/>
      <c r="Q581" s="67"/>
      <c r="R581" s="67"/>
      <c r="S581" s="67"/>
      <c r="T581" s="67"/>
      <c r="U581" s="116"/>
    </row>
    <row r="582">
      <c r="A582" s="72"/>
      <c r="B582" s="95"/>
      <c r="C582" s="67"/>
      <c r="D582" s="55"/>
      <c r="E582" s="55"/>
      <c r="F582" s="55"/>
      <c r="G582" s="55"/>
      <c r="H582" s="55"/>
      <c r="I582" s="115"/>
      <c r="J582" s="55"/>
      <c r="K582" s="55"/>
      <c r="L582" s="55"/>
      <c r="M582" s="55"/>
      <c r="N582" s="55"/>
      <c r="O582" s="55"/>
      <c r="P582" s="55"/>
      <c r="Q582" s="67"/>
      <c r="R582" s="67"/>
      <c r="S582" s="67"/>
      <c r="T582" s="67"/>
      <c r="U582" s="116"/>
    </row>
    <row r="583">
      <c r="A583" s="72"/>
      <c r="B583" s="95"/>
      <c r="C583" s="67"/>
      <c r="D583" s="55"/>
      <c r="E583" s="55"/>
      <c r="F583" s="55"/>
      <c r="G583" s="55"/>
      <c r="H583" s="55"/>
      <c r="I583" s="115"/>
      <c r="J583" s="55"/>
      <c r="K583" s="55"/>
      <c r="L583" s="55"/>
      <c r="M583" s="55"/>
      <c r="N583" s="55"/>
      <c r="O583" s="55"/>
      <c r="P583" s="55"/>
      <c r="Q583" s="67"/>
      <c r="R583" s="67"/>
      <c r="S583" s="67"/>
      <c r="T583" s="67"/>
      <c r="U583" s="116"/>
    </row>
    <row r="584">
      <c r="A584" s="72"/>
      <c r="B584" s="95"/>
      <c r="C584" s="67"/>
      <c r="D584" s="55"/>
      <c r="E584" s="55"/>
      <c r="F584" s="55"/>
      <c r="G584" s="55"/>
      <c r="H584" s="55"/>
      <c r="I584" s="115"/>
      <c r="J584" s="55"/>
      <c r="K584" s="55"/>
      <c r="L584" s="55"/>
      <c r="M584" s="55"/>
      <c r="N584" s="55"/>
      <c r="O584" s="55"/>
      <c r="P584" s="55"/>
      <c r="Q584" s="67"/>
      <c r="R584" s="67"/>
      <c r="S584" s="67"/>
      <c r="T584" s="67"/>
      <c r="U584" s="116"/>
    </row>
    <row r="585">
      <c r="A585" s="72"/>
      <c r="B585" s="95"/>
      <c r="C585" s="67"/>
      <c r="D585" s="55"/>
      <c r="E585" s="55"/>
      <c r="F585" s="55"/>
      <c r="G585" s="55"/>
      <c r="H585" s="55"/>
      <c r="I585" s="115"/>
      <c r="J585" s="55"/>
      <c r="K585" s="55"/>
      <c r="L585" s="55"/>
      <c r="M585" s="55"/>
      <c r="N585" s="55"/>
      <c r="O585" s="55"/>
      <c r="P585" s="55"/>
      <c r="Q585" s="67"/>
      <c r="R585" s="67"/>
      <c r="S585" s="67"/>
      <c r="T585" s="67"/>
      <c r="U585" s="116"/>
    </row>
    <row r="586">
      <c r="A586" s="72"/>
      <c r="B586" s="95"/>
      <c r="C586" s="67"/>
      <c r="D586" s="55"/>
      <c r="E586" s="55"/>
      <c r="F586" s="55"/>
      <c r="G586" s="55"/>
      <c r="H586" s="55"/>
      <c r="I586" s="115"/>
      <c r="J586" s="55"/>
      <c r="K586" s="55"/>
      <c r="L586" s="55"/>
      <c r="M586" s="55"/>
      <c r="N586" s="55"/>
      <c r="O586" s="55"/>
      <c r="P586" s="55"/>
      <c r="Q586" s="67"/>
      <c r="R586" s="67"/>
      <c r="S586" s="67"/>
      <c r="T586" s="67"/>
      <c r="U586" s="116"/>
    </row>
    <row r="587">
      <c r="A587" s="72"/>
      <c r="B587" s="95"/>
      <c r="C587" s="67"/>
      <c r="D587" s="55"/>
      <c r="E587" s="55"/>
      <c r="F587" s="55"/>
      <c r="G587" s="55"/>
      <c r="H587" s="55"/>
      <c r="I587" s="115"/>
      <c r="J587" s="55"/>
      <c r="K587" s="55"/>
      <c r="L587" s="55"/>
      <c r="M587" s="55"/>
      <c r="N587" s="55"/>
      <c r="O587" s="55"/>
      <c r="P587" s="55"/>
      <c r="Q587" s="67"/>
      <c r="R587" s="67"/>
      <c r="S587" s="67"/>
      <c r="T587" s="67"/>
      <c r="U587" s="116"/>
    </row>
    <row r="588">
      <c r="A588" s="72"/>
      <c r="B588" s="95"/>
      <c r="C588" s="67"/>
      <c r="D588" s="55"/>
      <c r="E588" s="55"/>
      <c r="F588" s="55"/>
      <c r="G588" s="55"/>
      <c r="H588" s="55"/>
      <c r="I588" s="115"/>
      <c r="J588" s="55"/>
      <c r="K588" s="55"/>
      <c r="L588" s="55"/>
      <c r="M588" s="55"/>
      <c r="N588" s="55"/>
      <c r="O588" s="55"/>
      <c r="P588" s="55"/>
      <c r="Q588" s="67"/>
      <c r="R588" s="67"/>
      <c r="S588" s="67"/>
      <c r="T588" s="67"/>
      <c r="U588" s="116"/>
    </row>
    <row r="589">
      <c r="A589" s="72"/>
      <c r="B589" s="95"/>
      <c r="C589" s="67"/>
      <c r="D589" s="55"/>
      <c r="E589" s="55"/>
      <c r="F589" s="55"/>
      <c r="G589" s="55"/>
      <c r="H589" s="55"/>
      <c r="I589" s="115"/>
      <c r="J589" s="55"/>
      <c r="K589" s="55"/>
      <c r="L589" s="55"/>
      <c r="M589" s="55"/>
      <c r="N589" s="55"/>
      <c r="O589" s="55"/>
      <c r="P589" s="55"/>
      <c r="Q589" s="67"/>
      <c r="R589" s="67"/>
      <c r="S589" s="67"/>
      <c r="T589" s="67"/>
      <c r="U589" s="116"/>
    </row>
    <row r="590">
      <c r="A590" s="72"/>
      <c r="B590" s="95"/>
      <c r="C590" s="67"/>
      <c r="D590" s="55"/>
      <c r="E590" s="55"/>
      <c r="F590" s="55"/>
      <c r="G590" s="55"/>
      <c r="H590" s="55"/>
      <c r="I590" s="115"/>
      <c r="J590" s="55"/>
      <c r="K590" s="55"/>
      <c r="L590" s="55"/>
      <c r="M590" s="55"/>
      <c r="N590" s="55"/>
      <c r="O590" s="55"/>
      <c r="P590" s="55"/>
      <c r="Q590" s="67"/>
      <c r="R590" s="67"/>
      <c r="S590" s="67"/>
      <c r="T590" s="67"/>
      <c r="U590" s="116"/>
    </row>
    <row r="591">
      <c r="A591" s="72"/>
      <c r="B591" s="95"/>
      <c r="C591" s="67"/>
      <c r="D591" s="55"/>
      <c r="E591" s="55"/>
      <c r="F591" s="55"/>
      <c r="G591" s="55"/>
      <c r="H591" s="55"/>
      <c r="I591" s="115"/>
      <c r="J591" s="55"/>
      <c r="K591" s="55"/>
      <c r="L591" s="55"/>
      <c r="M591" s="55"/>
      <c r="N591" s="55"/>
      <c r="O591" s="55"/>
      <c r="P591" s="55"/>
      <c r="Q591" s="67"/>
      <c r="R591" s="67"/>
      <c r="S591" s="67"/>
      <c r="T591" s="67"/>
      <c r="U591" s="116"/>
    </row>
    <row r="592">
      <c r="A592" s="72"/>
      <c r="B592" s="95"/>
      <c r="C592" s="67"/>
      <c r="D592" s="55"/>
      <c r="E592" s="55"/>
      <c r="F592" s="55"/>
      <c r="G592" s="55"/>
      <c r="H592" s="55"/>
      <c r="I592" s="115"/>
      <c r="J592" s="55"/>
      <c r="K592" s="55"/>
      <c r="L592" s="55"/>
      <c r="M592" s="55"/>
      <c r="N592" s="55"/>
      <c r="O592" s="55"/>
      <c r="P592" s="55"/>
      <c r="Q592" s="67"/>
      <c r="R592" s="67"/>
      <c r="S592" s="67"/>
      <c r="T592" s="67"/>
      <c r="U592" s="116"/>
    </row>
    <row r="593">
      <c r="A593" s="72"/>
      <c r="B593" s="95"/>
      <c r="C593" s="67"/>
      <c r="D593" s="55"/>
      <c r="E593" s="55"/>
      <c r="F593" s="55"/>
      <c r="G593" s="55"/>
      <c r="H593" s="55"/>
      <c r="I593" s="115"/>
      <c r="J593" s="55"/>
      <c r="K593" s="55"/>
      <c r="L593" s="55"/>
      <c r="M593" s="55"/>
      <c r="N593" s="55"/>
      <c r="O593" s="55"/>
      <c r="P593" s="55"/>
      <c r="Q593" s="67"/>
      <c r="R593" s="67"/>
      <c r="S593" s="67"/>
      <c r="T593" s="67"/>
      <c r="U593" s="116"/>
    </row>
    <row r="594">
      <c r="A594" s="72"/>
      <c r="B594" s="95"/>
      <c r="C594" s="67"/>
      <c r="D594" s="55"/>
      <c r="E594" s="55"/>
      <c r="F594" s="55"/>
      <c r="G594" s="55"/>
      <c r="H594" s="55"/>
      <c r="I594" s="115"/>
      <c r="J594" s="55"/>
      <c r="K594" s="55"/>
      <c r="L594" s="55"/>
      <c r="M594" s="55"/>
      <c r="N594" s="55"/>
      <c r="O594" s="55"/>
      <c r="P594" s="55"/>
      <c r="Q594" s="67"/>
      <c r="R594" s="67"/>
      <c r="S594" s="67"/>
      <c r="T594" s="67"/>
      <c r="U594" s="116"/>
    </row>
    <row r="595">
      <c r="A595" s="72"/>
      <c r="B595" s="95"/>
      <c r="C595" s="67"/>
      <c r="D595" s="55"/>
      <c r="E595" s="55"/>
      <c r="F595" s="55"/>
      <c r="G595" s="55"/>
      <c r="H595" s="55"/>
      <c r="I595" s="115"/>
      <c r="J595" s="55"/>
      <c r="K595" s="55"/>
      <c r="L595" s="55"/>
      <c r="M595" s="55"/>
      <c r="N595" s="55"/>
      <c r="O595" s="55"/>
      <c r="P595" s="55"/>
      <c r="Q595" s="67"/>
      <c r="R595" s="67"/>
      <c r="S595" s="67"/>
      <c r="T595" s="67"/>
      <c r="U595" s="116"/>
    </row>
    <row r="596">
      <c r="A596" s="72"/>
      <c r="B596" s="95"/>
      <c r="C596" s="67"/>
      <c r="D596" s="55"/>
      <c r="E596" s="55"/>
      <c r="F596" s="55"/>
      <c r="G596" s="55"/>
      <c r="H596" s="55"/>
      <c r="I596" s="115"/>
      <c r="J596" s="55"/>
      <c r="K596" s="55"/>
      <c r="L596" s="55"/>
      <c r="M596" s="55"/>
      <c r="N596" s="55"/>
      <c r="O596" s="55"/>
      <c r="P596" s="55"/>
      <c r="Q596" s="67"/>
      <c r="R596" s="67"/>
      <c r="S596" s="67"/>
      <c r="T596" s="67"/>
      <c r="U596" s="116"/>
    </row>
    <row r="597">
      <c r="A597" s="72"/>
      <c r="B597" s="95"/>
      <c r="C597" s="67"/>
      <c r="D597" s="55"/>
      <c r="E597" s="55"/>
      <c r="F597" s="55"/>
      <c r="G597" s="55"/>
      <c r="H597" s="55"/>
      <c r="I597" s="115"/>
      <c r="J597" s="55"/>
      <c r="K597" s="55"/>
      <c r="L597" s="55"/>
      <c r="M597" s="55"/>
      <c r="N597" s="55"/>
      <c r="O597" s="55"/>
      <c r="P597" s="55"/>
      <c r="Q597" s="67"/>
      <c r="R597" s="67"/>
      <c r="S597" s="67"/>
      <c r="T597" s="67"/>
      <c r="U597" s="116"/>
    </row>
    <row r="598">
      <c r="A598" s="72"/>
      <c r="B598" s="95"/>
      <c r="C598" s="67"/>
      <c r="D598" s="55"/>
      <c r="E598" s="55"/>
      <c r="F598" s="55"/>
      <c r="G598" s="55"/>
      <c r="H598" s="55"/>
      <c r="I598" s="115"/>
      <c r="J598" s="55"/>
      <c r="K598" s="55"/>
      <c r="L598" s="55"/>
      <c r="M598" s="55"/>
      <c r="N598" s="55"/>
      <c r="O598" s="55"/>
      <c r="P598" s="55"/>
      <c r="Q598" s="67"/>
      <c r="R598" s="67"/>
      <c r="S598" s="67"/>
      <c r="T598" s="67"/>
      <c r="U598" s="116"/>
    </row>
    <row r="599">
      <c r="A599" s="72"/>
      <c r="B599" s="95"/>
      <c r="C599" s="67"/>
      <c r="D599" s="55"/>
      <c r="E599" s="55"/>
      <c r="F599" s="55"/>
      <c r="G599" s="55"/>
      <c r="H599" s="55"/>
      <c r="I599" s="115"/>
      <c r="J599" s="55"/>
      <c r="K599" s="55"/>
      <c r="L599" s="55"/>
      <c r="M599" s="55"/>
      <c r="N599" s="55"/>
      <c r="O599" s="55"/>
      <c r="P599" s="55"/>
      <c r="Q599" s="67"/>
      <c r="R599" s="67"/>
      <c r="S599" s="67"/>
      <c r="T599" s="67"/>
      <c r="U599" s="116"/>
    </row>
    <row r="600">
      <c r="A600" s="72"/>
      <c r="B600" s="95"/>
      <c r="C600" s="67"/>
      <c r="D600" s="55"/>
      <c r="E600" s="55"/>
      <c r="F600" s="55"/>
      <c r="G600" s="55"/>
      <c r="H600" s="55"/>
      <c r="I600" s="115"/>
      <c r="J600" s="55"/>
      <c r="K600" s="55"/>
      <c r="L600" s="55"/>
      <c r="M600" s="55"/>
      <c r="N600" s="55"/>
      <c r="O600" s="55"/>
      <c r="P600" s="55"/>
      <c r="Q600" s="67"/>
      <c r="R600" s="67"/>
      <c r="S600" s="67"/>
      <c r="T600" s="67"/>
      <c r="U600" s="116"/>
    </row>
    <row r="601">
      <c r="A601" s="72"/>
      <c r="B601" s="95"/>
      <c r="C601" s="67"/>
      <c r="D601" s="55"/>
      <c r="E601" s="55"/>
      <c r="F601" s="55"/>
      <c r="G601" s="55"/>
      <c r="H601" s="55"/>
      <c r="I601" s="115"/>
      <c r="J601" s="55"/>
      <c r="K601" s="55"/>
      <c r="L601" s="55"/>
      <c r="M601" s="55"/>
      <c r="N601" s="55"/>
      <c r="O601" s="55"/>
      <c r="P601" s="55"/>
      <c r="Q601" s="67"/>
      <c r="R601" s="67"/>
      <c r="S601" s="67"/>
      <c r="T601" s="67"/>
      <c r="U601" s="116"/>
    </row>
    <row r="602">
      <c r="A602" s="72"/>
      <c r="B602" s="95"/>
      <c r="C602" s="67"/>
      <c r="D602" s="55"/>
      <c r="E602" s="55"/>
      <c r="F602" s="55"/>
      <c r="G602" s="55"/>
      <c r="H602" s="55"/>
      <c r="I602" s="115"/>
      <c r="J602" s="55"/>
      <c r="K602" s="55"/>
      <c r="L602" s="55"/>
      <c r="M602" s="55"/>
      <c r="N602" s="55"/>
      <c r="O602" s="55"/>
      <c r="P602" s="55"/>
      <c r="Q602" s="67"/>
      <c r="R602" s="67"/>
      <c r="S602" s="67"/>
      <c r="T602" s="67"/>
      <c r="U602" s="116"/>
    </row>
    <row r="603">
      <c r="A603" s="72"/>
      <c r="B603" s="95"/>
      <c r="C603" s="67"/>
      <c r="D603" s="55"/>
      <c r="E603" s="55"/>
      <c r="F603" s="55"/>
      <c r="G603" s="55"/>
      <c r="H603" s="55"/>
      <c r="I603" s="115"/>
      <c r="J603" s="55"/>
      <c r="K603" s="55"/>
      <c r="L603" s="55"/>
      <c r="M603" s="55"/>
      <c r="N603" s="55"/>
      <c r="O603" s="55"/>
      <c r="P603" s="55"/>
      <c r="Q603" s="67"/>
      <c r="R603" s="67"/>
      <c r="S603" s="67"/>
      <c r="T603" s="67"/>
      <c r="U603" s="116"/>
    </row>
    <row r="604">
      <c r="A604" s="72"/>
      <c r="B604" s="95"/>
      <c r="C604" s="67"/>
      <c r="D604" s="55"/>
      <c r="E604" s="55"/>
      <c r="F604" s="55"/>
      <c r="G604" s="55"/>
      <c r="H604" s="55"/>
      <c r="I604" s="115"/>
      <c r="J604" s="55"/>
      <c r="K604" s="55"/>
      <c r="L604" s="55"/>
      <c r="M604" s="55"/>
      <c r="N604" s="55"/>
      <c r="O604" s="55"/>
      <c r="P604" s="55"/>
      <c r="Q604" s="67"/>
      <c r="R604" s="67"/>
      <c r="S604" s="67"/>
      <c r="T604" s="67"/>
      <c r="U604" s="116"/>
    </row>
    <row r="605">
      <c r="A605" s="72"/>
      <c r="B605" s="95"/>
      <c r="C605" s="67"/>
      <c r="D605" s="55"/>
      <c r="E605" s="55"/>
      <c r="F605" s="55"/>
      <c r="G605" s="55"/>
      <c r="H605" s="55"/>
      <c r="I605" s="115"/>
      <c r="J605" s="55"/>
      <c r="K605" s="55"/>
      <c r="L605" s="55"/>
      <c r="M605" s="55"/>
      <c r="N605" s="55"/>
      <c r="O605" s="55"/>
      <c r="P605" s="55"/>
      <c r="Q605" s="67"/>
      <c r="R605" s="67"/>
      <c r="S605" s="67"/>
      <c r="T605" s="67"/>
      <c r="U605" s="116"/>
    </row>
    <row r="606">
      <c r="A606" s="72"/>
      <c r="B606" s="95"/>
      <c r="C606" s="67"/>
      <c r="D606" s="55"/>
      <c r="E606" s="55"/>
      <c r="F606" s="55"/>
      <c r="G606" s="55"/>
      <c r="H606" s="55"/>
      <c r="I606" s="115"/>
      <c r="J606" s="55"/>
      <c r="K606" s="55"/>
      <c r="L606" s="55"/>
      <c r="M606" s="55"/>
      <c r="N606" s="55"/>
      <c r="O606" s="55"/>
      <c r="P606" s="55"/>
      <c r="Q606" s="67"/>
      <c r="R606" s="67"/>
      <c r="S606" s="67"/>
      <c r="T606" s="67"/>
      <c r="U606" s="116"/>
    </row>
    <row r="607">
      <c r="A607" s="72"/>
      <c r="B607" s="95"/>
      <c r="C607" s="67"/>
      <c r="D607" s="55"/>
      <c r="E607" s="55"/>
      <c r="F607" s="55"/>
      <c r="G607" s="55"/>
      <c r="H607" s="55"/>
      <c r="I607" s="115"/>
      <c r="J607" s="55"/>
      <c r="K607" s="55"/>
      <c r="L607" s="55"/>
      <c r="M607" s="55"/>
      <c r="N607" s="55"/>
      <c r="O607" s="55"/>
      <c r="P607" s="55"/>
      <c r="Q607" s="67"/>
      <c r="R607" s="67"/>
      <c r="S607" s="67"/>
      <c r="T607" s="67"/>
      <c r="U607" s="116"/>
    </row>
    <row r="608">
      <c r="A608" s="72"/>
      <c r="B608" s="95"/>
      <c r="C608" s="67"/>
      <c r="D608" s="55"/>
      <c r="E608" s="55"/>
      <c r="F608" s="55"/>
      <c r="G608" s="55"/>
      <c r="H608" s="55"/>
      <c r="I608" s="115"/>
      <c r="J608" s="55"/>
      <c r="K608" s="55"/>
      <c r="L608" s="55"/>
      <c r="M608" s="55"/>
      <c r="N608" s="55"/>
      <c r="O608" s="55"/>
      <c r="P608" s="55"/>
      <c r="Q608" s="67"/>
      <c r="R608" s="67"/>
      <c r="S608" s="67"/>
      <c r="T608" s="67"/>
      <c r="U608" s="116"/>
    </row>
    <row r="609">
      <c r="A609" s="72"/>
      <c r="B609" s="95"/>
      <c r="C609" s="67"/>
      <c r="D609" s="55"/>
      <c r="E609" s="55"/>
      <c r="F609" s="55"/>
      <c r="G609" s="55"/>
      <c r="H609" s="55"/>
      <c r="I609" s="115"/>
      <c r="J609" s="55"/>
      <c r="K609" s="55"/>
      <c r="L609" s="55"/>
      <c r="M609" s="55"/>
      <c r="N609" s="55"/>
      <c r="O609" s="55"/>
      <c r="P609" s="55"/>
      <c r="Q609" s="67"/>
      <c r="R609" s="67"/>
      <c r="S609" s="67"/>
      <c r="T609" s="67"/>
      <c r="U609" s="116"/>
    </row>
    <row r="610">
      <c r="A610" s="72"/>
      <c r="B610" s="95"/>
      <c r="C610" s="67"/>
      <c r="D610" s="55"/>
      <c r="E610" s="55"/>
      <c r="F610" s="55"/>
      <c r="G610" s="55"/>
      <c r="H610" s="55"/>
      <c r="I610" s="115"/>
      <c r="J610" s="55"/>
      <c r="K610" s="55"/>
      <c r="L610" s="55"/>
      <c r="M610" s="55"/>
      <c r="N610" s="55"/>
      <c r="O610" s="55"/>
      <c r="P610" s="55"/>
      <c r="Q610" s="67"/>
      <c r="R610" s="67"/>
      <c r="S610" s="67"/>
      <c r="T610" s="67"/>
      <c r="U610" s="116"/>
    </row>
    <row r="611">
      <c r="A611" s="72"/>
      <c r="B611" s="95"/>
      <c r="C611" s="67"/>
      <c r="D611" s="55"/>
      <c r="E611" s="55"/>
      <c r="F611" s="55"/>
      <c r="G611" s="55"/>
      <c r="H611" s="55"/>
      <c r="I611" s="115"/>
      <c r="J611" s="55"/>
      <c r="K611" s="55"/>
      <c r="L611" s="55"/>
      <c r="M611" s="55"/>
      <c r="N611" s="55"/>
      <c r="O611" s="55"/>
      <c r="P611" s="55"/>
      <c r="Q611" s="67"/>
      <c r="R611" s="67"/>
      <c r="S611" s="67"/>
      <c r="T611" s="67"/>
      <c r="U611" s="116"/>
    </row>
    <row r="612">
      <c r="A612" s="72"/>
      <c r="B612" s="95"/>
      <c r="C612" s="67"/>
      <c r="D612" s="55"/>
      <c r="E612" s="55"/>
      <c r="F612" s="55"/>
      <c r="G612" s="55"/>
      <c r="H612" s="55"/>
      <c r="I612" s="115"/>
      <c r="J612" s="55"/>
      <c r="K612" s="55"/>
      <c r="L612" s="55"/>
      <c r="M612" s="55"/>
      <c r="N612" s="55"/>
      <c r="O612" s="55"/>
      <c r="P612" s="55"/>
      <c r="Q612" s="67"/>
      <c r="R612" s="67"/>
      <c r="S612" s="67"/>
      <c r="T612" s="67"/>
      <c r="U612" s="116"/>
    </row>
    <row r="613">
      <c r="A613" s="72"/>
      <c r="B613" s="95"/>
      <c r="C613" s="67"/>
      <c r="D613" s="55"/>
      <c r="E613" s="55"/>
      <c r="F613" s="55"/>
      <c r="G613" s="55"/>
      <c r="H613" s="55"/>
      <c r="I613" s="115"/>
      <c r="J613" s="55"/>
      <c r="K613" s="55"/>
      <c r="L613" s="55"/>
      <c r="M613" s="55"/>
      <c r="N613" s="55"/>
      <c r="O613" s="55"/>
      <c r="P613" s="55"/>
      <c r="Q613" s="67"/>
      <c r="R613" s="67"/>
      <c r="S613" s="67"/>
      <c r="T613" s="67"/>
      <c r="U613" s="116"/>
    </row>
    <row r="614">
      <c r="A614" s="72"/>
      <c r="B614" s="95"/>
      <c r="C614" s="67"/>
      <c r="D614" s="55"/>
      <c r="E614" s="55"/>
      <c r="F614" s="55"/>
      <c r="G614" s="55"/>
      <c r="H614" s="55"/>
      <c r="I614" s="115"/>
      <c r="J614" s="55"/>
      <c r="K614" s="55"/>
      <c r="L614" s="55"/>
      <c r="M614" s="55"/>
      <c r="N614" s="55"/>
      <c r="O614" s="55"/>
      <c r="P614" s="55"/>
      <c r="Q614" s="67"/>
      <c r="R614" s="67"/>
      <c r="S614" s="67"/>
      <c r="T614" s="67"/>
      <c r="U614" s="116"/>
    </row>
    <row r="615">
      <c r="A615" s="72"/>
      <c r="B615" s="95"/>
      <c r="C615" s="67"/>
      <c r="D615" s="55"/>
      <c r="E615" s="55"/>
      <c r="F615" s="55"/>
      <c r="G615" s="55"/>
      <c r="H615" s="55"/>
      <c r="I615" s="115"/>
      <c r="J615" s="55"/>
      <c r="K615" s="55"/>
      <c r="L615" s="55"/>
      <c r="M615" s="55"/>
      <c r="N615" s="55"/>
      <c r="O615" s="55"/>
      <c r="P615" s="55"/>
      <c r="Q615" s="67"/>
      <c r="R615" s="67"/>
      <c r="S615" s="67"/>
      <c r="T615" s="67"/>
      <c r="U615" s="116"/>
    </row>
    <row r="616">
      <c r="A616" s="72"/>
      <c r="B616" s="95"/>
      <c r="C616" s="67"/>
      <c r="D616" s="55"/>
      <c r="E616" s="55"/>
      <c r="F616" s="55"/>
      <c r="G616" s="55"/>
      <c r="H616" s="55"/>
      <c r="I616" s="115"/>
      <c r="J616" s="55"/>
      <c r="K616" s="55"/>
      <c r="L616" s="55"/>
      <c r="M616" s="55"/>
      <c r="N616" s="55"/>
      <c r="O616" s="55"/>
      <c r="P616" s="55"/>
      <c r="Q616" s="67"/>
      <c r="R616" s="67"/>
      <c r="S616" s="67"/>
      <c r="T616" s="67"/>
      <c r="U616" s="116"/>
    </row>
    <row r="617">
      <c r="A617" s="72"/>
      <c r="B617" s="95"/>
      <c r="C617" s="67"/>
      <c r="D617" s="55"/>
      <c r="E617" s="55"/>
      <c r="F617" s="55"/>
      <c r="G617" s="55"/>
      <c r="H617" s="55"/>
      <c r="I617" s="115"/>
      <c r="J617" s="55"/>
      <c r="K617" s="55"/>
      <c r="L617" s="55"/>
      <c r="M617" s="55"/>
      <c r="N617" s="55"/>
      <c r="O617" s="55"/>
      <c r="P617" s="55"/>
      <c r="Q617" s="67"/>
      <c r="R617" s="67"/>
      <c r="S617" s="67"/>
      <c r="T617" s="67"/>
      <c r="U617" s="116"/>
    </row>
    <row r="618">
      <c r="A618" s="72"/>
      <c r="B618" s="95"/>
      <c r="C618" s="67"/>
      <c r="D618" s="55"/>
      <c r="E618" s="55"/>
      <c r="F618" s="55"/>
      <c r="G618" s="55"/>
      <c r="H618" s="55"/>
      <c r="I618" s="115"/>
      <c r="J618" s="55"/>
      <c r="K618" s="55"/>
      <c r="L618" s="55"/>
      <c r="M618" s="55"/>
      <c r="N618" s="55"/>
      <c r="O618" s="55"/>
      <c r="P618" s="55"/>
      <c r="Q618" s="67"/>
      <c r="R618" s="67"/>
      <c r="S618" s="67"/>
      <c r="T618" s="67"/>
      <c r="U618" s="116"/>
    </row>
    <row r="619">
      <c r="A619" s="72"/>
      <c r="B619" s="95"/>
      <c r="C619" s="67"/>
      <c r="D619" s="55"/>
      <c r="E619" s="55"/>
      <c r="F619" s="55"/>
      <c r="G619" s="55"/>
      <c r="H619" s="55"/>
      <c r="I619" s="115"/>
      <c r="J619" s="55"/>
      <c r="K619" s="55"/>
      <c r="L619" s="55"/>
      <c r="M619" s="55"/>
      <c r="N619" s="55"/>
      <c r="O619" s="55"/>
      <c r="P619" s="55"/>
      <c r="Q619" s="67"/>
      <c r="R619" s="67"/>
      <c r="S619" s="67"/>
      <c r="T619" s="67"/>
      <c r="U619" s="116"/>
    </row>
    <row r="620">
      <c r="A620" s="72"/>
      <c r="B620" s="95"/>
      <c r="C620" s="67"/>
      <c r="D620" s="55"/>
      <c r="E620" s="55"/>
      <c r="F620" s="55"/>
      <c r="G620" s="55"/>
      <c r="H620" s="55"/>
      <c r="I620" s="115"/>
      <c r="J620" s="55"/>
      <c r="K620" s="55"/>
      <c r="L620" s="55"/>
      <c r="M620" s="55"/>
      <c r="N620" s="55"/>
      <c r="O620" s="55"/>
      <c r="P620" s="55"/>
      <c r="Q620" s="67"/>
      <c r="R620" s="67"/>
      <c r="S620" s="67"/>
      <c r="T620" s="67"/>
      <c r="U620" s="116"/>
    </row>
    <row r="621">
      <c r="A621" s="72"/>
      <c r="B621" s="95"/>
      <c r="C621" s="67"/>
      <c r="D621" s="55"/>
      <c r="E621" s="55"/>
      <c r="F621" s="55"/>
      <c r="G621" s="55"/>
      <c r="H621" s="55"/>
      <c r="I621" s="115"/>
      <c r="J621" s="55"/>
      <c r="K621" s="55"/>
      <c r="L621" s="55"/>
      <c r="M621" s="55"/>
      <c r="N621" s="55"/>
      <c r="O621" s="55"/>
      <c r="P621" s="55"/>
      <c r="Q621" s="67"/>
      <c r="R621" s="67"/>
      <c r="S621" s="67"/>
      <c r="T621" s="67"/>
      <c r="U621" s="116"/>
    </row>
    <row r="622">
      <c r="A622" s="72"/>
      <c r="B622" s="95"/>
      <c r="C622" s="67"/>
      <c r="D622" s="55"/>
      <c r="E622" s="55"/>
      <c r="F622" s="55"/>
      <c r="G622" s="55"/>
      <c r="H622" s="55"/>
      <c r="I622" s="115"/>
      <c r="J622" s="55"/>
      <c r="K622" s="55"/>
      <c r="L622" s="55"/>
      <c r="M622" s="55"/>
      <c r="N622" s="55"/>
      <c r="O622" s="55"/>
      <c r="P622" s="55"/>
      <c r="Q622" s="67"/>
      <c r="R622" s="67"/>
      <c r="S622" s="67"/>
      <c r="T622" s="67"/>
      <c r="U622" s="116"/>
    </row>
    <row r="623">
      <c r="A623" s="72"/>
      <c r="B623" s="95"/>
      <c r="C623" s="67"/>
      <c r="D623" s="55"/>
      <c r="E623" s="55"/>
      <c r="F623" s="55"/>
      <c r="G623" s="55"/>
      <c r="H623" s="55"/>
      <c r="I623" s="115"/>
      <c r="J623" s="55"/>
      <c r="K623" s="55"/>
      <c r="L623" s="55"/>
      <c r="M623" s="55"/>
      <c r="N623" s="55"/>
      <c r="O623" s="55"/>
      <c r="P623" s="55"/>
      <c r="Q623" s="67"/>
      <c r="R623" s="67"/>
      <c r="S623" s="67"/>
      <c r="T623" s="67"/>
      <c r="U623" s="116"/>
    </row>
    <row r="624">
      <c r="A624" s="72"/>
      <c r="B624" s="95"/>
      <c r="C624" s="67"/>
      <c r="D624" s="55"/>
      <c r="E624" s="55"/>
      <c r="F624" s="55"/>
      <c r="G624" s="55"/>
      <c r="H624" s="55"/>
      <c r="I624" s="115"/>
      <c r="J624" s="55"/>
      <c r="K624" s="55"/>
      <c r="L624" s="55"/>
      <c r="M624" s="55"/>
      <c r="N624" s="55"/>
      <c r="O624" s="55"/>
      <c r="P624" s="55"/>
      <c r="Q624" s="67"/>
      <c r="R624" s="67"/>
      <c r="S624" s="67"/>
      <c r="T624" s="67"/>
      <c r="U624" s="116"/>
    </row>
    <row r="625">
      <c r="A625" s="72"/>
      <c r="B625" s="95"/>
      <c r="C625" s="67"/>
      <c r="D625" s="55"/>
      <c r="E625" s="55"/>
      <c r="F625" s="55"/>
      <c r="G625" s="55"/>
      <c r="H625" s="55"/>
      <c r="I625" s="115"/>
      <c r="J625" s="55"/>
      <c r="K625" s="55"/>
      <c r="L625" s="55"/>
      <c r="M625" s="55"/>
      <c r="N625" s="55"/>
      <c r="O625" s="55"/>
      <c r="P625" s="55"/>
      <c r="Q625" s="67"/>
      <c r="R625" s="67"/>
      <c r="S625" s="67"/>
      <c r="T625" s="67"/>
      <c r="U625" s="116"/>
    </row>
    <row r="626">
      <c r="A626" s="72"/>
      <c r="B626" s="95"/>
      <c r="C626" s="67"/>
      <c r="D626" s="55"/>
      <c r="E626" s="55"/>
      <c r="F626" s="55"/>
      <c r="G626" s="55"/>
      <c r="H626" s="55"/>
      <c r="I626" s="115"/>
      <c r="J626" s="55"/>
      <c r="K626" s="55"/>
      <c r="L626" s="55"/>
      <c r="M626" s="55"/>
      <c r="N626" s="55"/>
      <c r="O626" s="55"/>
      <c r="P626" s="55"/>
      <c r="Q626" s="67"/>
      <c r="R626" s="67"/>
      <c r="S626" s="67"/>
      <c r="T626" s="67"/>
      <c r="U626" s="116"/>
    </row>
    <row r="627">
      <c r="A627" s="72"/>
      <c r="B627" s="95"/>
      <c r="C627" s="67"/>
      <c r="D627" s="55"/>
      <c r="E627" s="55"/>
      <c r="F627" s="55"/>
      <c r="G627" s="55"/>
      <c r="H627" s="55"/>
      <c r="I627" s="115"/>
      <c r="J627" s="55"/>
      <c r="K627" s="55"/>
      <c r="L627" s="55"/>
      <c r="M627" s="55"/>
      <c r="N627" s="55"/>
      <c r="O627" s="55"/>
      <c r="P627" s="55"/>
      <c r="Q627" s="67"/>
      <c r="R627" s="67"/>
      <c r="S627" s="67"/>
      <c r="T627" s="67"/>
      <c r="U627" s="116"/>
    </row>
    <row r="628">
      <c r="A628" s="72"/>
      <c r="B628" s="95"/>
      <c r="C628" s="67"/>
      <c r="D628" s="55"/>
      <c r="E628" s="55"/>
      <c r="F628" s="55"/>
      <c r="G628" s="55"/>
      <c r="H628" s="55"/>
      <c r="I628" s="115"/>
      <c r="J628" s="55"/>
      <c r="K628" s="55"/>
      <c r="L628" s="55"/>
      <c r="M628" s="55"/>
      <c r="N628" s="55"/>
      <c r="O628" s="55"/>
      <c r="P628" s="55"/>
      <c r="Q628" s="67"/>
      <c r="R628" s="67"/>
      <c r="S628" s="67"/>
      <c r="T628" s="67"/>
      <c r="U628" s="116"/>
    </row>
    <row r="629">
      <c r="A629" s="72"/>
      <c r="B629" s="95"/>
      <c r="C629" s="67"/>
      <c r="D629" s="55"/>
      <c r="E629" s="55"/>
      <c r="F629" s="55"/>
      <c r="G629" s="55"/>
      <c r="H629" s="55"/>
      <c r="I629" s="115"/>
      <c r="J629" s="55"/>
      <c r="K629" s="55"/>
      <c r="L629" s="55"/>
      <c r="M629" s="55"/>
      <c r="N629" s="55"/>
      <c r="O629" s="55"/>
      <c r="P629" s="55"/>
      <c r="Q629" s="67"/>
      <c r="R629" s="67"/>
      <c r="S629" s="67"/>
      <c r="T629" s="67"/>
      <c r="U629" s="116"/>
    </row>
    <row r="630">
      <c r="A630" s="72"/>
      <c r="B630" s="95"/>
      <c r="C630" s="67"/>
      <c r="D630" s="55"/>
      <c r="E630" s="55"/>
      <c r="F630" s="55"/>
      <c r="G630" s="55"/>
      <c r="H630" s="55"/>
      <c r="I630" s="115"/>
      <c r="J630" s="55"/>
      <c r="K630" s="55"/>
      <c r="L630" s="55"/>
      <c r="M630" s="55"/>
      <c r="N630" s="55"/>
      <c r="O630" s="55"/>
      <c r="P630" s="55"/>
      <c r="Q630" s="67"/>
      <c r="R630" s="67"/>
      <c r="S630" s="67"/>
      <c r="T630" s="67"/>
      <c r="U630" s="116"/>
    </row>
    <row r="631">
      <c r="A631" s="72"/>
      <c r="B631" s="95"/>
      <c r="C631" s="67"/>
      <c r="D631" s="55"/>
      <c r="E631" s="55"/>
      <c r="F631" s="55"/>
      <c r="G631" s="55"/>
      <c r="H631" s="55"/>
      <c r="I631" s="115"/>
      <c r="J631" s="55"/>
      <c r="K631" s="55"/>
      <c r="L631" s="55"/>
      <c r="M631" s="55"/>
      <c r="N631" s="55"/>
      <c r="O631" s="55"/>
      <c r="P631" s="55"/>
      <c r="Q631" s="67"/>
      <c r="R631" s="67"/>
      <c r="S631" s="67"/>
      <c r="T631" s="67"/>
      <c r="U631" s="116"/>
    </row>
    <row r="632">
      <c r="A632" s="72"/>
      <c r="B632" s="95"/>
      <c r="C632" s="67"/>
      <c r="D632" s="55"/>
      <c r="E632" s="55"/>
      <c r="F632" s="55"/>
      <c r="G632" s="55"/>
      <c r="H632" s="55"/>
      <c r="I632" s="115"/>
      <c r="J632" s="55"/>
      <c r="K632" s="55"/>
      <c r="L632" s="55"/>
      <c r="M632" s="55"/>
      <c r="N632" s="55"/>
      <c r="O632" s="55"/>
      <c r="P632" s="55"/>
      <c r="Q632" s="67"/>
      <c r="R632" s="67"/>
      <c r="S632" s="67"/>
      <c r="T632" s="67"/>
      <c r="U632" s="116"/>
    </row>
    <row r="633">
      <c r="A633" s="72"/>
      <c r="B633" s="95"/>
      <c r="C633" s="67"/>
      <c r="D633" s="55"/>
      <c r="E633" s="55"/>
      <c r="F633" s="55"/>
      <c r="G633" s="55"/>
      <c r="H633" s="55"/>
      <c r="I633" s="115"/>
      <c r="J633" s="55"/>
      <c r="K633" s="55"/>
      <c r="L633" s="55"/>
      <c r="M633" s="55"/>
      <c r="N633" s="55"/>
      <c r="O633" s="55"/>
      <c r="P633" s="55"/>
      <c r="Q633" s="67"/>
      <c r="R633" s="67"/>
      <c r="S633" s="67"/>
      <c r="T633" s="67"/>
      <c r="U633" s="116"/>
    </row>
    <row r="634">
      <c r="A634" s="72"/>
      <c r="B634" s="95"/>
      <c r="C634" s="67"/>
      <c r="D634" s="55"/>
      <c r="E634" s="55"/>
      <c r="F634" s="55"/>
      <c r="G634" s="55"/>
      <c r="H634" s="55"/>
      <c r="I634" s="115"/>
      <c r="J634" s="55"/>
      <c r="K634" s="55"/>
      <c r="L634" s="55"/>
      <c r="M634" s="55"/>
      <c r="N634" s="55"/>
      <c r="O634" s="55"/>
      <c r="P634" s="55"/>
      <c r="Q634" s="67"/>
      <c r="R634" s="67"/>
      <c r="S634" s="67"/>
      <c r="T634" s="67"/>
      <c r="U634" s="116"/>
    </row>
    <row r="635">
      <c r="A635" s="72"/>
      <c r="B635" s="95"/>
      <c r="C635" s="67"/>
      <c r="D635" s="55"/>
      <c r="E635" s="55"/>
      <c r="F635" s="55"/>
      <c r="G635" s="55"/>
      <c r="H635" s="55"/>
      <c r="I635" s="115"/>
      <c r="J635" s="55"/>
      <c r="K635" s="55"/>
      <c r="L635" s="55"/>
      <c r="M635" s="55"/>
      <c r="N635" s="55"/>
      <c r="O635" s="55"/>
      <c r="P635" s="55"/>
      <c r="Q635" s="67"/>
      <c r="R635" s="67"/>
      <c r="S635" s="67"/>
      <c r="T635" s="67"/>
      <c r="U635" s="116"/>
    </row>
    <row r="636">
      <c r="A636" s="72"/>
      <c r="B636" s="95"/>
      <c r="C636" s="67"/>
      <c r="D636" s="55"/>
      <c r="E636" s="55"/>
      <c r="F636" s="55"/>
      <c r="G636" s="55"/>
      <c r="H636" s="55"/>
      <c r="I636" s="115"/>
      <c r="J636" s="55"/>
      <c r="K636" s="55"/>
      <c r="L636" s="55"/>
      <c r="M636" s="55"/>
      <c r="N636" s="55"/>
      <c r="O636" s="55"/>
      <c r="P636" s="55"/>
      <c r="Q636" s="67"/>
      <c r="R636" s="67"/>
      <c r="S636" s="67"/>
      <c r="T636" s="67"/>
      <c r="U636" s="116"/>
    </row>
    <row r="637">
      <c r="A637" s="72"/>
      <c r="B637" s="95"/>
      <c r="C637" s="67"/>
      <c r="D637" s="55"/>
      <c r="E637" s="55"/>
      <c r="F637" s="55"/>
      <c r="G637" s="55"/>
      <c r="H637" s="55"/>
      <c r="I637" s="115"/>
      <c r="J637" s="55"/>
      <c r="K637" s="55"/>
      <c r="L637" s="55"/>
      <c r="M637" s="55"/>
      <c r="N637" s="55"/>
      <c r="O637" s="55"/>
      <c r="P637" s="55"/>
      <c r="Q637" s="67"/>
      <c r="R637" s="67"/>
      <c r="S637" s="67"/>
      <c r="T637" s="67"/>
      <c r="U637" s="116"/>
    </row>
    <row r="638">
      <c r="A638" s="72"/>
      <c r="B638" s="95"/>
      <c r="C638" s="67"/>
      <c r="D638" s="55"/>
      <c r="E638" s="55"/>
      <c r="F638" s="55"/>
      <c r="G638" s="55"/>
      <c r="H638" s="55"/>
      <c r="I638" s="115"/>
      <c r="J638" s="55"/>
      <c r="K638" s="55"/>
      <c r="L638" s="55"/>
      <c r="M638" s="55"/>
      <c r="N638" s="55"/>
      <c r="O638" s="55"/>
      <c r="P638" s="55"/>
      <c r="Q638" s="67"/>
      <c r="R638" s="67"/>
      <c r="S638" s="67"/>
      <c r="T638" s="67"/>
      <c r="U638" s="116"/>
    </row>
    <row r="639">
      <c r="A639" s="72"/>
      <c r="B639" s="95"/>
      <c r="C639" s="67"/>
      <c r="D639" s="55"/>
      <c r="E639" s="55"/>
      <c r="F639" s="55"/>
      <c r="G639" s="55"/>
      <c r="H639" s="55"/>
      <c r="I639" s="115"/>
      <c r="J639" s="55"/>
      <c r="K639" s="55"/>
      <c r="L639" s="55"/>
      <c r="M639" s="55"/>
      <c r="N639" s="55"/>
      <c r="O639" s="55"/>
      <c r="P639" s="55"/>
      <c r="Q639" s="67"/>
      <c r="R639" s="67"/>
      <c r="S639" s="67"/>
      <c r="T639" s="67"/>
      <c r="U639" s="116"/>
    </row>
    <row r="640">
      <c r="A640" s="72"/>
      <c r="B640" s="95"/>
      <c r="C640" s="67"/>
      <c r="D640" s="55"/>
      <c r="E640" s="55"/>
      <c r="F640" s="55"/>
      <c r="G640" s="55"/>
      <c r="H640" s="55"/>
      <c r="I640" s="115"/>
      <c r="J640" s="55"/>
      <c r="K640" s="55"/>
      <c r="L640" s="55"/>
      <c r="M640" s="55"/>
      <c r="N640" s="55"/>
      <c r="O640" s="55"/>
      <c r="P640" s="55"/>
      <c r="Q640" s="67"/>
      <c r="R640" s="67"/>
      <c r="S640" s="67"/>
      <c r="T640" s="67"/>
      <c r="U640" s="116"/>
    </row>
    <row r="641">
      <c r="A641" s="72"/>
      <c r="B641" s="95"/>
      <c r="C641" s="67"/>
      <c r="D641" s="55"/>
      <c r="E641" s="55"/>
      <c r="F641" s="55"/>
      <c r="G641" s="55"/>
      <c r="H641" s="55"/>
      <c r="I641" s="115"/>
      <c r="J641" s="55"/>
      <c r="K641" s="55"/>
      <c r="L641" s="55"/>
      <c r="M641" s="55"/>
      <c r="N641" s="55"/>
      <c r="O641" s="55"/>
      <c r="P641" s="55"/>
      <c r="Q641" s="67"/>
      <c r="R641" s="67"/>
      <c r="S641" s="67"/>
      <c r="T641" s="67"/>
      <c r="U641" s="116"/>
    </row>
    <row r="642">
      <c r="A642" s="72"/>
      <c r="B642" s="95"/>
      <c r="C642" s="67"/>
      <c r="D642" s="55"/>
      <c r="E642" s="55"/>
      <c r="F642" s="55"/>
      <c r="G642" s="55"/>
      <c r="H642" s="55"/>
      <c r="I642" s="115"/>
      <c r="J642" s="55"/>
      <c r="K642" s="55"/>
      <c r="L642" s="55"/>
      <c r="M642" s="55"/>
      <c r="N642" s="55"/>
      <c r="O642" s="55"/>
      <c r="P642" s="55"/>
      <c r="Q642" s="67"/>
      <c r="R642" s="67"/>
      <c r="S642" s="67"/>
      <c r="T642" s="67"/>
      <c r="U642" s="116"/>
    </row>
    <row r="643">
      <c r="A643" s="72"/>
      <c r="B643" s="95"/>
      <c r="C643" s="67"/>
      <c r="D643" s="55"/>
      <c r="E643" s="55"/>
      <c r="F643" s="55"/>
      <c r="G643" s="55"/>
      <c r="H643" s="55"/>
      <c r="I643" s="115"/>
      <c r="J643" s="55"/>
      <c r="K643" s="55"/>
      <c r="L643" s="55"/>
      <c r="M643" s="55"/>
      <c r="N643" s="55"/>
      <c r="O643" s="55"/>
      <c r="P643" s="55"/>
      <c r="Q643" s="67"/>
      <c r="R643" s="67"/>
      <c r="S643" s="67"/>
      <c r="T643" s="67"/>
      <c r="U643" s="116"/>
    </row>
    <row r="644">
      <c r="A644" s="72"/>
      <c r="B644" s="95"/>
      <c r="C644" s="67"/>
      <c r="D644" s="55"/>
      <c r="E644" s="55"/>
      <c r="F644" s="55"/>
      <c r="G644" s="55"/>
      <c r="H644" s="55"/>
      <c r="I644" s="115"/>
      <c r="J644" s="55"/>
      <c r="K644" s="55"/>
      <c r="L644" s="55"/>
      <c r="M644" s="55"/>
      <c r="N644" s="55"/>
      <c r="O644" s="55"/>
      <c r="P644" s="55"/>
      <c r="Q644" s="67"/>
      <c r="R644" s="67"/>
      <c r="S644" s="67"/>
      <c r="T644" s="67"/>
      <c r="U644" s="116"/>
    </row>
    <row r="645">
      <c r="A645" s="72"/>
      <c r="B645" s="95"/>
      <c r="C645" s="67"/>
      <c r="D645" s="55"/>
      <c r="E645" s="55"/>
      <c r="F645" s="55"/>
      <c r="G645" s="55"/>
      <c r="H645" s="55"/>
      <c r="I645" s="115"/>
      <c r="J645" s="55"/>
      <c r="K645" s="55"/>
      <c r="L645" s="55"/>
      <c r="M645" s="55"/>
      <c r="N645" s="55"/>
      <c r="O645" s="55"/>
      <c r="P645" s="55"/>
      <c r="Q645" s="67"/>
      <c r="R645" s="67"/>
      <c r="S645" s="67"/>
      <c r="T645" s="67"/>
      <c r="U645" s="116"/>
    </row>
    <row r="646">
      <c r="A646" s="72"/>
      <c r="B646" s="95"/>
      <c r="C646" s="67"/>
      <c r="D646" s="55"/>
      <c r="E646" s="55"/>
      <c r="F646" s="55"/>
      <c r="G646" s="55"/>
      <c r="H646" s="55"/>
      <c r="I646" s="115"/>
      <c r="J646" s="55"/>
      <c r="K646" s="55"/>
      <c r="L646" s="55"/>
      <c r="M646" s="55"/>
      <c r="N646" s="55"/>
      <c r="O646" s="55"/>
      <c r="P646" s="55"/>
      <c r="Q646" s="67"/>
      <c r="R646" s="67"/>
      <c r="S646" s="67"/>
      <c r="T646" s="67"/>
      <c r="U646" s="116"/>
    </row>
    <row r="647">
      <c r="A647" s="72"/>
      <c r="B647" s="95"/>
      <c r="C647" s="67"/>
      <c r="D647" s="55"/>
      <c r="E647" s="55"/>
      <c r="F647" s="55"/>
      <c r="G647" s="55"/>
      <c r="H647" s="55"/>
      <c r="I647" s="115"/>
      <c r="J647" s="55"/>
      <c r="K647" s="55"/>
      <c r="L647" s="55"/>
      <c r="M647" s="55"/>
      <c r="N647" s="55"/>
      <c r="O647" s="55"/>
      <c r="P647" s="55"/>
      <c r="Q647" s="67"/>
      <c r="R647" s="67"/>
      <c r="S647" s="67"/>
      <c r="T647" s="67"/>
      <c r="U647" s="116"/>
    </row>
    <row r="648">
      <c r="A648" s="72"/>
      <c r="B648" s="95"/>
      <c r="C648" s="67"/>
      <c r="D648" s="55"/>
      <c r="E648" s="55"/>
      <c r="F648" s="55"/>
      <c r="G648" s="55"/>
      <c r="H648" s="55"/>
      <c r="I648" s="115"/>
      <c r="J648" s="55"/>
      <c r="K648" s="55"/>
      <c r="L648" s="55"/>
      <c r="M648" s="55"/>
      <c r="N648" s="55"/>
      <c r="O648" s="55"/>
      <c r="P648" s="55"/>
      <c r="Q648" s="67"/>
      <c r="R648" s="67"/>
      <c r="S648" s="67"/>
      <c r="T648" s="67"/>
      <c r="U648" s="116"/>
    </row>
    <row r="649">
      <c r="A649" s="72"/>
      <c r="B649" s="95"/>
      <c r="C649" s="67"/>
      <c r="D649" s="55"/>
      <c r="E649" s="55"/>
      <c r="F649" s="55"/>
      <c r="G649" s="55"/>
      <c r="H649" s="55"/>
      <c r="I649" s="115"/>
      <c r="J649" s="55"/>
      <c r="K649" s="55"/>
      <c r="L649" s="55"/>
      <c r="M649" s="55"/>
      <c r="N649" s="55"/>
      <c r="O649" s="55"/>
      <c r="P649" s="55"/>
      <c r="Q649" s="67"/>
      <c r="R649" s="67"/>
      <c r="S649" s="67"/>
      <c r="T649" s="67"/>
      <c r="U649" s="116"/>
    </row>
    <row r="650">
      <c r="A650" s="72"/>
      <c r="B650" s="95"/>
      <c r="C650" s="67"/>
      <c r="D650" s="55"/>
      <c r="E650" s="55"/>
      <c r="F650" s="55"/>
      <c r="G650" s="55"/>
      <c r="H650" s="55"/>
      <c r="I650" s="115"/>
      <c r="J650" s="55"/>
      <c r="K650" s="55"/>
      <c r="L650" s="55"/>
      <c r="M650" s="55"/>
      <c r="N650" s="55"/>
      <c r="O650" s="55"/>
      <c r="P650" s="55"/>
      <c r="Q650" s="67"/>
      <c r="R650" s="67"/>
      <c r="S650" s="67"/>
      <c r="T650" s="67"/>
      <c r="U650" s="116"/>
    </row>
    <row r="651">
      <c r="A651" s="72"/>
      <c r="B651" s="95"/>
      <c r="C651" s="67"/>
      <c r="D651" s="55"/>
      <c r="E651" s="55"/>
      <c r="F651" s="55"/>
      <c r="G651" s="55"/>
      <c r="H651" s="55"/>
      <c r="I651" s="115"/>
      <c r="J651" s="55"/>
      <c r="K651" s="55"/>
      <c r="L651" s="55"/>
      <c r="M651" s="55"/>
      <c r="N651" s="55"/>
      <c r="O651" s="55"/>
      <c r="P651" s="55"/>
      <c r="Q651" s="67"/>
      <c r="R651" s="67"/>
      <c r="S651" s="67"/>
      <c r="T651" s="67"/>
      <c r="U651" s="116"/>
    </row>
    <row r="652">
      <c r="A652" s="72"/>
      <c r="B652" s="95"/>
      <c r="C652" s="67"/>
      <c r="D652" s="55"/>
      <c r="E652" s="55"/>
      <c r="F652" s="55"/>
      <c r="G652" s="55"/>
      <c r="H652" s="55"/>
      <c r="I652" s="115"/>
      <c r="J652" s="55"/>
      <c r="K652" s="55"/>
      <c r="L652" s="55"/>
      <c r="M652" s="55"/>
      <c r="N652" s="55"/>
      <c r="O652" s="55"/>
      <c r="P652" s="55"/>
      <c r="Q652" s="67"/>
      <c r="R652" s="67"/>
      <c r="S652" s="67"/>
      <c r="T652" s="67"/>
      <c r="U652" s="116"/>
    </row>
    <row r="653">
      <c r="A653" s="72"/>
      <c r="B653" s="95"/>
      <c r="C653" s="67"/>
      <c r="D653" s="55"/>
      <c r="E653" s="55"/>
      <c r="F653" s="55"/>
      <c r="G653" s="55"/>
      <c r="H653" s="55"/>
      <c r="I653" s="115"/>
      <c r="J653" s="55"/>
      <c r="K653" s="55"/>
      <c r="L653" s="55"/>
      <c r="M653" s="55"/>
      <c r="N653" s="55"/>
      <c r="O653" s="55"/>
      <c r="P653" s="55"/>
      <c r="Q653" s="67"/>
      <c r="R653" s="67"/>
      <c r="S653" s="67"/>
      <c r="T653" s="67"/>
      <c r="U653" s="116"/>
    </row>
    <row r="654">
      <c r="A654" s="72"/>
      <c r="B654" s="95"/>
      <c r="C654" s="67"/>
      <c r="D654" s="55"/>
      <c r="E654" s="55"/>
      <c r="F654" s="55"/>
      <c r="G654" s="55"/>
      <c r="H654" s="55"/>
      <c r="I654" s="115"/>
      <c r="J654" s="55"/>
      <c r="K654" s="55"/>
      <c r="L654" s="55"/>
      <c r="M654" s="55"/>
      <c r="N654" s="55"/>
      <c r="O654" s="55"/>
      <c r="P654" s="55"/>
      <c r="Q654" s="67"/>
      <c r="R654" s="67"/>
      <c r="S654" s="67"/>
      <c r="T654" s="67"/>
      <c r="U654" s="116"/>
    </row>
    <row r="655">
      <c r="A655" s="72"/>
      <c r="B655" s="95"/>
      <c r="C655" s="67"/>
      <c r="D655" s="55"/>
      <c r="E655" s="55"/>
      <c r="F655" s="55"/>
      <c r="G655" s="55"/>
      <c r="H655" s="55"/>
      <c r="I655" s="115"/>
      <c r="J655" s="55"/>
      <c r="K655" s="55"/>
      <c r="L655" s="55"/>
      <c r="M655" s="55"/>
      <c r="N655" s="55"/>
      <c r="O655" s="55"/>
      <c r="P655" s="55"/>
      <c r="Q655" s="67"/>
      <c r="R655" s="67"/>
      <c r="S655" s="67"/>
      <c r="T655" s="67"/>
      <c r="U655" s="116"/>
    </row>
    <row r="656">
      <c r="A656" s="72"/>
      <c r="B656" s="95"/>
      <c r="C656" s="67"/>
      <c r="D656" s="55"/>
      <c r="E656" s="55"/>
      <c r="F656" s="55"/>
      <c r="G656" s="55"/>
      <c r="H656" s="55"/>
      <c r="I656" s="115"/>
      <c r="J656" s="55"/>
      <c r="K656" s="55"/>
      <c r="L656" s="55"/>
      <c r="M656" s="55"/>
      <c r="N656" s="55"/>
      <c r="O656" s="55"/>
      <c r="P656" s="55"/>
      <c r="Q656" s="67"/>
      <c r="R656" s="67"/>
      <c r="S656" s="67"/>
      <c r="T656" s="67"/>
      <c r="U656" s="116"/>
    </row>
    <row r="657">
      <c r="A657" s="72"/>
      <c r="B657" s="95"/>
      <c r="C657" s="67"/>
      <c r="D657" s="55"/>
      <c r="E657" s="55"/>
      <c r="F657" s="55"/>
      <c r="G657" s="55"/>
      <c r="H657" s="55"/>
      <c r="I657" s="115"/>
      <c r="J657" s="55"/>
      <c r="K657" s="55"/>
      <c r="L657" s="55"/>
      <c r="M657" s="55"/>
      <c r="N657" s="55"/>
      <c r="O657" s="55"/>
      <c r="P657" s="55"/>
      <c r="Q657" s="67"/>
      <c r="R657" s="67"/>
      <c r="S657" s="67"/>
      <c r="T657" s="67"/>
      <c r="U657" s="116"/>
    </row>
    <row r="658">
      <c r="A658" s="72"/>
      <c r="B658" s="95"/>
      <c r="C658" s="67"/>
      <c r="D658" s="55"/>
      <c r="E658" s="55"/>
      <c r="F658" s="55"/>
      <c r="G658" s="55"/>
      <c r="H658" s="55"/>
      <c r="I658" s="115"/>
      <c r="J658" s="55"/>
      <c r="K658" s="55"/>
      <c r="L658" s="55"/>
      <c r="M658" s="55"/>
      <c r="N658" s="55"/>
      <c r="O658" s="55"/>
      <c r="P658" s="55"/>
      <c r="Q658" s="67"/>
      <c r="R658" s="67"/>
      <c r="S658" s="67"/>
      <c r="T658" s="67"/>
      <c r="U658" s="116"/>
    </row>
    <row r="659">
      <c r="A659" s="72"/>
      <c r="B659" s="95"/>
      <c r="C659" s="67"/>
      <c r="D659" s="55"/>
      <c r="E659" s="55"/>
      <c r="F659" s="55"/>
      <c r="G659" s="55"/>
      <c r="H659" s="55"/>
      <c r="I659" s="115"/>
      <c r="J659" s="55"/>
      <c r="K659" s="55"/>
      <c r="L659" s="55"/>
      <c r="M659" s="55"/>
      <c r="N659" s="55"/>
      <c r="O659" s="55"/>
      <c r="P659" s="55"/>
      <c r="Q659" s="67"/>
      <c r="R659" s="67"/>
      <c r="S659" s="67"/>
      <c r="T659" s="67"/>
      <c r="U659" s="116"/>
    </row>
    <row r="660">
      <c r="A660" s="72"/>
      <c r="B660" s="95"/>
      <c r="C660" s="67"/>
      <c r="D660" s="55"/>
      <c r="E660" s="55"/>
      <c r="F660" s="55"/>
      <c r="G660" s="55"/>
      <c r="H660" s="55"/>
      <c r="I660" s="115"/>
      <c r="J660" s="55"/>
      <c r="K660" s="55"/>
      <c r="L660" s="55"/>
      <c r="M660" s="55"/>
      <c r="N660" s="55"/>
      <c r="O660" s="55"/>
      <c r="P660" s="55"/>
      <c r="Q660" s="67"/>
      <c r="R660" s="67"/>
      <c r="S660" s="67"/>
      <c r="T660" s="67"/>
      <c r="U660" s="116"/>
    </row>
    <row r="661">
      <c r="A661" s="72"/>
      <c r="B661" s="95"/>
      <c r="C661" s="67"/>
      <c r="D661" s="55"/>
      <c r="E661" s="55"/>
      <c r="F661" s="55"/>
      <c r="G661" s="55"/>
      <c r="H661" s="55"/>
      <c r="I661" s="115"/>
      <c r="J661" s="55"/>
      <c r="K661" s="55"/>
      <c r="L661" s="55"/>
      <c r="M661" s="55"/>
      <c r="N661" s="55"/>
      <c r="O661" s="55"/>
      <c r="P661" s="55"/>
      <c r="Q661" s="67"/>
      <c r="R661" s="67"/>
      <c r="S661" s="67"/>
      <c r="T661" s="67"/>
      <c r="U661" s="116"/>
    </row>
    <row r="662">
      <c r="A662" s="72"/>
      <c r="B662" s="95"/>
      <c r="C662" s="67"/>
      <c r="D662" s="55"/>
      <c r="E662" s="55"/>
      <c r="F662" s="55"/>
      <c r="G662" s="55"/>
      <c r="H662" s="55"/>
      <c r="I662" s="115"/>
      <c r="J662" s="55"/>
      <c r="K662" s="55"/>
      <c r="L662" s="55"/>
      <c r="M662" s="55"/>
      <c r="N662" s="55"/>
      <c r="O662" s="55"/>
      <c r="P662" s="55"/>
      <c r="Q662" s="67"/>
      <c r="R662" s="67"/>
      <c r="S662" s="67"/>
      <c r="T662" s="67"/>
      <c r="U662" s="116"/>
    </row>
    <row r="663">
      <c r="A663" s="72"/>
      <c r="B663" s="95"/>
      <c r="C663" s="67"/>
      <c r="D663" s="55"/>
      <c r="E663" s="55"/>
      <c r="F663" s="55"/>
      <c r="G663" s="55"/>
      <c r="H663" s="55"/>
      <c r="I663" s="115"/>
      <c r="J663" s="55"/>
      <c r="K663" s="55"/>
      <c r="L663" s="55"/>
      <c r="M663" s="55"/>
      <c r="N663" s="55"/>
      <c r="O663" s="55"/>
      <c r="P663" s="55"/>
      <c r="Q663" s="67"/>
      <c r="R663" s="67"/>
      <c r="S663" s="67"/>
      <c r="T663" s="67"/>
      <c r="U663" s="116"/>
    </row>
    <row r="664">
      <c r="A664" s="72"/>
      <c r="B664" s="95"/>
      <c r="C664" s="67"/>
      <c r="D664" s="55"/>
      <c r="E664" s="55"/>
      <c r="F664" s="55"/>
      <c r="G664" s="55"/>
      <c r="H664" s="55"/>
      <c r="I664" s="115"/>
      <c r="J664" s="55"/>
      <c r="K664" s="55"/>
      <c r="L664" s="55"/>
      <c r="M664" s="55"/>
      <c r="N664" s="55"/>
      <c r="O664" s="55"/>
      <c r="P664" s="55"/>
      <c r="Q664" s="67"/>
      <c r="R664" s="67"/>
      <c r="S664" s="67"/>
      <c r="T664" s="67"/>
      <c r="U664" s="116"/>
    </row>
    <row r="665">
      <c r="A665" s="72"/>
      <c r="B665" s="95"/>
      <c r="C665" s="67"/>
      <c r="D665" s="55"/>
      <c r="E665" s="55"/>
      <c r="F665" s="55"/>
      <c r="G665" s="55"/>
      <c r="H665" s="55"/>
      <c r="I665" s="115"/>
      <c r="J665" s="55"/>
      <c r="K665" s="55"/>
      <c r="L665" s="55"/>
      <c r="M665" s="55"/>
      <c r="N665" s="55"/>
      <c r="O665" s="55"/>
      <c r="P665" s="55"/>
      <c r="Q665" s="67"/>
      <c r="R665" s="67"/>
      <c r="S665" s="67"/>
      <c r="T665" s="67"/>
      <c r="U665" s="116"/>
    </row>
    <row r="666">
      <c r="A666" s="72"/>
      <c r="B666" s="95"/>
      <c r="C666" s="67"/>
      <c r="D666" s="55"/>
      <c r="E666" s="55"/>
      <c r="F666" s="55"/>
      <c r="G666" s="55"/>
      <c r="H666" s="55"/>
      <c r="I666" s="115"/>
      <c r="J666" s="55"/>
      <c r="K666" s="55"/>
      <c r="L666" s="55"/>
      <c r="M666" s="55"/>
      <c r="N666" s="55"/>
      <c r="O666" s="55"/>
      <c r="P666" s="55"/>
      <c r="Q666" s="67"/>
      <c r="R666" s="67"/>
      <c r="S666" s="67"/>
      <c r="T666" s="67"/>
      <c r="U666" s="116"/>
    </row>
    <row r="667">
      <c r="A667" s="72"/>
      <c r="B667" s="95"/>
      <c r="C667" s="67"/>
      <c r="D667" s="55"/>
      <c r="E667" s="55"/>
      <c r="F667" s="55"/>
      <c r="G667" s="55"/>
      <c r="H667" s="55"/>
      <c r="I667" s="115"/>
      <c r="J667" s="55"/>
      <c r="K667" s="55"/>
      <c r="L667" s="55"/>
      <c r="M667" s="55"/>
      <c r="N667" s="55"/>
      <c r="O667" s="55"/>
      <c r="P667" s="55"/>
      <c r="Q667" s="67"/>
      <c r="R667" s="67"/>
      <c r="S667" s="67"/>
      <c r="T667" s="67"/>
      <c r="U667" s="116"/>
    </row>
    <row r="668">
      <c r="A668" s="72"/>
      <c r="B668" s="95"/>
      <c r="C668" s="67"/>
      <c r="D668" s="55"/>
      <c r="E668" s="55"/>
      <c r="F668" s="55"/>
      <c r="G668" s="55"/>
      <c r="H668" s="55"/>
      <c r="I668" s="115"/>
      <c r="J668" s="55"/>
      <c r="K668" s="55"/>
      <c r="L668" s="55"/>
      <c r="M668" s="55"/>
      <c r="N668" s="55"/>
      <c r="O668" s="55"/>
      <c r="P668" s="55"/>
      <c r="Q668" s="67"/>
      <c r="R668" s="67"/>
      <c r="S668" s="67"/>
      <c r="T668" s="67"/>
      <c r="U668" s="116"/>
    </row>
    <row r="669">
      <c r="A669" s="72"/>
      <c r="B669" s="95"/>
      <c r="C669" s="67"/>
      <c r="D669" s="55"/>
      <c r="E669" s="55"/>
      <c r="F669" s="55"/>
      <c r="G669" s="55"/>
      <c r="H669" s="55"/>
      <c r="I669" s="115"/>
      <c r="J669" s="55"/>
      <c r="K669" s="55"/>
      <c r="L669" s="55"/>
      <c r="M669" s="55"/>
      <c r="N669" s="55"/>
      <c r="O669" s="55"/>
      <c r="P669" s="55"/>
      <c r="Q669" s="67"/>
      <c r="R669" s="67"/>
      <c r="S669" s="67"/>
      <c r="T669" s="67"/>
      <c r="U669" s="116"/>
    </row>
    <row r="670">
      <c r="A670" s="72"/>
      <c r="B670" s="95"/>
      <c r="C670" s="67"/>
      <c r="D670" s="55"/>
      <c r="E670" s="55"/>
      <c r="F670" s="55"/>
      <c r="G670" s="55"/>
      <c r="H670" s="55"/>
      <c r="I670" s="115"/>
      <c r="J670" s="55"/>
      <c r="K670" s="55"/>
      <c r="L670" s="55"/>
      <c r="M670" s="55"/>
      <c r="N670" s="55"/>
      <c r="O670" s="55"/>
      <c r="P670" s="55"/>
      <c r="Q670" s="67"/>
      <c r="R670" s="67"/>
      <c r="S670" s="67"/>
      <c r="T670" s="67"/>
      <c r="U670" s="116"/>
    </row>
    <row r="671">
      <c r="A671" s="72"/>
      <c r="B671" s="95"/>
      <c r="C671" s="67"/>
      <c r="D671" s="55"/>
      <c r="E671" s="55"/>
      <c r="F671" s="55"/>
      <c r="G671" s="55"/>
      <c r="H671" s="55"/>
      <c r="I671" s="115"/>
      <c r="J671" s="55"/>
      <c r="K671" s="55"/>
      <c r="L671" s="55"/>
      <c r="M671" s="55"/>
      <c r="N671" s="55"/>
      <c r="O671" s="55"/>
      <c r="P671" s="55"/>
      <c r="Q671" s="67"/>
      <c r="R671" s="67"/>
      <c r="S671" s="67"/>
      <c r="T671" s="67"/>
      <c r="U671" s="116"/>
    </row>
    <row r="672">
      <c r="A672" s="72"/>
      <c r="B672" s="95"/>
      <c r="C672" s="67"/>
      <c r="D672" s="55"/>
      <c r="E672" s="55"/>
      <c r="F672" s="55"/>
      <c r="G672" s="55"/>
      <c r="H672" s="55"/>
      <c r="I672" s="115"/>
      <c r="J672" s="55"/>
      <c r="K672" s="55"/>
      <c r="L672" s="55"/>
      <c r="M672" s="55"/>
      <c r="N672" s="55"/>
      <c r="O672" s="55"/>
      <c r="P672" s="55"/>
      <c r="Q672" s="67"/>
      <c r="R672" s="67"/>
      <c r="S672" s="67"/>
      <c r="T672" s="67"/>
      <c r="U672" s="116"/>
    </row>
    <row r="673">
      <c r="A673" s="72"/>
      <c r="B673" s="95"/>
      <c r="C673" s="67"/>
      <c r="D673" s="55"/>
      <c r="E673" s="55"/>
      <c r="F673" s="55"/>
      <c r="G673" s="55"/>
      <c r="H673" s="55"/>
      <c r="I673" s="115"/>
      <c r="J673" s="55"/>
      <c r="K673" s="55"/>
      <c r="L673" s="55"/>
      <c r="M673" s="55"/>
      <c r="N673" s="55"/>
      <c r="O673" s="55"/>
      <c r="P673" s="55"/>
      <c r="Q673" s="67"/>
      <c r="R673" s="67"/>
      <c r="S673" s="67"/>
      <c r="T673" s="67"/>
      <c r="U673" s="116"/>
    </row>
    <row r="674">
      <c r="A674" s="72"/>
      <c r="B674" s="95"/>
      <c r="C674" s="67"/>
      <c r="D674" s="55"/>
      <c r="E674" s="55"/>
      <c r="F674" s="55"/>
      <c r="G674" s="55"/>
      <c r="H674" s="55"/>
      <c r="I674" s="115"/>
      <c r="J674" s="55"/>
      <c r="K674" s="55"/>
      <c r="L674" s="55"/>
      <c r="M674" s="55"/>
      <c r="N674" s="55"/>
      <c r="O674" s="55"/>
      <c r="P674" s="55"/>
      <c r="Q674" s="67"/>
      <c r="R674" s="67"/>
      <c r="S674" s="67"/>
      <c r="T674" s="67"/>
      <c r="U674" s="116"/>
    </row>
    <row r="675">
      <c r="A675" s="72"/>
      <c r="B675" s="95"/>
      <c r="C675" s="67"/>
      <c r="D675" s="55"/>
      <c r="E675" s="55"/>
      <c r="F675" s="55"/>
      <c r="G675" s="55"/>
      <c r="H675" s="55"/>
      <c r="I675" s="115"/>
      <c r="J675" s="55"/>
      <c r="K675" s="55"/>
      <c r="L675" s="55"/>
      <c r="M675" s="55"/>
      <c r="N675" s="55"/>
      <c r="O675" s="55"/>
      <c r="P675" s="55"/>
      <c r="Q675" s="67"/>
      <c r="R675" s="67"/>
      <c r="S675" s="67"/>
      <c r="T675" s="67"/>
      <c r="U675" s="116"/>
    </row>
    <row r="676">
      <c r="A676" s="72"/>
      <c r="B676" s="95"/>
      <c r="C676" s="67"/>
      <c r="D676" s="55"/>
      <c r="E676" s="55"/>
      <c r="F676" s="55"/>
      <c r="G676" s="55"/>
      <c r="H676" s="55"/>
      <c r="I676" s="115"/>
      <c r="J676" s="55"/>
      <c r="K676" s="55"/>
      <c r="L676" s="55"/>
      <c r="M676" s="55"/>
      <c r="N676" s="55"/>
      <c r="O676" s="55"/>
      <c r="P676" s="55"/>
      <c r="Q676" s="67"/>
      <c r="R676" s="67"/>
      <c r="S676" s="67"/>
      <c r="T676" s="67"/>
      <c r="U676" s="116"/>
    </row>
    <row r="677">
      <c r="A677" s="72"/>
      <c r="B677" s="95"/>
      <c r="C677" s="67"/>
      <c r="D677" s="55"/>
      <c r="E677" s="55"/>
      <c r="F677" s="55"/>
      <c r="G677" s="55"/>
      <c r="H677" s="55"/>
      <c r="I677" s="115"/>
      <c r="J677" s="55"/>
      <c r="K677" s="55"/>
      <c r="L677" s="55"/>
      <c r="M677" s="55"/>
      <c r="N677" s="55"/>
      <c r="O677" s="55"/>
      <c r="P677" s="55"/>
      <c r="Q677" s="67"/>
      <c r="R677" s="67"/>
      <c r="S677" s="67"/>
      <c r="T677" s="67"/>
      <c r="U677" s="116"/>
    </row>
    <row r="678">
      <c r="A678" s="72"/>
      <c r="B678" s="95"/>
      <c r="C678" s="67"/>
      <c r="D678" s="55"/>
      <c r="E678" s="55"/>
      <c r="F678" s="55"/>
      <c r="G678" s="55"/>
      <c r="H678" s="55"/>
      <c r="I678" s="115"/>
      <c r="J678" s="55"/>
      <c r="K678" s="55"/>
      <c r="L678" s="55"/>
      <c r="M678" s="55"/>
      <c r="N678" s="55"/>
      <c r="O678" s="55"/>
      <c r="P678" s="55"/>
      <c r="Q678" s="67"/>
      <c r="R678" s="67"/>
      <c r="S678" s="67"/>
      <c r="T678" s="67"/>
      <c r="U678" s="116"/>
    </row>
    <row r="679">
      <c r="A679" s="72"/>
      <c r="B679" s="95"/>
      <c r="C679" s="67"/>
      <c r="D679" s="55"/>
      <c r="E679" s="55"/>
      <c r="F679" s="55"/>
      <c r="G679" s="55"/>
      <c r="H679" s="55"/>
      <c r="I679" s="115"/>
      <c r="J679" s="55"/>
      <c r="K679" s="55"/>
      <c r="L679" s="55"/>
      <c r="M679" s="55"/>
      <c r="N679" s="55"/>
      <c r="O679" s="55"/>
      <c r="P679" s="55"/>
      <c r="Q679" s="67"/>
      <c r="R679" s="67"/>
      <c r="S679" s="67"/>
      <c r="T679" s="67"/>
      <c r="U679" s="116"/>
    </row>
    <row r="680">
      <c r="A680" s="72"/>
      <c r="B680" s="95"/>
      <c r="C680" s="67"/>
      <c r="D680" s="55"/>
      <c r="E680" s="55"/>
      <c r="F680" s="55"/>
      <c r="G680" s="55"/>
      <c r="H680" s="55"/>
      <c r="I680" s="115"/>
      <c r="J680" s="55"/>
      <c r="K680" s="55"/>
      <c r="L680" s="55"/>
      <c r="M680" s="55"/>
      <c r="N680" s="55"/>
      <c r="O680" s="55"/>
      <c r="P680" s="55"/>
      <c r="Q680" s="67"/>
      <c r="R680" s="67"/>
      <c r="S680" s="67"/>
      <c r="T680" s="67"/>
      <c r="U680" s="116"/>
    </row>
    <row r="681">
      <c r="A681" s="72"/>
      <c r="B681" s="95"/>
      <c r="C681" s="67"/>
      <c r="D681" s="55"/>
      <c r="E681" s="55"/>
      <c r="F681" s="55"/>
      <c r="G681" s="55"/>
      <c r="H681" s="55"/>
      <c r="I681" s="115"/>
      <c r="J681" s="55"/>
      <c r="K681" s="55"/>
      <c r="L681" s="55"/>
      <c r="M681" s="55"/>
      <c r="N681" s="55"/>
      <c r="O681" s="55"/>
      <c r="P681" s="55"/>
      <c r="Q681" s="67"/>
      <c r="R681" s="67"/>
      <c r="S681" s="67"/>
      <c r="T681" s="67"/>
      <c r="U681" s="116"/>
    </row>
    <row r="682">
      <c r="A682" s="72"/>
      <c r="B682" s="95"/>
      <c r="C682" s="67"/>
      <c r="D682" s="55"/>
      <c r="E682" s="55"/>
      <c r="F682" s="55"/>
      <c r="G682" s="55"/>
      <c r="H682" s="55"/>
      <c r="I682" s="115"/>
      <c r="J682" s="55"/>
      <c r="K682" s="55"/>
      <c r="L682" s="55"/>
      <c r="M682" s="55"/>
      <c r="N682" s="55"/>
      <c r="O682" s="55"/>
      <c r="P682" s="55"/>
      <c r="Q682" s="67"/>
      <c r="R682" s="67"/>
      <c r="S682" s="67"/>
      <c r="T682" s="67"/>
      <c r="U682" s="116"/>
    </row>
    <row r="683">
      <c r="A683" s="72"/>
      <c r="B683" s="95"/>
      <c r="C683" s="67"/>
      <c r="D683" s="55"/>
      <c r="E683" s="55"/>
      <c r="F683" s="55"/>
      <c r="G683" s="55"/>
      <c r="H683" s="55"/>
      <c r="I683" s="115"/>
      <c r="J683" s="55"/>
      <c r="K683" s="55"/>
      <c r="L683" s="55"/>
      <c r="M683" s="55"/>
      <c r="N683" s="55"/>
      <c r="O683" s="55"/>
      <c r="P683" s="55"/>
      <c r="Q683" s="67"/>
      <c r="R683" s="67"/>
      <c r="S683" s="67"/>
      <c r="T683" s="67"/>
      <c r="U683" s="116"/>
    </row>
    <row r="684">
      <c r="A684" s="72"/>
      <c r="B684" s="95"/>
      <c r="C684" s="67"/>
      <c r="D684" s="55"/>
      <c r="E684" s="55"/>
      <c r="F684" s="55"/>
      <c r="G684" s="55"/>
      <c r="H684" s="55"/>
      <c r="I684" s="115"/>
      <c r="J684" s="55"/>
      <c r="K684" s="55"/>
      <c r="L684" s="55"/>
      <c r="M684" s="55"/>
      <c r="N684" s="55"/>
      <c r="O684" s="55"/>
      <c r="P684" s="55"/>
      <c r="Q684" s="67"/>
      <c r="R684" s="67"/>
      <c r="S684" s="67"/>
      <c r="T684" s="67"/>
      <c r="U684" s="116"/>
    </row>
    <row r="685">
      <c r="A685" s="72"/>
      <c r="B685" s="95"/>
      <c r="C685" s="67"/>
      <c r="D685" s="55"/>
      <c r="E685" s="55"/>
      <c r="F685" s="55"/>
      <c r="G685" s="55"/>
      <c r="H685" s="55"/>
      <c r="I685" s="115"/>
      <c r="J685" s="55"/>
      <c r="K685" s="55"/>
      <c r="L685" s="55"/>
      <c r="M685" s="55"/>
      <c r="N685" s="55"/>
      <c r="O685" s="55"/>
      <c r="P685" s="55"/>
      <c r="Q685" s="67"/>
      <c r="R685" s="67"/>
      <c r="S685" s="67"/>
      <c r="T685" s="67"/>
      <c r="U685" s="116"/>
    </row>
    <row r="686">
      <c r="A686" s="72"/>
      <c r="B686" s="95"/>
      <c r="C686" s="67"/>
      <c r="D686" s="55"/>
      <c r="E686" s="55"/>
      <c r="F686" s="55"/>
      <c r="G686" s="55"/>
      <c r="H686" s="55"/>
      <c r="I686" s="115"/>
      <c r="J686" s="55"/>
      <c r="K686" s="55"/>
      <c r="L686" s="55"/>
      <c r="M686" s="55"/>
      <c r="N686" s="55"/>
      <c r="O686" s="55"/>
      <c r="P686" s="55"/>
      <c r="Q686" s="67"/>
      <c r="R686" s="67"/>
      <c r="S686" s="67"/>
      <c r="T686" s="67"/>
      <c r="U686" s="116"/>
    </row>
    <row r="687">
      <c r="A687" s="72"/>
      <c r="B687" s="95"/>
      <c r="C687" s="67"/>
      <c r="D687" s="55"/>
      <c r="E687" s="55"/>
      <c r="F687" s="55"/>
      <c r="G687" s="55"/>
      <c r="H687" s="55"/>
      <c r="I687" s="115"/>
      <c r="J687" s="55"/>
      <c r="K687" s="55"/>
      <c r="L687" s="55"/>
      <c r="M687" s="55"/>
      <c r="N687" s="55"/>
      <c r="O687" s="55"/>
      <c r="P687" s="55"/>
      <c r="Q687" s="67"/>
      <c r="R687" s="67"/>
      <c r="S687" s="67"/>
      <c r="T687" s="67"/>
      <c r="U687" s="116"/>
    </row>
    <row r="688">
      <c r="A688" s="72"/>
      <c r="B688" s="95"/>
      <c r="C688" s="67"/>
      <c r="D688" s="55"/>
      <c r="E688" s="55"/>
      <c r="F688" s="55"/>
      <c r="G688" s="55"/>
      <c r="H688" s="55"/>
      <c r="I688" s="115"/>
      <c r="J688" s="55"/>
      <c r="K688" s="55"/>
      <c r="L688" s="55"/>
      <c r="M688" s="55"/>
      <c r="N688" s="55"/>
      <c r="O688" s="55"/>
      <c r="P688" s="55"/>
      <c r="Q688" s="67"/>
      <c r="R688" s="67"/>
      <c r="S688" s="67"/>
      <c r="T688" s="67"/>
      <c r="U688" s="116"/>
    </row>
    <row r="689">
      <c r="A689" s="72"/>
      <c r="B689" s="95"/>
      <c r="C689" s="67"/>
      <c r="D689" s="55"/>
      <c r="E689" s="55"/>
      <c r="F689" s="55"/>
      <c r="G689" s="55"/>
      <c r="H689" s="55"/>
      <c r="I689" s="115"/>
      <c r="J689" s="55"/>
      <c r="K689" s="55"/>
      <c r="L689" s="55"/>
      <c r="M689" s="55"/>
      <c r="N689" s="55"/>
      <c r="O689" s="55"/>
      <c r="P689" s="55"/>
      <c r="Q689" s="67"/>
      <c r="R689" s="67"/>
      <c r="S689" s="67"/>
      <c r="T689" s="67"/>
      <c r="U689" s="116"/>
    </row>
    <row r="690">
      <c r="A690" s="72"/>
      <c r="B690" s="95"/>
      <c r="C690" s="67"/>
      <c r="D690" s="55"/>
      <c r="E690" s="55"/>
      <c r="F690" s="55"/>
      <c r="G690" s="55"/>
      <c r="H690" s="55"/>
      <c r="I690" s="115"/>
      <c r="J690" s="55"/>
      <c r="K690" s="55"/>
      <c r="L690" s="55"/>
      <c r="M690" s="55"/>
      <c r="N690" s="55"/>
      <c r="O690" s="55"/>
      <c r="P690" s="55"/>
      <c r="Q690" s="67"/>
      <c r="R690" s="67"/>
      <c r="S690" s="67"/>
      <c r="T690" s="67"/>
      <c r="U690" s="116"/>
    </row>
    <row r="691">
      <c r="A691" s="72"/>
      <c r="B691" s="95"/>
      <c r="C691" s="67"/>
      <c r="D691" s="55"/>
      <c r="E691" s="55"/>
      <c r="F691" s="55"/>
      <c r="G691" s="55"/>
      <c r="H691" s="55"/>
      <c r="I691" s="115"/>
      <c r="J691" s="55"/>
      <c r="K691" s="55"/>
      <c r="L691" s="55"/>
      <c r="M691" s="55"/>
      <c r="N691" s="55"/>
      <c r="O691" s="55"/>
      <c r="P691" s="55"/>
      <c r="Q691" s="67"/>
      <c r="R691" s="67"/>
      <c r="S691" s="67"/>
      <c r="T691" s="67"/>
      <c r="U691" s="116"/>
    </row>
    <row r="692">
      <c r="A692" s="72"/>
      <c r="B692" s="95"/>
      <c r="C692" s="67"/>
      <c r="D692" s="55"/>
      <c r="E692" s="55"/>
      <c r="F692" s="55"/>
      <c r="G692" s="55"/>
      <c r="H692" s="55"/>
      <c r="I692" s="115"/>
      <c r="J692" s="55"/>
      <c r="K692" s="55"/>
      <c r="L692" s="55"/>
      <c r="M692" s="55"/>
      <c r="N692" s="55"/>
      <c r="O692" s="55"/>
      <c r="P692" s="55"/>
      <c r="Q692" s="67"/>
      <c r="R692" s="67"/>
      <c r="S692" s="67"/>
      <c r="T692" s="67"/>
      <c r="U692" s="116"/>
    </row>
    <row r="693">
      <c r="A693" s="72"/>
      <c r="B693" s="95"/>
      <c r="C693" s="67"/>
      <c r="D693" s="55"/>
      <c r="E693" s="55"/>
      <c r="F693" s="55"/>
      <c r="G693" s="55"/>
      <c r="H693" s="55"/>
      <c r="I693" s="115"/>
      <c r="J693" s="55"/>
      <c r="K693" s="55"/>
      <c r="L693" s="55"/>
      <c r="M693" s="55"/>
      <c r="N693" s="55"/>
      <c r="O693" s="55"/>
      <c r="P693" s="55"/>
      <c r="Q693" s="67"/>
      <c r="R693" s="67"/>
      <c r="S693" s="67"/>
      <c r="T693" s="67"/>
      <c r="U693" s="116"/>
    </row>
    <row r="694">
      <c r="A694" s="72"/>
      <c r="B694" s="95"/>
      <c r="C694" s="67"/>
      <c r="D694" s="55"/>
      <c r="E694" s="55"/>
      <c r="F694" s="55"/>
      <c r="G694" s="55"/>
      <c r="H694" s="55"/>
      <c r="I694" s="115"/>
      <c r="J694" s="55"/>
      <c r="K694" s="55"/>
      <c r="L694" s="55"/>
      <c r="M694" s="55"/>
      <c r="N694" s="55"/>
      <c r="O694" s="55"/>
      <c r="P694" s="55"/>
      <c r="Q694" s="67"/>
      <c r="R694" s="67"/>
      <c r="S694" s="67"/>
      <c r="T694" s="67"/>
      <c r="U694" s="116"/>
    </row>
    <row r="695">
      <c r="A695" s="72"/>
      <c r="B695" s="95"/>
      <c r="C695" s="67"/>
      <c r="D695" s="55"/>
      <c r="E695" s="55"/>
      <c r="F695" s="55"/>
      <c r="G695" s="55"/>
      <c r="H695" s="55"/>
      <c r="I695" s="115"/>
      <c r="J695" s="55"/>
      <c r="K695" s="55"/>
      <c r="L695" s="55"/>
      <c r="M695" s="55"/>
      <c r="N695" s="55"/>
      <c r="O695" s="55"/>
      <c r="P695" s="55"/>
      <c r="Q695" s="67"/>
      <c r="R695" s="67"/>
      <c r="S695" s="67"/>
      <c r="T695" s="67"/>
      <c r="U695" s="116"/>
    </row>
    <row r="696">
      <c r="A696" s="72"/>
      <c r="B696" s="95"/>
      <c r="C696" s="67"/>
      <c r="D696" s="55"/>
      <c r="E696" s="55"/>
      <c r="F696" s="55"/>
      <c r="G696" s="55"/>
      <c r="H696" s="55"/>
      <c r="I696" s="115"/>
      <c r="J696" s="55"/>
      <c r="K696" s="55"/>
      <c r="L696" s="55"/>
      <c r="M696" s="55"/>
      <c r="N696" s="55"/>
      <c r="O696" s="55"/>
      <c r="P696" s="55"/>
      <c r="Q696" s="67"/>
      <c r="R696" s="67"/>
      <c r="S696" s="67"/>
      <c r="T696" s="67"/>
      <c r="U696" s="116"/>
    </row>
    <row r="697">
      <c r="A697" s="72"/>
      <c r="B697" s="95"/>
      <c r="C697" s="67"/>
      <c r="D697" s="55"/>
      <c r="E697" s="55"/>
      <c r="F697" s="55"/>
      <c r="G697" s="55"/>
      <c r="H697" s="55"/>
      <c r="I697" s="115"/>
      <c r="J697" s="55"/>
      <c r="K697" s="55"/>
      <c r="L697" s="55"/>
      <c r="M697" s="55"/>
      <c r="N697" s="55"/>
      <c r="O697" s="55"/>
      <c r="P697" s="55"/>
      <c r="Q697" s="67"/>
      <c r="R697" s="67"/>
      <c r="S697" s="67"/>
      <c r="T697" s="67"/>
      <c r="U697" s="116"/>
    </row>
    <row r="698">
      <c r="A698" s="72"/>
      <c r="B698" s="95"/>
      <c r="C698" s="67"/>
      <c r="D698" s="55"/>
      <c r="E698" s="55"/>
      <c r="F698" s="55"/>
      <c r="G698" s="55"/>
      <c r="H698" s="55"/>
      <c r="I698" s="115"/>
      <c r="J698" s="55"/>
      <c r="K698" s="55"/>
      <c r="L698" s="55"/>
      <c r="M698" s="55"/>
      <c r="N698" s="55"/>
      <c r="O698" s="55"/>
      <c r="P698" s="55"/>
      <c r="Q698" s="67"/>
      <c r="R698" s="67"/>
      <c r="S698" s="67"/>
      <c r="T698" s="67"/>
      <c r="U698" s="116"/>
    </row>
    <row r="699">
      <c r="A699" s="72"/>
      <c r="B699" s="95"/>
      <c r="C699" s="67"/>
      <c r="D699" s="55"/>
      <c r="E699" s="55"/>
      <c r="F699" s="55"/>
      <c r="G699" s="55"/>
      <c r="H699" s="55"/>
      <c r="I699" s="115"/>
      <c r="J699" s="55"/>
      <c r="K699" s="55"/>
      <c r="L699" s="55"/>
      <c r="M699" s="55"/>
      <c r="N699" s="55"/>
      <c r="O699" s="55"/>
      <c r="P699" s="55"/>
      <c r="Q699" s="67"/>
      <c r="R699" s="67"/>
      <c r="S699" s="67"/>
      <c r="T699" s="67"/>
      <c r="U699" s="116"/>
    </row>
    <row r="700">
      <c r="A700" s="72"/>
      <c r="B700" s="95"/>
      <c r="C700" s="67"/>
      <c r="D700" s="55"/>
      <c r="E700" s="55"/>
      <c r="F700" s="55"/>
      <c r="G700" s="55"/>
      <c r="H700" s="55"/>
      <c r="I700" s="115"/>
      <c r="J700" s="55"/>
      <c r="K700" s="55"/>
      <c r="L700" s="55"/>
      <c r="M700" s="55"/>
      <c r="N700" s="55"/>
      <c r="O700" s="55"/>
      <c r="P700" s="55"/>
      <c r="Q700" s="67"/>
      <c r="R700" s="67"/>
      <c r="S700" s="67"/>
      <c r="T700" s="67"/>
      <c r="U700" s="116"/>
    </row>
    <row r="701">
      <c r="A701" s="72"/>
      <c r="B701" s="95"/>
      <c r="C701" s="67"/>
      <c r="D701" s="55"/>
      <c r="E701" s="55"/>
      <c r="F701" s="55"/>
      <c r="G701" s="55"/>
      <c r="H701" s="55"/>
      <c r="I701" s="115"/>
      <c r="J701" s="55"/>
      <c r="K701" s="55"/>
      <c r="L701" s="55"/>
      <c r="M701" s="55"/>
      <c r="N701" s="55"/>
      <c r="O701" s="55"/>
      <c r="P701" s="55"/>
      <c r="Q701" s="67"/>
      <c r="R701" s="67"/>
      <c r="S701" s="67"/>
      <c r="T701" s="67"/>
      <c r="U701" s="116"/>
    </row>
    <row r="702">
      <c r="A702" s="72"/>
      <c r="B702" s="95"/>
      <c r="C702" s="67"/>
      <c r="D702" s="55"/>
      <c r="E702" s="55"/>
      <c r="F702" s="55"/>
      <c r="G702" s="55"/>
      <c r="H702" s="55"/>
      <c r="I702" s="115"/>
      <c r="J702" s="55"/>
      <c r="K702" s="55"/>
      <c r="L702" s="55"/>
      <c r="M702" s="55"/>
      <c r="N702" s="55"/>
      <c r="O702" s="55"/>
      <c r="P702" s="55"/>
      <c r="Q702" s="67"/>
      <c r="R702" s="67"/>
      <c r="S702" s="67"/>
      <c r="T702" s="67"/>
      <c r="U702" s="116"/>
    </row>
    <row r="703">
      <c r="A703" s="72"/>
      <c r="B703" s="95"/>
      <c r="C703" s="67"/>
      <c r="D703" s="55"/>
      <c r="E703" s="55"/>
      <c r="F703" s="55"/>
      <c r="G703" s="55"/>
      <c r="H703" s="55"/>
      <c r="I703" s="115"/>
      <c r="J703" s="55"/>
      <c r="K703" s="55"/>
      <c r="L703" s="55"/>
      <c r="M703" s="55"/>
      <c r="N703" s="55"/>
      <c r="O703" s="55"/>
      <c r="P703" s="55"/>
      <c r="Q703" s="67"/>
      <c r="R703" s="67"/>
      <c r="S703" s="67"/>
      <c r="T703" s="67"/>
      <c r="U703" s="116"/>
    </row>
    <row r="704">
      <c r="A704" s="72"/>
      <c r="B704" s="95"/>
      <c r="C704" s="67"/>
      <c r="D704" s="55"/>
      <c r="E704" s="55"/>
      <c r="F704" s="55"/>
      <c r="G704" s="55"/>
      <c r="H704" s="55"/>
      <c r="I704" s="115"/>
      <c r="J704" s="55"/>
      <c r="K704" s="55"/>
      <c r="L704" s="55"/>
      <c r="M704" s="55"/>
      <c r="N704" s="55"/>
      <c r="O704" s="55"/>
      <c r="P704" s="55"/>
      <c r="Q704" s="67"/>
      <c r="R704" s="67"/>
      <c r="S704" s="67"/>
      <c r="T704" s="67"/>
      <c r="U704" s="116"/>
    </row>
    <row r="705">
      <c r="A705" s="72"/>
      <c r="B705" s="95"/>
      <c r="C705" s="67"/>
      <c r="D705" s="55"/>
      <c r="E705" s="55"/>
      <c r="F705" s="55"/>
      <c r="G705" s="55"/>
      <c r="H705" s="55"/>
      <c r="I705" s="115"/>
      <c r="J705" s="55"/>
      <c r="K705" s="55"/>
      <c r="L705" s="55"/>
      <c r="M705" s="55"/>
      <c r="N705" s="55"/>
      <c r="O705" s="55"/>
      <c r="P705" s="55"/>
      <c r="Q705" s="67"/>
      <c r="R705" s="67"/>
      <c r="S705" s="67"/>
      <c r="T705" s="67"/>
      <c r="U705" s="116"/>
    </row>
    <row r="706">
      <c r="A706" s="72"/>
      <c r="B706" s="95"/>
      <c r="C706" s="67"/>
      <c r="D706" s="55"/>
      <c r="E706" s="55"/>
      <c r="F706" s="55"/>
      <c r="G706" s="55"/>
      <c r="H706" s="55"/>
      <c r="I706" s="115"/>
      <c r="J706" s="55"/>
      <c r="K706" s="55"/>
      <c r="L706" s="55"/>
      <c r="M706" s="55"/>
      <c r="N706" s="55"/>
      <c r="O706" s="55"/>
      <c r="P706" s="55"/>
      <c r="Q706" s="67"/>
      <c r="R706" s="67"/>
      <c r="S706" s="67"/>
      <c r="T706" s="67"/>
      <c r="U706" s="116"/>
    </row>
    <row r="707">
      <c r="A707" s="72"/>
      <c r="B707" s="95"/>
      <c r="C707" s="67"/>
      <c r="D707" s="55"/>
      <c r="E707" s="55"/>
      <c r="F707" s="55"/>
      <c r="G707" s="55"/>
      <c r="H707" s="55"/>
      <c r="I707" s="115"/>
      <c r="J707" s="55"/>
      <c r="K707" s="55"/>
      <c r="L707" s="55"/>
      <c r="M707" s="55"/>
      <c r="N707" s="55"/>
      <c r="O707" s="55"/>
      <c r="P707" s="55"/>
      <c r="Q707" s="67"/>
      <c r="R707" s="67"/>
      <c r="S707" s="67"/>
      <c r="T707" s="67"/>
      <c r="U707" s="116"/>
    </row>
    <row r="708">
      <c r="A708" s="72"/>
      <c r="B708" s="95"/>
      <c r="C708" s="67"/>
      <c r="D708" s="55"/>
      <c r="E708" s="55"/>
      <c r="F708" s="55"/>
      <c r="G708" s="55"/>
      <c r="H708" s="55"/>
      <c r="I708" s="115"/>
      <c r="J708" s="55"/>
      <c r="K708" s="55"/>
      <c r="L708" s="55"/>
      <c r="M708" s="55"/>
      <c r="N708" s="55"/>
      <c r="O708" s="55"/>
      <c r="P708" s="55"/>
      <c r="Q708" s="67"/>
      <c r="R708" s="67"/>
      <c r="S708" s="67"/>
      <c r="T708" s="67"/>
      <c r="U708" s="116"/>
    </row>
    <row r="709">
      <c r="A709" s="72"/>
      <c r="B709" s="95"/>
      <c r="C709" s="67"/>
      <c r="D709" s="55"/>
      <c r="E709" s="55"/>
      <c r="F709" s="55"/>
      <c r="G709" s="55"/>
      <c r="H709" s="55"/>
      <c r="I709" s="115"/>
      <c r="J709" s="55"/>
      <c r="K709" s="55"/>
      <c r="L709" s="55"/>
      <c r="M709" s="55"/>
      <c r="N709" s="55"/>
      <c r="O709" s="55"/>
      <c r="P709" s="55"/>
      <c r="Q709" s="67"/>
      <c r="R709" s="67"/>
      <c r="S709" s="67"/>
      <c r="T709" s="67"/>
      <c r="U709" s="116"/>
    </row>
    <row r="710">
      <c r="A710" s="72"/>
      <c r="B710" s="95"/>
      <c r="C710" s="67"/>
      <c r="D710" s="55"/>
      <c r="E710" s="55"/>
      <c r="F710" s="55"/>
      <c r="G710" s="55"/>
      <c r="H710" s="55"/>
      <c r="I710" s="115"/>
      <c r="J710" s="55"/>
      <c r="K710" s="55"/>
      <c r="L710" s="55"/>
      <c r="M710" s="55"/>
      <c r="N710" s="55"/>
      <c r="O710" s="55"/>
      <c r="P710" s="55"/>
      <c r="Q710" s="67"/>
      <c r="R710" s="67"/>
      <c r="S710" s="67"/>
      <c r="T710" s="67"/>
      <c r="U710" s="116"/>
    </row>
    <row r="711">
      <c r="A711" s="72"/>
      <c r="B711" s="95"/>
      <c r="C711" s="67"/>
      <c r="D711" s="55"/>
      <c r="E711" s="55"/>
      <c r="F711" s="55"/>
      <c r="G711" s="55"/>
      <c r="H711" s="55"/>
      <c r="I711" s="115"/>
      <c r="J711" s="55"/>
      <c r="K711" s="55"/>
      <c r="L711" s="55"/>
      <c r="M711" s="55"/>
      <c r="N711" s="55"/>
      <c r="O711" s="55"/>
      <c r="P711" s="55"/>
      <c r="Q711" s="67"/>
      <c r="R711" s="67"/>
      <c r="S711" s="67"/>
      <c r="T711" s="67"/>
      <c r="U711" s="116"/>
    </row>
    <row r="712">
      <c r="A712" s="72"/>
      <c r="B712" s="95"/>
      <c r="C712" s="67"/>
      <c r="D712" s="55"/>
      <c r="E712" s="55"/>
      <c r="F712" s="55"/>
      <c r="G712" s="55"/>
      <c r="H712" s="55"/>
      <c r="I712" s="115"/>
      <c r="J712" s="55"/>
      <c r="K712" s="55"/>
      <c r="L712" s="55"/>
      <c r="M712" s="55"/>
      <c r="N712" s="55"/>
      <c r="O712" s="55"/>
      <c r="P712" s="55"/>
      <c r="Q712" s="67"/>
      <c r="R712" s="67"/>
      <c r="S712" s="67"/>
      <c r="T712" s="67"/>
      <c r="U712" s="116"/>
    </row>
    <row r="713">
      <c r="A713" s="72"/>
      <c r="B713" s="95"/>
      <c r="C713" s="67"/>
      <c r="D713" s="55"/>
      <c r="E713" s="55"/>
      <c r="F713" s="55"/>
      <c r="G713" s="55"/>
      <c r="H713" s="55"/>
      <c r="I713" s="115"/>
      <c r="J713" s="55"/>
      <c r="K713" s="55"/>
      <c r="L713" s="55"/>
      <c r="M713" s="55"/>
      <c r="N713" s="55"/>
      <c r="O713" s="55"/>
      <c r="P713" s="55"/>
      <c r="Q713" s="67"/>
      <c r="R713" s="67"/>
      <c r="S713" s="67"/>
      <c r="T713" s="67"/>
      <c r="U713" s="116"/>
    </row>
    <row r="714">
      <c r="A714" s="72"/>
      <c r="B714" s="95"/>
      <c r="C714" s="67"/>
      <c r="D714" s="55"/>
      <c r="E714" s="55"/>
      <c r="F714" s="55"/>
      <c r="G714" s="55"/>
      <c r="H714" s="55"/>
      <c r="I714" s="115"/>
      <c r="J714" s="55"/>
      <c r="K714" s="55"/>
      <c r="L714" s="55"/>
      <c r="M714" s="55"/>
      <c r="N714" s="55"/>
      <c r="O714" s="55"/>
      <c r="P714" s="55"/>
      <c r="Q714" s="67"/>
      <c r="R714" s="67"/>
      <c r="S714" s="67"/>
      <c r="T714" s="67"/>
      <c r="U714" s="116"/>
    </row>
    <row r="715">
      <c r="A715" s="72"/>
      <c r="B715" s="95"/>
      <c r="C715" s="67"/>
      <c r="D715" s="55"/>
      <c r="E715" s="55"/>
      <c r="F715" s="55"/>
      <c r="G715" s="55"/>
      <c r="H715" s="55"/>
      <c r="I715" s="115"/>
      <c r="J715" s="55"/>
      <c r="K715" s="55"/>
      <c r="L715" s="55"/>
      <c r="M715" s="55"/>
      <c r="N715" s="55"/>
      <c r="O715" s="55"/>
      <c r="P715" s="55"/>
      <c r="Q715" s="67"/>
      <c r="R715" s="67"/>
      <c r="S715" s="67"/>
      <c r="T715" s="67"/>
      <c r="U715" s="116"/>
    </row>
    <row r="716">
      <c r="A716" s="72"/>
      <c r="B716" s="95"/>
      <c r="C716" s="67"/>
      <c r="D716" s="55"/>
      <c r="E716" s="55"/>
      <c r="F716" s="55"/>
      <c r="G716" s="55"/>
      <c r="H716" s="55"/>
      <c r="I716" s="115"/>
      <c r="J716" s="55"/>
      <c r="K716" s="55"/>
      <c r="L716" s="55"/>
      <c r="M716" s="55"/>
      <c r="N716" s="55"/>
      <c r="O716" s="55"/>
      <c r="P716" s="55"/>
      <c r="Q716" s="67"/>
      <c r="R716" s="67"/>
      <c r="S716" s="67"/>
      <c r="T716" s="67"/>
      <c r="U716" s="116"/>
    </row>
    <row r="717">
      <c r="A717" s="72"/>
      <c r="B717" s="95"/>
      <c r="C717" s="67"/>
      <c r="D717" s="55"/>
      <c r="E717" s="55"/>
      <c r="F717" s="55"/>
      <c r="G717" s="55"/>
      <c r="H717" s="55"/>
      <c r="I717" s="115"/>
      <c r="J717" s="55"/>
      <c r="K717" s="55"/>
      <c r="L717" s="55"/>
      <c r="M717" s="55"/>
      <c r="N717" s="55"/>
      <c r="O717" s="55"/>
      <c r="P717" s="55"/>
      <c r="Q717" s="67"/>
      <c r="R717" s="67"/>
      <c r="S717" s="67"/>
      <c r="T717" s="67"/>
      <c r="U717" s="116"/>
    </row>
    <row r="718">
      <c r="A718" s="72"/>
      <c r="B718" s="95"/>
      <c r="C718" s="67"/>
      <c r="D718" s="55"/>
      <c r="E718" s="55"/>
      <c r="F718" s="55"/>
      <c r="G718" s="55"/>
      <c r="H718" s="55"/>
      <c r="I718" s="115"/>
      <c r="J718" s="55"/>
      <c r="K718" s="55"/>
      <c r="L718" s="55"/>
      <c r="M718" s="55"/>
      <c r="N718" s="55"/>
      <c r="O718" s="55"/>
      <c r="P718" s="55"/>
      <c r="Q718" s="67"/>
      <c r="R718" s="67"/>
      <c r="S718" s="67"/>
      <c r="T718" s="67"/>
      <c r="U718" s="116"/>
    </row>
    <row r="719">
      <c r="A719" s="72"/>
      <c r="B719" s="95"/>
      <c r="C719" s="67"/>
      <c r="D719" s="55"/>
      <c r="E719" s="55"/>
      <c r="F719" s="55"/>
      <c r="G719" s="55"/>
      <c r="H719" s="55"/>
      <c r="I719" s="115"/>
      <c r="J719" s="55"/>
      <c r="K719" s="55"/>
      <c r="L719" s="55"/>
      <c r="M719" s="55"/>
      <c r="N719" s="55"/>
      <c r="O719" s="55"/>
      <c r="P719" s="55"/>
      <c r="Q719" s="67"/>
      <c r="R719" s="67"/>
      <c r="S719" s="67"/>
      <c r="T719" s="67"/>
      <c r="U719" s="116"/>
    </row>
    <row r="720">
      <c r="A720" s="72"/>
      <c r="B720" s="95"/>
      <c r="C720" s="67"/>
      <c r="D720" s="55"/>
      <c r="E720" s="55"/>
      <c r="F720" s="55"/>
      <c r="G720" s="55"/>
      <c r="H720" s="55"/>
      <c r="I720" s="115"/>
      <c r="J720" s="55"/>
      <c r="K720" s="55"/>
      <c r="L720" s="55"/>
      <c r="M720" s="55"/>
      <c r="N720" s="55"/>
      <c r="O720" s="55"/>
      <c r="P720" s="55"/>
      <c r="Q720" s="67"/>
      <c r="R720" s="67"/>
      <c r="S720" s="67"/>
      <c r="T720" s="67"/>
      <c r="U720" s="116"/>
    </row>
    <row r="721">
      <c r="A721" s="72"/>
      <c r="B721" s="95"/>
      <c r="C721" s="67"/>
      <c r="D721" s="55"/>
      <c r="E721" s="55"/>
      <c r="F721" s="55"/>
      <c r="G721" s="55"/>
      <c r="H721" s="55"/>
      <c r="I721" s="115"/>
      <c r="J721" s="55"/>
      <c r="K721" s="55"/>
      <c r="L721" s="55"/>
      <c r="M721" s="55"/>
      <c r="N721" s="55"/>
      <c r="O721" s="55"/>
      <c r="P721" s="55"/>
      <c r="Q721" s="67"/>
      <c r="R721" s="67"/>
      <c r="S721" s="67"/>
      <c r="T721" s="67"/>
      <c r="U721" s="116"/>
    </row>
    <row r="722">
      <c r="A722" s="72"/>
      <c r="B722" s="95"/>
      <c r="C722" s="67"/>
      <c r="D722" s="55"/>
      <c r="E722" s="55"/>
      <c r="F722" s="55"/>
      <c r="G722" s="55"/>
      <c r="H722" s="55"/>
      <c r="I722" s="115"/>
      <c r="J722" s="55"/>
      <c r="K722" s="55"/>
      <c r="L722" s="55"/>
      <c r="M722" s="55"/>
      <c r="N722" s="55"/>
      <c r="O722" s="55"/>
      <c r="P722" s="55"/>
      <c r="Q722" s="67"/>
      <c r="R722" s="67"/>
      <c r="S722" s="67"/>
      <c r="T722" s="67"/>
      <c r="U722" s="116"/>
    </row>
    <row r="723">
      <c r="A723" s="72"/>
      <c r="B723" s="95"/>
      <c r="C723" s="67"/>
      <c r="D723" s="55"/>
      <c r="E723" s="55"/>
      <c r="F723" s="55"/>
      <c r="G723" s="55"/>
      <c r="H723" s="55"/>
      <c r="I723" s="115"/>
      <c r="J723" s="55"/>
      <c r="K723" s="55"/>
      <c r="L723" s="55"/>
      <c r="M723" s="55"/>
      <c r="N723" s="55"/>
      <c r="O723" s="55"/>
      <c r="P723" s="55"/>
      <c r="Q723" s="67"/>
      <c r="R723" s="67"/>
      <c r="S723" s="67"/>
      <c r="T723" s="67"/>
      <c r="U723" s="116"/>
    </row>
    <row r="724">
      <c r="A724" s="72"/>
      <c r="B724" s="95"/>
      <c r="C724" s="67"/>
      <c r="D724" s="55"/>
      <c r="E724" s="55"/>
      <c r="F724" s="55"/>
      <c r="G724" s="55"/>
      <c r="H724" s="55"/>
      <c r="I724" s="115"/>
      <c r="J724" s="55"/>
      <c r="K724" s="55"/>
      <c r="L724" s="55"/>
      <c r="M724" s="55"/>
      <c r="N724" s="55"/>
      <c r="O724" s="55"/>
      <c r="P724" s="55"/>
      <c r="Q724" s="67"/>
      <c r="R724" s="67"/>
      <c r="S724" s="67"/>
      <c r="T724" s="67"/>
      <c r="U724" s="116"/>
    </row>
    <row r="725">
      <c r="A725" s="72"/>
      <c r="B725" s="95"/>
      <c r="C725" s="67"/>
      <c r="D725" s="55"/>
      <c r="E725" s="55"/>
      <c r="F725" s="55"/>
      <c r="G725" s="55"/>
      <c r="H725" s="55"/>
      <c r="I725" s="115"/>
      <c r="J725" s="55"/>
      <c r="K725" s="55"/>
      <c r="L725" s="55"/>
      <c r="M725" s="55"/>
      <c r="N725" s="55"/>
      <c r="O725" s="55"/>
      <c r="P725" s="55"/>
      <c r="Q725" s="67"/>
      <c r="R725" s="67"/>
      <c r="S725" s="67"/>
      <c r="T725" s="67"/>
      <c r="U725" s="116"/>
    </row>
    <row r="726">
      <c r="A726" s="72"/>
      <c r="B726" s="95"/>
      <c r="C726" s="67"/>
      <c r="D726" s="55"/>
      <c r="E726" s="55"/>
      <c r="F726" s="55"/>
      <c r="G726" s="55"/>
      <c r="H726" s="55"/>
      <c r="I726" s="115"/>
      <c r="J726" s="55"/>
      <c r="K726" s="55"/>
      <c r="L726" s="55"/>
      <c r="M726" s="55"/>
      <c r="N726" s="55"/>
      <c r="O726" s="55"/>
      <c r="P726" s="55"/>
      <c r="Q726" s="67"/>
      <c r="R726" s="67"/>
      <c r="S726" s="67"/>
      <c r="T726" s="67"/>
      <c r="U726" s="116"/>
    </row>
    <row r="727">
      <c r="A727" s="72"/>
      <c r="B727" s="95"/>
      <c r="C727" s="67"/>
      <c r="D727" s="55"/>
      <c r="E727" s="55"/>
      <c r="F727" s="55"/>
      <c r="G727" s="55"/>
      <c r="H727" s="55"/>
      <c r="I727" s="115"/>
      <c r="J727" s="55"/>
      <c r="K727" s="55"/>
      <c r="L727" s="55"/>
      <c r="M727" s="55"/>
      <c r="N727" s="55"/>
      <c r="O727" s="55"/>
      <c r="P727" s="55"/>
      <c r="Q727" s="67"/>
      <c r="R727" s="67"/>
      <c r="S727" s="67"/>
      <c r="T727" s="67"/>
      <c r="U727" s="116"/>
    </row>
    <row r="728">
      <c r="A728" s="72"/>
      <c r="B728" s="95"/>
      <c r="C728" s="67"/>
      <c r="D728" s="55"/>
      <c r="E728" s="55"/>
      <c r="F728" s="55"/>
      <c r="G728" s="55"/>
      <c r="H728" s="55"/>
      <c r="I728" s="115"/>
      <c r="J728" s="55"/>
      <c r="K728" s="55"/>
      <c r="L728" s="55"/>
      <c r="M728" s="55"/>
      <c r="N728" s="55"/>
      <c r="O728" s="55"/>
      <c r="P728" s="55"/>
      <c r="Q728" s="67"/>
      <c r="R728" s="67"/>
      <c r="S728" s="67"/>
      <c r="T728" s="67"/>
      <c r="U728" s="116"/>
    </row>
    <row r="729">
      <c r="A729" s="72"/>
      <c r="B729" s="95"/>
      <c r="C729" s="67"/>
      <c r="D729" s="55"/>
      <c r="E729" s="55"/>
      <c r="F729" s="55"/>
      <c r="G729" s="55"/>
      <c r="H729" s="55"/>
      <c r="I729" s="115"/>
      <c r="J729" s="55"/>
      <c r="K729" s="55"/>
      <c r="L729" s="55"/>
      <c r="M729" s="55"/>
      <c r="N729" s="55"/>
      <c r="O729" s="55"/>
      <c r="P729" s="55"/>
      <c r="Q729" s="67"/>
      <c r="R729" s="67"/>
      <c r="S729" s="67"/>
      <c r="T729" s="67"/>
      <c r="U729" s="116"/>
    </row>
    <row r="730">
      <c r="A730" s="72"/>
      <c r="B730" s="95"/>
      <c r="C730" s="67"/>
      <c r="D730" s="55"/>
      <c r="E730" s="55"/>
      <c r="F730" s="55"/>
      <c r="G730" s="55"/>
      <c r="H730" s="55"/>
      <c r="I730" s="115"/>
      <c r="J730" s="55"/>
      <c r="K730" s="55"/>
      <c r="L730" s="55"/>
      <c r="M730" s="55"/>
      <c r="N730" s="55"/>
      <c r="O730" s="55"/>
      <c r="P730" s="55"/>
      <c r="Q730" s="67"/>
      <c r="R730" s="67"/>
      <c r="S730" s="67"/>
      <c r="T730" s="67"/>
      <c r="U730" s="116"/>
    </row>
    <row r="731">
      <c r="A731" s="72"/>
      <c r="B731" s="95"/>
      <c r="C731" s="67"/>
      <c r="D731" s="55"/>
      <c r="E731" s="55"/>
      <c r="F731" s="55"/>
      <c r="G731" s="55"/>
      <c r="H731" s="55"/>
      <c r="I731" s="115"/>
      <c r="J731" s="55"/>
      <c r="K731" s="55"/>
      <c r="L731" s="55"/>
      <c r="M731" s="55"/>
      <c r="N731" s="55"/>
      <c r="O731" s="55"/>
      <c r="P731" s="55"/>
      <c r="Q731" s="67"/>
      <c r="R731" s="67"/>
      <c r="S731" s="67"/>
      <c r="T731" s="67"/>
      <c r="U731" s="116"/>
    </row>
    <row r="732">
      <c r="A732" s="72"/>
      <c r="B732" s="95"/>
      <c r="C732" s="67"/>
      <c r="D732" s="55"/>
      <c r="E732" s="55"/>
      <c r="F732" s="55"/>
      <c r="G732" s="55"/>
      <c r="H732" s="55"/>
      <c r="I732" s="115"/>
      <c r="J732" s="55"/>
      <c r="K732" s="55"/>
      <c r="L732" s="55"/>
      <c r="M732" s="55"/>
      <c r="N732" s="55"/>
      <c r="O732" s="55"/>
      <c r="P732" s="55"/>
      <c r="Q732" s="67"/>
      <c r="R732" s="67"/>
      <c r="S732" s="67"/>
      <c r="T732" s="67"/>
      <c r="U732" s="116"/>
    </row>
    <row r="733">
      <c r="A733" s="72"/>
      <c r="B733" s="95"/>
      <c r="C733" s="67"/>
      <c r="D733" s="55"/>
      <c r="E733" s="55"/>
      <c r="F733" s="55"/>
      <c r="G733" s="55"/>
      <c r="H733" s="55"/>
      <c r="I733" s="115"/>
      <c r="J733" s="55"/>
      <c r="K733" s="55"/>
      <c r="L733" s="55"/>
      <c r="M733" s="55"/>
      <c r="N733" s="55"/>
      <c r="O733" s="55"/>
      <c r="P733" s="55"/>
      <c r="Q733" s="67"/>
      <c r="R733" s="67"/>
      <c r="S733" s="67"/>
      <c r="T733" s="67"/>
      <c r="U733" s="116"/>
    </row>
    <row r="734">
      <c r="A734" s="72"/>
      <c r="B734" s="95"/>
      <c r="C734" s="67"/>
      <c r="D734" s="55"/>
      <c r="E734" s="55"/>
      <c r="F734" s="55"/>
      <c r="G734" s="55"/>
      <c r="H734" s="55"/>
      <c r="I734" s="115"/>
      <c r="J734" s="55"/>
      <c r="K734" s="55"/>
      <c r="L734" s="55"/>
      <c r="M734" s="55"/>
      <c r="N734" s="55"/>
      <c r="O734" s="55"/>
      <c r="P734" s="55"/>
      <c r="Q734" s="67"/>
      <c r="R734" s="67"/>
      <c r="S734" s="67"/>
      <c r="T734" s="67"/>
      <c r="U734" s="116"/>
    </row>
    <row r="735">
      <c r="A735" s="72"/>
      <c r="B735" s="95"/>
      <c r="C735" s="67"/>
      <c r="D735" s="55"/>
      <c r="E735" s="55"/>
      <c r="F735" s="55"/>
      <c r="G735" s="55"/>
      <c r="H735" s="55"/>
      <c r="I735" s="115"/>
      <c r="J735" s="55"/>
      <c r="K735" s="55"/>
      <c r="L735" s="55"/>
      <c r="M735" s="55"/>
      <c r="N735" s="55"/>
      <c r="O735" s="55"/>
      <c r="P735" s="55"/>
      <c r="Q735" s="67"/>
      <c r="R735" s="67"/>
      <c r="S735" s="67"/>
      <c r="T735" s="67"/>
      <c r="U735" s="116"/>
    </row>
    <row r="736">
      <c r="A736" s="72"/>
      <c r="B736" s="95"/>
      <c r="C736" s="67"/>
      <c r="D736" s="55"/>
      <c r="E736" s="55"/>
      <c r="F736" s="55"/>
      <c r="G736" s="55"/>
      <c r="H736" s="55"/>
      <c r="I736" s="115"/>
      <c r="J736" s="55"/>
      <c r="K736" s="55"/>
      <c r="L736" s="55"/>
      <c r="M736" s="55"/>
      <c r="N736" s="55"/>
      <c r="O736" s="55"/>
      <c r="P736" s="55"/>
      <c r="Q736" s="67"/>
      <c r="R736" s="67"/>
      <c r="S736" s="67"/>
      <c r="T736" s="67"/>
      <c r="U736" s="116"/>
    </row>
    <row r="737">
      <c r="A737" s="72"/>
      <c r="B737" s="95"/>
      <c r="C737" s="67"/>
      <c r="D737" s="55"/>
      <c r="E737" s="55"/>
      <c r="F737" s="55"/>
      <c r="G737" s="55"/>
      <c r="H737" s="55"/>
      <c r="I737" s="115"/>
      <c r="J737" s="55"/>
      <c r="K737" s="55"/>
      <c r="L737" s="55"/>
      <c r="M737" s="55"/>
      <c r="N737" s="55"/>
      <c r="O737" s="55"/>
      <c r="P737" s="55"/>
      <c r="Q737" s="67"/>
      <c r="R737" s="67"/>
      <c r="S737" s="67"/>
      <c r="T737" s="67"/>
      <c r="U737" s="116"/>
    </row>
    <row r="738">
      <c r="A738" s="72"/>
      <c r="B738" s="95"/>
      <c r="C738" s="67"/>
      <c r="D738" s="55"/>
      <c r="E738" s="55"/>
      <c r="F738" s="55"/>
      <c r="G738" s="55"/>
      <c r="H738" s="55"/>
      <c r="I738" s="115"/>
      <c r="J738" s="55"/>
      <c r="K738" s="55"/>
      <c r="L738" s="55"/>
      <c r="M738" s="55"/>
      <c r="N738" s="55"/>
      <c r="O738" s="55"/>
      <c r="P738" s="55"/>
      <c r="Q738" s="67"/>
      <c r="R738" s="67"/>
      <c r="S738" s="67"/>
      <c r="T738" s="67"/>
      <c r="U738" s="116"/>
    </row>
    <row r="739">
      <c r="A739" s="72"/>
      <c r="B739" s="95"/>
      <c r="C739" s="67"/>
      <c r="D739" s="55"/>
      <c r="E739" s="55"/>
      <c r="F739" s="55"/>
      <c r="G739" s="55"/>
      <c r="H739" s="55"/>
      <c r="I739" s="115"/>
      <c r="J739" s="55"/>
      <c r="K739" s="55"/>
      <c r="L739" s="55"/>
      <c r="M739" s="55"/>
      <c r="N739" s="55"/>
      <c r="O739" s="55"/>
      <c r="P739" s="55"/>
      <c r="Q739" s="67"/>
      <c r="R739" s="67"/>
      <c r="S739" s="67"/>
      <c r="T739" s="67"/>
      <c r="U739" s="116"/>
    </row>
    <row r="740">
      <c r="A740" s="72"/>
      <c r="B740" s="95"/>
      <c r="C740" s="67"/>
      <c r="D740" s="55"/>
      <c r="E740" s="55"/>
      <c r="F740" s="55"/>
      <c r="G740" s="55"/>
      <c r="H740" s="55"/>
      <c r="I740" s="115"/>
      <c r="J740" s="55"/>
      <c r="K740" s="55"/>
      <c r="L740" s="55"/>
      <c r="M740" s="55"/>
      <c r="N740" s="55"/>
      <c r="O740" s="55"/>
      <c r="P740" s="55"/>
      <c r="Q740" s="67"/>
      <c r="R740" s="67"/>
      <c r="S740" s="67"/>
      <c r="T740" s="67"/>
      <c r="U740" s="116"/>
    </row>
    <row r="741">
      <c r="A741" s="72"/>
      <c r="B741" s="95"/>
      <c r="C741" s="67"/>
      <c r="D741" s="55"/>
      <c r="E741" s="55"/>
      <c r="F741" s="55"/>
      <c r="G741" s="55"/>
      <c r="H741" s="55"/>
      <c r="I741" s="115"/>
      <c r="J741" s="55"/>
      <c r="K741" s="55"/>
      <c r="L741" s="55"/>
      <c r="M741" s="55"/>
      <c r="N741" s="55"/>
      <c r="O741" s="55"/>
      <c r="P741" s="55"/>
      <c r="Q741" s="67"/>
      <c r="R741" s="67"/>
      <c r="S741" s="67"/>
      <c r="T741" s="67"/>
      <c r="U741" s="116"/>
    </row>
    <row r="742">
      <c r="A742" s="72"/>
      <c r="B742" s="95"/>
      <c r="C742" s="67"/>
      <c r="D742" s="55"/>
      <c r="E742" s="55"/>
      <c r="F742" s="55"/>
      <c r="G742" s="55"/>
      <c r="H742" s="55"/>
      <c r="I742" s="115"/>
      <c r="J742" s="55"/>
      <c r="K742" s="55"/>
      <c r="L742" s="55"/>
      <c r="M742" s="55"/>
      <c r="N742" s="55"/>
      <c r="O742" s="55"/>
      <c r="P742" s="55"/>
      <c r="Q742" s="67"/>
      <c r="R742" s="67"/>
      <c r="S742" s="67"/>
      <c r="T742" s="67"/>
      <c r="U742" s="116"/>
    </row>
    <row r="743">
      <c r="A743" s="72"/>
      <c r="B743" s="95"/>
      <c r="C743" s="67"/>
      <c r="D743" s="55"/>
      <c r="E743" s="55"/>
      <c r="F743" s="55"/>
      <c r="G743" s="55"/>
      <c r="H743" s="55"/>
      <c r="I743" s="115"/>
      <c r="J743" s="55"/>
      <c r="K743" s="55"/>
      <c r="L743" s="55"/>
      <c r="M743" s="55"/>
      <c r="N743" s="55"/>
      <c r="O743" s="55"/>
      <c r="P743" s="55"/>
      <c r="Q743" s="67"/>
      <c r="R743" s="67"/>
      <c r="S743" s="67"/>
      <c r="T743" s="67"/>
      <c r="U743" s="116"/>
    </row>
    <row r="744">
      <c r="A744" s="72"/>
      <c r="B744" s="95"/>
      <c r="C744" s="67"/>
      <c r="D744" s="55"/>
      <c r="E744" s="55"/>
      <c r="F744" s="55"/>
      <c r="G744" s="55"/>
      <c r="H744" s="55"/>
      <c r="I744" s="115"/>
      <c r="J744" s="55"/>
      <c r="K744" s="55"/>
      <c r="L744" s="55"/>
      <c r="M744" s="55"/>
      <c r="N744" s="55"/>
      <c r="O744" s="55"/>
      <c r="P744" s="55"/>
      <c r="Q744" s="67"/>
      <c r="R744" s="67"/>
      <c r="S744" s="67"/>
      <c r="T744" s="67"/>
      <c r="U744" s="116"/>
    </row>
    <row r="745">
      <c r="A745" s="72"/>
      <c r="B745" s="95"/>
      <c r="C745" s="67"/>
      <c r="D745" s="55"/>
      <c r="E745" s="55"/>
      <c r="F745" s="55"/>
      <c r="G745" s="55"/>
      <c r="H745" s="55"/>
      <c r="I745" s="115"/>
      <c r="J745" s="55"/>
      <c r="K745" s="55"/>
      <c r="L745" s="55"/>
      <c r="M745" s="55"/>
      <c r="N745" s="55"/>
      <c r="O745" s="55"/>
      <c r="P745" s="55"/>
      <c r="Q745" s="67"/>
      <c r="R745" s="67"/>
      <c r="S745" s="67"/>
      <c r="T745" s="67"/>
      <c r="U745" s="116"/>
    </row>
    <row r="746">
      <c r="A746" s="72"/>
      <c r="B746" s="95"/>
      <c r="C746" s="67"/>
      <c r="D746" s="55"/>
      <c r="E746" s="55"/>
      <c r="F746" s="55"/>
      <c r="G746" s="55"/>
      <c r="H746" s="55"/>
      <c r="I746" s="115"/>
      <c r="J746" s="55"/>
      <c r="K746" s="55"/>
      <c r="L746" s="55"/>
      <c r="M746" s="55"/>
      <c r="N746" s="55"/>
      <c r="O746" s="55"/>
      <c r="P746" s="55"/>
      <c r="Q746" s="67"/>
      <c r="R746" s="67"/>
      <c r="S746" s="67"/>
      <c r="T746" s="67"/>
      <c r="U746" s="116"/>
    </row>
    <row r="747">
      <c r="A747" s="72"/>
      <c r="B747" s="95"/>
      <c r="C747" s="67"/>
      <c r="D747" s="55"/>
      <c r="E747" s="55"/>
      <c r="F747" s="55"/>
      <c r="G747" s="55"/>
      <c r="H747" s="55"/>
      <c r="I747" s="115"/>
      <c r="J747" s="55"/>
      <c r="K747" s="55"/>
      <c r="L747" s="55"/>
      <c r="M747" s="55"/>
      <c r="N747" s="55"/>
      <c r="O747" s="55"/>
      <c r="P747" s="55"/>
      <c r="Q747" s="67"/>
      <c r="R747" s="67"/>
      <c r="S747" s="67"/>
      <c r="T747" s="67"/>
      <c r="U747" s="116"/>
    </row>
    <row r="748">
      <c r="A748" s="72"/>
      <c r="B748" s="95"/>
      <c r="C748" s="67"/>
      <c r="D748" s="55"/>
      <c r="E748" s="55"/>
      <c r="F748" s="55"/>
      <c r="G748" s="55"/>
      <c r="H748" s="55"/>
      <c r="I748" s="115"/>
      <c r="J748" s="55"/>
      <c r="K748" s="55"/>
      <c r="L748" s="55"/>
      <c r="M748" s="55"/>
      <c r="N748" s="55"/>
      <c r="O748" s="55"/>
      <c r="P748" s="55"/>
      <c r="Q748" s="67"/>
      <c r="R748" s="67"/>
      <c r="S748" s="67"/>
      <c r="T748" s="67"/>
      <c r="U748" s="116"/>
    </row>
    <row r="749">
      <c r="A749" s="72"/>
      <c r="B749" s="95"/>
      <c r="C749" s="67"/>
      <c r="D749" s="55"/>
      <c r="E749" s="55"/>
      <c r="F749" s="55"/>
      <c r="G749" s="55"/>
      <c r="H749" s="55"/>
      <c r="I749" s="115"/>
      <c r="J749" s="55"/>
      <c r="K749" s="55"/>
      <c r="L749" s="55"/>
      <c r="M749" s="55"/>
      <c r="N749" s="55"/>
      <c r="O749" s="55"/>
      <c r="P749" s="55"/>
      <c r="Q749" s="67"/>
      <c r="R749" s="67"/>
      <c r="S749" s="67"/>
      <c r="T749" s="67"/>
      <c r="U749" s="116"/>
    </row>
    <row r="750">
      <c r="A750" s="72"/>
      <c r="B750" s="95"/>
      <c r="C750" s="67"/>
      <c r="D750" s="55"/>
      <c r="E750" s="55"/>
      <c r="F750" s="55"/>
      <c r="G750" s="55"/>
      <c r="H750" s="55"/>
      <c r="I750" s="115"/>
      <c r="J750" s="55"/>
      <c r="K750" s="55"/>
      <c r="L750" s="55"/>
      <c r="M750" s="55"/>
      <c r="N750" s="55"/>
      <c r="O750" s="55"/>
      <c r="P750" s="55"/>
      <c r="Q750" s="67"/>
      <c r="R750" s="67"/>
      <c r="S750" s="67"/>
      <c r="T750" s="67"/>
      <c r="U750" s="116"/>
    </row>
    <row r="751">
      <c r="A751" s="72"/>
      <c r="B751" s="95"/>
      <c r="C751" s="67"/>
      <c r="D751" s="55"/>
      <c r="E751" s="55"/>
      <c r="F751" s="55"/>
      <c r="G751" s="55"/>
      <c r="H751" s="55"/>
      <c r="I751" s="115"/>
      <c r="J751" s="55"/>
      <c r="K751" s="55"/>
      <c r="L751" s="55"/>
      <c r="M751" s="55"/>
      <c r="N751" s="55"/>
      <c r="O751" s="55"/>
      <c r="P751" s="55"/>
      <c r="Q751" s="67"/>
      <c r="R751" s="67"/>
      <c r="S751" s="67"/>
      <c r="T751" s="67"/>
      <c r="U751" s="116"/>
    </row>
    <row r="752">
      <c r="A752" s="72"/>
      <c r="B752" s="95"/>
      <c r="C752" s="67"/>
      <c r="D752" s="55"/>
      <c r="E752" s="55"/>
      <c r="F752" s="55"/>
      <c r="G752" s="55"/>
      <c r="H752" s="55"/>
      <c r="I752" s="115"/>
      <c r="J752" s="55"/>
      <c r="K752" s="55"/>
      <c r="L752" s="55"/>
      <c r="M752" s="55"/>
      <c r="N752" s="55"/>
      <c r="O752" s="55"/>
      <c r="P752" s="55"/>
      <c r="Q752" s="67"/>
      <c r="R752" s="67"/>
      <c r="S752" s="67"/>
      <c r="T752" s="67"/>
      <c r="U752" s="116"/>
    </row>
    <row r="753">
      <c r="A753" s="72"/>
      <c r="B753" s="95"/>
      <c r="C753" s="67"/>
      <c r="D753" s="55"/>
      <c r="E753" s="55"/>
      <c r="F753" s="55"/>
      <c r="G753" s="55"/>
      <c r="H753" s="55"/>
      <c r="I753" s="115"/>
      <c r="J753" s="55"/>
      <c r="K753" s="55"/>
      <c r="L753" s="55"/>
      <c r="M753" s="55"/>
      <c r="N753" s="55"/>
      <c r="O753" s="55"/>
      <c r="P753" s="55"/>
      <c r="Q753" s="67"/>
      <c r="R753" s="67"/>
      <c r="S753" s="67"/>
      <c r="T753" s="67"/>
      <c r="U753" s="116"/>
    </row>
    <row r="754">
      <c r="A754" s="72"/>
      <c r="B754" s="95"/>
      <c r="C754" s="67"/>
      <c r="D754" s="55"/>
      <c r="E754" s="55"/>
      <c r="F754" s="55"/>
      <c r="G754" s="55"/>
      <c r="H754" s="55"/>
      <c r="I754" s="115"/>
      <c r="J754" s="55"/>
      <c r="K754" s="55"/>
      <c r="L754" s="55"/>
      <c r="M754" s="55"/>
      <c r="N754" s="55"/>
      <c r="O754" s="55"/>
      <c r="P754" s="55"/>
      <c r="Q754" s="67"/>
      <c r="R754" s="67"/>
      <c r="S754" s="67"/>
      <c r="T754" s="67"/>
      <c r="U754" s="116"/>
    </row>
    <row r="755">
      <c r="A755" s="72"/>
      <c r="B755" s="95"/>
      <c r="C755" s="67"/>
      <c r="D755" s="55"/>
      <c r="E755" s="55"/>
      <c r="F755" s="55"/>
      <c r="G755" s="55"/>
      <c r="H755" s="55"/>
      <c r="I755" s="115"/>
      <c r="J755" s="55"/>
      <c r="K755" s="55"/>
      <c r="L755" s="55"/>
      <c r="M755" s="55"/>
      <c r="N755" s="55"/>
      <c r="O755" s="55"/>
      <c r="P755" s="55"/>
      <c r="Q755" s="67"/>
      <c r="R755" s="67"/>
      <c r="S755" s="67"/>
      <c r="T755" s="67"/>
      <c r="U755" s="116"/>
    </row>
    <row r="756">
      <c r="A756" s="72"/>
      <c r="B756" s="95"/>
      <c r="C756" s="67"/>
      <c r="D756" s="55"/>
      <c r="E756" s="55"/>
      <c r="F756" s="55"/>
      <c r="G756" s="55"/>
      <c r="H756" s="55"/>
      <c r="I756" s="115"/>
      <c r="J756" s="55"/>
      <c r="K756" s="55"/>
      <c r="L756" s="55"/>
      <c r="M756" s="55"/>
      <c r="N756" s="55"/>
      <c r="O756" s="55"/>
      <c r="P756" s="55"/>
      <c r="Q756" s="67"/>
      <c r="R756" s="67"/>
      <c r="S756" s="67"/>
      <c r="T756" s="67"/>
      <c r="U756" s="116"/>
    </row>
    <row r="757">
      <c r="A757" s="72"/>
      <c r="B757" s="95"/>
      <c r="C757" s="67"/>
      <c r="D757" s="55"/>
      <c r="E757" s="55"/>
      <c r="F757" s="55"/>
      <c r="G757" s="55"/>
      <c r="H757" s="55"/>
      <c r="I757" s="115"/>
      <c r="J757" s="55"/>
      <c r="K757" s="55"/>
      <c r="L757" s="55"/>
      <c r="M757" s="55"/>
      <c r="N757" s="55"/>
      <c r="O757" s="55"/>
      <c r="P757" s="55"/>
      <c r="Q757" s="67"/>
      <c r="R757" s="67"/>
      <c r="S757" s="67"/>
      <c r="T757" s="67"/>
      <c r="U757" s="116"/>
    </row>
    <row r="758">
      <c r="A758" s="72"/>
      <c r="B758" s="95"/>
      <c r="C758" s="67"/>
      <c r="D758" s="55"/>
      <c r="E758" s="55"/>
      <c r="F758" s="55"/>
      <c r="G758" s="55"/>
      <c r="H758" s="55"/>
      <c r="I758" s="115"/>
      <c r="J758" s="55"/>
      <c r="K758" s="55"/>
      <c r="L758" s="55"/>
      <c r="M758" s="55"/>
      <c r="N758" s="55"/>
      <c r="O758" s="55"/>
      <c r="P758" s="55"/>
      <c r="Q758" s="67"/>
      <c r="R758" s="67"/>
      <c r="S758" s="67"/>
      <c r="T758" s="67"/>
      <c r="U758" s="116"/>
    </row>
    <row r="759">
      <c r="A759" s="72"/>
      <c r="B759" s="95"/>
      <c r="C759" s="67"/>
      <c r="D759" s="55"/>
      <c r="E759" s="55"/>
      <c r="F759" s="55"/>
      <c r="G759" s="55"/>
      <c r="H759" s="55"/>
      <c r="I759" s="115"/>
      <c r="J759" s="55"/>
      <c r="K759" s="55"/>
      <c r="L759" s="55"/>
      <c r="M759" s="55"/>
      <c r="N759" s="55"/>
      <c r="O759" s="55"/>
      <c r="P759" s="55"/>
      <c r="Q759" s="67"/>
      <c r="R759" s="67"/>
      <c r="S759" s="67"/>
      <c r="T759" s="67"/>
      <c r="U759" s="116"/>
    </row>
    <row r="760">
      <c r="A760" s="72"/>
      <c r="B760" s="95"/>
      <c r="C760" s="67"/>
      <c r="D760" s="55"/>
      <c r="E760" s="55"/>
      <c r="F760" s="55"/>
      <c r="G760" s="55"/>
      <c r="H760" s="55"/>
      <c r="I760" s="115"/>
      <c r="J760" s="55"/>
      <c r="K760" s="55"/>
      <c r="L760" s="55"/>
      <c r="M760" s="55"/>
      <c r="N760" s="55"/>
      <c r="O760" s="55"/>
      <c r="P760" s="55"/>
      <c r="Q760" s="67"/>
      <c r="R760" s="67"/>
      <c r="S760" s="67"/>
      <c r="T760" s="67"/>
      <c r="U760" s="116"/>
    </row>
    <row r="761">
      <c r="A761" s="72"/>
      <c r="B761" s="95"/>
      <c r="C761" s="67"/>
      <c r="D761" s="55"/>
      <c r="E761" s="55"/>
      <c r="F761" s="55"/>
      <c r="G761" s="55"/>
      <c r="H761" s="55"/>
      <c r="I761" s="115"/>
      <c r="J761" s="55"/>
      <c r="K761" s="55"/>
      <c r="L761" s="55"/>
      <c r="M761" s="55"/>
      <c r="N761" s="55"/>
      <c r="O761" s="55"/>
      <c r="P761" s="55"/>
      <c r="Q761" s="67"/>
      <c r="R761" s="67"/>
      <c r="S761" s="67"/>
      <c r="T761" s="67"/>
      <c r="U761" s="116"/>
    </row>
    <row r="762">
      <c r="A762" s="72"/>
      <c r="B762" s="95"/>
      <c r="C762" s="67"/>
      <c r="D762" s="55"/>
      <c r="E762" s="55"/>
      <c r="F762" s="55"/>
      <c r="G762" s="55"/>
      <c r="H762" s="55"/>
      <c r="I762" s="115"/>
      <c r="J762" s="55"/>
      <c r="K762" s="55"/>
      <c r="L762" s="55"/>
      <c r="M762" s="55"/>
      <c r="N762" s="55"/>
      <c r="O762" s="55"/>
      <c r="P762" s="55"/>
      <c r="Q762" s="67"/>
      <c r="R762" s="67"/>
      <c r="S762" s="67"/>
      <c r="T762" s="67"/>
      <c r="U762" s="116"/>
    </row>
    <row r="763">
      <c r="A763" s="72"/>
      <c r="B763" s="95"/>
      <c r="C763" s="67"/>
      <c r="D763" s="55"/>
      <c r="E763" s="55"/>
      <c r="F763" s="55"/>
      <c r="G763" s="55"/>
      <c r="H763" s="55"/>
      <c r="I763" s="115"/>
      <c r="J763" s="55"/>
      <c r="K763" s="55"/>
      <c r="L763" s="55"/>
      <c r="M763" s="55"/>
      <c r="N763" s="55"/>
      <c r="O763" s="55"/>
      <c r="P763" s="55"/>
      <c r="Q763" s="67"/>
      <c r="R763" s="67"/>
      <c r="S763" s="67"/>
      <c r="T763" s="67"/>
      <c r="U763" s="116"/>
    </row>
    <row r="764">
      <c r="A764" s="72"/>
      <c r="B764" s="95"/>
      <c r="C764" s="67"/>
      <c r="D764" s="55"/>
      <c r="E764" s="55"/>
      <c r="F764" s="55"/>
      <c r="G764" s="55"/>
      <c r="H764" s="55"/>
      <c r="I764" s="115"/>
      <c r="J764" s="55"/>
      <c r="K764" s="55"/>
      <c r="L764" s="55"/>
      <c r="M764" s="55"/>
      <c r="N764" s="55"/>
      <c r="O764" s="55"/>
      <c r="P764" s="55"/>
      <c r="Q764" s="67"/>
      <c r="R764" s="67"/>
      <c r="S764" s="67"/>
      <c r="T764" s="67"/>
      <c r="U764" s="116"/>
    </row>
    <row r="765">
      <c r="A765" s="72"/>
      <c r="B765" s="95"/>
      <c r="C765" s="67"/>
      <c r="D765" s="55"/>
      <c r="E765" s="55"/>
      <c r="F765" s="55"/>
      <c r="G765" s="55"/>
      <c r="H765" s="55"/>
      <c r="I765" s="115"/>
      <c r="J765" s="55"/>
      <c r="K765" s="55"/>
      <c r="L765" s="55"/>
      <c r="M765" s="55"/>
      <c r="N765" s="55"/>
      <c r="O765" s="55"/>
      <c r="P765" s="55"/>
      <c r="Q765" s="67"/>
      <c r="R765" s="67"/>
      <c r="S765" s="67"/>
      <c r="T765" s="67"/>
      <c r="U765" s="116"/>
    </row>
    <row r="766">
      <c r="A766" s="72"/>
      <c r="B766" s="95"/>
      <c r="C766" s="67"/>
      <c r="D766" s="55"/>
      <c r="E766" s="55"/>
      <c r="F766" s="55"/>
      <c r="G766" s="55"/>
      <c r="H766" s="55"/>
      <c r="I766" s="115"/>
      <c r="J766" s="55"/>
      <c r="K766" s="55"/>
      <c r="L766" s="55"/>
      <c r="M766" s="55"/>
      <c r="N766" s="55"/>
      <c r="O766" s="55"/>
      <c r="P766" s="55"/>
      <c r="Q766" s="67"/>
      <c r="R766" s="67"/>
      <c r="S766" s="67"/>
      <c r="T766" s="67"/>
      <c r="U766" s="116"/>
    </row>
    <row r="767">
      <c r="A767" s="72"/>
      <c r="B767" s="95"/>
      <c r="C767" s="67"/>
      <c r="D767" s="55"/>
      <c r="E767" s="55"/>
      <c r="F767" s="55"/>
      <c r="G767" s="55"/>
      <c r="H767" s="55"/>
      <c r="I767" s="115"/>
      <c r="J767" s="55"/>
      <c r="K767" s="55"/>
      <c r="L767" s="55"/>
      <c r="M767" s="55"/>
      <c r="N767" s="55"/>
      <c r="O767" s="55"/>
      <c r="P767" s="55"/>
      <c r="Q767" s="67"/>
      <c r="R767" s="67"/>
      <c r="S767" s="67"/>
      <c r="T767" s="67"/>
      <c r="U767" s="116"/>
    </row>
    <row r="768">
      <c r="A768" s="72"/>
      <c r="B768" s="95"/>
      <c r="C768" s="67"/>
      <c r="D768" s="55"/>
      <c r="E768" s="55"/>
      <c r="F768" s="55"/>
      <c r="G768" s="55"/>
      <c r="H768" s="55"/>
      <c r="I768" s="115"/>
      <c r="J768" s="55"/>
      <c r="K768" s="55"/>
      <c r="L768" s="55"/>
      <c r="M768" s="55"/>
      <c r="N768" s="55"/>
      <c r="O768" s="55"/>
      <c r="P768" s="55"/>
      <c r="Q768" s="67"/>
      <c r="R768" s="67"/>
      <c r="S768" s="67"/>
      <c r="T768" s="67"/>
      <c r="U768" s="116"/>
    </row>
    <row r="769">
      <c r="A769" s="72"/>
      <c r="B769" s="95"/>
      <c r="C769" s="67"/>
      <c r="D769" s="55"/>
      <c r="E769" s="55"/>
      <c r="F769" s="55"/>
      <c r="G769" s="55"/>
      <c r="H769" s="55"/>
      <c r="I769" s="115"/>
      <c r="J769" s="55"/>
      <c r="K769" s="55"/>
      <c r="L769" s="55"/>
      <c r="M769" s="55"/>
      <c r="N769" s="55"/>
      <c r="O769" s="55"/>
      <c r="P769" s="55"/>
      <c r="Q769" s="67"/>
      <c r="R769" s="67"/>
      <c r="S769" s="67"/>
      <c r="T769" s="67"/>
      <c r="U769" s="116"/>
    </row>
    <row r="770">
      <c r="A770" s="72"/>
      <c r="B770" s="95"/>
      <c r="C770" s="67"/>
      <c r="D770" s="55"/>
      <c r="E770" s="55"/>
      <c r="F770" s="55"/>
      <c r="G770" s="55"/>
      <c r="H770" s="55"/>
      <c r="I770" s="115"/>
      <c r="J770" s="55"/>
      <c r="K770" s="55"/>
      <c r="L770" s="55"/>
      <c r="M770" s="55"/>
      <c r="N770" s="55"/>
      <c r="O770" s="55"/>
      <c r="P770" s="55"/>
      <c r="Q770" s="67"/>
      <c r="R770" s="67"/>
      <c r="S770" s="67"/>
      <c r="T770" s="67"/>
      <c r="U770" s="116"/>
    </row>
    <row r="771">
      <c r="A771" s="72"/>
      <c r="B771" s="95"/>
      <c r="C771" s="67"/>
      <c r="D771" s="55"/>
      <c r="E771" s="55"/>
      <c r="F771" s="55"/>
      <c r="G771" s="55"/>
      <c r="H771" s="55"/>
      <c r="I771" s="115"/>
      <c r="J771" s="55"/>
      <c r="K771" s="55"/>
      <c r="L771" s="55"/>
      <c r="M771" s="55"/>
      <c r="N771" s="55"/>
      <c r="O771" s="55"/>
      <c r="P771" s="55"/>
      <c r="Q771" s="67"/>
      <c r="R771" s="67"/>
      <c r="S771" s="67"/>
      <c r="T771" s="67"/>
      <c r="U771" s="116"/>
    </row>
    <row r="772">
      <c r="A772" s="72"/>
      <c r="B772" s="95"/>
      <c r="C772" s="67"/>
      <c r="D772" s="55"/>
      <c r="E772" s="55"/>
      <c r="F772" s="55"/>
      <c r="G772" s="55"/>
      <c r="H772" s="55"/>
      <c r="I772" s="115"/>
      <c r="J772" s="55"/>
      <c r="K772" s="55"/>
      <c r="L772" s="55"/>
      <c r="M772" s="55"/>
      <c r="N772" s="55"/>
      <c r="O772" s="55"/>
      <c r="P772" s="55"/>
      <c r="Q772" s="67"/>
      <c r="R772" s="67"/>
      <c r="S772" s="67"/>
      <c r="T772" s="67"/>
      <c r="U772" s="116"/>
    </row>
    <row r="773">
      <c r="A773" s="72"/>
      <c r="B773" s="95"/>
      <c r="C773" s="67"/>
      <c r="D773" s="55"/>
      <c r="E773" s="55"/>
      <c r="F773" s="55"/>
      <c r="G773" s="55"/>
      <c r="H773" s="55"/>
      <c r="I773" s="115"/>
      <c r="J773" s="55"/>
      <c r="K773" s="55"/>
      <c r="L773" s="55"/>
      <c r="M773" s="55"/>
      <c r="N773" s="55"/>
      <c r="O773" s="55"/>
      <c r="P773" s="55"/>
      <c r="Q773" s="67"/>
      <c r="R773" s="67"/>
      <c r="S773" s="67"/>
      <c r="T773" s="67"/>
      <c r="U773" s="116"/>
    </row>
    <row r="774">
      <c r="A774" s="72"/>
      <c r="B774" s="95"/>
      <c r="C774" s="67"/>
      <c r="D774" s="55"/>
      <c r="E774" s="55"/>
      <c r="F774" s="55"/>
      <c r="G774" s="55"/>
      <c r="H774" s="55"/>
      <c r="I774" s="115"/>
      <c r="J774" s="55"/>
      <c r="K774" s="55"/>
      <c r="L774" s="55"/>
      <c r="M774" s="55"/>
      <c r="N774" s="55"/>
      <c r="O774" s="55"/>
      <c r="P774" s="55"/>
      <c r="Q774" s="67"/>
      <c r="R774" s="67"/>
      <c r="S774" s="67"/>
      <c r="T774" s="67"/>
      <c r="U774" s="116"/>
    </row>
    <row r="775">
      <c r="A775" s="72"/>
      <c r="B775" s="95"/>
      <c r="C775" s="67"/>
      <c r="D775" s="55"/>
      <c r="E775" s="55"/>
      <c r="F775" s="55"/>
      <c r="G775" s="55"/>
      <c r="H775" s="55"/>
      <c r="I775" s="115"/>
      <c r="J775" s="55"/>
      <c r="K775" s="55"/>
      <c r="L775" s="55"/>
      <c r="M775" s="55"/>
      <c r="N775" s="55"/>
      <c r="O775" s="55"/>
      <c r="P775" s="55"/>
      <c r="Q775" s="67"/>
      <c r="R775" s="67"/>
      <c r="S775" s="67"/>
      <c r="T775" s="67"/>
      <c r="U775" s="116"/>
    </row>
    <row r="776">
      <c r="A776" s="72"/>
      <c r="B776" s="95"/>
      <c r="C776" s="67"/>
      <c r="D776" s="55"/>
      <c r="E776" s="55"/>
      <c r="F776" s="55"/>
      <c r="G776" s="55"/>
      <c r="H776" s="55"/>
      <c r="I776" s="115"/>
      <c r="J776" s="55"/>
      <c r="K776" s="55"/>
      <c r="L776" s="55"/>
      <c r="M776" s="55"/>
      <c r="N776" s="55"/>
      <c r="O776" s="55"/>
      <c r="P776" s="55"/>
      <c r="Q776" s="67"/>
      <c r="R776" s="67"/>
      <c r="S776" s="67"/>
      <c r="T776" s="67"/>
      <c r="U776" s="116"/>
    </row>
    <row r="777">
      <c r="A777" s="72"/>
      <c r="B777" s="95"/>
      <c r="C777" s="67"/>
      <c r="D777" s="55"/>
      <c r="E777" s="55"/>
      <c r="F777" s="55"/>
      <c r="G777" s="55"/>
      <c r="H777" s="55"/>
      <c r="I777" s="115"/>
      <c r="J777" s="55"/>
      <c r="K777" s="55"/>
      <c r="L777" s="55"/>
      <c r="M777" s="55"/>
      <c r="N777" s="55"/>
      <c r="O777" s="55"/>
      <c r="P777" s="55"/>
      <c r="Q777" s="67"/>
      <c r="R777" s="67"/>
      <c r="S777" s="67"/>
      <c r="T777" s="67"/>
      <c r="U777" s="116"/>
    </row>
    <row r="778">
      <c r="A778" s="72"/>
      <c r="B778" s="95"/>
      <c r="C778" s="67"/>
      <c r="D778" s="55"/>
      <c r="E778" s="55"/>
      <c r="F778" s="55"/>
      <c r="G778" s="55"/>
      <c r="H778" s="55"/>
      <c r="I778" s="115"/>
      <c r="J778" s="55"/>
      <c r="K778" s="55"/>
      <c r="L778" s="55"/>
      <c r="M778" s="55"/>
      <c r="N778" s="55"/>
      <c r="O778" s="55"/>
      <c r="P778" s="55"/>
      <c r="Q778" s="67"/>
      <c r="R778" s="67"/>
      <c r="S778" s="67"/>
      <c r="T778" s="67"/>
      <c r="U778" s="116"/>
    </row>
    <row r="779">
      <c r="A779" s="72"/>
      <c r="B779" s="95"/>
      <c r="C779" s="67"/>
      <c r="D779" s="55"/>
      <c r="E779" s="55"/>
      <c r="F779" s="55"/>
      <c r="G779" s="55"/>
      <c r="H779" s="55"/>
      <c r="I779" s="115"/>
      <c r="J779" s="55"/>
      <c r="K779" s="55"/>
      <c r="L779" s="55"/>
      <c r="M779" s="55"/>
      <c r="N779" s="55"/>
      <c r="O779" s="55"/>
      <c r="P779" s="55"/>
      <c r="Q779" s="67"/>
      <c r="R779" s="67"/>
      <c r="S779" s="67"/>
      <c r="T779" s="67"/>
      <c r="U779" s="116"/>
    </row>
    <row r="780">
      <c r="A780" s="72"/>
      <c r="B780" s="95"/>
      <c r="C780" s="67"/>
      <c r="D780" s="55"/>
      <c r="E780" s="55"/>
      <c r="F780" s="55"/>
      <c r="G780" s="55"/>
      <c r="H780" s="55"/>
      <c r="I780" s="115"/>
      <c r="J780" s="55"/>
      <c r="K780" s="55"/>
      <c r="L780" s="55"/>
      <c r="M780" s="55"/>
      <c r="N780" s="55"/>
      <c r="O780" s="55"/>
      <c r="P780" s="55"/>
      <c r="Q780" s="67"/>
      <c r="R780" s="67"/>
      <c r="S780" s="67"/>
      <c r="T780" s="67"/>
      <c r="U780" s="116"/>
    </row>
    <row r="781">
      <c r="A781" s="72"/>
      <c r="B781" s="95"/>
      <c r="C781" s="67"/>
      <c r="D781" s="55"/>
      <c r="E781" s="55"/>
      <c r="F781" s="55"/>
      <c r="G781" s="55"/>
      <c r="H781" s="55"/>
      <c r="I781" s="115"/>
      <c r="J781" s="55"/>
      <c r="K781" s="55"/>
      <c r="L781" s="55"/>
      <c r="M781" s="55"/>
      <c r="N781" s="55"/>
      <c r="O781" s="55"/>
      <c r="P781" s="55"/>
      <c r="Q781" s="67"/>
      <c r="R781" s="67"/>
      <c r="S781" s="67"/>
      <c r="T781" s="67"/>
      <c r="U781" s="116"/>
    </row>
    <row r="782">
      <c r="A782" s="72"/>
      <c r="B782" s="95"/>
      <c r="C782" s="67"/>
      <c r="D782" s="55"/>
      <c r="E782" s="55"/>
      <c r="F782" s="55"/>
      <c r="G782" s="55"/>
      <c r="H782" s="55"/>
      <c r="I782" s="115"/>
      <c r="J782" s="55"/>
      <c r="K782" s="55"/>
      <c r="L782" s="55"/>
      <c r="M782" s="55"/>
      <c r="N782" s="55"/>
      <c r="O782" s="55"/>
      <c r="P782" s="55"/>
      <c r="Q782" s="67"/>
      <c r="R782" s="67"/>
      <c r="S782" s="67"/>
      <c r="T782" s="67"/>
      <c r="U782" s="116"/>
    </row>
    <row r="783">
      <c r="A783" s="72"/>
      <c r="B783" s="95"/>
      <c r="C783" s="67"/>
      <c r="D783" s="55"/>
      <c r="E783" s="55"/>
      <c r="F783" s="55"/>
      <c r="G783" s="55"/>
      <c r="H783" s="55"/>
      <c r="I783" s="115"/>
      <c r="J783" s="55"/>
      <c r="K783" s="55"/>
      <c r="L783" s="55"/>
      <c r="M783" s="55"/>
      <c r="N783" s="55"/>
      <c r="O783" s="55"/>
      <c r="P783" s="55"/>
      <c r="Q783" s="67"/>
      <c r="R783" s="67"/>
      <c r="S783" s="67"/>
      <c r="T783" s="67"/>
      <c r="U783" s="116"/>
    </row>
    <row r="784">
      <c r="A784" s="72"/>
      <c r="B784" s="95"/>
      <c r="C784" s="67"/>
      <c r="D784" s="55"/>
      <c r="E784" s="55"/>
      <c r="F784" s="55"/>
      <c r="G784" s="55"/>
      <c r="H784" s="55"/>
      <c r="I784" s="115"/>
      <c r="J784" s="55"/>
      <c r="K784" s="55"/>
      <c r="L784" s="55"/>
      <c r="M784" s="55"/>
      <c r="N784" s="55"/>
      <c r="O784" s="55"/>
      <c r="P784" s="55"/>
      <c r="Q784" s="67"/>
      <c r="R784" s="67"/>
      <c r="S784" s="67"/>
      <c r="T784" s="67"/>
      <c r="U784" s="116"/>
    </row>
    <row r="785">
      <c r="A785" s="72"/>
      <c r="B785" s="95"/>
      <c r="C785" s="67"/>
      <c r="D785" s="55"/>
      <c r="E785" s="55"/>
      <c r="F785" s="55"/>
      <c r="G785" s="55"/>
      <c r="H785" s="55"/>
      <c r="I785" s="115"/>
      <c r="J785" s="55"/>
      <c r="K785" s="55"/>
      <c r="L785" s="55"/>
      <c r="M785" s="55"/>
      <c r="N785" s="55"/>
      <c r="O785" s="55"/>
      <c r="P785" s="55"/>
      <c r="Q785" s="67"/>
      <c r="R785" s="67"/>
      <c r="S785" s="67"/>
      <c r="T785" s="67"/>
      <c r="U785" s="116"/>
    </row>
    <row r="786">
      <c r="A786" s="72"/>
      <c r="B786" s="95"/>
      <c r="C786" s="67"/>
      <c r="D786" s="55"/>
      <c r="E786" s="55"/>
      <c r="F786" s="55"/>
      <c r="G786" s="55"/>
      <c r="H786" s="55"/>
      <c r="I786" s="115"/>
      <c r="J786" s="55"/>
      <c r="K786" s="55"/>
      <c r="L786" s="55"/>
      <c r="M786" s="55"/>
      <c r="N786" s="55"/>
      <c r="O786" s="55"/>
      <c r="P786" s="55"/>
      <c r="Q786" s="67"/>
      <c r="R786" s="67"/>
      <c r="S786" s="67"/>
      <c r="T786" s="67"/>
      <c r="U786" s="116"/>
    </row>
    <row r="787">
      <c r="A787" s="72"/>
      <c r="B787" s="95"/>
      <c r="C787" s="67"/>
      <c r="D787" s="55"/>
      <c r="E787" s="55"/>
      <c r="F787" s="55"/>
      <c r="G787" s="55"/>
      <c r="H787" s="55"/>
      <c r="I787" s="115"/>
      <c r="J787" s="55"/>
      <c r="K787" s="55"/>
      <c r="L787" s="55"/>
      <c r="M787" s="55"/>
      <c r="N787" s="55"/>
      <c r="O787" s="55"/>
      <c r="P787" s="55"/>
      <c r="Q787" s="67"/>
      <c r="R787" s="67"/>
      <c r="S787" s="67"/>
      <c r="T787" s="67"/>
      <c r="U787" s="116"/>
    </row>
    <row r="788">
      <c r="A788" s="72"/>
      <c r="B788" s="95"/>
      <c r="C788" s="67"/>
      <c r="D788" s="55"/>
      <c r="E788" s="55"/>
      <c r="F788" s="55"/>
      <c r="G788" s="55"/>
      <c r="H788" s="55"/>
      <c r="I788" s="115"/>
      <c r="J788" s="55"/>
      <c r="K788" s="55"/>
      <c r="L788" s="55"/>
      <c r="M788" s="55"/>
      <c r="N788" s="55"/>
      <c r="O788" s="55"/>
      <c r="P788" s="55"/>
      <c r="Q788" s="67"/>
      <c r="R788" s="67"/>
      <c r="S788" s="67"/>
      <c r="T788" s="67"/>
      <c r="U788" s="116"/>
    </row>
    <row r="789">
      <c r="A789" s="72"/>
      <c r="B789" s="95"/>
      <c r="C789" s="67"/>
      <c r="D789" s="55"/>
      <c r="E789" s="55"/>
      <c r="F789" s="55"/>
      <c r="G789" s="55"/>
      <c r="H789" s="55"/>
      <c r="I789" s="115"/>
      <c r="J789" s="55"/>
      <c r="K789" s="55"/>
      <c r="L789" s="55"/>
      <c r="M789" s="55"/>
      <c r="N789" s="55"/>
      <c r="O789" s="55"/>
      <c r="P789" s="55"/>
      <c r="Q789" s="67"/>
      <c r="R789" s="67"/>
      <c r="S789" s="67"/>
      <c r="T789" s="67"/>
      <c r="U789" s="116"/>
    </row>
    <row r="790">
      <c r="A790" s="72"/>
      <c r="B790" s="95"/>
      <c r="C790" s="67"/>
      <c r="D790" s="55"/>
      <c r="E790" s="55"/>
      <c r="F790" s="55"/>
      <c r="G790" s="55"/>
      <c r="H790" s="55"/>
      <c r="I790" s="115"/>
      <c r="J790" s="55"/>
      <c r="K790" s="55"/>
      <c r="L790" s="55"/>
      <c r="M790" s="55"/>
      <c r="N790" s="55"/>
      <c r="O790" s="55"/>
      <c r="P790" s="55"/>
      <c r="Q790" s="67"/>
      <c r="R790" s="67"/>
      <c r="S790" s="67"/>
      <c r="T790" s="67"/>
      <c r="U790" s="116"/>
    </row>
    <row r="791">
      <c r="A791" s="72"/>
      <c r="B791" s="95"/>
      <c r="C791" s="67"/>
      <c r="D791" s="55"/>
      <c r="E791" s="55"/>
      <c r="F791" s="55"/>
      <c r="G791" s="55"/>
      <c r="H791" s="55"/>
      <c r="I791" s="115"/>
      <c r="J791" s="55"/>
      <c r="K791" s="55"/>
      <c r="L791" s="55"/>
      <c r="M791" s="55"/>
      <c r="N791" s="55"/>
      <c r="O791" s="55"/>
      <c r="P791" s="55"/>
      <c r="Q791" s="67"/>
      <c r="R791" s="67"/>
      <c r="S791" s="67"/>
      <c r="T791" s="67"/>
      <c r="U791" s="116"/>
    </row>
    <row r="792">
      <c r="A792" s="72"/>
      <c r="B792" s="95"/>
      <c r="C792" s="67"/>
      <c r="D792" s="55"/>
      <c r="E792" s="55"/>
      <c r="F792" s="55"/>
      <c r="G792" s="55"/>
      <c r="H792" s="55"/>
      <c r="I792" s="115"/>
      <c r="J792" s="55"/>
      <c r="K792" s="55"/>
      <c r="L792" s="55"/>
      <c r="M792" s="55"/>
      <c r="N792" s="55"/>
      <c r="O792" s="55"/>
      <c r="P792" s="55"/>
      <c r="Q792" s="67"/>
      <c r="R792" s="67"/>
      <c r="S792" s="67"/>
      <c r="T792" s="67"/>
      <c r="U792" s="116"/>
    </row>
    <row r="793">
      <c r="A793" s="72"/>
      <c r="B793" s="95"/>
      <c r="C793" s="67"/>
      <c r="D793" s="55"/>
      <c r="E793" s="55"/>
      <c r="F793" s="55"/>
      <c r="G793" s="55"/>
      <c r="H793" s="55"/>
      <c r="I793" s="115"/>
      <c r="J793" s="55"/>
      <c r="K793" s="55"/>
      <c r="L793" s="55"/>
      <c r="M793" s="55"/>
      <c r="N793" s="55"/>
      <c r="O793" s="55"/>
      <c r="P793" s="55"/>
      <c r="Q793" s="67"/>
      <c r="R793" s="67"/>
      <c r="S793" s="67"/>
      <c r="T793" s="67"/>
      <c r="U793" s="116"/>
    </row>
    <row r="794">
      <c r="A794" s="72"/>
      <c r="B794" s="95"/>
      <c r="C794" s="67"/>
      <c r="D794" s="55"/>
      <c r="E794" s="55"/>
      <c r="F794" s="55"/>
      <c r="G794" s="55"/>
      <c r="H794" s="55"/>
      <c r="I794" s="115"/>
      <c r="J794" s="55"/>
      <c r="K794" s="55"/>
      <c r="L794" s="55"/>
      <c r="M794" s="55"/>
      <c r="N794" s="55"/>
      <c r="O794" s="55"/>
      <c r="P794" s="55"/>
      <c r="Q794" s="67"/>
      <c r="R794" s="67"/>
      <c r="S794" s="67"/>
      <c r="T794" s="67"/>
      <c r="U794" s="116"/>
    </row>
    <row r="795">
      <c r="A795" s="72"/>
      <c r="B795" s="95"/>
      <c r="C795" s="67"/>
      <c r="D795" s="55"/>
      <c r="E795" s="55"/>
      <c r="F795" s="55"/>
      <c r="G795" s="55"/>
      <c r="H795" s="55"/>
      <c r="I795" s="115"/>
      <c r="J795" s="55"/>
      <c r="K795" s="55"/>
      <c r="L795" s="55"/>
      <c r="M795" s="55"/>
      <c r="N795" s="55"/>
      <c r="O795" s="55"/>
      <c r="P795" s="55"/>
      <c r="Q795" s="67"/>
      <c r="R795" s="67"/>
      <c r="S795" s="67"/>
      <c r="T795" s="67"/>
      <c r="U795" s="116"/>
    </row>
    <row r="796">
      <c r="A796" s="72"/>
      <c r="B796" s="95"/>
      <c r="C796" s="67"/>
      <c r="D796" s="55"/>
      <c r="E796" s="55"/>
      <c r="F796" s="55"/>
      <c r="G796" s="55"/>
      <c r="H796" s="55"/>
      <c r="I796" s="115"/>
      <c r="J796" s="55"/>
      <c r="K796" s="55"/>
      <c r="L796" s="55"/>
      <c r="M796" s="55"/>
      <c r="N796" s="55"/>
      <c r="O796" s="55"/>
      <c r="P796" s="55"/>
      <c r="Q796" s="67"/>
      <c r="R796" s="67"/>
      <c r="S796" s="67"/>
      <c r="T796" s="67"/>
      <c r="U796" s="116"/>
    </row>
    <row r="797">
      <c r="A797" s="72"/>
      <c r="B797" s="95"/>
      <c r="C797" s="67"/>
      <c r="D797" s="55"/>
      <c r="E797" s="55"/>
      <c r="F797" s="55"/>
      <c r="G797" s="55"/>
      <c r="H797" s="55"/>
      <c r="I797" s="115"/>
      <c r="J797" s="55"/>
      <c r="K797" s="55"/>
      <c r="L797" s="55"/>
      <c r="M797" s="55"/>
      <c r="N797" s="55"/>
      <c r="O797" s="55"/>
      <c r="P797" s="55"/>
      <c r="Q797" s="67"/>
      <c r="R797" s="67"/>
      <c r="S797" s="67"/>
      <c r="T797" s="67"/>
      <c r="U797" s="116"/>
    </row>
    <row r="798">
      <c r="A798" s="72"/>
      <c r="B798" s="95"/>
      <c r="C798" s="67"/>
      <c r="D798" s="55"/>
      <c r="E798" s="55"/>
      <c r="F798" s="55"/>
      <c r="G798" s="55"/>
      <c r="H798" s="55"/>
      <c r="I798" s="115"/>
      <c r="J798" s="55"/>
      <c r="K798" s="55"/>
      <c r="L798" s="55"/>
      <c r="M798" s="55"/>
      <c r="N798" s="55"/>
      <c r="O798" s="55"/>
      <c r="P798" s="55"/>
      <c r="Q798" s="67"/>
      <c r="R798" s="67"/>
      <c r="S798" s="67"/>
      <c r="T798" s="67"/>
      <c r="U798" s="116"/>
    </row>
    <row r="799">
      <c r="A799" s="72"/>
      <c r="B799" s="95"/>
      <c r="C799" s="67"/>
      <c r="D799" s="55"/>
      <c r="E799" s="55"/>
      <c r="F799" s="55"/>
      <c r="G799" s="55"/>
      <c r="H799" s="55"/>
      <c r="I799" s="115"/>
      <c r="J799" s="55"/>
      <c r="K799" s="55"/>
      <c r="L799" s="55"/>
      <c r="M799" s="55"/>
      <c r="N799" s="55"/>
      <c r="O799" s="55"/>
      <c r="P799" s="55"/>
      <c r="Q799" s="67"/>
      <c r="R799" s="67"/>
      <c r="S799" s="67"/>
      <c r="T799" s="67"/>
      <c r="U799" s="116"/>
    </row>
    <row r="800">
      <c r="A800" s="72"/>
      <c r="B800" s="95"/>
      <c r="C800" s="67"/>
      <c r="D800" s="55"/>
      <c r="E800" s="55"/>
      <c r="F800" s="55"/>
      <c r="G800" s="55"/>
      <c r="H800" s="55"/>
      <c r="I800" s="115"/>
      <c r="J800" s="55"/>
      <c r="K800" s="55"/>
      <c r="L800" s="55"/>
      <c r="M800" s="55"/>
      <c r="N800" s="55"/>
      <c r="O800" s="55"/>
      <c r="P800" s="55"/>
      <c r="Q800" s="67"/>
      <c r="R800" s="67"/>
      <c r="S800" s="67"/>
      <c r="T800" s="67"/>
      <c r="U800" s="116"/>
    </row>
    <row r="801">
      <c r="A801" s="72"/>
      <c r="B801" s="95"/>
      <c r="C801" s="67"/>
      <c r="D801" s="55"/>
      <c r="E801" s="55"/>
      <c r="F801" s="55"/>
      <c r="G801" s="55"/>
      <c r="H801" s="55"/>
      <c r="I801" s="115"/>
      <c r="J801" s="55"/>
      <c r="K801" s="55"/>
      <c r="L801" s="55"/>
      <c r="M801" s="55"/>
      <c r="N801" s="55"/>
      <c r="O801" s="55"/>
      <c r="P801" s="55"/>
      <c r="Q801" s="67"/>
      <c r="R801" s="67"/>
      <c r="S801" s="67"/>
      <c r="T801" s="67"/>
      <c r="U801" s="116"/>
    </row>
    <row r="802">
      <c r="A802" s="72"/>
      <c r="B802" s="95"/>
      <c r="C802" s="67"/>
      <c r="D802" s="55"/>
      <c r="E802" s="55"/>
      <c r="F802" s="55"/>
      <c r="G802" s="55"/>
      <c r="H802" s="55"/>
      <c r="I802" s="115"/>
      <c r="J802" s="55"/>
      <c r="K802" s="55"/>
      <c r="L802" s="55"/>
      <c r="M802" s="55"/>
      <c r="N802" s="55"/>
      <c r="O802" s="55"/>
      <c r="P802" s="55"/>
      <c r="Q802" s="67"/>
      <c r="R802" s="67"/>
      <c r="S802" s="67"/>
      <c r="T802" s="67"/>
      <c r="U802" s="116"/>
    </row>
    <row r="803">
      <c r="A803" s="72"/>
      <c r="B803" s="95"/>
      <c r="C803" s="67"/>
      <c r="D803" s="55"/>
      <c r="E803" s="55"/>
      <c r="F803" s="55"/>
      <c r="G803" s="55"/>
      <c r="H803" s="55"/>
      <c r="I803" s="115"/>
      <c r="J803" s="55"/>
      <c r="K803" s="55"/>
      <c r="L803" s="55"/>
      <c r="M803" s="55"/>
      <c r="N803" s="55"/>
      <c r="O803" s="55"/>
      <c r="P803" s="55"/>
      <c r="Q803" s="67"/>
      <c r="R803" s="67"/>
      <c r="S803" s="67"/>
      <c r="T803" s="67"/>
      <c r="U803" s="116"/>
    </row>
    <row r="804">
      <c r="A804" s="72"/>
      <c r="B804" s="95"/>
      <c r="C804" s="67"/>
      <c r="D804" s="55"/>
      <c r="E804" s="55"/>
      <c r="F804" s="55"/>
      <c r="G804" s="55"/>
      <c r="H804" s="55"/>
      <c r="I804" s="115"/>
      <c r="J804" s="55"/>
      <c r="K804" s="55"/>
      <c r="L804" s="55"/>
      <c r="M804" s="55"/>
      <c r="N804" s="55"/>
      <c r="O804" s="55"/>
      <c r="P804" s="55"/>
      <c r="Q804" s="67"/>
      <c r="R804" s="67"/>
      <c r="S804" s="67"/>
      <c r="T804" s="67"/>
      <c r="U804" s="116"/>
    </row>
    <row r="805">
      <c r="A805" s="72"/>
      <c r="B805" s="95"/>
      <c r="C805" s="67"/>
      <c r="D805" s="55"/>
      <c r="E805" s="55"/>
      <c r="F805" s="55"/>
      <c r="G805" s="55"/>
      <c r="H805" s="55"/>
      <c r="I805" s="115"/>
      <c r="J805" s="55"/>
      <c r="K805" s="55"/>
      <c r="L805" s="55"/>
      <c r="M805" s="55"/>
      <c r="N805" s="55"/>
      <c r="O805" s="55"/>
      <c r="P805" s="55"/>
      <c r="Q805" s="67"/>
      <c r="R805" s="67"/>
      <c r="S805" s="67"/>
      <c r="T805" s="67"/>
      <c r="U805" s="116"/>
    </row>
    <row r="806">
      <c r="A806" s="72"/>
      <c r="B806" s="95"/>
      <c r="C806" s="67"/>
      <c r="D806" s="55"/>
      <c r="E806" s="55"/>
      <c r="F806" s="55"/>
      <c r="G806" s="55"/>
      <c r="H806" s="55"/>
      <c r="I806" s="115"/>
      <c r="J806" s="55"/>
      <c r="K806" s="55"/>
      <c r="L806" s="55"/>
      <c r="M806" s="55"/>
      <c r="N806" s="55"/>
      <c r="O806" s="55"/>
      <c r="P806" s="55"/>
      <c r="Q806" s="67"/>
      <c r="R806" s="67"/>
      <c r="S806" s="67"/>
      <c r="T806" s="67"/>
      <c r="U806" s="116"/>
    </row>
    <row r="807">
      <c r="A807" s="72"/>
      <c r="B807" s="95"/>
      <c r="C807" s="67"/>
      <c r="D807" s="55"/>
      <c r="E807" s="55"/>
      <c r="F807" s="55"/>
      <c r="G807" s="55"/>
      <c r="H807" s="55"/>
      <c r="I807" s="115"/>
      <c r="J807" s="55"/>
      <c r="K807" s="55"/>
      <c r="L807" s="55"/>
      <c r="M807" s="55"/>
      <c r="N807" s="55"/>
      <c r="O807" s="55"/>
      <c r="P807" s="55"/>
      <c r="Q807" s="67"/>
      <c r="R807" s="67"/>
      <c r="S807" s="67"/>
      <c r="T807" s="67"/>
      <c r="U807" s="116"/>
    </row>
    <row r="808">
      <c r="A808" s="72"/>
      <c r="B808" s="95"/>
      <c r="C808" s="67"/>
      <c r="D808" s="55"/>
      <c r="E808" s="55"/>
      <c r="F808" s="55"/>
      <c r="G808" s="55"/>
      <c r="H808" s="55"/>
      <c r="I808" s="115"/>
      <c r="J808" s="55"/>
      <c r="K808" s="55"/>
      <c r="L808" s="55"/>
      <c r="M808" s="55"/>
      <c r="N808" s="55"/>
      <c r="O808" s="55"/>
      <c r="P808" s="55"/>
      <c r="Q808" s="67"/>
      <c r="R808" s="67"/>
      <c r="S808" s="67"/>
      <c r="T808" s="67"/>
      <c r="U808" s="116"/>
    </row>
    <row r="809">
      <c r="A809" s="72"/>
      <c r="B809" s="95"/>
      <c r="C809" s="67"/>
      <c r="D809" s="55"/>
      <c r="E809" s="55"/>
      <c r="F809" s="55"/>
      <c r="G809" s="55"/>
      <c r="H809" s="55"/>
      <c r="I809" s="115"/>
      <c r="J809" s="55"/>
      <c r="K809" s="55"/>
      <c r="L809" s="55"/>
      <c r="M809" s="55"/>
      <c r="N809" s="55"/>
      <c r="O809" s="55"/>
      <c r="P809" s="55"/>
      <c r="Q809" s="67"/>
      <c r="R809" s="67"/>
      <c r="S809" s="67"/>
      <c r="T809" s="67"/>
      <c r="U809" s="116"/>
    </row>
    <row r="810">
      <c r="A810" s="72"/>
      <c r="B810" s="95"/>
      <c r="C810" s="67"/>
      <c r="D810" s="55"/>
      <c r="E810" s="55"/>
      <c r="F810" s="55"/>
      <c r="G810" s="55"/>
      <c r="H810" s="55"/>
      <c r="I810" s="115"/>
      <c r="J810" s="55"/>
      <c r="K810" s="55"/>
      <c r="L810" s="55"/>
      <c r="M810" s="55"/>
      <c r="N810" s="55"/>
      <c r="O810" s="55"/>
      <c r="P810" s="55"/>
      <c r="Q810" s="67"/>
      <c r="R810" s="67"/>
      <c r="S810" s="67"/>
      <c r="T810" s="67"/>
      <c r="U810" s="116"/>
    </row>
    <row r="811">
      <c r="A811" s="72"/>
      <c r="B811" s="95"/>
      <c r="C811" s="67"/>
      <c r="D811" s="55"/>
      <c r="E811" s="55"/>
      <c r="F811" s="55"/>
      <c r="G811" s="55"/>
      <c r="H811" s="55"/>
      <c r="I811" s="115"/>
      <c r="J811" s="55"/>
      <c r="K811" s="55"/>
      <c r="L811" s="55"/>
      <c r="M811" s="55"/>
      <c r="N811" s="55"/>
      <c r="O811" s="55"/>
      <c r="P811" s="55"/>
      <c r="Q811" s="67"/>
      <c r="R811" s="67"/>
      <c r="S811" s="67"/>
      <c r="T811" s="67"/>
      <c r="U811" s="116"/>
    </row>
    <row r="812">
      <c r="A812" s="72"/>
      <c r="B812" s="95"/>
      <c r="C812" s="67"/>
      <c r="D812" s="55"/>
      <c r="E812" s="55"/>
      <c r="F812" s="55"/>
      <c r="G812" s="55"/>
      <c r="H812" s="55"/>
      <c r="I812" s="115"/>
      <c r="J812" s="55"/>
      <c r="K812" s="55"/>
      <c r="L812" s="55"/>
      <c r="M812" s="55"/>
      <c r="N812" s="55"/>
      <c r="O812" s="55"/>
      <c r="P812" s="55"/>
      <c r="Q812" s="67"/>
      <c r="R812" s="67"/>
      <c r="S812" s="67"/>
      <c r="T812" s="67"/>
      <c r="U812" s="116"/>
    </row>
    <row r="813">
      <c r="A813" s="72"/>
      <c r="B813" s="95"/>
      <c r="C813" s="67"/>
      <c r="D813" s="55"/>
      <c r="E813" s="55"/>
      <c r="F813" s="55"/>
      <c r="G813" s="55"/>
      <c r="H813" s="55"/>
      <c r="I813" s="115"/>
      <c r="J813" s="55"/>
      <c r="K813" s="55"/>
      <c r="L813" s="55"/>
      <c r="M813" s="55"/>
      <c r="N813" s="55"/>
      <c r="O813" s="55"/>
      <c r="P813" s="55"/>
      <c r="Q813" s="67"/>
      <c r="R813" s="67"/>
      <c r="S813" s="67"/>
      <c r="T813" s="67"/>
      <c r="U813" s="116"/>
    </row>
    <row r="814">
      <c r="A814" s="72"/>
      <c r="B814" s="95"/>
      <c r="C814" s="67"/>
      <c r="D814" s="55"/>
      <c r="E814" s="55"/>
      <c r="F814" s="55"/>
      <c r="G814" s="55"/>
      <c r="H814" s="55"/>
      <c r="I814" s="115"/>
      <c r="J814" s="55"/>
      <c r="K814" s="55"/>
      <c r="L814" s="55"/>
      <c r="M814" s="55"/>
      <c r="N814" s="55"/>
      <c r="O814" s="55"/>
      <c r="P814" s="55"/>
      <c r="Q814" s="67"/>
      <c r="R814" s="67"/>
      <c r="S814" s="67"/>
      <c r="T814" s="67"/>
      <c r="U814" s="116"/>
    </row>
    <row r="815">
      <c r="A815" s="72"/>
      <c r="B815" s="95"/>
      <c r="C815" s="67"/>
      <c r="D815" s="55"/>
      <c r="E815" s="55"/>
      <c r="F815" s="55"/>
      <c r="G815" s="55"/>
      <c r="H815" s="55"/>
      <c r="I815" s="115"/>
      <c r="J815" s="55"/>
      <c r="K815" s="55"/>
      <c r="L815" s="55"/>
      <c r="M815" s="55"/>
      <c r="N815" s="55"/>
      <c r="O815" s="55"/>
      <c r="P815" s="55"/>
      <c r="Q815" s="67"/>
      <c r="R815" s="67"/>
      <c r="S815" s="67"/>
      <c r="T815" s="67"/>
      <c r="U815" s="116"/>
    </row>
    <row r="816">
      <c r="A816" s="72"/>
      <c r="B816" s="95"/>
      <c r="C816" s="67"/>
      <c r="D816" s="55"/>
      <c r="E816" s="55"/>
      <c r="F816" s="55"/>
      <c r="G816" s="55"/>
      <c r="H816" s="55"/>
      <c r="I816" s="115"/>
      <c r="J816" s="55"/>
      <c r="K816" s="55"/>
      <c r="L816" s="55"/>
      <c r="M816" s="55"/>
      <c r="N816" s="55"/>
      <c r="O816" s="55"/>
      <c r="P816" s="55"/>
      <c r="Q816" s="67"/>
      <c r="R816" s="67"/>
      <c r="S816" s="67"/>
      <c r="T816" s="67"/>
      <c r="U816" s="116"/>
    </row>
    <row r="817">
      <c r="A817" s="72"/>
      <c r="B817" s="95"/>
      <c r="C817" s="67"/>
      <c r="D817" s="55"/>
      <c r="E817" s="55"/>
      <c r="F817" s="55"/>
      <c r="G817" s="55"/>
      <c r="H817" s="55"/>
      <c r="I817" s="115"/>
      <c r="J817" s="55"/>
      <c r="K817" s="55"/>
      <c r="L817" s="55"/>
      <c r="M817" s="55"/>
      <c r="N817" s="55"/>
      <c r="O817" s="55"/>
      <c r="P817" s="55"/>
      <c r="Q817" s="67"/>
      <c r="R817" s="67"/>
      <c r="S817" s="67"/>
      <c r="T817" s="67"/>
      <c r="U817" s="116"/>
    </row>
    <row r="818">
      <c r="A818" s="72"/>
      <c r="B818" s="95"/>
      <c r="C818" s="67"/>
      <c r="D818" s="55"/>
      <c r="E818" s="55"/>
      <c r="F818" s="55"/>
      <c r="G818" s="55"/>
      <c r="H818" s="55"/>
      <c r="I818" s="115"/>
      <c r="J818" s="55"/>
      <c r="K818" s="55"/>
      <c r="L818" s="55"/>
      <c r="M818" s="55"/>
      <c r="N818" s="55"/>
      <c r="O818" s="55"/>
      <c r="P818" s="55"/>
      <c r="Q818" s="67"/>
      <c r="R818" s="67"/>
      <c r="S818" s="67"/>
      <c r="T818" s="67"/>
      <c r="U818" s="116"/>
    </row>
    <row r="819">
      <c r="A819" s="72"/>
      <c r="B819" s="95"/>
      <c r="C819" s="67"/>
      <c r="D819" s="55"/>
      <c r="E819" s="55"/>
      <c r="F819" s="55"/>
      <c r="G819" s="55"/>
      <c r="H819" s="55"/>
      <c r="I819" s="115"/>
      <c r="J819" s="55"/>
      <c r="K819" s="55"/>
      <c r="L819" s="55"/>
      <c r="M819" s="55"/>
      <c r="N819" s="55"/>
      <c r="O819" s="55"/>
      <c r="P819" s="55"/>
      <c r="Q819" s="67"/>
      <c r="R819" s="67"/>
      <c r="S819" s="67"/>
      <c r="T819" s="67"/>
      <c r="U819" s="116"/>
    </row>
    <row r="820">
      <c r="A820" s="72"/>
      <c r="B820" s="95"/>
      <c r="C820" s="67"/>
      <c r="D820" s="55"/>
      <c r="E820" s="55"/>
      <c r="F820" s="55"/>
      <c r="G820" s="55"/>
      <c r="H820" s="55"/>
      <c r="I820" s="115"/>
      <c r="J820" s="55"/>
      <c r="K820" s="55"/>
      <c r="L820" s="55"/>
      <c r="M820" s="55"/>
      <c r="N820" s="55"/>
      <c r="O820" s="55"/>
      <c r="P820" s="55"/>
      <c r="Q820" s="67"/>
      <c r="R820" s="67"/>
      <c r="S820" s="67"/>
      <c r="T820" s="67"/>
      <c r="U820" s="116"/>
    </row>
    <row r="821">
      <c r="A821" s="72"/>
      <c r="B821" s="95"/>
      <c r="C821" s="67"/>
      <c r="D821" s="55"/>
      <c r="E821" s="55"/>
      <c r="F821" s="55"/>
      <c r="G821" s="55"/>
      <c r="H821" s="55"/>
      <c r="I821" s="115"/>
      <c r="J821" s="55"/>
      <c r="K821" s="55"/>
      <c r="L821" s="55"/>
      <c r="M821" s="55"/>
      <c r="N821" s="55"/>
      <c r="O821" s="55"/>
      <c r="P821" s="55"/>
      <c r="Q821" s="67"/>
      <c r="R821" s="67"/>
      <c r="S821" s="67"/>
      <c r="T821" s="67"/>
      <c r="U821" s="116"/>
    </row>
    <row r="822">
      <c r="A822" s="72"/>
      <c r="B822" s="95"/>
      <c r="C822" s="67"/>
      <c r="D822" s="55"/>
      <c r="E822" s="55"/>
      <c r="F822" s="55"/>
      <c r="G822" s="55"/>
      <c r="H822" s="55"/>
      <c r="I822" s="115"/>
      <c r="J822" s="55"/>
      <c r="K822" s="55"/>
      <c r="L822" s="55"/>
      <c r="M822" s="55"/>
      <c r="N822" s="55"/>
      <c r="O822" s="55"/>
      <c r="P822" s="55"/>
      <c r="Q822" s="67"/>
      <c r="R822" s="67"/>
      <c r="S822" s="67"/>
      <c r="T822" s="67"/>
      <c r="U822" s="116"/>
    </row>
    <row r="823">
      <c r="A823" s="72"/>
      <c r="B823" s="95"/>
      <c r="C823" s="67"/>
      <c r="D823" s="55"/>
      <c r="E823" s="55"/>
      <c r="F823" s="55"/>
      <c r="G823" s="55"/>
      <c r="H823" s="55"/>
      <c r="I823" s="115"/>
      <c r="J823" s="55"/>
      <c r="K823" s="55"/>
      <c r="L823" s="55"/>
      <c r="M823" s="55"/>
      <c r="N823" s="55"/>
      <c r="O823" s="55"/>
      <c r="P823" s="55"/>
      <c r="Q823" s="67"/>
      <c r="R823" s="67"/>
      <c r="S823" s="67"/>
      <c r="T823" s="67"/>
      <c r="U823" s="116"/>
    </row>
    <row r="824">
      <c r="A824" s="72"/>
      <c r="B824" s="95"/>
      <c r="C824" s="67"/>
      <c r="D824" s="55"/>
      <c r="E824" s="55"/>
      <c r="F824" s="55"/>
      <c r="G824" s="55"/>
      <c r="H824" s="55"/>
      <c r="I824" s="115"/>
      <c r="J824" s="55"/>
      <c r="K824" s="55"/>
      <c r="L824" s="55"/>
      <c r="M824" s="55"/>
      <c r="N824" s="55"/>
      <c r="O824" s="55"/>
      <c r="P824" s="55"/>
      <c r="Q824" s="67"/>
      <c r="R824" s="67"/>
      <c r="S824" s="67"/>
      <c r="T824" s="67"/>
      <c r="U824" s="116"/>
    </row>
    <row r="825">
      <c r="A825" s="72"/>
      <c r="B825" s="95"/>
      <c r="C825" s="67"/>
      <c r="D825" s="55"/>
      <c r="E825" s="55"/>
      <c r="F825" s="55"/>
      <c r="G825" s="55"/>
      <c r="H825" s="55"/>
      <c r="I825" s="115"/>
      <c r="J825" s="55"/>
      <c r="K825" s="55"/>
      <c r="L825" s="55"/>
      <c r="M825" s="55"/>
      <c r="N825" s="55"/>
      <c r="O825" s="55"/>
      <c r="P825" s="55"/>
      <c r="Q825" s="67"/>
      <c r="R825" s="67"/>
      <c r="S825" s="67"/>
      <c r="T825" s="67"/>
      <c r="U825" s="116"/>
    </row>
    <row r="826">
      <c r="A826" s="72"/>
      <c r="B826" s="95"/>
      <c r="C826" s="67"/>
      <c r="D826" s="55"/>
      <c r="E826" s="55"/>
      <c r="F826" s="55"/>
      <c r="G826" s="55"/>
      <c r="H826" s="55"/>
      <c r="I826" s="115"/>
      <c r="J826" s="55"/>
      <c r="K826" s="55"/>
      <c r="L826" s="55"/>
      <c r="M826" s="55"/>
      <c r="N826" s="55"/>
      <c r="O826" s="55"/>
      <c r="P826" s="55"/>
      <c r="Q826" s="67"/>
      <c r="R826" s="67"/>
      <c r="S826" s="67"/>
      <c r="T826" s="67"/>
      <c r="U826" s="116"/>
    </row>
    <row r="827">
      <c r="A827" s="72"/>
      <c r="B827" s="95"/>
      <c r="C827" s="67"/>
      <c r="D827" s="55"/>
      <c r="E827" s="55"/>
      <c r="F827" s="55"/>
      <c r="G827" s="55"/>
      <c r="H827" s="55"/>
      <c r="I827" s="115"/>
      <c r="J827" s="55"/>
      <c r="K827" s="55"/>
      <c r="L827" s="55"/>
      <c r="M827" s="55"/>
      <c r="N827" s="55"/>
      <c r="O827" s="55"/>
      <c r="P827" s="55"/>
      <c r="Q827" s="67"/>
      <c r="R827" s="67"/>
      <c r="S827" s="67"/>
      <c r="T827" s="67"/>
      <c r="U827" s="116"/>
    </row>
    <row r="828">
      <c r="A828" s="72"/>
      <c r="B828" s="95"/>
      <c r="C828" s="67"/>
      <c r="D828" s="55"/>
      <c r="E828" s="55"/>
      <c r="F828" s="55"/>
      <c r="G828" s="55"/>
      <c r="H828" s="55"/>
      <c r="I828" s="115"/>
      <c r="J828" s="55"/>
      <c r="K828" s="55"/>
      <c r="L828" s="55"/>
      <c r="M828" s="55"/>
      <c r="N828" s="55"/>
      <c r="O828" s="55"/>
      <c r="P828" s="55"/>
      <c r="Q828" s="67"/>
      <c r="R828" s="67"/>
      <c r="S828" s="67"/>
      <c r="T828" s="67"/>
      <c r="U828" s="116"/>
    </row>
    <row r="829">
      <c r="A829" s="72"/>
      <c r="B829" s="95"/>
      <c r="C829" s="67"/>
      <c r="D829" s="55"/>
      <c r="E829" s="55"/>
      <c r="F829" s="55"/>
      <c r="G829" s="55"/>
      <c r="H829" s="55"/>
      <c r="I829" s="115"/>
      <c r="J829" s="55"/>
      <c r="K829" s="55"/>
      <c r="L829" s="55"/>
      <c r="M829" s="55"/>
      <c r="N829" s="55"/>
      <c r="O829" s="55"/>
      <c r="P829" s="55"/>
      <c r="Q829" s="67"/>
      <c r="R829" s="67"/>
      <c r="S829" s="67"/>
      <c r="T829" s="67"/>
      <c r="U829" s="116"/>
    </row>
    <row r="830">
      <c r="A830" s="72"/>
      <c r="B830" s="95"/>
      <c r="C830" s="67"/>
      <c r="D830" s="55"/>
      <c r="E830" s="55"/>
      <c r="F830" s="55"/>
      <c r="G830" s="55"/>
      <c r="H830" s="55"/>
      <c r="I830" s="115"/>
      <c r="J830" s="55"/>
      <c r="K830" s="55"/>
      <c r="L830" s="55"/>
      <c r="M830" s="55"/>
      <c r="N830" s="55"/>
      <c r="O830" s="55"/>
      <c r="P830" s="55"/>
      <c r="Q830" s="67"/>
      <c r="R830" s="67"/>
      <c r="S830" s="67"/>
      <c r="T830" s="67"/>
      <c r="U830" s="116"/>
    </row>
    <row r="831">
      <c r="A831" s="72"/>
      <c r="B831" s="95"/>
      <c r="C831" s="67"/>
      <c r="D831" s="55"/>
      <c r="E831" s="55"/>
      <c r="F831" s="55"/>
      <c r="G831" s="55"/>
      <c r="H831" s="55"/>
      <c r="I831" s="115"/>
      <c r="J831" s="55"/>
      <c r="K831" s="55"/>
      <c r="L831" s="55"/>
      <c r="M831" s="55"/>
      <c r="N831" s="55"/>
      <c r="O831" s="55"/>
      <c r="P831" s="55"/>
      <c r="Q831" s="67"/>
      <c r="R831" s="67"/>
      <c r="S831" s="67"/>
      <c r="T831" s="67"/>
      <c r="U831" s="116"/>
    </row>
    <row r="832">
      <c r="A832" s="72"/>
      <c r="B832" s="95"/>
      <c r="C832" s="67"/>
      <c r="D832" s="55"/>
      <c r="E832" s="55"/>
      <c r="F832" s="55"/>
      <c r="G832" s="55"/>
      <c r="H832" s="55"/>
      <c r="I832" s="115"/>
      <c r="J832" s="55"/>
      <c r="K832" s="55"/>
      <c r="L832" s="55"/>
      <c r="M832" s="55"/>
      <c r="N832" s="55"/>
      <c r="O832" s="55"/>
      <c r="P832" s="55"/>
      <c r="Q832" s="67"/>
      <c r="R832" s="67"/>
      <c r="S832" s="67"/>
      <c r="T832" s="67"/>
      <c r="U832" s="116"/>
    </row>
    <row r="833">
      <c r="A833" s="72"/>
      <c r="B833" s="95"/>
      <c r="C833" s="67"/>
      <c r="D833" s="55"/>
      <c r="E833" s="55"/>
      <c r="F833" s="55"/>
      <c r="G833" s="55"/>
      <c r="H833" s="55"/>
      <c r="I833" s="115"/>
      <c r="J833" s="55"/>
      <c r="K833" s="55"/>
      <c r="L833" s="55"/>
      <c r="M833" s="55"/>
      <c r="N833" s="55"/>
      <c r="O833" s="55"/>
      <c r="P833" s="55"/>
      <c r="Q833" s="67"/>
      <c r="R833" s="67"/>
      <c r="S833" s="67"/>
      <c r="T833" s="67"/>
      <c r="U833" s="116"/>
    </row>
    <row r="834">
      <c r="A834" s="72"/>
      <c r="B834" s="95"/>
      <c r="C834" s="67"/>
      <c r="D834" s="55"/>
      <c r="E834" s="55"/>
      <c r="F834" s="55"/>
      <c r="G834" s="55"/>
      <c r="H834" s="55"/>
      <c r="I834" s="115"/>
      <c r="J834" s="55"/>
      <c r="K834" s="55"/>
      <c r="L834" s="55"/>
      <c r="M834" s="55"/>
      <c r="N834" s="55"/>
      <c r="O834" s="55"/>
      <c r="P834" s="55"/>
      <c r="Q834" s="67"/>
      <c r="R834" s="67"/>
      <c r="S834" s="67"/>
      <c r="T834" s="67"/>
      <c r="U834" s="116"/>
    </row>
    <row r="835">
      <c r="A835" s="72"/>
      <c r="B835" s="95"/>
      <c r="C835" s="67"/>
      <c r="D835" s="55"/>
      <c r="E835" s="55"/>
      <c r="F835" s="55"/>
      <c r="G835" s="55"/>
      <c r="H835" s="55"/>
      <c r="I835" s="115"/>
      <c r="J835" s="55"/>
      <c r="K835" s="55"/>
      <c r="L835" s="55"/>
      <c r="M835" s="55"/>
      <c r="N835" s="55"/>
      <c r="O835" s="55"/>
      <c r="P835" s="55"/>
      <c r="Q835" s="67"/>
      <c r="R835" s="67"/>
      <c r="S835" s="67"/>
      <c r="T835" s="67"/>
      <c r="U835" s="116"/>
    </row>
    <row r="836">
      <c r="A836" s="72"/>
      <c r="B836" s="95"/>
      <c r="C836" s="67"/>
      <c r="D836" s="55"/>
      <c r="E836" s="55"/>
      <c r="F836" s="55"/>
      <c r="G836" s="55"/>
      <c r="H836" s="55"/>
      <c r="I836" s="115"/>
      <c r="J836" s="55"/>
      <c r="K836" s="55"/>
      <c r="L836" s="55"/>
      <c r="M836" s="55"/>
      <c r="N836" s="55"/>
      <c r="O836" s="55"/>
      <c r="P836" s="55"/>
      <c r="Q836" s="67"/>
      <c r="R836" s="67"/>
      <c r="S836" s="67"/>
      <c r="T836" s="67"/>
      <c r="U836" s="116"/>
    </row>
    <row r="837">
      <c r="A837" s="72"/>
      <c r="B837" s="95"/>
      <c r="C837" s="67"/>
      <c r="D837" s="55"/>
      <c r="E837" s="55"/>
      <c r="F837" s="55"/>
      <c r="G837" s="55"/>
      <c r="H837" s="55"/>
      <c r="I837" s="115"/>
      <c r="J837" s="55"/>
      <c r="K837" s="55"/>
      <c r="L837" s="55"/>
      <c r="M837" s="55"/>
      <c r="N837" s="55"/>
      <c r="O837" s="55"/>
      <c r="P837" s="55"/>
      <c r="Q837" s="67"/>
      <c r="R837" s="67"/>
      <c r="S837" s="67"/>
      <c r="T837" s="67"/>
      <c r="U837" s="116"/>
    </row>
    <row r="838">
      <c r="A838" s="72"/>
      <c r="B838" s="95"/>
      <c r="C838" s="67"/>
      <c r="D838" s="55"/>
      <c r="E838" s="55"/>
      <c r="F838" s="55"/>
      <c r="G838" s="55"/>
      <c r="H838" s="55"/>
      <c r="I838" s="115"/>
      <c r="J838" s="55"/>
      <c r="K838" s="55"/>
      <c r="L838" s="55"/>
      <c r="M838" s="55"/>
      <c r="N838" s="55"/>
      <c r="O838" s="55"/>
      <c r="P838" s="55"/>
      <c r="Q838" s="67"/>
      <c r="R838" s="67"/>
      <c r="S838" s="67"/>
      <c r="T838" s="67"/>
      <c r="U838" s="116"/>
    </row>
    <row r="839">
      <c r="A839" s="72"/>
      <c r="B839" s="95"/>
      <c r="C839" s="67"/>
      <c r="D839" s="55"/>
      <c r="E839" s="55"/>
      <c r="F839" s="55"/>
      <c r="G839" s="55"/>
      <c r="H839" s="55"/>
      <c r="I839" s="115"/>
      <c r="J839" s="55"/>
      <c r="K839" s="55"/>
      <c r="L839" s="55"/>
      <c r="M839" s="55"/>
      <c r="N839" s="55"/>
      <c r="O839" s="55"/>
      <c r="P839" s="55"/>
      <c r="Q839" s="67"/>
      <c r="R839" s="67"/>
      <c r="S839" s="67"/>
      <c r="T839" s="67"/>
      <c r="U839" s="116"/>
    </row>
    <row r="840">
      <c r="A840" s="72"/>
      <c r="B840" s="95"/>
      <c r="C840" s="67"/>
      <c r="D840" s="55"/>
      <c r="E840" s="55"/>
      <c r="F840" s="55"/>
      <c r="G840" s="55"/>
      <c r="H840" s="55"/>
      <c r="I840" s="115"/>
      <c r="J840" s="55"/>
      <c r="K840" s="55"/>
      <c r="L840" s="55"/>
      <c r="M840" s="55"/>
      <c r="N840" s="55"/>
      <c r="O840" s="55"/>
      <c r="P840" s="55"/>
      <c r="Q840" s="67"/>
      <c r="R840" s="67"/>
      <c r="S840" s="67"/>
      <c r="T840" s="67"/>
      <c r="U840" s="116"/>
    </row>
    <row r="841">
      <c r="A841" s="72"/>
      <c r="B841" s="95"/>
      <c r="C841" s="67"/>
      <c r="D841" s="55"/>
      <c r="E841" s="55"/>
      <c r="F841" s="55"/>
      <c r="G841" s="55"/>
      <c r="H841" s="55"/>
      <c r="I841" s="115"/>
      <c r="J841" s="55"/>
      <c r="K841" s="55"/>
      <c r="L841" s="55"/>
      <c r="M841" s="55"/>
      <c r="N841" s="55"/>
      <c r="O841" s="55"/>
      <c r="P841" s="55"/>
      <c r="Q841" s="67"/>
      <c r="R841" s="67"/>
      <c r="S841" s="67"/>
      <c r="T841" s="67"/>
      <c r="U841" s="116"/>
    </row>
    <row r="842">
      <c r="A842" s="72"/>
      <c r="B842" s="95"/>
      <c r="C842" s="67"/>
      <c r="D842" s="55"/>
      <c r="E842" s="55"/>
      <c r="F842" s="55"/>
      <c r="G842" s="55"/>
      <c r="H842" s="55"/>
      <c r="I842" s="115"/>
      <c r="J842" s="55"/>
      <c r="K842" s="55"/>
      <c r="L842" s="55"/>
      <c r="M842" s="55"/>
      <c r="N842" s="55"/>
      <c r="O842" s="55"/>
      <c r="P842" s="55"/>
      <c r="Q842" s="67"/>
      <c r="R842" s="67"/>
      <c r="S842" s="67"/>
      <c r="T842" s="67"/>
      <c r="U842" s="116"/>
    </row>
    <row r="843">
      <c r="A843" s="72"/>
      <c r="B843" s="95"/>
      <c r="C843" s="67"/>
      <c r="D843" s="55"/>
      <c r="E843" s="55"/>
      <c r="F843" s="55"/>
      <c r="G843" s="55"/>
      <c r="H843" s="55"/>
      <c r="I843" s="115"/>
      <c r="J843" s="55"/>
      <c r="K843" s="55"/>
      <c r="L843" s="55"/>
      <c r="M843" s="55"/>
      <c r="N843" s="55"/>
      <c r="O843" s="55"/>
      <c r="P843" s="55"/>
      <c r="Q843" s="67"/>
      <c r="R843" s="67"/>
      <c r="S843" s="67"/>
      <c r="T843" s="67"/>
      <c r="U843" s="116"/>
    </row>
    <row r="844">
      <c r="A844" s="72"/>
      <c r="B844" s="95"/>
      <c r="C844" s="67"/>
      <c r="D844" s="55"/>
      <c r="E844" s="55"/>
      <c r="F844" s="55"/>
      <c r="G844" s="55"/>
      <c r="H844" s="55"/>
      <c r="I844" s="115"/>
      <c r="J844" s="55"/>
      <c r="K844" s="55"/>
      <c r="L844" s="55"/>
      <c r="M844" s="55"/>
      <c r="N844" s="55"/>
      <c r="O844" s="55"/>
      <c r="P844" s="55"/>
      <c r="Q844" s="67"/>
      <c r="R844" s="67"/>
      <c r="S844" s="67"/>
      <c r="T844" s="67"/>
      <c r="U844" s="116"/>
    </row>
    <row r="845">
      <c r="A845" s="72"/>
      <c r="B845" s="95"/>
      <c r="C845" s="67"/>
      <c r="D845" s="55"/>
      <c r="E845" s="55"/>
      <c r="F845" s="55"/>
      <c r="G845" s="55"/>
      <c r="H845" s="55"/>
      <c r="I845" s="115"/>
      <c r="J845" s="55"/>
      <c r="K845" s="55"/>
      <c r="L845" s="55"/>
      <c r="M845" s="55"/>
      <c r="N845" s="55"/>
      <c r="O845" s="55"/>
      <c r="P845" s="55"/>
      <c r="Q845" s="67"/>
      <c r="R845" s="67"/>
      <c r="S845" s="67"/>
      <c r="T845" s="67"/>
      <c r="U845" s="116"/>
    </row>
    <row r="846">
      <c r="A846" s="72"/>
      <c r="B846" s="95"/>
      <c r="C846" s="67"/>
      <c r="D846" s="55"/>
      <c r="E846" s="55"/>
      <c r="F846" s="55"/>
      <c r="G846" s="55"/>
      <c r="H846" s="55"/>
      <c r="I846" s="115"/>
      <c r="J846" s="55"/>
      <c r="K846" s="55"/>
      <c r="L846" s="55"/>
      <c r="M846" s="55"/>
      <c r="N846" s="55"/>
      <c r="O846" s="55"/>
      <c r="P846" s="55"/>
      <c r="Q846" s="67"/>
      <c r="R846" s="67"/>
      <c r="S846" s="67"/>
      <c r="T846" s="67"/>
      <c r="U846" s="116"/>
    </row>
    <row r="847">
      <c r="A847" s="72"/>
      <c r="B847" s="95"/>
      <c r="C847" s="67"/>
      <c r="D847" s="55"/>
      <c r="E847" s="55"/>
      <c r="F847" s="55"/>
      <c r="G847" s="55"/>
      <c r="H847" s="55"/>
      <c r="I847" s="115"/>
      <c r="J847" s="55"/>
      <c r="K847" s="55"/>
      <c r="L847" s="55"/>
      <c r="M847" s="55"/>
      <c r="N847" s="55"/>
      <c r="O847" s="55"/>
      <c r="P847" s="55"/>
      <c r="Q847" s="67"/>
      <c r="R847" s="67"/>
      <c r="S847" s="67"/>
      <c r="T847" s="67"/>
      <c r="U847" s="116"/>
    </row>
    <row r="848">
      <c r="A848" s="72"/>
      <c r="B848" s="95"/>
      <c r="C848" s="67"/>
      <c r="D848" s="55"/>
      <c r="E848" s="55"/>
      <c r="F848" s="55"/>
      <c r="G848" s="55"/>
      <c r="H848" s="55"/>
      <c r="I848" s="115"/>
      <c r="J848" s="55"/>
      <c r="K848" s="55"/>
      <c r="L848" s="55"/>
      <c r="M848" s="55"/>
      <c r="N848" s="55"/>
      <c r="O848" s="55"/>
      <c r="P848" s="55"/>
      <c r="Q848" s="67"/>
      <c r="R848" s="67"/>
      <c r="S848" s="67"/>
      <c r="T848" s="67"/>
      <c r="U848" s="116"/>
    </row>
    <row r="849">
      <c r="A849" s="72"/>
      <c r="B849" s="95"/>
      <c r="C849" s="67"/>
      <c r="D849" s="55"/>
      <c r="E849" s="55"/>
      <c r="F849" s="55"/>
      <c r="G849" s="55"/>
      <c r="H849" s="55"/>
      <c r="I849" s="115"/>
      <c r="J849" s="55"/>
      <c r="K849" s="55"/>
      <c r="L849" s="55"/>
      <c r="M849" s="55"/>
      <c r="N849" s="55"/>
      <c r="O849" s="55"/>
      <c r="P849" s="55"/>
      <c r="Q849" s="67"/>
      <c r="R849" s="67"/>
      <c r="S849" s="67"/>
      <c r="T849" s="67"/>
      <c r="U849" s="116"/>
    </row>
    <row r="850">
      <c r="A850" s="72"/>
      <c r="B850" s="95"/>
      <c r="C850" s="67"/>
      <c r="D850" s="55"/>
      <c r="E850" s="55"/>
      <c r="F850" s="55"/>
      <c r="G850" s="55"/>
      <c r="H850" s="55"/>
      <c r="I850" s="115"/>
      <c r="J850" s="55"/>
      <c r="K850" s="55"/>
      <c r="L850" s="55"/>
      <c r="M850" s="55"/>
      <c r="N850" s="55"/>
      <c r="O850" s="55"/>
      <c r="P850" s="55"/>
      <c r="Q850" s="67"/>
      <c r="R850" s="67"/>
      <c r="S850" s="67"/>
      <c r="T850" s="67"/>
      <c r="U850" s="116"/>
    </row>
    <row r="851">
      <c r="A851" s="72"/>
      <c r="B851" s="95"/>
      <c r="C851" s="67"/>
      <c r="D851" s="55"/>
      <c r="E851" s="55"/>
      <c r="F851" s="55"/>
      <c r="G851" s="55"/>
      <c r="H851" s="55"/>
      <c r="I851" s="115"/>
      <c r="J851" s="55"/>
      <c r="K851" s="55"/>
      <c r="L851" s="55"/>
      <c r="M851" s="55"/>
      <c r="N851" s="55"/>
      <c r="O851" s="55"/>
      <c r="P851" s="55"/>
      <c r="Q851" s="67"/>
      <c r="R851" s="67"/>
      <c r="S851" s="67"/>
      <c r="T851" s="67"/>
      <c r="U851" s="116"/>
    </row>
    <row r="852">
      <c r="A852" s="72"/>
      <c r="B852" s="95"/>
      <c r="C852" s="67"/>
      <c r="D852" s="55"/>
      <c r="E852" s="55"/>
      <c r="F852" s="55"/>
      <c r="G852" s="55"/>
      <c r="H852" s="55"/>
      <c r="I852" s="115"/>
      <c r="J852" s="55"/>
      <c r="K852" s="55"/>
      <c r="L852" s="55"/>
      <c r="M852" s="55"/>
      <c r="N852" s="55"/>
      <c r="O852" s="55"/>
      <c r="P852" s="55"/>
      <c r="Q852" s="67"/>
      <c r="R852" s="67"/>
      <c r="S852" s="67"/>
      <c r="T852" s="67"/>
      <c r="U852" s="116"/>
    </row>
    <row r="853">
      <c r="A853" s="72"/>
      <c r="B853" s="95"/>
      <c r="C853" s="67"/>
      <c r="D853" s="55"/>
      <c r="E853" s="55"/>
      <c r="F853" s="55"/>
      <c r="G853" s="55"/>
      <c r="H853" s="55"/>
      <c r="I853" s="115"/>
      <c r="J853" s="55"/>
      <c r="K853" s="55"/>
      <c r="L853" s="55"/>
      <c r="M853" s="55"/>
      <c r="N853" s="55"/>
      <c r="O853" s="55"/>
      <c r="P853" s="55"/>
      <c r="Q853" s="67"/>
      <c r="R853" s="67"/>
      <c r="S853" s="67"/>
      <c r="T853" s="67"/>
      <c r="U853" s="116"/>
    </row>
    <row r="854">
      <c r="A854" s="72"/>
      <c r="B854" s="95"/>
      <c r="C854" s="67"/>
      <c r="D854" s="55"/>
      <c r="E854" s="55"/>
      <c r="F854" s="55"/>
      <c r="G854" s="55"/>
      <c r="H854" s="55"/>
      <c r="I854" s="115"/>
      <c r="J854" s="55"/>
      <c r="K854" s="55"/>
      <c r="L854" s="55"/>
      <c r="M854" s="55"/>
      <c r="N854" s="55"/>
      <c r="O854" s="55"/>
      <c r="P854" s="55"/>
      <c r="Q854" s="67"/>
      <c r="R854" s="67"/>
      <c r="S854" s="67"/>
      <c r="T854" s="67"/>
      <c r="U854" s="116"/>
    </row>
    <row r="855">
      <c r="A855" s="72"/>
      <c r="B855" s="95"/>
      <c r="C855" s="67"/>
      <c r="D855" s="55"/>
      <c r="E855" s="55"/>
      <c r="F855" s="55"/>
      <c r="G855" s="55"/>
      <c r="H855" s="55"/>
      <c r="I855" s="115"/>
      <c r="J855" s="55"/>
      <c r="K855" s="55"/>
      <c r="L855" s="55"/>
      <c r="M855" s="55"/>
      <c r="N855" s="55"/>
      <c r="O855" s="55"/>
      <c r="P855" s="55"/>
      <c r="Q855" s="67"/>
      <c r="R855" s="67"/>
      <c r="S855" s="67"/>
      <c r="T855" s="67"/>
      <c r="U855" s="116"/>
    </row>
    <row r="856">
      <c r="A856" s="72"/>
      <c r="B856" s="95"/>
      <c r="C856" s="67"/>
      <c r="D856" s="55"/>
      <c r="E856" s="55"/>
      <c r="F856" s="55"/>
      <c r="G856" s="55"/>
      <c r="H856" s="55"/>
      <c r="I856" s="115"/>
      <c r="J856" s="55"/>
      <c r="K856" s="55"/>
      <c r="L856" s="55"/>
      <c r="M856" s="55"/>
      <c r="N856" s="55"/>
      <c r="O856" s="55"/>
      <c r="P856" s="55"/>
      <c r="Q856" s="67"/>
      <c r="R856" s="67"/>
      <c r="S856" s="67"/>
      <c r="T856" s="67"/>
      <c r="U856" s="116"/>
    </row>
    <row r="857">
      <c r="A857" s="72"/>
      <c r="B857" s="95"/>
      <c r="C857" s="67"/>
      <c r="D857" s="55"/>
      <c r="E857" s="55"/>
      <c r="F857" s="55"/>
      <c r="G857" s="55"/>
      <c r="H857" s="55"/>
      <c r="I857" s="115"/>
      <c r="J857" s="55"/>
      <c r="K857" s="55"/>
      <c r="L857" s="55"/>
      <c r="M857" s="55"/>
      <c r="N857" s="55"/>
      <c r="O857" s="55"/>
      <c r="P857" s="55"/>
      <c r="Q857" s="67"/>
      <c r="R857" s="67"/>
      <c r="S857" s="67"/>
      <c r="T857" s="67"/>
      <c r="U857" s="116"/>
    </row>
    <row r="858">
      <c r="A858" s="72"/>
      <c r="B858" s="95"/>
      <c r="C858" s="67"/>
      <c r="D858" s="55"/>
      <c r="E858" s="55"/>
      <c r="F858" s="55"/>
      <c r="G858" s="55"/>
      <c r="H858" s="55"/>
      <c r="I858" s="115"/>
      <c r="J858" s="55"/>
      <c r="K858" s="55"/>
      <c r="L858" s="55"/>
      <c r="M858" s="55"/>
      <c r="N858" s="55"/>
      <c r="O858" s="55"/>
      <c r="P858" s="55"/>
      <c r="Q858" s="67"/>
      <c r="R858" s="67"/>
      <c r="S858" s="67"/>
      <c r="T858" s="67"/>
      <c r="U858" s="116"/>
    </row>
    <row r="859">
      <c r="A859" s="72"/>
      <c r="B859" s="95"/>
      <c r="C859" s="67"/>
      <c r="D859" s="55"/>
      <c r="E859" s="55"/>
      <c r="F859" s="55"/>
      <c r="G859" s="55"/>
      <c r="H859" s="55"/>
      <c r="I859" s="115"/>
      <c r="J859" s="55"/>
      <c r="K859" s="55"/>
      <c r="L859" s="55"/>
      <c r="M859" s="55"/>
      <c r="N859" s="55"/>
      <c r="O859" s="55"/>
      <c r="P859" s="55"/>
      <c r="Q859" s="67"/>
      <c r="R859" s="67"/>
      <c r="S859" s="67"/>
      <c r="T859" s="67"/>
      <c r="U859" s="116"/>
    </row>
    <row r="860">
      <c r="A860" s="72"/>
      <c r="B860" s="95"/>
      <c r="C860" s="67"/>
      <c r="D860" s="55"/>
      <c r="E860" s="55"/>
      <c r="F860" s="55"/>
      <c r="G860" s="55"/>
      <c r="H860" s="55"/>
      <c r="I860" s="115"/>
      <c r="J860" s="55"/>
      <c r="K860" s="55"/>
      <c r="L860" s="55"/>
      <c r="M860" s="55"/>
      <c r="N860" s="55"/>
      <c r="O860" s="55"/>
      <c r="P860" s="55"/>
      <c r="Q860" s="67"/>
      <c r="R860" s="67"/>
      <c r="S860" s="67"/>
      <c r="T860" s="67"/>
      <c r="U860" s="116"/>
    </row>
    <row r="861">
      <c r="A861" s="72"/>
      <c r="B861" s="95"/>
      <c r="C861" s="67"/>
      <c r="D861" s="55"/>
      <c r="E861" s="55"/>
      <c r="F861" s="55"/>
      <c r="G861" s="55"/>
      <c r="H861" s="55"/>
      <c r="I861" s="115"/>
      <c r="J861" s="55"/>
      <c r="K861" s="55"/>
      <c r="L861" s="55"/>
      <c r="M861" s="55"/>
      <c r="N861" s="55"/>
      <c r="O861" s="55"/>
      <c r="P861" s="55"/>
      <c r="Q861" s="67"/>
      <c r="R861" s="67"/>
      <c r="S861" s="67"/>
      <c r="T861" s="67"/>
      <c r="U861" s="116"/>
    </row>
    <row r="862">
      <c r="A862" s="72"/>
      <c r="B862" s="95"/>
      <c r="C862" s="67"/>
      <c r="D862" s="55"/>
      <c r="E862" s="55"/>
      <c r="F862" s="55"/>
      <c r="G862" s="55"/>
      <c r="H862" s="55"/>
      <c r="I862" s="115"/>
      <c r="J862" s="55"/>
      <c r="K862" s="55"/>
      <c r="L862" s="55"/>
      <c r="M862" s="55"/>
      <c r="N862" s="55"/>
      <c r="O862" s="55"/>
      <c r="P862" s="55"/>
      <c r="Q862" s="67"/>
      <c r="R862" s="67"/>
      <c r="S862" s="67"/>
      <c r="T862" s="67"/>
      <c r="U862" s="116"/>
    </row>
    <row r="863">
      <c r="A863" s="72"/>
      <c r="B863" s="95"/>
      <c r="C863" s="67"/>
      <c r="D863" s="55"/>
      <c r="E863" s="55"/>
      <c r="F863" s="55"/>
      <c r="G863" s="55"/>
      <c r="H863" s="55"/>
      <c r="I863" s="115"/>
      <c r="J863" s="55"/>
      <c r="K863" s="55"/>
      <c r="L863" s="55"/>
      <c r="M863" s="55"/>
      <c r="N863" s="55"/>
      <c r="O863" s="55"/>
      <c r="P863" s="55"/>
      <c r="Q863" s="67"/>
      <c r="R863" s="67"/>
      <c r="S863" s="67"/>
      <c r="T863" s="67"/>
      <c r="U863" s="116"/>
    </row>
    <row r="864">
      <c r="A864" s="72"/>
      <c r="B864" s="95"/>
      <c r="C864" s="67"/>
      <c r="D864" s="55"/>
      <c r="E864" s="55"/>
      <c r="F864" s="55"/>
      <c r="G864" s="55"/>
      <c r="H864" s="55"/>
      <c r="I864" s="115"/>
      <c r="J864" s="55"/>
      <c r="K864" s="55"/>
      <c r="L864" s="55"/>
      <c r="M864" s="55"/>
      <c r="N864" s="55"/>
      <c r="O864" s="55"/>
      <c r="P864" s="55"/>
      <c r="Q864" s="67"/>
      <c r="R864" s="67"/>
      <c r="S864" s="67"/>
      <c r="T864" s="67"/>
      <c r="U864" s="116"/>
    </row>
    <row r="865">
      <c r="A865" s="72"/>
      <c r="B865" s="95"/>
      <c r="C865" s="67"/>
      <c r="D865" s="55"/>
      <c r="E865" s="55"/>
      <c r="F865" s="55"/>
      <c r="G865" s="55"/>
      <c r="H865" s="55"/>
      <c r="I865" s="115"/>
      <c r="J865" s="55"/>
      <c r="K865" s="55"/>
      <c r="L865" s="55"/>
      <c r="M865" s="55"/>
      <c r="N865" s="55"/>
      <c r="O865" s="55"/>
      <c r="P865" s="55"/>
      <c r="Q865" s="67"/>
      <c r="R865" s="67"/>
      <c r="S865" s="67"/>
      <c r="T865" s="67"/>
      <c r="U865" s="116"/>
    </row>
    <row r="866">
      <c r="A866" s="72"/>
      <c r="B866" s="95"/>
      <c r="C866" s="67"/>
      <c r="D866" s="55"/>
      <c r="E866" s="55"/>
      <c r="F866" s="55"/>
      <c r="G866" s="55"/>
      <c r="H866" s="55"/>
      <c r="I866" s="115"/>
      <c r="J866" s="55"/>
      <c r="K866" s="55"/>
      <c r="L866" s="55"/>
      <c r="M866" s="55"/>
      <c r="N866" s="55"/>
      <c r="O866" s="55"/>
      <c r="P866" s="55"/>
      <c r="Q866" s="67"/>
      <c r="R866" s="67"/>
      <c r="S866" s="67"/>
      <c r="T866" s="67"/>
      <c r="U866" s="116"/>
    </row>
    <row r="867">
      <c r="A867" s="72"/>
      <c r="B867" s="95"/>
      <c r="C867" s="67"/>
      <c r="D867" s="55"/>
      <c r="E867" s="55"/>
      <c r="F867" s="55"/>
      <c r="G867" s="55"/>
      <c r="H867" s="55"/>
      <c r="I867" s="115"/>
      <c r="J867" s="55"/>
      <c r="K867" s="55"/>
      <c r="L867" s="55"/>
      <c r="M867" s="55"/>
      <c r="N867" s="55"/>
      <c r="O867" s="55"/>
      <c r="P867" s="55"/>
      <c r="Q867" s="67"/>
      <c r="R867" s="67"/>
      <c r="S867" s="67"/>
      <c r="T867" s="67"/>
      <c r="U867" s="116"/>
    </row>
    <row r="868">
      <c r="A868" s="72"/>
      <c r="B868" s="95"/>
      <c r="C868" s="67"/>
      <c r="D868" s="55"/>
      <c r="E868" s="55"/>
      <c r="F868" s="55"/>
      <c r="G868" s="55"/>
      <c r="H868" s="55"/>
      <c r="I868" s="115"/>
      <c r="J868" s="55"/>
      <c r="K868" s="55"/>
      <c r="L868" s="55"/>
      <c r="M868" s="55"/>
      <c r="N868" s="55"/>
      <c r="O868" s="55"/>
      <c r="P868" s="55"/>
      <c r="Q868" s="67"/>
      <c r="R868" s="67"/>
      <c r="S868" s="67"/>
      <c r="T868" s="67"/>
      <c r="U868" s="116"/>
    </row>
    <row r="869">
      <c r="A869" s="72"/>
      <c r="B869" s="95"/>
      <c r="C869" s="67"/>
      <c r="D869" s="55"/>
      <c r="E869" s="55"/>
      <c r="F869" s="55"/>
      <c r="G869" s="55"/>
      <c r="H869" s="55"/>
      <c r="I869" s="115"/>
      <c r="J869" s="55"/>
      <c r="K869" s="55"/>
      <c r="L869" s="55"/>
      <c r="M869" s="55"/>
      <c r="N869" s="55"/>
      <c r="O869" s="55"/>
      <c r="P869" s="55"/>
      <c r="Q869" s="67"/>
      <c r="R869" s="67"/>
      <c r="S869" s="67"/>
      <c r="T869" s="67"/>
      <c r="U869" s="116"/>
    </row>
    <row r="870">
      <c r="A870" s="72"/>
      <c r="B870" s="95"/>
      <c r="C870" s="67"/>
      <c r="D870" s="55"/>
      <c r="E870" s="55"/>
      <c r="F870" s="55"/>
      <c r="G870" s="55"/>
      <c r="H870" s="55"/>
      <c r="I870" s="115"/>
      <c r="J870" s="55"/>
      <c r="K870" s="55"/>
      <c r="L870" s="55"/>
      <c r="M870" s="55"/>
      <c r="N870" s="55"/>
      <c r="O870" s="55"/>
      <c r="P870" s="55"/>
      <c r="Q870" s="67"/>
      <c r="R870" s="67"/>
      <c r="S870" s="67"/>
      <c r="T870" s="67"/>
      <c r="U870" s="116"/>
    </row>
    <row r="871">
      <c r="A871" s="72"/>
      <c r="B871" s="95"/>
      <c r="C871" s="67"/>
      <c r="D871" s="55"/>
      <c r="E871" s="55"/>
      <c r="F871" s="55"/>
      <c r="G871" s="55"/>
      <c r="H871" s="55"/>
      <c r="I871" s="115"/>
      <c r="J871" s="55"/>
      <c r="K871" s="55"/>
      <c r="L871" s="55"/>
      <c r="M871" s="55"/>
      <c r="N871" s="55"/>
      <c r="O871" s="55"/>
      <c r="P871" s="55"/>
      <c r="Q871" s="67"/>
      <c r="R871" s="67"/>
      <c r="S871" s="67"/>
      <c r="T871" s="67"/>
      <c r="U871" s="116"/>
    </row>
    <row r="872">
      <c r="A872" s="72"/>
      <c r="B872" s="95"/>
      <c r="C872" s="67"/>
      <c r="D872" s="55"/>
      <c r="E872" s="55"/>
      <c r="F872" s="55"/>
      <c r="G872" s="55"/>
      <c r="H872" s="55"/>
      <c r="I872" s="115"/>
      <c r="J872" s="55"/>
      <c r="K872" s="55"/>
      <c r="L872" s="55"/>
      <c r="M872" s="55"/>
      <c r="N872" s="55"/>
      <c r="O872" s="55"/>
      <c r="P872" s="55"/>
      <c r="Q872" s="67"/>
      <c r="R872" s="67"/>
      <c r="S872" s="67"/>
      <c r="T872" s="67"/>
      <c r="U872" s="116"/>
    </row>
    <row r="873">
      <c r="A873" s="72"/>
      <c r="B873" s="95"/>
      <c r="C873" s="67"/>
      <c r="D873" s="55"/>
      <c r="E873" s="55"/>
      <c r="F873" s="55"/>
      <c r="G873" s="55"/>
      <c r="H873" s="55"/>
      <c r="I873" s="115"/>
      <c r="J873" s="55"/>
      <c r="K873" s="55"/>
      <c r="L873" s="55"/>
      <c r="M873" s="55"/>
      <c r="N873" s="55"/>
      <c r="O873" s="55"/>
      <c r="P873" s="55"/>
      <c r="Q873" s="67"/>
      <c r="R873" s="67"/>
      <c r="S873" s="67"/>
      <c r="T873" s="67"/>
      <c r="U873" s="116"/>
    </row>
    <row r="874">
      <c r="A874" s="72"/>
      <c r="B874" s="95"/>
      <c r="C874" s="67"/>
      <c r="D874" s="55"/>
      <c r="E874" s="55"/>
      <c r="F874" s="55"/>
      <c r="G874" s="55"/>
      <c r="H874" s="55"/>
      <c r="I874" s="115"/>
      <c r="J874" s="55"/>
      <c r="K874" s="55"/>
      <c r="L874" s="55"/>
      <c r="M874" s="55"/>
      <c r="N874" s="55"/>
      <c r="O874" s="55"/>
      <c r="P874" s="55"/>
      <c r="Q874" s="67"/>
      <c r="R874" s="67"/>
      <c r="S874" s="67"/>
      <c r="T874" s="67"/>
      <c r="U874" s="116"/>
    </row>
    <row r="875">
      <c r="A875" s="72"/>
      <c r="B875" s="95"/>
      <c r="C875" s="67"/>
      <c r="D875" s="55"/>
      <c r="E875" s="55"/>
      <c r="F875" s="55"/>
      <c r="G875" s="55"/>
      <c r="H875" s="55"/>
      <c r="I875" s="115"/>
      <c r="J875" s="55"/>
      <c r="K875" s="55"/>
      <c r="L875" s="55"/>
      <c r="M875" s="55"/>
      <c r="N875" s="55"/>
      <c r="O875" s="55"/>
      <c r="P875" s="55"/>
      <c r="Q875" s="67"/>
      <c r="R875" s="67"/>
      <c r="S875" s="67"/>
      <c r="T875" s="67"/>
      <c r="U875" s="116"/>
    </row>
    <row r="876">
      <c r="A876" s="72"/>
      <c r="B876" s="95"/>
      <c r="C876" s="67"/>
      <c r="D876" s="55"/>
      <c r="E876" s="55"/>
      <c r="F876" s="55"/>
      <c r="G876" s="55"/>
      <c r="H876" s="55"/>
      <c r="I876" s="115"/>
      <c r="J876" s="55"/>
      <c r="K876" s="55"/>
      <c r="L876" s="55"/>
      <c r="M876" s="55"/>
      <c r="N876" s="55"/>
      <c r="O876" s="55"/>
      <c r="P876" s="55"/>
      <c r="Q876" s="67"/>
      <c r="R876" s="67"/>
      <c r="S876" s="67"/>
      <c r="T876" s="67"/>
      <c r="U876" s="116"/>
    </row>
    <row r="877">
      <c r="A877" s="72"/>
      <c r="B877" s="95"/>
      <c r="C877" s="67"/>
      <c r="D877" s="55"/>
      <c r="E877" s="55"/>
      <c r="F877" s="55"/>
      <c r="G877" s="55"/>
      <c r="H877" s="55"/>
      <c r="I877" s="115"/>
      <c r="J877" s="55"/>
      <c r="K877" s="55"/>
      <c r="L877" s="55"/>
      <c r="M877" s="55"/>
      <c r="N877" s="55"/>
      <c r="O877" s="55"/>
      <c r="P877" s="55"/>
      <c r="Q877" s="67"/>
      <c r="R877" s="67"/>
      <c r="S877" s="67"/>
      <c r="T877" s="67"/>
      <c r="U877" s="116"/>
    </row>
    <row r="878">
      <c r="A878" s="72"/>
      <c r="B878" s="95"/>
      <c r="C878" s="67"/>
      <c r="D878" s="55"/>
      <c r="E878" s="55"/>
      <c r="F878" s="55"/>
      <c r="G878" s="55"/>
      <c r="H878" s="55"/>
      <c r="I878" s="115"/>
      <c r="J878" s="55"/>
      <c r="K878" s="55"/>
      <c r="L878" s="55"/>
      <c r="M878" s="55"/>
      <c r="N878" s="55"/>
      <c r="O878" s="55"/>
      <c r="P878" s="55"/>
      <c r="Q878" s="67"/>
      <c r="R878" s="67"/>
      <c r="S878" s="67"/>
      <c r="T878" s="67"/>
      <c r="U878" s="116"/>
    </row>
    <row r="879">
      <c r="A879" s="72"/>
      <c r="B879" s="95"/>
      <c r="C879" s="67"/>
      <c r="D879" s="55"/>
      <c r="E879" s="55"/>
      <c r="F879" s="55"/>
      <c r="G879" s="55"/>
      <c r="H879" s="55"/>
      <c r="I879" s="115"/>
      <c r="J879" s="55"/>
      <c r="K879" s="55"/>
      <c r="L879" s="55"/>
      <c r="M879" s="55"/>
      <c r="N879" s="55"/>
      <c r="O879" s="55"/>
      <c r="P879" s="55"/>
      <c r="Q879" s="67"/>
      <c r="R879" s="67"/>
      <c r="S879" s="67"/>
      <c r="T879" s="67"/>
      <c r="U879" s="116"/>
    </row>
    <row r="880">
      <c r="A880" s="72"/>
      <c r="B880" s="95"/>
      <c r="C880" s="67"/>
      <c r="D880" s="55"/>
      <c r="E880" s="55"/>
      <c r="F880" s="55"/>
      <c r="G880" s="55"/>
      <c r="H880" s="55"/>
      <c r="I880" s="115"/>
      <c r="J880" s="55"/>
      <c r="K880" s="55"/>
      <c r="L880" s="55"/>
      <c r="M880" s="55"/>
      <c r="N880" s="55"/>
      <c r="O880" s="55"/>
      <c r="P880" s="55"/>
      <c r="Q880" s="67"/>
      <c r="R880" s="67"/>
      <c r="S880" s="67"/>
      <c r="T880" s="67"/>
      <c r="U880" s="116"/>
    </row>
    <row r="881">
      <c r="A881" s="72"/>
      <c r="B881" s="95"/>
      <c r="C881" s="67"/>
      <c r="D881" s="55"/>
      <c r="E881" s="55"/>
      <c r="F881" s="55"/>
      <c r="G881" s="55"/>
      <c r="H881" s="55"/>
      <c r="I881" s="115"/>
      <c r="J881" s="55"/>
      <c r="K881" s="55"/>
      <c r="L881" s="55"/>
      <c r="M881" s="55"/>
      <c r="N881" s="55"/>
      <c r="O881" s="55"/>
      <c r="P881" s="55"/>
      <c r="Q881" s="67"/>
      <c r="R881" s="67"/>
      <c r="S881" s="67"/>
      <c r="T881" s="67"/>
      <c r="U881" s="116"/>
    </row>
    <row r="882">
      <c r="A882" s="72"/>
      <c r="B882" s="95"/>
      <c r="C882" s="67"/>
      <c r="D882" s="55"/>
      <c r="E882" s="55"/>
      <c r="F882" s="55"/>
      <c r="G882" s="55"/>
      <c r="H882" s="55"/>
      <c r="I882" s="115"/>
      <c r="J882" s="55"/>
      <c r="K882" s="55"/>
      <c r="L882" s="55"/>
      <c r="M882" s="55"/>
      <c r="N882" s="55"/>
      <c r="O882" s="55"/>
      <c r="P882" s="55"/>
      <c r="Q882" s="67"/>
      <c r="R882" s="67"/>
      <c r="S882" s="67"/>
      <c r="T882" s="67"/>
      <c r="U882" s="116"/>
    </row>
    <row r="883">
      <c r="A883" s="72"/>
      <c r="B883" s="95"/>
      <c r="C883" s="67"/>
      <c r="D883" s="55"/>
      <c r="E883" s="55"/>
      <c r="F883" s="55"/>
      <c r="G883" s="55"/>
      <c r="H883" s="55"/>
      <c r="I883" s="115"/>
      <c r="J883" s="55"/>
      <c r="K883" s="55"/>
      <c r="L883" s="55"/>
      <c r="M883" s="55"/>
      <c r="N883" s="55"/>
      <c r="O883" s="55"/>
      <c r="P883" s="55"/>
      <c r="Q883" s="67"/>
      <c r="R883" s="67"/>
      <c r="S883" s="67"/>
      <c r="T883" s="67"/>
      <c r="U883" s="116"/>
    </row>
    <row r="884">
      <c r="A884" s="72"/>
      <c r="B884" s="95"/>
      <c r="C884" s="67"/>
      <c r="D884" s="55"/>
      <c r="E884" s="55"/>
      <c r="F884" s="55"/>
      <c r="G884" s="55"/>
      <c r="H884" s="55"/>
      <c r="I884" s="115"/>
      <c r="J884" s="55"/>
      <c r="K884" s="55"/>
      <c r="L884" s="55"/>
      <c r="M884" s="55"/>
      <c r="N884" s="55"/>
      <c r="O884" s="55"/>
      <c r="P884" s="55"/>
      <c r="Q884" s="67"/>
      <c r="R884" s="67"/>
      <c r="S884" s="67"/>
      <c r="T884" s="67"/>
      <c r="U884" s="116"/>
    </row>
    <row r="885">
      <c r="A885" s="72"/>
      <c r="B885" s="95"/>
      <c r="C885" s="67"/>
      <c r="D885" s="55"/>
      <c r="E885" s="55"/>
      <c r="F885" s="55"/>
      <c r="G885" s="55"/>
      <c r="H885" s="55"/>
      <c r="I885" s="115"/>
      <c r="J885" s="55"/>
      <c r="K885" s="55"/>
      <c r="L885" s="55"/>
      <c r="M885" s="55"/>
      <c r="N885" s="55"/>
      <c r="O885" s="55"/>
      <c r="P885" s="55"/>
      <c r="Q885" s="67"/>
      <c r="R885" s="67"/>
      <c r="S885" s="67"/>
      <c r="T885" s="67"/>
      <c r="U885" s="116"/>
    </row>
    <row r="886">
      <c r="A886" s="72"/>
      <c r="B886" s="95"/>
      <c r="C886" s="67"/>
      <c r="D886" s="55"/>
      <c r="E886" s="55"/>
      <c r="F886" s="55"/>
      <c r="G886" s="55"/>
      <c r="H886" s="55"/>
      <c r="I886" s="115"/>
      <c r="J886" s="55"/>
      <c r="K886" s="55"/>
      <c r="L886" s="55"/>
      <c r="M886" s="55"/>
      <c r="N886" s="55"/>
      <c r="O886" s="55"/>
      <c r="P886" s="55"/>
      <c r="Q886" s="67"/>
      <c r="R886" s="67"/>
      <c r="S886" s="67"/>
      <c r="T886" s="67"/>
      <c r="U886" s="116"/>
    </row>
    <row r="887">
      <c r="A887" s="72"/>
      <c r="B887" s="95"/>
      <c r="C887" s="67"/>
      <c r="D887" s="55"/>
      <c r="E887" s="55"/>
      <c r="F887" s="55"/>
      <c r="G887" s="55"/>
      <c r="H887" s="55"/>
      <c r="I887" s="115"/>
      <c r="J887" s="55"/>
      <c r="K887" s="55"/>
      <c r="L887" s="55"/>
      <c r="M887" s="55"/>
      <c r="N887" s="55"/>
      <c r="O887" s="55"/>
      <c r="P887" s="55"/>
      <c r="Q887" s="67"/>
      <c r="R887" s="67"/>
      <c r="S887" s="67"/>
      <c r="T887" s="67"/>
      <c r="U887" s="116"/>
    </row>
    <row r="888">
      <c r="A888" s="72"/>
      <c r="B888" s="95"/>
      <c r="C888" s="67"/>
      <c r="D888" s="55"/>
      <c r="E888" s="55"/>
      <c r="F888" s="55"/>
      <c r="G888" s="55"/>
      <c r="H888" s="55"/>
      <c r="I888" s="115"/>
      <c r="J888" s="55"/>
      <c r="K888" s="55"/>
      <c r="L888" s="55"/>
      <c r="M888" s="55"/>
      <c r="N888" s="55"/>
      <c r="O888" s="55"/>
      <c r="P888" s="55"/>
      <c r="Q888" s="67"/>
      <c r="R888" s="67"/>
      <c r="S888" s="67"/>
      <c r="T888" s="67"/>
      <c r="U888" s="116"/>
    </row>
    <row r="889">
      <c r="A889" s="72"/>
      <c r="B889" s="95"/>
      <c r="C889" s="67"/>
      <c r="D889" s="55"/>
      <c r="E889" s="55"/>
      <c r="F889" s="55"/>
      <c r="G889" s="55"/>
      <c r="H889" s="55"/>
      <c r="I889" s="115"/>
      <c r="J889" s="55"/>
      <c r="K889" s="55"/>
      <c r="L889" s="55"/>
      <c r="M889" s="55"/>
      <c r="N889" s="55"/>
      <c r="O889" s="55"/>
      <c r="P889" s="55"/>
      <c r="Q889" s="67"/>
      <c r="R889" s="67"/>
      <c r="S889" s="67"/>
      <c r="T889" s="67"/>
      <c r="U889" s="116"/>
    </row>
    <row r="890">
      <c r="A890" s="72"/>
      <c r="B890" s="95"/>
      <c r="C890" s="67"/>
      <c r="D890" s="55"/>
      <c r="E890" s="55"/>
      <c r="F890" s="55"/>
      <c r="G890" s="55"/>
      <c r="H890" s="55"/>
      <c r="I890" s="115"/>
      <c r="J890" s="55"/>
      <c r="K890" s="55"/>
      <c r="L890" s="55"/>
      <c r="M890" s="55"/>
      <c r="N890" s="55"/>
      <c r="O890" s="55"/>
      <c r="P890" s="55"/>
      <c r="Q890" s="67"/>
      <c r="R890" s="67"/>
      <c r="S890" s="67"/>
      <c r="T890" s="67"/>
      <c r="U890" s="116"/>
    </row>
    <row r="891">
      <c r="A891" s="72"/>
      <c r="B891" s="95"/>
      <c r="C891" s="67"/>
      <c r="D891" s="55"/>
      <c r="E891" s="55"/>
      <c r="F891" s="55"/>
      <c r="G891" s="55"/>
      <c r="H891" s="55"/>
      <c r="I891" s="115"/>
      <c r="J891" s="55"/>
      <c r="K891" s="55"/>
      <c r="L891" s="55"/>
      <c r="M891" s="55"/>
      <c r="N891" s="55"/>
      <c r="O891" s="55"/>
      <c r="P891" s="55"/>
      <c r="Q891" s="67"/>
      <c r="R891" s="67"/>
      <c r="S891" s="67"/>
      <c r="T891" s="67"/>
      <c r="U891" s="116"/>
    </row>
    <row r="892">
      <c r="A892" s="72"/>
      <c r="B892" s="95"/>
      <c r="C892" s="67"/>
      <c r="D892" s="55"/>
      <c r="E892" s="55"/>
      <c r="F892" s="55"/>
      <c r="G892" s="55"/>
      <c r="H892" s="55"/>
      <c r="I892" s="115"/>
      <c r="J892" s="55"/>
      <c r="K892" s="55"/>
      <c r="L892" s="55"/>
      <c r="M892" s="55"/>
      <c r="N892" s="55"/>
      <c r="O892" s="55"/>
      <c r="P892" s="55"/>
      <c r="Q892" s="67"/>
      <c r="R892" s="67"/>
      <c r="S892" s="67"/>
      <c r="T892" s="67"/>
      <c r="U892" s="116"/>
    </row>
    <row r="893">
      <c r="A893" s="72"/>
      <c r="B893" s="95"/>
      <c r="C893" s="67"/>
      <c r="D893" s="55"/>
      <c r="E893" s="55"/>
      <c r="F893" s="55"/>
      <c r="G893" s="55"/>
      <c r="H893" s="55"/>
      <c r="I893" s="115"/>
      <c r="J893" s="55"/>
      <c r="K893" s="55"/>
      <c r="L893" s="55"/>
      <c r="M893" s="55"/>
      <c r="N893" s="55"/>
      <c r="O893" s="55"/>
      <c r="P893" s="55"/>
      <c r="Q893" s="67"/>
      <c r="R893" s="67"/>
      <c r="S893" s="67"/>
      <c r="T893" s="67"/>
      <c r="U893" s="116"/>
    </row>
    <row r="894">
      <c r="A894" s="72"/>
      <c r="B894" s="95"/>
      <c r="C894" s="67"/>
      <c r="D894" s="55"/>
      <c r="E894" s="55"/>
      <c r="F894" s="55"/>
      <c r="G894" s="55"/>
      <c r="H894" s="55"/>
      <c r="I894" s="115"/>
      <c r="J894" s="55"/>
      <c r="K894" s="55"/>
      <c r="L894" s="55"/>
      <c r="M894" s="55"/>
      <c r="N894" s="55"/>
      <c r="O894" s="55"/>
      <c r="P894" s="55"/>
      <c r="Q894" s="67"/>
      <c r="R894" s="67"/>
      <c r="S894" s="67"/>
      <c r="T894" s="67"/>
      <c r="U894" s="116"/>
    </row>
    <row r="895">
      <c r="A895" s="72"/>
      <c r="B895" s="95"/>
      <c r="C895" s="67"/>
      <c r="D895" s="55"/>
      <c r="E895" s="55"/>
      <c r="F895" s="55"/>
      <c r="G895" s="55"/>
      <c r="H895" s="55"/>
      <c r="I895" s="115"/>
      <c r="J895" s="55"/>
      <c r="K895" s="55"/>
      <c r="L895" s="55"/>
      <c r="M895" s="55"/>
      <c r="N895" s="55"/>
      <c r="O895" s="55"/>
      <c r="P895" s="55"/>
      <c r="Q895" s="67"/>
      <c r="R895" s="67"/>
      <c r="S895" s="67"/>
      <c r="T895" s="67"/>
      <c r="U895" s="116"/>
    </row>
    <row r="896">
      <c r="A896" s="72"/>
      <c r="B896" s="95"/>
      <c r="C896" s="67"/>
      <c r="D896" s="55"/>
      <c r="E896" s="55"/>
      <c r="F896" s="55"/>
      <c r="G896" s="55"/>
      <c r="H896" s="55"/>
      <c r="I896" s="115"/>
      <c r="J896" s="55"/>
      <c r="K896" s="55"/>
      <c r="L896" s="55"/>
      <c r="M896" s="55"/>
      <c r="N896" s="55"/>
      <c r="O896" s="55"/>
      <c r="P896" s="55"/>
      <c r="Q896" s="67"/>
      <c r="R896" s="67"/>
      <c r="S896" s="67"/>
      <c r="T896" s="67"/>
      <c r="U896" s="116"/>
    </row>
    <row r="897">
      <c r="A897" s="72"/>
      <c r="B897" s="95"/>
      <c r="C897" s="67"/>
      <c r="D897" s="55"/>
      <c r="E897" s="55"/>
      <c r="F897" s="55"/>
      <c r="G897" s="55"/>
      <c r="H897" s="55"/>
      <c r="I897" s="115"/>
      <c r="J897" s="55"/>
      <c r="K897" s="55"/>
      <c r="L897" s="55"/>
      <c r="M897" s="55"/>
      <c r="N897" s="55"/>
      <c r="O897" s="55"/>
      <c r="P897" s="55"/>
      <c r="Q897" s="67"/>
      <c r="R897" s="67"/>
      <c r="S897" s="67"/>
      <c r="T897" s="67"/>
      <c r="U897" s="116"/>
    </row>
    <row r="898">
      <c r="A898" s="72"/>
      <c r="B898" s="95"/>
      <c r="C898" s="67"/>
      <c r="D898" s="55"/>
      <c r="E898" s="55"/>
      <c r="F898" s="55"/>
      <c r="G898" s="55"/>
      <c r="H898" s="55"/>
      <c r="I898" s="115"/>
      <c r="J898" s="55"/>
      <c r="K898" s="55"/>
      <c r="L898" s="55"/>
      <c r="M898" s="55"/>
      <c r="N898" s="55"/>
      <c r="O898" s="55"/>
      <c r="P898" s="55"/>
      <c r="Q898" s="67"/>
      <c r="R898" s="67"/>
      <c r="S898" s="67"/>
      <c r="T898" s="67"/>
      <c r="U898" s="116"/>
    </row>
    <row r="899">
      <c r="A899" s="72"/>
      <c r="B899" s="95"/>
      <c r="C899" s="67"/>
      <c r="D899" s="55"/>
      <c r="E899" s="55"/>
      <c r="F899" s="55"/>
      <c r="G899" s="55"/>
      <c r="H899" s="55"/>
      <c r="I899" s="115"/>
      <c r="J899" s="55"/>
      <c r="K899" s="55"/>
      <c r="L899" s="55"/>
      <c r="M899" s="55"/>
      <c r="N899" s="55"/>
      <c r="O899" s="55"/>
      <c r="P899" s="55"/>
      <c r="Q899" s="67"/>
      <c r="R899" s="67"/>
      <c r="S899" s="67"/>
      <c r="T899" s="67"/>
      <c r="U899" s="116"/>
    </row>
    <row r="900">
      <c r="A900" s="72"/>
      <c r="B900" s="95"/>
      <c r="C900" s="67"/>
      <c r="D900" s="55"/>
      <c r="E900" s="55"/>
      <c r="F900" s="55"/>
      <c r="G900" s="55"/>
      <c r="H900" s="55"/>
      <c r="I900" s="115"/>
      <c r="J900" s="55"/>
      <c r="K900" s="55"/>
      <c r="L900" s="55"/>
      <c r="M900" s="55"/>
      <c r="N900" s="55"/>
      <c r="O900" s="55"/>
      <c r="P900" s="55"/>
      <c r="Q900" s="67"/>
      <c r="R900" s="67"/>
      <c r="S900" s="67"/>
      <c r="T900" s="67"/>
      <c r="U900" s="116"/>
    </row>
    <row r="901">
      <c r="A901" s="72"/>
      <c r="B901" s="95"/>
      <c r="C901" s="67"/>
      <c r="D901" s="55"/>
      <c r="E901" s="55"/>
      <c r="F901" s="55"/>
      <c r="G901" s="55"/>
      <c r="H901" s="55"/>
      <c r="I901" s="115"/>
      <c r="J901" s="55"/>
      <c r="K901" s="55"/>
      <c r="L901" s="55"/>
      <c r="M901" s="55"/>
      <c r="N901" s="55"/>
      <c r="O901" s="55"/>
      <c r="P901" s="55"/>
      <c r="Q901" s="67"/>
      <c r="R901" s="67"/>
      <c r="S901" s="67"/>
      <c r="T901" s="67"/>
      <c r="U901" s="116"/>
    </row>
    <row r="902">
      <c r="A902" s="72"/>
      <c r="B902" s="95"/>
      <c r="C902" s="67"/>
      <c r="D902" s="55"/>
      <c r="E902" s="55"/>
      <c r="F902" s="55"/>
      <c r="G902" s="55"/>
      <c r="H902" s="55"/>
      <c r="I902" s="115"/>
      <c r="J902" s="55"/>
      <c r="K902" s="55"/>
      <c r="L902" s="55"/>
      <c r="M902" s="55"/>
      <c r="N902" s="55"/>
      <c r="O902" s="55"/>
      <c r="P902" s="55"/>
      <c r="Q902" s="67"/>
      <c r="R902" s="67"/>
      <c r="S902" s="67"/>
      <c r="T902" s="67"/>
      <c r="U902" s="116"/>
    </row>
    <row r="903">
      <c r="A903" s="72"/>
      <c r="B903" s="95"/>
      <c r="C903" s="67"/>
      <c r="D903" s="55"/>
      <c r="E903" s="55"/>
      <c r="F903" s="55"/>
      <c r="G903" s="55"/>
      <c r="H903" s="55"/>
      <c r="I903" s="115"/>
      <c r="J903" s="55"/>
      <c r="K903" s="55"/>
      <c r="L903" s="55"/>
      <c r="M903" s="55"/>
      <c r="N903" s="55"/>
      <c r="O903" s="55"/>
      <c r="P903" s="55"/>
      <c r="Q903" s="67"/>
      <c r="R903" s="67"/>
      <c r="S903" s="67"/>
      <c r="T903" s="67"/>
      <c r="U903" s="116"/>
    </row>
    <row r="904">
      <c r="A904" s="72"/>
      <c r="B904" s="95"/>
      <c r="C904" s="67"/>
      <c r="D904" s="55"/>
      <c r="E904" s="55"/>
      <c r="F904" s="55"/>
      <c r="G904" s="55"/>
      <c r="H904" s="55"/>
      <c r="I904" s="115"/>
      <c r="J904" s="55"/>
      <c r="K904" s="55"/>
      <c r="L904" s="55"/>
      <c r="M904" s="55"/>
      <c r="N904" s="55"/>
      <c r="O904" s="55"/>
      <c r="P904" s="55"/>
      <c r="Q904" s="67"/>
      <c r="R904" s="67"/>
      <c r="S904" s="67"/>
      <c r="T904" s="67"/>
      <c r="U904" s="116"/>
    </row>
    <row r="905">
      <c r="A905" s="72"/>
      <c r="B905" s="95"/>
      <c r="C905" s="67"/>
      <c r="D905" s="55"/>
      <c r="E905" s="55"/>
      <c r="F905" s="55"/>
      <c r="G905" s="55"/>
      <c r="H905" s="55"/>
      <c r="I905" s="115"/>
      <c r="J905" s="55"/>
      <c r="K905" s="55"/>
      <c r="L905" s="55"/>
      <c r="M905" s="55"/>
      <c r="N905" s="55"/>
      <c r="O905" s="55"/>
      <c r="P905" s="55"/>
      <c r="Q905" s="67"/>
      <c r="R905" s="67"/>
      <c r="S905" s="67"/>
      <c r="T905" s="67"/>
      <c r="U905" s="116"/>
    </row>
    <row r="906">
      <c r="A906" s="72"/>
      <c r="B906" s="95"/>
      <c r="C906" s="67"/>
      <c r="D906" s="55"/>
      <c r="E906" s="55"/>
      <c r="F906" s="55"/>
      <c r="G906" s="55"/>
      <c r="H906" s="55"/>
      <c r="I906" s="115"/>
      <c r="J906" s="55"/>
      <c r="K906" s="55"/>
      <c r="L906" s="55"/>
      <c r="M906" s="55"/>
      <c r="N906" s="55"/>
      <c r="O906" s="55"/>
      <c r="P906" s="55"/>
      <c r="Q906" s="67"/>
      <c r="R906" s="67"/>
      <c r="S906" s="67"/>
      <c r="T906" s="67"/>
      <c r="U906" s="116"/>
    </row>
    <row r="907">
      <c r="A907" s="72"/>
      <c r="B907" s="95"/>
      <c r="C907" s="67"/>
      <c r="D907" s="55"/>
      <c r="E907" s="55"/>
      <c r="F907" s="55"/>
      <c r="G907" s="55"/>
      <c r="H907" s="55"/>
      <c r="I907" s="115"/>
      <c r="J907" s="55"/>
      <c r="K907" s="55"/>
      <c r="L907" s="55"/>
      <c r="M907" s="55"/>
      <c r="N907" s="55"/>
      <c r="O907" s="55"/>
      <c r="P907" s="55"/>
      <c r="Q907" s="67"/>
      <c r="R907" s="67"/>
      <c r="S907" s="67"/>
      <c r="T907" s="67"/>
      <c r="U907" s="116"/>
    </row>
    <row r="908">
      <c r="A908" s="72"/>
      <c r="B908" s="95"/>
      <c r="C908" s="67"/>
      <c r="D908" s="55"/>
      <c r="E908" s="55"/>
      <c r="F908" s="55"/>
      <c r="G908" s="55"/>
      <c r="H908" s="55"/>
      <c r="I908" s="115"/>
      <c r="J908" s="55"/>
      <c r="K908" s="55"/>
      <c r="L908" s="55"/>
      <c r="M908" s="55"/>
      <c r="N908" s="55"/>
      <c r="O908" s="55"/>
      <c r="P908" s="55"/>
      <c r="Q908" s="67"/>
      <c r="R908" s="67"/>
      <c r="S908" s="67"/>
      <c r="T908" s="67"/>
      <c r="U908" s="116"/>
    </row>
    <row r="909">
      <c r="A909" s="72"/>
      <c r="B909" s="95"/>
      <c r="C909" s="67"/>
      <c r="D909" s="55"/>
      <c r="E909" s="55"/>
      <c r="F909" s="55"/>
      <c r="G909" s="55"/>
      <c r="H909" s="55"/>
      <c r="I909" s="115"/>
      <c r="J909" s="55"/>
      <c r="K909" s="55"/>
      <c r="L909" s="55"/>
      <c r="M909" s="55"/>
      <c r="N909" s="55"/>
      <c r="O909" s="55"/>
      <c r="P909" s="55"/>
      <c r="Q909" s="67"/>
      <c r="R909" s="67"/>
      <c r="S909" s="67"/>
      <c r="T909" s="67"/>
      <c r="U909" s="116"/>
    </row>
    <row r="910">
      <c r="A910" s="72"/>
      <c r="B910" s="95"/>
      <c r="C910" s="67"/>
      <c r="D910" s="55"/>
      <c r="E910" s="55"/>
      <c r="F910" s="55"/>
      <c r="G910" s="55"/>
      <c r="H910" s="55"/>
      <c r="I910" s="115"/>
      <c r="J910" s="55"/>
      <c r="K910" s="55"/>
      <c r="L910" s="55"/>
      <c r="M910" s="55"/>
      <c r="N910" s="55"/>
      <c r="O910" s="55"/>
      <c r="P910" s="55"/>
      <c r="Q910" s="67"/>
      <c r="R910" s="67"/>
      <c r="S910" s="67"/>
      <c r="T910" s="67"/>
      <c r="U910" s="116"/>
    </row>
    <row r="911">
      <c r="A911" s="72"/>
      <c r="B911" s="95"/>
      <c r="C911" s="67"/>
      <c r="D911" s="55"/>
      <c r="E911" s="55"/>
      <c r="F911" s="55"/>
      <c r="G911" s="55"/>
      <c r="H911" s="55"/>
      <c r="I911" s="115"/>
      <c r="J911" s="55"/>
      <c r="K911" s="55"/>
      <c r="L911" s="55"/>
      <c r="M911" s="55"/>
      <c r="N911" s="55"/>
      <c r="O911" s="55"/>
      <c r="P911" s="55"/>
      <c r="Q911" s="67"/>
      <c r="R911" s="67"/>
      <c r="S911" s="67"/>
      <c r="T911" s="67"/>
      <c r="U911" s="116"/>
    </row>
    <row r="912">
      <c r="A912" s="72"/>
      <c r="B912" s="95"/>
      <c r="C912" s="67"/>
      <c r="D912" s="55"/>
      <c r="E912" s="55"/>
      <c r="F912" s="55"/>
      <c r="G912" s="55"/>
      <c r="H912" s="55"/>
      <c r="I912" s="115"/>
      <c r="J912" s="55"/>
      <c r="K912" s="55"/>
      <c r="L912" s="55"/>
      <c r="M912" s="55"/>
      <c r="N912" s="55"/>
      <c r="O912" s="55"/>
      <c r="P912" s="55"/>
      <c r="Q912" s="67"/>
      <c r="R912" s="67"/>
      <c r="S912" s="67"/>
      <c r="T912" s="67"/>
      <c r="U912" s="116"/>
    </row>
    <row r="913">
      <c r="A913" s="72"/>
      <c r="B913" s="95"/>
      <c r="C913" s="67"/>
      <c r="D913" s="55"/>
      <c r="E913" s="55"/>
      <c r="F913" s="55"/>
      <c r="G913" s="55"/>
      <c r="H913" s="55"/>
      <c r="I913" s="115"/>
      <c r="J913" s="55"/>
      <c r="K913" s="55"/>
      <c r="L913" s="55"/>
      <c r="M913" s="55"/>
      <c r="N913" s="55"/>
      <c r="O913" s="55"/>
      <c r="P913" s="55"/>
      <c r="Q913" s="67"/>
      <c r="R913" s="67"/>
      <c r="S913" s="67"/>
      <c r="T913" s="67"/>
      <c r="U913" s="116"/>
    </row>
    <row r="914">
      <c r="A914" s="72"/>
      <c r="B914" s="95"/>
      <c r="C914" s="67"/>
      <c r="D914" s="55"/>
      <c r="E914" s="55"/>
      <c r="F914" s="55"/>
      <c r="G914" s="55"/>
      <c r="H914" s="55"/>
      <c r="I914" s="115"/>
      <c r="J914" s="55"/>
      <c r="K914" s="55"/>
      <c r="L914" s="55"/>
      <c r="M914" s="55"/>
      <c r="N914" s="55"/>
      <c r="O914" s="55"/>
      <c r="P914" s="55"/>
      <c r="Q914" s="67"/>
      <c r="R914" s="67"/>
      <c r="S914" s="67"/>
      <c r="T914" s="67"/>
      <c r="U914" s="116"/>
    </row>
    <row r="915">
      <c r="A915" s="72"/>
      <c r="B915" s="95"/>
      <c r="C915" s="67"/>
      <c r="D915" s="55"/>
      <c r="E915" s="55"/>
      <c r="F915" s="55"/>
      <c r="G915" s="55"/>
      <c r="H915" s="55"/>
      <c r="I915" s="115"/>
      <c r="J915" s="55"/>
      <c r="K915" s="55"/>
      <c r="L915" s="55"/>
      <c r="M915" s="55"/>
      <c r="N915" s="55"/>
      <c r="O915" s="55"/>
      <c r="P915" s="55"/>
      <c r="Q915" s="67"/>
      <c r="R915" s="67"/>
      <c r="S915" s="67"/>
      <c r="T915" s="67"/>
      <c r="U915" s="116"/>
    </row>
    <row r="916">
      <c r="A916" s="72"/>
      <c r="B916" s="95"/>
      <c r="C916" s="67"/>
      <c r="D916" s="55"/>
      <c r="E916" s="55"/>
      <c r="F916" s="55"/>
      <c r="G916" s="55"/>
      <c r="H916" s="55"/>
      <c r="I916" s="115"/>
      <c r="J916" s="55"/>
      <c r="K916" s="55"/>
      <c r="L916" s="55"/>
      <c r="M916" s="55"/>
      <c r="N916" s="55"/>
      <c r="O916" s="55"/>
      <c r="P916" s="55"/>
      <c r="Q916" s="67"/>
      <c r="R916" s="67"/>
      <c r="S916" s="67"/>
      <c r="T916" s="67"/>
      <c r="U916" s="116"/>
    </row>
    <row r="917">
      <c r="A917" s="72"/>
      <c r="B917" s="95"/>
      <c r="C917" s="67"/>
      <c r="D917" s="55"/>
      <c r="E917" s="55"/>
      <c r="F917" s="55"/>
      <c r="G917" s="55"/>
      <c r="H917" s="55"/>
      <c r="I917" s="115"/>
      <c r="J917" s="55"/>
      <c r="K917" s="55"/>
      <c r="L917" s="55"/>
      <c r="M917" s="55"/>
      <c r="N917" s="55"/>
      <c r="O917" s="55"/>
      <c r="P917" s="55"/>
      <c r="Q917" s="67"/>
      <c r="R917" s="67"/>
      <c r="S917" s="67"/>
      <c r="T917" s="67"/>
      <c r="U917" s="116"/>
    </row>
    <row r="918">
      <c r="A918" s="72"/>
      <c r="B918" s="95"/>
      <c r="C918" s="67"/>
      <c r="D918" s="55"/>
      <c r="E918" s="55"/>
      <c r="F918" s="55"/>
      <c r="G918" s="55"/>
      <c r="H918" s="55"/>
      <c r="I918" s="115"/>
      <c r="J918" s="55"/>
      <c r="K918" s="55"/>
      <c r="L918" s="55"/>
      <c r="M918" s="55"/>
      <c r="N918" s="55"/>
      <c r="O918" s="55"/>
      <c r="P918" s="55"/>
      <c r="Q918" s="67"/>
      <c r="R918" s="67"/>
      <c r="S918" s="67"/>
      <c r="T918" s="67"/>
      <c r="U918" s="116"/>
    </row>
    <row r="919">
      <c r="A919" s="72"/>
      <c r="B919" s="95"/>
      <c r="C919" s="67"/>
      <c r="D919" s="55"/>
      <c r="E919" s="55"/>
      <c r="F919" s="55"/>
      <c r="G919" s="55"/>
      <c r="H919" s="55"/>
      <c r="I919" s="115"/>
      <c r="J919" s="55"/>
      <c r="K919" s="55"/>
      <c r="L919" s="55"/>
      <c r="M919" s="55"/>
      <c r="N919" s="55"/>
      <c r="O919" s="55"/>
      <c r="P919" s="55"/>
      <c r="Q919" s="67"/>
      <c r="R919" s="67"/>
      <c r="S919" s="67"/>
      <c r="T919" s="67"/>
      <c r="U919" s="116"/>
    </row>
    <row r="920">
      <c r="A920" s="72"/>
      <c r="B920" s="95"/>
      <c r="C920" s="67"/>
      <c r="D920" s="55"/>
      <c r="E920" s="55"/>
      <c r="F920" s="55"/>
      <c r="G920" s="55"/>
      <c r="H920" s="55"/>
      <c r="I920" s="115"/>
      <c r="J920" s="55"/>
      <c r="K920" s="55"/>
      <c r="L920" s="55"/>
      <c r="M920" s="55"/>
      <c r="N920" s="55"/>
      <c r="O920" s="55"/>
      <c r="P920" s="55"/>
      <c r="Q920" s="67"/>
      <c r="R920" s="67"/>
      <c r="S920" s="67"/>
      <c r="T920" s="67"/>
      <c r="U920" s="116"/>
    </row>
    <row r="921">
      <c r="A921" s="72"/>
      <c r="B921" s="95"/>
      <c r="C921" s="67"/>
      <c r="D921" s="55"/>
      <c r="E921" s="55"/>
      <c r="F921" s="55"/>
      <c r="G921" s="55"/>
      <c r="H921" s="55"/>
      <c r="I921" s="115"/>
      <c r="J921" s="55"/>
      <c r="K921" s="55"/>
      <c r="L921" s="55"/>
      <c r="M921" s="55"/>
      <c r="N921" s="55"/>
      <c r="O921" s="55"/>
      <c r="P921" s="55"/>
      <c r="Q921" s="67"/>
      <c r="R921" s="67"/>
      <c r="S921" s="67"/>
      <c r="T921" s="67"/>
      <c r="U921" s="116"/>
    </row>
    <row r="922">
      <c r="A922" s="72"/>
      <c r="B922" s="95"/>
      <c r="C922" s="67"/>
      <c r="D922" s="55"/>
      <c r="E922" s="55"/>
      <c r="F922" s="55"/>
      <c r="G922" s="55"/>
      <c r="H922" s="55"/>
      <c r="I922" s="115"/>
      <c r="J922" s="55"/>
      <c r="K922" s="55"/>
      <c r="L922" s="55"/>
      <c r="M922" s="55"/>
      <c r="N922" s="55"/>
      <c r="O922" s="55"/>
      <c r="P922" s="55"/>
      <c r="Q922" s="67"/>
      <c r="R922" s="67"/>
      <c r="S922" s="67"/>
      <c r="T922" s="67"/>
      <c r="U922" s="116"/>
    </row>
    <row r="923">
      <c r="A923" s="72"/>
      <c r="B923" s="95"/>
      <c r="C923" s="67"/>
      <c r="D923" s="55"/>
      <c r="E923" s="55"/>
      <c r="F923" s="55"/>
      <c r="G923" s="55"/>
      <c r="H923" s="55"/>
      <c r="I923" s="115"/>
      <c r="J923" s="55"/>
      <c r="K923" s="55"/>
      <c r="L923" s="55"/>
      <c r="M923" s="55"/>
      <c r="N923" s="55"/>
      <c r="O923" s="55"/>
      <c r="P923" s="55"/>
      <c r="Q923" s="67"/>
      <c r="R923" s="67"/>
      <c r="S923" s="67"/>
      <c r="T923" s="67"/>
      <c r="U923" s="116"/>
    </row>
    <row r="924">
      <c r="A924" s="72"/>
      <c r="B924" s="95"/>
      <c r="C924" s="67"/>
      <c r="D924" s="55"/>
      <c r="E924" s="55"/>
      <c r="F924" s="55"/>
      <c r="G924" s="55"/>
      <c r="H924" s="55"/>
      <c r="I924" s="115"/>
      <c r="J924" s="55"/>
      <c r="K924" s="55"/>
      <c r="L924" s="55"/>
      <c r="M924" s="55"/>
      <c r="N924" s="55"/>
      <c r="O924" s="55"/>
      <c r="P924" s="55"/>
      <c r="Q924" s="67"/>
      <c r="R924" s="67"/>
      <c r="S924" s="67"/>
      <c r="T924" s="67"/>
      <c r="U924" s="116"/>
    </row>
    <row r="925">
      <c r="A925" s="72"/>
      <c r="B925" s="95"/>
      <c r="C925" s="67"/>
      <c r="D925" s="55"/>
      <c r="E925" s="55"/>
      <c r="F925" s="55"/>
      <c r="G925" s="55"/>
      <c r="H925" s="55"/>
      <c r="I925" s="115"/>
      <c r="J925" s="55"/>
      <c r="K925" s="55"/>
      <c r="L925" s="55"/>
      <c r="M925" s="55"/>
      <c r="N925" s="55"/>
      <c r="O925" s="55"/>
      <c r="P925" s="55"/>
      <c r="Q925" s="67"/>
      <c r="R925" s="67"/>
      <c r="S925" s="67"/>
      <c r="T925" s="67"/>
      <c r="U925" s="116"/>
    </row>
    <row r="926">
      <c r="A926" s="72"/>
      <c r="B926" s="95"/>
      <c r="C926" s="67"/>
      <c r="D926" s="55"/>
      <c r="E926" s="55"/>
      <c r="F926" s="55"/>
      <c r="G926" s="55"/>
      <c r="H926" s="55"/>
      <c r="I926" s="115"/>
      <c r="J926" s="55"/>
      <c r="K926" s="55"/>
      <c r="L926" s="55"/>
      <c r="M926" s="55"/>
      <c r="N926" s="55"/>
      <c r="O926" s="55"/>
      <c r="P926" s="55"/>
      <c r="Q926" s="67"/>
      <c r="R926" s="67"/>
      <c r="S926" s="67"/>
      <c r="T926" s="67"/>
      <c r="U926" s="116"/>
    </row>
    <row r="927">
      <c r="A927" s="72"/>
      <c r="B927" s="95"/>
      <c r="C927" s="67"/>
      <c r="D927" s="55"/>
      <c r="E927" s="55"/>
      <c r="F927" s="55"/>
      <c r="G927" s="55"/>
      <c r="H927" s="55"/>
      <c r="I927" s="115"/>
      <c r="J927" s="55"/>
      <c r="K927" s="55"/>
      <c r="L927" s="55"/>
      <c r="M927" s="55"/>
      <c r="N927" s="55"/>
      <c r="O927" s="55"/>
      <c r="P927" s="55"/>
      <c r="Q927" s="67"/>
      <c r="R927" s="67"/>
      <c r="S927" s="67"/>
      <c r="T927" s="67"/>
      <c r="U927" s="116"/>
    </row>
    <row r="928">
      <c r="A928" s="72"/>
      <c r="B928" s="95"/>
      <c r="C928" s="67"/>
      <c r="D928" s="55"/>
      <c r="E928" s="55"/>
      <c r="F928" s="55"/>
      <c r="G928" s="55"/>
      <c r="H928" s="55"/>
      <c r="I928" s="115"/>
      <c r="J928" s="55"/>
      <c r="K928" s="55"/>
      <c r="L928" s="55"/>
      <c r="M928" s="55"/>
      <c r="N928" s="55"/>
      <c r="O928" s="55"/>
      <c r="P928" s="55"/>
      <c r="Q928" s="67"/>
      <c r="R928" s="67"/>
      <c r="S928" s="67"/>
      <c r="T928" s="67"/>
      <c r="U928" s="116"/>
    </row>
    <row r="929">
      <c r="A929" s="72"/>
      <c r="B929" s="95"/>
      <c r="C929" s="67"/>
      <c r="D929" s="55"/>
      <c r="E929" s="55"/>
      <c r="F929" s="55"/>
      <c r="G929" s="55"/>
      <c r="H929" s="55"/>
      <c r="I929" s="115"/>
      <c r="J929" s="55"/>
      <c r="K929" s="55"/>
      <c r="L929" s="55"/>
      <c r="M929" s="55"/>
      <c r="N929" s="55"/>
      <c r="O929" s="55"/>
      <c r="P929" s="55"/>
      <c r="Q929" s="67"/>
      <c r="R929" s="67"/>
      <c r="S929" s="67"/>
      <c r="T929" s="67"/>
      <c r="U929" s="116"/>
    </row>
    <row r="930">
      <c r="A930" s="72"/>
      <c r="B930" s="95"/>
      <c r="C930" s="67"/>
      <c r="D930" s="55"/>
      <c r="E930" s="55"/>
      <c r="F930" s="55"/>
      <c r="G930" s="55"/>
      <c r="H930" s="55"/>
      <c r="I930" s="115"/>
      <c r="J930" s="55"/>
      <c r="K930" s="55"/>
      <c r="L930" s="55"/>
      <c r="M930" s="55"/>
      <c r="N930" s="55"/>
      <c r="O930" s="55"/>
      <c r="P930" s="55"/>
      <c r="Q930" s="67"/>
      <c r="R930" s="67"/>
      <c r="S930" s="67"/>
      <c r="T930" s="67"/>
      <c r="U930" s="116"/>
    </row>
    <row r="931">
      <c r="A931" s="72"/>
      <c r="B931" s="95"/>
      <c r="C931" s="67"/>
      <c r="D931" s="55"/>
      <c r="E931" s="55"/>
      <c r="F931" s="55"/>
      <c r="G931" s="55"/>
      <c r="H931" s="55"/>
      <c r="I931" s="115"/>
      <c r="J931" s="55"/>
      <c r="K931" s="55"/>
      <c r="L931" s="55"/>
      <c r="M931" s="55"/>
      <c r="N931" s="55"/>
      <c r="O931" s="55"/>
      <c r="P931" s="55"/>
      <c r="Q931" s="67"/>
      <c r="R931" s="67"/>
      <c r="S931" s="67"/>
      <c r="T931" s="67"/>
      <c r="U931" s="116"/>
    </row>
    <row r="932">
      <c r="A932" s="72"/>
      <c r="B932" s="95"/>
      <c r="C932" s="67"/>
      <c r="D932" s="55"/>
      <c r="E932" s="55"/>
      <c r="F932" s="55"/>
      <c r="G932" s="55"/>
      <c r="H932" s="55"/>
      <c r="I932" s="115"/>
      <c r="J932" s="55"/>
      <c r="K932" s="55"/>
      <c r="L932" s="55"/>
      <c r="M932" s="55"/>
      <c r="N932" s="55"/>
      <c r="O932" s="55"/>
      <c r="P932" s="55"/>
      <c r="Q932" s="67"/>
      <c r="R932" s="67"/>
      <c r="S932" s="67"/>
      <c r="T932" s="67"/>
      <c r="U932" s="116"/>
    </row>
    <row r="933">
      <c r="A933" s="72"/>
      <c r="B933" s="95"/>
      <c r="C933" s="67"/>
      <c r="D933" s="55"/>
      <c r="E933" s="55"/>
      <c r="F933" s="55"/>
      <c r="G933" s="55"/>
      <c r="H933" s="55"/>
      <c r="I933" s="115"/>
      <c r="J933" s="55"/>
      <c r="K933" s="55"/>
      <c r="L933" s="55"/>
      <c r="M933" s="55"/>
      <c r="N933" s="55"/>
      <c r="O933" s="55"/>
      <c r="P933" s="55"/>
      <c r="Q933" s="67"/>
      <c r="R933" s="67"/>
      <c r="S933" s="67"/>
      <c r="T933" s="67"/>
      <c r="U933" s="116"/>
    </row>
    <row r="934">
      <c r="A934" s="72"/>
      <c r="B934" s="95"/>
      <c r="C934" s="67"/>
      <c r="D934" s="55"/>
      <c r="E934" s="55"/>
      <c r="F934" s="55"/>
      <c r="G934" s="55"/>
      <c r="H934" s="55"/>
      <c r="I934" s="115"/>
      <c r="J934" s="55"/>
      <c r="K934" s="55"/>
      <c r="L934" s="55"/>
      <c r="M934" s="55"/>
      <c r="N934" s="55"/>
      <c r="O934" s="55"/>
      <c r="P934" s="55"/>
      <c r="Q934" s="67"/>
      <c r="R934" s="67"/>
      <c r="S934" s="67"/>
      <c r="T934" s="67"/>
      <c r="U934" s="116"/>
    </row>
    <row r="935">
      <c r="A935" s="72"/>
      <c r="B935" s="95"/>
      <c r="C935" s="67"/>
      <c r="D935" s="55"/>
      <c r="E935" s="55"/>
      <c r="F935" s="55"/>
      <c r="G935" s="55"/>
      <c r="H935" s="55"/>
      <c r="I935" s="115"/>
      <c r="J935" s="55"/>
      <c r="K935" s="55"/>
      <c r="L935" s="55"/>
      <c r="M935" s="55"/>
      <c r="N935" s="55"/>
      <c r="O935" s="55"/>
      <c r="P935" s="55"/>
      <c r="Q935" s="67"/>
      <c r="R935" s="67"/>
      <c r="S935" s="67"/>
      <c r="T935" s="67"/>
      <c r="U935" s="116"/>
    </row>
    <row r="936">
      <c r="A936" s="72"/>
      <c r="B936" s="95"/>
      <c r="C936" s="67"/>
      <c r="D936" s="55"/>
      <c r="E936" s="55"/>
      <c r="F936" s="55"/>
      <c r="G936" s="55"/>
      <c r="H936" s="55"/>
      <c r="I936" s="115"/>
      <c r="J936" s="55"/>
      <c r="K936" s="55"/>
      <c r="L936" s="55"/>
      <c r="M936" s="55"/>
      <c r="N936" s="55"/>
      <c r="O936" s="55"/>
      <c r="P936" s="55"/>
      <c r="Q936" s="67"/>
      <c r="R936" s="67"/>
      <c r="S936" s="67"/>
      <c r="T936" s="67"/>
      <c r="U936" s="116"/>
    </row>
    <row r="937">
      <c r="A937" s="72"/>
      <c r="B937" s="95"/>
      <c r="C937" s="67"/>
      <c r="D937" s="55"/>
      <c r="E937" s="55"/>
      <c r="F937" s="55"/>
      <c r="G937" s="55"/>
      <c r="H937" s="55"/>
      <c r="I937" s="115"/>
      <c r="J937" s="55"/>
      <c r="K937" s="55"/>
      <c r="L937" s="55"/>
      <c r="M937" s="55"/>
      <c r="N937" s="55"/>
      <c r="O937" s="55"/>
      <c r="P937" s="55"/>
      <c r="Q937" s="67"/>
      <c r="R937" s="67"/>
      <c r="S937" s="67"/>
      <c r="T937" s="67"/>
      <c r="U937" s="116"/>
    </row>
    <row r="938">
      <c r="A938" s="72"/>
      <c r="B938" s="95"/>
      <c r="C938" s="67"/>
      <c r="D938" s="55"/>
      <c r="E938" s="55"/>
      <c r="F938" s="55"/>
      <c r="G938" s="55"/>
      <c r="H938" s="55"/>
      <c r="I938" s="115"/>
      <c r="J938" s="55"/>
      <c r="K938" s="55"/>
      <c r="L938" s="55"/>
      <c r="M938" s="55"/>
      <c r="N938" s="55"/>
      <c r="O938" s="55"/>
      <c r="P938" s="55"/>
      <c r="Q938" s="67"/>
      <c r="R938" s="67"/>
      <c r="S938" s="67"/>
      <c r="T938" s="67"/>
      <c r="U938" s="116"/>
    </row>
    <row r="939">
      <c r="A939" s="72"/>
      <c r="B939" s="95"/>
      <c r="C939" s="67"/>
      <c r="D939" s="55"/>
      <c r="E939" s="55"/>
      <c r="F939" s="55"/>
      <c r="G939" s="55"/>
      <c r="H939" s="55"/>
      <c r="I939" s="115"/>
      <c r="J939" s="55"/>
      <c r="K939" s="55"/>
      <c r="L939" s="55"/>
      <c r="M939" s="55"/>
      <c r="N939" s="55"/>
      <c r="O939" s="55"/>
      <c r="P939" s="55"/>
      <c r="Q939" s="67"/>
      <c r="R939" s="67"/>
      <c r="S939" s="67"/>
      <c r="T939" s="67"/>
      <c r="U939" s="116"/>
    </row>
    <row r="940">
      <c r="A940" s="72"/>
      <c r="B940" s="95"/>
      <c r="C940" s="67"/>
      <c r="D940" s="55"/>
      <c r="E940" s="55"/>
      <c r="F940" s="55"/>
      <c r="G940" s="55"/>
      <c r="H940" s="55"/>
      <c r="I940" s="115"/>
      <c r="J940" s="55"/>
      <c r="K940" s="55"/>
      <c r="L940" s="55"/>
      <c r="M940" s="55"/>
      <c r="N940" s="55"/>
      <c r="O940" s="55"/>
      <c r="P940" s="55"/>
      <c r="Q940" s="67"/>
      <c r="R940" s="67"/>
      <c r="S940" s="67"/>
      <c r="T940" s="67"/>
      <c r="U940" s="116"/>
    </row>
    <row r="941">
      <c r="A941" s="72"/>
      <c r="B941" s="95"/>
      <c r="C941" s="67"/>
      <c r="D941" s="55"/>
      <c r="E941" s="55"/>
      <c r="F941" s="55"/>
      <c r="G941" s="55"/>
      <c r="H941" s="55"/>
      <c r="I941" s="115"/>
      <c r="J941" s="55"/>
      <c r="K941" s="55"/>
      <c r="L941" s="55"/>
      <c r="M941" s="55"/>
      <c r="N941" s="55"/>
      <c r="O941" s="55"/>
      <c r="P941" s="55"/>
      <c r="Q941" s="67"/>
      <c r="R941" s="67"/>
      <c r="S941" s="67"/>
      <c r="T941" s="67"/>
      <c r="U941" s="116"/>
    </row>
    <row r="942">
      <c r="A942" s="72"/>
      <c r="B942" s="95"/>
      <c r="C942" s="67"/>
      <c r="D942" s="55"/>
      <c r="E942" s="55"/>
      <c r="F942" s="55"/>
      <c r="G942" s="55"/>
      <c r="H942" s="55"/>
      <c r="I942" s="115"/>
      <c r="J942" s="55"/>
      <c r="K942" s="55"/>
      <c r="L942" s="55"/>
      <c r="M942" s="55"/>
      <c r="N942" s="55"/>
      <c r="O942" s="55"/>
      <c r="P942" s="55"/>
      <c r="Q942" s="67"/>
      <c r="R942" s="67"/>
      <c r="S942" s="67"/>
      <c r="T942" s="67"/>
      <c r="U942" s="116"/>
    </row>
    <row r="943">
      <c r="A943" s="72"/>
      <c r="B943" s="95"/>
      <c r="C943" s="67"/>
      <c r="D943" s="55"/>
      <c r="E943" s="55"/>
      <c r="F943" s="55"/>
      <c r="G943" s="55"/>
      <c r="H943" s="55"/>
      <c r="I943" s="115"/>
      <c r="J943" s="55"/>
      <c r="K943" s="55"/>
      <c r="L943" s="55"/>
      <c r="M943" s="55"/>
      <c r="N943" s="55"/>
      <c r="O943" s="55"/>
      <c r="P943" s="55"/>
      <c r="Q943" s="67"/>
      <c r="R943" s="67"/>
      <c r="S943" s="67"/>
      <c r="T943" s="67"/>
      <c r="U943" s="116"/>
    </row>
    <row r="944">
      <c r="A944" s="72"/>
      <c r="B944" s="95"/>
      <c r="C944" s="67"/>
      <c r="D944" s="55"/>
      <c r="E944" s="55"/>
      <c r="F944" s="55"/>
      <c r="G944" s="55"/>
      <c r="H944" s="55"/>
      <c r="I944" s="115"/>
      <c r="J944" s="55"/>
      <c r="K944" s="55"/>
      <c r="L944" s="55"/>
      <c r="M944" s="55"/>
      <c r="N944" s="55"/>
      <c r="O944" s="55"/>
      <c r="P944" s="55"/>
      <c r="Q944" s="67"/>
      <c r="R944" s="67"/>
      <c r="S944" s="67"/>
      <c r="T944" s="67"/>
      <c r="U944" s="116"/>
    </row>
    <row r="945">
      <c r="A945" s="72"/>
      <c r="B945" s="95"/>
      <c r="C945" s="67"/>
      <c r="D945" s="55"/>
      <c r="E945" s="55"/>
      <c r="F945" s="55"/>
      <c r="G945" s="55"/>
      <c r="H945" s="55"/>
      <c r="I945" s="115"/>
      <c r="J945" s="55"/>
      <c r="K945" s="55"/>
      <c r="L945" s="55"/>
      <c r="M945" s="55"/>
      <c r="N945" s="55"/>
      <c r="O945" s="55"/>
      <c r="P945" s="55"/>
      <c r="Q945" s="67"/>
      <c r="R945" s="67"/>
      <c r="S945" s="67"/>
      <c r="T945" s="67"/>
      <c r="U945" s="116"/>
    </row>
    <row r="946">
      <c r="A946" s="72"/>
      <c r="B946" s="95"/>
      <c r="C946" s="67"/>
      <c r="D946" s="55"/>
      <c r="E946" s="55"/>
      <c r="F946" s="55"/>
      <c r="G946" s="55"/>
      <c r="H946" s="55"/>
      <c r="I946" s="115"/>
      <c r="J946" s="55"/>
      <c r="K946" s="55"/>
      <c r="L946" s="55"/>
      <c r="M946" s="55"/>
      <c r="N946" s="55"/>
      <c r="O946" s="55"/>
      <c r="P946" s="55"/>
      <c r="Q946" s="67"/>
      <c r="R946" s="67"/>
      <c r="S946" s="67"/>
      <c r="T946" s="67"/>
      <c r="U946" s="116"/>
    </row>
    <row r="947">
      <c r="A947" s="72"/>
      <c r="B947" s="95"/>
      <c r="C947" s="67"/>
      <c r="D947" s="55"/>
      <c r="E947" s="55"/>
      <c r="F947" s="55"/>
      <c r="G947" s="55"/>
      <c r="H947" s="55"/>
      <c r="I947" s="115"/>
      <c r="J947" s="55"/>
      <c r="K947" s="55"/>
      <c r="L947" s="55"/>
      <c r="M947" s="55"/>
      <c r="N947" s="55"/>
      <c r="O947" s="55"/>
      <c r="P947" s="55"/>
      <c r="Q947" s="67"/>
      <c r="R947" s="67"/>
      <c r="S947" s="67"/>
      <c r="T947" s="67"/>
      <c r="U947" s="116"/>
    </row>
    <row r="948">
      <c r="A948" s="72"/>
      <c r="B948" s="95"/>
      <c r="C948" s="67"/>
      <c r="D948" s="55"/>
      <c r="E948" s="55"/>
      <c r="F948" s="55"/>
      <c r="G948" s="55"/>
      <c r="H948" s="55"/>
      <c r="I948" s="115"/>
      <c r="J948" s="55"/>
      <c r="K948" s="55"/>
      <c r="L948" s="55"/>
      <c r="M948" s="55"/>
      <c r="N948" s="55"/>
      <c r="O948" s="55"/>
      <c r="P948" s="55"/>
      <c r="Q948" s="67"/>
      <c r="R948" s="67"/>
      <c r="S948" s="67"/>
      <c r="T948" s="67"/>
      <c r="U948" s="116"/>
    </row>
    <row r="949">
      <c r="A949" s="72"/>
      <c r="B949" s="95"/>
      <c r="C949" s="67"/>
      <c r="D949" s="55"/>
      <c r="E949" s="55"/>
      <c r="F949" s="55"/>
      <c r="G949" s="55"/>
      <c r="H949" s="55"/>
      <c r="I949" s="115"/>
      <c r="J949" s="55"/>
      <c r="K949" s="55"/>
      <c r="L949" s="55"/>
      <c r="M949" s="55"/>
      <c r="N949" s="55"/>
      <c r="O949" s="55"/>
      <c r="P949" s="55"/>
      <c r="Q949" s="67"/>
      <c r="R949" s="67"/>
      <c r="S949" s="67"/>
      <c r="T949" s="67"/>
      <c r="U949" s="116"/>
    </row>
    <row r="950">
      <c r="A950" s="72"/>
      <c r="B950" s="95"/>
      <c r="C950" s="67"/>
      <c r="D950" s="55"/>
      <c r="E950" s="55"/>
      <c r="F950" s="55"/>
      <c r="G950" s="55"/>
      <c r="H950" s="55"/>
      <c r="I950" s="115"/>
      <c r="J950" s="55"/>
      <c r="K950" s="55"/>
      <c r="L950" s="55"/>
      <c r="M950" s="55"/>
      <c r="N950" s="55"/>
      <c r="O950" s="55"/>
      <c r="P950" s="55"/>
      <c r="Q950" s="67"/>
      <c r="R950" s="67"/>
      <c r="S950" s="67"/>
      <c r="T950" s="67"/>
      <c r="U950" s="116"/>
    </row>
    <row r="951">
      <c r="A951" s="72"/>
      <c r="B951" s="95"/>
      <c r="C951" s="67"/>
      <c r="D951" s="55"/>
      <c r="E951" s="55"/>
      <c r="F951" s="55"/>
      <c r="G951" s="55"/>
      <c r="H951" s="55"/>
      <c r="I951" s="115"/>
      <c r="J951" s="55"/>
      <c r="K951" s="55"/>
      <c r="L951" s="55"/>
      <c r="M951" s="55"/>
      <c r="N951" s="55"/>
      <c r="O951" s="55"/>
      <c r="P951" s="55"/>
      <c r="Q951" s="67"/>
      <c r="R951" s="67"/>
      <c r="S951" s="67"/>
      <c r="T951" s="67"/>
      <c r="U951" s="116"/>
    </row>
    <row r="952">
      <c r="A952" s="72"/>
      <c r="B952" s="95"/>
      <c r="C952" s="67"/>
      <c r="D952" s="55"/>
      <c r="E952" s="55"/>
      <c r="F952" s="55"/>
      <c r="G952" s="55"/>
      <c r="H952" s="55"/>
      <c r="I952" s="115"/>
      <c r="J952" s="55"/>
      <c r="K952" s="55"/>
      <c r="L952" s="55"/>
      <c r="M952" s="55"/>
      <c r="N952" s="55"/>
      <c r="O952" s="55"/>
      <c r="P952" s="55"/>
      <c r="Q952" s="67"/>
      <c r="R952" s="67"/>
      <c r="S952" s="67"/>
      <c r="T952" s="67"/>
      <c r="U952" s="116"/>
    </row>
    <row r="953">
      <c r="A953" s="72"/>
      <c r="B953" s="95"/>
      <c r="C953" s="67"/>
      <c r="D953" s="55"/>
      <c r="E953" s="55"/>
      <c r="F953" s="55"/>
      <c r="G953" s="55"/>
      <c r="H953" s="55"/>
      <c r="I953" s="115"/>
      <c r="J953" s="55"/>
      <c r="K953" s="55"/>
      <c r="L953" s="55"/>
      <c r="M953" s="55"/>
      <c r="N953" s="55"/>
      <c r="O953" s="55"/>
      <c r="P953" s="55"/>
      <c r="Q953" s="67"/>
      <c r="R953" s="67"/>
      <c r="S953" s="67"/>
      <c r="T953" s="67"/>
      <c r="U953" s="116"/>
    </row>
    <row r="954">
      <c r="A954" s="72"/>
      <c r="B954" s="95"/>
      <c r="C954" s="67"/>
      <c r="D954" s="55"/>
      <c r="E954" s="55"/>
      <c r="F954" s="55"/>
      <c r="G954" s="55"/>
      <c r="H954" s="55"/>
      <c r="I954" s="115"/>
      <c r="J954" s="55"/>
      <c r="K954" s="55"/>
      <c r="L954" s="55"/>
      <c r="M954" s="55"/>
      <c r="N954" s="55"/>
      <c r="O954" s="55"/>
      <c r="P954" s="55"/>
      <c r="Q954" s="67"/>
      <c r="R954" s="67"/>
      <c r="S954" s="67"/>
      <c r="T954" s="67"/>
      <c r="U954" s="116"/>
    </row>
    <row r="955">
      <c r="A955" s="72"/>
      <c r="B955" s="95"/>
      <c r="C955" s="67"/>
      <c r="D955" s="55"/>
      <c r="E955" s="55"/>
      <c r="F955" s="55"/>
      <c r="G955" s="55"/>
      <c r="H955" s="55"/>
      <c r="I955" s="115"/>
      <c r="J955" s="55"/>
      <c r="K955" s="55"/>
      <c r="L955" s="55"/>
      <c r="M955" s="55"/>
      <c r="N955" s="55"/>
      <c r="O955" s="55"/>
      <c r="P955" s="55"/>
      <c r="Q955" s="67"/>
      <c r="R955" s="67"/>
      <c r="S955" s="67"/>
      <c r="T955" s="67"/>
      <c r="U955" s="116"/>
    </row>
    <row r="956">
      <c r="A956" s="72"/>
      <c r="B956" s="95"/>
      <c r="C956" s="67"/>
      <c r="D956" s="55"/>
      <c r="E956" s="55"/>
      <c r="F956" s="55"/>
      <c r="G956" s="55"/>
      <c r="H956" s="55"/>
      <c r="I956" s="115"/>
      <c r="J956" s="55"/>
      <c r="K956" s="55"/>
      <c r="L956" s="55"/>
      <c r="M956" s="55"/>
      <c r="N956" s="55"/>
      <c r="O956" s="55"/>
      <c r="P956" s="55"/>
      <c r="Q956" s="67"/>
      <c r="R956" s="67"/>
      <c r="S956" s="67"/>
      <c r="T956" s="67"/>
      <c r="U956" s="116"/>
    </row>
    <row r="957">
      <c r="A957" s="72"/>
      <c r="B957" s="95"/>
      <c r="C957" s="67"/>
      <c r="D957" s="55"/>
      <c r="E957" s="55"/>
      <c r="F957" s="55"/>
      <c r="G957" s="55"/>
      <c r="H957" s="55"/>
      <c r="I957" s="115"/>
      <c r="J957" s="55"/>
      <c r="K957" s="55"/>
      <c r="L957" s="55"/>
      <c r="M957" s="55"/>
      <c r="N957" s="55"/>
      <c r="O957" s="55"/>
      <c r="P957" s="55"/>
      <c r="Q957" s="67"/>
      <c r="R957" s="67"/>
      <c r="S957" s="67"/>
      <c r="T957" s="67"/>
      <c r="U957" s="116"/>
    </row>
    <row r="958">
      <c r="A958" s="72"/>
      <c r="B958" s="95"/>
      <c r="C958" s="67"/>
      <c r="D958" s="55"/>
      <c r="E958" s="55"/>
      <c r="F958" s="55"/>
      <c r="G958" s="55"/>
      <c r="H958" s="55"/>
      <c r="I958" s="115"/>
      <c r="J958" s="55"/>
      <c r="K958" s="55"/>
      <c r="L958" s="55"/>
      <c r="M958" s="55"/>
      <c r="N958" s="55"/>
      <c r="O958" s="55"/>
      <c r="P958" s="55"/>
      <c r="Q958" s="67"/>
      <c r="R958" s="67"/>
      <c r="S958" s="67"/>
      <c r="T958" s="67"/>
      <c r="U958" s="116"/>
    </row>
    <row r="959">
      <c r="A959" s="72"/>
      <c r="B959" s="95"/>
      <c r="C959" s="67"/>
      <c r="D959" s="55"/>
      <c r="E959" s="55"/>
      <c r="F959" s="55"/>
      <c r="G959" s="55"/>
      <c r="H959" s="55"/>
      <c r="I959" s="115"/>
      <c r="J959" s="55"/>
      <c r="K959" s="55"/>
      <c r="L959" s="55"/>
      <c r="M959" s="55"/>
      <c r="N959" s="55"/>
      <c r="O959" s="55"/>
      <c r="P959" s="55"/>
      <c r="Q959" s="67"/>
      <c r="R959" s="67"/>
      <c r="S959" s="67"/>
      <c r="T959" s="67"/>
      <c r="U959" s="116"/>
    </row>
    <row r="960">
      <c r="A960" s="72"/>
      <c r="B960" s="95"/>
      <c r="C960" s="67"/>
      <c r="D960" s="55"/>
      <c r="E960" s="55"/>
      <c r="F960" s="55"/>
      <c r="G960" s="55"/>
      <c r="H960" s="55"/>
      <c r="I960" s="115"/>
      <c r="J960" s="55"/>
      <c r="K960" s="55"/>
      <c r="L960" s="55"/>
      <c r="M960" s="55"/>
      <c r="N960" s="55"/>
      <c r="O960" s="55"/>
      <c r="P960" s="55"/>
      <c r="Q960" s="67"/>
      <c r="R960" s="67"/>
      <c r="S960" s="67"/>
      <c r="T960" s="67"/>
      <c r="U960" s="116"/>
    </row>
    <row r="961">
      <c r="A961" s="72"/>
      <c r="B961" s="95"/>
      <c r="C961" s="67"/>
      <c r="D961" s="55"/>
      <c r="E961" s="55"/>
      <c r="F961" s="55"/>
      <c r="G961" s="55"/>
      <c r="H961" s="55"/>
      <c r="I961" s="115"/>
      <c r="J961" s="55"/>
      <c r="K961" s="55"/>
      <c r="L961" s="55"/>
      <c r="M961" s="55"/>
      <c r="N961" s="55"/>
      <c r="O961" s="55"/>
      <c r="P961" s="55"/>
      <c r="Q961" s="67"/>
      <c r="R961" s="67"/>
      <c r="S961" s="67"/>
      <c r="T961" s="67"/>
      <c r="U961" s="116"/>
    </row>
    <row r="962">
      <c r="A962" s="72"/>
      <c r="B962" s="95"/>
      <c r="C962" s="67"/>
      <c r="D962" s="55"/>
      <c r="E962" s="55"/>
      <c r="F962" s="55"/>
      <c r="G962" s="55"/>
      <c r="H962" s="55"/>
      <c r="I962" s="115"/>
      <c r="J962" s="55"/>
      <c r="K962" s="55"/>
      <c r="L962" s="55"/>
      <c r="M962" s="55"/>
      <c r="N962" s="55"/>
      <c r="O962" s="55"/>
      <c r="P962" s="55"/>
      <c r="Q962" s="67"/>
      <c r="R962" s="67"/>
      <c r="S962" s="67"/>
      <c r="T962" s="67"/>
      <c r="U962" s="116"/>
    </row>
    <row r="963">
      <c r="A963" s="72"/>
      <c r="B963" s="95"/>
      <c r="C963" s="67"/>
      <c r="D963" s="55"/>
      <c r="E963" s="55"/>
      <c r="F963" s="55"/>
      <c r="G963" s="55"/>
      <c r="H963" s="55"/>
      <c r="I963" s="115"/>
      <c r="J963" s="55"/>
      <c r="K963" s="55"/>
      <c r="L963" s="55"/>
      <c r="M963" s="55"/>
      <c r="N963" s="55"/>
      <c r="O963" s="55"/>
      <c r="P963" s="55"/>
      <c r="Q963" s="67"/>
      <c r="R963" s="67"/>
      <c r="S963" s="67"/>
      <c r="T963" s="67"/>
      <c r="U963" s="116"/>
    </row>
    <row r="964">
      <c r="A964" s="72"/>
      <c r="B964" s="95"/>
      <c r="C964" s="67"/>
      <c r="D964" s="55"/>
      <c r="E964" s="55"/>
      <c r="F964" s="55"/>
      <c r="G964" s="55"/>
      <c r="H964" s="55"/>
      <c r="I964" s="115"/>
      <c r="J964" s="55"/>
      <c r="K964" s="55"/>
      <c r="L964" s="55"/>
      <c r="M964" s="55"/>
      <c r="N964" s="55"/>
      <c r="O964" s="55"/>
      <c r="P964" s="55"/>
      <c r="Q964" s="67"/>
      <c r="R964" s="67"/>
      <c r="S964" s="67"/>
      <c r="T964" s="67"/>
      <c r="U964" s="116"/>
    </row>
    <row r="965">
      <c r="A965" s="72"/>
      <c r="B965" s="95"/>
      <c r="C965" s="67"/>
      <c r="D965" s="55"/>
      <c r="E965" s="55"/>
      <c r="F965" s="55"/>
      <c r="G965" s="55"/>
      <c r="H965" s="55"/>
      <c r="I965" s="115"/>
      <c r="J965" s="55"/>
      <c r="K965" s="55"/>
      <c r="L965" s="55"/>
      <c r="M965" s="55"/>
      <c r="N965" s="55"/>
      <c r="O965" s="55"/>
      <c r="P965" s="55"/>
      <c r="Q965" s="67"/>
      <c r="R965" s="67"/>
      <c r="S965" s="67"/>
      <c r="T965" s="67"/>
      <c r="U965" s="116"/>
    </row>
    <row r="966">
      <c r="A966" s="72"/>
      <c r="B966" s="95"/>
      <c r="C966" s="67"/>
      <c r="D966" s="55"/>
      <c r="E966" s="55"/>
      <c r="F966" s="55"/>
      <c r="G966" s="55"/>
      <c r="H966" s="55"/>
      <c r="I966" s="115"/>
      <c r="J966" s="55"/>
      <c r="K966" s="55"/>
      <c r="L966" s="55"/>
      <c r="M966" s="55"/>
      <c r="N966" s="55"/>
      <c r="O966" s="55"/>
      <c r="P966" s="55"/>
      <c r="Q966" s="67"/>
      <c r="R966" s="67"/>
      <c r="S966" s="67"/>
      <c r="T966" s="67"/>
      <c r="U966" s="116"/>
    </row>
    <row r="967">
      <c r="A967" s="72"/>
      <c r="B967" s="95"/>
      <c r="C967" s="67"/>
      <c r="D967" s="55"/>
      <c r="E967" s="55"/>
      <c r="F967" s="55"/>
      <c r="G967" s="55"/>
      <c r="H967" s="55"/>
      <c r="I967" s="115"/>
      <c r="J967" s="55"/>
      <c r="K967" s="55"/>
      <c r="L967" s="55"/>
      <c r="M967" s="55"/>
      <c r="N967" s="55"/>
      <c r="O967" s="55"/>
      <c r="P967" s="55"/>
      <c r="Q967" s="67"/>
      <c r="R967" s="67"/>
      <c r="S967" s="67"/>
      <c r="T967" s="67"/>
      <c r="U967" s="116"/>
    </row>
    <row r="968">
      <c r="A968" s="72"/>
      <c r="B968" s="95"/>
      <c r="C968" s="67"/>
      <c r="D968" s="55"/>
      <c r="E968" s="55"/>
      <c r="F968" s="55"/>
      <c r="G968" s="55"/>
      <c r="H968" s="55"/>
      <c r="I968" s="115"/>
      <c r="J968" s="55"/>
      <c r="K968" s="55"/>
      <c r="L968" s="55"/>
      <c r="M968" s="55"/>
      <c r="N968" s="55"/>
      <c r="O968" s="55"/>
      <c r="P968" s="55"/>
      <c r="Q968" s="67"/>
      <c r="R968" s="67"/>
      <c r="S968" s="67"/>
      <c r="T968" s="67"/>
      <c r="U968" s="116"/>
    </row>
    <row r="969">
      <c r="A969" s="72"/>
      <c r="B969" s="95"/>
      <c r="C969" s="67"/>
      <c r="D969" s="55"/>
      <c r="E969" s="55"/>
      <c r="F969" s="55"/>
      <c r="G969" s="55"/>
      <c r="H969" s="55"/>
      <c r="I969" s="115"/>
      <c r="J969" s="55"/>
      <c r="K969" s="55"/>
      <c r="L969" s="55"/>
      <c r="M969" s="55"/>
      <c r="N969" s="55"/>
      <c r="O969" s="55"/>
      <c r="P969" s="55"/>
      <c r="Q969" s="67"/>
      <c r="R969" s="67"/>
      <c r="S969" s="67"/>
      <c r="T969" s="67"/>
      <c r="U969" s="116"/>
    </row>
    <row r="970">
      <c r="A970" s="72"/>
      <c r="B970" s="95"/>
      <c r="C970" s="67"/>
      <c r="D970" s="55"/>
      <c r="E970" s="55"/>
      <c r="F970" s="55"/>
      <c r="G970" s="55"/>
      <c r="H970" s="55"/>
      <c r="I970" s="115"/>
      <c r="J970" s="55"/>
      <c r="K970" s="55"/>
      <c r="L970" s="55"/>
      <c r="M970" s="55"/>
      <c r="N970" s="55"/>
      <c r="O970" s="55"/>
      <c r="P970" s="55"/>
      <c r="Q970" s="67"/>
      <c r="R970" s="67"/>
      <c r="S970" s="67"/>
      <c r="T970" s="67"/>
      <c r="U970" s="116"/>
    </row>
    <row r="971">
      <c r="A971" s="72"/>
      <c r="B971" s="95"/>
      <c r="C971" s="67"/>
      <c r="D971" s="55"/>
      <c r="E971" s="55"/>
      <c r="F971" s="55"/>
      <c r="G971" s="55"/>
      <c r="H971" s="55"/>
      <c r="I971" s="115"/>
      <c r="J971" s="55"/>
      <c r="K971" s="55"/>
      <c r="L971" s="55"/>
      <c r="M971" s="55"/>
      <c r="N971" s="55"/>
      <c r="O971" s="55"/>
      <c r="P971" s="55"/>
      <c r="Q971" s="67"/>
      <c r="R971" s="67"/>
      <c r="S971" s="67"/>
      <c r="T971" s="67"/>
      <c r="U971" s="116"/>
    </row>
    <row r="972">
      <c r="A972" s="72"/>
      <c r="B972" s="95"/>
      <c r="C972" s="67"/>
      <c r="D972" s="55"/>
      <c r="E972" s="55"/>
      <c r="F972" s="55"/>
      <c r="G972" s="55"/>
      <c r="H972" s="55"/>
      <c r="I972" s="115"/>
      <c r="J972" s="55"/>
      <c r="K972" s="55"/>
      <c r="L972" s="55"/>
      <c r="M972" s="55"/>
      <c r="N972" s="55"/>
      <c r="O972" s="55"/>
      <c r="P972" s="55"/>
      <c r="Q972" s="67"/>
      <c r="R972" s="67"/>
      <c r="S972" s="67"/>
      <c r="T972" s="67"/>
      <c r="U972" s="116"/>
    </row>
    <row r="973">
      <c r="A973" s="72"/>
      <c r="B973" s="95"/>
      <c r="C973" s="67"/>
      <c r="D973" s="55"/>
      <c r="E973" s="55"/>
      <c r="F973" s="55"/>
      <c r="G973" s="55"/>
      <c r="H973" s="55"/>
      <c r="I973" s="115"/>
      <c r="J973" s="55"/>
      <c r="K973" s="55"/>
      <c r="L973" s="55"/>
      <c r="M973" s="55"/>
      <c r="N973" s="55"/>
      <c r="O973" s="55"/>
      <c r="P973" s="55"/>
      <c r="Q973" s="67"/>
      <c r="R973" s="67"/>
      <c r="S973" s="67"/>
      <c r="T973" s="67"/>
      <c r="U973" s="116"/>
    </row>
    <row r="974">
      <c r="A974" s="72"/>
      <c r="B974" s="95"/>
      <c r="C974" s="67"/>
      <c r="D974" s="55"/>
      <c r="E974" s="55"/>
      <c r="F974" s="55"/>
      <c r="G974" s="55"/>
      <c r="H974" s="55"/>
      <c r="I974" s="115"/>
      <c r="J974" s="55"/>
      <c r="K974" s="55"/>
      <c r="L974" s="55"/>
      <c r="M974" s="55"/>
      <c r="N974" s="55"/>
      <c r="O974" s="55"/>
      <c r="P974" s="55"/>
      <c r="Q974" s="67"/>
      <c r="R974" s="67"/>
      <c r="S974" s="67"/>
      <c r="T974" s="67"/>
      <c r="U974" s="116"/>
    </row>
    <row r="975">
      <c r="A975" s="72"/>
      <c r="B975" s="95"/>
      <c r="C975" s="67"/>
      <c r="D975" s="55"/>
      <c r="E975" s="55"/>
      <c r="F975" s="55"/>
      <c r="G975" s="55"/>
      <c r="H975" s="55"/>
      <c r="I975" s="115"/>
      <c r="J975" s="55"/>
      <c r="K975" s="55"/>
      <c r="L975" s="55"/>
      <c r="M975" s="55"/>
      <c r="N975" s="55"/>
      <c r="O975" s="55"/>
      <c r="P975" s="55"/>
      <c r="Q975" s="67"/>
      <c r="R975" s="67"/>
      <c r="S975" s="67"/>
      <c r="T975" s="67"/>
      <c r="U975" s="116"/>
    </row>
    <row r="976">
      <c r="A976" s="72"/>
      <c r="B976" s="95"/>
      <c r="C976" s="67"/>
      <c r="D976" s="55"/>
      <c r="E976" s="55"/>
      <c r="F976" s="55"/>
      <c r="G976" s="55"/>
      <c r="H976" s="55"/>
      <c r="I976" s="115"/>
      <c r="J976" s="55"/>
      <c r="K976" s="55"/>
      <c r="L976" s="55"/>
      <c r="M976" s="55"/>
      <c r="N976" s="55"/>
      <c r="O976" s="55"/>
      <c r="P976" s="55"/>
      <c r="Q976" s="67"/>
      <c r="R976" s="67"/>
      <c r="S976" s="67"/>
      <c r="T976" s="67"/>
      <c r="U976" s="116"/>
    </row>
    <row r="977">
      <c r="A977" s="72"/>
      <c r="B977" s="95"/>
      <c r="C977" s="67"/>
      <c r="D977" s="55"/>
      <c r="E977" s="55"/>
      <c r="F977" s="55"/>
      <c r="G977" s="55"/>
      <c r="H977" s="55"/>
      <c r="I977" s="115"/>
      <c r="J977" s="55"/>
      <c r="K977" s="55"/>
      <c r="L977" s="55"/>
      <c r="M977" s="55"/>
      <c r="N977" s="55"/>
      <c r="O977" s="55"/>
      <c r="P977" s="55"/>
      <c r="Q977" s="67"/>
      <c r="R977" s="67"/>
      <c r="S977" s="67"/>
      <c r="T977" s="67"/>
      <c r="U977" s="116"/>
    </row>
    <row r="978">
      <c r="A978" s="72"/>
      <c r="B978" s="95"/>
      <c r="C978" s="67"/>
      <c r="D978" s="55"/>
      <c r="E978" s="55"/>
      <c r="F978" s="55"/>
      <c r="G978" s="55"/>
      <c r="H978" s="55"/>
      <c r="I978" s="115"/>
      <c r="J978" s="55"/>
      <c r="K978" s="55"/>
      <c r="L978" s="55"/>
      <c r="M978" s="55"/>
      <c r="N978" s="55"/>
      <c r="O978" s="55"/>
      <c r="P978" s="55"/>
      <c r="Q978" s="67"/>
      <c r="R978" s="67"/>
      <c r="S978" s="67"/>
      <c r="T978" s="67"/>
      <c r="U978" s="116"/>
    </row>
    <row r="979">
      <c r="A979" s="72"/>
      <c r="B979" s="95"/>
      <c r="C979" s="67"/>
      <c r="D979" s="55"/>
      <c r="E979" s="55"/>
      <c r="F979" s="55"/>
      <c r="G979" s="55"/>
      <c r="H979" s="55"/>
      <c r="I979" s="115"/>
      <c r="J979" s="55"/>
      <c r="K979" s="55"/>
      <c r="L979" s="55"/>
      <c r="M979" s="55"/>
      <c r="N979" s="55"/>
      <c r="O979" s="55"/>
      <c r="P979" s="55"/>
      <c r="Q979" s="67"/>
      <c r="R979" s="67"/>
      <c r="S979" s="67"/>
      <c r="T979" s="67"/>
      <c r="U979" s="116"/>
    </row>
    <row r="980">
      <c r="A980" s="72"/>
      <c r="B980" s="95"/>
      <c r="C980" s="67"/>
      <c r="D980" s="55"/>
      <c r="E980" s="55"/>
      <c r="F980" s="55"/>
      <c r="G980" s="55"/>
      <c r="H980" s="55"/>
      <c r="I980" s="115"/>
      <c r="J980" s="55"/>
      <c r="K980" s="55"/>
      <c r="L980" s="55"/>
      <c r="M980" s="55"/>
      <c r="N980" s="55"/>
      <c r="O980" s="55"/>
      <c r="P980" s="55"/>
      <c r="Q980" s="67"/>
      <c r="R980" s="67"/>
      <c r="S980" s="67"/>
      <c r="T980" s="67"/>
      <c r="U980" s="116"/>
    </row>
    <row r="981">
      <c r="A981" s="72"/>
      <c r="B981" s="95"/>
      <c r="C981" s="67"/>
      <c r="D981" s="55"/>
      <c r="E981" s="55"/>
      <c r="F981" s="55"/>
      <c r="G981" s="55"/>
      <c r="H981" s="55"/>
      <c r="I981" s="115"/>
      <c r="J981" s="55"/>
      <c r="K981" s="55"/>
      <c r="L981" s="55"/>
      <c r="M981" s="55"/>
      <c r="N981" s="55"/>
      <c r="O981" s="55"/>
      <c r="P981" s="55"/>
      <c r="Q981" s="67"/>
      <c r="R981" s="67"/>
      <c r="S981" s="67"/>
      <c r="T981" s="67"/>
      <c r="U981" s="116"/>
    </row>
    <row r="982">
      <c r="A982" s="72"/>
      <c r="B982" s="95"/>
      <c r="C982" s="67"/>
      <c r="D982" s="55"/>
      <c r="E982" s="55"/>
      <c r="F982" s="55"/>
      <c r="G982" s="55"/>
      <c r="H982" s="55"/>
      <c r="I982" s="115"/>
      <c r="J982" s="55"/>
      <c r="K982" s="55"/>
      <c r="L982" s="55"/>
      <c r="M982" s="55"/>
      <c r="N982" s="55"/>
      <c r="O982" s="55"/>
      <c r="P982" s="55"/>
      <c r="Q982" s="67"/>
      <c r="R982" s="67"/>
      <c r="S982" s="67"/>
      <c r="T982" s="67"/>
      <c r="U982" s="116"/>
    </row>
    <row r="983">
      <c r="A983" s="72"/>
      <c r="B983" s="95"/>
      <c r="C983" s="67"/>
      <c r="D983" s="55"/>
      <c r="E983" s="55"/>
      <c r="F983" s="55"/>
      <c r="G983" s="55"/>
      <c r="H983" s="55"/>
      <c r="I983" s="115"/>
      <c r="J983" s="55"/>
      <c r="K983" s="55"/>
      <c r="L983" s="55"/>
      <c r="M983" s="55"/>
      <c r="N983" s="55"/>
      <c r="O983" s="55"/>
      <c r="P983" s="55"/>
      <c r="Q983" s="67"/>
      <c r="R983" s="67"/>
      <c r="S983" s="67"/>
      <c r="T983" s="67"/>
      <c r="U983" s="116"/>
    </row>
    <row r="984">
      <c r="A984" s="72"/>
      <c r="B984" s="95"/>
      <c r="C984" s="67"/>
      <c r="D984" s="55"/>
      <c r="E984" s="55"/>
      <c r="F984" s="55"/>
      <c r="G984" s="55"/>
      <c r="H984" s="55"/>
      <c r="I984" s="115"/>
      <c r="J984" s="55"/>
      <c r="K984" s="55"/>
      <c r="L984" s="55"/>
      <c r="M984" s="55"/>
      <c r="N984" s="55"/>
      <c r="O984" s="55"/>
      <c r="P984" s="55"/>
      <c r="Q984" s="67"/>
      <c r="R984" s="67"/>
      <c r="S984" s="67"/>
      <c r="T984" s="67"/>
      <c r="U984" s="116"/>
    </row>
    <row r="985">
      <c r="A985" s="72"/>
      <c r="B985" s="95"/>
      <c r="C985" s="67"/>
      <c r="D985" s="55"/>
      <c r="E985" s="55"/>
      <c r="F985" s="55"/>
      <c r="G985" s="55"/>
      <c r="H985" s="55"/>
      <c r="I985" s="115"/>
      <c r="J985" s="55"/>
      <c r="K985" s="55"/>
      <c r="L985" s="55"/>
      <c r="M985" s="55"/>
      <c r="N985" s="55"/>
      <c r="O985" s="55"/>
      <c r="P985" s="55"/>
      <c r="Q985" s="67"/>
      <c r="R985" s="67"/>
      <c r="S985" s="67"/>
      <c r="T985" s="67"/>
      <c r="U985" s="116"/>
    </row>
    <row r="986">
      <c r="A986" s="72"/>
      <c r="B986" s="95"/>
      <c r="C986" s="67"/>
      <c r="D986" s="55"/>
      <c r="E986" s="55"/>
      <c r="F986" s="55"/>
      <c r="G986" s="55"/>
      <c r="H986" s="55"/>
      <c r="I986" s="115"/>
      <c r="J986" s="55"/>
      <c r="K986" s="55"/>
      <c r="L986" s="55"/>
      <c r="M986" s="55"/>
      <c r="N986" s="55"/>
      <c r="O986" s="55"/>
      <c r="P986" s="55"/>
      <c r="Q986" s="67"/>
      <c r="R986" s="67"/>
      <c r="S986" s="67"/>
      <c r="T986" s="67"/>
      <c r="U986" s="116"/>
    </row>
    <row r="987">
      <c r="A987" s="72"/>
      <c r="B987" s="95"/>
      <c r="C987" s="67"/>
      <c r="D987" s="55"/>
      <c r="E987" s="55"/>
      <c r="F987" s="55"/>
      <c r="G987" s="55"/>
      <c r="H987" s="55"/>
      <c r="I987" s="115"/>
      <c r="J987" s="55"/>
      <c r="K987" s="55"/>
      <c r="L987" s="55"/>
      <c r="M987" s="55"/>
      <c r="N987" s="55"/>
      <c r="O987" s="55"/>
      <c r="P987" s="55"/>
      <c r="Q987" s="67"/>
      <c r="R987" s="67"/>
      <c r="S987" s="67"/>
      <c r="T987" s="67"/>
      <c r="U987" s="116"/>
    </row>
    <row r="988">
      <c r="A988" s="72"/>
      <c r="B988" s="95"/>
      <c r="C988" s="67"/>
      <c r="D988" s="55"/>
      <c r="E988" s="55"/>
      <c r="F988" s="55"/>
      <c r="G988" s="55"/>
      <c r="H988" s="55"/>
      <c r="I988" s="115"/>
      <c r="J988" s="55"/>
      <c r="K988" s="55"/>
      <c r="L988" s="55"/>
      <c r="M988" s="55"/>
      <c r="N988" s="55"/>
      <c r="O988" s="55"/>
      <c r="P988" s="55"/>
      <c r="Q988" s="67"/>
      <c r="R988" s="67"/>
      <c r="S988" s="67"/>
      <c r="T988" s="67"/>
      <c r="U988" s="116"/>
    </row>
    <row r="989">
      <c r="A989" s="72"/>
      <c r="B989" s="95"/>
      <c r="C989" s="67"/>
      <c r="D989" s="55"/>
      <c r="E989" s="55"/>
      <c r="F989" s="55"/>
      <c r="G989" s="55"/>
      <c r="H989" s="55"/>
      <c r="I989" s="115"/>
      <c r="J989" s="55"/>
      <c r="K989" s="55"/>
      <c r="L989" s="55"/>
      <c r="M989" s="55"/>
      <c r="N989" s="55"/>
      <c r="O989" s="55"/>
      <c r="P989" s="55"/>
      <c r="Q989" s="67"/>
      <c r="R989" s="67"/>
      <c r="S989" s="67"/>
      <c r="T989" s="67"/>
      <c r="U989" s="116"/>
    </row>
    <row r="990">
      <c r="A990" s="72"/>
      <c r="B990" s="95"/>
      <c r="C990" s="67"/>
      <c r="D990" s="55"/>
      <c r="E990" s="55"/>
      <c r="F990" s="55"/>
      <c r="G990" s="55"/>
      <c r="H990" s="55"/>
      <c r="I990" s="115"/>
      <c r="J990" s="55"/>
      <c r="K990" s="55"/>
      <c r="L990" s="55"/>
      <c r="M990" s="55"/>
      <c r="N990" s="55"/>
      <c r="O990" s="55"/>
      <c r="P990" s="55"/>
      <c r="Q990" s="67"/>
      <c r="R990" s="67"/>
      <c r="S990" s="67"/>
      <c r="T990" s="67"/>
      <c r="U990" s="116"/>
    </row>
    <row r="991">
      <c r="A991" s="72"/>
      <c r="B991" s="95"/>
      <c r="C991" s="67"/>
      <c r="D991" s="55"/>
      <c r="E991" s="55"/>
      <c r="F991" s="55"/>
      <c r="G991" s="55"/>
      <c r="H991" s="55"/>
      <c r="I991" s="115"/>
      <c r="J991" s="55"/>
      <c r="K991" s="55"/>
      <c r="L991" s="55"/>
      <c r="M991" s="55"/>
      <c r="N991" s="55"/>
      <c r="O991" s="55"/>
      <c r="P991" s="55"/>
      <c r="Q991" s="67"/>
      <c r="R991" s="67"/>
      <c r="S991" s="67"/>
      <c r="T991" s="67"/>
      <c r="U991" s="116"/>
    </row>
    <row r="992">
      <c r="A992" s="72"/>
      <c r="B992" s="95"/>
      <c r="C992" s="67"/>
      <c r="D992" s="55"/>
      <c r="E992" s="55"/>
      <c r="F992" s="55"/>
      <c r="G992" s="55"/>
      <c r="H992" s="55"/>
      <c r="I992" s="115"/>
      <c r="J992" s="55"/>
      <c r="K992" s="55"/>
      <c r="L992" s="55"/>
      <c r="M992" s="55"/>
      <c r="N992" s="55"/>
      <c r="O992" s="55"/>
      <c r="P992" s="55"/>
      <c r="Q992" s="67"/>
      <c r="R992" s="67"/>
      <c r="S992" s="67"/>
      <c r="T992" s="67"/>
      <c r="U992" s="116"/>
    </row>
    <row r="993">
      <c r="A993" s="72"/>
      <c r="B993" s="95"/>
      <c r="C993" s="67"/>
      <c r="D993" s="55"/>
      <c r="E993" s="55"/>
      <c r="F993" s="55"/>
      <c r="G993" s="55"/>
      <c r="H993" s="55"/>
      <c r="I993" s="115"/>
      <c r="J993" s="55"/>
      <c r="K993" s="55"/>
      <c r="L993" s="55"/>
      <c r="M993" s="55"/>
      <c r="N993" s="55"/>
      <c r="O993" s="55"/>
      <c r="P993" s="55"/>
      <c r="Q993" s="67"/>
      <c r="R993" s="67"/>
      <c r="S993" s="67"/>
      <c r="T993" s="67"/>
      <c r="U993" s="116"/>
    </row>
    <row r="994">
      <c r="A994" s="72"/>
      <c r="B994" s="95"/>
      <c r="C994" s="67"/>
      <c r="D994" s="55"/>
      <c r="E994" s="55"/>
      <c r="F994" s="55"/>
      <c r="G994" s="55"/>
      <c r="H994" s="55"/>
      <c r="I994" s="115"/>
      <c r="J994" s="55"/>
      <c r="K994" s="55"/>
      <c r="L994" s="55"/>
      <c r="M994" s="55"/>
      <c r="N994" s="55"/>
      <c r="O994" s="55"/>
      <c r="P994" s="55"/>
      <c r="Q994" s="67"/>
      <c r="R994" s="67"/>
      <c r="S994" s="67"/>
      <c r="T994" s="67"/>
      <c r="U994" s="116"/>
    </row>
    <row r="995">
      <c r="A995" s="72"/>
      <c r="B995" s="95"/>
      <c r="C995" s="67"/>
      <c r="D995" s="55"/>
      <c r="E995" s="55"/>
      <c r="F995" s="55"/>
      <c r="G995" s="55"/>
      <c r="H995" s="55"/>
      <c r="I995" s="115"/>
      <c r="J995" s="55"/>
      <c r="K995" s="55"/>
      <c r="L995" s="55"/>
      <c r="M995" s="55"/>
      <c r="N995" s="55"/>
      <c r="O995" s="55"/>
      <c r="P995" s="55"/>
      <c r="Q995" s="67"/>
      <c r="R995" s="67"/>
      <c r="S995" s="67"/>
      <c r="T995" s="67"/>
      <c r="U995" s="116"/>
    </row>
    <row r="996">
      <c r="A996" s="72"/>
      <c r="B996" s="95"/>
      <c r="C996" s="67"/>
      <c r="D996" s="55"/>
      <c r="E996" s="55"/>
      <c r="F996" s="55"/>
      <c r="G996" s="55"/>
      <c r="H996" s="55"/>
      <c r="I996" s="115"/>
      <c r="J996" s="55"/>
      <c r="K996" s="55"/>
      <c r="L996" s="55"/>
      <c r="M996" s="55"/>
      <c r="N996" s="55"/>
      <c r="O996" s="55"/>
      <c r="P996" s="55"/>
      <c r="Q996" s="67"/>
      <c r="R996" s="67"/>
      <c r="S996" s="67"/>
      <c r="T996" s="67"/>
      <c r="U996" s="116"/>
    </row>
    <row r="997">
      <c r="A997" s="72"/>
      <c r="B997" s="95"/>
      <c r="C997" s="67"/>
      <c r="D997" s="55"/>
      <c r="E997" s="55"/>
      <c r="F997" s="55"/>
      <c r="G997" s="55"/>
      <c r="H997" s="55"/>
      <c r="I997" s="115"/>
      <c r="J997" s="55"/>
      <c r="K997" s="55"/>
      <c r="L997" s="55"/>
      <c r="M997" s="55"/>
      <c r="N997" s="55"/>
      <c r="O997" s="55"/>
      <c r="P997" s="55"/>
      <c r="Q997" s="67"/>
      <c r="R997" s="67"/>
      <c r="S997" s="67"/>
      <c r="T997" s="67"/>
      <c r="U997" s="116"/>
    </row>
    <row r="998">
      <c r="A998" s="72"/>
      <c r="B998" s="95"/>
      <c r="C998" s="67"/>
      <c r="D998" s="55"/>
      <c r="E998" s="55"/>
      <c r="F998" s="55"/>
      <c r="G998" s="55"/>
      <c r="H998" s="55"/>
      <c r="I998" s="115"/>
      <c r="J998" s="55"/>
      <c r="K998" s="55"/>
      <c r="L998" s="55"/>
      <c r="M998" s="55"/>
      <c r="N998" s="55"/>
      <c r="O998" s="55"/>
      <c r="P998" s="55"/>
      <c r="Q998" s="67"/>
      <c r="R998" s="67"/>
      <c r="S998" s="67"/>
      <c r="T998" s="67"/>
      <c r="U998" s="116"/>
    </row>
    <row r="999">
      <c r="A999" s="72"/>
      <c r="B999" s="95"/>
      <c r="C999" s="67"/>
      <c r="D999" s="55"/>
      <c r="E999" s="55"/>
      <c r="F999" s="55"/>
      <c r="G999" s="55"/>
      <c r="H999" s="55"/>
      <c r="I999" s="115"/>
      <c r="J999" s="55"/>
      <c r="K999" s="55"/>
      <c r="L999" s="55"/>
      <c r="M999" s="55"/>
      <c r="N999" s="55"/>
      <c r="O999" s="55"/>
      <c r="P999" s="55"/>
      <c r="Q999" s="67"/>
      <c r="R999" s="67"/>
      <c r="S999" s="67"/>
      <c r="T999" s="67"/>
      <c r="U999" s="116"/>
    </row>
    <row r="1000">
      <c r="A1000" s="72"/>
      <c r="B1000" s="95"/>
      <c r="C1000" s="67"/>
      <c r="D1000" s="55"/>
      <c r="E1000" s="55"/>
      <c r="F1000" s="55"/>
      <c r="G1000" s="55"/>
      <c r="H1000" s="55"/>
      <c r="I1000" s="115"/>
      <c r="J1000" s="55"/>
      <c r="K1000" s="55"/>
      <c r="L1000" s="55"/>
      <c r="M1000" s="55"/>
      <c r="N1000" s="55"/>
      <c r="O1000" s="55"/>
      <c r="P1000" s="55"/>
      <c r="Q1000" s="67"/>
      <c r="R1000" s="67"/>
      <c r="S1000" s="67"/>
      <c r="T1000" s="67"/>
      <c r="U1000" s="116"/>
    </row>
    <row r="1001">
      <c r="A1001" s="72"/>
      <c r="B1001" s="95"/>
      <c r="C1001" s="67"/>
      <c r="D1001" s="55"/>
      <c r="E1001" s="55"/>
      <c r="F1001" s="55"/>
      <c r="G1001" s="55"/>
      <c r="H1001" s="55"/>
      <c r="I1001" s="115"/>
      <c r="J1001" s="55"/>
      <c r="K1001" s="55"/>
      <c r="L1001" s="55"/>
      <c r="M1001" s="55"/>
      <c r="N1001" s="55"/>
      <c r="O1001" s="55"/>
      <c r="P1001" s="55"/>
      <c r="Q1001" s="67"/>
      <c r="R1001" s="67"/>
      <c r="S1001" s="67"/>
      <c r="T1001" s="67"/>
      <c r="U1001" s="116"/>
    </row>
    <row r="1002">
      <c r="A1002" s="72"/>
      <c r="B1002" s="95"/>
      <c r="C1002" s="67"/>
      <c r="D1002" s="55"/>
      <c r="E1002" s="55"/>
      <c r="F1002" s="55"/>
      <c r="G1002" s="55"/>
      <c r="H1002" s="55"/>
      <c r="I1002" s="115"/>
      <c r="J1002" s="55"/>
      <c r="K1002" s="55"/>
      <c r="L1002" s="55"/>
      <c r="M1002" s="55"/>
      <c r="N1002" s="55"/>
      <c r="O1002" s="55"/>
      <c r="P1002" s="55"/>
      <c r="Q1002" s="67"/>
      <c r="R1002" s="67"/>
      <c r="S1002" s="67"/>
      <c r="T1002" s="67"/>
      <c r="U1002" s="116"/>
    </row>
    <row r="1003">
      <c r="A1003" s="72"/>
      <c r="B1003" s="95"/>
      <c r="C1003" s="67"/>
      <c r="D1003" s="55"/>
      <c r="E1003" s="55"/>
      <c r="F1003" s="55"/>
      <c r="G1003" s="55"/>
      <c r="H1003" s="55"/>
      <c r="I1003" s="115"/>
      <c r="J1003" s="55"/>
      <c r="K1003" s="55"/>
      <c r="L1003" s="55"/>
      <c r="M1003" s="55"/>
      <c r="N1003" s="55"/>
      <c r="O1003" s="55"/>
      <c r="P1003" s="55"/>
      <c r="Q1003" s="67"/>
      <c r="R1003" s="67"/>
      <c r="S1003" s="67"/>
      <c r="T1003" s="67"/>
      <c r="U1003" s="116"/>
    </row>
    <row r="1004">
      <c r="A1004" s="72"/>
      <c r="B1004" s="95"/>
      <c r="C1004" s="67"/>
      <c r="D1004" s="55"/>
      <c r="E1004" s="55"/>
      <c r="F1004" s="55"/>
      <c r="G1004" s="55"/>
      <c r="H1004" s="55"/>
      <c r="I1004" s="115"/>
      <c r="J1004" s="55"/>
      <c r="K1004" s="55"/>
      <c r="L1004" s="55"/>
      <c r="M1004" s="55"/>
      <c r="N1004" s="55"/>
      <c r="O1004" s="55"/>
      <c r="P1004" s="55"/>
      <c r="Q1004" s="67"/>
      <c r="R1004" s="67"/>
      <c r="S1004" s="67"/>
      <c r="T1004" s="67"/>
      <c r="U1004" s="116"/>
    </row>
    <row r="1005">
      <c r="A1005" s="72"/>
      <c r="B1005" s="95"/>
      <c r="C1005" s="67"/>
      <c r="D1005" s="55"/>
      <c r="E1005" s="55"/>
      <c r="F1005" s="55"/>
      <c r="G1005" s="55"/>
      <c r="H1005" s="55"/>
      <c r="I1005" s="115"/>
      <c r="J1005" s="55"/>
      <c r="K1005" s="55"/>
      <c r="L1005" s="55"/>
      <c r="M1005" s="55"/>
      <c r="N1005" s="55"/>
      <c r="O1005" s="55"/>
      <c r="P1005" s="55"/>
      <c r="Q1005" s="67"/>
      <c r="R1005" s="67"/>
      <c r="S1005" s="67"/>
      <c r="T1005" s="67"/>
      <c r="U1005" s="116"/>
    </row>
    <row r="1006">
      <c r="A1006" s="72"/>
      <c r="B1006" s="95"/>
      <c r="C1006" s="67"/>
      <c r="D1006" s="55"/>
      <c r="E1006" s="55"/>
      <c r="F1006" s="55"/>
      <c r="G1006" s="55"/>
      <c r="H1006" s="55"/>
      <c r="I1006" s="115"/>
      <c r="J1006" s="55"/>
      <c r="K1006" s="55"/>
      <c r="L1006" s="55"/>
      <c r="M1006" s="55"/>
      <c r="N1006" s="55"/>
      <c r="O1006" s="55"/>
      <c r="P1006" s="55"/>
      <c r="Q1006" s="67"/>
      <c r="R1006" s="67"/>
      <c r="S1006" s="67"/>
      <c r="T1006" s="67"/>
      <c r="U1006" s="116"/>
    </row>
    <row r="1007">
      <c r="A1007" s="72"/>
      <c r="B1007" s="95"/>
      <c r="C1007" s="67"/>
      <c r="D1007" s="55"/>
      <c r="E1007" s="55"/>
      <c r="F1007" s="55"/>
      <c r="G1007" s="55"/>
      <c r="H1007" s="55"/>
      <c r="I1007" s="115"/>
      <c r="J1007" s="55"/>
      <c r="K1007" s="55"/>
      <c r="L1007" s="55"/>
      <c r="M1007" s="55"/>
      <c r="N1007" s="55"/>
      <c r="O1007" s="55"/>
      <c r="P1007" s="55"/>
      <c r="Q1007" s="67"/>
      <c r="R1007" s="67"/>
      <c r="S1007" s="67"/>
      <c r="T1007" s="67"/>
      <c r="U1007" s="116"/>
    </row>
    <row r="1008">
      <c r="A1008" s="72"/>
      <c r="B1008" s="95"/>
      <c r="C1008" s="67"/>
      <c r="D1008" s="55"/>
      <c r="E1008" s="55"/>
      <c r="F1008" s="55"/>
      <c r="G1008" s="55"/>
      <c r="H1008" s="55"/>
      <c r="I1008" s="115"/>
      <c r="J1008" s="55"/>
      <c r="K1008" s="55"/>
      <c r="L1008" s="55"/>
      <c r="M1008" s="55"/>
      <c r="N1008" s="55"/>
      <c r="O1008" s="55"/>
      <c r="P1008" s="55"/>
      <c r="Q1008" s="67"/>
      <c r="R1008" s="67"/>
      <c r="S1008" s="67"/>
      <c r="T1008" s="67"/>
      <c r="U1008" s="116"/>
    </row>
    <row r="1009">
      <c r="A1009" s="72"/>
      <c r="B1009" s="95"/>
      <c r="C1009" s="67"/>
      <c r="D1009" s="55"/>
      <c r="E1009" s="55"/>
      <c r="F1009" s="55"/>
      <c r="G1009" s="55"/>
      <c r="H1009" s="55"/>
      <c r="I1009" s="115"/>
      <c r="J1009" s="55"/>
      <c r="K1009" s="55"/>
      <c r="L1009" s="55"/>
      <c r="M1009" s="55"/>
      <c r="N1009" s="55"/>
      <c r="O1009" s="55"/>
      <c r="P1009" s="55"/>
      <c r="Q1009" s="67"/>
      <c r="R1009" s="67"/>
      <c r="S1009" s="67"/>
      <c r="T1009" s="67"/>
      <c r="U1009" s="116"/>
    </row>
    <row r="1010">
      <c r="A1010" s="72"/>
      <c r="B1010" s="95"/>
      <c r="C1010" s="67"/>
      <c r="D1010" s="55"/>
      <c r="E1010" s="55"/>
      <c r="F1010" s="55"/>
      <c r="G1010" s="55"/>
      <c r="H1010" s="55"/>
      <c r="I1010" s="115"/>
      <c r="J1010" s="55"/>
      <c r="K1010" s="55"/>
      <c r="L1010" s="55"/>
      <c r="M1010" s="55"/>
      <c r="N1010" s="55"/>
      <c r="O1010" s="55"/>
      <c r="P1010" s="55"/>
      <c r="Q1010" s="67"/>
      <c r="R1010" s="67"/>
      <c r="S1010" s="67"/>
      <c r="T1010" s="67"/>
      <c r="U1010" s="116"/>
    </row>
    <row r="1011">
      <c r="A1011" s="72"/>
      <c r="B1011" s="95"/>
      <c r="C1011" s="67"/>
      <c r="D1011" s="55"/>
      <c r="E1011" s="55"/>
      <c r="F1011" s="55"/>
      <c r="G1011" s="55"/>
      <c r="H1011" s="55"/>
      <c r="I1011" s="115"/>
      <c r="J1011" s="55"/>
      <c r="K1011" s="55"/>
      <c r="L1011" s="55"/>
      <c r="M1011" s="55"/>
      <c r="N1011" s="55"/>
      <c r="O1011" s="55"/>
      <c r="P1011" s="55"/>
      <c r="Q1011" s="67"/>
      <c r="R1011" s="67"/>
      <c r="S1011" s="67"/>
      <c r="T1011" s="67"/>
      <c r="U1011" s="116"/>
    </row>
    <row r="1012">
      <c r="A1012" s="72"/>
      <c r="B1012" s="95"/>
      <c r="C1012" s="67"/>
      <c r="D1012" s="55"/>
      <c r="E1012" s="55"/>
      <c r="F1012" s="55"/>
      <c r="G1012" s="55"/>
      <c r="H1012" s="55"/>
      <c r="I1012" s="115"/>
      <c r="J1012" s="55"/>
      <c r="K1012" s="55"/>
      <c r="L1012" s="55"/>
      <c r="M1012" s="55"/>
      <c r="N1012" s="55"/>
      <c r="O1012" s="55"/>
      <c r="P1012" s="55"/>
      <c r="Q1012" s="67"/>
      <c r="R1012" s="67"/>
      <c r="S1012" s="67"/>
      <c r="T1012" s="67"/>
      <c r="U1012" s="116"/>
    </row>
    <row r="1013">
      <c r="A1013" s="72"/>
      <c r="B1013" s="95"/>
      <c r="C1013" s="67"/>
      <c r="D1013" s="55"/>
      <c r="E1013" s="55"/>
      <c r="F1013" s="55"/>
      <c r="G1013" s="55"/>
      <c r="H1013" s="55"/>
      <c r="I1013" s="115"/>
      <c r="J1013" s="55"/>
      <c r="K1013" s="55"/>
      <c r="L1013" s="55"/>
      <c r="M1013" s="55"/>
      <c r="N1013" s="55"/>
      <c r="O1013" s="55"/>
      <c r="P1013" s="55"/>
      <c r="Q1013" s="67"/>
      <c r="R1013" s="67"/>
      <c r="S1013" s="67"/>
      <c r="T1013" s="67"/>
      <c r="U1013" s="116"/>
    </row>
    <row r="1014">
      <c r="A1014" s="72"/>
      <c r="B1014" s="95"/>
      <c r="C1014" s="67"/>
      <c r="D1014" s="55"/>
      <c r="E1014" s="55"/>
      <c r="F1014" s="55"/>
      <c r="G1014" s="55"/>
      <c r="H1014" s="55"/>
      <c r="I1014" s="115"/>
      <c r="J1014" s="55"/>
      <c r="K1014" s="55"/>
      <c r="L1014" s="55"/>
      <c r="M1014" s="55"/>
      <c r="N1014" s="55"/>
      <c r="O1014" s="55"/>
      <c r="P1014" s="55"/>
      <c r="Q1014" s="67"/>
      <c r="R1014" s="67"/>
      <c r="S1014" s="67"/>
      <c r="T1014" s="67"/>
      <c r="U1014" s="116"/>
    </row>
  </sheetData>
  <customSheetViews>
    <customSheetView guid="{24EFF1FC-519A-4255-99C0-8464DF1D4EED}" filter="1" showAutoFilter="1">
      <autoFilter ref="$A$1:$U$9"/>
    </customSheetView>
    <customSheetView guid="{B9FC2153-85FE-4597-B01F-2D8A49A1D991}" filter="1" showAutoFilter="1">
      <autoFilter ref="$A$1:$U$9"/>
    </customSheetView>
  </customSheetViews>
  <dataValidations>
    <dataValidation type="list" allowBlank="1" showErrorMessage="1" sqref="D9:D1014">
      <formula1>Data!$C$2:$C1014</formula1>
    </dataValidation>
    <dataValidation type="list" allowBlank="1" showErrorMessage="1" sqref="E9:E1014">
      <formula1>Data!$D$2:$D1014</formula1>
    </dataValidation>
    <dataValidation type="list" allowBlank="1" showErrorMessage="1" sqref="N9:N1014">
      <formula1>Data!$K$3:$K1014</formula1>
    </dataValidation>
    <dataValidation type="list" allowBlank="1" showErrorMessage="1" sqref="B9:B1014">
      <formula1>Data!$A$2:$A1014</formula1>
    </dataValidation>
    <dataValidation type="list" allowBlank="1" showErrorMessage="1" sqref="O9:O1014">
      <formula1>Data!$O$2:$O1014</formula1>
    </dataValidation>
    <dataValidation type="list" allowBlank="1" showErrorMessage="1" sqref="M9:M1014">
      <formula1>Data!$P$2:$P1014</formula1>
    </dataValidation>
    <dataValidation type="custom" allowBlank="1" showDropDown="1" sqref="A9:A1014">
      <formula1>OR(NOT(ISERROR(DATEVALUE(A9))), AND(ISNUMBER(A9), LEFT(CELL("format", A9))="D"))</formula1>
    </dataValidation>
    <dataValidation type="list" allowBlank="1" showErrorMessage="1" sqref="L9:L1014">
      <formula1>Data!$I$2:$I1014</formula1>
    </dataValidation>
    <dataValidation type="list" allowBlank="1" showErrorMessage="1" sqref="F9:F1014">
      <formula1>Data!$F$2:$F1014</formula1>
    </dataValidation>
    <dataValidation type="list" allowBlank="1" showErrorMessage="1" sqref="H9:H1014">
      <formula1>Data!$H$2:$H1014</formula1>
    </dataValidation>
    <dataValidation type="list" allowBlank="1" showErrorMessage="1" sqref="P9:P1014">
      <formula1>Data!$M$2:$M1014</formula1>
    </dataValidation>
  </dataValidations>
  <hyperlinks>
    <hyperlink r:id="rId1" ref="C3"/>
    <hyperlink r:id="rId2" ref="B9"/>
    <hyperlink r:id="rId3" ref="B10"/>
    <hyperlink r:id="rId4" ref="T10"/>
    <hyperlink r:id="rId5" ref="U10"/>
    <hyperlink r:id="rId6" ref="B11"/>
    <hyperlink r:id="rId7" ref="T11"/>
    <hyperlink r:id="rId8" ref="B12"/>
    <hyperlink r:id="rId9" ref="T12"/>
    <hyperlink r:id="rId10" ref="B13"/>
    <hyperlink r:id="rId11" ref="T13"/>
    <hyperlink r:id="rId12" ref="B14"/>
    <hyperlink r:id="rId13" ref="T14"/>
    <hyperlink r:id="rId14" ref="B15"/>
    <hyperlink r:id="rId15" ref="T15"/>
    <hyperlink r:id="rId16" ref="B16"/>
    <hyperlink r:id="rId17" ref="T16"/>
    <hyperlink r:id="rId18" ref="B17"/>
    <hyperlink r:id="rId19" ref="T17"/>
    <hyperlink r:id="rId20" ref="B18"/>
    <hyperlink r:id="rId21" ref="T18"/>
    <hyperlink r:id="rId22" ref="B19"/>
    <hyperlink r:id="rId23" ref="T19"/>
    <hyperlink r:id="rId24" ref="B20"/>
    <hyperlink r:id="rId25" ref="T20"/>
    <hyperlink r:id="rId26" ref="B21"/>
    <hyperlink r:id="rId27" ref="T21"/>
    <hyperlink r:id="rId28" ref="B22"/>
    <hyperlink r:id="rId29" ref="T22"/>
    <hyperlink r:id="rId30" ref="B23"/>
    <hyperlink r:id="rId31" ref="T23"/>
    <hyperlink r:id="rId32" ref="B24"/>
    <hyperlink r:id="rId33" ref="T24"/>
    <hyperlink r:id="rId34" ref="B25"/>
    <hyperlink r:id="rId35" ref="T25"/>
    <hyperlink r:id="rId36" ref="B26"/>
    <hyperlink r:id="rId37" ref="T26"/>
    <hyperlink r:id="rId38" ref="B27"/>
    <hyperlink r:id="rId39" ref="T27"/>
    <hyperlink r:id="rId40" ref="B28"/>
    <hyperlink r:id="rId41" ref="T28"/>
    <hyperlink r:id="rId42" ref="B29"/>
    <hyperlink r:id="rId43" ref="T29"/>
    <hyperlink r:id="rId44" ref="B30"/>
    <hyperlink r:id="rId45" ref="T30"/>
    <hyperlink r:id="rId46" ref="B31"/>
    <hyperlink r:id="rId47" ref="T31"/>
    <hyperlink r:id="rId48" ref="B32"/>
    <hyperlink r:id="rId49" ref="T32"/>
    <hyperlink r:id="rId50" ref="B33"/>
    <hyperlink r:id="rId51" ref="T33"/>
    <hyperlink r:id="rId52" ref="B34"/>
    <hyperlink r:id="rId53" ref="T34"/>
    <hyperlink r:id="rId54" ref="B35"/>
    <hyperlink r:id="rId55" ref="T35"/>
    <hyperlink r:id="rId56" ref="B36"/>
    <hyperlink r:id="rId57" ref="T36"/>
    <hyperlink r:id="rId58" ref="B37"/>
    <hyperlink r:id="rId59" ref="T37"/>
    <hyperlink r:id="rId60" ref="B38"/>
    <hyperlink r:id="rId61" ref="T38"/>
    <hyperlink r:id="rId62" ref="B39"/>
    <hyperlink r:id="rId63" ref="T39"/>
    <hyperlink r:id="rId64" ref="B40"/>
    <hyperlink r:id="rId65" ref="T40"/>
    <hyperlink r:id="rId66" ref="B41"/>
    <hyperlink r:id="rId67" ref="T41"/>
    <hyperlink r:id="rId68" ref="B42"/>
    <hyperlink r:id="rId69" ref="T42"/>
    <hyperlink r:id="rId70" ref="B43"/>
    <hyperlink r:id="rId71" ref="T43"/>
    <hyperlink r:id="rId72" ref="B44"/>
    <hyperlink r:id="rId73" ref="T44"/>
    <hyperlink r:id="rId74" ref="B45"/>
    <hyperlink r:id="rId75" ref="T45"/>
    <hyperlink r:id="rId76" ref="B46"/>
    <hyperlink r:id="rId77" ref="T46"/>
    <hyperlink r:id="rId78" ref="B47"/>
    <hyperlink r:id="rId79" ref="T47"/>
    <hyperlink r:id="rId80" ref="B48"/>
    <hyperlink r:id="rId81" ref="T48"/>
    <hyperlink r:id="rId82" ref="B49"/>
    <hyperlink r:id="rId83" ref="T49"/>
    <hyperlink r:id="rId84" ref="B50"/>
    <hyperlink r:id="rId85" ref="T50"/>
    <hyperlink r:id="rId86" ref="B51"/>
    <hyperlink r:id="rId87" ref="T51"/>
    <hyperlink r:id="rId88" ref="B52"/>
    <hyperlink r:id="rId89" ref="T52"/>
    <hyperlink r:id="rId90" ref="B53"/>
    <hyperlink r:id="rId91" ref="T53"/>
    <hyperlink r:id="rId92" ref="B54"/>
    <hyperlink r:id="rId93" ref="T54"/>
    <hyperlink r:id="rId94" ref="B55"/>
    <hyperlink r:id="rId95" ref="T55"/>
    <hyperlink r:id="rId96" ref="B56"/>
    <hyperlink r:id="rId97" ref="T56"/>
    <hyperlink r:id="rId98" ref="B57"/>
    <hyperlink r:id="rId99" ref="T57"/>
    <hyperlink r:id="rId100" ref="B58"/>
    <hyperlink r:id="rId101" ref="T58"/>
    <hyperlink r:id="rId102" ref="B59"/>
    <hyperlink r:id="rId103" ref="T59"/>
    <hyperlink r:id="rId104" ref="B60"/>
    <hyperlink r:id="rId105" ref="T60"/>
    <hyperlink r:id="rId106" ref="B61"/>
    <hyperlink r:id="rId107" ref="T61"/>
    <hyperlink r:id="rId108" ref="B62"/>
    <hyperlink r:id="rId109" ref="T62"/>
    <hyperlink r:id="rId110" ref="B63"/>
    <hyperlink r:id="rId111" ref="T63"/>
    <hyperlink r:id="rId112" ref="B64"/>
    <hyperlink r:id="rId113" ref="T64"/>
    <hyperlink r:id="rId114" ref="B65"/>
    <hyperlink r:id="rId115" ref="T65"/>
    <hyperlink r:id="rId116" ref="B66"/>
    <hyperlink r:id="rId117" ref="T66"/>
    <hyperlink r:id="rId118" ref="B67"/>
    <hyperlink r:id="rId119" ref="T67"/>
    <hyperlink r:id="rId120" ref="B68"/>
    <hyperlink r:id="rId121" ref="T68"/>
    <hyperlink r:id="rId122" ref="B69"/>
    <hyperlink r:id="rId123" ref="T69"/>
    <hyperlink r:id="rId124" ref="B70"/>
    <hyperlink r:id="rId125" ref="T70"/>
    <hyperlink r:id="rId126" ref="B71"/>
    <hyperlink r:id="rId127" ref="T71"/>
    <hyperlink r:id="rId128" ref="B72"/>
    <hyperlink r:id="rId129" ref="T72"/>
    <hyperlink r:id="rId130" ref="B73"/>
    <hyperlink r:id="rId131" ref="T73"/>
    <hyperlink r:id="rId132" ref="B74"/>
    <hyperlink r:id="rId133" ref="T74"/>
    <hyperlink r:id="rId134" ref="B75"/>
    <hyperlink r:id="rId135" ref="T75"/>
    <hyperlink r:id="rId136" ref="B76"/>
    <hyperlink r:id="rId137" ref="T76"/>
    <hyperlink r:id="rId138" ref="B77"/>
    <hyperlink r:id="rId139" ref="T77"/>
    <hyperlink r:id="rId140" ref="B78"/>
    <hyperlink r:id="rId141" ref="T78"/>
    <hyperlink r:id="rId142" ref="B79"/>
    <hyperlink r:id="rId143" ref="T79"/>
    <hyperlink r:id="rId144" ref="B80"/>
    <hyperlink r:id="rId145" ref="T80"/>
    <hyperlink r:id="rId146" ref="B81"/>
    <hyperlink r:id="rId147" ref="T81"/>
    <hyperlink r:id="rId148" ref="B82"/>
    <hyperlink r:id="rId149" ref="T82"/>
    <hyperlink r:id="rId150" ref="B83"/>
    <hyperlink r:id="rId151" ref="T83"/>
    <hyperlink r:id="rId152" ref="B84"/>
    <hyperlink r:id="rId153" ref="T84"/>
    <hyperlink r:id="rId154" ref="B85"/>
    <hyperlink r:id="rId155" ref="T85"/>
    <hyperlink r:id="rId156" ref="B86"/>
    <hyperlink r:id="rId157" ref="T86"/>
    <hyperlink r:id="rId158" ref="B87"/>
    <hyperlink r:id="rId159" ref="T87"/>
    <hyperlink r:id="rId160" ref="B88"/>
    <hyperlink r:id="rId161" ref="T88"/>
    <hyperlink r:id="rId162" ref="B89"/>
    <hyperlink r:id="rId163" ref="T89"/>
    <hyperlink r:id="rId164" ref="B90"/>
    <hyperlink r:id="rId165" ref="T90"/>
    <hyperlink r:id="rId166" ref="B91"/>
    <hyperlink r:id="rId167" ref="T91"/>
    <hyperlink r:id="rId168" ref="B92"/>
    <hyperlink r:id="rId169" ref="T92"/>
    <hyperlink r:id="rId170" ref="B93"/>
    <hyperlink r:id="rId171" ref="T93"/>
    <hyperlink r:id="rId172" ref="B94"/>
    <hyperlink r:id="rId173" ref="T94"/>
    <hyperlink r:id="rId174" ref="B95"/>
    <hyperlink r:id="rId175" ref="T95"/>
    <hyperlink r:id="rId176" ref="B96"/>
    <hyperlink r:id="rId177" ref="T96"/>
    <hyperlink r:id="rId178" ref="B97"/>
    <hyperlink r:id="rId179" ref="T97"/>
    <hyperlink r:id="rId180" ref="B98"/>
    <hyperlink r:id="rId181" ref="T98"/>
    <hyperlink r:id="rId182" ref="B99"/>
    <hyperlink r:id="rId183" ref="T99"/>
    <hyperlink r:id="rId184" ref="B100"/>
    <hyperlink r:id="rId185" ref="T100"/>
    <hyperlink r:id="rId186" ref="B101"/>
    <hyperlink r:id="rId187" ref="T101"/>
    <hyperlink r:id="rId188" ref="B102"/>
    <hyperlink r:id="rId189" ref="T102"/>
    <hyperlink r:id="rId190" ref="B103"/>
    <hyperlink r:id="rId191" ref="T103"/>
    <hyperlink r:id="rId192" ref="B104"/>
    <hyperlink r:id="rId193" ref="T104"/>
    <hyperlink r:id="rId194" ref="B105"/>
    <hyperlink r:id="rId195" ref="T105"/>
    <hyperlink r:id="rId196" ref="B106"/>
    <hyperlink r:id="rId197" ref="T106"/>
    <hyperlink r:id="rId198" ref="B107"/>
    <hyperlink r:id="rId199" ref="T107"/>
    <hyperlink r:id="rId200" ref="B108"/>
    <hyperlink r:id="rId201" ref="T108"/>
    <hyperlink r:id="rId202" ref="B109"/>
    <hyperlink r:id="rId203" ref="T109"/>
    <hyperlink r:id="rId204" ref="B110"/>
    <hyperlink r:id="rId205" ref="T110"/>
    <hyperlink r:id="rId206" ref="B111"/>
    <hyperlink r:id="rId207" ref="T111"/>
    <hyperlink r:id="rId208" ref="B112"/>
    <hyperlink r:id="rId209" ref="T112"/>
    <hyperlink r:id="rId210" ref="B113"/>
    <hyperlink r:id="rId211" ref="T113"/>
    <hyperlink r:id="rId212" ref="B114"/>
    <hyperlink r:id="rId213" ref="T114"/>
    <hyperlink r:id="rId214" ref="B115"/>
    <hyperlink r:id="rId215" ref="T115"/>
    <hyperlink r:id="rId216" ref="B116"/>
    <hyperlink r:id="rId217" ref="T116"/>
    <hyperlink r:id="rId218" ref="B117"/>
    <hyperlink r:id="rId219" ref="T117"/>
    <hyperlink r:id="rId220" ref="B118"/>
    <hyperlink r:id="rId221" ref="T118"/>
    <hyperlink r:id="rId222" ref="B119"/>
    <hyperlink r:id="rId223" ref="T119"/>
    <hyperlink r:id="rId224" ref="B120"/>
    <hyperlink r:id="rId225" ref="T120"/>
    <hyperlink r:id="rId226" ref="B121"/>
    <hyperlink r:id="rId227" ref="T121"/>
    <hyperlink r:id="rId228" ref="B122"/>
    <hyperlink r:id="rId229" ref="T122"/>
    <hyperlink r:id="rId230" ref="B123"/>
    <hyperlink r:id="rId231" ref="T123"/>
    <hyperlink r:id="rId232" ref="B124"/>
    <hyperlink r:id="rId233" ref="T124"/>
    <hyperlink r:id="rId234" ref="B125"/>
    <hyperlink r:id="rId235" ref="T125"/>
    <hyperlink r:id="rId236" ref="B126"/>
    <hyperlink r:id="rId237" ref="T126"/>
    <hyperlink r:id="rId238" ref="B127"/>
    <hyperlink r:id="rId239" ref="T127"/>
    <hyperlink r:id="rId240" ref="B128"/>
    <hyperlink r:id="rId241" ref="T128"/>
    <hyperlink r:id="rId242" ref="B129"/>
    <hyperlink r:id="rId243" ref="T129"/>
    <hyperlink r:id="rId244" ref="B130"/>
    <hyperlink r:id="rId245" ref="T130"/>
    <hyperlink r:id="rId246" ref="B131"/>
    <hyperlink r:id="rId247" ref="T131"/>
    <hyperlink r:id="rId248" ref="B132"/>
    <hyperlink r:id="rId249" ref="T132"/>
    <hyperlink r:id="rId250" ref="B133"/>
    <hyperlink r:id="rId251" ref="T133"/>
    <hyperlink r:id="rId252" ref="B134"/>
    <hyperlink r:id="rId253" ref="T134"/>
    <hyperlink r:id="rId254" ref="B135"/>
    <hyperlink r:id="rId255" ref="T135"/>
    <hyperlink r:id="rId256" ref="B136"/>
    <hyperlink r:id="rId257" ref="T136"/>
    <hyperlink r:id="rId258" ref="B137"/>
    <hyperlink r:id="rId259" ref="T137"/>
    <hyperlink r:id="rId260" ref="B138"/>
    <hyperlink r:id="rId261" ref="T138"/>
    <hyperlink r:id="rId262" ref="B139"/>
    <hyperlink r:id="rId263" ref="T139"/>
    <hyperlink r:id="rId264" ref="B140"/>
    <hyperlink r:id="rId265" ref="T140"/>
    <hyperlink r:id="rId266" ref="B141"/>
    <hyperlink r:id="rId267" ref="T141"/>
    <hyperlink r:id="rId268" ref="B142"/>
    <hyperlink r:id="rId269" ref="T142"/>
    <hyperlink r:id="rId270" ref="B143"/>
    <hyperlink r:id="rId271" ref="T143"/>
    <hyperlink r:id="rId272" ref="B144"/>
    <hyperlink r:id="rId273" ref="T144"/>
    <hyperlink r:id="rId274" ref="B145"/>
    <hyperlink r:id="rId275" ref="T145"/>
    <hyperlink r:id="rId276" ref="B146"/>
    <hyperlink r:id="rId277" ref="T146"/>
    <hyperlink r:id="rId278" ref="B147"/>
    <hyperlink r:id="rId279" ref="T147"/>
    <hyperlink r:id="rId280" ref="B148"/>
    <hyperlink r:id="rId281" ref="T148"/>
    <hyperlink r:id="rId282" ref="B149"/>
    <hyperlink r:id="rId283" ref="T149"/>
    <hyperlink r:id="rId284" ref="B150"/>
    <hyperlink r:id="rId285" ref="T150"/>
    <hyperlink r:id="rId286" ref="B151"/>
    <hyperlink r:id="rId287" ref="T151"/>
    <hyperlink r:id="rId288" ref="B152"/>
    <hyperlink r:id="rId289" ref="T152"/>
    <hyperlink r:id="rId290" ref="B153"/>
    <hyperlink r:id="rId291" ref="T153"/>
    <hyperlink r:id="rId292" ref="B154"/>
    <hyperlink r:id="rId293" ref="T154"/>
    <hyperlink r:id="rId294" ref="B155"/>
    <hyperlink r:id="rId295" ref="T155"/>
    <hyperlink r:id="rId296" ref="B156"/>
    <hyperlink r:id="rId297" ref="T156"/>
    <hyperlink r:id="rId298" ref="B157"/>
    <hyperlink r:id="rId299" ref="T157"/>
    <hyperlink r:id="rId300" ref="B158"/>
    <hyperlink r:id="rId301" ref="T158"/>
    <hyperlink r:id="rId302" ref="B159"/>
    <hyperlink r:id="rId303" ref="T159"/>
    <hyperlink r:id="rId304" ref="B160"/>
    <hyperlink r:id="rId305" ref="T160"/>
    <hyperlink r:id="rId306" ref="B161"/>
    <hyperlink r:id="rId307" ref="T161"/>
    <hyperlink r:id="rId308" ref="B162"/>
    <hyperlink r:id="rId309" ref="T162"/>
    <hyperlink r:id="rId310" ref="B163"/>
    <hyperlink r:id="rId311" ref="T163"/>
    <hyperlink r:id="rId312" ref="B164"/>
    <hyperlink r:id="rId313" ref="T164"/>
    <hyperlink r:id="rId314" ref="B165"/>
    <hyperlink r:id="rId315" ref="T165"/>
    <hyperlink r:id="rId316" ref="B166"/>
    <hyperlink r:id="rId317" ref="T166"/>
    <hyperlink r:id="rId318" ref="B167"/>
    <hyperlink r:id="rId319" ref="T167"/>
    <hyperlink r:id="rId320" ref="B168"/>
    <hyperlink r:id="rId321" ref="T168"/>
    <hyperlink r:id="rId322" ref="B169"/>
    <hyperlink r:id="rId323" ref="T169"/>
    <hyperlink r:id="rId324" ref="B170"/>
    <hyperlink r:id="rId325" ref="T170"/>
    <hyperlink r:id="rId326" ref="B171"/>
    <hyperlink r:id="rId327" ref="T171"/>
    <hyperlink r:id="rId328" ref="B172"/>
    <hyperlink r:id="rId329" ref="T172"/>
    <hyperlink r:id="rId330" ref="B173"/>
    <hyperlink r:id="rId331" ref="T173"/>
    <hyperlink r:id="rId332" ref="B174"/>
    <hyperlink r:id="rId333" ref="T174"/>
    <hyperlink r:id="rId334" ref="B175"/>
    <hyperlink r:id="rId335" ref="T175"/>
    <hyperlink r:id="rId336" ref="B176"/>
    <hyperlink r:id="rId337" ref="T176"/>
    <hyperlink r:id="rId338" ref="B177"/>
    <hyperlink r:id="rId339" ref="T177"/>
    <hyperlink r:id="rId340" ref="B178"/>
    <hyperlink r:id="rId341" ref="T178"/>
    <hyperlink r:id="rId342" ref="B179"/>
    <hyperlink r:id="rId343" ref="T179"/>
    <hyperlink r:id="rId344" ref="B180"/>
    <hyperlink r:id="rId345" ref="T180"/>
    <hyperlink r:id="rId346" ref="B181"/>
    <hyperlink r:id="rId347" ref="T181"/>
    <hyperlink r:id="rId348" ref="B182"/>
    <hyperlink r:id="rId349" ref="T182"/>
    <hyperlink r:id="rId350" ref="B183"/>
    <hyperlink r:id="rId351" ref="T183"/>
    <hyperlink r:id="rId352" ref="B184"/>
    <hyperlink r:id="rId353" ref="T184"/>
    <hyperlink r:id="rId354" ref="B185"/>
    <hyperlink r:id="rId355" ref="T185"/>
    <hyperlink r:id="rId356" ref="B186"/>
    <hyperlink r:id="rId357" ref="T186"/>
    <hyperlink r:id="rId358" ref="B187"/>
    <hyperlink r:id="rId359" ref="T187"/>
    <hyperlink r:id="rId360" ref="B188"/>
    <hyperlink r:id="rId361" ref="T188"/>
    <hyperlink r:id="rId362" ref="B189"/>
    <hyperlink r:id="rId363" ref="T189"/>
    <hyperlink r:id="rId364" ref="B190"/>
    <hyperlink r:id="rId365" ref="T190"/>
    <hyperlink r:id="rId366" ref="B191"/>
    <hyperlink r:id="rId367" ref="T191"/>
    <hyperlink r:id="rId368" ref="B192"/>
    <hyperlink r:id="rId369" ref="T192"/>
    <hyperlink r:id="rId370" ref="B193"/>
    <hyperlink r:id="rId371" ref="T193"/>
    <hyperlink r:id="rId372" ref="B194"/>
    <hyperlink r:id="rId373" ref="T194"/>
    <hyperlink r:id="rId374" ref="B195"/>
    <hyperlink r:id="rId375" ref="T195"/>
    <hyperlink r:id="rId376" ref="B196"/>
    <hyperlink r:id="rId377" ref="T196"/>
    <hyperlink r:id="rId378" ref="B197"/>
    <hyperlink r:id="rId379" ref="T197"/>
    <hyperlink r:id="rId380" ref="B198"/>
    <hyperlink r:id="rId381" ref="T198"/>
    <hyperlink r:id="rId382" ref="B199"/>
    <hyperlink r:id="rId383" ref="T199"/>
    <hyperlink r:id="rId384" ref="B200"/>
    <hyperlink r:id="rId385" ref="T200"/>
    <hyperlink r:id="rId386" ref="B201"/>
    <hyperlink r:id="rId387" ref="T201"/>
    <hyperlink r:id="rId388" ref="B202"/>
    <hyperlink r:id="rId389" ref="T202"/>
    <hyperlink r:id="rId390" ref="B203"/>
    <hyperlink r:id="rId391" ref="T203"/>
    <hyperlink r:id="rId392" ref="B204"/>
    <hyperlink r:id="rId393" ref="T204"/>
    <hyperlink r:id="rId394" ref="B205"/>
    <hyperlink r:id="rId395" ref="T205"/>
    <hyperlink r:id="rId396" ref="B206"/>
    <hyperlink r:id="rId397" ref="T206"/>
    <hyperlink r:id="rId398" ref="B207"/>
    <hyperlink r:id="rId399" ref="T207"/>
    <hyperlink r:id="rId400" ref="B208"/>
    <hyperlink r:id="rId401" ref="T208"/>
    <hyperlink r:id="rId402" ref="B209"/>
    <hyperlink r:id="rId403" ref="T209"/>
    <hyperlink r:id="rId404" ref="B210"/>
    <hyperlink r:id="rId405" ref="T210"/>
    <hyperlink r:id="rId406" ref="B211"/>
    <hyperlink r:id="rId407" ref="T211"/>
    <hyperlink r:id="rId408" ref="B212"/>
    <hyperlink r:id="rId409" ref="T212"/>
    <hyperlink r:id="rId410" ref="B213"/>
    <hyperlink r:id="rId411" ref="T213"/>
    <hyperlink r:id="rId412" ref="B214"/>
    <hyperlink r:id="rId413" ref="T214"/>
    <hyperlink r:id="rId414" ref="B215"/>
    <hyperlink r:id="rId415" ref="T215"/>
    <hyperlink r:id="rId416" ref="B216"/>
    <hyperlink r:id="rId417" ref="T216"/>
    <hyperlink r:id="rId418" ref="B217"/>
    <hyperlink r:id="rId419" ref="T217"/>
    <hyperlink r:id="rId420" ref="B218"/>
    <hyperlink r:id="rId421" ref="T218"/>
    <hyperlink r:id="rId422" ref="B219"/>
    <hyperlink r:id="rId423" ref="T219"/>
    <hyperlink r:id="rId424" ref="B220"/>
    <hyperlink r:id="rId425" ref="T220"/>
    <hyperlink r:id="rId426" ref="B221"/>
    <hyperlink r:id="rId427" ref="T221"/>
    <hyperlink r:id="rId428" ref="B222"/>
    <hyperlink r:id="rId429" ref="T222"/>
    <hyperlink r:id="rId430" ref="B223"/>
    <hyperlink r:id="rId431" ref="T223"/>
    <hyperlink r:id="rId432" ref="B224"/>
    <hyperlink r:id="rId433" ref="T224"/>
    <hyperlink r:id="rId434" ref="B225"/>
    <hyperlink r:id="rId435" ref="T225"/>
    <hyperlink r:id="rId436" ref="B226"/>
    <hyperlink r:id="rId437" ref="T226"/>
    <hyperlink r:id="rId438" ref="B227"/>
    <hyperlink r:id="rId439" ref="T227"/>
    <hyperlink r:id="rId440" ref="B228"/>
    <hyperlink r:id="rId441" ref="T228"/>
    <hyperlink r:id="rId442" ref="B229"/>
    <hyperlink r:id="rId443" ref="T229"/>
    <hyperlink r:id="rId444" ref="B230"/>
    <hyperlink r:id="rId445" ref="T230"/>
    <hyperlink r:id="rId446" ref="B231"/>
    <hyperlink r:id="rId447" ref="T231"/>
    <hyperlink r:id="rId448" ref="B232"/>
    <hyperlink r:id="rId449" ref="T232"/>
    <hyperlink r:id="rId450" ref="B233"/>
    <hyperlink r:id="rId451" ref="T233"/>
    <hyperlink r:id="rId452" ref="B234"/>
    <hyperlink r:id="rId453" ref="T234"/>
    <hyperlink r:id="rId454" ref="B235"/>
    <hyperlink r:id="rId455" ref="T235"/>
    <hyperlink r:id="rId456" ref="B236"/>
    <hyperlink r:id="rId457" ref="T236"/>
    <hyperlink r:id="rId458" ref="B237"/>
    <hyperlink r:id="rId459" ref="T237"/>
    <hyperlink r:id="rId460" ref="B238"/>
    <hyperlink r:id="rId461" ref="T238"/>
    <hyperlink r:id="rId462" ref="B239"/>
    <hyperlink r:id="rId463" ref="T239"/>
    <hyperlink r:id="rId464" ref="B240"/>
    <hyperlink r:id="rId465" ref="T240"/>
    <hyperlink r:id="rId466" ref="B241"/>
    <hyperlink r:id="rId467" ref="T241"/>
    <hyperlink r:id="rId468" ref="B242"/>
    <hyperlink r:id="rId469" ref="T242"/>
    <hyperlink r:id="rId470" ref="B243"/>
    <hyperlink r:id="rId471" ref="T243"/>
    <hyperlink r:id="rId472" ref="B244"/>
    <hyperlink r:id="rId473" ref="T244"/>
    <hyperlink r:id="rId474" ref="B245"/>
    <hyperlink r:id="rId475" ref="T245"/>
    <hyperlink r:id="rId476" ref="B246"/>
    <hyperlink r:id="rId477" ref="T246"/>
    <hyperlink r:id="rId478" ref="B247"/>
    <hyperlink r:id="rId479" ref="T247"/>
    <hyperlink r:id="rId480" ref="B248"/>
    <hyperlink r:id="rId481" ref="T248"/>
    <hyperlink r:id="rId482" ref="B249"/>
    <hyperlink r:id="rId483" ref="T249"/>
    <hyperlink r:id="rId484" ref="B250"/>
    <hyperlink r:id="rId485" ref="T250"/>
    <hyperlink r:id="rId486" ref="B251"/>
    <hyperlink r:id="rId487" ref="T251"/>
    <hyperlink r:id="rId488" ref="B252"/>
    <hyperlink r:id="rId489" ref="T252"/>
    <hyperlink r:id="rId490" ref="B253"/>
    <hyperlink r:id="rId491" ref="T253"/>
    <hyperlink r:id="rId492" ref="B254"/>
    <hyperlink r:id="rId493" ref="T254"/>
    <hyperlink r:id="rId494" ref="B255"/>
    <hyperlink r:id="rId495" ref="T255"/>
    <hyperlink r:id="rId496" ref="B256"/>
    <hyperlink r:id="rId497" ref="T256"/>
    <hyperlink r:id="rId498" ref="B257"/>
    <hyperlink r:id="rId499" ref="T257"/>
    <hyperlink r:id="rId500" ref="B258"/>
    <hyperlink r:id="rId501" ref="T258"/>
    <hyperlink r:id="rId502" ref="B259"/>
    <hyperlink r:id="rId503" ref="T259"/>
    <hyperlink r:id="rId504" ref="B260"/>
    <hyperlink r:id="rId505" ref="T260"/>
    <hyperlink r:id="rId506" ref="B261"/>
    <hyperlink r:id="rId507" ref="T261"/>
    <hyperlink r:id="rId508" ref="B262"/>
    <hyperlink r:id="rId509" ref="T262"/>
    <hyperlink r:id="rId510" ref="B263"/>
    <hyperlink r:id="rId511" ref="T263"/>
    <hyperlink r:id="rId512" ref="B264"/>
    <hyperlink r:id="rId513" ref="T264"/>
    <hyperlink r:id="rId514" ref="B265"/>
    <hyperlink r:id="rId515" ref="T265"/>
    <hyperlink r:id="rId516" ref="B266"/>
    <hyperlink r:id="rId517" ref="T266"/>
    <hyperlink r:id="rId518" ref="B267"/>
    <hyperlink r:id="rId519" ref="T267"/>
    <hyperlink r:id="rId520" ref="B268"/>
    <hyperlink r:id="rId521" ref="T268"/>
    <hyperlink r:id="rId522" ref="B269"/>
    <hyperlink r:id="rId523" ref="T269"/>
    <hyperlink r:id="rId524" ref="B270"/>
    <hyperlink r:id="rId525" ref="T270"/>
    <hyperlink r:id="rId526" ref="B271"/>
    <hyperlink r:id="rId527" ref="T271"/>
    <hyperlink r:id="rId528" ref="B272"/>
    <hyperlink r:id="rId529" ref="T272"/>
    <hyperlink r:id="rId530" ref="B273"/>
    <hyperlink r:id="rId531" ref="T273"/>
    <hyperlink r:id="rId532" ref="B274"/>
    <hyperlink r:id="rId533" ref="T274"/>
    <hyperlink r:id="rId534" ref="B275"/>
    <hyperlink r:id="rId535" ref="T275"/>
    <hyperlink r:id="rId536" ref="B276"/>
    <hyperlink r:id="rId537" ref="T276"/>
    <hyperlink r:id="rId538" ref="B277"/>
    <hyperlink r:id="rId539" ref="T277"/>
    <hyperlink r:id="rId540" ref="B278"/>
    <hyperlink r:id="rId541" ref="T278"/>
    <hyperlink r:id="rId542" ref="B279"/>
    <hyperlink r:id="rId543" ref="T279"/>
    <hyperlink r:id="rId544" ref="B280"/>
    <hyperlink r:id="rId545" ref="T280"/>
    <hyperlink r:id="rId546" ref="B281"/>
    <hyperlink r:id="rId547" ref="T281"/>
    <hyperlink r:id="rId548" ref="B282"/>
    <hyperlink r:id="rId549" ref="T282"/>
    <hyperlink r:id="rId550" ref="B283"/>
    <hyperlink r:id="rId551" ref="T283"/>
    <hyperlink r:id="rId552" ref="B284"/>
    <hyperlink r:id="rId553" ref="T284"/>
    <hyperlink r:id="rId554" ref="B285"/>
    <hyperlink r:id="rId555" ref="T285"/>
    <hyperlink r:id="rId556" ref="B286"/>
    <hyperlink r:id="rId557" ref="T286"/>
    <hyperlink r:id="rId558" ref="B287"/>
    <hyperlink r:id="rId559" ref="T287"/>
    <hyperlink r:id="rId560" ref="B288"/>
    <hyperlink r:id="rId561" ref="T288"/>
    <hyperlink r:id="rId562" ref="B289"/>
    <hyperlink r:id="rId563" ref="T289"/>
    <hyperlink r:id="rId564" ref="B290"/>
    <hyperlink r:id="rId565" ref="T290"/>
    <hyperlink r:id="rId566" ref="B291"/>
    <hyperlink r:id="rId567" ref="T291"/>
    <hyperlink r:id="rId568" ref="B292"/>
    <hyperlink r:id="rId569" ref="T292"/>
    <hyperlink r:id="rId570" ref="B293"/>
    <hyperlink r:id="rId571" ref="T293"/>
    <hyperlink r:id="rId572" ref="B294"/>
    <hyperlink r:id="rId573" ref="T294"/>
    <hyperlink r:id="rId574" ref="B295"/>
    <hyperlink r:id="rId575" ref="T295"/>
    <hyperlink r:id="rId576" ref="B296"/>
    <hyperlink r:id="rId577" ref="T296"/>
    <hyperlink r:id="rId578" ref="B297"/>
    <hyperlink r:id="rId579" ref="T297"/>
    <hyperlink r:id="rId580" ref="B298"/>
    <hyperlink r:id="rId581" ref="T298"/>
    <hyperlink r:id="rId582" ref="B299"/>
    <hyperlink r:id="rId583" ref="T299"/>
    <hyperlink r:id="rId584" ref="B300"/>
    <hyperlink r:id="rId585" ref="T300"/>
    <hyperlink r:id="rId586" ref="B301"/>
    <hyperlink r:id="rId587" ref="T301"/>
    <hyperlink r:id="rId588" ref="B302"/>
    <hyperlink r:id="rId589" ref="T302"/>
    <hyperlink r:id="rId590" ref="B303"/>
    <hyperlink r:id="rId591" ref="T303"/>
    <hyperlink r:id="rId592" ref="B304"/>
    <hyperlink r:id="rId593" ref="T304"/>
    <hyperlink r:id="rId594" ref="B305"/>
    <hyperlink r:id="rId595" ref="T305"/>
    <hyperlink r:id="rId596" ref="B306"/>
    <hyperlink r:id="rId597" ref="T306"/>
    <hyperlink r:id="rId598" ref="B307"/>
    <hyperlink r:id="rId599" ref="T307"/>
    <hyperlink r:id="rId600" ref="B308"/>
    <hyperlink r:id="rId601" ref="T308"/>
    <hyperlink r:id="rId602" ref="B309"/>
    <hyperlink r:id="rId603" ref="T309"/>
    <hyperlink r:id="rId604" ref="B310"/>
    <hyperlink r:id="rId605" ref="T310"/>
    <hyperlink r:id="rId606" ref="B311"/>
    <hyperlink r:id="rId607" ref="T311"/>
    <hyperlink r:id="rId608" ref="B312"/>
    <hyperlink r:id="rId609" ref="T312"/>
    <hyperlink r:id="rId610" ref="B313"/>
    <hyperlink r:id="rId611" ref="T313"/>
    <hyperlink r:id="rId612" ref="B314"/>
    <hyperlink r:id="rId613" ref="T314"/>
    <hyperlink r:id="rId614" ref="B315"/>
    <hyperlink r:id="rId615" ref="T315"/>
    <hyperlink r:id="rId616" ref="B316"/>
    <hyperlink r:id="rId617" ref="T316"/>
    <hyperlink r:id="rId618" ref="B317"/>
    <hyperlink r:id="rId619" ref="T317"/>
    <hyperlink r:id="rId620" ref="B318"/>
    <hyperlink r:id="rId621" ref="T318"/>
    <hyperlink r:id="rId622" ref="B319"/>
    <hyperlink r:id="rId623" ref="T319"/>
    <hyperlink r:id="rId624" ref="B320"/>
    <hyperlink r:id="rId625" ref="T320"/>
    <hyperlink r:id="rId626" ref="B321"/>
    <hyperlink r:id="rId627" ref="T321"/>
    <hyperlink r:id="rId628" ref="B322"/>
    <hyperlink r:id="rId629" ref="T322"/>
    <hyperlink r:id="rId630" ref="B323"/>
    <hyperlink r:id="rId631" ref="T323"/>
    <hyperlink r:id="rId632" ref="B324"/>
    <hyperlink r:id="rId633" ref="T324"/>
    <hyperlink r:id="rId634" ref="B325"/>
    <hyperlink r:id="rId635" ref="T325"/>
    <hyperlink r:id="rId636" ref="B326"/>
    <hyperlink r:id="rId637" ref="T326"/>
    <hyperlink r:id="rId638" ref="B327"/>
    <hyperlink r:id="rId639" ref="T327"/>
    <hyperlink r:id="rId640" ref="B328"/>
    <hyperlink r:id="rId641" ref="T328"/>
    <hyperlink r:id="rId642" ref="B329"/>
    <hyperlink r:id="rId643" ref="T329"/>
    <hyperlink r:id="rId644" ref="B330"/>
    <hyperlink r:id="rId645" ref="T330"/>
    <hyperlink r:id="rId646" ref="B331"/>
    <hyperlink r:id="rId647" ref="T331"/>
    <hyperlink r:id="rId648" ref="B332"/>
    <hyperlink r:id="rId649" ref="T332"/>
    <hyperlink r:id="rId650" ref="B333"/>
    <hyperlink r:id="rId651" ref="T333"/>
  </hyperlinks>
  <drawing r:id="rId65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2.63"/>
    <col customWidth="1" min="2" max="2" width="37.5"/>
    <col customWidth="1" min="5" max="5" width="13.88"/>
    <col customWidth="1" min="9" max="9" width="31.88"/>
    <col customWidth="1" min="10" max="10" width="25.88"/>
    <col customWidth="1" min="17" max="17" width="34.5"/>
    <col customWidth="1" min="18" max="18" width="26.0"/>
    <col customWidth="1" min="20" max="20" width="25.63"/>
  </cols>
  <sheetData>
    <row r="1" ht="18.75" hidden="1" customHeight="1">
      <c r="A1" s="1"/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/>
      <c r="H1" s="5" t="s">
        <v>6</v>
      </c>
      <c r="I1" s="5" t="s">
        <v>7</v>
      </c>
      <c r="J1" s="5" t="s">
        <v>9</v>
      </c>
      <c r="K1" s="5"/>
      <c r="L1" s="7"/>
      <c r="M1" s="7"/>
      <c r="N1" s="7"/>
      <c r="O1" s="7"/>
      <c r="P1" s="7"/>
      <c r="Q1" s="7"/>
      <c r="R1" s="7"/>
      <c r="S1" s="7"/>
      <c r="T1" s="7"/>
      <c r="U1" s="97"/>
    </row>
    <row r="2" hidden="1">
      <c r="A2" s="1"/>
      <c r="B2" s="10" t="s">
        <v>12</v>
      </c>
      <c r="C2" s="10" t="s">
        <v>8</v>
      </c>
      <c r="D2" s="10" t="s">
        <v>10</v>
      </c>
      <c r="E2" s="10" t="s">
        <v>16</v>
      </c>
      <c r="F2" s="10" t="s">
        <v>17</v>
      </c>
      <c r="G2" s="10"/>
      <c r="H2" s="11" t="s">
        <v>15</v>
      </c>
      <c r="I2" s="10" t="s">
        <v>22</v>
      </c>
      <c r="J2" s="10" t="s">
        <v>1</v>
      </c>
      <c r="K2" s="10"/>
      <c r="L2" s="10" t="s">
        <v>2</v>
      </c>
      <c r="M2" s="10" t="s">
        <v>24</v>
      </c>
      <c r="N2" s="10" t="s">
        <v>4</v>
      </c>
      <c r="O2" s="12" t="s">
        <v>23</v>
      </c>
      <c r="P2" s="10" t="s">
        <v>5</v>
      </c>
      <c r="Q2" s="13" t="s">
        <v>29</v>
      </c>
      <c r="R2" s="13" t="s">
        <v>31</v>
      </c>
      <c r="S2" s="13" t="s">
        <v>15</v>
      </c>
      <c r="T2" s="14" t="s">
        <v>32</v>
      </c>
      <c r="U2" s="98"/>
    </row>
    <row r="3" hidden="1">
      <c r="A3" s="1"/>
      <c r="B3" s="16">
        <v>221118.0</v>
      </c>
      <c r="C3" s="20" t="s">
        <v>35</v>
      </c>
      <c r="D3" s="22"/>
      <c r="E3" s="22" t="s">
        <v>37</v>
      </c>
      <c r="F3" s="22" t="s">
        <v>39</v>
      </c>
      <c r="G3" s="22"/>
      <c r="H3" s="24" t="s">
        <v>40</v>
      </c>
      <c r="I3" s="22" t="s">
        <v>41</v>
      </c>
      <c r="J3" s="22" t="s">
        <v>42</v>
      </c>
      <c r="K3" s="22"/>
      <c r="L3" s="22" t="s">
        <v>43</v>
      </c>
      <c r="M3" s="22" t="s">
        <v>45</v>
      </c>
      <c r="N3" s="22" t="s">
        <v>46</v>
      </c>
      <c r="O3" s="22"/>
      <c r="P3" s="22" t="s">
        <v>47</v>
      </c>
      <c r="Q3" s="24" t="str">
        <f>J3</f>
        <v>Facebook</v>
      </c>
      <c r="R3" s="26" t="str">
        <f>L3</f>
        <v>FA</v>
      </c>
      <c r="S3" s="28" t="str">
        <f>CONCATENATE(E3,"_",N3,"_",L3,"_",M3,"_",B3,"_",P3)</f>
        <v>Rongfly_HN_FA_TAH_221118_Badt</v>
      </c>
      <c r="T3" s="28" t="str">
        <f>CONCATENATE(F3,"_",E3,B3,"_",P3)</f>
        <v>sinhvien1823_Rongfly221118_Badt</v>
      </c>
      <c r="U3" s="99"/>
    </row>
    <row r="4" hidden="1">
      <c r="A4" s="1"/>
      <c r="B4" s="7"/>
      <c r="C4" s="7"/>
      <c r="D4" s="17"/>
      <c r="E4" s="32" t="s">
        <v>48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97"/>
    </row>
    <row r="5" hidden="1">
      <c r="A5" s="1"/>
      <c r="B5" s="7"/>
      <c r="C5" s="7"/>
      <c r="D5" s="35"/>
      <c r="E5" s="32" t="s">
        <v>49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97"/>
    </row>
    <row r="6" hidden="1">
      <c r="A6" s="1"/>
      <c r="B6" s="7"/>
      <c r="C6" s="7"/>
      <c r="D6" s="36"/>
      <c r="E6" s="37" t="s">
        <v>50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97"/>
    </row>
    <row r="7">
      <c r="A7" s="6" t="s">
        <v>0</v>
      </c>
      <c r="B7" s="6" t="s">
        <v>8</v>
      </c>
      <c r="C7" s="39" t="s">
        <v>10</v>
      </c>
      <c r="D7" s="6" t="s">
        <v>1</v>
      </c>
      <c r="E7" s="6" t="s">
        <v>2</v>
      </c>
      <c r="F7" s="6" t="s">
        <v>4</v>
      </c>
      <c r="G7" s="9" t="s">
        <v>11</v>
      </c>
      <c r="H7" s="6" t="s">
        <v>13</v>
      </c>
      <c r="I7" s="6" t="s">
        <v>14</v>
      </c>
      <c r="J7" s="39" t="s">
        <v>15</v>
      </c>
      <c r="K7" s="42" t="s">
        <v>18</v>
      </c>
      <c r="L7" s="39" t="s">
        <v>19</v>
      </c>
      <c r="M7" s="39" t="s">
        <v>20</v>
      </c>
      <c r="N7" s="39" t="s">
        <v>21</v>
      </c>
      <c r="O7" s="42" t="s">
        <v>23</v>
      </c>
      <c r="P7" s="39" t="s">
        <v>25</v>
      </c>
      <c r="Q7" s="6" t="s">
        <v>26</v>
      </c>
      <c r="R7" s="6" t="s">
        <v>27</v>
      </c>
      <c r="S7" s="6" t="s">
        <v>54</v>
      </c>
      <c r="T7" s="39" t="s">
        <v>30</v>
      </c>
      <c r="U7" s="100" t="s">
        <v>1125</v>
      </c>
    </row>
    <row r="8">
      <c r="A8" s="45" t="s">
        <v>33</v>
      </c>
      <c r="B8" s="17" t="s">
        <v>34</v>
      </c>
      <c r="C8" s="46" t="s">
        <v>55</v>
      </c>
      <c r="D8" s="19" t="s">
        <v>36</v>
      </c>
      <c r="E8" s="21" t="s">
        <v>36</v>
      </c>
      <c r="F8" s="19" t="s">
        <v>36</v>
      </c>
      <c r="G8" s="47"/>
      <c r="H8" s="19" t="s">
        <v>36</v>
      </c>
      <c r="I8" s="25" t="s">
        <v>1126</v>
      </c>
      <c r="J8" s="25" t="s">
        <v>44</v>
      </c>
      <c r="K8" s="23" t="s">
        <v>38</v>
      </c>
      <c r="L8" s="19" t="s">
        <v>36</v>
      </c>
      <c r="M8" s="19" t="s">
        <v>36</v>
      </c>
      <c r="N8" s="19" t="s">
        <v>36</v>
      </c>
      <c r="O8" s="19" t="s">
        <v>36</v>
      </c>
      <c r="P8" s="19" t="s">
        <v>36</v>
      </c>
      <c r="Q8" s="47" t="s">
        <v>62</v>
      </c>
      <c r="R8" s="47" t="s">
        <v>63</v>
      </c>
      <c r="S8" s="48" t="s">
        <v>64</v>
      </c>
      <c r="T8" s="49" t="s">
        <v>67</v>
      </c>
      <c r="U8" s="101"/>
    </row>
    <row r="9">
      <c r="A9" s="50">
        <v>44183.0</v>
      </c>
      <c r="B9" s="43" t="s">
        <v>73</v>
      </c>
      <c r="C9" s="58" t="str">
        <f>IFERROR(__xludf.DUMMYFUNCTION("FILTER(VLOOKUP(B9:B980,Data!A:B,2,FALSE),B9:B980&lt;&gt;"""")"),"LD012")</f>
        <v>LD012</v>
      </c>
      <c r="D9" s="44" t="s">
        <v>42</v>
      </c>
      <c r="E9" s="44" t="s">
        <v>53</v>
      </c>
      <c r="F9" s="44" t="s">
        <v>60</v>
      </c>
      <c r="G9" s="44" t="s">
        <v>61</v>
      </c>
      <c r="H9" s="44" t="s">
        <v>1131</v>
      </c>
      <c r="I9" s="44" t="s">
        <v>1132</v>
      </c>
      <c r="J9" s="44" t="s">
        <v>88</v>
      </c>
      <c r="K9" s="44" t="s">
        <v>61</v>
      </c>
      <c r="L9" s="44" t="s">
        <v>70</v>
      </c>
      <c r="M9" s="44" t="s">
        <v>116</v>
      </c>
      <c r="N9" s="44" t="s">
        <v>70</v>
      </c>
      <c r="O9" s="44" t="s">
        <v>70</v>
      </c>
      <c r="P9" s="44" t="s">
        <v>70</v>
      </c>
      <c r="Q9" s="58" t="str">
        <f>IFERROR(__xludf.DUMMYFUNCTION("FILTER(IF( A9:A980&lt;&gt;"""",IF(H9:H980&lt;&gt;"""",IF(I9:I980&lt;&gt;"""",IF(L9:L980&lt;&gt;"""",IF(N9:N980&lt;&gt;"""",I9:I980&amp;""_""&amp;L9:L980&amp;""_""&amp;N9:N980&amp;""_""&amp;H9:H980&amp;""_""&amp;TRIM(A9:A980),""!!!""),""!!!""),""!!!""),""!!!""),""!!!""),B9:B980&lt;&gt;"""")"),"Blog_NON_NON_HuyLG_181220")</f>
        <v>Blog_NON_NON_HuyLG_181220</v>
      </c>
      <c r="R9" s="58" t="str">
        <f>IFERROR(__xludf.DUMMYFUNCTION("FILTER(IF( A9:A980&lt;&gt;"""",IF(P9:P980&lt;&gt;"""",IF(F9:F980&lt;&gt;"""",IF(G9:G980&lt;&gt;"""",IF(K9:K980&lt;&gt;"""",P9:P980&amp;""_""&amp;F9:F980&amp;""_""&amp;G9:G980&amp;""_""&amp;K9:K980&amp;""_""&amp;TRIM(A9:A980),""!!!""),""!!!""),""!!!""),""!!!""),""!!!""),B9:B980&lt;&gt;"""")"),"NON_NONE_none_none_181220")</f>
        <v>NON_NONE_none_none_181220</v>
      </c>
      <c r="S9" s="58" t="str">
        <f>IFERROR(__xludf.DUMMYFUNCTION("FILTER(IF( M9:M980&lt;&gt;"""",IF(J9:J980&lt;&gt;"""",IF(O9:O980&lt;&gt;"""",IF(C9:C980&lt;&gt;"""",M9:M980&amp;""_""&amp;J9:J980&amp;""_""&amp;O9:O980&amp;""_""&amp;C9:C980,""!!!""),""!!!""),""!!!""),""!!!""),B9:B980&lt;&gt;"""")"),"khac_Content2_NON_LD012")</f>
        <v>khac_Content2_NON_LD012</v>
      </c>
      <c r="T9" s="103" t="str">
        <f>IFERROR(__xludf.DUMMYFUNCTION("FILTER(B9:B980&amp;if(right(B9:B980,1)=""/"",""?"",""/?"")&amp;""utm_source=""&amp;D9:D980&amp;""&amp;utm_medium=""&amp;E9:E980&amp;""&amp;utm_term=""&amp;R9:R980&amp;""&amp;utm_content=""&amp;S9:S980&amp;""&amp;utm_campaign=""&amp;Q9:Q980,B9:B980&lt;&gt;"""")"),"https://patadovietnam.edu.vn/blog/?utm_source=Facebook&amp;utm_medium=SEE&amp;utm_term=NON_NONE_none_none_181220&amp;utm_content=khac_Content2_NON_LD012&amp;utm_campaign=Blog_NON_NON_HuyLG_181220")</f>
        <v>https://patadovietnam.edu.vn/blog/?utm_source=Facebook&amp;utm_medium=SEE&amp;utm_term=NON_NONE_none_none_181220&amp;utm_content=khac_Content2_NON_LD012&amp;utm_campaign=Blog_NON_NON_HuyLG_181220</v>
      </c>
      <c r="U9" s="97"/>
    </row>
    <row r="10">
      <c r="A10" s="50">
        <v>44183.0</v>
      </c>
      <c r="B10" s="43" t="s">
        <v>111</v>
      </c>
      <c r="C10" s="58" t="str">
        <f>IFERROR(__xludf.DUMMYFUNCTION("""COMPUTED_VALUE"""),"LD013")</f>
        <v>LD013</v>
      </c>
      <c r="D10" s="44" t="s">
        <v>42</v>
      </c>
      <c r="E10" s="44" t="s">
        <v>53</v>
      </c>
      <c r="F10" s="44" t="s">
        <v>60</v>
      </c>
      <c r="G10" s="44" t="s">
        <v>61</v>
      </c>
      <c r="H10" s="44" t="s">
        <v>1131</v>
      </c>
      <c r="I10" s="44" t="s">
        <v>2643</v>
      </c>
      <c r="J10" s="44" t="s">
        <v>88</v>
      </c>
      <c r="K10" s="44" t="s">
        <v>61</v>
      </c>
      <c r="L10" s="44" t="s">
        <v>70</v>
      </c>
      <c r="M10" s="44" t="s">
        <v>116</v>
      </c>
      <c r="N10" s="44" t="s">
        <v>70</v>
      </c>
      <c r="O10" s="44" t="s">
        <v>70</v>
      </c>
      <c r="P10" s="44" t="s">
        <v>70</v>
      </c>
      <c r="Q10" s="58" t="str">
        <f>IFERROR(__xludf.DUMMYFUNCTION("""COMPUTED_VALUE"""),"Test_NON_NON_HuyLG_181220")</f>
        <v>Test_NON_NON_HuyLG_181220</v>
      </c>
      <c r="R10" s="58" t="str">
        <f>IFERROR(__xludf.DUMMYFUNCTION("""COMPUTED_VALUE"""),"NON_NONE_none_none_181220")</f>
        <v>NON_NONE_none_none_181220</v>
      </c>
      <c r="S10" s="58" t="str">
        <f>IFERROR(__xludf.DUMMYFUNCTION("""COMPUTED_VALUE"""),"khac_Content2_NON_LD013")</f>
        <v>khac_Content2_NON_LD013</v>
      </c>
      <c r="T10" s="103" t="str">
        <f>IFERROR(__xludf.DUMMYFUNCTION("""COMPUTED_VALUE"""),"https://patadovietnam.edu.vn/test-trinh-do/?utm_source=Facebook&amp;utm_medium=SEE&amp;utm_term=NON_NONE_none_none_181220&amp;utm_content=khac_Content2_NON_LD013&amp;utm_campaign=Test_NON_NON_HuyLG_181220")</f>
        <v>https://patadovietnam.edu.vn/test-trinh-do/?utm_source=Facebook&amp;utm_medium=SEE&amp;utm_term=NON_NONE_none_none_181220&amp;utm_content=khac_Content2_NON_LD013&amp;utm_campaign=Test_NON_NON_HuyLG_181220</v>
      </c>
      <c r="U10" s="97"/>
    </row>
    <row r="11">
      <c r="A11" s="50">
        <v>44183.0</v>
      </c>
      <c r="B11" s="61" t="s">
        <v>83</v>
      </c>
      <c r="C11" s="67" t="str">
        <f>IFERROR(__xludf.DUMMYFUNCTION("""COMPUTED_VALUE"""),"LD008")</f>
        <v>LD008</v>
      </c>
      <c r="D11" s="55" t="s">
        <v>42</v>
      </c>
      <c r="E11" s="55" t="s">
        <v>53</v>
      </c>
      <c r="F11" s="44" t="s">
        <v>60</v>
      </c>
      <c r="G11" s="44" t="s">
        <v>61</v>
      </c>
      <c r="H11" s="44" t="s">
        <v>1131</v>
      </c>
      <c r="I11" s="55" t="s">
        <v>2649</v>
      </c>
      <c r="J11" s="55" t="s">
        <v>88</v>
      </c>
      <c r="K11" s="44" t="s">
        <v>61</v>
      </c>
      <c r="L11" s="44" t="s">
        <v>70</v>
      </c>
      <c r="M11" s="44" t="s">
        <v>116</v>
      </c>
      <c r="N11" s="44" t="s">
        <v>70</v>
      </c>
      <c r="O11" s="44" t="s">
        <v>70</v>
      </c>
      <c r="P11" s="44" t="s">
        <v>70</v>
      </c>
      <c r="Q11" s="67" t="str">
        <f>IFERROR(__xludf.DUMMYFUNCTION("""COMPUTED_VALUE"""),"Home_NON_NON_HuyLG_181220")</f>
        <v>Home_NON_NON_HuyLG_181220</v>
      </c>
      <c r="R11" s="67" t="str">
        <f>IFERROR(__xludf.DUMMYFUNCTION("""COMPUTED_VALUE"""),"NON_NONE_none_none_181220")</f>
        <v>NON_NONE_none_none_181220</v>
      </c>
      <c r="S11" s="67" t="str">
        <f>IFERROR(__xludf.DUMMYFUNCTION("""COMPUTED_VALUE"""),"khac_Content2_NON_LD008")</f>
        <v>khac_Content2_NON_LD008</v>
      </c>
      <c r="T11" s="107" t="str">
        <f>IFERROR(__xludf.DUMMYFUNCTION("""COMPUTED_VALUE"""),"https://patadovietnam.edu.vn/?utm_source=Facebook&amp;utm_medium=SEE&amp;utm_term=NON_NONE_none_none_181220&amp;utm_content=khac_Content2_NON_LD008&amp;utm_campaign=Home_NON_NON_HuyLG_181220")</f>
        <v>https://patadovietnam.edu.vn/?utm_source=Facebook&amp;utm_medium=SEE&amp;utm_term=NON_NONE_none_none_181220&amp;utm_content=khac_Content2_NON_LD008&amp;utm_campaign=Home_NON_NON_HuyLG_181220</v>
      </c>
      <c r="U11" s="118"/>
    </row>
    <row r="12">
      <c r="A12" s="50">
        <v>44196.0</v>
      </c>
      <c r="B12" s="43" t="s">
        <v>2654</v>
      </c>
      <c r="C12" s="67" t="str">
        <f>IFERROR(__xludf.DUMMYFUNCTION("""COMPUTED_VALUE"""),"LD032")</f>
        <v>LD032</v>
      </c>
      <c r="D12" s="55" t="s">
        <v>42</v>
      </c>
      <c r="E12" s="44" t="s">
        <v>53</v>
      </c>
      <c r="F12" s="44" t="s">
        <v>60</v>
      </c>
      <c r="G12" s="44" t="s">
        <v>61</v>
      </c>
      <c r="H12" s="44" t="s">
        <v>1131</v>
      </c>
      <c r="I12" s="55" t="s">
        <v>2656</v>
      </c>
      <c r="J12" s="55" t="s">
        <v>2657</v>
      </c>
      <c r="K12" s="44" t="s">
        <v>61</v>
      </c>
      <c r="L12" s="44" t="s">
        <v>70</v>
      </c>
      <c r="M12" s="44" t="s">
        <v>116</v>
      </c>
      <c r="N12" s="44" t="s">
        <v>70</v>
      </c>
      <c r="O12" s="44" t="s">
        <v>70</v>
      </c>
      <c r="P12" s="44" t="s">
        <v>70</v>
      </c>
      <c r="Q12" s="67" t="str">
        <f>IFERROR(__xludf.DUMMYFUNCTION("""COMPUTED_VALUE"""),"Writing_NON_NON_HuyLG_311220")</f>
        <v>Writing_NON_NON_HuyLG_311220</v>
      </c>
      <c r="R12" s="67" t="str">
        <f>IFERROR(__xludf.DUMMYFUNCTION("""COMPUTED_VALUE"""),"NON_NONE_none_none_311220")</f>
        <v>NON_NONE_none_none_311220</v>
      </c>
      <c r="S12" s="67" t="str">
        <f>IFERROR(__xludf.DUMMYFUNCTION("""COMPUTED_VALUE"""),"khac_Content1_NON_LD032")</f>
        <v>khac_Content1_NON_LD032</v>
      </c>
      <c r="T12" s="107" t="str">
        <f>IFERROR(__xludf.DUMMYFUNCTION("""COMPUTED_VALUE"""),"https://patadovietnam.edu.vn/blog/ielts-writting/?utm_source=Facebook&amp;utm_medium=SEE&amp;utm_term=NON_NONE_none_none_311220&amp;utm_content=khac_Content1_NON_LD032&amp;utm_campaign=Writing_NON_NON_HuyLG_311220")</f>
        <v>https://patadovietnam.edu.vn/blog/ielts-writting/?utm_source=Facebook&amp;utm_medium=SEE&amp;utm_term=NON_NONE_none_none_311220&amp;utm_content=khac_Content1_NON_LD032&amp;utm_campaign=Writing_NON_NON_HuyLG_311220</v>
      </c>
      <c r="U12" s="118"/>
    </row>
    <row r="13">
      <c r="A13" s="50">
        <v>44196.0</v>
      </c>
      <c r="B13" s="61" t="s">
        <v>2660</v>
      </c>
      <c r="C13" s="67" t="str">
        <f>IFERROR(__xludf.DUMMYFUNCTION("""COMPUTED_VALUE"""),"LD033")</f>
        <v>LD033</v>
      </c>
      <c r="D13" s="55" t="s">
        <v>42</v>
      </c>
      <c r="E13" s="55" t="s">
        <v>53</v>
      </c>
      <c r="F13" s="44" t="s">
        <v>60</v>
      </c>
      <c r="G13" s="44" t="s">
        <v>61</v>
      </c>
      <c r="H13" s="44" t="s">
        <v>1131</v>
      </c>
      <c r="I13" s="55" t="s">
        <v>2664</v>
      </c>
      <c r="J13" s="55" t="s">
        <v>2657</v>
      </c>
      <c r="K13" s="44" t="s">
        <v>61</v>
      </c>
      <c r="L13" s="44" t="s">
        <v>70</v>
      </c>
      <c r="M13" s="44" t="s">
        <v>116</v>
      </c>
      <c r="N13" s="44" t="s">
        <v>70</v>
      </c>
      <c r="O13" s="44" t="s">
        <v>70</v>
      </c>
      <c r="P13" s="44" t="s">
        <v>70</v>
      </c>
      <c r="Q13" s="67" t="str">
        <f>IFERROR(__xludf.DUMMYFUNCTION("""COMPUTED_VALUE"""),"SachIELTS_NON_NON_HuyLG_311220")</f>
        <v>SachIELTS_NON_NON_HuyLG_311220</v>
      </c>
      <c r="R13" s="67" t="str">
        <f>IFERROR(__xludf.DUMMYFUNCTION("""COMPUTED_VALUE"""),"NON_NONE_none_none_311220")</f>
        <v>NON_NONE_none_none_311220</v>
      </c>
      <c r="S13" s="67" t="str">
        <f>IFERROR(__xludf.DUMMYFUNCTION("""COMPUTED_VALUE"""),"khac_Content1_NON_LD033")</f>
        <v>khac_Content1_NON_LD033</v>
      </c>
      <c r="T13" s="107" t="str">
        <f>IFERROR(__xludf.DUMMYFUNCTION("""COMPUTED_VALUE"""),"https://patadovietnam.edu.vn/blog/sach-luyen-thi-ielts/?utm_source=Facebook&amp;utm_medium=SEE&amp;utm_term=NON_NONE_none_none_311220&amp;utm_content=khac_Content1_NON_LD033&amp;utm_campaign=SachIELTS_NON_NON_HuyLG_311220")</f>
        <v>https://patadovietnam.edu.vn/blog/sach-luyen-thi-ielts/?utm_source=Facebook&amp;utm_medium=SEE&amp;utm_term=NON_NONE_none_none_311220&amp;utm_content=khac_Content1_NON_LD033&amp;utm_campaign=SachIELTS_NON_NON_HuyLG_311220</v>
      </c>
      <c r="U13" s="118"/>
    </row>
    <row r="14">
      <c r="A14" s="72">
        <v>44200.0</v>
      </c>
      <c r="B14" s="61" t="s">
        <v>245</v>
      </c>
      <c r="C14" s="67" t="str">
        <f>IFERROR(__xludf.DUMMYFUNCTION("""COMPUTED_VALUE"""),"LD034")</f>
        <v>LD034</v>
      </c>
      <c r="D14" s="55" t="s">
        <v>42</v>
      </c>
      <c r="E14" s="55" t="s">
        <v>53</v>
      </c>
      <c r="F14" s="44" t="s">
        <v>60</v>
      </c>
      <c r="G14" s="44" t="s">
        <v>61</v>
      </c>
      <c r="H14" s="44" t="s">
        <v>1131</v>
      </c>
      <c r="I14" s="55" t="s">
        <v>2669</v>
      </c>
      <c r="J14" s="55" t="s">
        <v>2670</v>
      </c>
      <c r="K14" s="44" t="s">
        <v>61</v>
      </c>
      <c r="L14" s="44" t="s">
        <v>70</v>
      </c>
      <c r="M14" s="44" t="s">
        <v>116</v>
      </c>
      <c r="N14" s="44" t="s">
        <v>70</v>
      </c>
      <c r="O14" s="44" t="s">
        <v>70</v>
      </c>
      <c r="P14" s="44" t="s">
        <v>70</v>
      </c>
      <c r="Q14" s="67" t="str">
        <f>IFERROR(__xludf.DUMMYFUNCTION("""COMPUTED_VALUE"""),"16Thi_NON_NON_HuyLG_040121")</f>
        <v>16Thi_NON_NON_HuyLG_040121</v>
      </c>
      <c r="R14" s="67" t="str">
        <f>IFERROR(__xludf.DUMMYFUNCTION("""COMPUTED_VALUE"""),"NON_NONE_none_none_040121")</f>
        <v>NON_NONE_none_none_040121</v>
      </c>
      <c r="S14" s="67" t="str">
        <f>IFERROR(__xludf.DUMMYFUNCTION("""COMPUTED_VALUE"""),"khac_Content_NON_LD034")</f>
        <v>khac_Content_NON_LD034</v>
      </c>
      <c r="T14" s="107" t="str">
        <f>IFERROR(__xludf.DUMMYFUNCTION("""COMPUTED_VALUE"""),"https://patadovietnam.edu.vn/blog/vocab-grammar/16-thi-trong-tieng-anh/?utm_source=Facebook&amp;utm_medium=SEE&amp;utm_term=NON_NONE_none_none_040121&amp;utm_content=khac_Content_NON_LD034&amp;utm_campaign=16Thi_NON_NON_HuyLG_040121")</f>
        <v>https://patadovietnam.edu.vn/blog/vocab-grammar/16-thi-trong-tieng-anh/?utm_source=Facebook&amp;utm_medium=SEE&amp;utm_term=NON_NONE_none_none_040121&amp;utm_content=khac_Content_NON_LD034&amp;utm_campaign=16Thi_NON_NON_HuyLG_040121</v>
      </c>
      <c r="U14" s="118"/>
    </row>
    <row r="15">
      <c r="A15" s="72">
        <v>44202.0</v>
      </c>
      <c r="B15" s="61" t="s">
        <v>347</v>
      </c>
      <c r="C15" s="67" t="str">
        <f>IFERROR(__xludf.DUMMYFUNCTION("""COMPUTED_VALUE"""),"LD019")</f>
        <v>LD019</v>
      </c>
      <c r="D15" s="55" t="s">
        <v>42</v>
      </c>
      <c r="E15" s="55" t="s">
        <v>53</v>
      </c>
      <c r="F15" s="44" t="s">
        <v>60</v>
      </c>
      <c r="G15" s="44" t="s">
        <v>61</v>
      </c>
      <c r="H15" s="44" t="s">
        <v>1131</v>
      </c>
      <c r="I15" s="55" t="s">
        <v>2676</v>
      </c>
      <c r="J15" s="55" t="s">
        <v>2670</v>
      </c>
      <c r="K15" s="44" t="s">
        <v>61</v>
      </c>
      <c r="L15" s="44" t="s">
        <v>70</v>
      </c>
      <c r="M15" s="44" t="s">
        <v>116</v>
      </c>
      <c r="N15" s="44" t="s">
        <v>70</v>
      </c>
      <c r="O15" s="44" t="s">
        <v>70</v>
      </c>
      <c r="P15" s="44" t="s">
        <v>70</v>
      </c>
      <c r="Q15" s="67" t="str">
        <f>IFERROR(__xludf.DUMMYFUNCTION("""COMPUTED_VALUE"""),"Tips_NON_NON_HuyLG_060121")</f>
        <v>Tips_NON_NON_HuyLG_060121</v>
      </c>
      <c r="R15" s="67" t="str">
        <f>IFERROR(__xludf.DUMMYFUNCTION("""COMPUTED_VALUE"""),"NON_NONE_none_none_060121")</f>
        <v>NON_NONE_none_none_060121</v>
      </c>
      <c r="S15" s="67" t="str">
        <f>IFERROR(__xludf.DUMMYFUNCTION("""COMPUTED_VALUE"""),"khac_Content_NON_LD019")</f>
        <v>khac_Content_NON_LD019</v>
      </c>
      <c r="T15" s="151" t="str">
        <f>IFERROR(__xludf.DUMMYFUNCTION("""COMPUTED_VALUE"""),"https://patadovietnam.edu.vn/tai-lieu/tips-for-ielts-meo-hoc-ielts/?utm_source=Facebook&amp;utm_medium=SEE&amp;utm_term=NON_NONE_none_none_060121&amp;utm_content=khac_Content_NON_LD019&amp;utm_campaign=Tips_NON_NON_HuyLG_060121")</f>
        <v>https://patadovietnam.edu.vn/tai-lieu/tips-for-ielts-meo-hoc-ielts/?utm_source=Facebook&amp;utm_medium=SEE&amp;utm_term=NON_NONE_none_none_060121&amp;utm_content=khac_Content_NON_LD019&amp;utm_campaign=Tips_NON_NON_HuyLG_060121</v>
      </c>
      <c r="U15" s="118"/>
    </row>
    <row r="16">
      <c r="A16" s="72">
        <v>44202.0</v>
      </c>
      <c r="B16" s="61" t="s">
        <v>232</v>
      </c>
      <c r="C16" s="67" t="str">
        <f>IFERROR(__xludf.DUMMYFUNCTION("""COMPUTED_VALUE"""),"LD014")</f>
        <v>LD014</v>
      </c>
      <c r="D16" s="55" t="s">
        <v>42</v>
      </c>
      <c r="E16" s="55" t="s">
        <v>53</v>
      </c>
      <c r="F16" s="44" t="s">
        <v>60</v>
      </c>
      <c r="G16" s="44" t="s">
        <v>61</v>
      </c>
      <c r="H16" s="44" t="s">
        <v>1131</v>
      </c>
      <c r="I16" s="55" t="s">
        <v>2681</v>
      </c>
      <c r="J16" s="55" t="s">
        <v>88</v>
      </c>
      <c r="K16" s="44" t="s">
        <v>61</v>
      </c>
      <c r="L16" s="44" t="s">
        <v>70</v>
      </c>
      <c r="M16" s="44" t="s">
        <v>116</v>
      </c>
      <c r="N16" s="44" t="s">
        <v>70</v>
      </c>
      <c r="O16" s="44" t="s">
        <v>70</v>
      </c>
      <c r="P16" s="44" t="s">
        <v>70</v>
      </c>
      <c r="Q16" s="67" t="str">
        <f>IFERROR(__xludf.DUMMYFUNCTION("""COMPUTED_VALUE"""),"WritingCourse_NON_NON_HuyLG_060121")</f>
        <v>WritingCourse_NON_NON_HuyLG_060121</v>
      </c>
      <c r="R16" s="67" t="str">
        <f>IFERROR(__xludf.DUMMYFUNCTION("""COMPUTED_VALUE"""),"NON_NONE_none_none_060121")</f>
        <v>NON_NONE_none_none_060121</v>
      </c>
      <c r="S16" s="67" t="str">
        <f>IFERROR(__xludf.DUMMYFUNCTION("""COMPUTED_VALUE"""),"khac_Content2_NON_LD014")</f>
        <v>khac_Content2_NON_LD014</v>
      </c>
      <c r="T16" s="107" t="str">
        <f>IFERROR(__xludf.DUMMYFUNCTION("""COMPUTED_VALUE"""),"https://patadovietnam.edu.vn/tai-lieu/chinh-phuc-ielts-writing-course/?utm_source=Facebook&amp;utm_medium=SEE&amp;utm_term=NON_NONE_none_none_060121&amp;utm_content=khac_Content2_NON_LD014&amp;utm_campaign=WritingCourse_NON_NON_HuyLG_060121")</f>
        <v>https://patadovietnam.edu.vn/tai-lieu/chinh-phuc-ielts-writing-course/?utm_source=Facebook&amp;utm_medium=SEE&amp;utm_term=NON_NONE_none_none_060121&amp;utm_content=khac_Content2_NON_LD014&amp;utm_campaign=WritingCourse_NON_NON_HuyLG_060121</v>
      </c>
      <c r="U16" s="118"/>
    </row>
    <row r="17">
      <c r="A17" s="72">
        <v>44203.0</v>
      </c>
      <c r="B17" s="61" t="s">
        <v>2685</v>
      </c>
      <c r="C17" s="67" t="str">
        <f>IFERROR(__xludf.DUMMYFUNCTION("""COMPUTED_VALUE"""),"LD037")</f>
        <v>LD037</v>
      </c>
      <c r="D17" s="55" t="s">
        <v>42</v>
      </c>
      <c r="E17" s="55" t="s">
        <v>53</v>
      </c>
      <c r="F17" s="44" t="s">
        <v>60</v>
      </c>
      <c r="G17" s="44" t="s">
        <v>61</v>
      </c>
      <c r="H17" s="44" t="s">
        <v>1131</v>
      </c>
      <c r="I17" s="55" t="s">
        <v>2688</v>
      </c>
      <c r="J17" s="55" t="s">
        <v>2670</v>
      </c>
      <c r="K17" s="44" t="s">
        <v>61</v>
      </c>
      <c r="L17" s="44" t="s">
        <v>70</v>
      </c>
      <c r="M17" s="44" t="s">
        <v>116</v>
      </c>
      <c r="N17" s="44" t="s">
        <v>70</v>
      </c>
      <c r="O17" s="44" t="s">
        <v>70</v>
      </c>
      <c r="P17" s="44" t="s">
        <v>70</v>
      </c>
      <c r="Q17" s="67" t="str">
        <f>IFERROR(__xludf.DUMMYFUNCTION("""COMPUTED_VALUE"""),"Listening_NON_NON_HuyLG_070121")</f>
        <v>Listening_NON_NON_HuyLG_070121</v>
      </c>
      <c r="R17" s="67" t="str">
        <f>IFERROR(__xludf.DUMMYFUNCTION("""COMPUTED_VALUE"""),"NON_NONE_none_none_070121")</f>
        <v>NON_NONE_none_none_070121</v>
      </c>
      <c r="S17" s="67" t="str">
        <f>IFERROR(__xludf.DUMMYFUNCTION("""COMPUTED_VALUE"""),"khac_Content_NON_LD037")</f>
        <v>khac_Content_NON_LD037</v>
      </c>
      <c r="T17" s="107" t="str">
        <f>IFERROR(__xludf.DUMMYFUNCTION("""COMPUTED_VALUE"""),"https://patadovietnam.edu.vn/blog/ielts-listening/lo-trinh-hoc-ielts-listening/?utm_source=Facebook&amp;utm_medium=SEE&amp;utm_term=NON_NONE_none_none_070121&amp;utm_content=khac_Content_NON_LD037&amp;utm_campaign=Listening_NON_NON_HuyLG_070121")</f>
        <v>https://patadovietnam.edu.vn/blog/ielts-listening/lo-trinh-hoc-ielts-listening/?utm_source=Facebook&amp;utm_medium=SEE&amp;utm_term=NON_NONE_none_none_070121&amp;utm_content=khac_Content_NON_LD037&amp;utm_campaign=Listening_NON_NON_HuyLG_070121</v>
      </c>
      <c r="U17" s="118"/>
    </row>
    <row r="18">
      <c r="A18" s="72">
        <v>44204.0</v>
      </c>
      <c r="B18" s="61" t="s">
        <v>2691</v>
      </c>
      <c r="C18" s="67" t="str">
        <f>IFERROR(__xludf.DUMMYFUNCTION("""COMPUTED_VALUE"""),"LD039")</f>
        <v>LD039</v>
      </c>
      <c r="D18" s="55" t="s">
        <v>42</v>
      </c>
      <c r="E18" s="55" t="s">
        <v>53</v>
      </c>
      <c r="F18" s="44" t="s">
        <v>60</v>
      </c>
      <c r="G18" s="44" t="s">
        <v>61</v>
      </c>
      <c r="H18" s="44" t="s">
        <v>1131</v>
      </c>
      <c r="I18" s="55" t="s">
        <v>2693</v>
      </c>
      <c r="J18" s="55" t="s">
        <v>2670</v>
      </c>
      <c r="K18" s="44" t="s">
        <v>61</v>
      </c>
      <c r="L18" s="44" t="s">
        <v>70</v>
      </c>
      <c r="M18" s="44" t="s">
        <v>116</v>
      </c>
      <c r="N18" s="44" t="s">
        <v>70</v>
      </c>
      <c r="O18" s="44" t="s">
        <v>70</v>
      </c>
      <c r="P18" s="44" t="s">
        <v>70</v>
      </c>
      <c r="Q18" s="67" t="str">
        <f>IFERROR(__xludf.DUMMYFUNCTION("""COMPUTED_VALUE"""),"30loichuc_NON_NON_HuyLG_080121")</f>
        <v>30loichuc_NON_NON_HuyLG_080121</v>
      </c>
      <c r="R18" s="67" t="str">
        <f>IFERROR(__xludf.DUMMYFUNCTION("""COMPUTED_VALUE"""),"NON_NONE_none_none_080121")</f>
        <v>NON_NONE_none_none_080121</v>
      </c>
      <c r="S18" s="67" t="str">
        <f>IFERROR(__xludf.DUMMYFUNCTION("""COMPUTED_VALUE"""),"khac_Content_NON_LD039")</f>
        <v>khac_Content_NON_LD039</v>
      </c>
      <c r="T18" s="107" t="str">
        <f>IFERROR(__xludf.DUMMYFUNCTION("""COMPUTED_VALUE"""),"https://patadovietnam.edu.vn/blog/vocab-grammar/chuc-tet-tieng-anh/?utm_source=Facebook&amp;utm_medium=SEE&amp;utm_term=NON_NONE_none_none_080121&amp;utm_content=khac_Content_NON_LD039&amp;utm_campaign=30loichuc_NON_NON_HuyLG_080121")</f>
        <v>https://patadovietnam.edu.vn/blog/vocab-grammar/chuc-tet-tieng-anh/?utm_source=Facebook&amp;utm_medium=SEE&amp;utm_term=NON_NONE_none_none_080121&amp;utm_content=khac_Content_NON_LD039&amp;utm_campaign=30loichuc_NON_NON_HuyLG_080121</v>
      </c>
      <c r="U18" s="118"/>
    </row>
    <row r="19">
      <c r="A19" s="72">
        <v>44205.0</v>
      </c>
      <c r="B19" s="61" t="s">
        <v>479</v>
      </c>
      <c r="C19" s="67" t="str">
        <f>IFERROR(__xludf.DUMMYFUNCTION("""COMPUTED_VALUE"""),"LD040")</f>
        <v>LD040</v>
      </c>
      <c r="D19" s="55" t="s">
        <v>42</v>
      </c>
      <c r="E19" s="55" t="s">
        <v>53</v>
      </c>
      <c r="F19" s="44" t="s">
        <v>60</v>
      </c>
      <c r="G19" s="44" t="s">
        <v>61</v>
      </c>
      <c r="H19" s="44" t="s">
        <v>1131</v>
      </c>
      <c r="I19" s="55" t="s">
        <v>481</v>
      </c>
      <c r="J19" s="55" t="s">
        <v>2670</v>
      </c>
      <c r="K19" s="44" t="s">
        <v>61</v>
      </c>
      <c r="L19" s="44" t="s">
        <v>70</v>
      </c>
      <c r="M19" s="44" t="s">
        <v>116</v>
      </c>
      <c r="N19" s="44" t="s">
        <v>70</v>
      </c>
      <c r="O19" s="44" t="s">
        <v>70</v>
      </c>
      <c r="P19" s="44" t="s">
        <v>70</v>
      </c>
      <c r="Q19" s="67" t="str">
        <f>IFERROR(__xludf.DUMMYFUNCTION("""COMPUTED_VALUE"""),"3000tuvung_NON_NON_HuyLG_090121")</f>
        <v>3000tuvung_NON_NON_HuyLG_090121</v>
      </c>
      <c r="R19" s="67" t="str">
        <f>IFERROR(__xludf.DUMMYFUNCTION("""COMPUTED_VALUE"""),"NON_NONE_none_none_090121")</f>
        <v>NON_NONE_none_none_090121</v>
      </c>
      <c r="S19" s="67" t="str">
        <f>IFERROR(__xludf.DUMMYFUNCTION("""COMPUTED_VALUE"""),"khac_Content_NON_LD040")</f>
        <v>khac_Content_NON_LD040</v>
      </c>
      <c r="T19" s="107" t="str">
        <f>IFERROR(__xludf.DUMMYFUNCTION("""COMPUTED_VALUE"""),"https://patadovietnam.edu.vn/tai-lieu/3000-tu-vung-tieng-anh/?utm_source=Facebook&amp;utm_medium=SEE&amp;utm_term=NON_NONE_none_none_090121&amp;utm_content=khac_Content_NON_LD040&amp;utm_campaign=3000tuvung_NON_NON_HuyLG_090121")</f>
        <v>https://patadovietnam.edu.vn/tai-lieu/3000-tu-vung-tieng-anh/?utm_source=Facebook&amp;utm_medium=SEE&amp;utm_term=NON_NONE_none_none_090121&amp;utm_content=khac_Content_NON_LD040&amp;utm_campaign=3000tuvung_NON_NON_HuyLG_090121</v>
      </c>
      <c r="U19" s="118"/>
    </row>
    <row r="20">
      <c r="A20" s="72">
        <v>44205.0</v>
      </c>
      <c r="B20" s="61" t="s">
        <v>361</v>
      </c>
      <c r="C20" s="67" t="str">
        <f>IFERROR(__xludf.DUMMYFUNCTION("""COMPUTED_VALUE"""),"LD027")</f>
        <v>LD027</v>
      </c>
      <c r="D20" s="55" t="s">
        <v>42</v>
      </c>
      <c r="E20" s="55" t="s">
        <v>53</v>
      </c>
      <c r="F20" s="44" t="s">
        <v>60</v>
      </c>
      <c r="G20" s="44" t="s">
        <v>61</v>
      </c>
      <c r="H20" s="44" t="s">
        <v>1131</v>
      </c>
      <c r="I20" s="55" t="s">
        <v>2700</v>
      </c>
      <c r="J20" s="55" t="s">
        <v>2657</v>
      </c>
      <c r="K20" s="44" t="s">
        <v>61</v>
      </c>
      <c r="L20" s="44" t="s">
        <v>70</v>
      </c>
      <c r="M20" s="44" t="s">
        <v>116</v>
      </c>
      <c r="N20" s="44" t="s">
        <v>70</v>
      </c>
      <c r="O20" s="44" t="s">
        <v>70</v>
      </c>
      <c r="P20" s="44" t="s">
        <v>70</v>
      </c>
      <c r="Q20" s="67" t="str">
        <f>IFERROR(__xludf.DUMMYFUNCTION("""COMPUTED_VALUE"""),"tuvungcoban_NON_NON_HuyLG_090121")</f>
        <v>tuvungcoban_NON_NON_HuyLG_090121</v>
      </c>
      <c r="R20" s="67" t="str">
        <f>IFERROR(__xludf.DUMMYFUNCTION("""COMPUTED_VALUE"""),"NON_NONE_none_none_090121")</f>
        <v>NON_NONE_none_none_090121</v>
      </c>
      <c r="S20" s="67" t="str">
        <f>IFERROR(__xludf.DUMMYFUNCTION("""COMPUTED_VALUE"""),"khac_Content1_NON_LD027")</f>
        <v>khac_Content1_NON_LD027</v>
      </c>
      <c r="T20" s="107" t="str">
        <f>IFERROR(__xludf.DUMMYFUNCTION("""COMPUTED_VALUE"""),"https://patadovietnam.edu.vn/tai-lieu/tu-vung-co-ban-english-vocabulary-in-use-elementary/?utm_source=Facebook&amp;utm_medium=SEE&amp;utm_term=NON_NONE_none_none_090121&amp;utm_content=khac_Content1_NON_LD027&amp;utm_campaign=tuvungcoban_NON_NON_HuyLG_090121")</f>
        <v>https://patadovietnam.edu.vn/tai-lieu/tu-vung-co-ban-english-vocabulary-in-use-elementary/?utm_source=Facebook&amp;utm_medium=SEE&amp;utm_term=NON_NONE_none_none_090121&amp;utm_content=khac_Content1_NON_LD027&amp;utm_campaign=tuvungcoban_NON_NON_HuyLG_090121</v>
      </c>
      <c r="U20" s="118"/>
    </row>
    <row r="21">
      <c r="A21" s="72">
        <v>44207.0</v>
      </c>
      <c r="B21" s="61" t="s">
        <v>356</v>
      </c>
      <c r="C21" s="67" t="str">
        <f>IFERROR(__xludf.DUMMYFUNCTION("""COMPUTED_VALUE"""),"LD024")</f>
        <v>LD024</v>
      </c>
      <c r="D21" s="55" t="s">
        <v>42</v>
      </c>
      <c r="E21" s="55" t="s">
        <v>53</v>
      </c>
      <c r="F21" s="44" t="s">
        <v>60</v>
      </c>
      <c r="G21" s="44" t="s">
        <v>61</v>
      </c>
      <c r="H21" s="44" t="s">
        <v>1131</v>
      </c>
      <c r="I21" s="55" t="s">
        <v>2704</v>
      </c>
      <c r="J21" s="55" t="s">
        <v>2670</v>
      </c>
      <c r="K21" s="44" t="s">
        <v>61</v>
      </c>
      <c r="L21" s="44" t="s">
        <v>70</v>
      </c>
      <c r="M21" s="44" t="s">
        <v>116</v>
      </c>
      <c r="N21" s="44" t="s">
        <v>70</v>
      </c>
      <c r="O21" s="44" t="s">
        <v>70</v>
      </c>
      <c r="P21" s="44" t="s">
        <v>70</v>
      </c>
      <c r="Q21" s="67" t="str">
        <f>IFERROR(__xludf.DUMMYFUNCTION("""COMPUTED_VALUE"""),"Vocabulary_NON_NON_HuyLG_110121")</f>
        <v>Vocabulary_NON_NON_HuyLG_110121</v>
      </c>
      <c r="R21" s="67" t="str">
        <f>IFERROR(__xludf.DUMMYFUNCTION("""COMPUTED_VALUE"""),"NON_NONE_none_none_110121")</f>
        <v>NON_NONE_none_none_110121</v>
      </c>
      <c r="S21" s="67" t="str">
        <f>IFERROR(__xludf.DUMMYFUNCTION("""COMPUTED_VALUE"""),"khac_Content_NON_LD024")</f>
        <v>khac_Content_NON_LD024</v>
      </c>
      <c r="T21" s="107" t="str">
        <f>IFERROR(__xludf.DUMMYFUNCTION("""COMPUTED_VALUE"""),"https://patadovietnam.edu.vn/tai-lieu/full-bo-check-your-english-vocabulary/?utm_source=Facebook&amp;utm_medium=SEE&amp;utm_term=NON_NONE_none_none_110121&amp;utm_content=khac_Content_NON_LD024&amp;utm_campaign=Vocabulary_NON_NON_HuyLG_110121")</f>
        <v>https://patadovietnam.edu.vn/tai-lieu/full-bo-check-your-english-vocabulary/?utm_source=Facebook&amp;utm_medium=SEE&amp;utm_term=NON_NONE_none_none_110121&amp;utm_content=khac_Content_NON_LD024&amp;utm_campaign=Vocabulary_NON_NON_HuyLG_110121</v>
      </c>
      <c r="U21" s="118"/>
    </row>
    <row r="22">
      <c r="A22" s="72">
        <v>44209.0</v>
      </c>
      <c r="B22" s="61" t="s">
        <v>363</v>
      </c>
      <c r="C22" s="67" t="str">
        <f>IFERROR(__xludf.DUMMYFUNCTION("""COMPUTED_VALUE"""),"LD028")</f>
        <v>LD028</v>
      </c>
      <c r="D22" s="55" t="s">
        <v>42</v>
      </c>
      <c r="E22" s="55" t="s">
        <v>53</v>
      </c>
      <c r="F22" s="44" t="s">
        <v>60</v>
      </c>
      <c r="G22" s="44" t="s">
        <v>61</v>
      </c>
      <c r="H22" s="44" t="s">
        <v>1131</v>
      </c>
      <c r="I22" s="55" t="s">
        <v>86</v>
      </c>
      <c r="J22" s="55" t="s">
        <v>2670</v>
      </c>
      <c r="K22" s="44" t="s">
        <v>61</v>
      </c>
      <c r="L22" s="44" t="s">
        <v>70</v>
      </c>
      <c r="M22" s="44" t="s">
        <v>116</v>
      </c>
      <c r="N22" s="44" t="s">
        <v>70</v>
      </c>
      <c r="O22" s="44" t="s">
        <v>70</v>
      </c>
      <c r="P22" s="44" t="s">
        <v>70</v>
      </c>
      <c r="Q22" s="67" t="str">
        <f>IFERROR(__xludf.DUMMYFUNCTION("""COMPUTED_VALUE"""),"Grammar_NON_NON_HuyLG_130121")</f>
        <v>Grammar_NON_NON_HuyLG_130121</v>
      </c>
      <c r="R22" s="67" t="str">
        <f>IFERROR(__xludf.DUMMYFUNCTION("""COMPUTED_VALUE"""),"NON_NONE_none_none_130121")</f>
        <v>NON_NONE_none_none_130121</v>
      </c>
      <c r="S22" s="67" t="str">
        <f>IFERROR(__xludf.DUMMYFUNCTION("""COMPUTED_VALUE"""),"khac_Content_NON_LD028")</f>
        <v>khac_Content_NON_LD028</v>
      </c>
      <c r="T22" s="107" t="str">
        <f>IFERROR(__xludf.DUMMYFUNCTION("""COMPUTED_VALUE"""),"https://patadovietnam.edu.vn/tai-lieu/english-grammar-in-use/?utm_source=Facebook&amp;utm_medium=SEE&amp;utm_term=NON_NONE_none_none_130121&amp;utm_content=khac_Content_NON_LD028&amp;utm_campaign=Grammar_NON_NON_HuyLG_130121")</f>
        <v>https://patadovietnam.edu.vn/tai-lieu/english-grammar-in-use/?utm_source=Facebook&amp;utm_medium=SEE&amp;utm_term=NON_NONE_none_none_130121&amp;utm_content=khac_Content_NON_LD028&amp;utm_campaign=Grammar_NON_NON_HuyLG_130121</v>
      </c>
      <c r="U22" s="118"/>
    </row>
    <row r="23">
      <c r="A23" s="72">
        <v>44209.0</v>
      </c>
      <c r="B23" s="61" t="s">
        <v>156</v>
      </c>
      <c r="C23" s="67" t="str">
        <f>IFERROR(__xludf.DUMMYFUNCTION("""COMPUTED_VALUE"""),"LD043")</f>
        <v>LD043</v>
      </c>
      <c r="D23" s="55" t="s">
        <v>42</v>
      </c>
      <c r="E23" s="55" t="s">
        <v>53</v>
      </c>
      <c r="F23" s="44" t="s">
        <v>60</v>
      </c>
      <c r="G23" s="44" t="s">
        <v>61</v>
      </c>
      <c r="H23" s="44" t="s">
        <v>1131</v>
      </c>
      <c r="I23" s="55" t="s">
        <v>2711</v>
      </c>
      <c r="J23" s="55" t="s">
        <v>2670</v>
      </c>
      <c r="K23" s="44" t="s">
        <v>61</v>
      </c>
      <c r="L23" s="44" t="s">
        <v>70</v>
      </c>
      <c r="M23" s="44" t="s">
        <v>116</v>
      </c>
      <c r="N23" s="44" t="s">
        <v>70</v>
      </c>
      <c r="O23" s="44" t="s">
        <v>70</v>
      </c>
      <c r="P23" s="44" t="s">
        <v>70</v>
      </c>
      <c r="Q23" s="67" t="str">
        <f>IFERROR(__xludf.DUMMYFUNCTION("""COMPUTED_VALUE"""),"Kinhnghiemthi_NON_NON_HuyLG_130121")</f>
        <v>Kinhnghiemthi_NON_NON_HuyLG_130121</v>
      </c>
      <c r="R23" s="67" t="str">
        <f>IFERROR(__xludf.DUMMYFUNCTION("""COMPUTED_VALUE"""),"NON_NONE_none_none_130121")</f>
        <v>NON_NONE_none_none_130121</v>
      </c>
      <c r="S23" s="67" t="str">
        <f>IFERROR(__xludf.DUMMYFUNCTION("""COMPUTED_VALUE"""),"khac_Content_NON_LD043")</f>
        <v>khac_Content_NON_LD043</v>
      </c>
      <c r="T23" s="107" t="str">
        <f>IFERROR(__xludf.DUMMYFUNCTION("""COMPUTED_VALUE"""),"https://patadovietnam.edu.vn/blog/kinh-nghiem-thi/ielts/?utm_source=Facebook&amp;utm_medium=SEE&amp;utm_term=NON_NONE_none_none_130121&amp;utm_content=khac_Content_NON_LD043&amp;utm_campaign=Kinhnghiemthi_NON_NON_HuyLG_130121")</f>
        <v>https://patadovietnam.edu.vn/blog/kinh-nghiem-thi/ielts/?utm_source=Facebook&amp;utm_medium=SEE&amp;utm_term=NON_NONE_none_none_130121&amp;utm_content=khac_Content_NON_LD043&amp;utm_campaign=Kinhnghiemthi_NON_NON_HuyLG_130121</v>
      </c>
      <c r="U23" s="152"/>
    </row>
    <row r="24">
      <c r="A24" s="72">
        <v>44210.0</v>
      </c>
      <c r="B24" s="61" t="s">
        <v>2716</v>
      </c>
      <c r="C24" s="67" t="str">
        <f>IFERROR(__xludf.DUMMYFUNCTION("""COMPUTED_VALUE"""),"LD045")</f>
        <v>LD045</v>
      </c>
      <c r="D24" s="55" t="s">
        <v>42</v>
      </c>
      <c r="E24" s="55" t="s">
        <v>53</v>
      </c>
      <c r="F24" s="44" t="s">
        <v>60</v>
      </c>
      <c r="G24" s="44" t="s">
        <v>61</v>
      </c>
      <c r="H24" s="44" t="s">
        <v>1131</v>
      </c>
      <c r="I24" s="55" t="s">
        <v>2718</v>
      </c>
      <c r="J24" s="55" t="s">
        <v>2670</v>
      </c>
      <c r="K24" s="44" t="s">
        <v>61</v>
      </c>
      <c r="L24" s="44" t="s">
        <v>70</v>
      </c>
      <c r="M24" s="44" t="s">
        <v>116</v>
      </c>
      <c r="N24" s="44" t="s">
        <v>70</v>
      </c>
      <c r="O24" s="44" t="s">
        <v>70</v>
      </c>
      <c r="P24" s="44" t="s">
        <v>70</v>
      </c>
      <c r="Q24" s="67" t="str">
        <f>IFERROR(__xludf.DUMMYFUNCTION("""COMPUTED_VALUE"""),"Testvocab_NON_NON_HuyLG_140121")</f>
        <v>Testvocab_NON_NON_HuyLG_140121</v>
      </c>
      <c r="R24" s="67" t="str">
        <f>IFERROR(__xludf.DUMMYFUNCTION("""COMPUTED_VALUE"""),"NON_NONE_none_none_140121")</f>
        <v>NON_NONE_none_none_140121</v>
      </c>
      <c r="S24" s="67" t="str">
        <f>IFERROR(__xludf.DUMMYFUNCTION("""COMPUTED_VALUE"""),"khac_Content_NON_LD045")</f>
        <v>khac_Content_NON_LD045</v>
      </c>
      <c r="T24" s="107" t="str">
        <f>IFERROR(__xludf.DUMMYFUNCTION("""COMPUTED_VALUE"""),"https://patadovietnam.edu.vn/test-trinh-do/kiem-tra-trinh-do-tu-vung-tieng-anh-01/?utm_source=Facebook&amp;utm_medium=SEE&amp;utm_term=NON_NONE_none_none_140121&amp;utm_content=khac_Content_NON_LD045&amp;utm_campaign=Testvocab_NON_NON_HuyLG_140121")</f>
        <v>https://patadovietnam.edu.vn/test-trinh-do/kiem-tra-trinh-do-tu-vung-tieng-anh-01/?utm_source=Facebook&amp;utm_medium=SEE&amp;utm_term=NON_NONE_none_none_140121&amp;utm_content=khac_Content_NON_LD045&amp;utm_campaign=Testvocab_NON_NON_HuyLG_140121</v>
      </c>
      <c r="U24" s="118"/>
    </row>
    <row r="25">
      <c r="A25" s="72">
        <v>44214.0</v>
      </c>
      <c r="B25" s="61" t="s">
        <v>331</v>
      </c>
      <c r="C25" s="67" t="str">
        <f>IFERROR(__xludf.DUMMYFUNCTION("""COMPUTED_VALUE"""),"LD054")</f>
        <v>LD054</v>
      </c>
      <c r="D25" s="55" t="s">
        <v>42</v>
      </c>
      <c r="E25" s="55" t="s">
        <v>53</v>
      </c>
      <c r="F25" s="44" t="s">
        <v>60</v>
      </c>
      <c r="G25" s="44" t="s">
        <v>61</v>
      </c>
      <c r="H25" s="44" t="s">
        <v>1131</v>
      </c>
      <c r="I25" s="55" t="s">
        <v>2724</v>
      </c>
      <c r="J25" s="55" t="s">
        <v>2670</v>
      </c>
      <c r="K25" s="44" t="s">
        <v>61</v>
      </c>
      <c r="L25" s="44" t="s">
        <v>70</v>
      </c>
      <c r="M25" s="44" t="s">
        <v>116</v>
      </c>
      <c r="N25" s="44" t="s">
        <v>70</v>
      </c>
      <c r="O25" s="44" t="s">
        <v>70</v>
      </c>
      <c r="P25" s="44" t="s">
        <v>70</v>
      </c>
      <c r="Q25" s="67" t="str">
        <f>IFERROR(__xludf.DUMMYFUNCTION("""COMPUTED_VALUE"""),"Booster_NON_NON_HuyLG_180121")</f>
        <v>Booster_NON_NON_HuyLG_180121</v>
      </c>
      <c r="R25" s="67" t="str">
        <f>IFERROR(__xludf.DUMMYFUNCTION("""COMPUTED_VALUE"""),"NON_NONE_none_none_180121")</f>
        <v>NON_NONE_none_none_180121</v>
      </c>
      <c r="S25" s="67" t="str">
        <f>IFERROR(__xludf.DUMMYFUNCTION("""COMPUTED_VALUE"""),"khac_Content_NON_LD054")</f>
        <v>khac_Content_NON_LD054</v>
      </c>
      <c r="T25" s="107" t="str">
        <f>IFERROR(__xludf.DUMMYFUNCTION("""COMPUTED_VALUE"""),"https://patadovietnam.edu.vn/tai-lieu/ielts-vocabulary-booster/?utm_source=Facebook&amp;utm_medium=SEE&amp;utm_term=NON_NONE_none_none_180121&amp;utm_content=khac_Content_NON_LD054&amp;utm_campaign=Booster_NON_NON_HuyLG_180121")</f>
        <v>https://patadovietnam.edu.vn/tai-lieu/ielts-vocabulary-booster/?utm_source=Facebook&amp;utm_medium=SEE&amp;utm_term=NON_NONE_none_none_180121&amp;utm_content=khac_Content_NON_LD054&amp;utm_campaign=Booster_NON_NON_HuyLG_180121</v>
      </c>
      <c r="U25" s="118"/>
    </row>
    <row r="26">
      <c r="A26" s="72">
        <v>44215.0</v>
      </c>
      <c r="B26" s="61" t="s">
        <v>276</v>
      </c>
      <c r="C26" s="67" t="str">
        <f>IFERROR(__xludf.DUMMYFUNCTION("""COMPUTED_VALUE"""),"LD055")</f>
        <v>LD055</v>
      </c>
      <c r="D26" s="55" t="s">
        <v>42</v>
      </c>
      <c r="E26" s="55" t="s">
        <v>53</v>
      </c>
      <c r="F26" s="44" t="s">
        <v>60</v>
      </c>
      <c r="G26" s="44" t="s">
        <v>61</v>
      </c>
      <c r="H26" s="44" t="s">
        <v>1131</v>
      </c>
      <c r="I26" s="55" t="s">
        <v>2728</v>
      </c>
      <c r="J26" s="55" t="s">
        <v>2670</v>
      </c>
      <c r="K26" s="44" t="s">
        <v>61</v>
      </c>
      <c r="L26" s="44" t="s">
        <v>70</v>
      </c>
      <c r="M26" s="44" t="s">
        <v>116</v>
      </c>
      <c r="N26" s="44" t="s">
        <v>70</v>
      </c>
      <c r="O26" s="44" t="s">
        <v>70</v>
      </c>
      <c r="P26" s="44" t="s">
        <v>70</v>
      </c>
      <c r="Q26" s="67" t="str">
        <f>IFERROR(__xludf.DUMMYFUNCTION("""COMPUTED_VALUE"""),"Tuloai_NON_NON_HuyLG_190121")</f>
        <v>Tuloai_NON_NON_HuyLG_190121</v>
      </c>
      <c r="R26" s="67" t="str">
        <f>IFERROR(__xludf.DUMMYFUNCTION("""COMPUTED_VALUE"""),"NON_NONE_none_none_190121")</f>
        <v>NON_NONE_none_none_190121</v>
      </c>
      <c r="S26" s="67" t="str">
        <f>IFERROR(__xludf.DUMMYFUNCTION("""COMPUTED_VALUE"""),"khac_Content_NON_LD055")</f>
        <v>khac_Content_NON_LD055</v>
      </c>
      <c r="T26" s="107" t="str">
        <f>IFERROR(__xludf.DUMMYFUNCTION("""COMPUTED_VALUE"""),"https://patadovietnam.edu.vn/blog/vocab-grammar/tu-loai/?utm_source=Facebook&amp;utm_medium=SEE&amp;utm_term=NON_NONE_none_none_190121&amp;utm_content=khac_Content_NON_LD055&amp;utm_campaign=Tuloai_NON_NON_HuyLG_190121")</f>
        <v>https://patadovietnam.edu.vn/blog/vocab-grammar/tu-loai/?utm_source=Facebook&amp;utm_medium=SEE&amp;utm_term=NON_NONE_none_none_190121&amp;utm_content=khac_Content_NON_LD055&amp;utm_campaign=Tuloai_NON_NON_HuyLG_190121</v>
      </c>
      <c r="U26" s="118"/>
    </row>
    <row r="27">
      <c r="A27" s="66">
        <v>170221.0</v>
      </c>
      <c r="B27" s="61" t="s">
        <v>457</v>
      </c>
      <c r="C27" s="67" t="str">
        <f>IFERROR(__xludf.DUMMYFUNCTION("""COMPUTED_VALUE"""),"LD059")</f>
        <v>LD059</v>
      </c>
      <c r="D27" s="55" t="s">
        <v>42</v>
      </c>
      <c r="E27" s="55" t="s">
        <v>53</v>
      </c>
      <c r="F27" s="44" t="s">
        <v>60</v>
      </c>
      <c r="G27" s="44" t="s">
        <v>61</v>
      </c>
      <c r="H27" s="44" t="s">
        <v>1131</v>
      </c>
      <c r="I27" s="55" t="s">
        <v>2734</v>
      </c>
      <c r="J27" s="55" t="s">
        <v>2670</v>
      </c>
      <c r="K27" s="44" t="s">
        <v>61</v>
      </c>
      <c r="L27" s="44" t="s">
        <v>70</v>
      </c>
      <c r="M27" s="44" t="s">
        <v>116</v>
      </c>
      <c r="N27" s="44" t="s">
        <v>70</v>
      </c>
      <c r="O27" s="44" t="s">
        <v>70</v>
      </c>
      <c r="P27" s="44" t="s">
        <v>70</v>
      </c>
      <c r="Q27" s="67" t="str">
        <f>IFERROR(__xludf.DUMMYFUNCTION("""COMPUTED_VALUE"""),"Oxfordwword_NON_NON_HuyLG_170221")</f>
        <v>Oxfordwword_NON_NON_HuyLG_170221</v>
      </c>
      <c r="R27" s="67" t="str">
        <f>IFERROR(__xludf.DUMMYFUNCTION("""COMPUTED_VALUE"""),"NON_NONE_none_none_170221")</f>
        <v>NON_NONE_none_none_170221</v>
      </c>
      <c r="S27" s="67" t="str">
        <f>IFERROR(__xludf.DUMMYFUNCTION("""COMPUTED_VALUE"""),"khac_Content_NON_LD059")</f>
        <v>khac_Content_NON_LD059</v>
      </c>
      <c r="T27" s="107" t="str">
        <f>IFERROR(__xludf.DUMMYFUNCTION("""COMPUTED_VALUE"""),"https://patadovietnam.edu.vn/tai-lieu/oxford-word-skills-basic/?utm_source=Facebook&amp;utm_medium=SEE&amp;utm_term=NON_NONE_none_none_170221&amp;utm_content=khac_Content_NON_LD059&amp;utm_campaign=Oxfordwword_NON_NON_HuyLG_170221")</f>
        <v>https://patadovietnam.edu.vn/tai-lieu/oxford-word-skills-basic/?utm_source=Facebook&amp;utm_medium=SEE&amp;utm_term=NON_NONE_none_none_170221&amp;utm_content=khac_Content_NON_LD059&amp;utm_campaign=Oxfordwword_NON_NON_HuyLG_170221</v>
      </c>
      <c r="U27" s="118"/>
    </row>
    <row r="28">
      <c r="A28" s="66">
        <v>170221.0</v>
      </c>
      <c r="B28" s="61" t="s">
        <v>2738</v>
      </c>
      <c r="C28" s="67" t="str">
        <f>IFERROR(__xludf.DUMMYFUNCTION("""COMPUTED_VALUE"""),"LD060")</f>
        <v>LD060</v>
      </c>
      <c r="D28" s="55" t="s">
        <v>42</v>
      </c>
      <c r="E28" s="55" t="s">
        <v>53</v>
      </c>
      <c r="F28" s="44" t="s">
        <v>60</v>
      </c>
      <c r="G28" s="44" t="s">
        <v>61</v>
      </c>
      <c r="H28" s="44" t="s">
        <v>1131</v>
      </c>
      <c r="I28" s="55" t="s">
        <v>2739</v>
      </c>
      <c r="J28" s="55" t="s">
        <v>2670</v>
      </c>
      <c r="K28" s="44" t="s">
        <v>61</v>
      </c>
      <c r="L28" s="44" t="s">
        <v>70</v>
      </c>
      <c r="M28" s="44" t="s">
        <v>116</v>
      </c>
      <c r="N28" s="44" t="s">
        <v>70</v>
      </c>
      <c r="O28" s="44" t="s">
        <v>70</v>
      </c>
      <c r="P28" s="44" t="s">
        <v>70</v>
      </c>
      <c r="Q28" s="67" t="str">
        <f>IFERROR(__xludf.DUMMYFUNCTION("""COMPUTED_VALUE"""),"Tettansuu_NON_NON_HuyLG_170221")</f>
        <v>Tettansuu_NON_NON_HuyLG_170221</v>
      </c>
      <c r="R28" s="67" t="str">
        <f>IFERROR(__xludf.DUMMYFUNCTION("""COMPUTED_VALUE"""),"NON_NONE_none_none_170221")</f>
        <v>NON_NONE_none_none_170221</v>
      </c>
      <c r="S28" s="67" t="str">
        <f>IFERROR(__xludf.DUMMYFUNCTION("""COMPUTED_VALUE"""),"khac_Content_NON_LD060")</f>
        <v>khac_Content_NON_LD060</v>
      </c>
      <c r="T28" s="107" t="str">
        <f>IFERROR(__xludf.DUMMYFUNCTION("""COMPUTED_VALUE"""),"https://www.patado.net/tettansuu/?utm_source=Facebook&amp;utm_medium=SEE&amp;utm_term=NON_NONE_none_none_170221&amp;utm_content=khac_Content_NON_LD060&amp;utm_campaign=Tettansuu_NON_NON_HuyLG_170221")</f>
        <v>https://www.patado.net/tettansuu/?utm_source=Facebook&amp;utm_medium=SEE&amp;utm_term=NON_NONE_none_none_170221&amp;utm_content=khac_Content_NON_LD060&amp;utm_campaign=Tettansuu_NON_NON_HuyLG_170221</v>
      </c>
      <c r="U28" s="118"/>
    </row>
    <row r="29">
      <c r="A29" s="72">
        <v>44249.0</v>
      </c>
      <c r="B29" s="61" t="s">
        <v>222</v>
      </c>
      <c r="C29" s="67" t="str">
        <f>IFERROR(__xludf.DUMMYFUNCTION("""COMPUTED_VALUE"""),"LD051")</f>
        <v>LD051</v>
      </c>
      <c r="D29" s="55" t="s">
        <v>42</v>
      </c>
      <c r="E29" s="55" t="s">
        <v>53</v>
      </c>
      <c r="F29" s="44" t="s">
        <v>60</v>
      </c>
      <c r="G29" s="44" t="s">
        <v>61</v>
      </c>
      <c r="H29" s="44" t="s">
        <v>1131</v>
      </c>
      <c r="I29" s="55" t="s">
        <v>2745</v>
      </c>
      <c r="J29" s="55" t="s">
        <v>2670</v>
      </c>
      <c r="K29" s="44" t="s">
        <v>61</v>
      </c>
      <c r="L29" s="44" t="s">
        <v>70</v>
      </c>
      <c r="M29" s="44" t="s">
        <v>116</v>
      </c>
      <c r="N29" s="44" t="s">
        <v>70</v>
      </c>
      <c r="O29" s="44" t="s">
        <v>70</v>
      </c>
      <c r="P29" s="44" t="s">
        <v>70</v>
      </c>
      <c r="Q29" s="67" t="str">
        <f>IFERROR(__xludf.DUMMYFUNCTION("""COMPUTED_VALUE"""),"Cautrucbaithi_NON_NON_HuyLG_220221")</f>
        <v>Cautrucbaithi_NON_NON_HuyLG_220221</v>
      </c>
      <c r="R29" s="67" t="str">
        <f>IFERROR(__xludf.DUMMYFUNCTION("""COMPUTED_VALUE"""),"NON_NONE_none_none_220221")</f>
        <v>NON_NONE_none_none_220221</v>
      </c>
      <c r="S29" s="67" t="str">
        <f>IFERROR(__xludf.DUMMYFUNCTION("""COMPUTED_VALUE"""),"khac_Content_NON_LD051")</f>
        <v>khac_Content_NON_LD051</v>
      </c>
      <c r="T29" s="107" t="str">
        <f>IFERROR(__xludf.DUMMYFUNCTION("""COMPUTED_VALUE"""),"https://patadovietnam.edu.vn/blog/ielts-writting/cau-truc-bai-thi-ielts-academic-writing/?utm_source=Facebook&amp;utm_medium=SEE&amp;utm_term=NON_NONE_none_none_220221&amp;utm_content=khac_Content_NON_LD051&amp;utm_campaign=Cautrucbaithi_NON_NON_HuyLG_220221")</f>
        <v>https://patadovietnam.edu.vn/blog/ielts-writting/cau-truc-bai-thi-ielts-academic-writing/?utm_source=Facebook&amp;utm_medium=SEE&amp;utm_term=NON_NONE_none_none_220221&amp;utm_content=khac_Content_NON_LD051&amp;utm_campaign=Cautrucbaithi_NON_NON_HuyLG_220221</v>
      </c>
      <c r="U29" s="118"/>
    </row>
    <row r="30">
      <c r="A30" s="72">
        <v>44251.0</v>
      </c>
      <c r="B30" s="61" t="s">
        <v>299</v>
      </c>
      <c r="C30" s="67" t="str">
        <f>IFERROR(__xludf.DUMMYFUNCTION("""COMPUTED_VALUE"""),"LD061")</f>
        <v>LD061</v>
      </c>
      <c r="D30" s="55" t="s">
        <v>42</v>
      </c>
      <c r="E30" s="55" t="s">
        <v>53</v>
      </c>
      <c r="F30" s="44" t="s">
        <v>60</v>
      </c>
      <c r="G30" s="44" t="s">
        <v>61</v>
      </c>
      <c r="H30" s="44" t="s">
        <v>1131</v>
      </c>
      <c r="I30" s="55" t="s">
        <v>2750</v>
      </c>
      <c r="J30" s="55" t="s">
        <v>2670</v>
      </c>
      <c r="K30" s="44" t="s">
        <v>61</v>
      </c>
      <c r="L30" s="44" t="s">
        <v>70</v>
      </c>
      <c r="M30" s="44" t="s">
        <v>116</v>
      </c>
      <c r="N30" s="44" t="s">
        <v>70</v>
      </c>
      <c r="O30" s="44" t="s">
        <v>70</v>
      </c>
      <c r="P30" s="44" t="s">
        <v>70</v>
      </c>
      <c r="Q30" s="67" t="str">
        <f>IFERROR(__xludf.DUMMYFUNCTION("""COMPUTED_VALUE"""),"IeltsStrategies_NON_NON_HuyLG_240221")</f>
        <v>IeltsStrategies_NON_NON_HuyLG_240221</v>
      </c>
      <c r="R30" s="67" t="str">
        <f>IFERROR(__xludf.DUMMYFUNCTION("""COMPUTED_VALUE"""),"NON_NONE_none_none_240221")</f>
        <v>NON_NONE_none_none_240221</v>
      </c>
      <c r="S30" s="67" t="str">
        <f>IFERROR(__xludf.DUMMYFUNCTION("""COMPUTED_VALUE"""),"khac_Content_NON_LD061")</f>
        <v>khac_Content_NON_LD061</v>
      </c>
      <c r="T30" s="107" t="str">
        <f>IFERROR(__xludf.DUMMYFUNCTION("""COMPUTED_VALUE"""),"https://patadovietnam.edu.vn/tai-lieu/tron-bo-practical-ielts-strategies/?utm_source=Facebook&amp;utm_medium=SEE&amp;utm_term=NON_NONE_none_none_240221&amp;utm_content=khac_Content_NON_LD061&amp;utm_campaign=IeltsStrategies_NON_NON_HuyLG_240221")</f>
        <v>https://patadovietnam.edu.vn/tai-lieu/tron-bo-practical-ielts-strategies/?utm_source=Facebook&amp;utm_medium=SEE&amp;utm_term=NON_NONE_none_none_240221&amp;utm_content=khac_Content_NON_LD061&amp;utm_campaign=IeltsStrategies_NON_NON_HuyLG_240221</v>
      </c>
      <c r="U30" s="118"/>
    </row>
    <row r="31">
      <c r="A31" s="72">
        <v>44259.0</v>
      </c>
      <c r="B31" s="61" t="s">
        <v>106</v>
      </c>
      <c r="C31" s="67" t="str">
        <f>IFERROR(__xludf.DUMMYFUNCTION("""COMPUTED_VALUE"""),"LD063")</f>
        <v>LD063</v>
      </c>
      <c r="D31" s="55" t="s">
        <v>42</v>
      </c>
      <c r="E31" s="55" t="s">
        <v>53</v>
      </c>
      <c r="F31" s="44" t="s">
        <v>60</v>
      </c>
      <c r="G31" s="44" t="s">
        <v>61</v>
      </c>
      <c r="H31" s="44" t="s">
        <v>1131</v>
      </c>
      <c r="I31" s="55" t="s">
        <v>2756</v>
      </c>
      <c r="J31" s="55" t="s">
        <v>2670</v>
      </c>
      <c r="K31" s="44" t="s">
        <v>61</v>
      </c>
      <c r="L31" s="44" t="s">
        <v>70</v>
      </c>
      <c r="M31" s="44" t="s">
        <v>116</v>
      </c>
      <c r="N31" s="44" t="s">
        <v>70</v>
      </c>
      <c r="O31" s="44" t="s">
        <v>70</v>
      </c>
      <c r="P31" s="44" t="s">
        <v>70</v>
      </c>
      <c r="Q31" s="67" t="str">
        <f>IFERROR(__xludf.DUMMYFUNCTION("""COMPUTED_VALUE"""),"Idioms_NON_NON_HuyLG_040321")</f>
        <v>Idioms_NON_NON_HuyLG_040321</v>
      </c>
      <c r="R31" s="67" t="str">
        <f>IFERROR(__xludf.DUMMYFUNCTION("""COMPUTED_VALUE"""),"NON_NONE_none_none_040321")</f>
        <v>NON_NONE_none_none_040321</v>
      </c>
      <c r="S31" s="67" t="str">
        <f>IFERROR(__xludf.DUMMYFUNCTION("""COMPUTED_VALUE"""),"khac_Content_NON_LD063")</f>
        <v>khac_Content_NON_LD063</v>
      </c>
      <c r="T31" s="107" t="str">
        <f>IFERROR(__xludf.DUMMYFUNCTION("""COMPUTED_VALUE"""),"https://patadovietnam.edu.vn/blog/tin-tuc-tieng-anh/idioms-ielts-speaking/?utm_source=Facebook&amp;utm_medium=SEE&amp;utm_term=NON_NONE_none_none_040321&amp;utm_content=khac_Content_NON_LD063&amp;utm_campaign=Idioms_NON_NON_HuyLG_040321")</f>
        <v>https://patadovietnam.edu.vn/blog/tin-tuc-tieng-anh/idioms-ielts-speaking/?utm_source=Facebook&amp;utm_medium=SEE&amp;utm_term=NON_NONE_none_none_040321&amp;utm_content=khac_Content_NON_LD063&amp;utm_campaign=Idioms_NON_NON_HuyLG_040321</v>
      </c>
      <c r="U31" s="118"/>
    </row>
    <row r="32">
      <c r="A32" s="72">
        <v>44270.0</v>
      </c>
      <c r="B32" s="61" t="s">
        <v>419</v>
      </c>
      <c r="C32" s="67" t="str">
        <f>IFERROR(__xludf.DUMMYFUNCTION("""COMPUTED_VALUE"""),"LD065")</f>
        <v>LD065</v>
      </c>
      <c r="D32" s="55" t="s">
        <v>42</v>
      </c>
      <c r="E32" s="55" t="s">
        <v>69</v>
      </c>
      <c r="F32" s="55" t="s">
        <v>107</v>
      </c>
      <c r="G32" s="44" t="s">
        <v>61</v>
      </c>
      <c r="H32" s="44" t="s">
        <v>1131</v>
      </c>
      <c r="I32" s="55" t="s">
        <v>2759</v>
      </c>
      <c r="J32" s="55" t="s">
        <v>2760</v>
      </c>
      <c r="K32" s="55" t="s">
        <v>61</v>
      </c>
      <c r="L32" s="55" t="s">
        <v>317</v>
      </c>
      <c r="M32" s="55" t="s">
        <v>78</v>
      </c>
      <c r="N32" s="55" t="s">
        <v>69</v>
      </c>
      <c r="O32" s="55" t="s">
        <v>415</v>
      </c>
      <c r="P32" s="55" t="s">
        <v>110</v>
      </c>
      <c r="Q32" s="67" t="str">
        <f>IFERROR(__xludf.DUMMYFUNCTION("""COMPUTED_VALUE"""),"tienganhgiaotiepnails_XuBen.5018_CVS_HuyLG_150321")</f>
        <v>tienganhgiaotiepnails_XuBen.5018_CVS_HuyLG_150321</v>
      </c>
      <c r="R32" s="67" t="str">
        <f>IFERROR(__xludf.DUMMYFUNCTION("""COMPUTED_VALUE"""),"NEW_UnitedStates_none_none_150321")</f>
        <v>NEW_UnitedStates_none_none_150321</v>
      </c>
      <c r="S32" s="67" t="str">
        <f>IFERROR(__xludf.DUMMYFUNCTION("""COMPUTED_VALUE"""),"saletructiep_test1_TATTPVN_LD065")</f>
        <v>saletructiep_test1_TATTPVN_LD065</v>
      </c>
      <c r="T32" s="107" t="str">
        <f>IFERROR(__xludf.DUMMYFUNCTION("""COMPUTED_VALUE"""),"https://www.patado.net/tienganhgiaotiepnails/?utm_source=Facebook&amp;utm_medium=CVS&amp;utm_term=NEW_UnitedStates_none_none_150321&amp;utm_content=saletructiep_test1_TATTPVN_LD065&amp;utm_campaign=tienganhgiaotiepnails_XuBen.5018_CVS_HuyLG_150321")</f>
        <v>https://www.patado.net/tienganhgiaotiepnails/?utm_source=Facebook&amp;utm_medium=CVS&amp;utm_term=NEW_UnitedStates_none_none_150321&amp;utm_content=saletructiep_test1_TATTPVN_LD065&amp;utm_campaign=tienganhgiaotiepnails_XuBen.5018_CVS_HuyLG_150321</v>
      </c>
      <c r="U32" s="118"/>
    </row>
    <row r="33">
      <c r="A33" s="72">
        <v>44270.0</v>
      </c>
      <c r="B33" s="61" t="s">
        <v>419</v>
      </c>
      <c r="C33" s="67" t="str">
        <f>IFERROR(__xludf.DUMMYFUNCTION("""COMPUTED_VALUE"""),"LD065")</f>
        <v>LD065</v>
      </c>
      <c r="D33" s="55" t="s">
        <v>42</v>
      </c>
      <c r="E33" s="55" t="s">
        <v>69</v>
      </c>
      <c r="F33" s="55" t="s">
        <v>107</v>
      </c>
      <c r="G33" s="44" t="s">
        <v>61</v>
      </c>
      <c r="H33" s="44" t="s">
        <v>1131</v>
      </c>
      <c r="I33" s="55" t="s">
        <v>2759</v>
      </c>
      <c r="J33" s="55" t="s">
        <v>2764</v>
      </c>
      <c r="K33" s="55" t="s">
        <v>61</v>
      </c>
      <c r="L33" s="55" t="s">
        <v>317</v>
      </c>
      <c r="M33" s="55" t="s">
        <v>78</v>
      </c>
      <c r="N33" s="55" t="s">
        <v>69</v>
      </c>
      <c r="O33" s="55" t="s">
        <v>415</v>
      </c>
      <c r="P33" s="55" t="s">
        <v>110</v>
      </c>
      <c r="Q33" s="67" t="str">
        <f>IFERROR(__xludf.DUMMYFUNCTION("""COMPUTED_VALUE"""),"tienganhgiaotiepnails_XuBen.5018_CVS_HuyLG_150321")</f>
        <v>tienganhgiaotiepnails_XuBen.5018_CVS_HuyLG_150321</v>
      </c>
      <c r="R33" s="67" t="str">
        <f>IFERROR(__xludf.DUMMYFUNCTION("""COMPUTED_VALUE"""),"NEW_UnitedStates_none_none_150321")</f>
        <v>NEW_UnitedStates_none_none_150321</v>
      </c>
      <c r="S33" s="67" t="str">
        <f>IFERROR(__xludf.DUMMYFUNCTION("""COMPUTED_VALUE"""),"saletructiep_nails2_TATTPVN_LD065")</f>
        <v>saletructiep_nails2_TATTPVN_LD065</v>
      </c>
      <c r="T33" s="107" t="str">
        <f>IFERROR(__xludf.DUMMYFUNCTION("""COMPUTED_VALUE"""),"https://www.patado.net/tienganhgiaotiepnails/?utm_source=Facebook&amp;utm_medium=CVS&amp;utm_term=NEW_UnitedStates_none_none_150321&amp;utm_content=saletructiep_nails2_TATTPVN_LD065&amp;utm_campaign=tienganhgiaotiepnails_XuBen.5018_CVS_HuyLG_150321")</f>
        <v>https://www.patado.net/tienganhgiaotiepnails/?utm_source=Facebook&amp;utm_medium=CVS&amp;utm_term=NEW_UnitedStates_none_none_150321&amp;utm_content=saletructiep_nails2_TATTPVN_LD065&amp;utm_campaign=tienganhgiaotiepnails_XuBen.5018_CVS_HuyLG_150321</v>
      </c>
      <c r="U33" s="118"/>
    </row>
    <row r="34">
      <c r="A34" s="72">
        <v>44274.0</v>
      </c>
      <c r="B34" s="61" t="s">
        <v>419</v>
      </c>
      <c r="C34" s="67" t="str">
        <f>IFERROR(__xludf.DUMMYFUNCTION("""COMPUTED_VALUE"""),"LD065")</f>
        <v>LD065</v>
      </c>
      <c r="D34" s="55" t="s">
        <v>42</v>
      </c>
      <c r="E34" s="55" t="s">
        <v>69</v>
      </c>
      <c r="F34" s="55" t="s">
        <v>107</v>
      </c>
      <c r="G34" s="44" t="s">
        <v>61</v>
      </c>
      <c r="H34" s="44" t="s">
        <v>1131</v>
      </c>
      <c r="I34" s="55" t="s">
        <v>2759</v>
      </c>
      <c r="J34" s="55" t="s">
        <v>2769</v>
      </c>
      <c r="K34" s="55" t="s">
        <v>61</v>
      </c>
      <c r="L34" s="55" t="s">
        <v>317</v>
      </c>
      <c r="M34" s="55" t="s">
        <v>78</v>
      </c>
      <c r="N34" s="55" t="s">
        <v>69</v>
      </c>
      <c r="O34" s="55" t="s">
        <v>415</v>
      </c>
      <c r="P34" s="55" t="s">
        <v>110</v>
      </c>
      <c r="Q34" s="67" t="str">
        <f>IFERROR(__xludf.DUMMYFUNCTION("""COMPUTED_VALUE"""),"tienganhgiaotiepnails_XuBen.5018_CVS_HuyLG_190321")</f>
        <v>tienganhgiaotiepnails_XuBen.5018_CVS_HuyLG_190321</v>
      </c>
      <c r="R34" s="67" t="str">
        <f>IFERROR(__xludf.DUMMYFUNCTION("""COMPUTED_VALUE"""),"NEW_UnitedStates_none_none_190321")</f>
        <v>NEW_UnitedStates_none_none_190321</v>
      </c>
      <c r="S34" s="67" t="str">
        <f>IFERROR(__xludf.DUMMYFUNCTION("""COMPUTED_VALUE"""),"saletructiep_Nails3_TATTPVN_LD065")</f>
        <v>saletructiep_Nails3_TATTPVN_LD065</v>
      </c>
      <c r="T34" s="107" t="str">
        <f>IFERROR(__xludf.DUMMYFUNCTION("""COMPUTED_VALUE"""),"https://www.patado.net/tienganhgiaotiepnails/?utm_source=Facebook&amp;utm_medium=CVS&amp;utm_term=NEW_UnitedStates_none_none_190321&amp;utm_content=saletructiep_Nails3_TATTPVN_LD065&amp;utm_campaign=tienganhgiaotiepnails_XuBen.5018_CVS_HuyLG_190321")</f>
        <v>https://www.patado.net/tienganhgiaotiepnails/?utm_source=Facebook&amp;utm_medium=CVS&amp;utm_term=NEW_UnitedStates_none_none_190321&amp;utm_content=saletructiep_Nails3_TATTPVN_LD065&amp;utm_campaign=tienganhgiaotiepnails_XuBen.5018_CVS_HuyLG_190321</v>
      </c>
      <c r="U34" s="118"/>
    </row>
    <row r="35">
      <c r="A35" s="72">
        <v>44280.0</v>
      </c>
      <c r="B35" s="61" t="s">
        <v>416</v>
      </c>
      <c r="C35" s="67" t="str">
        <f>IFERROR(__xludf.DUMMYFUNCTION("""COMPUTED_VALUE"""),"LD067")</f>
        <v>LD067</v>
      </c>
      <c r="D35" s="55" t="s">
        <v>42</v>
      </c>
      <c r="E35" s="55" t="s">
        <v>69</v>
      </c>
      <c r="F35" s="55" t="s">
        <v>107</v>
      </c>
      <c r="G35" s="44" t="s">
        <v>61</v>
      </c>
      <c r="H35" s="44" t="s">
        <v>1131</v>
      </c>
      <c r="I35" s="55" t="s">
        <v>2773</v>
      </c>
      <c r="J35" s="55" t="s">
        <v>2774</v>
      </c>
      <c r="K35" s="55" t="s">
        <v>61</v>
      </c>
      <c r="L35" s="55" t="s">
        <v>317</v>
      </c>
      <c r="M35" s="55" t="s">
        <v>78</v>
      </c>
      <c r="N35" s="55" t="s">
        <v>69</v>
      </c>
      <c r="O35" s="55" t="s">
        <v>415</v>
      </c>
      <c r="P35" s="55" t="s">
        <v>110</v>
      </c>
      <c r="Q35" s="67" t="str">
        <f>IFERROR(__xludf.DUMMYFUNCTION("""COMPUTED_VALUE"""),"luyenthiquoctich_XuBen.5018_CVS_HuyLG_250321")</f>
        <v>luyenthiquoctich_XuBen.5018_CVS_HuyLG_250321</v>
      </c>
      <c r="R35" s="67" t="str">
        <f>IFERROR(__xludf.DUMMYFUNCTION("""COMPUTED_VALUE"""),"NEW_UnitedStates_none_none_250321")</f>
        <v>NEW_UnitedStates_none_none_250321</v>
      </c>
      <c r="S35" s="67" t="str">
        <f>IFERROR(__xludf.DUMMYFUNCTION("""COMPUTED_VALUE"""),"saletructiep_quoctich1_TATTPVN_LD067")</f>
        <v>saletructiep_quoctich1_TATTPVN_LD067</v>
      </c>
      <c r="T35" s="107" t="str">
        <f>IFERROR(__xludf.DUMMYFUNCTION("""COMPUTED_VALUE"""),"https://patadovietnam.edu.vn/luyenthiquoctichmy/?utm_source=Facebook&amp;utm_medium=CVS&amp;utm_term=NEW_UnitedStates_none_none_250321&amp;utm_content=saletructiep_quoctich1_TATTPVN_LD067&amp;utm_campaign=luyenthiquoctich_XuBen.5018_CVS_HuyLG_250321")</f>
        <v>https://patadovietnam.edu.vn/luyenthiquoctichmy/?utm_source=Facebook&amp;utm_medium=CVS&amp;utm_term=NEW_UnitedStates_none_none_250321&amp;utm_content=saletructiep_quoctich1_TATTPVN_LD067&amp;utm_campaign=luyenthiquoctich_XuBen.5018_CVS_HuyLG_250321</v>
      </c>
      <c r="U35" s="118"/>
    </row>
    <row r="36">
      <c r="A36" s="72">
        <v>44284.0</v>
      </c>
      <c r="B36" s="61" t="s">
        <v>83</v>
      </c>
      <c r="C36" s="67" t="str">
        <f>IFERROR(__xludf.DUMMYFUNCTION("""COMPUTED_VALUE"""),"LD008")</f>
        <v>LD008</v>
      </c>
      <c r="D36" s="55" t="s">
        <v>42</v>
      </c>
      <c r="E36" s="55" t="s">
        <v>69</v>
      </c>
      <c r="F36" s="55" t="s">
        <v>60</v>
      </c>
      <c r="G36" s="55" t="s">
        <v>61</v>
      </c>
      <c r="H36" s="55" t="s">
        <v>1131</v>
      </c>
      <c r="I36" s="55" t="s">
        <v>2778</v>
      </c>
      <c r="J36" s="55" t="s">
        <v>61</v>
      </c>
      <c r="K36" s="55" t="s">
        <v>61</v>
      </c>
      <c r="L36" s="55" t="s">
        <v>1130</v>
      </c>
      <c r="M36" s="55" t="s">
        <v>116</v>
      </c>
      <c r="N36" s="55" t="s">
        <v>69</v>
      </c>
      <c r="O36" s="55" t="s">
        <v>415</v>
      </c>
      <c r="P36" s="55" t="s">
        <v>70</v>
      </c>
      <c r="Q36" s="67" t="str">
        <f>IFERROR(__xludf.DUMMYFUNCTION("""COMPUTED_VALUE"""),"Inboxpage_Patado_CVS_HuyLG_290321")</f>
        <v>Inboxpage_Patado_CVS_HuyLG_290321</v>
      </c>
      <c r="R36" s="67" t="str">
        <f>IFERROR(__xludf.DUMMYFUNCTION("""COMPUTED_VALUE"""),"NON_NONE_none_none_290321")</f>
        <v>NON_NONE_none_none_290321</v>
      </c>
      <c r="S36" s="67" t="str">
        <f>IFERROR(__xludf.DUMMYFUNCTION("""COMPUTED_VALUE"""),"khac_none_TATTPVN_LD008")</f>
        <v>khac_none_TATTPVN_LD008</v>
      </c>
      <c r="T36" s="107" t="str">
        <f>IFERROR(__xludf.DUMMYFUNCTION("""COMPUTED_VALUE"""),"https://patadovietnam.edu.vn/?utm_source=Facebook&amp;utm_medium=CVS&amp;utm_term=NON_NONE_none_none_290321&amp;utm_content=khac_none_TATTPVN_LD008&amp;utm_campaign=Inboxpage_Patado_CVS_HuyLG_290321")</f>
        <v>https://patadovietnam.edu.vn/?utm_source=Facebook&amp;utm_medium=CVS&amp;utm_term=NON_NONE_none_none_290321&amp;utm_content=khac_none_TATTPVN_LD008&amp;utm_campaign=Inboxpage_Patado_CVS_HuyLG_290321</v>
      </c>
      <c r="U36" s="118"/>
    </row>
    <row r="37">
      <c r="A37" s="72">
        <v>44285.0</v>
      </c>
      <c r="B37" s="156" t="s">
        <v>777</v>
      </c>
      <c r="C37" s="67" t="str">
        <f>IFERROR(__xludf.DUMMYFUNCTION("""COMPUTED_VALUE"""),"LD068")</f>
        <v>LD068</v>
      </c>
      <c r="D37" s="55" t="s">
        <v>42</v>
      </c>
      <c r="E37" s="55" t="s">
        <v>79</v>
      </c>
      <c r="F37" s="55" t="s">
        <v>129</v>
      </c>
      <c r="G37" s="55" t="s">
        <v>61</v>
      </c>
      <c r="H37" s="55" t="s">
        <v>1131</v>
      </c>
      <c r="I37" s="55" t="s">
        <v>2787</v>
      </c>
      <c r="J37" s="55" t="s">
        <v>2788</v>
      </c>
      <c r="K37" s="55" t="s">
        <v>61</v>
      </c>
      <c r="L37" s="55" t="s">
        <v>317</v>
      </c>
      <c r="M37" s="55" t="s">
        <v>2789</v>
      </c>
      <c r="N37" s="55" t="s">
        <v>79</v>
      </c>
      <c r="O37" s="55" t="s">
        <v>415</v>
      </c>
      <c r="P37" s="55" t="s">
        <v>110</v>
      </c>
      <c r="Q37" s="67" t="str">
        <f>IFERROR(__xludf.DUMMYFUNCTION("""COMPUTED_VALUE"""),"Australia.Giaotiep_XuBen.5018_MES_HuyLG_300321")</f>
        <v>Australia.Giaotiep_XuBen.5018_MES_HuyLG_300321</v>
      </c>
      <c r="R37" s="67" t="str">
        <f>IFERROR(__xludf.DUMMYFUNCTION("""COMPUTED_VALUE"""),"NEW_Australia_none_none_300321")</f>
        <v>NEW_Australia_none_none_300321</v>
      </c>
      <c r="S37" s="67" t="str">
        <f>IFERROR(__xludf.DUMMYFUNCTION("""COMPUTED_VALUE"""),"Storytelling_Australia.Video.none.Giaotiep_TATTPVN_LD068")</f>
        <v>Storytelling_Australia.Video.none.Giaotiep_TATTPVN_LD068</v>
      </c>
      <c r="T37" s="107" t="str">
        <f>IFERROR(__xludf.DUMMYFUNCTION("""COMPUTED_VALUE"""),"https://patadovietnam.edu.vn/khoa-hoc-giao-tiep/?utm_source=Facebook&amp;utm_medium=MES&amp;utm_term=NEW_Australia_none_none_300321&amp;utm_content=Storytelling_Australia.Video.none.Giaotiep_TATTPVN_LD068&amp;utm_campaign=Australia.Giaotiep_XuBen.5018_MES_HuyLG_300321")</f>
        <v>https://patadovietnam.edu.vn/khoa-hoc-giao-tiep/?utm_source=Facebook&amp;utm_medium=MES&amp;utm_term=NEW_Australia_none_none_300321&amp;utm_content=Storytelling_Australia.Video.none.Giaotiep_TATTPVN_LD068&amp;utm_campaign=Australia.Giaotiep_XuBen.5018_MES_HuyLG_300321</v>
      </c>
      <c r="U37" s="118"/>
    </row>
    <row r="38">
      <c r="A38" s="72">
        <v>44285.0</v>
      </c>
      <c r="B38" s="156" t="s">
        <v>777</v>
      </c>
      <c r="C38" s="67" t="str">
        <f>IFERROR(__xludf.DUMMYFUNCTION("""COMPUTED_VALUE"""),"LD068")</f>
        <v>LD068</v>
      </c>
      <c r="D38" s="55" t="s">
        <v>42</v>
      </c>
      <c r="E38" s="55" t="s">
        <v>79</v>
      </c>
      <c r="F38" s="55" t="s">
        <v>199</v>
      </c>
      <c r="G38" s="55" t="s">
        <v>61</v>
      </c>
      <c r="H38" s="55" t="s">
        <v>1131</v>
      </c>
      <c r="I38" s="55" t="s">
        <v>79</v>
      </c>
      <c r="J38" s="55" t="s">
        <v>2793</v>
      </c>
      <c r="K38" s="55" t="s">
        <v>61</v>
      </c>
      <c r="L38" s="55" t="s">
        <v>317</v>
      </c>
      <c r="M38" s="55" t="s">
        <v>78</v>
      </c>
      <c r="N38" s="55" t="s">
        <v>79</v>
      </c>
      <c r="O38" s="55" t="s">
        <v>415</v>
      </c>
      <c r="P38" s="55" t="s">
        <v>110</v>
      </c>
      <c r="Q38" s="67" t="str">
        <f>IFERROR(__xludf.DUMMYFUNCTION("""COMPUTED_VALUE"""),"MES_XuBen.5018_MES_HuyLG_300321")</f>
        <v>MES_XuBen.5018_MES_HuyLG_300321</v>
      </c>
      <c r="R38" s="67" t="str">
        <f>IFERROR(__xludf.DUMMYFUNCTION("""COMPUTED_VALUE"""),"NEW_Vietnam_none_none_300321")</f>
        <v>NEW_Vietnam_none_none_300321</v>
      </c>
      <c r="S38" s="67" t="str">
        <f>IFERROR(__xludf.DUMMYFUNCTION("""COMPUTED_VALUE"""),"saletructiep_Giaotiep_TATTPVN_LD068")</f>
        <v>saletructiep_Giaotiep_TATTPVN_LD068</v>
      </c>
      <c r="T38" s="107" t="str">
        <f>IFERROR(__xludf.DUMMYFUNCTION("""COMPUTED_VALUE"""),"https://patadovietnam.edu.vn/khoa-hoc-giao-tiep/?utm_source=Facebook&amp;utm_medium=MES&amp;utm_term=NEW_Vietnam_none_none_300321&amp;utm_content=saletructiep_Giaotiep_TATTPVN_LD068&amp;utm_campaign=MES_XuBen.5018_MES_HuyLG_300321")</f>
        <v>https://patadovietnam.edu.vn/khoa-hoc-giao-tiep/?utm_source=Facebook&amp;utm_medium=MES&amp;utm_term=NEW_Vietnam_none_none_300321&amp;utm_content=saletructiep_Giaotiep_TATTPVN_LD068&amp;utm_campaign=MES_XuBen.5018_MES_HuyLG_300321</v>
      </c>
      <c r="U38" s="118"/>
    </row>
    <row r="39">
      <c r="A39" s="72">
        <v>44292.0</v>
      </c>
      <c r="B39" s="61" t="s">
        <v>156</v>
      </c>
      <c r="C39" s="67" t="str">
        <f>IFERROR(__xludf.DUMMYFUNCTION("""COMPUTED_VALUE"""),"LD043")</f>
        <v>LD043</v>
      </c>
      <c r="D39" s="55" t="s">
        <v>42</v>
      </c>
      <c r="E39" s="55" t="s">
        <v>125</v>
      </c>
      <c r="F39" s="55" t="s">
        <v>199</v>
      </c>
      <c r="G39" s="55" t="s">
        <v>61</v>
      </c>
      <c r="H39" s="55" t="s">
        <v>1131</v>
      </c>
      <c r="I39" s="55" t="s">
        <v>126</v>
      </c>
      <c r="J39" s="55" t="s">
        <v>191</v>
      </c>
      <c r="K39" s="55" t="s">
        <v>61</v>
      </c>
      <c r="L39" s="55" t="s">
        <v>317</v>
      </c>
      <c r="M39" s="55" t="s">
        <v>126</v>
      </c>
      <c r="N39" s="55" t="s">
        <v>125</v>
      </c>
      <c r="O39" s="55" t="s">
        <v>415</v>
      </c>
      <c r="P39" s="55" t="s">
        <v>70</v>
      </c>
      <c r="Q39" s="67" t="str">
        <f>IFERROR(__xludf.DUMMYFUNCTION("""COMPUTED_VALUE"""),"Document_XuBen.5018_CTW_HuyLG_060421")</f>
        <v>Document_XuBen.5018_CTW_HuyLG_060421</v>
      </c>
      <c r="R39" s="67" t="str">
        <f>IFERROR(__xludf.DUMMYFUNCTION("""COMPUTED_VALUE"""),"NON_Vietnam_none_none_060421")</f>
        <v>NON_Vietnam_none_none_060421</v>
      </c>
      <c r="S39" s="67" t="str">
        <f>IFERROR(__xludf.DUMMYFUNCTION("""COMPUTED_VALUE"""),"Document_IELTS_TATTPVN_LD043")</f>
        <v>Document_IELTS_TATTPVN_LD043</v>
      </c>
      <c r="T39" s="151" t="str">
        <f>IFERROR(__xludf.DUMMYFUNCTION("""COMPUTED_VALUE"""),"https://patadovietnam.edu.vn/blog/kinh-nghiem-thi/ielts/?utm_source=Facebook&amp;utm_medium=CTW&amp;utm_term=NON_Vietnam_none_none_060421&amp;utm_content=Document_IELTS_TATTPVN_LD043&amp;utm_campaign=Document_XuBen.5018_CTW_HuyLG_060421")</f>
        <v>https://patadovietnam.edu.vn/blog/kinh-nghiem-thi/ielts/?utm_source=Facebook&amp;utm_medium=CTW&amp;utm_term=NON_Vietnam_none_none_060421&amp;utm_content=Document_IELTS_TATTPVN_LD043&amp;utm_campaign=Document_XuBen.5018_CTW_HuyLG_060421</v>
      </c>
      <c r="U39" s="118"/>
    </row>
    <row r="40">
      <c r="A40" s="72">
        <v>44292.0</v>
      </c>
      <c r="B40" s="61" t="s">
        <v>276</v>
      </c>
      <c r="C40" s="67" t="str">
        <f>IFERROR(__xludf.DUMMYFUNCTION("""COMPUTED_VALUE"""),"LD055")</f>
        <v>LD055</v>
      </c>
      <c r="D40" s="55" t="s">
        <v>42</v>
      </c>
      <c r="E40" s="55" t="s">
        <v>125</v>
      </c>
      <c r="F40" s="55" t="s">
        <v>199</v>
      </c>
      <c r="G40" s="55" t="s">
        <v>61</v>
      </c>
      <c r="H40" s="55" t="s">
        <v>1131</v>
      </c>
      <c r="I40" s="55" t="s">
        <v>126</v>
      </c>
      <c r="J40" s="55" t="s">
        <v>2728</v>
      </c>
      <c r="K40" s="55" t="s">
        <v>61</v>
      </c>
      <c r="L40" s="55" t="s">
        <v>317</v>
      </c>
      <c r="M40" s="55" t="s">
        <v>126</v>
      </c>
      <c r="N40" s="55" t="s">
        <v>125</v>
      </c>
      <c r="O40" s="55" t="s">
        <v>415</v>
      </c>
      <c r="P40" s="55" t="s">
        <v>70</v>
      </c>
      <c r="Q40" s="67" t="str">
        <f>IFERROR(__xludf.DUMMYFUNCTION("""COMPUTED_VALUE"""),"Document_XuBen.5018_CTW_HuyLG_060421")</f>
        <v>Document_XuBen.5018_CTW_HuyLG_060421</v>
      </c>
      <c r="R40" s="67" t="str">
        <f>IFERROR(__xludf.DUMMYFUNCTION("""COMPUTED_VALUE"""),"NON_Vietnam_none_none_060421")</f>
        <v>NON_Vietnam_none_none_060421</v>
      </c>
      <c r="S40" s="67" t="str">
        <f>IFERROR(__xludf.DUMMYFUNCTION("""COMPUTED_VALUE"""),"Document_Tuloai_TATTPVN_LD055")</f>
        <v>Document_Tuloai_TATTPVN_LD055</v>
      </c>
      <c r="T40" s="107" t="str">
        <f>IFERROR(__xludf.DUMMYFUNCTION("""COMPUTED_VALUE"""),"https://patadovietnam.edu.vn/blog/vocab-grammar/tu-loai/?utm_source=Facebook&amp;utm_medium=CTW&amp;utm_term=NON_Vietnam_none_none_060421&amp;utm_content=Document_Tuloai_TATTPVN_LD055&amp;utm_campaign=Document_XuBen.5018_CTW_HuyLG_060421")</f>
        <v>https://patadovietnam.edu.vn/blog/vocab-grammar/tu-loai/?utm_source=Facebook&amp;utm_medium=CTW&amp;utm_term=NON_Vietnam_none_none_060421&amp;utm_content=Document_Tuloai_TATTPVN_LD055&amp;utm_campaign=Document_XuBen.5018_CTW_HuyLG_060421</v>
      </c>
      <c r="U40" s="118"/>
    </row>
    <row r="41">
      <c r="A41" s="72">
        <v>44293.0</v>
      </c>
      <c r="B41" s="156" t="s">
        <v>777</v>
      </c>
      <c r="C41" s="67" t="str">
        <f>IFERROR(__xludf.DUMMYFUNCTION("""COMPUTED_VALUE"""),"LD068")</f>
        <v>LD068</v>
      </c>
      <c r="D41" s="55" t="s">
        <v>42</v>
      </c>
      <c r="E41" s="55" t="s">
        <v>79</v>
      </c>
      <c r="F41" s="55" t="s">
        <v>107</v>
      </c>
      <c r="G41" s="55" t="s">
        <v>61</v>
      </c>
      <c r="H41" s="55" t="s">
        <v>1131</v>
      </c>
      <c r="I41" s="55" t="s">
        <v>2803</v>
      </c>
      <c r="J41" s="55" t="s">
        <v>2804</v>
      </c>
      <c r="K41" s="55" t="s">
        <v>61</v>
      </c>
      <c r="L41" s="55" t="s">
        <v>317</v>
      </c>
      <c r="M41" s="55" t="s">
        <v>2789</v>
      </c>
      <c r="N41" s="55" t="s">
        <v>79</v>
      </c>
      <c r="O41" s="55" t="s">
        <v>415</v>
      </c>
      <c r="P41" s="55" t="s">
        <v>110</v>
      </c>
      <c r="Q41" s="67" t="str">
        <f>IFERROR(__xludf.DUMMYFUNCTION("""COMPUTED_VALUE"""),"UnitedStates.Giaotiep_XuBen.5018_MES_HuyLG_070421")</f>
        <v>UnitedStates.Giaotiep_XuBen.5018_MES_HuyLG_070421</v>
      </c>
      <c r="R41" s="67" t="str">
        <f>IFERROR(__xludf.DUMMYFUNCTION("""COMPUTED_VALUE"""),"NEW_UnitedStates_none_none_070421")</f>
        <v>NEW_UnitedStates_none_none_070421</v>
      </c>
      <c r="S41" s="67" t="str">
        <f>IFERROR(__xludf.DUMMYFUNCTION("""COMPUTED_VALUE"""),"Storytelling_UnitedStates.Video.none.Giaotiep_TATTPVN_LD068")</f>
        <v>Storytelling_UnitedStates.Video.none.Giaotiep_TATTPVN_LD068</v>
      </c>
      <c r="T41" s="151" t="str">
        <f>IFERROR(__xludf.DUMMYFUNCTION("""COMPUTED_VALUE"""),"https://patadovietnam.edu.vn/khoa-hoc-giao-tiep/?utm_source=Facebook&amp;utm_medium=MES&amp;utm_term=NEW_UnitedStates_none_none_070421&amp;utm_content=Storytelling_UnitedStates.Video.none.Giaotiep_TATTPVN_LD068&amp;utm_campaign=UnitedStates.Giaotiep_XuBen.5018_MES_HuyLG_"&amp;"070421")</f>
        <v>https://patadovietnam.edu.vn/khoa-hoc-giao-tiep/?utm_source=Facebook&amp;utm_medium=MES&amp;utm_term=NEW_UnitedStates_none_none_070421&amp;utm_content=Storytelling_UnitedStates.Video.none.Giaotiep_TATTPVN_LD068&amp;utm_campaign=UnitedStates.Giaotiep_XuBen.5018_MES_HuyLG_070421</v>
      </c>
      <c r="U41" s="118"/>
    </row>
    <row r="42">
      <c r="A42" s="72">
        <v>44293.0</v>
      </c>
      <c r="B42" s="156" t="s">
        <v>777</v>
      </c>
      <c r="C42" s="67" t="str">
        <f>IFERROR(__xludf.DUMMYFUNCTION("""COMPUTED_VALUE"""),"LD068")</f>
        <v>LD068</v>
      </c>
      <c r="D42" s="55" t="s">
        <v>42</v>
      </c>
      <c r="E42" s="55" t="s">
        <v>79</v>
      </c>
      <c r="F42" s="55" t="s">
        <v>133</v>
      </c>
      <c r="G42" s="55" t="s">
        <v>61</v>
      </c>
      <c r="H42" s="55" t="s">
        <v>1131</v>
      </c>
      <c r="I42" s="55" t="s">
        <v>79</v>
      </c>
      <c r="J42" s="55" t="s">
        <v>2793</v>
      </c>
      <c r="K42" s="55" t="s">
        <v>61</v>
      </c>
      <c r="L42" s="55" t="s">
        <v>317</v>
      </c>
      <c r="M42" s="55" t="s">
        <v>2789</v>
      </c>
      <c r="N42" s="55" t="s">
        <v>79</v>
      </c>
      <c r="O42" s="55" t="s">
        <v>415</v>
      </c>
      <c r="P42" s="55" t="s">
        <v>110</v>
      </c>
      <c r="Q42" s="67" t="str">
        <f>IFERROR(__xludf.DUMMYFUNCTION("""COMPUTED_VALUE"""),"MES_XuBen.5018_MES_HuyLG_070421")</f>
        <v>MES_XuBen.5018_MES_HuyLG_070421</v>
      </c>
      <c r="R42" s="67" t="str">
        <f>IFERROR(__xludf.DUMMYFUNCTION("""COMPUTED_VALUE"""),"NEW_Japan_none_none_070421")</f>
        <v>NEW_Japan_none_none_070421</v>
      </c>
      <c r="S42" s="67" t="str">
        <f>IFERROR(__xludf.DUMMYFUNCTION("""COMPUTED_VALUE"""),"Storytelling_Giaotiep_TATTPVN_LD068")</f>
        <v>Storytelling_Giaotiep_TATTPVN_LD068</v>
      </c>
      <c r="T42" s="107" t="str">
        <f>IFERROR(__xludf.DUMMYFUNCTION("""COMPUTED_VALUE"""),"https://patadovietnam.edu.vn/khoa-hoc-giao-tiep/?utm_source=Facebook&amp;utm_medium=MES&amp;utm_term=NEW_Japan_none_none_070421&amp;utm_content=Storytelling_Giaotiep_TATTPVN_LD068&amp;utm_campaign=MES_XuBen.5018_MES_HuyLG_070421")</f>
        <v>https://patadovietnam.edu.vn/khoa-hoc-giao-tiep/?utm_source=Facebook&amp;utm_medium=MES&amp;utm_term=NEW_Japan_none_none_070421&amp;utm_content=Storytelling_Giaotiep_TATTPVN_LD068&amp;utm_campaign=MES_XuBen.5018_MES_HuyLG_070421</v>
      </c>
      <c r="U42" s="118"/>
    </row>
    <row r="43">
      <c r="A43" s="72">
        <v>44293.0</v>
      </c>
      <c r="B43" s="61" t="s">
        <v>439</v>
      </c>
      <c r="C43" s="67" t="str">
        <f>IFERROR(__xludf.DUMMYFUNCTION("""COMPUTED_VALUE"""),"LD069")</f>
        <v>LD069</v>
      </c>
      <c r="D43" s="55" t="s">
        <v>42</v>
      </c>
      <c r="E43" s="55" t="s">
        <v>69</v>
      </c>
      <c r="F43" s="55" t="s">
        <v>274</v>
      </c>
      <c r="G43" s="55" t="s">
        <v>61</v>
      </c>
      <c r="H43" s="55" t="s">
        <v>1131</v>
      </c>
      <c r="I43" s="55" t="s">
        <v>2759</v>
      </c>
      <c r="J43" s="55" t="s">
        <v>2817</v>
      </c>
      <c r="K43" s="55" t="s">
        <v>61</v>
      </c>
      <c r="L43" s="55" t="s">
        <v>317</v>
      </c>
      <c r="M43" s="55" t="s">
        <v>78</v>
      </c>
      <c r="N43" s="55" t="s">
        <v>69</v>
      </c>
      <c r="O43" s="55" t="s">
        <v>415</v>
      </c>
      <c r="P43" s="55" t="s">
        <v>110</v>
      </c>
      <c r="Q43" s="67" t="str">
        <f>IFERROR(__xludf.DUMMYFUNCTION("""COMPUTED_VALUE"""),"tienganhgiaotiepnails_XuBen.5018_CVS_HuyLG_070421")</f>
        <v>tienganhgiaotiepnails_XuBen.5018_CVS_HuyLG_070421</v>
      </c>
      <c r="R43" s="67" t="str">
        <f>IFERROR(__xludf.DUMMYFUNCTION("""COMPUTED_VALUE"""),"NEW_UnitedKingdom_none_none_070421")</f>
        <v>NEW_UnitedKingdom_none_none_070421</v>
      </c>
      <c r="S43" s="67" t="str">
        <f>IFERROR(__xludf.DUMMYFUNCTION("""COMPUTED_VALUE"""),"saletructiep_Nails4_TATTPVN_LD069")</f>
        <v>saletructiep_Nails4_TATTPVN_LD069</v>
      </c>
      <c r="T43" s="107" t="str">
        <f>IFERROR(__xludf.DUMMYFUNCTION("""COMPUTED_VALUE"""),"https://patadovietnam.edu.vn/nailspatado/?utm_source=Facebook&amp;utm_medium=CVS&amp;utm_term=NEW_UnitedKingdom_none_none_070421&amp;utm_content=saletructiep_Nails4_TATTPVN_LD069&amp;utm_campaign=tienganhgiaotiepnails_XuBen.5018_CVS_HuyLG_070421")</f>
        <v>https://patadovietnam.edu.vn/nailspatado/?utm_source=Facebook&amp;utm_medium=CVS&amp;utm_term=NEW_UnitedKingdom_none_none_070421&amp;utm_content=saletructiep_Nails4_TATTPVN_LD069&amp;utm_campaign=tienganhgiaotiepnails_XuBen.5018_CVS_HuyLG_070421</v>
      </c>
      <c r="U43" s="118"/>
    </row>
    <row r="44">
      <c r="A44" s="72">
        <v>44293.0</v>
      </c>
      <c r="B44" s="61" t="s">
        <v>439</v>
      </c>
      <c r="C44" s="67" t="str">
        <f>IFERROR(__xludf.DUMMYFUNCTION("""COMPUTED_VALUE"""),"LD069")</f>
        <v>LD069</v>
      </c>
      <c r="D44" s="55" t="s">
        <v>42</v>
      </c>
      <c r="E44" s="55" t="s">
        <v>69</v>
      </c>
      <c r="F44" s="55" t="s">
        <v>129</v>
      </c>
      <c r="G44" s="55" t="s">
        <v>61</v>
      </c>
      <c r="H44" s="55" t="s">
        <v>1131</v>
      </c>
      <c r="I44" s="55" t="s">
        <v>2759</v>
      </c>
      <c r="J44" s="55" t="s">
        <v>2827</v>
      </c>
      <c r="K44" s="55" t="s">
        <v>61</v>
      </c>
      <c r="L44" s="55" t="s">
        <v>317</v>
      </c>
      <c r="M44" s="55" t="s">
        <v>78</v>
      </c>
      <c r="N44" s="55" t="s">
        <v>69</v>
      </c>
      <c r="O44" s="55" t="s">
        <v>415</v>
      </c>
      <c r="P44" s="55" t="s">
        <v>110</v>
      </c>
      <c r="Q44" s="67" t="str">
        <f>IFERROR(__xludf.DUMMYFUNCTION("""COMPUTED_VALUE"""),"tienganhgiaotiepnails_XuBen.5018_CVS_HuyLG_070421")</f>
        <v>tienganhgiaotiepnails_XuBen.5018_CVS_HuyLG_070421</v>
      </c>
      <c r="R44" s="67" t="str">
        <f>IFERROR(__xludf.DUMMYFUNCTION("""COMPUTED_VALUE"""),"NEW_Australia_none_none_070421")</f>
        <v>NEW_Australia_none_none_070421</v>
      </c>
      <c r="S44" s="67" t="str">
        <f>IFERROR(__xludf.DUMMYFUNCTION("""COMPUTED_VALUE"""),"saletructiep_Nails5_TATTPVN_LD069")</f>
        <v>saletructiep_Nails5_TATTPVN_LD069</v>
      </c>
      <c r="T44" s="107" t="str">
        <f>IFERROR(__xludf.DUMMYFUNCTION("""COMPUTED_VALUE"""),"https://patadovietnam.edu.vn/nailspatado/?utm_source=Facebook&amp;utm_medium=CVS&amp;utm_term=NEW_Australia_none_none_070421&amp;utm_content=saletructiep_Nails5_TATTPVN_LD069&amp;utm_campaign=tienganhgiaotiepnails_XuBen.5018_CVS_HuyLG_070421")</f>
        <v>https://patadovietnam.edu.vn/nailspatado/?utm_source=Facebook&amp;utm_medium=CVS&amp;utm_term=NEW_Australia_none_none_070421&amp;utm_content=saletructiep_Nails5_TATTPVN_LD069&amp;utm_campaign=tienganhgiaotiepnails_XuBen.5018_CVS_HuyLG_070421</v>
      </c>
      <c r="U44" s="118"/>
    </row>
    <row r="45">
      <c r="A45" s="72">
        <v>44292.0</v>
      </c>
      <c r="B45" s="156" t="s">
        <v>52</v>
      </c>
      <c r="C45" s="67" t="str">
        <f>IFERROR(__xludf.DUMMYFUNCTION("""COMPUTED_VALUE"""),"LD070")</f>
        <v>LD070</v>
      </c>
      <c r="D45" s="55" t="s">
        <v>42</v>
      </c>
      <c r="E45" s="55" t="s">
        <v>125</v>
      </c>
      <c r="F45" s="55" t="s">
        <v>199</v>
      </c>
      <c r="G45" s="55" t="s">
        <v>61</v>
      </c>
      <c r="H45" s="55" t="s">
        <v>1131</v>
      </c>
      <c r="I45" s="55" t="s">
        <v>126</v>
      </c>
      <c r="J45" s="55" t="s">
        <v>2832</v>
      </c>
      <c r="K45" s="55" t="s">
        <v>61</v>
      </c>
      <c r="L45" s="55" t="s">
        <v>317</v>
      </c>
      <c r="M45" s="55" t="s">
        <v>126</v>
      </c>
      <c r="N45" s="55" t="s">
        <v>125</v>
      </c>
      <c r="O45" s="55" t="s">
        <v>415</v>
      </c>
      <c r="P45" s="55" t="s">
        <v>70</v>
      </c>
      <c r="Q45" s="67" t="str">
        <f>IFERROR(__xludf.DUMMYFUNCTION("""COMPUTED_VALUE"""),"Document_XuBen.5018_CTW_HuyLG_060421")</f>
        <v>Document_XuBen.5018_CTW_HuyLG_060421</v>
      </c>
      <c r="R45" s="67" t="str">
        <f>IFERROR(__xludf.DUMMYFUNCTION("""COMPUTED_VALUE"""),"NON_Vietnam_none_none_060421")</f>
        <v>NON_Vietnam_none_none_060421</v>
      </c>
      <c r="S45" s="67" t="str">
        <f>IFERROR(__xludf.DUMMYFUNCTION("""COMPUTED_VALUE"""),"Document_TuvungIELTS_TATTPVN_LD070")</f>
        <v>Document_TuvungIELTS_TATTPVN_LD070</v>
      </c>
      <c r="T45" s="107" t="str">
        <f>IFERROR(__xludf.DUMMYFUNCTION("""COMPUTED_VALUE"""),"https://patadovietnam.edu.vn/blog/kinh-nghiem-thi/tat-tan-tat-ve-tu-vung-ielts/?utm_source=Facebook&amp;utm_medium=CTW&amp;utm_term=NON_Vietnam_none_none_060421&amp;utm_content=Document_TuvungIELTS_TATTPVN_LD070&amp;utm_campaign=Document_XuBen.5018_CTW_HuyLG_060421")</f>
        <v>https://patadovietnam.edu.vn/blog/kinh-nghiem-thi/tat-tan-tat-ve-tu-vung-ielts/?utm_source=Facebook&amp;utm_medium=CTW&amp;utm_term=NON_Vietnam_none_none_060421&amp;utm_content=Document_TuvungIELTS_TATTPVN_LD070&amp;utm_campaign=Document_XuBen.5018_CTW_HuyLG_060421</v>
      </c>
      <c r="U45" s="118"/>
    </row>
    <row r="46">
      <c r="A46" s="72">
        <v>44300.0</v>
      </c>
      <c r="B46" s="61" t="s">
        <v>439</v>
      </c>
      <c r="C46" s="67" t="str">
        <f>IFERROR(__xludf.DUMMYFUNCTION("""COMPUTED_VALUE"""),"LD069")</f>
        <v>LD069</v>
      </c>
      <c r="D46" s="55" t="s">
        <v>42</v>
      </c>
      <c r="E46" s="55" t="s">
        <v>69</v>
      </c>
      <c r="F46" s="55" t="s">
        <v>107</v>
      </c>
      <c r="G46" s="55" t="s">
        <v>61</v>
      </c>
      <c r="H46" s="55" t="s">
        <v>1131</v>
      </c>
      <c r="I46" s="55" t="s">
        <v>2759</v>
      </c>
      <c r="J46" s="55" t="s">
        <v>2835</v>
      </c>
      <c r="K46" s="55" t="s">
        <v>61</v>
      </c>
      <c r="L46" s="55" t="s">
        <v>317</v>
      </c>
      <c r="M46" s="55" t="s">
        <v>78</v>
      </c>
      <c r="N46" s="55" t="s">
        <v>69</v>
      </c>
      <c r="O46" s="55" t="s">
        <v>415</v>
      </c>
      <c r="P46" s="55" t="s">
        <v>72</v>
      </c>
      <c r="Q46" s="67" t="str">
        <f>IFERROR(__xludf.DUMMYFUNCTION("""COMPUTED_VALUE"""),"tienganhgiaotiepnails_XuBen.5018_CVS_HuyLG_140421")</f>
        <v>tienganhgiaotiepnails_XuBen.5018_CVS_HuyLG_140421</v>
      </c>
      <c r="R46" s="67" t="str">
        <f>IFERROR(__xludf.DUMMYFUNCTION("""COMPUTED_VALUE"""),"RMK_UnitedStates_none_none_140421")</f>
        <v>RMK_UnitedStates_none_none_140421</v>
      </c>
      <c r="S46" s="67" t="str">
        <f>IFERROR(__xludf.DUMMYFUNCTION("""COMPUTED_VALUE"""),"saletructiep_NailsRMK_TATTPVN_LD069")</f>
        <v>saletructiep_NailsRMK_TATTPVN_LD069</v>
      </c>
      <c r="T46" s="107" t="str">
        <f>IFERROR(__xludf.DUMMYFUNCTION("""COMPUTED_VALUE"""),"https://patadovietnam.edu.vn/nailspatado/?utm_source=Facebook&amp;utm_medium=CVS&amp;utm_term=RMK_UnitedStates_none_none_140421&amp;utm_content=saletructiep_NailsRMK_TATTPVN_LD069&amp;utm_campaign=tienganhgiaotiepnails_XuBen.5018_CVS_HuyLG_140421")</f>
        <v>https://patadovietnam.edu.vn/nailspatado/?utm_source=Facebook&amp;utm_medium=CVS&amp;utm_term=RMK_UnitedStates_none_none_140421&amp;utm_content=saletructiep_NailsRMK_TATTPVN_LD069&amp;utm_campaign=tienganhgiaotiepnails_XuBen.5018_CVS_HuyLG_140421</v>
      </c>
      <c r="U46" s="118"/>
    </row>
    <row r="47">
      <c r="A47" s="72">
        <v>44302.0</v>
      </c>
      <c r="B47" s="156" t="s">
        <v>777</v>
      </c>
      <c r="C47" s="67" t="str">
        <f>IFERROR(__xludf.DUMMYFUNCTION("""COMPUTED_VALUE"""),"LD068")</f>
        <v>LD068</v>
      </c>
      <c r="D47" s="55" t="s">
        <v>42</v>
      </c>
      <c r="E47" s="55" t="s">
        <v>2839</v>
      </c>
      <c r="F47" s="55" t="s">
        <v>199</v>
      </c>
      <c r="G47" s="55" t="s">
        <v>61</v>
      </c>
      <c r="H47" s="55" t="s">
        <v>1131</v>
      </c>
      <c r="I47" s="55" t="s">
        <v>2840</v>
      </c>
      <c r="J47" s="55" t="s">
        <v>2841</v>
      </c>
      <c r="K47" s="55" t="s">
        <v>61</v>
      </c>
      <c r="L47" s="55" t="s">
        <v>317</v>
      </c>
      <c r="M47" s="55" t="s">
        <v>168</v>
      </c>
      <c r="N47" s="55" t="s">
        <v>2839</v>
      </c>
      <c r="O47" s="55" t="s">
        <v>415</v>
      </c>
      <c r="P47" s="55" t="s">
        <v>72</v>
      </c>
      <c r="Q47" s="67" t="str">
        <f>IFERROR(__xludf.DUMMYFUNCTION("""COMPUTED_VALUE"""),"VideoRMK_XuBen.5018_VID_HuyLG_160421")</f>
        <v>VideoRMK_XuBen.5018_VID_HuyLG_160421</v>
      </c>
      <c r="R47" s="67" t="str">
        <f>IFERROR(__xludf.DUMMYFUNCTION("""COMPUTED_VALUE"""),"RMK_Vietnam_none_none_160421")</f>
        <v>RMK_Vietnam_none_none_160421</v>
      </c>
      <c r="S47" s="67" t="str">
        <f>IFERROR(__xludf.DUMMYFUNCTION("""COMPUTED_VALUE"""),"h4trungtam_VideoVTV_TATTPVN_LD068")</f>
        <v>h4trungtam_VideoVTV_TATTPVN_LD068</v>
      </c>
      <c r="T47" s="107" t="str">
        <f>IFERROR(__xludf.DUMMYFUNCTION("""COMPUTED_VALUE"""),"https://patadovietnam.edu.vn/khoa-hoc-giao-tiep/?utm_source=Facebook&amp;utm_medium=VID&amp;utm_term=RMK_Vietnam_none_none_160421&amp;utm_content=h4trungtam_VideoVTV_TATTPVN_LD068&amp;utm_campaign=VideoRMK_XuBen.5018_VID_HuyLG_160421")</f>
        <v>https://patadovietnam.edu.vn/khoa-hoc-giao-tiep/?utm_source=Facebook&amp;utm_medium=VID&amp;utm_term=RMK_Vietnam_none_none_160421&amp;utm_content=h4trungtam_VideoVTV_TATTPVN_LD068&amp;utm_campaign=VideoRMK_XuBen.5018_VID_HuyLG_160421</v>
      </c>
      <c r="U47" s="118"/>
    </row>
    <row r="48">
      <c r="A48" s="72">
        <v>44302.0</v>
      </c>
      <c r="B48" s="156" t="s">
        <v>131</v>
      </c>
      <c r="C48" s="67" t="str">
        <f>IFERROR(__xludf.DUMMYFUNCTION("""COMPUTED_VALUE"""),"LD071")</f>
        <v>LD071</v>
      </c>
      <c r="D48" s="55" t="s">
        <v>42</v>
      </c>
      <c r="E48" s="55" t="s">
        <v>2839</v>
      </c>
      <c r="F48" s="55" t="s">
        <v>199</v>
      </c>
      <c r="G48" s="55" t="s">
        <v>61</v>
      </c>
      <c r="H48" s="55" t="s">
        <v>1131</v>
      </c>
      <c r="I48" s="55" t="s">
        <v>2840</v>
      </c>
      <c r="J48" s="55" t="s">
        <v>2845</v>
      </c>
      <c r="K48" s="55" t="s">
        <v>61</v>
      </c>
      <c r="L48" s="55" t="s">
        <v>317</v>
      </c>
      <c r="M48" s="55" t="s">
        <v>2846</v>
      </c>
      <c r="N48" s="55" t="s">
        <v>2839</v>
      </c>
      <c r="O48" s="55" t="s">
        <v>415</v>
      </c>
      <c r="P48" s="55" t="s">
        <v>72</v>
      </c>
      <c r="Q48" s="67" t="str">
        <f>IFERROR(__xludf.DUMMYFUNCTION("""COMPUTED_VALUE"""),"VideoRMK_XuBen.5018_VID_HuyLG_160421")</f>
        <v>VideoRMK_XuBen.5018_VID_HuyLG_160421</v>
      </c>
      <c r="R48" s="67" t="str">
        <f>IFERROR(__xludf.DUMMYFUNCTION("""COMPUTED_VALUE"""),"RMK_Vietnam_none_none_160421")</f>
        <v>RMK_Vietnam_none_none_160421</v>
      </c>
      <c r="S48" s="67" t="str">
        <f>IFERROR(__xludf.DUMMYFUNCTION("""COMPUTED_VALUE"""),"h4giaovien_H4Giaovien_TATTPVN_LD071")</f>
        <v>h4giaovien_H4Giaovien_TATTPVN_LD071</v>
      </c>
      <c r="T48" s="107" t="str">
        <f>IFERROR(__xludf.DUMMYFUNCTION("""COMPUTED_VALUE"""),"https://www.patado.net/tieng-anh-giao-tiep-nuoc-ngoai/?utm_source=Facebook&amp;utm_medium=VID&amp;utm_term=RMK_Vietnam_none_none_160421&amp;utm_content=h4giaovien_H4Giaovien_TATTPVN_LD071&amp;utm_campaign=VideoRMK_XuBen.5018_VID_HuyLG_160421")</f>
        <v>https://www.patado.net/tieng-anh-giao-tiep-nuoc-ngoai/?utm_source=Facebook&amp;utm_medium=VID&amp;utm_term=RMK_Vietnam_none_none_160421&amp;utm_content=h4giaovien_H4Giaovien_TATTPVN_LD071&amp;utm_campaign=VideoRMK_XuBen.5018_VID_HuyLG_160421</v>
      </c>
      <c r="U48" s="118"/>
    </row>
    <row r="49">
      <c r="A49" s="72">
        <v>44307.0</v>
      </c>
      <c r="B49" s="61" t="s">
        <v>439</v>
      </c>
      <c r="C49" s="67" t="str">
        <f>IFERROR(__xludf.DUMMYFUNCTION("""COMPUTED_VALUE"""),"LD069")</f>
        <v>LD069</v>
      </c>
      <c r="D49" s="55" t="s">
        <v>42</v>
      </c>
      <c r="E49" s="55" t="s">
        <v>69</v>
      </c>
      <c r="F49" s="55" t="s">
        <v>112</v>
      </c>
      <c r="G49" s="55" t="s">
        <v>61</v>
      </c>
      <c r="H49" s="55" t="s">
        <v>1131</v>
      </c>
      <c r="I49" s="55" t="s">
        <v>2759</v>
      </c>
      <c r="J49" s="55" t="s">
        <v>2848</v>
      </c>
      <c r="K49" s="55" t="s">
        <v>61</v>
      </c>
      <c r="L49" s="55" t="s">
        <v>317</v>
      </c>
      <c r="M49" s="55" t="s">
        <v>78</v>
      </c>
      <c r="N49" s="55" t="s">
        <v>69</v>
      </c>
      <c r="O49" s="55" t="s">
        <v>415</v>
      </c>
      <c r="P49" s="55" t="s">
        <v>110</v>
      </c>
      <c r="Q49" s="67" t="str">
        <f>IFERROR(__xludf.DUMMYFUNCTION("""COMPUTED_VALUE"""),"tienganhgiaotiepnails_XuBen.5018_CVS_HuyLG_210421")</f>
        <v>tienganhgiaotiepnails_XuBen.5018_CVS_HuyLG_210421</v>
      </c>
      <c r="R49" s="67" t="str">
        <f>IFERROR(__xludf.DUMMYFUNCTION("""COMPUTED_VALUE"""),"NEW_Canada_none_none_210421")</f>
        <v>NEW_Canada_none_none_210421</v>
      </c>
      <c r="S49" s="67" t="str">
        <f>IFERROR(__xludf.DUMMYFUNCTION("""COMPUTED_VALUE"""),"saletructiep_Nails6_TATTPVN_LD069")</f>
        <v>saletructiep_Nails6_TATTPVN_LD069</v>
      </c>
      <c r="T49" s="107" t="str">
        <f>IFERROR(__xludf.DUMMYFUNCTION("""COMPUTED_VALUE"""),"https://patadovietnam.edu.vn/nailspatado/?utm_source=Facebook&amp;utm_medium=CVS&amp;utm_term=NEW_Canada_none_none_210421&amp;utm_content=saletructiep_Nails6_TATTPVN_LD069&amp;utm_campaign=tienganhgiaotiepnails_XuBen.5018_CVS_HuyLG_210421")</f>
        <v>https://patadovietnam.edu.vn/nailspatado/?utm_source=Facebook&amp;utm_medium=CVS&amp;utm_term=NEW_Canada_none_none_210421&amp;utm_content=saletructiep_Nails6_TATTPVN_LD069&amp;utm_campaign=tienganhgiaotiepnails_XuBen.5018_CVS_HuyLG_210421</v>
      </c>
      <c r="U49" s="118"/>
    </row>
    <row r="50">
      <c r="A50" s="72">
        <v>44307.0</v>
      </c>
      <c r="B50" s="61" t="s">
        <v>777</v>
      </c>
      <c r="C50" s="67" t="str">
        <f>IFERROR(__xludf.DUMMYFUNCTION("""COMPUTED_VALUE"""),"LD068")</f>
        <v>LD068</v>
      </c>
      <c r="D50" s="55" t="s">
        <v>42</v>
      </c>
      <c r="E50" s="55" t="s">
        <v>79</v>
      </c>
      <c r="F50" s="55" t="s">
        <v>303</v>
      </c>
      <c r="G50" s="55" t="s">
        <v>61</v>
      </c>
      <c r="H50" s="55" t="s">
        <v>1131</v>
      </c>
      <c r="I50" s="55" t="s">
        <v>2851</v>
      </c>
      <c r="J50" s="55" t="s">
        <v>2852</v>
      </c>
      <c r="K50" s="55" t="s">
        <v>61</v>
      </c>
      <c r="L50" s="55" t="s">
        <v>317</v>
      </c>
      <c r="M50" s="55" t="s">
        <v>78</v>
      </c>
      <c r="N50" s="55" t="s">
        <v>79</v>
      </c>
      <c r="O50" s="55" t="s">
        <v>415</v>
      </c>
      <c r="P50" s="55" t="s">
        <v>110</v>
      </c>
      <c r="Q50" s="67" t="str">
        <f>IFERROR(__xludf.DUMMYFUNCTION("""COMPUTED_VALUE"""),"Cambodia.Giaotiep_XuBen.5018_MES_HuyLG_210421")</f>
        <v>Cambodia.Giaotiep_XuBen.5018_MES_HuyLG_210421</v>
      </c>
      <c r="R50" s="67" t="str">
        <f>IFERROR(__xludf.DUMMYFUNCTION("""COMPUTED_VALUE"""),"NEW_Cambodia_none_none_210421")</f>
        <v>NEW_Cambodia_none_none_210421</v>
      </c>
      <c r="S50" s="67" t="str">
        <f>IFERROR(__xludf.DUMMYFUNCTION("""COMPUTED_VALUE"""),"saletructiep_Cambodia.Video.none.Giaotiep_TATTPVN_LD068")</f>
        <v>saletructiep_Cambodia.Video.none.Giaotiep_TATTPVN_LD068</v>
      </c>
      <c r="T50" s="151" t="str">
        <f>IFERROR(__xludf.DUMMYFUNCTION("""COMPUTED_VALUE"""),"https://patadovietnam.edu.vn/khoa-hoc-giao-tiep/?utm_source=Facebook&amp;utm_medium=MES&amp;utm_term=NEW_Cambodia_none_none_210421&amp;utm_content=saletructiep_Cambodia.Video.none.Giaotiep_TATTPVN_LD068&amp;utm_campaign=Cambodia.Giaotiep_XuBen.5018_MES_HuyLG_210421")</f>
        <v>https://patadovietnam.edu.vn/khoa-hoc-giao-tiep/?utm_source=Facebook&amp;utm_medium=MES&amp;utm_term=NEW_Cambodia_none_none_210421&amp;utm_content=saletructiep_Cambodia.Video.none.Giaotiep_TATTPVN_LD068&amp;utm_campaign=Cambodia.Giaotiep_XuBen.5018_MES_HuyLG_210421</v>
      </c>
      <c r="U50" s="118"/>
    </row>
    <row r="51">
      <c r="A51" s="72">
        <v>44313.0</v>
      </c>
      <c r="B51" s="61" t="s">
        <v>439</v>
      </c>
      <c r="C51" s="67" t="str">
        <f>IFERROR(__xludf.DUMMYFUNCTION("""COMPUTED_VALUE"""),"LD069")</f>
        <v>LD069</v>
      </c>
      <c r="D51" s="55" t="s">
        <v>42</v>
      </c>
      <c r="E51" s="55" t="s">
        <v>79</v>
      </c>
      <c r="F51" s="55" t="s">
        <v>129</v>
      </c>
      <c r="G51" s="55" t="s">
        <v>61</v>
      </c>
      <c r="H51" s="55" t="s">
        <v>1131</v>
      </c>
      <c r="I51" s="55" t="s">
        <v>79</v>
      </c>
      <c r="J51" s="55" t="s">
        <v>2856</v>
      </c>
      <c r="K51" s="55" t="s">
        <v>61</v>
      </c>
      <c r="L51" s="55" t="s">
        <v>317</v>
      </c>
      <c r="M51" s="55" t="s">
        <v>2789</v>
      </c>
      <c r="N51" s="55" t="s">
        <v>79</v>
      </c>
      <c r="O51" s="55" t="s">
        <v>415</v>
      </c>
      <c r="P51" s="55" t="s">
        <v>110</v>
      </c>
      <c r="Q51" s="67" t="str">
        <f>IFERROR(__xludf.DUMMYFUNCTION("""COMPUTED_VALUE"""),"MES_XuBen.5018_MES_HuyLG_270421")</f>
        <v>MES_XuBen.5018_MES_HuyLG_270421</v>
      </c>
      <c r="R51" s="67" t="str">
        <f>IFERROR(__xludf.DUMMYFUNCTION("""COMPUTED_VALUE"""),"NEW_Australia_none_none_270421")</f>
        <v>NEW_Australia_none_none_270421</v>
      </c>
      <c r="S51" s="67" t="str">
        <f>IFERROR(__xludf.DUMMYFUNCTION("""COMPUTED_VALUE"""),"Storytelling_Nails_TATTPVN_LD069")</f>
        <v>Storytelling_Nails_TATTPVN_LD069</v>
      </c>
      <c r="T51" s="120" t="str">
        <f>IFERROR(__xludf.DUMMYFUNCTION("""COMPUTED_VALUE"""),"https://patadovietnam.edu.vn/nailspatado/?utm_source=Facebook&amp;utm_medium=MES&amp;utm_term=NEW_Australia_none_none_270421&amp;utm_content=Storytelling_Nails_TATTPVN_LD069&amp;utm_campaign=MES_XuBen.5018_MES_HuyLG_270421")</f>
        <v>https://patadovietnam.edu.vn/nailspatado/?utm_source=Facebook&amp;utm_medium=MES&amp;utm_term=NEW_Australia_none_none_270421&amp;utm_content=Storytelling_Nails_TATTPVN_LD069&amp;utm_campaign=MES_XuBen.5018_MES_HuyLG_270421</v>
      </c>
      <c r="U51" s="118"/>
    </row>
    <row r="52">
      <c r="A52" s="72">
        <v>44324.0</v>
      </c>
      <c r="B52" s="156" t="s">
        <v>777</v>
      </c>
      <c r="C52" s="67" t="str">
        <f>IFERROR(__xludf.DUMMYFUNCTION("""COMPUTED_VALUE"""),"LD068")</f>
        <v>LD068</v>
      </c>
      <c r="D52" s="55" t="s">
        <v>42</v>
      </c>
      <c r="E52" s="55" t="s">
        <v>79</v>
      </c>
      <c r="F52" s="55" t="s">
        <v>614</v>
      </c>
      <c r="G52" s="55" t="s">
        <v>61</v>
      </c>
      <c r="H52" s="55" t="s">
        <v>1131</v>
      </c>
      <c r="I52" s="55" t="s">
        <v>79</v>
      </c>
      <c r="J52" s="55" t="s">
        <v>2861</v>
      </c>
      <c r="K52" s="55" t="s">
        <v>61</v>
      </c>
      <c r="L52" s="55" t="s">
        <v>317</v>
      </c>
      <c r="M52" s="55" t="s">
        <v>78</v>
      </c>
      <c r="N52" s="55" t="s">
        <v>79</v>
      </c>
      <c r="O52" s="55" t="s">
        <v>415</v>
      </c>
      <c r="P52" s="55" t="s">
        <v>110</v>
      </c>
      <c r="Q52" s="67" t="str">
        <f>IFERROR(__xludf.DUMMYFUNCTION("""COMPUTED_VALUE"""),"MES_XuBen.5018_MES_HuyLG_080521")</f>
        <v>MES_XuBen.5018_MES_HuyLG_080521</v>
      </c>
      <c r="R52" s="67" t="str">
        <f>IFERROR(__xludf.DUMMYFUNCTION("""COMPUTED_VALUE"""),"NEW_Korea_none_none_080521")</f>
        <v>NEW_Korea_none_none_080521</v>
      </c>
      <c r="S52" s="67" t="str">
        <f>IFERROR(__xludf.DUMMYFUNCTION("""COMPUTED_VALUE"""),"saletructiep_Videotrungtam_TATTPVN_LD068")</f>
        <v>saletructiep_Videotrungtam_TATTPVN_LD068</v>
      </c>
      <c r="T52" s="107" t="str">
        <f>IFERROR(__xludf.DUMMYFUNCTION("""COMPUTED_VALUE"""),"https://patadovietnam.edu.vn/khoa-hoc-giao-tiep/?utm_source=Facebook&amp;utm_medium=MES&amp;utm_term=NEW_Korea_none_none_080521&amp;utm_content=saletructiep_Videotrungtam_TATTPVN_LD068&amp;utm_campaign=MES_XuBen.5018_MES_HuyLG_080521")</f>
        <v>https://patadovietnam.edu.vn/khoa-hoc-giao-tiep/?utm_source=Facebook&amp;utm_medium=MES&amp;utm_term=NEW_Korea_none_none_080521&amp;utm_content=saletructiep_Videotrungtam_TATTPVN_LD068&amp;utm_campaign=MES_XuBen.5018_MES_HuyLG_080521</v>
      </c>
      <c r="U52" s="118"/>
    </row>
    <row r="53">
      <c r="A53" s="72">
        <v>44324.0</v>
      </c>
      <c r="B53" s="61" t="s">
        <v>450</v>
      </c>
      <c r="C53" s="67" t="str">
        <f>IFERROR(__xludf.DUMMYFUNCTION("""COMPUTED_VALUE"""),"LD074")</f>
        <v>LD074</v>
      </c>
      <c r="D53" s="55" t="s">
        <v>42</v>
      </c>
      <c r="E53" s="55" t="s">
        <v>69</v>
      </c>
      <c r="F53" s="55" t="s">
        <v>199</v>
      </c>
      <c r="G53" s="55" t="s">
        <v>61</v>
      </c>
      <c r="H53" s="55" t="s">
        <v>1131</v>
      </c>
      <c r="I53" s="55" t="s">
        <v>191</v>
      </c>
      <c r="J53" s="55" t="s">
        <v>2867</v>
      </c>
      <c r="K53" s="55" t="s">
        <v>61</v>
      </c>
      <c r="L53" s="55" t="s">
        <v>317</v>
      </c>
      <c r="M53" s="55" t="s">
        <v>78</v>
      </c>
      <c r="N53" s="55" t="s">
        <v>69</v>
      </c>
      <c r="O53" s="55" t="s">
        <v>415</v>
      </c>
      <c r="P53" s="55" t="s">
        <v>110</v>
      </c>
      <c r="Q53" s="67" t="str">
        <f>IFERROR(__xludf.DUMMYFUNCTION("""COMPUTED_VALUE"""),"IELTS_XuBen.5018_CVS_HuyLG_080521")</f>
        <v>IELTS_XuBen.5018_CVS_HuyLG_080521</v>
      </c>
      <c r="R53" s="67" t="str">
        <f>IFERROR(__xludf.DUMMYFUNCTION("""COMPUTED_VALUE"""),"NEW_Vietnam_none_none_080521")</f>
        <v>NEW_Vietnam_none_none_080521</v>
      </c>
      <c r="S53" s="67" t="str">
        <f>IFERROR(__xludf.DUMMYFUNCTION("""COMPUTED_VALUE"""),"saletructiep_IELTS1_TATTPVN_LD074")</f>
        <v>saletructiep_IELTS1_TATTPVN_LD074</v>
      </c>
      <c r="T53" s="151" t="str">
        <f>IFERROR(__xludf.DUMMYFUNCTION("""COMPUTED_VALUE"""),"https://patadovietnam.edu.vn/ielts_patado/?utm_source=Facebook&amp;utm_medium=CVS&amp;utm_term=NEW_Vietnam_none_none_080521&amp;utm_content=saletructiep_IELTS1_TATTPVN_LD074&amp;utm_campaign=IELTS_XuBen.5018_CVS_HuyLG_080521")</f>
        <v>https://patadovietnam.edu.vn/ielts_patado/?utm_source=Facebook&amp;utm_medium=CVS&amp;utm_term=NEW_Vietnam_none_none_080521&amp;utm_content=saletructiep_IELTS1_TATTPVN_LD074&amp;utm_campaign=IELTS_XuBen.5018_CVS_HuyLG_080521</v>
      </c>
      <c r="U53" s="118"/>
    </row>
    <row r="54">
      <c r="A54" s="72">
        <v>44330.0</v>
      </c>
      <c r="B54" s="61" t="s">
        <v>450</v>
      </c>
      <c r="C54" s="67" t="str">
        <f>IFERROR(__xludf.DUMMYFUNCTION("""COMPUTED_VALUE"""),"LD074")</f>
        <v>LD074</v>
      </c>
      <c r="D54" s="55" t="s">
        <v>42</v>
      </c>
      <c r="E54" s="55" t="s">
        <v>79</v>
      </c>
      <c r="F54" s="55" t="s">
        <v>199</v>
      </c>
      <c r="G54" s="55" t="s">
        <v>61</v>
      </c>
      <c r="H54" s="55" t="s">
        <v>1131</v>
      </c>
      <c r="I54" s="55" t="s">
        <v>191</v>
      </c>
      <c r="J54" s="55" t="s">
        <v>2871</v>
      </c>
      <c r="K54" s="55" t="s">
        <v>61</v>
      </c>
      <c r="L54" s="55" t="s">
        <v>317</v>
      </c>
      <c r="M54" s="55" t="s">
        <v>78</v>
      </c>
      <c r="N54" s="55" t="s">
        <v>79</v>
      </c>
      <c r="O54" s="55" t="s">
        <v>415</v>
      </c>
      <c r="P54" s="55" t="s">
        <v>110</v>
      </c>
      <c r="Q54" s="67" t="str">
        <f>IFERROR(__xludf.DUMMYFUNCTION("""COMPUTED_VALUE"""),"IELTS_XuBen.5018_MES_HuyLG_140521")</f>
        <v>IELTS_XuBen.5018_MES_HuyLG_140521</v>
      </c>
      <c r="R54" s="67" t="str">
        <f>IFERROR(__xludf.DUMMYFUNCTION("""COMPUTED_VALUE"""),"NEW_Vietnam_none_none_140521")</f>
        <v>NEW_Vietnam_none_none_140521</v>
      </c>
      <c r="S54" s="67" t="str">
        <f>IFERROR(__xludf.DUMMYFUNCTION("""COMPUTED_VALUE"""),"saletructiep_IELTSVN.Video.none.IELTS_TATTPVN_LD074")</f>
        <v>saletructiep_IELTSVN.Video.none.IELTS_TATTPVN_LD074</v>
      </c>
      <c r="T54" s="107" t="str">
        <f>IFERROR(__xludf.DUMMYFUNCTION("""COMPUTED_VALUE"""),"https://patadovietnam.edu.vn/ielts_patado/?utm_source=Facebook&amp;utm_medium=MES&amp;utm_term=NEW_Vietnam_none_none_140521&amp;utm_content=saletructiep_IELTSVN.Video.none.IELTS_TATTPVN_LD074&amp;utm_campaign=IELTS_XuBen.5018_MES_HuyLG_140521")</f>
        <v>https://patadovietnam.edu.vn/ielts_patado/?utm_source=Facebook&amp;utm_medium=MES&amp;utm_term=NEW_Vietnam_none_none_140521&amp;utm_content=saletructiep_IELTSVN.Video.none.IELTS_TATTPVN_LD074&amp;utm_campaign=IELTS_XuBen.5018_MES_HuyLG_140521</v>
      </c>
      <c r="U54" s="118"/>
    </row>
    <row r="55">
      <c r="A55" s="72">
        <v>44333.0</v>
      </c>
      <c r="B55" s="156" t="s">
        <v>777</v>
      </c>
      <c r="C55" s="67" t="str">
        <f>IFERROR(__xludf.DUMMYFUNCTION("""COMPUTED_VALUE"""),"LD068")</f>
        <v>LD068</v>
      </c>
      <c r="D55" s="55" t="s">
        <v>42</v>
      </c>
      <c r="E55" s="55" t="s">
        <v>79</v>
      </c>
      <c r="F55" s="55" t="s">
        <v>674</v>
      </c>
      <c r="G55" s="55" t="s">
        <v>61</v>
      </c>
      <c r="H55" s="55" t="s">
        <v>1131</v>
      </c>
      <c r="I55" s="55" t="s">
        <v>2875</v>
      </c>
      <c r="J55" s="55" t="s">
        <v>2876</v>
      </c>
      <c r="K55" s="55" t="s">
        <v>61</v>
      </c>
      <c r="L55" s="55" t="s">
        <v>317</v>
      </c>
      <c r="M55" s="55" t="s">
        <v>78</v>
      </c>
      <c r="N55" s="55" t="s">
        <v>79</v>
      </c>
      <c r="O55" s="55" t="s">
        <v>415</v>
      </c>
      <c r="P55" s="55" t="s">
        <v>110</v>
      </c>
      <c r="Q55" s="117" t="str">
        <f>IFERROR(__xludf.DUMMYFUNCTION("""COMPUTED_VALUE"""),"Europe.Giaotiep_XuBen.5018_MES_HuyLG_170521")</f>
        <v>Europe.Giaotiep_XuBen.5018_MES_HuyLG_170521</v>
      </c>
      <c r="R55" s="67" t="str">
        <f>IFERROR(__xludf.DUMMYFUNCTION("""COMPUTED_VALUE"""),"NEW_Europe_none_none_170521")</f>
        <v>NEW_Europe_none_none_170521</v>
      </c>
      <c r="S55" s="67" t="str">
        <f>IFERROR(__xludf.DUMMYFUNCTION("""COMPUTED_VALUE"""),"saletructiep_CVSEurope.Videotrungtam.none.Giaotiep_TATTPVN_LD068")</f>
        <v>saletructiep_CVSEurope.Videotrungtam.none.Giaotiep_TATTPVN_LD068</v>
      </c>
      <c r="T55" s="107" t="str">
        <f>IFERROR(__xludf.DUMMYFUNCTION("""COMPUTED_VALUE"""),"https://patadovietnam.edu.vn/khoa-hoc-giao-tiep/?utm_source=Facebook&amp;utm_medium=MES&amp;utm_term=NEW_Europe_none_none_170521&amp;utm_content=saletructiep_CVSEurope.Videotrungtam.none.Giaotiep_TATTPVN_LD068&amp;utm_campaign=Europe.Giaotiep_XuBen.5018_MES_HuyLG_170521")</f>
        <v>https://patadovietnam.edu.vn/khoa-hoc-giao-tiep/?utm_source=Facebook&amp;utm_medium=MES&amp;utm_term=NEW_Europe_none_none_170521&amp;utm_content=saletructiep_CVSEurope.Videotrungtam.none.Giaotiep_TATTPVN_LD068&amp;utm_campaign=Europe.Giaotiep_XuBen.5018_MES_HuyLG_170521</v>
      </c>
      <c r="U55" s="118"/>
    </row>
    <row r="56">
      <c r="A56" s="72">
        <v>44335.0</v>
      </c>
      <c r="B56" s="156" t="s">
        <v>777</v>
      </c>
      <c r="C56" s="81" t="str">
        <f>IFERROR(__xludf.DUMMYFUNCTION("""COMPUTED_VALUE"""),"LD068")</f>
        <v>LD068</v>
      </c>
      <c r="D56" s="55" t="s">
        <v>42</v>
      </c>
      <c r="E56" s="55" t="s">
        <v>69</v>
      </c>
      <c r="F56" s="55" t="s">
        <v>674</v>
      </c>
      <c r="G56" s="55" t="s">
        <v>61</v>
      </c>
      <c r="H56" s="55" t="s">
        <v>1131</v>
      </c>
      <c r="I56" s="55" t="s">
        <v>2875</v>
      </c>
      <c r="J56" s="55" t="s">
        <v>2880</v>
      </c>
      <c r="K56" s="55" t="s">
        <v>61</v>
      </c>
      <c r="L56" s="55" t="s">
        <v>317</v>
      </c>
      <c r="M56" s="55" t="s">
        <v>78</v>
      </c>
      <c r="N56" s="55" t="s">
        <v>69</v>
      </c>
      <c r="O56" s="55" t="s">
        <v>415</v>
      </c>
      <c r="P56" s="55" t="s">
        <v>110</v>
      </c>
      <c r="Q56" s="67" t="str">
        <f>IFERROR(__xludf.DUMMYFUNCTION("""COMPUTED_VALUE"""),"Europe.Giaotiep_XuBen.5018_CVS_HuyLG_190521")</f>
        <v>Europe.Giaotiep_XuBen.5018_CVS_HuyLG_190521</v>
      </c>
      <c r="R56" s="67" t="str">
        <f>IFERROR(__xludf.DUMMYFUNCTION("""COMPUTED_VALUE"""),"NEW_Europe_none_none_190521")</f>
        <v>NEW_Europe_none_none_190521</v>
      </c>
      <c r="S56" s="67" t="str">
        <f>IFERROR(__xludf.DUMMYFUNCTION("""COMPUTED_VALUE"""),"saletructiep_EuropeVideotrungtam.Video.none.Giaotiep_TATTPVN_LD068")</f>
        <v>saletructiep_EuropeVideotrungtam.Video.none.Giaotiep_TATTPVN_LD068</v>
      </c>
      <c r="T56" s="107" t="str">
        <f>IFERROR(__xludf.DUMMYFUNCTION("""COMPUTED_VALUE"""),"https://patadovietnam.edu.vn/khoa-hoc-giao-tiep/?utm_source=Facebook&amp;utm_medium=CVS&amp;utm_term=NEW_Europe_none_none_190521&amp;utm_content=saletructiep_EuropeVideotrungtam.Video.none.Giaotiep_TATTPVN_LD068&amp;utm_campaign=Europe.Giaotiep_XuBen.5018_CVS_HuyLG_19052"&amp;"1")</f>
        <v>https://patadovietnam.edu.vn/khoa-hoc-giao-tiep/?utm_source=Facebook&amp;utm_medium=CVS&amp;utm_term=NEW_Europe_none_none_190521&amp;utm_content=saletructiep_EuropeVideotrungtam.Video.none.Giaotiep_TATTPVN_LD068&amp;utm_campaign=Europe.Giaotiep_XuBen.5018_CVS_HuyLG_190521</v>
      </c>
      <c r="U56" s="118"/>
    </row>
    <row r="57">
      <c r="A57" s="72">
        <v>44348.0</v>
      </c>
      <c r="B57" s="156" t="s">
        <v>777</v>
      </c>
      <c r="C57" s="67" t="str">
        <f>IFERROR(__xludf.DUMMYFUNCTION("""COMPUTED_VALUE"""),"LD068")</f>
        <v>LD068</v>
      </c>
      <c r="D57" s="55" t="s">
        <v>42</v>
      </c>
      <c r="E57" s="55" t="s">
        <v>69</v>
      </c>
      <c r="F57" s="55" t="s">
        <v>674</v>
      </c>
      <c r="G57" s="55" t="s">
        <v>61</v>
      </c>
      <c r="H57" s="55" t="s">
        <v>1131</v>
      </c>
      <c r="I57" s="55" t="s">
        <v>2884</v>
      </c>
      <c r="J57" s="55" t="s">
        <v>2885</v>
      </c>
      <c r="K57" s="55" t="s">
        <v>61</v>
      </c>
      <c r="L57" s="55" t="s">
        <v>317</v>
      </c>
      <c r="M57" s="55" t="s">
        <v>78</v>
      </c>
      <c r="N57" s="55" t="s">
        <v>69</v>
      </c>
      <c r="O57" s="55" t="s">
        <v>415</v>
      </c>
      <c r="P57" s="55" t="s">
        <v>110</v>
      </c>
      <c r="Q57" s="67" t="str">
        <f>IFERROR(__xludf.DUMMYFUNCTION("""COMPUTED_VALUE"""),"DenmarkFinland.Giaotiep_XuBen.5018_CVS_HuyLG_010621")</f>
        <v>DenmarkFinland.Giaotiep_XuBen.5018_CVS_HuyLG_010621</v>
      </c>
      <c r="R57" s="67" t="str">
        <f>IFERROR(__xludf.DUMMYFUNCTION("""COMPUTED_VALUE"""),"NEW_Europe_none_none_010621")</f>
        <v>NEW_Europe_none_none_010621</v>
      </c>
      <c r="S57" s="67" t="str">
        <f>IFERROR(__xludf.DUMMYFUNCTION("""COMPUTED_VALUE"""),"saletructiep_DenmarkFinland.Video.none.Giaotiep_TATTPVN_LD068")</f>
        <v>saletructiep_DenmarkFinland.Video.none.Giaotiep_TATTPVN_LD068</v>
      </c>
      <c r="T57" s="107" t="str">
        <f>IFERROR(__xludf.DUMMYFUNCTION("""COMPUTED_VALUE"""),"https://patadovietnam.edu.vn/khoa-hoc-giao-tiep/?utm_source=Facebook&amp;utm_medium=CVS&amp;utm_term=NEW_Europe_none_none_010621&amp;utm_content=saletructiep_DenmarkFinland.Video.none.Giaotiep_TATTPVN_LD068&amp;utm_campaign=DenmarkFinland.Giaotiep_XuBen.5018_CVS_HuyLG_01"&amp;"0621")</f>
        <v>https://patadovietnam.edu.vn/khoa-hoc-giao-tiep/?utm_source=Facebook&amp;utm_medium=CVS&amp;utm_term=NEW_Europe_none_none_010621&amp;utm_content=saletructiep_DenmarkFinland.Video.none.Giaotiep_TATTPVN_LD068&amp;utm_campaign=DenmarkFinland.Giaotiep_XuBen.5018_CVS_HuyLG_010621</v>
      </c>
      <c r="U57" s="118"/>
    </row>
    <row r="58">
      <c r="A58" s="72">
        <v>44348.0</v>
      </c>
      <c r="B58" s="156" t="s">
        <v>777</v>
      </c>
      <c r="C58" s="81" t="str">
        <f>IFERROR(__xludf.DUMMYFUNCTION("""COMPUTED_VALUE"""),"LD068")</f>
        <v>LD068</v>
      </c>
      <c r="D58" s="55" t="s">
        <v>42</v>
      </c>
      <c r="E58" s="55" t="s">
        <v>69</v>
      </c>
      <c r="F58" s="55" t="s">
        <v>133</v>
      </c>
      <c r="G58" s="55" t="s">
        <v>61</v>
      </c>
      <c r="H58" s="55" t="s">
        <v>1131</v>
      </c>
      <c r="I58" s="55" t="s">
        <v>2889</v>
      </c>
      <c r="J58" s="55" t="s">
        <v>2890</v>
      </c>
      <c r="K58" s="55" t="s">
        <v>61</v>
      </c>
      <c r="L58" s="55" t="s">
        <v>317</v>
      </c>
      <c r="M58" s="55" t="s">
        <v>78</v>
      </c>
      <c r="N58" s="55" t="s">
        <v>69</v>
      </c>
      <c r="O58" s="55" t="s">
        <v>415</v>
      </c>
      <c r="P58" s="55" t="s">
        <v>110</v>
      </c>
      <c r="Q58" s="67" t="str">
        <f>IFERROR(__xludf.DUMMYFUNCTION("""COMPUTED_VALUE"""),"Japan.Giaotiep_XuBen.5018_CVS_HuyLG_010621")</f>
        <v>Japan.Giaotiep_XuBen.5018_CVS_HuyLG_010621</v>
      </c>
      <c r="R58" s="67" t="str">
        <f>IFERROR(__xludf.DUMMYFUNCTION("""COMPUTED_VALUE"""),"NEW_Japan_none_none_010621")</f>
        <v>NEW_Japan_none_none_010621</v>
      </c>
      <c r="S58" s="67" t="str">
        <f>IFERROR(__xludf.DUMMYFUNCTION("""COMPUTED_VALUE"""),"saletructiep_Japan.Video.none.Giaotiep_TATTPVN_LD068")</f>
        <v>saletructiep_Japan.Video.none.Giaotiep_TATTPVN_LD068</v>
      </c>
      <c r="T58" s="107" t="str">
        <f>IFERROR(__xludf.DUMMYFUNCTION("""COMPUTED_VALUE"""),"https://patadovietnam.edu.vn/khoa-hoc-giao-tiep/?utm_source=Facebook&amp;utm_medium=CVS&amp;utm_term=NEW_Japan_none_none_010621&amp;utm_content=saletructiep_Japan.Video.none.Giaotiep_TATTPVN_LD068&amp;utm_campaign=Japan.Giaotiep_XuBen.5018_CVS_HuyLG_010621")</f>
        <v>https://patadovietnam.edu.vn/khoa-hoc-giao-tiep/?utm_source=Facebook&amp;utm_medium=CVS&amp;utm_term=NEW_Japan_none_none_010621&amp;utm_content=saletructiep_Japan.Video.none.Giaotiep_TATTPVN_LD068&amp;utm_campaign=Japan.Giaotiep_XuBen.5018_CVS_HuyLG_010621</v>
      </c>
      <c r="U58" s="118"/>
    </row>
    <row r="59">
      <c r="A59" s="72">
        <v>44348.0</v>
      </c>
      <c r="B59" s="156" t="s">
        <v>777</v>
      </c>
      <c r="C59" s="67" t="str">
        <f>IFERROR(__xludf.DUMMYFUNCTION("""COMPUTED_VALUE"""),"LD068")</f>
        <v>LD068</v>
      </c>
      <c r="D59" s="55" t="s">
        <v>42</v>
      </c>
      <c r="E59" s="55" t="s">
        <v>79</v>
      </c>
      <c r="F59" s="55" t="s">
        <v>112</v>
      </c>
      <c r="G59" s="55" t="s">
        <v>61</v>
      </c>
      <c r="H59" s="55" t="s">
        <v>1131</v>
      </c>
      <c r="I59" s="55" t="s">
        <v>2894</v>
      </c>
      <c r="J59" s="55" t="s">
        <v>2895</v>
      </c>
      <c r="K59" s="55" t="s">
        <v>61</v>
      </c>
      <c r="L59" s="55" t="s">
        <v>317</v>
      </c>
      <c r="M59" s="55" t="s">
        <v>78</v>
      </c>
      <c r="N59" s="55" t="s">
        <v>79</v>
      </c>
      <c r="O59" s="55" t="s">
        <v>415</v>
      </c>
      <c r="P59" s="55" t="s">
        <v>110</v>
      </c>
      <c r="Q59" s="67" t="str">
        <f>IFERROR(__xludf.DUMMYFUNCTION("""COMPUTED_VALUE"""),"Canada.Giaotiep_XuBen.5018_MES_HuyLG_010621")</f>
        <v>Canada.Giaotiep_XuBen.5018_MES_HuyLG_010621</v>
      </c>
      <c r="R59" s="67" t="str">
        <f>IFERROR(__xludf.DUMMYFUNCTION("""COMPUTED_VALUE"""),"NEW_Canada_none_none_010621")</f>
        <v>NEW_Canada_none_none_010621</v>
      </c>
      <c r="S59" s="67" t="str">
        <f>IFERROR(__xludf.DUMMYFUNCTION("""COMPUTED_VALUE"""),"saletructiep_Canada.Video.none.Giaotiep_TATTPVN_LD068")</f>
        <v>saletructiep_Canada.Video.none.Giaotiep_TATTPVN_LD068</v>
      </c>
      <c r="T59" s="107" t="str">
        <f>IFERROR(__xludf.DUMMYFUNCTION("""COMPUTED_VALUE"""),"https://patadovietnam.edu.vn/khoa-hoc-giao-tiep/?utm_source=Facebook&amp;utm_medium=MES&amp;utm_term=NEW_Canada_none_none_010621&amp;utm_content=saletructiep_Canada.Video.none.Giaotiep_TATTPVN_LD068&amp;utm_campaign=Canada.Giaotiep_XuBen.5018_MES_HuyLG_010621")</f>
        <v>https://patadovietnam.edu.vn/khoa-hoc-giao-tiep/?utm_source=Facebook&amp;utm_medium=MES&amp;utm_term=NEW_Canada_none_none_010621&amp;utm_content=saletructiep_Canada.Video.none.Giaotiep_TATTPVN_LD068&amp;utm_campaign=Canada.Giaotiep_XuBen.5018_MES_HuyLG_010621</v>
      </c>
      <c r="U59" s="118"/>
    </row>
    <row r="60">
      <c r="A60" s="72">
        <v>44356.0</v>
      </c>
      <c r="B60" s="156" t="s">
        <v>777</v>
      </c>
      <c r="C60" s="67" t="str">
        <f>IFERROR(__xludf.DUMMYFUNCTION("""COMPUTED_VALUE"""),"LD068")</f>
        <v>LD068</v>
      </c>
      <c r="D60" s="55" t="s">
        <v>42</v>
      </c>
      <c r="E60" s="55" t="s">
        <v>79</v>
      </c>
      <c r="F60" s="55" t="s">
        <v>182</v>
      </c>
      <c r="G60" s="55" t="s">
        <v>61</v>
      </c>
      <c r="H60" s="55" t="s">
        <v>1131</v>
      </c>
      <c r="I60" s="55" t="s">
        <v>2897</v>
      </c>
      <c r="J60" s="55" t="s">
        <v>2898</v>
      </c>
      <c r="K60" s="55" t="s">
        <v>61</v>
      </c>
      <c r="L60" s="55" t="s">
        <v>317</v>
      </c>
      <c r="M60" s="55" t="s">
        <v>78</v>
      </c>
      <c r="N60" s="55" t="s">
        <v>79</v>
      </c>
      <c r="O60" s="55" t="s">
        <v>415</v>
      </c>
      <c r="P60" s="55" t="s">
        <v>110</v>
      </c>
      <c r="Q60" s="67" t="str">
        <f>IFERROR(__xludf.DUMMYFUNCTION("""COMPUTED_VALUE"""),"Malaysia.Giaotiep_XuBen.5018_MES_HuyLG_090621")</f>
        <v>Malaysia.Giaotiep_XuBen.5018_MES_HuyLG_090621</v>
      </c>
      <c r="R60" s="67" t="str">
        <f>IFERROR(__xludf.DUMMYFUNCTION("""COMPUTED_VALUE"""),"NEW_Malaysia_none_none_090621")</f>
        <v>NEW_Malaysia_none_none_090621</v>
      </c>
      <c r="S60" s="67" t="str">
        <f>IFERROR(__xludf.DUMMYFUNCTION("""COMPUTED_VALUE"""),"saletructiep_Malaysia.Video.none.Giaotiep_TATTPVN_LD068")</f>
        <v>saletructiep_Malaysia.Video.none.Giaotiep_TATTPVN_LD068</v>
      </c>
      <c r="T60" s="107" t="str">
        <f>IFERROR(__xludf.DUMMYFUNCTION("""COMPUTED_VALUE"""),"https://patadovietnam.edu.vn/khoa-hoc-giao-tiep/?utm_source=Facebook&amp;utm_medium=MES&amp;utm_term=NEW_Malaysia_none_none_090621&amp;utm_content=saletructiep_Malaysia.Video.none.Giaotiep_TATTPVN_LD068&amp;utm_campaign=Malaysia.Giaotiep_XuBen.5018_MES_HuyLG_090621")</f>
        <v>https://patadovietnam.edu.vn/khoa-hoc-giao-tiep/?utm_source=Facebook&amp;utm_medium=MES&amp;utm_term=NEW_Malaysia_none_none_090621&amp;utm_content=saletructiep_Malaysia.Video.none.Giaotiep_TATTPVN_LD068&amp;utm_campaign=Malaysia.Giaotiep_XuBen.5018_MES_HuyLG_090621</v>
      </c>
      <c r="U60" s="118"/>
    </row>
    <row r="61">
      <c r="A61" s="72">
        <v>44357.0</v>
      </c>
      <c r="B61" s="156" t="s">
        <v>777</v>
      </c>
      <c r="C61" s="67" t="str">
        <f>IFERROR(__xludf.DUMMYFUNCTION("""COMPUTED_VALUE"""),"LD068")</f>
        <v>LD068</v>
      </c>
      <c r="D61" s="55" t="s">
        <v>42</v>
      </c>
      <c r="E61" s="55" t="s">
        <v>79</v>
      </c>
      <c r="F61" s="55" t="s">
        <v>164</v>
      </c>
      <c r="G61" s="55" t="s">
        <v>61</v>
      </c>
      <c r="H61" s="55" t="s">
        <v>1131</v>
      </c>
      <c r="I61" s="55" t="s">
        <v>2901</v>
      </c>
      <c r="J61" s="55" t="s">
        <v>2902</v>
      </c>
      <c r="K61" s="55" t="s">
        <v>61</v>
      </c>
      <c r="L61" s="55" t="s">
        <v>317</v>
      </c>
      <c r="M61" s="55" t="s">
        <v>78</v>
      </c>
      <c r="N61" s="55" t="s">
        <v>79</v>
      </c>
      <c r="O61" s="55" t="s">
        <v>415</v>
      </c>
      <c r="P61" s="55" t="s">
        <v>110</v>
      </c>
      <c r="Q61" s="67" t="str">
        <f>IFERROR(__xludf.DUMMYFUNCTION("""COMPUTED_VALUE"""),"Taiwan.Giaotiep_XuBen.5018_MES_HuyLG_100621")</f>
        <v>Taiwan.Giaotiep_XuBen.5018_MES_HuyLG_100621</v>
      </c>
      <c r="R61" s="67" t="str">
        <f>IFERROR(__xludf.DUMMYFUNCTION("""COMPUTED_VALUE"""),"NEW_Taiwan_none_none_100621")</f>
        <v>NEW_Taiwan_none_none_100621</v>
      </c>
      <c r="S61" s="67" t="str">
        <f>IFERROR(__xludf.DUMMYFUNCTION("""COMPUTED_VALUE"""),"saletructiep_Taiwan.Video.none.Giaotiep_TATTPVN_LD068")</f>
        <v>saletructiep_Taiwan.Video.none.Giaotiep_TATTPVN_LD068</v>
      </c>
      <c r="T61" s="107" t="str">
        <f>IFERROR(__xludf.DUMMYFUNCTION("""COMPUTED_VALUE"""),"https://patadovietnam.edu.vn/khoa-hoc-giao-tiep/?utm_source=Facebook&amp;utm_medium=MES&amp;utm_term=NEW_Taiwan_none_none_100621&amp;utm_content=saletructiep_Taiwan.Video.none.Giaotiep_TATTPVN_LD068&amp;utm_campaign=Taiwan.Giaotiep_XuBen.5018_MES_HuyLG_100621")</f>
        <v>https://patadovietnam.edu.vn/khoa-hoc-giao-tiep/?utm_source=Facebook&amp;utm_medium=MES&amp;utm_term=NEW_Taiwan_none_none_100621&amp;utm_content=saletructiep_Taiwan.Video.none.Giaotiep_TATTPVN_LD068&amp;utm_campaign=Taiwan.Giaotiep_XuBen.5018_MES_HuyLG_100621</v>
      </c>
      <c r="U61" s="118"/>
    </row>
    <row r="62">
      <c r="A62" s="72">
        <v>44373.0</v>
      </c>
      <c r="B62" s="156" t="s">
        <v>777</v>
      </c>
      <c r="C62" s="81" t="str">
        <f>IFERROR(__xludf.DUMMYFUNCTION("""COMPUTED_VALUE"""),"LD068")</f>
        <v>LD068</v>
      </c>
      <c r="D62" s="55" t="s">
        <v>42</v>
      </c>
      <c r="E62" s="55" t="s">
        <v>69</v>
      </c>
      <c r="F62" s="55" t="s">
        <v>258</v>
      </c>
      <c r="G62" s="55" t="s">
        <v>61</v>
      </c>
      <c r="H62" s="55" t="s">
        <v>1131</v>
      </c>
      <c r="I62" s="55" t="s">
        <v>2906</v>
      </c>
      <c r="J62" s="55" t="s">
        <v>2907</v>
      </c>
      <c r="K62" s="55" t="s">
        <v>61</v>
      </c>
      <c r="L62" s="55" t="s">
        <v>317</v>
      </c>
      <c r="M62" s="55" t="s">
        <v>78</v>
      </c>
      <c r="N62" s="55" t="s">
        <v>79</v>
      </c>
      <c r="O62" s="55" t="s">
        <v>415</v>
      </c>
      <c r="P62" s="55" t="s">
        <v>110</v>
      </c>
      <c r="Q62" s="67" t="str">
        <f>IFERROR(__xludf.DUMMYFUNCTION("""COMPUTED_VALUE"""),"Germany.Giaotiep_XuBen.5018_MES_HuyLG_260621")</f>
        <v>Germany.Giaotiep_XuBen.5018_MES_HuyLG_260621</v>
      </c>
      <c r="R62" s="67" t="str">
        <f>IFERROR(__xludf.DUMMYFUNCTION("""COMPUTED_VALUE"""),"NEW_Germany_none_none_260621")</f>
        <v>NEW_Germany_none_none_260621</v>
      </c>
      <c r="S62" s="67" t="str">
        <f>IFERROR(__xludf.DUMMYFUNCTION("""COMPUTED_VALUE"""),"saletructiep_Germany.Video.none.Giaotiep_TATTPVN_LD068")</f>
        <v>saletructiep_Germany.Video.none.Giaotiep_TATTPVN_LD068</v>
      </c>
      <c r="T62" s="107" t="str">
        <f>IFERROR(__xludf.DUMMYFUNCTION("""COMPUTED_VALUE"""),"https://patadovietnam.edu.vn/khoa-hoc-giao-tiep/?utm_source=Facebook&amp;utm_medium=CVS&amp;utm_term=NEW_Germany_none_none_260621&amp;utm_content=saletructiep_Germany.Video.none.Giaotiep_TATTPVN_LD068&amp;utm_campaign=Germany.Giaotiep_XuBen.5018_MES_HuyLG_260621")</f>
        <v>https://patadovietnam.edu.vn/khoa-hoc-giao-tiep/?utm_source=Facebook&amp;utm_medium=CVS&amp;utm_term=NEW_Germany_none_none_260621&amp;utm_content=saletructiep_Germany.Video.none.Giaotiep_TATTPVN_LD068&amp;utm_campaign=Germany.Giaotiep_XuBen.5018_MES_HuyLG_260621</v>
      </c>
      <c r="U62" s="118"/>
    </row>
    <row r="63">
      <c r="A63" s="72">
        <v>44393.0</v>
      </c>
      <c r="B63" s="156" t="s">
        <v>777</v>
      </c>
      <c r="C63" s="67" t="str">
        <f>IFERROR(__xludf.DUMMYFUNCTION("""COMPUTED_VALUE"""),"LD068")</f>
        <v>LD068</v>
      </c>
      <c r="D63" s="55" t="s">
        <v>42</v>
      </c>
      <c r="E63" s="55" t="s">
        <v>79</v>
      </c>
      <c r="F63" s="55" t="s">
        <v>162</v>
      </c>
      <c r="G63" s="55" t="s">
        <v>61</v>
      </c>
      <c r="H63" s="55" t="s">
        <v>1131</v>
      </c>
      <c r="I63" s="55" t="s">
        <v>2908</v>
      </c>
      <c r="J63" s="55" t="s">
        <v>2910</v>
      </c>
      <c r="K63" s="55" t="s">
        <v>61</v>
      </c>
      <c r="L63" s="55" t="s">
        <v>317</v>
      </c>
      <c r="M63" s="55" t="s">
        <v>2789</v>
      </c>
      <c r="N63" s="55" t="s">
        <v>79</v>
      </c>
      <c r="O63" s="55" t="s">
        <v>415</v>
      </c>
      <c r="P63" s="55" t="s">
        <v>110</v>
      </c>
      <c r="Q63" s="67" t="str">
        <f>IFERROR(__xludf.DUMMYFUNCTION("""COMPUTED_VALUE"""),"Singapore.Giaotiep_XuBen.5018_MES_HuyLG_160721")</f>
        <v>Singapore.Giaotiep_XuBen.5018_MES_HuyLG_160721</v>
      </c>
      <c r="R63" s="67" t="str">
        <f>IFERROR(__xludf.DUMMYFUNCTION("""COMPUTED_VALUE"""),"NEW_Singapore_none_none_160721")</f>
        <v>NEW_Singapore_none_none_160721</v>
      </c>
      <c r="S63" s="67" t="str">
        <f>IFERROR(__xludf.DUMMYFUNCTION("""COMPUTED_VALUE"""),"Storytelling_Singapore.Video.none.Giaotiep_TATTPVN_LD068")</f>
        <v>Storytelling_Singapore.Video.none.Giaotiep_TATTPVN_LD068</v>
      </c>
      <c r="T63" s="107" t="str">
        <f>IFERROR(__xludf.DUMMYFUNCTION("""COMPUTED_VALUE"""),"https://patadovietnam.edu.vn/khoa-hoc-giao-tiep/?utm_source=Facebook&amp;utm_medium=MES&amp;utm_term=NEW_Singapore_none_none_160721&amp;utm_content=Storytelling_Singapore.Video.none.Giaotiep_TATTPVN_LD068&amp;utm_campaign=Singapore.Giaotiep_XuBen.5018_MES_HuyLG_160721")</f>
        <v>https://patadovietnam.edu.vn/khoa-hoc-giao-tiep/?utm_source=Facebook&amp;utm_medium=MES&amp;utm_term=NEW_Singapore_none_none_160721&amp;utm_content=Storytelling_Singapore.Video.none.Giaotiep_TATTPVN_LD068&amp;utm_campaign=Singapore.Giaotiep_XuBen.5018_MES_HuyLG_160721</v>
      </c>
      <c r="U63" s="118"/>
    </row>
    <row r="64">
      <c r="A64" s="72">
        <v>44393.0</v>
      </c>
      <c r="B64" s="156" t="s">
        <v>777</v>
      </c>
      <c r="C64" s="67" t="str">
        <f>IFERROR(__xludf.DUMMYFUNCTION("""COMPUTED_VALUE"""),"LD068")</f>
        <v>LD068</v>
      </c>
      <c r="D64" s="55" t="s">
        <v>42</v>
      </c>
      <c r="E64" s="55" t="s">
        <v>79</v>
      </c>
      <c r="F64" s="55" t="s">
        <v>584</v>
      </c>
      <c r="G64" s="55" t="s">
        <v>61</v>
      </c>
      <c r="H64" s="55" t="s">
        <v>1131</v>
      </c>
      <c r="I64" s="55" t="s">
        <v>2914</v>
      </c>
      <c r="J64" s="55" t="s">
        <v>2915</v>
      </c>
      <c r="K64" s="55" t="s">
        <v>61</v>
      </c>
      <c r="L64" s="55" t="s">
        <v>317</v>
      </c>
      <c r="M64" s="55" t="s">
        <v>78</v>
      </c>
      <c r="N64" s="55" t="s">
        <v>79</v>
      </c>
      <c r="O64" s="55" t="s">
        <v>415</v>
      </c>
      <c r="P64" s="55" t="s">
        <v>110</v>
      </c>
      <c r="Q64" s="67" t="str">
        <f>IFERROR(__xludf.DUMMYFUNCTION("""COMPUTED_VALUE"""),"Myanmar.Giaotiep_XuBen.5018_MES_HuyLG_160721")</f>
        <v>Myanmar.Giaotiep_XuBen.5018_MES_HuyLG_160721</v>
      </c>
      <c r="R64" s="67" t="str">
        <f>IFERROR(__xludf.DUMMYFUNCTION("""COMPUTED_VALUE"""),"NEW_Myanmar_none_none_160721")</f>
        <v>NEW_Myanmar_none_none_160721</v>
      </c>
      <c r="S64" s="67" t="str">
        <f>IFERROR(__xludf.DUMMYFUNCTION("""COMPUTED_VALUE"""),"saletructiep_Myanmar.Video.none.Giaotiep_TATTPVN_LD068")</f>
        <v>saletructiep_Myanmar.Video.none.Giaotiep_TATTPVN_LD068</v>
      </c>
      <c r="T64" s="107" t="str">
        <f>IFERROR(__xludf.DUMMYFUNCTION("""COMPUTED_VALUE"""),"https://patadovietnam.edu.vn/khoa-hoc-giao-tiep/?utm_source=Facebook&amp;utm_medium=MES&amp;utm_term=NEW_Myanmar_none_none_160721&amp;utm_content=saletructiep_Myanmar.Video.none.Giaotiep_TATTPVN_LD068&amp;utm_campaign=Myanmar.Giaotiep_XuBen.5018_MES_HuyLG_160721")</f>
        <v>https://patadovietnam.edu.vn/khoa-hoc-giao-tiep/?utm_source=Facebook&amp;utm_medium=MES&amp;utm_term=NEW_Myanmar_none_none_160721&amp;utm_content=saletructiep_Myanmar.Video.none.Giaotiep_TATTPVN_LD068&amp;utm_campaign=Myanmar.Giaotiep_XuBen.5018_MES_HuyLG_160721</v>
      </c>
      <c r="U64" s="118"/>
    </row>
    <row r="65">
      <c r="A65" s="72">
        <v>44397.0</v>
      </c>
      <c r="B65" s="156" t="s">
        <v>777</v>
      </c>
      <c r="C65" s="67" t="str">
        <f>IFERROR(__xludf.DUMMYFUNCTION("""COMPUTED_VALUE"""),"LD068")</f>
        <v>LD068</v>
      </c>
      <c r="D65" s="55" t="s">
        <v>42</v>
      </c>
      <c r="E65" s="55" t="s">
        <v>79</v>
      </c>
      <c r="F65" s="55" t="s">
        <v>174</v>
      </c>
      <c r="G65" s="55" t="s">
        <v>61</v>
      </c>
      <c r="H65" s="55" t="s">
        <v>1131</v>
      </c>
      <c r="I65" s="55" t="s">
        <v>2919</v>
      </c>
      <c r="J65" s="55" t="s">
        <v>2920</v>
      </c>
      <c r="K65" s="55" t="s">
        <v>61</v>
      </c>
      <c r="L65" s="55" t="s">
        <v>317</v>
      </c>
      <c r="M65" s="55" t="s">
        <v>78</v>
      </c>
      <c r="N65" s="55" t="s">
        <v>79</v>
      </c>
      <c r="O65" s="55" t="s">
        <v>415</v>
      </c>
      <c r="P65" s="55" t="s">
        <v>110</v>
      </c>
      <c r="Q65" s="67" t="str">
        <f>IFERROR(__xludf.DUMMYFUNCTION("""COMPUTED_VALUE"""),"Philippines.Giaotiep_XuBen.5018_MES_HuyLG_200721")</f>
        <v>Philippines.Giaotiep_XuBen.5018_MES_HuyLG_200721</v>
      </c>
      <c r="R65" s="67" t="str">
        <f>IFERROR(__xludf.DUMMYFUNCTION("""COMPUTED_VALUE"""),"NEW_Philippines_none_none_200721")</f>
        <v>NEW_Philippines_none_none_200721</v>
      </c>
      <c r="S65" s="67" t="str">
        <f>IFERROR(__xludf.DUMMYFUNCTION("""COMPUTED_VALUE"""),"saletructiep_Philippines.Video.none.Giaotiep_TATTPVN_LD068")</f>
        <v>saletructiep_Philippines.Video.none.Giaotiep_TATTPVN_LD068</v>
      </c>
      <c r="T65" s="107" t="str">
        <f>IFERROR(__xludf.DUMMYFUNCTION("""COMPUTED_VALUE"""),"https://patadovietnam.edu.vn/khoa-hoc-giao-tiep/?utm_source=Facebook&amp;utm_medium=MES&amp;utm_term=NEW_Philippines_none_none_200721&amp;utm_content=saletructiep_Philippines.Video.none.Giaotiep_TATTPVN_LD068&amp;utm_campaign=Philippines.Giaotiep_XuBen.5018_MES_HuyLG_200"&amp;"721")</f>
        <v>https://patadovietnam.edu.vn/khoa-hoc-giao-tiep/?utm_source=Facebook&amp;utm_medium=MES&amp;utm_term=NEW_Philippines_none_none_200721&amp;utm_content=saletructiep_Philippines.Video.none.Giaotiep_TATTPVN_LD068&amp;utm_campaign=Philippines.Giaotiep_XuBen.5018_MES_HuyLG_200721</v>
      </c>
      <c r="U65" s="118"/>
    </row>
    <row r="66">
      <c r="A66" s="72">
        <v>44398.0</v>
      </c>
      <c r="B66" s="61" t="s">
        <v>131</v>
      </c>
      <c r="C66" s="67" t="str">
        <f>IFERROR(__xludf.DUMMYFUNCTION("""COMPUTED_VALUE"""),"LD071")</f>
        <v>LD071</v>
      </c>
      <c r="D66" s="55" t="s">
        <v>42</v>
      </c>
      <c r="E66" s="55" t="s">
        <v>79</v>
      </c>
      <c r="F66" s="55" t="s">
        <v>133</v>
      </c>
      <c r="G66" s="55" t="s">
        <v>61</v>
      </c>
      <c r="H66" s="55" t="s">
        <v>1131</v>
      </c>
      <c r="I66" s="55" t="s">
        <v>2889</v>
      </c>
      <c r="J66" s="55" t="s">
        <v>2890</v>
      </c>
      <c r="K66" s="55" t="s">
        <v>61</v>
      </c>
      <c r="L66" s="55" t="s">
        <v>317</v>
      </c>
      <c r="M66" s="55" t="s">
        <v>78</v>
      </c>
      <c r="N66" s="55" t="s">
        <v>79</v>
      </c>
      <c r="O66" s="55" t="s">
        <v>415</v>
      </c>
      <c r="P66" s="55" t="s">
        <v>110</v>
      </c>
      <c r="Q66" s="67" t="str">
        <f>IFERROR(__xludf.DUMMYFUNCTION("""COMPUTED_VALUE"""),"Japan.Giaotiep_XuBen.5018_MES_HuyLG_210721")</f>
        <v>Japan.Giaotiep_XuBen.5018_MES_HuyLG_210721</v>
      </c>
      <c r="R66" s="67" t="str">
        <f>IFERROR(__xludf.DUMMYFUNCTION("""COMPUTED_VALUE"""),"NEW_Japan_none_none_210721")</f>
        <v>NEW_Japan_none_none_210721</v>
      </c>
      <c r="S66" s="67" t="str">
        <f>IFERROR(__xludf.DUMMYFUNCTION("""COMPUTED_VALUE"""),"saletructiep_Japan.Video.none.Giaotiep_TATTPVN_LD071")</f>
        <v>saletructiep_Japan.Video.none.Giaotiep_TATTPVN_LD071</v>
      </c>
      <c r="T66" s="107" t="str">
        <f>IFERROR(__xludf.DUMMYFUNCTION("""COMPUTED_VALUE"""),"https://www.patado.net/tieng-anh-giao-tiep-nuoc-ngoai/?utm_source=Facebook&amp;utm_medium=MES&amp;utm_term=NEW_Japan_none_none_210721&amp;utm_content=saletructiep_Japan.Video.none.Giaotiep_TATTPVN_LD071&amp;utm_campaign=Japan.Giaotiep_XuBen.5018_MES_HuyLG_210721")</f>
        <v>https://www.patado.net/tieng-anh-giao-tiep-nuoc-ngoai/?utm_source=Facebook&amp;utm_medium=MES&amp;utm_term=NEW_Japan_none_none_210721&amp;utm_content=saletructiep_Japan.Video.none.Giaotiep_TATTPVN_LD071&amp;utm_campaign=Japan.Giaotiep_XuBen.5018_MES_HuyLG_210721</v>
      </c>
      <c r="U66" s="118"/>
    </row>
    <row r="67">
      <c r="A67" s="72">
        <v>44404.0</v>
      </c>
      <c r="B67" s="61" t="s">
        <v>131</v>
      </c>
      <c r="C67" s="67" t="str">
        <f>IFERROR(__xludf.DUMMYFUNCTION("""COMPUTED_VALUE"""),"LD071")</f>
        <v>LD071</v>
      </c>
      <c r="D67" s="55" t="s">
        <v>42</v>
      </c>
      <c r="E67" s="55" t="s">
        <v>79</v>
      </c>
      <c r="F67" s="55" t="s">
        <v>614</v>
      </c>
      <c r="G67" s="55" t="s">
        <v>61</v>
      </c>
      <c r="H67" s="55" t="s">
        <v>1131</v>
      </c>
      <c r="I67" s="55" t="s">
        <v>2929</v>
      </c>
      <c r="J67" s="55" t="s">
        <v>2930</v>
      </c>
      <c r="K67" s="55" t="s">
        <v>61</v>
      </c>
      <c r="L67" s="55" t="s">
        <v>317</v>
      </c>
      <c r="M67" s="55" t="s">
        <v>78</v>
      </c>
      <c r="N67" s="55" t="s">
        <v>79</v>
      </c>
      <c r="O67" s="55" t="s">
        <v>415</v>
      </c>
      <c r="P67" s="55" t="s">
        <v>110</v>
      </c>
      <c r="Q67" s="67" t="str">
        <f>IFERROR(__xludf.DUMMYFUNCTION("""COMPUTED_VALUE"""),"Korea.Giaotiep_XuBen.5018_MES_HuyLG_270721")</f>
        <v>Korea.Giaotiep_XuBen.5018_MES_HuyLG_270721</v>
      </c>
      <c r="R67" s="67" t="str">
        <f>IFERROR(__xludf.DUMMYFUNCTION("""COMPUTED_VALUE"""),"NEW_Korea_none_none_270721")</f>
        <v>NEW_Korea_none_none_270721</v>
      </c>
      <c r="S67" s="67" t="str">
        <f>IFERROR(__xludf.DUMMYFUNCTION("""COMPUTED_VALUE"""),"saletructiep_Korea.Video.none.Giaotiep_TATTPVN_LD071")</f>
        <v>saletructiep_Korea.Video.none.Giaotiep_TATTPVN_LD071</v>
      </c>
      <c r="T67" s="107" t="str">
        <f>IFERROR(__xludf.DUMMYFUNCTION("""COMPUTED_VALUE"""),"https://www.patado.net/tieng-anh-giao-tiep-nuoc-ngoai/?utm_source=Facebook&amp;utm_medium=MES&amp;utm_term=NEW_Korea_none_none_270721&amp;utm_content=saletructiep_Korea.Video.none.Giaotiep_TATTPVN_LD071&amp;utm_campaign=Korea.Giaotiep_XuBen.5018_MES_HuyLG_270721")</f>
        <v>https://www.patado.net/tieng-anh-giao-tiep-nuoc-ngoai/?utm_source=Facebook&amp;utm_medium=MES&amp;utm_term=NEW_Korea_none_none_270721&amp;utm_content=saletructiep_Korea.Video.none.Giaotiep_TATTPVN_LD071&amp;utm_campaign=Korea.Giaotiep_XuBen.5018_MES_HuyLG_270721</v>
      </c>
      <c r="U67" s="118"/>
    </row>
    <row r="68">
      <c r="A68" s="72">
        <v>44404.0</v>
      </c>
      <c r="B68" s="61" t="s">
        <v>131</v>
      </c>
      <c r="C68" s="67" t="str">
        <f>IFERROR(__xludf.DUMMYFUNCTION("""COMPUTED_VALUE"""),"LD071")</f>
        <v>LD071</v>
      </c>
      <c r="D68" s="55" t="s">
        <v>42</v>
      </c>
      <c r="E68" s="55" t="s">
        <v>79</v>
      </c>
      <c r="F68" s="55" t="s">
        <v>129</v>
      </c>
      <c r="G68" s="55" t="s">
        <v>61</v>
      </c>
      <c r="H68" s="55" t="s">
        <v>1131</v>
      </c>
      <c r="I68" s="55" t="s">
        <v>2787</v>
      </c>
      <c r="J68" s="55" t="s">
        <v>2788</v>
      </c>
      <c r="K68" s="55" t="s">
        <v>61</v>
      </c>
      <c r="L68" s="55" t="s">
        <v>317</v>
      </c>
      <c r="M68" s="55" t="s">
        <v>78</v>
      </c>
      <c r="N68" s="55" t="s">
        <v>79</v>
      </c>
      <c r="O68" s="55" t="s">
        <v>415</v>
      </c>
      <c r="P68" s="55" t="s">
        <v>110</v>
      </c>
      <c r="Q68" s="67" t="str">
        <f>IFERROR(__xludf.DUMMYFUNCTION("""COMPUTED_VALUE"""),"Australia.Giaotiep_XuBen.5018_MES_HuyLG_270721")</f>
        <v>Australia.Giaotiep_XuBen.5018_MES_HuyLG_270721</v>
      </c>
      <c r="R68" s="67" t="str">
        <f>IFERROR(__xludf.DUMMYFUNCTION("""COMPUTED_VALUE"""),"NEW_Australia_none_none_270721")</f>
        <v>NEW_Australia_none_none_270721</v>
      </c>
      <c r="S68" s="67" t="str">
        <f>IFERROR(__xludf.DUMMYFUNCTION("""COMPUTED_VALUE"""),"saletructiep_Australia.Video.none.Giaotiep_TATTPVN_LD071")</f>
        <v>saletructiep_Australia.Video.none.Giaotiep_TATTPVN_LD071</v>
      </c>
      <c r="T68" s="107" t="str">
        <f>IFERROR(__xludf.DUMMYFUNCTION("""COMPUTED_VALUE"""),"https://www.patado.net/tieng-anh-giao-tiep-nuoc-ngoai/?utm_source=Facebook&amp;utm_medium=MES&amp;utm_term=NEW_Australia_none_none_270721&amp;utm_content=saletructiep_Australia.Video.none.Giaotiep_TATTPVN_LD071&amp;utm_campaign=Australia.Giaotiep_XuBen.5018_MES_HuyLG_270"&amp;"721")</f>
        <v>https://www.patado.net/tieng-anh-giao-tiep-nuoc-ngoai/?utm_source=Facebook&amp;utm_medium=MES&amp;utm_term=NEW_Australia_none_none_270721&amp;utm_content=saletructiep_Australia.Video.none.Giaotiep_TATTPVN_LD071&amp;utm_campaign=Australia.Giaotiep_XuBen.5018_MES_HuyLG_270721</v>
      </c>
      <c r="U68" s="118"/>
    </row>
    <row r="69">
      <c r="A69" s="72">
        <v>44410.0</v>
      </c>
      <c r="B69" s="156" t="s">
        <v>777</v>
      </c>
      <c r="C69" s="67" t="str">
        <f>IFERROR(__xludf.DUMMYFUNCTION("""COMPUTED_VALUE"""),"LD068")</f>
        <v>LD068</v>
      </c>
      <c r="D69" s="55" t="s">
        <v>42</v>
      </c>
      <c r="E69" s="55" t="s">
        <v>69</v>
      </c>
      <c r="F69" s="55" t="s">
        <v>474</v>
      </c>
      <c r="G69" s="55" t="s">
        <v>61</v>
      </c>
      <c r="H69" s="55" t="s">
        <v>1131</v>
      </c>
      <c r="I69" s="55" t="s">
        <v>2937</v>
      </c>
      <c r="J69" s="55" t="s">
        <v>2938</v>
      </c>
      <c r="K69" s="55" t="s">
        <v>61</v>
      </c>
      <c r="L69" s="55" t="s">
        <v>317</v>
      </c>
      <c r="M69" s="55" t="s">
        <v>78</v>
      </c>
      <c r="N69" s="55" t="s">
        <v>69</v>
      </c>
      <c r="O69" s="55" t="s">
        <v>415</v>
      </c>
      <c r="P69" s="55" t="s">
        <v>110</v>
      </c>
      <c r="Q69" s="67" t="str">
        <f>IFERROR(__xludf.DUMMYFUNCTION("""COMPUTED_VALUE"""),"Spain.Giaotiep_XuBen.5018_CVS_HuyLG_020821")</f>
        <v>Spain.Giaotiep_XuBen.5018_CVS_HuyLG_020821</v>
      </c>
      <c r="R69" s="67" t="str">
        <f>IFERROR(__xludf.DUMMYFUNCTION("""COMPUTED_VALUE"""),"NEW_Spain_none_none_020821")</f>
        <v>NEW_Spain_none_none_020821</v>
      </c>
      <c r="S69" s="67" t="str">
        <f>IFERROR(__xludf.DUMMYFUNCTION("""COMPUTED_VALUE"""),"saletructiep_Spain.Video.none.Giaotiep_TATTPVN_LD068")</f>
        <v>saletructiep_Spain.Video.none.Giaotiep_TATTPVN_LD068</v>
      </c>
      <c r="T69" s="151" t="str">
        <f>IFERROR(__xludf.DUMMYFUNCTION("""COMPUTED_VALUE"""),"https://patadovietnam.edu.vn/khoa-hoc-giao-tiep/?utm_source=Facebook&amp;utm_medium=CVS&amp;utm_term=NEW_Spain_none_none_020821&amp;utm_content=saletructiep_Spain.Video.none.Giaotiep_TATTPVN_LD068&amp;utm_campaign=Spain.Giaotiep_XuBen.5018_CVS_HuyLG_020821")</f>
        <v>https://patadovietnam.edu.vn/khoa-hoc-giao-tiep/?utm_source=Facebook&amp;utm_medium=CVS&amp;utm_term=NEW_Spain_none_none_020821&amp;utm_content=saletructiep_Spain.Video.none.Giaotiep_TATTPVN_LD068&amp;utm_campaign=Spain.Giaotiep_XuBen.5018_CVS_HuyLG_020821</v>
      </c>
      <c r="U69" s="118"/>
    </row>
    <row r="70">
      <c r="A70" s="72">
        <v>44410.0</v>
      </c>
      <c r="B70" s="156" t="s">
        <v>777</v>
      </c>
      <c r="C70" s="67" t="str">
        <f>IFERROR(__xludf.DUMMYFUNCTION("""COMPUTED_VALUE"""),"LD068")</f>
        <v>LD068</v>
      </c>
      <c r="D70" s="55" t="s">
        <v>42</v>
      </c>
      <c r="E70" s="55" t="s">
        <v>69</v>
      </c>
      <c r="F70" s="55" t="s">
        <v>274</v>
      </c>
      <c r="G70" s="55" t="s">
        <v>61</v>
      </c>
      <c r="H70" s="55" t="s">
        <v>1131</v>
      </c>
      <c r="I70" s="55" t="s">
        <v>2940</v>
      </c>
      <c r="J70" s="55" t="s">
        <v>2941</v>
      </c>
      <c r="K70" s="55" t="s">
        <v>61</v>
      </c>
      <c r="L70" s="55" t="s">
        <v>317</v>
      </c>
      <c r="M70" s="55" t="s">
        <v>78</v>
      </c>
      <c r="N70" s="55" t="s">
        <v>69</v>
      </c>
      <c r="O70" s="55" t="s">
        <v>415</v>
      </c>
      <c r="P70" s="55" t="s">
        <v>110</v>
      </c>
      <c r="Q70" s="67" t="str">
        <f>IFERROR(__xludf.DUMMYFUNCTION("""COMPUTED_VALUE"""),"UnitedKingdom.Giaotiep_XuBen.5018_CVS_HuyLG_020821")</f>
        <v>UnitedKingdom.Giaotiep_XuBen.5018_CVS_HuyLG_020821</v>
      </c>
      <c r="R70" s="67" t="str">
        <f>IFERROR(__xludf.DUMMYFUNCTION("""COMPUTED_VALUE"""),"NEW_UnitedKingdom_none_none_020821")</f>
        <v>NEW_UnitedKingdom_none_none_020821</v>
      </c>
      <c r="S70" s="67" t="str">
        <f>IFERROR(__xludf.DUMMYFUNCTION("""COMPUTED_VALUE"""),"saletructiep_UnitedKingdom.Video.none.Giaotiep_TATTPVN_LD068")</f>
        <v>saletructiep_UnitedKingdom.Video.none.Giaotiep_TATTPVN_LD068</v>
      </c>
      <c r="T70" s="107" t="str">
        <f>IFERROR(__xludf.DUMMYFUNCTION("""COMPUTED_VALUE"""),"https://patadovietnam.edu.vn/khoa-hoc-giao-tiep/?utm_source=Facebook&amp;utm_medium=CVS&amp;utm_term=NEW_UnitedKingdom_none_none_020821&amp;utm_content=saletructiep_UnitedKingdom.Video.none.Giaotiep_TATTPVN_LD068&amp;utm_campaign=UnitedKingdom.Giaotiep_XuBen.5018_CVS_Huy"&amp;"LG_020821")</f>
        <v>https://patadovietnam.edu.vn/khoa-hoc-giao-tiep/?utm_source=Facebook&amp;utm_medium=CVS&amp;utm_term=NEW_UnitedKingdom_none_none_020821&amp;utm_content=saletructiep_UnitedKingdom.Video.none.Giaotiep_TATTPVN_LD068&amp;utm_campaign=UnitedKingdom.Giaotiep_XuBen.5018_CVS_HuyLG_020821</v>
      </c>
      <c r="U70" s="118"/>
    </row>
    <row r="71">
      <c r="A71" s="72">
        <v>44410.0</v>
      </c>
      <c r="B71" s="156" t="s">
        <v>777</v>
      </c>
      <c r="C71" s="67" t="str">
        <f>IFERROR(__xludf.DUMMYFUNCTION("""COMPUTED_VALUE"""),"LD068")</f>
        <v>LD068</v>
      </c>
      <c r="D71" s="55" t="s">
        <v>42</v>
      </c>
      <c r="E71" s="55" t="s">
        <v>69</v>
      </c>
      <c r="F71" s="55" t="s">
        <v>461</v>
      </c>
      <c r="G71" s="55" t="s">
        <v>61</v>
      </c>
      <c r="H71" s="55" t="s">
        <v>1131</v>
      </c>
      <c r="I71" s="55" t="s">
        <v>2944</v>
      </c>
      <c r="J71" s="55" t="s">
        <v>2945</v>
      </c>
      <c r="K71" s="55" t="s">
        <v>61</v>
      </c>
      <c r="L71" s="55" t="s">
        <v>317</v>
      </c>
      <c r="M71" s="55" t="s">
        <v>78</v>
      </c>
      <c r="N71" s="55" t="s">
        <v>69</v>
      </c>
      <c r="O71" s="55" t="s">
        <v>415</v>
      </c>
      <c r="P71" s="55" t="s">
        <v>110</v>
      </c>
      <c r="Q71" s="67" t="str">
        <f>IFERROR(__xludf.DUMMYFUNCTION("""COMPUTED_VALUE"""),"CzechRepublic.Giaotiep_XuBen.5018_CVS_HuyLG_020821")</f>
        <v>CzechRepublic.Giaotiep_XuBen.5018_CVS_HuyLG_020821</v>
      </c>
      <c r="R71" s="67" t="str">
        <f>IFERROR(__xludf.DUMMYFUNCTION("""COMPUTED_VALUE"""),"NEW_CzechRepublic_none_none_020821")</f>
        <v>NEW_CzechRepublic_none_none_020821</v>
      </c>
      <c r="S71" s="67" t="str">
        <f>IFERROR(__xludf.DUMMYFUNCTION("""COMPUTED_VALUE"""),"saletructiep_CzechRepublic.Video.none.Giaotiep_TATTPVN_LD068")</f>
        <v>saletructiep_CzechRepublic.Video.none.Giaotiep_TATTPVN_LD068</v>
      </c>
      <c r="T71" s="107" t="str">
        <f>IFERROR(__xludf.DUMMYFUNCTION("""COMPUTED_VALUE"""),"https://patadovietnam.edu.vn/khoa-hoc-giao-tiep/?utm_source=Facebook&amp;utm_medium=CVS&amp;utm_term=NEW_CzechRepublic_none_none_020821&amp;utm_content=saletructiep_CzechRepublic.Video.none.Giaotiep_TATTPVN_LD068&amp;utm_campaign=CzechRepublic.Giaotiep_XuBen.5018_CVS_Huy"&amp;"LG_020821")</f>
        <v>https://patadovietnam.edu.vn/khoa-hoc-giao-tiep/?utm_source=Facebook&amp;utm_medium=CVS&amp;utm_term=NEW_CzechRepublic_none_none_020821&amp;utm_content=saletructiep_CzechRepublic.Video.none.Giaotiep_TATTPVN_LD068&amp;utm_campaign=CzechRepublic.Giaotiep_XuBen.5018_CVS_HuyLG_020821</v>
      </c>
      <c r="U71" s="118"/>
    </row>
    <row r="72">
      <c r="A72" s="72">
        <v>44412.0</v>
      </c>
      <c r="B72" s="156" t="s">
        <v>777</v>
      </c>
      <c r="C72" s="67" t="str">
        <f>IFERROR(__xludf.DUMMYFUNCTION("""COMPUTED_VALUE"""),"LD068")</f>
        <v>LD068</v>
      </c>
      <c r="D72" s="55" t="s">
        <v>42</v>
      </c>
      <c r="E72" s="55" t="s">
        <v>69</v>
      </c>
      <c r="F72" s="55" t="s">
        <v>539</v>
      </c>
      <c r="G72" s="55" t="s">
        <v>61</v>
      </c>
      <c r="H72" s="55" t="s">
        <v>1131</v>
      </c>
      <c r="I72" s="55" t="s">
        <v>2953</v>
      </c>
      <c r="J72" s="55" t="s">
        <v>2954</v>
      </c>
      <c r="K72" s="55" t="s">
        <v>61</v>
      </c>
      <c r="L72" s="55" t="s">
        <v>317</v>
      </c>
      <c r="M72" s="55" t="s">
        <v>78</v>
      </c>
      <c r="N72" s="55" t="s">
        <v>69</v>
      </c>
      <c r="O72" s="55" t="s">
        <v>415</v>
      </c>
      <c r="P72" s="55" t="s">
        <v>72</v>
      </c>
      <c r="Q72" s="67" t="str">
        <f>IFERROR(__xludf.DUMMYFUNCTION("""COMPUTED_VALUE"""),"ALLRMK.Giaotiep_XuBen.5018_CVS_HuyLG_040821")</f>
        <v>ALLRMK.Giaotiep_XuBen.5018_CVS_HuyLG_040821</v>
      </c>
      <c r="R72" s="67" t="str">
        <f>IFERROR(__xludf.DUMMYFUNCTION("""COMPUTED_VALUE"""),"RMK_ALL_none_none_040821")</f>
        <v>RMK_ALL_none_none_040821</v>
      </c>
      <c r="S72" s="67" t="str">
        <f>IFERROR(__xludf.DUMMYFUNCTION("""COMPUTED_VALUE"""),"saletructiep_ALLRMK.Video.none.Giaotiep_TATTPVN_LD068")</f>
        <v>saletructiep_ALLRMK.Video.none.Giaotiep_TATTPVN_LD068</v>
      </c>
      <c r="T72" s="107" t="str">
        <f>IFERROR(__xludf.DUMMYFUNCTION("""COMPUTED_VALUE"""),"https://patadovietnam.edu.vn/khoa-hoc-giao-tiep/?utm_source=Facebook&amp;utm_medium=CVS&amp;utm_term=RMK_ALL_none_none_040821&amp;utm_content=saletructiep_ALLRMK.Video.none.Giaotiep_TATTPVN_LD068&amp;utm_campaign=ALLRMK.Giaotiep_XuBen.5018_CVS_HuyLG_040821")</f>
        <v>https://patadovietnam.edu.vn/khoa-hoc-giao-tiep/?utm_source=Facebook&amp;utm_medium=CVS&amp;utm_term=RMK_ALL_none_none_040821&amp;utm_content=saletructiep_ALLRMK.Video.none.Giaotiep_TATTPVN_LD068&amp;utm_campaign=ALLRMK.Giaotiep_XuBen.5018_CVS_HuyLG_040821</v>
      </c>
      <c r="U72" s="118"/>
    </row>
    <row r="73">
      <c r="A73" s="72">
        <v>44413.0</v>
      </c>
      <c r="B73" s="156" t="s">
        <v>777</v>
      </c>
      <c r="C73" s="67" t="str">
        <f>IFERROR(__xludf.DUMMYFUNCTION("""COMPUTED_VALUE"""),"LD068")</f>
        <v>LD068</v>
      </c>
      <c r="D73" s="55" t="s">
        <v>42</v>
      </c>
      <c r="E73" s="55" t="s">
        <v>79</v>
      </c>
      <c r="F73" s="55" t="s">
        <v>614</v>
      </c>
      <c r="G73" s="55" t="s">
        <v>61</v>
      </c>
      <c r="H73" s="55" t="s">
        <v>1131</v>
      </c>
      <c r="I73" s="55" t="s">
        <v>2929</v>
      </c>
      <c r="J73" s="55" t="s">
        <v>2930</v>
      </c>
      <c r="K73" s="55" t="s">
        <v>61</v>
      </c>
      <c r="L73" s="55" t="s">
        <v>317</v>
      </c>
      <c r="M73" s="55" t="s">
        <v>78</v>
      </c>
      <c r="N73" s="55" t="s">
        <v>79</v>
      </c>
      <c r="O73" s="55" t="s">
        <v>415</v>
      </c>
      <c r="P73" s="55" t="s">
        <v>110</v>
      </c>
      <c r="Q73" s="67" t="str">
        <f>IFERROR(__xludf.DUMMYFUNCTION("""COMPUTED_VALUE"""),"Korea.Giaotiep_XuBen.5018_MES_HuyLG_050821")</f>
        <v>Korea.Giaotiep_XuBen.5018_MES_HuyLG_050821</v>
      </c>
      <c r="R73" s="67" t="str">
        <f>IFERROR(__xludf.DUMMYFUNCTION("""COMPUTED_VALUE"""),"NEW_Korea_none_none_050821")</f>
        <v>NEW_Korea_none_none_050821</v>
      </c>
      <c r="S73" s="67" t="str">
        <f>IFERROR(__xludf.DUMMYFUNCTION("""COMPUTED_VALUE"""),"saletructiep_Korea.Video.none.Giaotiep_TATTPVN_LD068")</f>
        <v>saletructiep_Korea.Video.none.Giaotiep_TATTPVN_LD068</v>
      </c>
      <c r="T73" s="107" t="str">
        <f>IFERROR(__xludf.DUMMYFUNCTION("""COMPUTED_VALUE"""),"https://patadovietnam.edu.vn/khoa-hoc-giao-tiep/?utm_source=Facebook&amp;utm_medium=MES&amp;utm_term=NEW_Korea_none_none_050821&amp;utm_content=saletructiep_Korea.Video.none.Giaotiep_TATTPVN_LD068&amp;utm_campaign=Korea.Giaotiep_XuBen.5018_MES_HuyLG_050821")</f>
        <v>https://patadovietnam.edu.vn/khoa-hoc-giao-tiep/?utm_source=Facebook&amp;utm_medium=MES&amp;utm_term=NEW_Korea_none_none_050821&amp;utm_content=saletructiep_Korea.Video.none.Giaotiep_TATTPVN_LD068&amp;utm_campaign=Korea.Giaotiep_XuBen.5018_MES_HuyLG_050821</v>
      </c>
      <c r="U73" s="118"/>
    </row>
    <row r="74">
      <c r="A74" s="72">
        <v>44418.0</v>
      </c>
      <c r="B74" s="156" t="s">
        <v>777</v>
      </c>
      <c r="C74" s="67" t="str">
        <f>IFERROR(__xludf.DUMMYFUNCTION("""COMPUTED_VALUE"""),"LD068")</f>
        <v>LD068</v>
      </c>
      <c r="D74" s="55" t="s">
        <v>42</v>
      </c>
      <c r="E74" s="55" t="s">
        <v>79</v>
      </c>
      <c r="F74" s="55" t="s">
        <v>129</v>
      </c>
      <c r="G74" s="55" t="s">
        <v>61</v>
      </c>
      <c r="H74" s="55" t="s">
        <v>1131</v>
      </c>
      <c r="I74" s="55" t="s">
        <v>2787</v>
      </c>
      <c r="J74" s="55" t="s">
        <v>2788</v>
      </c>
      <c r="K74" s="55" t="s">
        <v>61</v>
      </c>
      <c r="L74" s="55" t="s">
        <v>317</v>
      </c>
      <c r="M74" s="55" t="s">
        <v>78</v>
      </c>
      <c r="N74" s="55" t="s">
        <v>79</v>
      </c>
      <c r="O74" s="55" t="s">
        <v>415</v>
      </c>
      <c r="P74" s="55" t="s">
        <v>110</v>
      </c>
      <c r="Q74" s="67" t="str">
        <f>IFERROR(__xludf.DUMMYFUNCTION("""COMPUTED_VALUE"""),"Australia.Giaotiep_XuBen.5018_MES_HuyLG_100821")</f>
        <v>Australia.Giaotiep_XuBen.5018_MES_HuyLG_100821</v>
      </c>
      <c r="R74" s="67" t="str">
        <f>IFERROR(__xludf.DUMMYFUNCTION("""COMPUTED_VALUE"""),"NEW_Australia_none_none_100821")</f>
        <v>NEW_Australia_none_none_100821</v>
      </c>
      <c r="S74" s="67" t="str">
        <f>IFERROR(__xludf.DUMMYFUNCTION("""COMPUTED_VALUE"""),"saletructiep_Australia.Video.none.Giaotiep_TATTPVN_LD068")</f>
        <v>saletructiep_Australia.Video.none.Giaotiep_TATTPVN_LD068</v>
      </c>
      <c r="T74" s="107" t="str">
        <f>IFERROR(__xludf.DUMMYFUNCTION("""COMPUTED_VALUE"""),"https://patadovietnam.edu.vn/khoa-hoc-giao-tiep/?utm_source=Facebook&amp;utm_medium=MES&amp;utm_term=NEW_Australia_none_none_100821&amp;utm_content=saletructiep_Australia.Video.none.Giaotiep_TATTPVN_LD068&amp;utm_campaign=Australia.Giaotiep_XuBen.5018_MES_HuyLG_100821")</f>
        <v>https://patadovietnam.edu.vn/khoa-hoc-giao-tiep/?utm_source=Facebook&amp;utm_medium=MES&amp;utm_term=NEW_Australia_none_none_100821&amp;utm_content=saletructiep_Australia.Video.none.Giaotiep_TATTPVN_LD068&amp;utm_campaign=Australia.Giaotiep_XuBen.5018_MES_HuyLG_100821</v>
      </c>
      <c r="U74" s="118"/>
    </row>
    <row r="75">
      <c r="A75" s="72">
        <v>44419.0</v>
      </c>
      <c r="B75" s="160" t="s">
        <v>777</v>
      </c>
      <c r="C75" s="58" t="str">
        <f>IFERROR(__xludf.DUMMYFUNCTION("""COMPUTED_VALUE"""),"LD068")</f>
        <v>LD068</v>
      </c>
      <c r="D75" s="143" t="s">
        <v>42</v>
      </c>
      <c r="E75" s="143" t="s">
        <v>79</v>
      </c>
      <c r="F75" s="143" t="s">
        <v>107</v>
      </c>
      <c r="G75" s="143" t="s">
        <v>61</v>
      </c>
      <c r="H75" s="143" t="s">
        <v>1131</v>
      </c>
      <c r="I75" s="143" t="s">
        <v>2803</v>
      </c>
      <c r="J75" s="143" t="s">
        <v>2804</v>
      </c>
      <c r="K75" s="143" t="s">
        <v>61</v>
      </c>
      <c r="L75" s="143" t="s">
        <v>317</v>
      </c>
      <c r="M75" s="55" t="s">
        <v>78</v>
      </c>
      <c r="N75" s="143" t="s">
        <v>79</v>
      </c>
      <c r="O75" s="143" t="s">
        <v>415</v>
      </c>
      <c r="P75" s="143" t="s">
        <v>110</v>
      </c>
      <c r="Q75" s="67" t="str">
        <f>IFERROR(__xludf.DUMMYFUNCTION("""COMPUTED_VALUE"""),"UnitedStates.Giaotiep_XuBen.5018_MES_HuyLG_110821")</f>
        <v>UnitedStates.Giaotiep_XuBen.5018_MES_HuyLG_110821</v>
      </c>
      <c r="R75" s="67" t="str">
        <f>IFERROR(__xludf.DUMMYFUNCTION("""COMPUTED_VALUE"""),"NEW_UnitedStates_none_none_110821")</f>
        <v>NEW_UnitedStates_none_none_110821</v>
      </c>
      <c r="S75" s="67" t="str">
        <f>IFERROR(__xludf.DUMMYFUNCTION("""COMPUTED_VALUE"""),"saletructiep_UnitedStates.Video.none.Giaotiep_TATTPVN_LD068")</f>
        <v>saletructiep_UnitedStates.Video.none.Giaotiep_TATTPVN_LD068</v>
      </c>
      <c r="T75" s="107" t="str">
        <f>IFERROR(__xludf.DUMMYFUNCTION("""COMPUTED_VALUE"""),"https://patadovietnam.edu.vn/khoa-hoc-giao-tiep/?utm_source=Facebook&amp;utm_medium=MES&amp;utm_term=NEW_UnitedStates_none_none_110821&amp;utm_content=saletructiep_UnitedStates.Video.none.Giaotiep_TATTPVN_LD068&amp;utm_campaign=UnitedStates.Giaotiep_XuBen.5018_MES_HuyLG_"&amp;"110821")</f>
        <v>https://patadovietnam.edu.vn/khoa-hoc-giao-tiep/?utm_source=Facebook&amp;utm_medium=MES&amp;utm_term=NEW_UnitedStates_none_none_110821&amp;utm_content=saletructiep_UnitedStates.Video.none.Giaotiep_TATTPVN_LD068&amp;utm_campaign=UnitedStates.Giaotiep_XuBen.5018_MES_HuyLG_110821</v>
      </c>
      <c r="U75" s="118"/>
    </row>
    <row r="76">
      <c r="A76" s="72">
        <v>44443.0</v>
      </c>
      <c r="B76" s="160" t="s">
        <v>777</v>
      </c>
      <c r="C76" s="67" t="str">
        <f>IFERROR(__xludf.DUMMYFUNCTION("""COMPUTED_VALUE"""),"LD068")</f>
        <v>LD068</v>
      </c>
      <c r="D76" s="143" t="s">
        <v>42</v>
      </c>
      <c r="E76" s="143" t="s">
        <v>79</v>
      </c>
      <c r="F76" s="55" t="s">
        <v>311</v>
      </c>
      <c r="G76" s="143" t="s">
        <v>61</v>
      </c>
      <c r="H76" s="143" t="s">
        <v>1131</v>
      </c>
      <c r="I76" s="87" t="s">
        <v>2968</v>
      </c>
      <c r="J76" s="55" t="s">
        <v>2969</v>
      </c>
      <c r="K76" s="143" t="s">
        <v>61</v>
      </c>
      <c r="L76" s="143" t="s">
        <v>317</v>
      </c>
      <c r="M76" s="55" t="s">
        <v>78</v>
      </c>
      <c r="N76" s="143" t="s">
        <v>79</v>
      </c>
      <c r="O76" s="143" t="s">
        <v>415</v>
      </c>
      <c r="P76" s="143" t="s">
        <v>110</v>
      </c>
      <c r="Q76" s="67" t="str">
        <f>IFERROR(__xludf.DUMMYFUNCTION("""COMPUTED_VALUE"""),"Mexico.Giaotiep_XuBen.5018_MES_HuyLG_040921")</f>
        <v>Mexico.Giaotiep_XuBen.5018_MES_HuyLG_040921</v>
      </c>
      <c r="R76" s="67" t="str">
        <f>IFERROR(__xludf.DUMMYFUNCTION("""COMPUTED_VALUE"""),"NEW_Mexico_none_none_040921")</f>
        <v>NEW_Mexico_none_none_040921</v>
      </c>
      <c r="S76" s="67" t="str">
        <f>IFERROR(__xludf.DUMMYFUNCTION("""COMPUTED_VALUE"""),"saletructiep_Mexico.Video.none.Giaotiep_TATTPVN_LD068")</f>
        <v>saletructiep_Mexico.Video.none.Giaotiep_TATTPVN_LD068</v>
      </c>
      <c r="T76" s="107" t="str">
        <f>IFERROR(__xludf.DUMMYFUNCTION("""COMPUTED_VALUE"""),"https://patadovietnam.edu.vn/khoa-hoc-giao-tiep/?utm_source=Facebook&amp;utm_medium=MES&amp;utm_term=NEW_Mexico_none_none_040921&amp;utm_content=saletructiep_Mexico.Video.none.Giaotiep_TATTPVN_LD068&amp;utm_campaign=Mexico.Giaotiep_XuBen.5018_MES_HuyLG_040921")</f>
        <v>https://patadovietnam.edu.vn/khoa-hoc-giao-tiep/?utm_source=Facebook&amp;utm_medium=MES&amp;utm_term=NEW_Mexico_none_none_040921&amp;utm_content=saletructiep_Mexico.Video.none.Giaotiep_TATTPVN_LD068&amp;utm_campaign=Mexico.Giaotiep_XuBen.5018_MES_HuyLG_040921</v>
      </c>
      <c r="U76" s="118"/>
    </row>
    <row r="77">
      <c r="A77" s="72">
        <v>44470.0</v>
      </c>
      <c r="B77" s="160" t="s">
        <v>777</v>
      </c>
      <c r="C77" s="67" t="str">
        <f>IFERROR(__xludf.DUMMYFUNCTION("""COMPUTED_VALUE"""),"LD068")</f>
        <v>LD068</v>
      </c>
      <c r="D77" s="143" t="s">
        <v>42</v>
      </c>
      <c r="E77" s="143" t="s">
        <v>79</v>
      </c>
      <c r="F77" s="55" t="s">
        <v>119</v>
      </c>
      <c r="G77" s="143" t="s">
        <v>61</v>
      </c>
      <c r="H77" s="143" t="s">
        <v>1131</v>
      </c>
      <c r="I77" s="55" t="s">
        <v>2971</v>
      </c>
      <c r="J77" s="55" t="s">
        <v>2972</v>
      </c>
      <c r="K77" s="143" t="s">
        <v>61</v>
      </c>
      <c r="L77" s="143" t="s">
        <v>317</v>
      </c>
      <c r="M77" s="55" t="s">
        <v>78</v>
      </c>
      <c r="N77" s="143" t="s">
        <v>79</v>
      </c>
      <c r="O77" s="143" t="s">
        <v>415</v>
      </c>
      <c r="P77" s="143" t="s">
        <v>110</v>
      </c>
      <c r="Q77" s="67" t="str">
        <f>IFERROR(__xludf.DUMMYFUNCTION("""COMPUTED_VALUE"""),"NewZealand.Giaotiep_XuBen.5018_MES_HuyLG_011021")</f>
        <v>NewZealand.Giaotiep_XuBen.5018_MES_HuyLG_011021</v>
      </c>
      <c r="R77" s="67" t="str">
        <f>IFERROR(__xludf.DUMMYFUNCTION("""COMPUTED_VALUE"""),"NEW_NewZealand_none_none_011021")</f>
        <v>NEW_NewZealand_none_none_011021</v>
      </c>
      <c r="S77" s="67" t="str">
        <f>IFERROR(__xludf.DUMMYFUNCTION("""COMPUTED_VALUE"""),"saletructiep_NewZealand.Video.none.Giaotiep_TATTPVN_LD068")</f>
        <v>saletructiep_NewZealand.Video.none.Giaotiep_TATTPVN_LD068</v>
      </c>
      <c r="T77" s="107" t="str">
        <f>IFERROR(__xludf.DUMMYFUNCTION("""COMPUTED_VALUE"""),"https://patadovietnam.edu.vn/khoa-hoc-giao-tiep/?utm_source=Facebook&amp;utm_medium=MES&amp;utm_term=NEW_NewZealand_none_none_011021&amp;utm_content=saletructiep_NewZealand.Video.none.Giaotiep_TATTPVN_LD068&amp;utm_campaign=NewZealand.Giaotiep_XuBen.5018_MES_HuyLG_011021")</f>
        <v>https://patadovietnam.edu.vn/khoa-hoc-giao-tiep/?utm_source=Facebook&amp;utm_medium=MES&amp;utm_term=NEW_NewZealand_none_none_011021&amp;utm_content=saletructiep_NewZealand.Video.none.Giaotiep_TATTPVN_LD068&amp;utm_campaign=NewZealand.Giaotiep_XuBen.5018_MES_HuyLG_011021</v>
      </c>
      <c r="U77" s="118"/>
    </row>
    <row r="78">
      <c r="A78" s="72">
        <v>44512.0</v>
      </c>
      <c r="B78" s="160" t="s">
        <v>777</v>
      </c>
      <c r="C78" s="67" t="str">
        <f>IFERROR(__xludf.DUMMYFUNCTION("""COMPUTED_VALUE"""),"LD068")</f>
        <v>LD068</v>
      </c>
      <c r="D78" s="143" t="s">
        <v>42</v>
      </c>
      <c r="E78" s="143" t="s">
        <v>79</v>
      </c>
      <c r="F78" s="55" t="s">
        <v>616</v>
      </c>
      <c r="G78" s="143" t="s">
        <v>61</v>
      </c>
      <c r="H78" s="143" t="s">
        <v>1131</v>
      </c>
      <c r="I78" s="55" t="s">
        <v>2976</v>
      </c>
      <c r="J78" s="55" t="s">
        <v>2977</v>
      </c>
      <c r="K78" s="143" t="s">
        <v>61</v>
      </c>
      <c r="L78" s="143" t="s">
        <v>317</v>
      </c>
      <c r="M78" s="55" t="s">
        <v>78</v>
      </c>
      <c r="N78" s="143" t="s">
        <v>79</v>
      </c>
      <c r="O78" s="143" t="s">
        <v>415</v>
      </c>
      <c r="P78" s="143" t="s">
        <v>110</v>
      </c>
      <c r="Q78" s="67" t="str">
        <f>IFERROR(__xludf.DUMMYFUNCTION("""COMPUTED_VALUE"""),"India.Giaotiep_XuBen.5018_MES_HuyLG_121121")</f>
        <v>India.Giaotiep_XuBen.5018_MES_HuyLG_121121</v>
      </c>
      <c r="R78" s="67" t="str">
        <f>IFERROR(__xludf.DUMMYFUNCTION("""COMPUTED_VALUE"""),"NEW_India_none_none_121121")</f>
        <v>NEW_India_none_none_121121</v>
      </c>
      <c r="S78" s="67" t="str">
        <f>IFERROR(__xludf.DUMMYFUNCTION("""COMPUTED_VALUE"""),"saletructiep_India.Video.none.Giaotiep_TATTPVN_LD068")</f>
        <v>saletructiep_India.Video.none.Giaotiep_TATTPVN_LD068</v>
      </c>
      <c r="T78" s="107" t="str">
        <f>IFERROR(__xludf.DUMMYFUNCTION("""COMPUTED_VALUE"""),"https://patadovietnam.edu.vn/khoa-hoc-giao-tiep/?utm_source=Facebook&amp;utm_medium=MES&amp;utm_term=NEW_India_none_none_121121&amp;utm_content=saletructiep_India.Video.none.Giaotiep_TATTPVN_LD068&amp;utm_campaign=India.Giaotiep_XuBen.5018_MES_HuyLG_121121")</f>
        <v>https://patadovietnam.edu.vn/khoa-hoc-giao-tiep/?utm_source=Facebook&amp;utm_medium=MES&amp;utm_term=NEW_India_none_none_121121&amp;utm_content=saletructiep_India.Video.none.Giaotiep_TATTPVN_LD068&amp;utm_campaign=India.Giaotiep_XuBen.5018_MES_HuyLG_121121</v>
      </c>
      <c r="U78" s="118"/>
    </row>
    <row r="79">
      <c r="A79" s="72">
        <v>44513.0</v>
      </c>
      <c r="B79" s="160" t="s">
        <v>777</v>
      </c>
      <c r="C79" s="67" t="str">
        <f>IFERROR(__xludf.DUMMYFUNCTION("""COMPUTED_VALUE"""),"LD068")</f>
        <v>LD068</v>
      </c>
      <c r="D79" s="143" t="s">
        <v>42</v>
      </c>
      <c r="E79" s="143" t="s">
        <v>79</v>
      </c>
      <c r="F79" s="55" t="s">
        <v>397</v>
      </c>
      <c r="G79" s="143" t="s">
        <v>61</v>
      </c>
      <c r="H79" s="143" t="s">
        <v>1131</v>
      </c>
      <c r="I79" s="55" t="s">
        <v>2980</v>
      </c>
      <c r="J79" s="55" t="s">
        <v>2981</v>
      </c>
      <c r="K79" s="143" t="s">
        <v>61</v>
      </c>
      <c r="L79" s="143" t="s">
        <v>317</v>
      </c>
      <c r="M79" s="55" t="s">
        <v>78</v>
      </c>
      <c r="N79" s="143" t="s">
        <v>79</v>
      </c>
      <c r="O79" s="143" t="s">
        <v>415</v>
      </c>
      <c r="P79" s="143" t="s">
        <v>110</v>
      </c>
      <c r="Q79" s="67" t="str">
        <f>IFERROR(__xludf.DUMMYFUNCTION("""COMPUTED_VALUE"""),"UnitedArabEmirates.Giaotiep_XuBen.5018_MES_HuyLG_131121")</f>
        <v>UnitedArabEmirates.Giaotiep_XuBen.5018_MES_HuyLG_131121</v>
      </c>
      <c r="R79" s="67" t="str">
        <f>IFERROR(__xludf.DUMMYFUNCTION("""COMPUTED_VALUE"""),"NEW_UnitedArabEmirates_none_none_131121")</f>
        <v>NEW_UnitedArabEmirates_none_none_131121</v>
      </c>
      <c r="S79" s="67" t="str">
        <f>IFERROR(__xludf.DUMMYFUNCTION("""COMPUTED_VALUE"""),"saletructiep_UnitedArabEmirates.Video.none.Giaotiep_TATTPVN_LD068")</f>
        <v>saletructiep_UnitedArabEmirates.Video.none.Giaotiep_TATTPVN_LD068</v>
      </c>
      <c r="T79" s="107" t="str">
        <f>IFERROR(__xludf.DUMMYFUNCTION("""COMPUTED_VALUE"""),"https://patadovietnam.edu.vn/khoa-hoc-giao-tiep/?utm_source=Facebook&amp;utm_medium=MES&amp;utm_term=NEW_UnitedArabEmirates_none_none_131121&amp;utm_content=saletructiep_UnitedArabEmirates.Video.none.Giaotiep_TATTPVN_LD068&amp;utm_campaign=UnitedArabEmirates.Giaotiep_XuB"&amp;"en.5018_MES_HuyLG_131121")</f>
        <v>https://patadovietnam.edu.vn/khoa-hoc-giao-tiep/?utm_source=Facebook&amp;utm_medium=MES&amp;utm_term=NEW_UnitedArabEmirates_none_none_131121&amp;utm_content=saletructiep_UnitedArabEmirates.Video.none.Giaotiep_TATTPVN_LD068&amp;utm_campaign=UnitedArabEmirates.Giaotiep_XuBen.5018_MES_HuyLG_131121</v>
      </c>
      <c r="U79" s="118"/>
    </row>
    <row r="80">
      <c r="A80" s="72">
        <v>44515.0</v>
      </c>
      <c r="B80" s="160" t="s">
        <v>777</v>
      </c>
      <c r="C80" s="67" t="str">
        <f>IFERROR(__xludf.DUMMYFUNCTION("""COMPUTED_VALUE"""),"LD068")</f>
        <v>LD068</v>
      </c>
      <c r="D80" s="143" t="s">
        <v>42</v>
      </c>
      <c r="E80" s="143" t="s">
        <v>79</v>
      </c>
      <c r="F80" s="55" t="s">
        <v>303</v>
      </c>
      <c r="G80" s="143" t="s">
        <v>61</v>
      </c>
      <c r="H80" s="143" t="s">
        <v>1131</v>
      </c>
      <c r="I80" s="55" t="s">
        <v>2851</v>
      </c>
      <c r="J80" s="55" t="s">
        <v>2852</v>
      </c>
      <c r="K80" s="143" t="s">
        <v>61</v>
      </c>
      <c r="L80" s="143" t="s">
        <v>317</v>
      </c>
      <c r="M80" s="55" t="s">
        <v>78</v>
      </c>
      <c r="N80" s="143" t="s">
        <v>79</v>
      </c>
      <c r="O80" s="143" t="s">
        <v>415</v>
      </c>
      <c r="P80" s="143" t="s">
        <v>110</v>
      </c>
      <c r="Q80" s="67" t="str">
        <f>IFERROR(__xludf.DUMMYFUNCTION("""COMPUTED_VALUE"""),"Cambodia.Giaotiep_XuBen.5018_MES_HuyLG_151121")</f>
        <v>Cambodia.Giaotiep_XuBen.5018_MES_HuyLG_151121</v>
      </c>
      <c r="R80" s="67" t="str">
        <f>IFERROR(__xludf.DUMMYFUNCTION("""COMPUTED_VALUE"""),"NEW_Cambodia_none_none_151121")</f>
        <v>NEW_Cambodia_none_none_151121</v>
      </c>
      <c r="S80" s="67" t="str">
        <f>IFERROR(__xludf.DUMMYFUNCTION("""COMPUTED_VALUE"""),"saletructiep_Cambodia.Video.none.Giaotiep_TATTPVN_LD068")</f>
        <v>saletructiep_Cambodia.Video.none.Giaotiep_TATTPVN_LD068</v>
      </c>
      <c r="T80" s="107" t="str">
        <f>IFERROR(__xludf.DUMMYFUNCTION("""COMPUTED_VALUE"""),"https://patadovietnam.edu.vn/khoa-hoc-giao-tiep/?utm_source=Facebook&amp;utm_medium=MES&amp;utm_term=NEW_Cambodia_none_none_151121&amp;utm_content=saletructiep_Cambodia.Video.none.Giaotiep_TATTPVN_LD068&amp;utm_campaign=Cambodia.Giaotiep_XuBen.5018_MES_HuyLG_151121")</f>
        <v>https://patadovietnam.edu.vn/khoa-hoc-giao-tiep/?utm_source=Facebook&amp;utm_medium=MES&amp;utm_term=NEW_Cambodia_none_none_151121&amp;utm_content=saletructiep_Cambodia.Video.none.Giaotiep_TATTPVN_LD068&amp;utm_campaign=Cambodia.Giaotiep_XuBen.5018_MES_HuyLG_151121</v>
      </c>
      <c r="U80" s="118"/>
    </row>
    <row r="81">
      <c r="A81" s="72">
        <v>44517.0</v>
      </c>
      <c r="B81" s="160" t="s">
        <v>777</v>
      </c>
      <c r="C81" s="67" t="str">
        <f>IFERROR(__xludf.DUMMYFUNCTION("""COMPUTED_VALUE"""),"LD068")</f>
        <v>LD068</v>
      </c>
      <c r="D81" s="143" t="s">
        <v>42</v>
      </c>
      <c r="E81" s="87" t="s">
        <v>69</v>
      </c>
      <c r="F81" s="55" t="s">
        <v>199</v>
      </c>
      <c r="G81" s="143" t="s">
        <v>61</v>
      </c>
      <c r="H81" s="143" t="s">
        <v>1131</v>
      </c>
      <c r="I81" s="55" t="s">
        <v>2986</v>
      </c>
      <c r="J81" s="55" t="s">
        <v>2987</v>
      </c>
      <c r="K81" s="143" t="s">
        <v>61</v>
      </c>
      <c r="L81" s="143" t="s">
        <v>317</v>
      </c>
      <c r="M81" s="55" t="s">
        <v>78</v>
      </c>
      <c r="N81" s="87" t="s">
        <v>69</v>
      </c>
      <c r="O81" s="143" t="s">
        <v>415</v>
      </c>
      <c r="P81" s="143" t="s">
        <v>110</v>
      </c>
      <c r="Q81" s="67" t="str">
        <f>IFERROR(__xludf.DUMMYFUNCTION("""COMPUTED_VALUE"""),"Vietnam.Giaotiep_XuBen.5018_CVS_HuyLG_171121")</f>
        <v>Vietnam.Giaotiep_XuBen.5018_CVS_HuyLG_171121</v>
      </c>
      <c r="R81" s="67" t="str">
        <f>IFERROR(__xludf.DUMMYFUNCTION("""COMPUTED_VALUE"""),"NEW_Vietnam_none_none_171121")</f>
        <v>NEW_Vietnam_none_none_171121</v>
      </c>
      <c r="S81" s="67" t="str">
        <f>IFERROR(__xludf.DUMMYFUNCTION("""COMPUTED_VALUE"""),"saletructiep_Vietnam.Video.none.Giaotiep_TATTPVN_LD068")</f>
        <v>saletructiep_Vietnam.Video.none.Giaotiep_TATTPVN_LD068</v>
      </c>
      <c r="T81" s="107" t="str">
        <f>IFERROR(__xludf.DUMMYFUNCTION("""COMPUTED_VALUE"""),"https://patadovietnam.edu.vn/khoa-hoc-giao-tiep/?utm_source=Facebook&amp;utm_medium=CVS&amp;utm_term=NEW_Vietnam_none_none_171121&amp;utm_content=saletructiep_Vietnam.Video.none.Giaotiep_TATTPVN_LD068&amp;utm_campaign=Vietnam.Giaotiep_XuBen.5018_CVS_HuyLG_171121")</f>
        <v>https://patadovietnam.edu.vn/khoa-hoc-giao-tiep/?utm_source=Facebook&amp;utm_medium=CVS&amp;utm_term=NEW_Vietnam_none_none_171121&amp;utm_content=saletructiep_Vietnam.Video.none.Giaotiep_TATTPVN_LD068&amp;utm_campaign=Vietnam.Giaotiep_XuBen.5018_CVS_HuyLG_171121</v>
      </c>
      <c r="U81" s="118"/>
    </row>
    <row r="82">
      <c r="A82" s="72">
        <v>44552.0</v>
      </c>
      <c r="B82" s="61" t="s">
        <v>2990</v>
      </c>
      <c r="C82" s="67" t="str">
        <f>IFERROR(__xludf.DUMMYFUNCTION("""COMPUTED_VALUE"""),"LD077")</f>
        <v>LD077</v>
      </c>
      <c r="D82" s="143" t="s">
        <v>42</v>
      </c>
      <c r="E82" s="87" t="s">
        <v>69</v>
      </c>
      <c r="F82" s="55" t="s">
        <v>274</v>
      </c>
      <c r="G82" s="143" t="s">
        <v>61</v>
      </c>
      <c r="H82" s="143" t="s">
        <v>1131</v>
      </c>
      <c r="I82" s="55" t="s">
        <v>2940</v>
      </c>
      <c r="J82" s="55" t="s">
        <v>2941</v>
      </c>
      <c r="K82" s="55" t="s">
        <v>61</v>
      </c>
      <c r="L82" s="55" t="s">
        <v>317</v>
      </c>
      <c r="M82" s="55" t="s">
        <v>78</v>
      </c>
      <c r="N82" s="55" t="s">
        <v>69</v>
      </c>
      <c r="O82" s="55" t="s">
        <v>415</v>
      </c>
      <c r="P82" s="55" t="s">
        <v>110</v>
      </c>
      <c r="Q82" s="67" t="str">
        <f>IFERROR(__xludf.DUMMYFUNCTION("""COMPUTED_VALUE"""),"UnitedKingdom.Giaotiep_XuBen.5018_CVS_HuyLG_221221")</f>
        <v>UnitedKingdom.Giaotiep_XuBen.5018_CVS_HuyLG_221221</v>
      </c>
      <c r="R82" s="67" t="str">
        <f>IFERROR(__xludf.DUMMYFUNCTION("""COMPUTED_VALUE"""),"NEW_UnitedKingdom_none_none_221221")</f>
        <v>NEW_UnitedKingdom_none_none_221221</v>
      </c>
      <c r="S82" s="67" t="str">
        <f>IFERROR(__xludf.DUMMYFUNCTION("""COMPUTED_VALUE"""),"saletructiep_UnitedKingdom.Video.none.Giaotiep_TATTPVN_LD077")</f>
        <v>saletructiep_UnitedKingdom.Video.none.Giaotiep_TATTPVN_LD077</v>
      </c>
      <c r="T82" s="107" t="str">
        <f>IFERROR(__xludf.DUMMYFUNCTION("""COMPUTED_VALUE"""),"https://patadovietnam.edu.vn/merrychristmast/?utm_source=Facebook&amp;utm_medium=CVS&amp;utm_term=NEW_UnitedKingdom_none_none_221221&amp;utm_content=saletructiep_UnitedKingdom.Video.none.Giaotiep_TATTPVN_LD077&amp;utm_campaign=UnitedKingdom.Giaotiep_XuBen.5018_CVS_HuyLG_"&amp;"221221")</f>
        <v>https://patadovietnam.edu.vn/merrychristmast/?utm_source=Facebook&amp;utm_medium=CVS&amp;utm_term=NEW_UnitedKingdom_none_none_221221&amp;utm_content=saletructiep_UnitedKingdom.Video.none.Giaotiep_TATTPVN_LD077&amp;utm_campaign=UnitedKingdom.Giaotiep_XuBen.5018_CVS_HuyLG_221221</v>
      </c>
      <c r="U82" s="118"/>
    </row>
    <row r="83">
      <c r="A83" s="72">
        <v>44552.0</v>
      </c>
      <c r="B83" s="61" t="s">
        <v>2990</v>
      </c>
      <c r="C83" s="67" t="str">
        <f>IFERROR(__xludf.DUMMYFUNCTION("""COMPUTED_VALUE"""),"LD077")</f>
        <v>LD077</v>
      </c>
      <c r="D83" s="143" t="s">
        <v>42</v>
      </c>
      <c r="E83" s="87" t="s">
        <v>69</v>
      </c>
      <c r="F83" s="55" t="s">
        <v>133</v>
      </c>
      <c r="G83" s="55" t="s">
        <v>61</v>
      </c>
      <c r="H83" s="55" t="s">
        <v>1131</v>
      </c>
      <c r="I83" s="55" t="s">
        <v>2889</v>
      </c>
      <c r="J83" s="55" t="s">
        <v>2890</v>
      </c>
      <c r="K83" s="55" t="s">
        <v>61</v>
      </c>
      <c r="L83" s="55" t="s">
        <v>317</v>
      </c>
      <c r="M83" s="55" t="s">
        <v>78</v>
      </c>
      <c r="N83" s="55" t="s">
        <v>69</v>
      </c>
      <c r="O83" s="55" t="s">
        <v>415</v>
      </c>
      <c r="P83" s="55" t="s">
        <v>110</v>
      </c>
      <c r="Q83" s="67" t="str">
        <f>IFERROR(__xludf.DUMMYFUNCTION("""COMPUTED_VALUE"""),"Japan.Giaotiep_XuBen.5018_CVS_HuyLG_221221")</f>
        <v>Japan.Giaotiep_XuBen.5018_CVS_HuyLG_221221</v>
      </c>
      <c r="R83" s="67" t="str">
        <f>IFERROR(__xludf.DUMMYFUNCTION("""COMPUTED_VALUE"""),"NEW_Japan_none_none_221221")</f>
        <v>NEW_Japan_none_none_221221</v>
      </c>
      <c r="S83" s="67" t="str">
        <f>IFERROR(__xludf.DUMMYFUNCTION("""COMPUTED_VALUE"""),"saletructiep_Japan.Video.none.Giaotiep_TATTPVN_LD077")</f>
        <v>saletructiep_Japan.Video.none.Giaotiep_TATTPVN_LD077</v>
      </c>
      <c r="T83" s="107" t="str">
        <f>IFERROR(__xludf.DUMMYFUNCTION("""COMPUTED_VALUE"""),"https://patadovietnam.edu.vn/merrychristmast/?utm_source=Facebook&amp;utm_medium=CVS&amp;utm_term=NEW_Japan_none_none_221221&amp;utm_content=saletructiep_Japan.Video.none.Giaotiep_TATTPVN_LD077&amp;utm_campaign=Japan.Giaotiep_XuBen.5018_CVS_HuyLG_221221")</f>
        <v>https://patadovietnam.edu.vn/merrychristmast/?utm_source=Facebook&amp;utm_medium=CVS&amp;utm_term=NEW_Japan_none_none_221221&amp;utm_content=saletructiep_Japan.Video.none.Giaotiep_TATTPVN_LD077&amp;utm_campaign=Japan.Giaotiep_XuBen.5018_CVS_HuyLG_221221</v>
      </c>
      <c r="U83" s="118"/>
    </row>
    <row r="84">
      <c r="A84" s="72">
        <v>44552.0</v>
      </c>
      <c r="B84" s="61" t="s">
        <v>2990</v>
      </c>
      <c r="C84" s="67" t="str">
        <f>IFERROR(__xludf.DUMMYFUNCTION("""COMPUTED_VALUE"""),"LD077")</f>
        <v>LD077</v>
      </c>
      <c r="D84" s="143" t="s">
        <v>42</v>
      </c>
      <c r="E84" s="87" t="s">
        <v>79</v>
      </c>
      <c r="F84" s="143" t="s">
        <v>107</v>
      </c>
      <c r="G84" s="143" t="s">
        <v>61</v>
      </c>
      <c r="H84" s="143" t="s">
        <v>1131</v>
      </c>
      <c r="I84" s="143" t="s">
        <v>2803</v>
      </c>
      <c r="J84" s="143" t="s">
        <v>2804</v>
      </c>
      <c r="K84" s="143" t="s">
        <v>61</v>
      </c>
      <c r="L84" s="143" t="s">
        <v>317</v>
      </c>
      <c r="M84" s="55" t="s">
        <v>78</v>
      </c>
      <c r="N84" s="87" t="s">
        <v>79</v>
      </c>
      <c r="O84" s="143" t="s">
        <v>415</v>
      </c>
      <c r="P84" s="143" t="s">
        <v>110</v>
      </c>
      <c r="Q84" s="67" t="str">
        <f>IFERROR(__xludf.DUMMYFUNCTION("""COMPUTED_VALUE"""),"UnitedStates.Giaotiep_XuBen.5018_MES_HuyLG_221221")</f>
        <v>UnitedStates.Giaotiep_XuBen.5018_MES_HuyLG_221221</v>
      </c>
      <c r="R84" s="67" t="str">
        <f>IFERROR(__xludf.DUMMYFUNCTION("""COMPUTED_VALUE"""),"NEW_UnitedStates_none_none_221221")</f>
        <v>NEW_UnitedStates_none_none_221221</v>
      </c>
      <c r="S84" s="67" t="str">
        <f>IFERROR(__xludf.DUMMYFUNCTION("""COMPUTED_VALUE"""),"saletructiep_UnitedStates.Video.none.Giaotiep_TATTPVN_LD077")</f>
        <v>saletructiep_UnitedStates.Video.none.Giaotiep_TATTPVN_LD077</v>
      </c>
      <c r="T84" s="107" t="str">
        <f>IFERROR(__xludf.DUMMYFUNCTION("""COMPUTED_VALUE"""),"https://patadovietnam.edu.vn/merrychristmast/?utm_source=Facebook&amp;utm_medium=MES&amp;utm_term=NEW_UnitedStates_none_none_221221&amp;utm_content=saletructiep_UnitedStates.Video.none.Giaotiep_TATTPVN_LD077&amp;utm_campaign=UnitedStates.Giaotiep_XuBen.5018_MES_HuyLG_221"&amp;"221")</f>
        <v>https://patadovietnam.edu.vn/merrychristmast/?utm_source=Facebook&amp;utm_medium=MES&amp;utm_term=NEW_UnitedStates_none_none_221221&amp;utm_content=saletructiep_UnitedStates.Video.none.Giaotiep_TATTPVN_LD077&amp;utm_campaign=UnitedStates.Giaotiep_XuBen.5018_MES_HuyLG_221221</v>
      </c>
      <c r="U84" s="118"/>
    </row>
    <row r="85">
      <c r="A85" s="72">
        <v>44552.0</v>
      </c>
      <c r="B85" s="61" t="s">
        <v>2990</v>
      </c>
      <c r="C85" s="67" t="str">
        <f>IFERROR(__xludf.DUMMYFUNCTION("""COMPUTED_VALUE"""),"LD077")</f>
        <v>LD077</v>
      </c>
      <c r="D85" s="55" t="s">
        <v>42</v>
      </c>
      <c r="E85" s="55" t="s">
        <v>69</v>
      </c>
      <c r="F85" s="55" t="s">
        <v>539</v>
      </c>
      <c r="G85" s="55" t="s">
        <v>61</v>
      </c>
      <c r="H85" s="55" t="s">
        <v>1131</v>
      </c>
      <c r="I85" s="55" t="s">
        <v>2953</v>
      </c>
      <c r="J85" s="55" t="s">
        <v>2954</v>
      </c>
      <c r="K85" s="55" t="s">
        <v>61</v>
      </c>
      <c r="L85" s="55" t="s">
        <v>317</v>
      </c>
      <c r="M85" s="55" t="s">
        <v>78</v>
      </c>
      <c r="N85" s="55" t="s">
        <v>69</v>
      </c>
      <c r="O85" s="55" t="s">
        <v>415</v>
      </c>
      <c r="P85" s="55" t="s">
        <v>72</v>
      </c>
      <c r="Q85" s="67" t="str">
        <f>IFERROR(__xludf.DUMMYFUNCTION("""COMPUTED_VALUE"""),"ALLRMK.Giaotiep_XuBen.5018_CVS_HuyLG_221221")</f>
        <v>ALLRMK.Giaotiep_XuBen.5018_CVS_HuyLG_221221</v>
      </c>
      <c r="R85" s="67" t="str">
        <f>IFERROR(__xludf.DUMMYFUNCTION("""COMPUTED_VALUE"""),"RMK_ALL_none_none_221221")</f>
        <v>RMK_ALL_none_none_221221</v>
      </c>
      <c r="S85" s="67" t="str">
        <f>IFERROR(__xludf.DUMMYFUNCTION("""COMPUTED_VALUE"""),"saletructiep_ALLRMK.Video.none.Giaotiep_TATTPVN_LD077")</f>
        <v>saletructiep_ALLRMK.Video.none.Giaotiep_TATTPVN_LD077</v>
      </c>
      <c r="T85" s="107" t="str">
        <f>IFERROR(__xludf.DUMMYFUNCTION("""COMPUTED_VALUE"""),"https://patadovietnam.edu.vn/merrychristmast/?utm_source=Facebook&amp;utm_medium=CVS&amp;utm_term=RMK_ALL_none_none_221221&amp;utm_content=saletructiep_ALLRMK.Video.none.Giaotiep_TATTPVN_LD077&amp;utm_campaign=ALLRMK.Giaotiep_XuBen.5018_CVS_HuyLG_221221")</f>
        <v>https://patadovietnam.edu.vn/merrychristmast/?utm_source=Facebook&amp;utm_medium=CVS&amp;utm_term=RMK_ALL_none_none_221221&amp;utm_content=saletructiep_ALLRMK.Video.none.Giaotiep_TATTPVN_LD077&amp;utm_campaign=ALLRMK.Giaotiep_XuBen.5018_CVS_HuyLG_221221</v>
      </c>
      <c r="U85" s="118"/>
    </row>
    <row r="86">
      <c r="A86" s="72">
        <v>44552.0</v>
      </c>
      <c r="B86" s="61" t="s">
        <v>2990</v>
      </c>
      <c r="C86" s="67" t="str">
        <f>IFERROR(__xludf.DUMMYFUNCTION("""COMPUTED_VALUE"""),"LD077")</f>
        <v>LD077</v>
      </c>
      <c r="D86" s="55" t="s">
        <v>42</v>
      </c>
      <c r="E86" s="55" t="s">
        <v>69</v>
      </c>
      <c r="F86" s="55" t="s">
        <v>461</v>
      </c>
      <c r="G86" s="55" t="s">
        <v>61</v>
      </c>
      <c r="H86" s="55" t="s">
        <v>1131</v>
      </c>
      <c r="I86" s="55" t="s">
        <v>2944</v>
      </c>
      <c r="J86" s="55" t="s">
        <v>2945</v>
      </c>
      <c r="K86" s="55" t="s">
        <v>61</v>
      </c>
      <c r="L86" s="55" t="s">
        <v>317</v>
      </c>
      <c r="M86" s="55" t="s">
        <v>78</v>
      </c>
      <c r="N86" s="55" t="s">
        <v>69</v>
      </c>
      <c r="O86" s="55" t="s">
        <v>415</v>
      </c>
      <c r="P86" s="55" t="s">
        <v>110</v>
      </c>
      <c r="Q86" s="67" t="str">
        <f>IFERROR(__xludf.DUMMYFUNCTION("""COMPUTED_VALUE"""),"CzechRepublic.Giaotiep_XuBen.5018_CVS_HuyLG_221221")</f>
        <v>CzechRepublic.Giaotiep_XuBen.5018_CVS_HuyLG_221221</v>
      </c>
      <c r="R86" s="67" t="str">
        <f>IFERROR(__xludf.DUMMYFUNCTION("""COMPUTED_VALUE"""),"NEW_CzechRepublic_none_none_221221")</f>
        <v>NEW_CzechRepublic_none_none_221221</v>
      </c>
      <c r="S86" s="67" t="str">
        <f>IFERROR(__xludf.DUMMYFUNCTION("""COMPUTED_VALUE"""),"saletructiep_CzechRepublic.Video.none.Giaotiep_TATTPVN_LD077")</f>
        <v>saletructiep_CzechRepublic.Video.none.Giaotiep_TATTPVN_LD077</v>
      </c>
      <c r="T86" s="107" t="str">
        <f>IFERROR(__xludf.DUMMYFUNCTION("""COMPUTED_VALUE"""),"https://patadovietnam.edu.vn/merrychristmast/?utm_source=Facebook&amp;utm_medium=CVS&amp;utm_term=NEW_CzechRepublic_none_none_221221&amp;utm_content=saletructiep_CzechRepublic.Video.none.Giaotiep_TATTPVN_LD077&amp;utm_campaign=CzechRepublic.Giaotiep_XuBen.5018_CVS_HuyLG_"&amp;"221221")</f>
        <v>https://patadovietnam.edu.vn/merrychristmast/?utm_source=Facebook&amp;utm_medium=CVS&amp;utm_term=NEW_CzechRepublic_none_none_221221&amp;utm_content=saletructiep_CzechRepublic.Video.none.Giaotiep_TATTPVN_LD077&amp;utm_campaign=CzechRepublic.Giaotiep_XuBen.5018_CVS_HuyLG_221221</v>
      </c>
      <c r="U86" s="118"/>
    </row>
    <row r="87">
      <c r="A87" s="72">
        <v>44552.0</v>
      </c>
      <c r="B87" s="61" t="s">
        <v>2990</v>
      </c>
      <c r="C87" s="67" t="str">
        <f>IFERROR(__xludf.DUMMYFUNCTION("""COMPUTED_VALUE"""),"LD077")</f>
        <v>LD077</v>
      </c>
      <c r="D87" s="55" t="s">
        <v>42</v>
      </c>
      <c r="E87" s="87" t="s">
        <v>69</v>
      </c>
      <c r="F87" s="55" t="s">
        <v>199</v>
      </c>
      <c r="G87" s="143" t="s">
        <v>61</v>
      </c>
      <c r="H87" s="143" t="s">
        <v>1131</v>
      </c>
      <c r="I87" s="55" t="s">
        <v>2986</v>
      </c>
      <c r="J87" s="55" t="s">
        <v>2987</v>
      </c>
      <c r="K87" s="143" t="s">
        <v>61</v>
      </c>
      <c r="L87" s="143" t="s">
        <v>317</v>
      </c>
      <c r="M87" s="55" t="s">
        <v>78</v>
      </c>
      <c r="N87" s="87" t="s">
        <v>69</v>
      </c>
      <c r="O87" s="143" t="s">
        <v>415</v>
      </c>
      <c r="P87" s="143" t="s">
        <v>110</v>
      </c>
      <c r="Q87" s="67" t="str">
        <f>IFERROR(__xludf.DUMMYFUNCTION("""COMPUTED_VALUE"""),"Vietnam.Giaotiep_XuBen.5018_CVS_HuyLG_221221")</f>
        <v>Vietnam.Giaotiep_XuBen.5018_CVS_HuyLG_221221</v>
      </c>
      <c r="R87" s="67" t="str">
        <f>IFERROR(__xludf.DUMMYFUNCTION("""COMPUTED_VALUE"""),"NEW_Vietnam_none_none_221221")</f>
        <v>NEW_Vietnam_none_none_221221</v>
      </c>
      <c r="S87" s="67" t="str">
        <f>IFERROR(__xludf.DUMMYFUNCTION("""COMPUTED_VALUE"""),"saletructiep_Vietnam.Video.none.Giaotiep_TATTPVN_LD077")</f>
        <v>saletructiep_Vietnam.Video.none.Giaotiep_TATTPVN_LD077</v>
      </c>
      <c r="T87" s="107" t="str">
        <f>IFERROR(__xludf.DUMMYFUNCTION("""COMPUTED_VALUE"""),"https://patadovietnam.edu.vn/merrychristmast/?utm_source=Facebook&amp;utm_medium=CVS&amp;utm_term=NEW_Vietnam_none_none_221221&amp;utm_content=saletructiep_Vietnam.Video.none.Giaotiep_TATTPVN_LD077&amp;utm_campaign=Vietnam.Giaotiep_XuBen.5018_CVS_HuyLG_221221")</f>
        <v>https://patadovietnam.edu.vn/merrychristmast/?utm_source=Facebook&amp;utm_medium=CVS&amp;utm_term=NEW_Vietnam_none_none_221221&amp;utm_content=saletructiep_Vietnam.Video.none.Giaotiep_TATTPVN_LD077&amp;utm_campaign=Vietnam.Giaotiep_XuBen.5018_CVS_HuyLG_221221</v>
      </c>
      <c r="U87" s="118"/>
    </row>
    <row r="88">
      <c r="A88" s="72">
        <v>44552.0</v>
      </c>
      <c r="B88" s="61" t="s">
        <v>2990</v>
      </c>
      <c r="C88" s="67" t="str">
        <f>IFERROR(__xludf.DUMMYFUNCTION("""COMPUTED_VALUE"""),"LD077")</f>
        <v>LD077</v>
      </c>
      <c r="D88" s="143" t="s">
        <v>42</v>
      </c>
      <c r="E88" s="87" t="s">
        <v>79</v>
      </c>
      <c r="F88" s="55" t="s">
        <v>162</v>
      </c>
      <c r="G88" s="55" t="s">
        <v>61</v>
      </c>
      <c r="H88" s="55" t="s">
        <v>1131</v>
      </c>
      <c r="I88" s="55" t="s">
        <v>2908</v>
      </c>
      <c r="J88" s="55" t="s">
        <v>2910</v>
      </c>
      <c r="K88" s="55" t="s">
        <v>61</v>
      </c>
      <c r="L88" s="55" t="s">
        <v>317</v>
      </c>
      <c r="M88" s="55" t="s">
        <v>78</v>
      </c>
      <c r="N88" s="55" t="s">
        <v>79</v>
      </c>
      <c r="O88" s="55" t="s">
        <v>415</v>
      </c>
      <c r="P88" s="55" t="s">
        <v>110</v>
      </c>
      <c r="Q88" s="67" t="str">
        <f>IFERROR(__xludf.DUMMYFUNCTION("""COMPUTED_VALUE"""),"Singapore.Giaotiep_XuBen.5018_MES_HuyLG_221221")</f>
        <v>Singapore.Giaotiep_XuBen.5018_MES_HuyLG_221221</v>
      </c>
      <c r="R88" s="67" t="str">
        <f>IFERROR(__xludf.DUMMYFUNCTION("""COMPUTED_VALUE"""),"NEW_Singapore_none_none_221221")</f>
        <v>NEW_Singapore_none_none_221221</v>
      </c>
      <c r="S88" s="67" t="str">
        <f>IFERROR(__xludf.DUMMYFUNCTION("""COMPUTED_VALUE"""),"saletructiep_Singapore.Video.none.Giaotiep_TATTPVN_LD077")</f>
        <v>saletructiep_Singapore.Video.none.Giaotiep_TATTPVN_LD077</v>
      </c>
      <c r="T88" s="107" t="str">
        <f>IFERROR(__xludf.DUMMYFUNCTION("""COMPUTED_VALUE"""),"https://patadovietnam.edu.vn/merrychristmast/?utm_source=Facebook&amp;utm_medium=MES&amp;utm_term=NEW_Singapore_none_none_221221&amp;utm_content=saletructiep_Singapore.Video.none.Giaotiep_TATTPVN_LD077&amp;utm_campaign=Singapore.Giaotiep_XuBen.5018_MES_HuyLG_221221")</f>
        <v>https://patadovietnam.edu.vn/merrychristmast/?utm_source=Facebook&amp;utm_medium=MES&amp;utm_term=NEW_Singapore_none_none_221221&amp;utm_content=saletructiep_Singapore.Video.none.Giaotiep_TATTPVN_LD077&amp;utm_campaign=Singapore.Giaotiep_XuBen.5018_MES_HuyLG_221221</v>
      </c>
      <c r="U88" s="118"/>
    </row>
    <row r="89">
      <c r="A89" s="72">
        <v>44561.0</v>
      </c>
      <c r="B89" s="61" t="s">
        <v>3009</v>
      </c>
      <c r="C89" s="67" t="str">
        <f>IFERROR(__xludf.DUMMYFUNCTION("""COMPUTED_VALUE"""),"LD089")</f>
        <v>LD089</v>
      </c>
      <c r="D89" s="143" t="s">
        <v>42</v>
      </c>
      <c r="E89" s="55" t="s">
        <v>69</v>
      </c>
      <c r="F89" s="55" t="s">
        <v>461</v>
      </c>
      <c r="G89" s="55" t="s">
        <v>61</v>
      </c>
      <c r="H89" s="55" t="s">
        <v>1131</v>
      </c>
      <c r="I89" s="55" t="s">
        <v>2944</v>
      </c>
      <c r="J89" s="55" t="s">
        <v>2945</v>
      </c>
      <c r="K89" s="55" t="s">
        <v>61</v>
      </c>
      <c r="L89" s="55" t="s">
        <v>317</v>
      </c>
      <c r="M89" s="55" t="s">
        <v>78</v>
      </c>
      <c r="N89" s="55" t="s">
        <v>69</v>
      </c>
      <c r="O89" s="55" t="s">
        <v>415</v>
      </c>
      <c r="P89" s="55" t="s">
        <v>110</v>
      </c>
      <c r="Q89" s="67" t="str">
        <f>IFERROR(__xludf.DUMMYFUNCTION("""COMPUTED_VALUE"""),"CzechRepublic.Giaotiep_XuBen.5018_CVS_HuyLG_311221")</f>
        <v>CzechRepublic.Giaotiep_XuBen.5018_CVS_HuyLG_311221</v>
      </c>
      <c r="R89" s="67" t="str">
        <f>IFERROR(__xludf.DUMMYFUNCTION("""COMPUTED_VALUE"""),"NEW_CzechRepublic_none_none_311221")</f>
        <v>NEW_CzechRepublic_none_none_311221</v>
      </c>
      <c r="S89" s="67" t="str">
        <f>IFERROR(__xludf.DUMMYFUNCTION("""COMPUTED_VALUE"""),"saletructiep_CzechRepublic.Video.none.Giaotiep_TATTPVN_LD089")</f>
        <v>saletructiep_CzechRepublic.Video.none.Giaotiep_TATTPVN_LD089</v>
      </c>
      <c r="T89" s="107" t="str">
        <f>IFERROR(__xludf.DUMMYFUNCTION("""COMPUTED_VALUE"""),"https://patadovietnam.edu.vn/tetnhamdan/?utm_source=Facebook&amp;utm_medium=CVS&amp;utm_term=NEW_CzechRepublic_none_none_311221&amp;utm_content=saletructiep_CzechRepublic.Video.none.Giaotiep_TATTPVN_LD089&amp;utm_campaign=CzechRepublic.Giaotiep_XuBen.5018_CVS_HuyLG_31122"&amp;"1")</f>
        <v>https://patadovietnam.edu.vn/tetnhamdan/?utm_source=Facebook&amp;utm_medium=CVS&amp;utm_term=NEW_CzechRepublic_none_none_311221&amp;utm_content=saletructiep_CzechRepublic.Video.none.Giaotiep_TATTPVN_LD089&amp;utm_campaign=CzechRepublic.Giaotiep_XuBen.5018_CVS_HuyLG_311221</v>
      </c>
      <c r="U89" s="118"/>
    </row>
    <row r="90">
      <c r="A90" s="72">
        <v>44561.0</v>
      </c>
      <c r="B90" s="61" t="s">
        <v>3009</v>
      </c>
      <c r="C90" s="67" t="str">
        <f>IFERROR(__xludf.DUMMYFUNCTION("""COMPUTED_VALUE"""),"LD089")</f>
        <v>LD089</v>
      </c>
      <c r="D90" s="55" t="s">
        <v>42</v>
      </c>
      <c r="E90" s="55" t="s">
        <v>69</v>
      </c>
      <c r="F90" s="55" t="s">
        <v>539</v>
      </c>
      <c r="G90" s="55" t="s">
        <v>61</v>
      </c>
      <c r="H90" s="55" t="s">
        <v>1131</v>
      </c>
      <c r="I90" s="55" t="s">
        <v>2953</v>
      </c>
      <c r="J90" s="55" t="s">
        <v>2954</v>
      </c>
      <c r="K90" s="55" t="s">
        <v>61</v>
      </c>
      <c r="L90" s="55" t="s">
        <v>317</v>
      </c>
      <c r="M90" s="55" t="s">
        <v>78</v>
      </c>
      <c r="N90" s="55" t="s">
        <v>69</v>
      </c>
      <c r="O90" s="55" t="s">
        <v>415</v>
      </c>
      <c r="P90" s="55" t="s">
        <v>72</v>
      </c>
      <c r="Q90" s="67" t="str">
        <f>IFERROR(__xludf.DUMMYFUNCTION("""COMPUTED_VALUE"""),"ALLRMK.Giaotiep_XuBen.5018_CVS_HuyLG_311221")</f>
        <v>ALLRMK.Giaotiep_XuBen.5018_CVS_HuyLG_311221</v>
      </c>
      <c r="R90" s="67" t="str">
        <f>IFERROR(__xludf.DUMMYFUNCTION("""COMPUTED_VALUE"""),"RMK_ALL_none_none_311221")</f>
        <v>RMK_ALL_none_none_311221</v>
      </c>
      <c r="S90" s="67" t="str">
        <f>IFERROR(__xludf.DUMMYFUNCTION("""COMPUTED_VALUE"""),"saletructiep_ALLRMK.Video.none.Giaotiep_TATTPVN_LD089")</f>
        <v>saletructiep_ALLRMK.Video.none.Giaotiep_TATTPVN_LD089</v>
      </c>
      <c r="T90" s="107" t="str">
        <f>IFERROR(__xludf.DUMMYFUNCTION("""COMPUTED_VALUE"""),"https://patadovietnam.edu.vn/tetnhamdan/?utm_source=Facebook&amp;utm_medium=CVS&amp;utm_term=RMK_ALL_none_none_311221&amp;utm_content=saletructiep_ALLRMK.Video.none.Giaotiep_TATTPVN_LD089&amp;utm_campaign=ALLRMK.Giaotiep_XuBen.5018_CVS_HuyLG_311221")</f>
        <v>https://patadovietnam.edu.vn/tetnhamdan/?utm_source=Facebook&amp;utm_medium=CVS&amp;utm_term=RMK_ALL_none_none_311221&amp;utm_content=saletructiep_ALLRMK.Video.none.Giaotiep_TATTPVN_LD089&amp;utm_campaign=ALLRMK.Giaotiep_XuBen.5018_CVS_HuyLG_311221</v>
      </c>
      <c r="U90" s="118"/>
    </row>
    <row r="91">
      <c r="A91" s="72">
        <v>44561.0</v>
      </c>
      <c r="B91" s="61" t="s">
        <v>3009</v>
      </c>
      <c r="C91" s="67" t="str">
        <f>IFERROR(__xludf.DUMMYFUNCTION("""COMPUTED_VALUE"""),"LD089")</f>
        <v>LD089</v>
      </c>
      <c r="D91" s="55" t="s">
        <v>42</v>
      </c>
      <c r="E91" s="55" t="s">
        <v>69</v>
      </c>
      <c r="F91" s="55" t="s">
        <v>274</v>
      </c>
      <c r="G91" s="55" t="s">
        <v>61</v>
      </c>
      <c r="H91" s="55" t="s">
        <v>1131</v>
      </c>
      <c r="I91" s="55" t="s">
        <v>2940</v>
      </c>
      <c r="J91" s="55" t="s">
        <v>2941</v>
      </c>
      <c r="K91" s="55" t="s">
        <v>61</v>
      </c>
      <c r="L91" s="55" t="s">
        <v>317</v>
      </c>
      <c r="M91" s="55" t="s">
        <v>78</v>
      </c>
      <c r="N91" s="55" t="s">
        <v>69</v>
      </c>
      <c r="O91" s="55" t="s">
        <v>415</v>
      </c>
      <c r="P91" s="55" t="s">
        <v>110</v>
      </c>
      <c r="Q91" s="67" t="str">
        <f>IFERROR(__xludf.DUMMYFUNCTION("""COMPUTED_VALUE"""),"UnitedKingdom.Giaotiep_XuBen.5018_CVS_HuyLG_311221")</f>
        <v>UnitedKingdom.Giaotiep_XuBen.5018_CVS_HuyLG_311221</v>
      </c>
      <c r="R91" s="67" t="str">
        <f>IFERROR(__xludf.DUMMYFUNCTION("""COMPUTED_VALUE"""),"NEW_UnitedKingdom_none_none_311221")</f>
        <v>NEW_UnitedKingdom_none_none_311221</v>
      </c>
      <c r="S91" s="67" t="str">
        <f>IFERROR(__xludf.DUMMYFUNCTION("""COMPUTED_VALUE"""),"saletructiep_UnitedKingdom.Video.none.Giaotiep_TATTPVN_LD089")</f>
        <v>saletructiep_UnitedKingdom.Video.none.Giaotiep_TATTPVN_LD089</v>
      </c>
      <c r="T91" s="107" t="str">
        <f>IFERROR(__xludf.DUMMYFUNCTION("""COMPUTED_VALUE"""),"https://patadovietnam.edu.vn/tetnhamdan/?utm_source=Facebook&amp;utm_medium=CVS&amp;utm_term=NEW_UnitedKingdom_none_none_311221&amp;utm_content=saletructiep_UnitedKingdom.Video.none.Giaotiep_TATTPVN_LD089&amp;utm_campaign=UnitedKingdom.Giaotiep_XuBen.5018_CVS_HuyLG_31122"&amp;"1")</f>
        <v>https://patadovietnam.edu.vn/tetnhamdan/?utm_source=Facebook&amp;utm_medium=CVS&amp;utm_term=NEW_UnitedKingdom_none_none_311221&amp;utm_content=saletructiep_UnitedKingdom.Video.none.Giaotiep_TATTPVN_LD089&amp;utm_campaign=UnitedKingdom.Giaotiep_XuBen.5018_CVS_HuyLG_311221</v>
      </c>
      <c r="U91" s="118"/>
    </row>
    <row r="92">
      <c r="A92" s="72">
        <v>44561.0</v>
      </c>
      <c r="B92" s="61" t="s">
        <v>3009</v>
      </c>
      <c r="C92" s="67" t="str">
        <f>IFERROR(__xludf.DUMMYFUNCTION("""COMPUTED_VALUE"""),"LD089")</f>
        <v>LD089</v>
      </c>
      <c r="D92" s="55" t="s">
        <v>42</v>
      </c>
      <c r="E92" s="55" t="s">
        <v>79</v>
      </c>
      <c r="F92" s="55" t="s">
        <v>614</v>
      </c>
      <c r="G92" s="55" t="s">
        <v>61</v>
      </c>
      <c r="H92" s="55" t="s">
        <v>1131</v>
      </c>
      <c r="I92" s="55" t="s">
        <v>2929</v>
      </c>
      <c r="J92" s="55" t="s">
        <v>2930</v>
      </c>
      <c r="K92" s="55" t="s">
        <v>61</v>
      </c>
      <c r="L92" s="55" t="s">
        <v>317</v>
      </c>
      <c r="M92" s="55" t="s">
        <v>78</v>
      </c>
      <c r="N92" s="55" t="s">
        <v>79</v>
      </c>
      <c r="O92" s="55" t="s">
        <v>415</v>
      </c>
      <c r="P92" s="55" t="s">
        <v>110</v>
      </c>
      <c r="Q92" s="67" t="str">
        <f>IFERROR(__xludf.DUMMYFUNCTION("""COMPUTED_VALUE"""),"Korea.Giaotiep_XuBen.5018_MES_HuyLG_311221")</f>
        <v>Korea.Giaotiep_XuBen.5018_MES_HuyLG_311221</v>
      </c>
      <c r="R92" s="67" t="str">
        <f>IFERROR(__xludf.DUMMYFUNCTION("""COMPUTED_VALUE"""),"NEW_Korea_none_none_311221")</f>
        <v>NEW_Korea_none_none_311221</v>
      </c>
      <c r="S92" s="67" t="str">
        <f>IFERROR(__xludf.DUMMYFUNCTION("""COMPUTED_VALUE"""),"saletructiep_Korea.Video.none.Giaotiep_TATTPVN_LD089")</f>
        <v>saletructiep_Korea.Video.none.Giaotiep_TATTPVN_LD089</v>
      </c>
      <c r="T92" s="107" t="str">
        <f>IFERROR(__xludf.DUMMYFUNCTION("""COMPUTED_VALUE"""),"https://patadovietnam.edu.vn/tetnhamdan/?utm_source=Facebook&amp;utm_medium=MES&amp;utm_term=NEW_Korea_none_none_311221&amp;utm_content=saletructiep_Korea.Video.none.Giaotiep_TATTPVN_LD089&amp;utm_campaign=Korea.Giaotiep_XuBen.5018_MES_HuyLG_311221")</f>
        <v>https://patadovietnam.edu.vn/tetnhamdan/?utm_source=Facebook&amp;utm_medium=MES&amp;utm_term=NEW_Korea_none_none_311221&amp;utm_content=saletructiep_Korea.Video.none.Giaotiep_TATTPVN_LD089&amp;utm_campaign=Korea.Giaotiep_XuBen.5018_MES_HuyLG_311221</v>
      </c>
      <c r="U92" s="118"/>
    </row>
    <row r="93">
      <c r="A93" s="72">
        <v>44561.0</v>
      </c>
      <c r="B93" s="61" t="s">
        <v>3009</v>
      </c>
      <c r="C93" s="67" t="str">
        <f>IFERROR(__xludf.DUMMYFUNCTION("""COMPUTED_VALUE"""),"LD089")</f>
        <v>LD089</v>
      </c>
      <c r="D93" s="143" t="s">
        <v>42</v>
      </c>
      <c r="E93" s="87" t="s">
        <v>69</v>
      </c>
      <c r="F93" s="143" t="s">
        <v>107</v>
      </c>
      <c r="G93" s="143" t="s">
        <v>61</v>
      </c>
      <c r="H93" s="143" t="s">
        <v>1131</v>
      </c>
      <c r="I93" s="143" t="s">
        <v>2803</v>
      </c>
      <c r="J93" s="143" t="s">
        <v>2804</v>
      </c>
      <c r="K93" s="143" t="s">
        <v>61</v>
      </c>
      <c r="L93" s="143" t="s">
        <v>317</v>
      </c>
      <c r="M93" s="55" t="s">
        <v>78</v>
      </c>
      <c r="N93" s="87" t="s">
        <v>69</v>
      </c>
      <c r="O93" s="143" t="s">
        <v>415</v>
      </c>
      <c r="P93" s="55" t="s">
        <v>110</v>
      </c>
      <c r="Q93" s="67" t="str">
        <f>IFERROR(__xludf.DUMMYFUNCTION("""COMPUTED_VALUE"""),"UnitedStates.Giaotiep_XuBen.5018_CVS_HuyLG_311221")</f>
        <v>UnitedStates.Giaotiep_XuBen.5018_CVS_HuyLG_311221</v>
      </c>
      <c r="R93" s="67" t="str">
        <f>IFERROR(__xludf.DUMMYFUNCTION("""COMPUTED_VALUE"""),"NEW_UnitedStates_none_none_311221")</f>
        <v>NEW_UnitedStates_none_none_311221</v>
      </c>
      <c r="S93" s="67" t="str">
        <f>IFERROR(__xludf.DUMMYFUNCTION("""COMPUTED_VALUE"""),"saletructiep_UnitedStates.Video.none.Giaotiep_TATTPVN_LD089")</f>
        <v>saletructiep_UnitedStates.Video.none.Giaotiep_TATTPVN_LD089</v>
      </c>
      <c r="T93" s="107" t="str">
        <f>IFERROR(__xludf.DUMMYFUNCTION("""COMPUTED_VALUE"""),"https://patadovietnam.edu.vn/tetnhamdan/?utm_source=Facebook&amp;utm_medium=CVS&amp;utm_term=NEW_UnitedStates_none_none_311221&amp;utm_content=saletructiep_UnitedStates.Video.none.Giaotiep_TATTPVN_LD089&amp;utm_campaign=UnitedStates.Giaotiep_XuBen.5018_CVS_HuyLG_311221")</f>
        <v>https://patadovietnam.edu.vn/tetnhamdan/?utm_source=Facebook&amp;utm_medium=CVS&amp;utm_term=NEW_UnitedStates_none_none_311221&amp;utm_content=saletructiep_UnitedStates.Video.none.Giaotiep_TATTPVN_LD089&amp;utm_campaign=UnitedStates.Giaotiep_XuBen.5018_CVS_HuyLG_311221</v>
      </c>
      <c r="U93" s="118"/>
    </row>
    <row r="94">
      <c r="A94" s="72">
        <v>44561.0</v>
      </c>
      <c r="B94" s="61" t="s">
        <v>3009</v>
      </c>
      <c r="C94" s="67" t="str">
        <f>IFERROR(__xludf.DUMMYFUNCTION("""COMPUTED_VALUE"""),"LD089")</f>
        <v>LD089</v>
      </c>
      <c r="D94" s="143" t="s">
        <v>42</v>
      </c>
      <c r="E94" s="87" t="s">
        <v>69</v>
      </c>
      <c r="F94" s="55" t="s">
        <v>133</v>
      </c>
      <c r="G94" s="55" t="s">
        <v>61</v>
      </c>
      <c r="H94" s="55" t="s">
        <v>1131</v>
      </c>
      <c r="I94" s="55" t="s">
        <v>2889</v>
      </c>
      <c r="J94" s="55" t="s">
        <v>2890</v>
      </c>
      <c r="K94" s="55" t="s">
        <v>61</v>
      </c>
      <c r="L94" s="55" t="s">
        <v>317</v>
      </c>
      <c r="M94" s="55" t="s">
        <v>78</v>
      </c>
      <c r="N94" s="55" t="s">
        <v>69</v>
      </c>
      <c r="O94" s="55" t="s">
        <v>415</v>
      </c>
      <c r="P94" s="55" t="s">
        <v>110</v>
      </c>
      <c r="Q94" s="67" t="str">
        <f>IFERROR(__xludf.DUMMYFUNCTION("""COMPUTED_VALUE"""),"Japan.Giaotiep_XuBen.5018_CVS_HuyLG_311221")</f>
        <v>Japan.Giaotiep_XuBen.5018_CVS_HuyLG_311221</v>
      </c>
      <c r="R94" s="67" t="str">
        <f>IFERROR(__xludf.DUMMYFUNCTION("""COMPUTED_VALUE"""),"NEW_Japan_none_none_311221")</f>
        <v>NEW_Japan_none_none_311221</v>
      </c>
      <c r="S94" s="67" t="str">
        <f>IFERROR(__xludf.DUMMYFUNCTION("""COMPUTED_VALUE"""),"saletructiep_Japan.Video.none.Giaotiep_TATTPVN_LD089")</f>
        <v>saletructiep_Japan.Video.none.Giaotiep_TATTPVN_LD089</v>
      </c>
      <c r="T94" s="107" t="str">
        <f>IFERROR(__xludf.DUMMYFUNCTION("""COMPUTED_VALUE"""),"https://patadovietnam.edu.vn/tetnhamdan/?utm_source=Facebook&amp;utm_medium=CVS&amp;utm_term=NEW_Japan_none_none_311221&amp;utm_content=saletructiep_Japan.Video.none.Giaotiep_TATTPVN_LD089&amp;utm_campaign=Japan.Giaotiep_XuBen.5018_CVS_HuyLG_311221")</f>
        <v>https://patadovietnam.edu.vn/tetnhamdan/?utm_source=Facebook&amp;utm_medium=CVS&amp;utm_term=NEW_Japan_none_none_311221&amp;utm_content=saletructiep_Japan.Video.none.Giaotiep_TATTPVN_LD089&amp;utm_campaign=Japan.Giaotiep_XuBen.5018_CVS_HuyLG_311221</v>
      </c>
      <c r="U94" s="118"/>
    </row>
    <row r="95">
      <c r="A95" s="72">
        <v>44561.0</v>
      </c>
      <c r="B95" s="61" t="s">
        <v>3009</v>
      </c>
      <c r="C95" s="67" t="str">
        <f>IFERROR(__xludf.DUMMYFUNCTION("""COMPUTED_VALUE"""),"LD089")</f>
        <v>LD089</v>
      </c>
      <c r="D95" s="143" t="s">
        <v>42</v>
      </c>
      <c r="E95" s="87" t="s">
        <v>69</v>
      </c>
      <c r="F95" s="55" t="s">
        <v>46</v>
      </c>
      <c r="G95" s="143" t="s">
        <v>61</v>
      </c>
      <c r="H95" s="143" t="s">
        <v>1131</v>
      </c>
      <c r="I95" s="55" t="s">
        <v>3026</v>
      </c>
      <c r="J95" s="55" t="s">
        <v>3027</v>
      </c>
      <c r="K95" s="143" t="s">
        <v>61</v>
      </c>
      <c r="L95" s="143" t="s">
        <v>317</v>
      </c>
      <c r="M95" s="55" t="s">
        <v>78</v>
      </c>
      <c r="N95" s="87" t="s">
        <v>69</v>
      </c>
      <c r="O95" s="143" t="s">
        <v>415</v>
      </c>
      <c r="P95" s="143" t="s">
        <v>110</v>
      </c>
      <c r="Q95" s="67" t="str">
        <f>IFERROR(__xludf.DUMMYFUNCTION("""COMPUTED_VALUE"""),"HN.Giaotiep_XuBen.5018_CVS_HuyLG_311221")</f>
        <v>HN.Giaotiep_XuBen.5018_CVS_HuyLG_311221</v>
      </c>
      <c r="R95" s="67" t="str">
        <f>IFERROR(__xludf.DUMMYFUNCTION("""COMPUTED_VALUE"""),"NEW_HN_none_none_311221")</f>
        <v>NEW_HN_none_none_311221</v>
      </c>
      <c r="S95" s="67" t="str">
        <f>IFERROR(__xludf.DUMMYFUNCTION("""COMPUTED_VALUE"""),"saletructiep_HN.Video.none.Giaotiep_TATTPVN_LD089")</f>
        <v>saletructiep_HN.Video.none.Giaotiep_TATTPVN_LD089</v>
      </c>
      <c r="T95" s="107" t="str">
        <f>IFERROR(__xludf.DUMMYFUNCTION("""COMPUTED_VALUE"""),"https://patadovietnam.edu.vn/tetnhamdan/?utm_source=Facebook&amp;utm_medium=CVS&amp;utm_term=NEW_HN_none_none_311221&amp;utm_content=saletructiep_HN.Video.none.Giaotiep_TATTPVN_LD089&amp;utm_campaign=HN.Giaotiep_XuBen.5018_CVS_HuyLG_311221")</f>
        <v>https://patadovietnam.edu.vn/tetnhamdan/?utm_source=Facebook&amp;utm_medium=CVS&amp;utm_term=NEW_HN_none_none_311221&amp;utm_content=saletructiep_HN.Video.none.Giaotiep_TATTPVN_LD089&amp;utm_campaign=HN.Giaotiep_XuBen.5018_CVS_HuyLG_311221</v>
      </c>
      <c r="U95" s="118"/>
    </row>
    <row r="96">
      <c r="A96" s="72">
        <v>44561.0</v>
      </c>
      <c r="B96" s="61" t="s">
        <v>3009</v>
      </c>
      <c r="C96" s="67" t="str">
        <f>IFERROR(__xludf.DUMMYFUNCTION("""COMPUTED_VALUE"""),"LD089")</f>
        <v>LD089</v>
      </c>
      <c r="D96" s="143" t="s">
        <v>42</v>
      </c>
      <c r="E96" s="87" t="s">
        <v>69</v>
      </c>
      <c r="F96" s="55" t="s">
        <v>3032</v>
      </c>
      <c r="G96" s="143" t="s">
        <v>61</v>
      </c>
      <c r="H96" s="143" t="s">
        <v>1131</v>
      </c>
      <c r="I96" s="55" t="s">
        <v>3033</v>
      </c>
      <c r="J96" s="55" t="s">
        <v>3035</v>
      </c>
      <c r="K96" s="143" t="s">
        <v>61</v>
      </c>
      <c r="L96" s="143" t="s">
        <v>317</v>
      </c>
      <c r="M96" s="55" t="s">
        <v>78</v>
      </c>
      <c r="N96" s="87" t="s">
        <v>69</v>
      </c>
      <c r="O96" s="143" t="s">
        <v>415</v>
      </c>
      <c r="P96" s="143" t="s">
        <v>110</v>
      </c>
      <c r="Q96" s="67" t="str">
        <f>IFERROR(__xludf.DUMMYFUNCTION("""COMPUTED_VALUE"""),"HCM.Giaotiep_XuBen.5018_CVS_HuyLG_311221")</f>
        <v>HCM.Giaotiep_XuBen.5018_CVS_HuyLG_311221</v>
      </c>
      <c r="R96" s="67" t="str">
        <f>IFERROR(__xludf.DUMMYFUNCTION("""COMPUTED_VALUE"""),"NEW_HCM_none_none_311221")</f>
        <v>NEW_HCM_none_none_311221</v>
      </c>
      <c r="S96" s="67" t="str">
        <f>IFERROR(__xludf.DUMMYFUNCTION("""COMPUTED_VALUE"""),"saletructiep_HCM.Video.none.Giaotiep_TATTPVN_LD089")</f>
        <v>saletructiep_HCM.Video.none.Giaotiep_TATTPVN_LD089</v>
      </c>
      <c r="T96" s="107" t="str">
        <f>IFERROR(__xludf.DUMMYFUNCTION("""COMPUTED_VALUE"""),"https://patadovietnam.edu.vn/tetnhamdan/?utm_source=Facebook&amp;utm_medium=CVS&amp;utm_term=NEW_HCM_none_none_311221&amp;utm_content=saletructiep_HCM.Video.none.Giaotiep_TATTPVN_LD089&amp;utm_campaign=HCM.Giaotiep_XuBen.5018_CVS_HuyLG_311221")</f>
        <v>https://patadovietnam.edu.vn/tetnhamdan/?utm_source=Facebook&amp;utm_medium=CVS&amp;utm_term=NEW_HCM_none_none_311221&amp;utm_content=saletructiep_HCM.Video.none.Giaotiep_TATTPVN_LD089&amp;utm_campaign=HCM.Giaotiep_XuBen.5018_CVS_HuyLG_311221</v>
      </c>
      <c r="U96" s="118"/>
    </row>
    <row r="97">
      <c r="A97" s="72">
        <v>44568.0</v>
      </c>
      <c r="B97" s="61" t="s">
        <v>166</v>
      </c>
      <c r="C97" s="67" t="str">
        <f>IFERROR(__xludf.DUMMYFUNCTION("""COMPUTED_VALUE"""),"LD005")</f>
        <v>LD005</v>
      </c>
      <c r="D97" s="55" t="s">
        <v>603</v>
      </c>
      <c r="E97" s="55" t="s">
        <v>604</v>
      </c>
      <c r="F97" s="55" t="s">
        <v>199</v>
      </c>
      <c r="G97" s="143" t="s">
        <v>61</v>
      </c>
      <c r="H97" s="143" t="s">
        <v>1131</v>
      </c>
      <c r="I97" s="55" t="s">
        <v>1131</v>
      </c>
      <c r="J97" s="55" t="s">
        <v>61</v>
      </c>
      <c r="K97" s="55" t="s">
        <v>61</v>
      </c>
      <c r="L97" s="55" t="s">
        <v>70</v>
      </c>
      <c r="M97" s="55" t="s">
        <v>116</v>
      </c>
      <c r="N97" s="55" t="s">
        <v>606</v>
      </c>
      <c r="O97" s="55" t="s">
        <v>70</v>
      </c>
      <c r="P97" s="55" t="s">
        <v>70</v>
      </c>
      <c r="Q97" s="67" t="str">
        <f>IFERROR(__xludf.DUMMYFUNCTION("""COMPUTED_VALUE"""),"HuyLG_NON_LEAK_HuyLG_070122")</f>
        <v>HuyLG_NON_LEAK_HuyLG_070122</v>
      </c>
      <c r="R97" s="67" t="str">
        <f>IFERROR(__xludf.DUMMYFUNCTION("""COMPUTED_VALUE"""),"NON_Vietnam_none_none_070122")</f>
        <v>NON_Vietnam_none_none_070122</v>
      </c>
      <c r="S97" s="67" t="str">
        <f>IFERROR(__xludf.DUMMYFUNCTION("""COMPUTED_VALUE"""),"khac_none_NON_LD005")</f>
        <v>khac_none_NON_LD005</v>
      </c>
      <c r="T97" s="107" t="str">
        <f>IFERROR(__xludf.DUMMYFUNCTION("""COMPUTED_VALUE"""),"https://www.patado.net/tieng-anh-giao-tiep-nuoc-ngoai/?utm_source=Other&amp;utm_medium=Leak&amp;utm_term=NON_Vietnam_none_none_070122&amp;utm_content=khac_none_NON_LD005&amp;utm_campaign=HuyLG_NON_LEAK_HuyLG_070122")</f>
        <v>https://www.patado.net/tieng-anh-giao-tiep-nuoc-ngoai/?utm_source=Other&amp;utm_medium=Leak&amp;utm_term=NON_Vietnam_none_none_070122&amp;utm_content=khac_none_NON_LD005&amp;utm_campaign=HuyLG_NON_LEAK_HuyLG_070122</v>
      </c>
      <c r="U97" s="118"/>
    </row>
    <row r="98">
      <c r="A98" s="72">
        <v>44568.0</v>
      </c>
      <c r="B98" s="61" t="s">
        <v>166</v>
      </c>
      <c r="C98" s="67" t="str">
        <f>IFERROR(__xludf.DUMMYFUNCTION("""COMPUTED_VALUE"""),"LD005")</f>
        <v>LD005</v>
      </c>
      <c r="D98" s="55" t="s">
        <v>603</v>
      </c>
      <c r="E98" s="55" t="s">
        <v>604</v>
      </c>
      <c r="F98" s="55" t="s">
        <v>199</v>
      </c>
      <c r="G98" s="143" t="s">
        <v>61</v>
      </c>
      <c r="H98" s="143" t="s">
        <v>1131</v>
      </c>
      <c r="I98" s="55" t="s">
        <v>426</v>
      </c>
      <c r="J98" s="55" t="s">
        <v>61</v>
      </c>
      <c r="K98" s="55" t="s">
        <v>61</v>
      </c>
      <c r="L98" s="55" t="s">
        <v>70</v>
      </c>
      <c r="M98" s="55" t="s">
        <v>116</v>
      </c>
      <c r="N98" s="55" t="s">
        <v>606</v>
      </c>
      <c r="O98" s="55" t="s">
        <v>70</v>
      </c>
      <c r="P98" s="55" t="s">
        <v>70</v>
      </c>
      <c r="Q98" s="67" t="str">
        <f>IFERROR(__xludf.DUMMYFUNCTION("""COMPUTED_VALUE"""),"HieuPM_NON_LEAK_HuyLG_070122")</f>
        <v>HieuPM_NON_LEAK_HuyLG_070122</v>
      </c>
      <c r="R98" s="67" t="str">
        <f>IFERROR(__xludf.DUMMYFUNCTION("""COMPUTED_VALUE"""),"NON_Vietnam_none_none_070122")</f>
        <v>NON_Vietnam_none_none_070122</v>
      </c>
      <c r="S98" s="67" t="str">
        <f>IFERROR(__xludf.DUMMYFUNCTION("""COMPUTED_VALUE"""),"khac_none_NON_LD005")</f>
        <v>khac_none_NON_LD005</v>
      </c>
      <c r="T98" s="107" t="str">
        <f>IFERROR(__xludf.DUMMYFUNCTION("""COMPUTED_VALUE"""),"https://www.patado.net/tieng-anh-giao-tiep-nuoc-ngoai/?utm_source=Other&amp;utm_medium=Leak&amp;utm_term=NON_Vietnam_none_none_070122&amp;utm_content=khac_none_NON_LD005&amp;utm_campaign=HieuPM_NON_LEAK_HuyLG_070122")</f>
        <v>https://www.patado.net/tieng-anh-giao-tiep-nuoc-ngoai/?utm_source=Other&amp;utm_medium=Leak&amp;utm_term=NON_Vietnam_none_none_070122&amp;utm_content=khac_none_NON_LD005&amp;utm_campaign=HieuPM_NON_LEAK_HuyLG_070122</v>
      </c>
      <c r="U98" s="118"/>
    </row>
    <row r="99">
      <c r="A99" s="72">
        <v>44568.0</v>
      </c>
      <c r="B99" s="61" t="s">
        <v>166</v>
      </c>
      <c r="C99" s="67" t="str">
        <f>IFERROR(__xludf.DUMMYFUNCTION("""COMPUTED_VALUE"""),"LD005")</f>
        <v>LD005</v>
      </c>
      <c r="D99" s="55" t="s">
        <v>603</v>
      </c>
      <c r="E99" s="55" t="s">
        <v>604</v>
      </c>
      <c r="F99" s="55" t="s">
        <v>199</v>
      </c>
      <c r="G99" s="143" t="s">
        <v>61</v>
      </c>
      <c r="H99" s="143" t="s">
        <v>1131</v>
      </c>
      <c r="I99" s="55" t="s">
        <v>341</v>
      </c>
      <c r="J99" s="55" t="s">
        <v>61</v>
      </c>
      <c r="K99" s="55" t="s">
        <v>61</v>
      </c>
      <c r="L99" s="55" t="s">
        <v>70</v>
      </c>
      <c r="M99" s="55" t="s">
        <v>116</v>
      </c>
      <c r="N99" s="55" t="s">
        <v>606</v>
      </c>
      <c r="O99" s="55" t="s">
        <v>70</v>
      </c>
      <c r="P99" s="55" t="s">
        <v>70</v>
      </c>
      <c r="Q99" s="67" t="str">
        <f>IFERROR(__xludf.DUMMYFUNCTION("""COMPUTED_VALUE"""),"DuongNB_NON_LEAK_HuyLG_070122")</f>
        <v>DuongNB_NON_LEAK_HuyLG_070122</v>
      </c>
      <c r="R99" s="67" t="str">
        <f>IFERROR(__xludf.DUMMYFUNCTION("""COMPUTED_VALUE"""),"NON_Vietnam_none_none_070122")</f>
        <v>NON_Vietnam_none_none_070122</v>
      </c>
      <c r="S99" s="67" t="str">
        <f>IFERROR(__xludf.DUMMYFUNCTION("""COMPUTED_VALUE"""),"khac_none_NON_LD005")</f>
        <v>khac_none_NON_LD005</v>
      </c>
      <c r="T99" s="107" t="str">
        <f>IFERROR(__xludf.DUMMYFUNCTION("""COMPUTED_VALUE"""),"https://www.patado.net/tieng-anh-giao-tiep-nuoc-ngoai/?utm_source=Other&amp;utm_medium=Leak&amp;utm_term=NON_Vietnam_none_none_070122&amp;utm_content=khac_none_NON_LD005&amp;utm_campaign=DuongNB_NON_LEAK_HuyLG_070122")</f>
        <v>https://www.patado.net/tieng-anh-giao-tiep-nuoc-ngoai/?utm_source=Other&amp;utm_medium=Leak&amp;utm_term=NON_Vietnam_none_none_070122&amp;utm_content=khac_none_NON_LD005&amp;utm_campaign=DuongNB_NON_LEAK_HuyLG_070122</v>
      </c>
      <c r="U99" s="118"/>
    </row>
    <row r="100">
      <c r="A100" s="72">
        <v>44568.0</v>
      </c>
      <c r="B100" s="61" t="s">
        <v>166</v>
      </c>
      <c r="C100" s="67" t="str">
        <f>IFERROR(__xludf.DUMMYFUNCTION("""COMPUTED_VALUE"""),"LD005")</f>
        <v>LD005</v>
      </c>
      <c r="D100" s="55" t="s">
        <v>603</v>
      </c>
      <c r="E100" s="55" t="s">
        <v>604</v>
      </c>
      <c r="F100" s="55" t="s">
        <v>199</v>
      </c>
      <c r="G100" s="143" t="s">
        <v>61</v>
      </c>
      <c r="H100" s="143" t="s">
        <v>1131</v>
      </c>
      <c r="I100" s="55" t="s">
        <v>568</v>
      </c>
      <c r="J100" s="55" t="s">
        <v>61</v>
      </c>
      <c r="K100" s="55" t="s">
        <v>61</v>
      </c>
      <c r="L100" s="55" t="s">
        <v>70</v>
      </c>
      <c r="M100" s="55" t="s">
        <v>116</v>
      </c>
      <c r="N100" s="55" t="s">
        <v>606</v>
      </c>
      <c r="O100" s="55" t="s">
        <v>70</v>
      </c>
      <c r="P100" s="55" t="s">
        <v>70</v>
      </c>
      <c r="Q100" s="67" t="str">
        <f>IFERROR(__xludf.DUMMYFUNCTION("""COMPUTED_VALUE"""),"LinhDK_NON_LEAK_HuyLG_070122")</f>
        <v>LinhDK_NON_LEAK_HuyLG_070122</v>
      </c>
      <c r="R100" s="67" t="str">
        <f>IFERROR(__xludf.DUMMYFUNCTION("""COMPUTED_VALUE"""),"NON_Vietnam_none_none_070122")</f>
        <v>NON_Vietnam_none_none_070122</v>
      </c>
      <c r="S100" s="67" t="str">
        <f>IFERROR(__xludf.DUMMYFUNCTION("""COMPUTED_VALUE"""),"khac_none_NON_LD005")</f>
        <v>khac_none_NON_LD005</v>
      </c>
      <c r="T100" s="107" t="str">
        <f>IFERROR(__xludf.DUMMYFUNCTION("""COMPUTED_VALUE"""),"https://www.patado.net/tieng-anh-giao-tiep-nuoc-ngoai/?utm_source=Other&amp;utm_medium=Leak&amp;utm_term=NON_Vietnam_none_none_070122&amp;utm_content=khac_none_NON_LD005&amp;utm_campaign=LinhDK_NON_LEAK_HuyLG_070122")</f>
        <v>https://www.patado.net/tieng-anh-giao-tiep-nuoc-ngoai/?utm_source=Other&amp;utm_medium=Leak&amp;utm_term=NON_Vietnam_none_none_070122&amp;utm_content=khac_none_NON_LD005&amp;utm_campaign=LinhDK_NON_LEAK_HuyLG_070122</v>
      </c>
      <c r="U100" s="118"/>
    </row>
    <row r="101">
      <c r="A101" s="72">
        <v>44568.0</v>
      </c>
      <c r="B101" s="61" t="s">
        <v>166</v>
      </c>
      <c r="C101" s="67" t="str">
        <f>IFERROR(__xludf.DUMMYFUNCTION("""COMPUTED_VALUE"""),"LD005")</f>
        <v>LD005</v>
      </c>
      <c r="D101" s="55" t="s">
        <v>603</v>
      </c>
      <c r="E101" s="55" t="s">
        <v>604</v>
      </c>
      <c r="F101" s="55" t="s">
        <v>199</v>
      </c>
      <c r="G101" s="143" t="s">
        <v>61</v>
      </c>
      <c r="H101" s="143" t="s">
        <v>1131</v>
      </c>
      <c r="I101" s="55" t="s">
        <v>91</v>
      </c>
      <c r="J101" s="55" t="s">
        <v>61</v>
      </c>
      <c r="K101" s="55" t="s">
        <v>61</v>
      </c>
      <c r="L101" s="55" t="s">
        <v>70</v>
      </c>
      <c r="M101" s="55" t="s">
        <v>116</v>
      </c>
      <c r="N101" s="55" t="s">
        <v>606</v>
      </c>
      <c r="O101" s="55" t="s">
        <v>70</v>
      </c>
      <c r="P101" s="55" t="s">
        <v>70</v>
      </c>
      <c r="Q101" s="67" t="str">
        <f>IFERROR(__xludf.DUMMYFUNCTION("""COMPUTED_VALUE"""),"DuyenNTM_NON_LEAK_HuyLG_070122")</f>
        <v>DuyenNTM_NON_LEAK_HuyLG_070122</v>
      </c>
      <c r="R101" s="67" t="str">
        <f>IFERROR(__xludf.DUMMYFUNCTION("""COMPUTED_VALUE"""),"NON_Vietnam_none_none_070122")</f>
        <v>NON_Vietnam_none_none_070122</v>
      </c>
      <c r="S101" s="67" t="str">
        <f>IFERROR(__xludf.DUMMYFUNCTION("""COMPUTED_VALUE"""),"khac_none_NON_LD005")</f>
        <v>khac_none_NON_LD005</v>
      </c>
      <c r="T101" s="107" t="str">
        <f>IFERROR(__xludf.DUMMYFUNCTION("""COMPUTED_VALUE"""),"https://www.patado.net/tieng-anh-giao-tiep-nuoc-ngoai/?utm_source=Other&amp;utm_medium=Leak&amp;utm_term=NON_Vietnam_none_none_070122&amp;utm_content=khac_none_NON_LD005&amp;utm_campaign=DuyenNTM_NON_LEAK_HuyLG_070122")</f>
        <v>https://www.patado.net/tieng-anh-giao-tiep-nuoc-ngoai/?utm_source=Other&amp;utm_medium=Leak&amp;utm_term=NON_Vietnam_none_none_070122&amp;utm_content=khac_none_NON_LD005&amp;utm_campaign=DuyenNTM_NON_LEAK_HuyLG_070122</v>
      </c>
      <c r="U101" s="118"/>
    </row>
    <row r="102">
      <c r="A102" s="72">
        <v>44615.0</v>
      </c>
      <c r="B102" s="160" t="s">
        <v>777</v>
      </c>
      <c r="C102" s="67" t="str">
        <f>IFERROR(__xludf.DUMMYFUNCTION("""COMPUTED_VALUE"""),"LD068")</f>
        <v>LD068</v>
      </c>
      <c r="D102" s="55" t="s">
        <v>42</v>
      </c>
      <c r="E102" s="55" t="s">
        <v>79</v>
      </c>
      <c r="F102" s="55" t="s">
        <v>608</v>
      </c>
      <c r="G102" s="55" t="s">
        <v>61</v>
      </c>
      <c r="H102" s="143" t="s">
        <v>1131</v>
      </c>
      <c r="I102" s="55" t="s">
        <v>3057</v>
      </c>
      <c r="J102" s="55" t="s">
        <v>3058</v>
      </c>
      <c r="K102" s="55" t="s">
        <v>61</v>
      </c>
      <c r="L102" s="55" t="s">
        <v>317</v>
      </c>
      <c r="M102" s="55" t="s">
        <v>78</v>
      </c>
      <c r="N102" s="55" t="s">
        <v>79</v>
      </c>
      <c r="O102" s="55" t="s">
        <v>415</v>
      </c>
      <c r="P102" s="55" t="s">
        <v>110</v>
      </c>
      <c r="Q102" s="67" t="str">
        <f>IFERROR(__xludf.DUMMYFUNCTION("""COMPUTED_VALUE"""),"Macao.Giaotiep_XuBen.5018_MES_HuyLG_230222")</f>
        <v>Macao.Giaotiep_XuBen.5018_MES_HuyLG_230222</v>
      </c>
      <c r="R102" s="67" t="str">
        <f>IFERROR(__xludf.DUMMYFUNCTION("""COMPUTED_VALUE"""),"NEW_Macao_none_none_230222")</f>
        <v>NEW_Macao_none_none_230222</v>
      </c>
      <c r="S102" s="67" t="str">
        <f>IFERROR(__xludf.DUMMYFUNCTION("""COMPUTED_VALUE"""),"saletructiep_Macao.Video.none.Giaotiep_TATTPVN_LD068")</f>
        <v>saletructiep_Macao.Video.none.Giaotiep_TATTPVN_LD068</v>
      </c>
      <c r="T102" s="107" t="str">
        <f>IFERROR(__xludf.DUMMYFUNCTION("""COMPUTED_VALUE"""),"https://patadovietnam.edu.vn/khoa-hoc-giao-tiep/?utm_source=Facebook&amp;utm_medium=MES&amp;utm_term=NEW_Macao_none_none_230222&amp;utm_content=saletructiep_Macao.Video.none.Giaotiep_TATTPVN_LD068&amp;utm_campaign=Macao.Giaotiep_XuBen.5018_MES_HuyLG_230222")</f>
        <v>https://patadovietnam.edu.vn/khoa-hoc-giao-tiep/?utm_source=Facebook&amp;utm_medium=MES&amp;utm_term=NEW_Macao_none_none_230222&amp;utm_content=saletructiep_Macao.Video.none.Giaotiep_TATTPVN_LD068&amp;utm_campaign=Macao.Giaotiep_XuBen.5018_MES_HuyLG_230222</v>
      </c>
      <c r="U102" s="118"/>
    </row>
    <row r="103">
      <c r="A103" s="72">
        <v>44623.0</v>
      </c>
      <c r="B103" s="160" t="s">
        <v>777</v>
      </c>
      <c r="C103" s="67" t="str">
        <f>IFERROR(__xludf.DUMMYFUNCTION("""COMPUTED_VALUE"""),"LD068")</f>
        <v>LD068</v>
      </c>
      <c r="D103" s="55" t="s">
        <v>42</v>
      </c>
      <c r="E103" s="55" t="s">
        <v>79</v>
      </c>
      <c r="F103" s="55" t="s">
        <v>488</v>
      </c>
      <c r="G103" s="55" t="s">
        <v>61</v>
      </c>
      <c r="H103" s="143" t="s">
        <v>1131</v>
      </c>
      <c r="I103" s="55" t="s">
        <v>3061</v>
      </c>
      <c r="J103" s="55" t="s">
        <v>3062</v>
      </c>
      <c r="K103" s="55" t="s">
        <v>61</v>
      </c>
      <c r="L103" s="55" t="s">
        <v>317</v>
      </c>
      <c r="M103" s="55" t="s">
        <v>78</v>
      </c>
      <c r="N103" s="55" t="s">
        <v>79</v>
      </c>
      <c r="O103" s="55" t="s">
        <v>415</v>
      </c>
      <c r="P103" s="55" t="s">
        <v>110</v>
      </c>
      <c r="Q103" s="67" t="str">
        <f>IFERROR(__xludf.DUMMYFUNCTION("""COMPUTED_VALUE"""),"Thailand.Giaotiep_XuBen.5018_MES_HuyLG_030322")</f>
        <v>Thailand.Giaotiep_XuBen.5018_MES_HuyLG_030322</v>
      </c>
      <c r="R103" s="67" t="str">
        <f>IFERROR(__xludf.DUMMYFUNCTION("""COMPUTED_VALUE"""),"NEW_Thailand_none_none_030322")</f>
        <v>NEW_Thailand_none_none_030322</v>
      </c>
      <c r="S103" s="67" t="str">
        <f>IFERROR(__xludf.DUMMYFUNCTION("""COMPUTED_VALUE"""),"saletructiep_Thailand.Video.none.Giaotiep_TATTPVN_LD068")</f>
        <v>saletructiep_Thailand.Video.none.Giaotiep_TATTPVN_LD068</v>
      </c>
      <c r="T103" s="107" t="str">
        <f>IFERROR(__xludf.DUMMYFUNCTION("""COMPUTED_VALUE"""),"https://patadovietnam.edu.vn/khoa-hoc-giao-tiep/?utm_source=Facebook&amp;utm_medium=MES&amp;utm_term=NEW_Thailand_none_none_030322&amp;utm_content=saletructiep_Thailand.Video.none.Giaotiep_TATTPVN_LD068&amp;utm_campaign=Thailand.Giaotiep_XuBen.5018_MES_HuyLG_030322")</f>
        <v>https://patadovietnam.edu.vn/khoa-hoc-giao-tiep/?utm_source=Facebook&amp;utm_medium=MES&amp;utm_term=NEW_Thailand_none_none_030322&amp;utm_content=saletructiep_Thailand.Video.none.Giaotiep_TATTPVN_LD068&amp;utm_campaign=Thailand.Giaotiep_XuBen.5018_MES_HuyLG_030322</v>
      </c>
      <c r="U103" s="118"/>
    </row>
    <row r="104">
      <c r="A104" s="72">
        <v>44623.0</v>
      </c>
      <c r="B104" s="160" t="s">
        <v>777</v>
      </c>
      <c r="C104" s="67" t="str">
        <f>IFERROR(__xludf.DUMMYFUNCTION("""COMPUTED_VALUE"""),"LD068")</f>
        <v>LD068</v>
      </c>
      <c r="D104" s="55" t="s">
        <v>42</v>
      </c>
      <c r="E104" s="55" t="s">
        <v>79</v>
      </c>
      <c r="F104" s="55" t="s">
        <v>539</v>
      </c>
      <c r="G104" s="55" t="s">
        <v>61</v>
      </c>
      <c r="H104" s="143" t="s">
        <v>1131</v>
      </c>
      <c r="I104" s="55" t="s">
        <v>3065</v>
      </c>
      <c r="J104" s="55" t="s">
        <v>3066</v>
      </c>
      <c r="K104" s="55" t="s">
        <v>61</v>
      </c>
      <c r="L104" s="55" t="s">
        <v>317</v>
      </c>
      <c r="M104" s="55" t="s">
        <v>78</v>
      </c>
      <c r="N104" s="55" t="s">
        <v>79</v>
      </c>
      <c r="O104" s="55" t="s">
        <v>415</v>
      </c>
      <c r="P104" s="55" t="s">
        <v>110</v>
      </c>
      <c r="Q104" s="67" t="str">
        <f>IFERROR(__xludf.DUMMYFUNCTION("""COMPUTED_VALUE"""),"ALL.Giaotiep_XuBen.5018_MES_HuyLG_030322")</f>
        <v>ALL.Giaotiep_XuBen.5018_MES_HuyLG_030322</v>
      </c>
      <c r="R104" s="67" t="str">
        <f>IFERROR(__xludf.DUMMYFUNCTION("""COMPUTED_VALUE"""),"NEW_ALL_none_none_030322")</f>
        <v>NEW_ALL_none_none_030322</v>
      </c>
      <c r="S104" s="67" t="str">
        <f>IFERROR(__xludf.DUMMYFUNCTION("""COMPUTED_VALUE"""),"saletructiep_ALL.Video.none.Giaotiep_TATTPVN_LD068")</f>
        <v>saletructiep_ALL.Video.none.Giaotiep_TATTPVN_LD068</v>
      </c>
      <c r="T104" s="107" t="str">
        <f>IFERROR(__xludf.DUMMYFUNCTION("""COMPUTED_VALUE"""),"https://patadovietnam.edu.vn/khoa-hoc-giao-tiep/?utm_source=Facebook&amp;utm_medium=MES&amp;utm_term=NEW_ALL_none_none_030322&amp;utm_content=saletructiep_ALL.Video.none.Giaotiep_TATTPVN_LD068&amp;utm_campaign=ALL.Giaotiep_XuBen.5018_MES_HuyLG_030322")</f>
        <v>https://patadovietnam.edu.vn/khoa-hoc-giao-tiep/?utm_source=Facebook&amp;utm_medium=MES&amp;utm_term=NEW_ALL_none_none_030322&amp;utm_content=saletructiep_ALL.Video.none.Giaotiep_TATTPVN_LD068&amp;utm_campaign=ALL.Giaotiep_XuBen.5018_MES_HuyLG_030322</v>
      </c>
      <c r="U104" s="118"/>
    </row>
    <row r="105">
      <c r="A105" s="72">
        <v>44627.0</v>
      </c>
      <c r="B105" s="61" t="s">
        <v>769</v>
      </c>
      <c r="C105" s="67" t="str">
        <f>IFERROR(__xludf.DUMMYFUNCTION("""COMPUTED_VALUE"""),"LD114")</f>
        <v>LD114</v>
      </c>
      <c r="D105" s="55" t="s">
        <v>42</v>
      </c>
      <c r="E105" s="55" t="s">
        <v>69</v>
      </c>
      <c r="F105" s="55" t="s">
        <v>199</v>
      </c>
      <c r="G105" s="55" t="s">
        <v>61</v>
      </c>
      <c r="H105" s="55" t="s">
        <v>1131</v>
      </c>
      <c r="I105" s="55" t="s">
        <v>3071</v>
      </c>
      <c r="J105" s="55" t="s">
        <v>3072</v>
      </c>
      <c r="K105" s="55" t="s">
        <v>61</v>
      </c>
      <c r="L105" s="55" t="s">
        <v>317</v>
      </c>
      <c r="M105" s="55" t="s">
        <v>78</v>
      </c>
      <c r="N105" s="55" t="s">
        <v>69</v>
      </c>
      <c r="O105" s="55" t="s">
        <v>415</v>
      </c>
      <c r="P105" s="55" t="s">
        <v>110</v>
      </c>
      <c r="Q105" s="67" t="str">
        <f>IFERROR(__xludf.DUMMYFUNCTION("""COMPUTED_VALUE"""),"Vietnam.IELTS_XuBen.5018_CVS_HuyLG_070322")</f>
        <v>Vietnam.IELTS_XuBen.5018_CVS_HuyLG_070322</v>
      </c>
      <c r="R105" s="67" t="str">
        <f>IFERROR(__xludf.DUMMYFUNCTION("""COMPUTED_VALUE"""),"NEW_Vietnam_none_none_070322")</f>
        <v>NEW_Vietnam_none_none_070322</v>
      </c>
      <c r="S105" s="67" t="str">
        <f>IFERROR(__xludf.DUMMYFUNCTION("""COMPUTED_VALUE"""),"saletructiep_Vietnam.Video.none.IELTS_TATTPVN_LD114")</f>
        <v>saletructiep_Vietnam.Video.none.IELTS_TATTPVN_LD114</v>
      </c>
      <c r="T105" s="107" t="str">
        <f>IFERROR(__xludf.DUMMYFUNCTION("""COMPUTED_VALUE"""),"https://patadovietnam.edu.vn/ielts_cvs/?utm_source=Facebook&amp;utm_medium=CVS&amp;utm_term=NEW_Vietnam_none_none_070322&amp;utm_content=saletructiep_Vietnam.Video.none.IELTS_TATTPVN_LD114&amp;utm_campaign=Vietnam.IELTS_XuBen.5018_CVS_HuyLG_070322")</f>
        <v>https://patadovietnam.edu.vn/ielts_cvs/?utm_source=Facebook&amp;utm_medium=CVS&amp;utm_term=NEW_Vietnam_none_none_070322&amp;utm_content=saletructiep_Vietnam.Video.none.IELTS_TATTPVN_LD114&amp;utm_campaign=Vietnam.IELTS_XuBen.5018_CVS_HuyLG_070322</v>
      </c>
      <c r="U105" s="118"/>
    </row>
    <row r="106">
      <c r="A106" s="72">
        <v>44631.0</v>
      </c>
      <c r="B106" s="156" t="s">
        <v>777</v>
      </c>
      <c r="C106" s="67" t="str">
        <f>IFERROR(__xludf.DUMMYFUNCTION("""COMPUTED_VALUE"""),"LD068")</f>
        <v>LD068</v>
      </c>
      <c r="D106" s="55" t="s">
        <v>42</v>
      </c>
      <c r="E106" s="55" t="s">
        <v>79</v>
      </c>
      <c r="F106" s="55" t="s">
        <v>162</v>
      </c>
      <c r="G106" s="55" t="s">
        <v>61</v>
      </c>
      <c r="H106" s="55" t="s">
        <v>1131</v>
      </c>
      <c r="I106" s="55" t="s">
        <v>2908</v>
      </c>
      <c r="J106" s="55" t="s">
        <v>2910</v>
      </c>
      <c r="K106" s="55" t="s">
        <v>61</v>
      </c>
      <c r="L106" s="55" t="s">
        <v>317</v>
      </c>
      <c r="M106" s="55" t="s">
        <v>78</v>
      </c>
      <c r="N106" s="55" t="s">
        <v>79</v>
      </c>
      <c r="O106" s="55" t="s">
        <v>415</v>
      </c>
      <c r="P106" s="55" t="s">
        <v>110</v>
      </c>
      <c r="Q106" s="67" t="str">
        <f>IFERROR(__xludf.DUMMYFUNCTION("""COMPUTED_VALUE"""),"Singapore.Giaotiep_XuBen.5018_MES_HuyLG_110322")</f>
        <v>Singapore.Giaotiep_XuBen.5018_MES_HuyLG_110322</v>
      </c>
      <c r="R106" s="67" t="str">
        <f>IFERROR(__xludf.DUMMYFUNCTION("""COMPUTED_VALUE"""),"NEW_Singapore_none_none_110322")</f>
        <v>NEW_Singapore_none_none_110322</v>
      </c>
      <c r="S106" s="67" t="str">
        <f>IFERROR(__xludf.DUMMYFUNCTION("""COMPUTED_VALUE"""),"saletructiep_Singapore.Video.none.Giaotiep_TATTPVN_LD068")</f>
        <v>saletructiep_Singapore.Video.none.Giaotiep_TATTPVN_LD068</v>
      </c>
      <c r="T106" s="107" t="str">
        <f>IFERROR(__xludf.DUMMYFUNCTION("""COMPUTED_VALUE"""),"https://patadovietnam.edu.vn/khoa-hoc-giao-tiep/?utm_source=Facebook&amp;utm_medium=MES&amp;utm_term=NEW_Singapore_none_none_110322&amp;utm_content=saletructiep_Singapore.Video.none.Giaotiep_TATTPVN_LD068&amp;utm_campaign=Singapore.Giaotiep_XuBen.5018_MES_HuyLG_110322")</f>
        <v>https://patadovietnam.edu.vn/khoa-hoc-giao-tiep/?utm_source=Facebook&amp;utm_medium=MES&amp;utm_term=NEW_Singapore_none_none_110322&amp;utm_content=saletructiep_Singapore.Video.none.Giaotiep_TATTPVN_LD068&amp;utm_campaign=Singapore.Giaotiep_XuBen.5018_MES_HuyLG_110322</v>
      </c>
      <c r="U106" s="118"/>
    </row>
    <row r="107">
      <c r="A107" s="72">
        <v>44632.0</v>
      </c>
      <c r="B107" s="156" t="s">
        <v>777</v>
      </c>
      <c r="C107" s="67" t="str">
        <f>IFERROR(__xludf.DUMMYFUNCTION("""COMPUTED_VALUE"""),"LD068")</f>
        <v>LD068</v>
      </c>
      <c r="D107" s="55" t="s">
        <v>42</v>
      </c>
      <c r="E107" s="55" t="s">
        <v>79</v>
      </c>
      <c r="F107" s="55" t="s">
        <v>162</v>
      </c>
      <c r="G107" s="55" t="s">
        <v>61</v>
      </c>
      <c r="H107" s="55" t="s">
        <v>1131</v>
      </c>
      <c r="I107" s="55" t="s">
        <v>3078</v>
      </c>
      <c r="J107" s="55" t="s">
        <v>3079</v>
      </c>
      <c r="K107" s="55" t="s">
        <v>61</v>
      </c>
      <c r="L107" s="55" t="s">
        <v>317</v>
      </c>
      <c r="M107" s="55" t="s">
        <v>78</v>
      </c>
      <c r="N107" s="55" t="s">
        <v>79</v>
      </c>
      <c r="O107" s="55" t="s">
        <v>415</v>
      </c>
      <c r="P107" s="55" t="s">
        <v>110</v>
      </c>
      <c r="Q107" s="67" t="str">
        <f>IFERROR(__xludf.DUMMYFUNCTION("""COMPUTED_VALUE"""),"Singapore.Giaotiep.Anhthongbao_XuBen.5018_MES_HuyLG_120322")</f>
        <v>Singapore.Giaotiep.Anhthongbao_XuBen.5018_MES_HuyLG_120322</v>
      </c>
      <c r="R107" s="67" t="str">
        <f>IFERROR(__xludf.DUMMYFUNCTION("""COMPUTED_VALUE"""),"NEW_Singapore_none_none_120322")</f>
        <v>NEW_Singapore_none_none_120322</v>
      </c>
      <c r="S107" s="67" t="str">
        <f>IFERROR(__xludf.DUMMYFUNCTION("""COMPUTED_VALUE"""),"saletructiep_Singapore.Anhthongbao.none.Giaotiep_TATTPVN_LD068")</f>
        <v>saletructiep_Singapore.Anhthongbao.none.Giaotiep_TATTPVN_LD068</v>
      </c>
      <c r="T107" s="107" t="str">
        <f>IFERROR(__xludf.DUMMYFUNCTION("""COMPUTED_VALUE"""),"https://patadovietnam.edu.vn/khoa-hoc-giao-tiep/?utm_source=Facebook&amp;utm_medium=MES&amp;utm_term=NEW_Singapore_none_none_120322&amp;utm_content=saletructiep_Singapore.Anhthongbao.none.Giaotiep_TATTPVN_LD068&amp;utm_campaign=Singapore.Giaotiep.Anhthongbao_XuBen.5018_M"&amp;"ES_HuyLG_120322")</f>
        <v>https://patadovietnam.edu.vn/khoa-hoc-giao-tiep/?utm_source=Facebook&amp;utm_medium=MES&amp;utm_term=NEW_Singapore_none_none_120322&amp;utm_content=saletructiep_Singapore.Anhthongbao.none.Giaotiep_TATTPVN_LD068&amp;utm_campaign=Singapore.Giaotiep.Anhthongbao_XuBen.5018_MES_HuyLG_120322</v>
      </c>
      <c r="U107" s="118"/>
    </row>
    <row r="108">
      <c r="A108" s="72">
        <v>44632.0</v>
      </c>
      <c r="B108" s="160" t="s">
        <v>777</v>
      </c>
      <c r="C108" s="58" t="str">
        <f>IFERROR(__xludf.DUMMYFUNCTION("""COMPUTED_VALUE"""),"LD068")</f>
        <v>LD068</v>
      </c>
      <c r="D108" s="143" t="s">
        <v>42</v>
      </c>
      <c r="E108" s="143" t="s">
        <v>79</v>
      </c>
      <c r="F108" s="143" t="s">
        <v>107</v>
      </c>
      <c r="G108" s="87">
        <v>1845.0</v>
      </c>
      <c r="H108" s="143" t="s">
        <v>1131</v>
      </c>
      <c r="I108" s="87" t="s">
        <v>3081</v>
      </c>
      <c r="J108" s="87" t="s">
        <v>3082</v>
      </c>
      <c r="K108" s="143" t="s">
        <v>61</v>
      </c>
      <c r="L108" s="143" t="s">
        <v>317</v>
      </c>
      <c r="M108" s="55" t="s">
        <v>78</v>
      </c>
      <c r="N108" s="143" t="s">
        <v>79</v>
      </c>
      <c r="O108" s="143" t="s">
        <v>415</v>
      </c>
      <c r="P108" s="143" t="s">
        <v>110</v>
      </c>
      <c r="Q108" s="67" t="str">
        <f>IFERROR(__xludf.DUMMYFUNCTION("""COMPUTED_VALUE"""),"UnitedStates.Giaotiep.Anhthongbao_XuBen.5018_MES_HuyLG_120322")</f>
        <v>UnitedStates.Giaotiep.Anhthongbao_XuBen.5018_MES_HuyLG_120322</v>
      </c>
      <c r="R108" s="67" t="str">
        <f>IFERROR(__xludf.DUMMYFUNCTION("""COMPUTED_VALUE"""),"NEW_UnitedStates_1845_none_120322")</f>
        <v>NEW_UnitedStates_1845_none_120322</v>
      </c>
      <c r="S108" s="67" t="str">
        <f>IFERROR(__xludf.DUMMYFUNCTION("""COMPUTED_VALUE"""),"saletructiep_UnitedStates.Anhthongbao.none.Giaotiep_TATTPVN_LD068")</f>
        <v>saletructiep_UnitedStates.Anhthongbao.none.Giaotiep_TATTPVN_LD068</v>
      </c>
      <c r="T108" s="107" t="str">
        <f>IFERROR(__xludf.DUMMYFUNCTION("""COMPUTED_VALUE"""),"https://patadovietnam.edu.vn/khoa-hoc-giao-tiep/?utm_source=Facebook&amp;utm_medium=MES&amp;utm_term=NEW_UnitedStates_1845_none_120322&amp;utm_content=saletructiep_UnitedStates.Anhthongbao.none.Giaotiep_TATTPVN_LD068&amp;utm_campaign=UnitedStates.Giaotiep.Anhthongbao_XuB"&amp;"en.5018_MES_HuyLG_120322")</f>
        <v>https://patadovietnam.edu.vn/khoa-hoc-giao-tiep/?utm_source=Facebook&amp;utm_medium=MES&amp;utm_term=NEW_UnitedStates_1845_none_120322&amp;utm_content=saletructiep_UnitedStates.Anhthongbao.none.Giaotiep_TATTPVN_LD068&amp;utm_campaign=UnitedStates.Giaotiep.Anhthongbao_XuBen.5018_MES_HuyLG_120322</v>
      </c>
      <c r="U108" s="118"/>
    </row>
    <row r="109">
      <c r="A109" s="72">
        <v>44632.0</v>
      </c>
      <c r="B109" s="61" t="s">
        <v>769</v>
      </c>
      <c r="C109" s="67" t="str">
        <f>IFERROR(__xludf.DUMMYFUNCTION("""COMPUTED_VALUE"""),"LD114")</f>
        <v>LD114</v>
      </c>
      <c r="D109" s="55" t="s">
        <v>42</v>
      </c>
      <c r="E109" s="143" t="s">
        <v>79</v>
      </c>
      <c r="F109" s="55" t="s">
        <v>199</v>
      </c>
      <c r="G109" s="55">
        <v>1835.0</v>
      </c>
      <c r="H109" s="143" t="s">
        <v>1131</v>
      </c>
      <c r="I109" s="55" t="s">
        <v>3071</v>
      </c>
      <c r="J109" s="55" t="s">
        <v>3085</v>
      </c>
      <c r="K109" s="143" t="s">
        <v>61</v>
      </c>
      <c r="L109" s="143" t="s">
        <v>317</v>
      </c>
      <c r="M109" s="55" t="s">
        <v>78</v>
      </c>
      <c r="N109" s="143" t="s">
        <v>79</v>
      </c>
      <c r="O109" s="143" t="s">
        <v>415</v>
      </c>
      <c r="P109" s="143" t="s">
        <v>110</v>
      </c>
      <c r="Q109" s="67" t="str">
        <f>IFERROR(__xludf.DUMMYFUNCTION("""COMPUTED_VALUE"""),"Vietnam.IELTS_XuBen.5018_MES_HuyLG_120322")</f>
        <v>Vietnam.IELTS_XuBen.5018_MES_HuyLG_120322</v>
      </c>
      <c r="R109" s="67" t="str">
        <f>IFERROR(__xludf.DUMMYFUNCTION("""COMPUTED_VALUE"""),"NEW_Vietnam_1835_none_120322")</f>
        <v>NEW_Vietnam_1835_none_120322</v>
      </c>
      <c r="S109" s="67" t="str">
        <f>IFERROR(__xludf.DUMMYFUNCTION("""COMPUTED_VALUE"""),"saletructiep_Vietnam.Anhlotrinh.1835.IELTS_TATTPVN_LD114")</f>
        <v>saletructiep_Vietnam.Anhlotrinh.1835.IELTS_TATTPVN_LD114</v>
      </c>
      <c r="T109" s="107" t="str">
        <f>IFERROR(__xludf.DUMMYFUNCTION("""COMPUTED_VALUE"""),"https://patadovietnam.edu.vn/ielts_cvs/?utm_source=Facebook&amp;utm_medium=MES&amp;utm_term=NEW_Vietnam_1835_none_120322&amp;utm_content=saletructiep_Vietnam.Anhlotrinh.1835.IELTS_TATTPVN_LD114&amp;utm_campaign=Vietnam.IELTS_XuBen.5018_MES_HuyLG_120322")</f>
        <v>https://patadovietnam.edu.vn/ielts_cvs/?utm_source=Facebook&amp;utm_medium=MES&amp;utm_term=NEW_Vietnam_1835_none_120322&amp;utm_content=saletructiep_Vietnam.Anhlotrinh.1835.IELTS_TATTPVN_LD114&amp;utm_campaign=Vietnam.IELTS_XuBen.5018_MES_HuyLG_120322</v>
      </c>
      <c r="U109" s="118"/>
    </row>
    <row r="110">
      <c r="A110" s="72">
        <v>44636.0</v>
      </c>
      <c r="B110" s="156" t="s">
        <v>777</v>
      </c>
      <c r="C110" s="67" t="str">
        <f>IFERROR(__xludf.DUMMYFUNCTION("""COMPUTED_VALUE"""),"LD068")</f>
        <v>LD068</v>
      </c>
      <c r="D110" s="55" t="s">
        <v>42</v>
      </c>
      <c r="E110" s="143" t="s">
        <v>79</v>
      </c>
      <c r="F110" s="55" t="s">
        <v>274</v>
      </c>
      <c r="G110" s="55">
        <v>1845.0</v>
      </c>
      <c r="H110" s="143" t="s">
        <v>1131</v>
      </c>
      <c r="I110" s="55" t="s">
        <v>3089</v>
      </c>
      <c r="J110" s="55" t="s">
        <v>3090</v>
      </c>
      <c r="K110" s="143" t="s">
        <v>61</v>
      </c>
      <c r="L110" s="143" t="s">
        <v>317</v>
      </c>
      <c r="M110" s="55" t="s">
        <v>78</v>
      </c>
      <c r="N110" s="143" t="s">
        <v>79</v>
      </c>
      <c r="O110" s="143" t="s">
        <v>415</v>
      </c>
      <c r="P110" s="143" t="s">
        <v>110</v>
      </c>
      <c r="Q110" s="67" t="str">
        <f>IFERROR(__xludf.DUMMYFUNCTION("""COMPUTED_VALUE"""),"UnitedKingdom.Giaotiep.Anhthongbao_XuBen.5018_MES_HuyLG_160322")</f>
        <v>UnitedKingdom.Giaotiep.Anhthongbao_XuBen.5018_MES_HuyLG_160322</v>
      </c>
      <c r="R110" s="67" t="str">
        <f>IFERROR(__xludf.DUMMYFUNCTION("""COMPUTED_VALUE"""),"NEW_UnitedKingdom_1845_none_160322")</f>
        <v>NEW_UnitedKingdom_1845_none_160322</v>
      </c>
      <c r="S110" s="67" t="str">
        <f>IFERROR(__xludf.DUMMYFUNCTION("""COMPUTED_VALUE"""),"saletructiep_UnitedKingdom.Anhthongbao.1845.Giaotiep_TATTPVN_LD068")</f>
        <v>saletructiep_UnitedKingdom.Anhthongbao.1845.Giaotiep_TATTPVN_LD068</v>
      </c>
      <c r="T110" s="107" t="str">
        <f>IFERROR(__xludf.DUMMYFUNCTION("""COMPUTED_VALUE"""),"https://patadovietnam.edu.vn/khoa-hoc-giao-tiep/?utm_source=Facebook&amp;utm_medium=MES&amp;utm_term=NEW_UnitedKingdom_1845_none_160322&amp;utm_content=saletructiep_UnitedKingdom.Anhthongbao.1845.Giaotiep_TATTPVN_LD068&amp;utm_campaign=UnitedKingdom.Giaotiep.Anhthongbao_"&amp;"XuBen.5018_MES_HuyLG_160322")</f>
        <v>https://patadovietnam.edu.vn/khoa-hoc-giao-tiep/?utm_source=Facebook&amp;utm_medium=MES&amp;utm_term=NEW_UnitedKingdom_1845_none_160322&amp;utm_content=saletructiep_UnitedKingdom.Anhthongbao.1845.Giaotiep_TATTPVN_LD068&amp;utm_campaign=UnitedKingdom.Giaotiep.Anhthongbao_XuBen.5018_MES_HuyLG_160322</v>
      </c>
      <c r="U110" s="118"/>
    </row>
    <row r="111">
      <c r="A111" s="72">
        <v>44636.0</v>
      </c>
      <c r="B111" s="156" t="s">
        <v>777</v>
      </c>
      <c r="C111" s="67" t="str">
        <f>IFERROR(__xludf.DUMMYFUNCTION("""COMPUTED_VALUE"""),"LD068")</f>
        <v>LD068</v>
      </c>
      <c r="D111" s="55" t="s">
        <v>42</v>
      </c>
      <c r="E111" s="143" t="s">
        <v>79</v>
      </c>
      <c r="F111" s="55" t="s">
        <v>3092</v>
      </c>
      <c r="G111" s="55">
        <v>1845.0</v>
      </c>
      <c r="H111" s="143" t="s">
        <v>1131</v>
      </c>
      <c r="I111" s="55" t="s">
        <v>3093</v>
      </c>
      <c r="J111" s="55" t="s">
        <v>3094</v>
      </c>
      <c r="K111" s="143" t="s">
        <v>61</v>
      </c>
      <c r="L111" s="143" t="s">
        <v>317</v>
      </c>
      <c r="M111" s="55" t="s">
        <v>78</v>
      </c>
      <c r="N111" s="143" t="s">
        <v>79</v>
      </c>
      <c r="O111" s="143" t="s">
        <v>415</v>
      </c>
      <c r="P111" s="143" t="s">
        <v>110</v>
      </c>
      <c r="Q111" s="67" t="str">
        <f>IFERROR(__xludf.DUMMYFUNCTION("""COMPUTED_VALUE"""),"Argentina.Giaotiep.Videolophoc_XuBen.5018_MES_HuyLG_160322")</f>
        <v>Argentina.Giaotiep.Videolophoc_XuBen.5018_MES_HuyLG_160322</v>
      </c>
      <c r="R111" s="67" t="str">
        <f>IFERROR(__xludf.DUMMYFUNCTION("""COMPUTED_VALUE"""),"NEW_Argentina_1845_none_160322")</f>
        <v>NEW_Argentina_1845_none_160322</v>
      </c>
      <c r="S111" s="67" t="str">
        <f>IFERROR(__xludf.DUMMYFUNCTION("""COMPUTED_VALUE"""),"saletructiep_Argentina.Videolophoc.1845.Giaotiep_TATTPVN_LD068")</f>
        <v>saletructiep_Argentina.Videolophoc.1845.Giaotiep_TATTPVN_LD068</v>
      </c>
      <c r="T111" s="107" t="str">
        <f>IFERROR(__xludf.DUMMYFUNCTION("""COMPUTED_VALUE"""),"https://patadovietnam.edu.vn/khoa-hoc-giao-tiep/?utm_source=Facebook&amp;utm_medium=MES&amp;utm_term=NEW_Argentina_1845_none_160322&amp;utm_content=saletructiep_Argentina.Videolophoc.1845.Giaotiep_TATTPVN_LD068&amp;utm_campaign=Argentina.Giaotiep.Videolophoc_XuBen.5018_M"&amp;"ES_HuyLG_160322")</f>
        <v>https://patadovietnam.edu.vn/khoa-hoc-giao-tiep/?utm_source=Facebook&amp;utm_medium=MES&amp;utm_term=NEW_Argentina_1845_none_160322&amp;utm_content=saletructiep_Argentina.Videolophoc.1845.Giaotiep_TATTPVN_LD068&amp;utm_campaign=Argentina.Giaotiep.Videolophoc_XuBen.5018_MES_HuyLG_160322</v>
      </c>
      <c r="U111" s="118"/>
    </row>
    <row r="112">
      <c r="A112" s="72">
        <v>44636.0</v>
      </c>
      <c r="B112" s="156" t="s">
        <v>777</v>
      </c>
      <c r="C112" s="67" t="str">
        <f>IFERROR(__xludf.DUMMYFUNCTION("""COMPUTED_VALUE"""),"LD068")</f>
        <v>LD068</v>
      </c>
      <c r="D112" s="55" t="s">
        <v>42</v>
      </c>
      <c r="E112" s="143" t="s">
        <v>79</v>
      </c>
      <c r="F112" s="55" t="s">
        <v>461</v>
      </c>
      <c r="G112" s="55">
        <v>1845.0</v>
      </c>
      <c r="H112" s="143" t="s">
        <v>1131</v>
      </c>
      <c r="I112" s="55" t="s">
        <v>3097</v>
      </c>
      <c r="J112" s="55" t="s">
        <v>3098</v>
      </c>
      <c r="K112" s="143" t="s">
        <v>61</v>
      </c>
      <c r="L112" s="143" t="s">
        <v>317</v>
      </c>
      <c r="M112" s="55" t="s">
        <v>78</v>
      </c>
      <c r="N112" s="143" t="s">
        <v>79</v>
      </c>
      <c r="O112" s="143" t="s">
        <v>415</v>
      </c>
      <c r="P112" s="143" t="s">
        <v>110</v>
      </c>
      <c r="Q112" s="67" t="str">
        <f>IFERROR(__xludf.DUMMYFUNCTION("""COMPUTED_VALUE"""),"CzechRepublic.Giaotiep.Anhlotrinh_XuBen.5018_MES_HuyLG_160322")</f>
        <v>CzechRepublic.Giaotiep.Anhlotrinh_XuBen.5018_MES_HuyLG_160322</v>
      </c>
      <c r="R112" s="67" t="str">
        <f>IFERROR(__xludf.DUMMYFUNCTION("""COMPUTED_VALUE"""),"NEW_CzechRepublic_1845_none_160322")</f>
        <v>NEW_CzechRepublic_1845_none_160322</v>
      </c>
      <c r="S112" s="67" t="str">
        <f>IFERROR(__xludf.DUMMYFUNCTION("""COMPUTED_VALUE"""),"saletructiep_CzechRepublic.Anhlotrinh.1845.Giaotiep_TATTPVN_LD068")</f>
        <v>saletructiep_CzechRepublic.Anhlotrinh.1845.Giaotiep_TATTPVN_LD068</v>
      </c>
      <c r="T112" s="107" t="str">
        <f>IFERROR(__xludf.DUMMYFUNCTION("""COMPUTED_VALUE"""),"https://patadovietnam.edu.vn/khoa-hoc-giao-tiep/?utm_source=Facebook&amp;utm_medium=MES&amp;utm_term=NEW_CzechRepublic_1845_none_160322&amp;utm_content=saletructiep_CzechRepublic.Anhlotrinh.1845.Giaotiep_TATTPVN_LD068&amp;utm_campaign=CzechRepublic.Giaotiep.Anhlotrinh_Xu"&amp;"Ben.5018_MES_HuyLG_160322")</f>
        <v>https://patadovietnam.edu.vn/khoa-hoc-giao-tiep/?utm_source=Facebook&amp;utm_medium=MES&amp;utm_term=NEW_CzechRepublic_1845_none_160322&amp;utm_content=saletructiep_CzechRepublic.Anhlotrinh.1845.Giaotiep_TATTPVN_LD068&amp;utm_campaign=CzechRepublic.Giaotiep.Anhlotrinh_XuBen.5018_MES_HuyLG_160322</v>
      </c>
      <c r="U112" s="118"/>
    </row>
    <row r="113">
      <c r="A113" s="72">
        <v>44637.0</v>
      </c>
      <c r="B113" s="156" t="s">
        <v>777</v>
      </c>
      <c r="C113" s="67" t="str">
        <f>IFERROR(__xludf.DUMMYFUNCTION("""COMPUTED_VALUE"""),"LD068")</f>
        <v>LD068</v>
      </c>
      <c r="D113" s="55" t="s">
        <v>42</v>
      </c>
      <c r="E113" s="143" t="s">
        <v>79</v>
      </c>
      <c r="F113" s="55" t="s">
        <v>614</v>
      </c>
      <c r="G113" s="55">
        <v>1845.0</v>
      </c>
      <c r="H113" s="143" t="s">
        <v>1131</v>
      </c>
      <c r="I113" s="55" t="s">
        <v>3105</v>
      </c>
      <c r="J113" s="55" t="s">
        <v>3106</v>
      </c>
      <c r="K113" s="143" t="s">
        <v>61</v>
      </c>
      <c r="L113" s="143" t="s">
        <v>317</v>
      </c>
      <c r="M113" s="55" t="s">
        <v>78</v>
      </c>
      <c r="N113" s="143" t="s">
        <v>79</v>
      </c>
      <c r="O113" s="143" t="s">
        <v>415</v>
      </c>
      <c r="P113" s="143" t="s">
        <v>110</v>
      </c>
      <c r="Q113" s="67" t="str">
        <f>IFERROR(__xludf.DUMMYFUNCTION("""COMPUTED_VALUE"""),"Korea.Giaotiep.Anhthongbao_XuBen.5018_MES_HuyLG_170322")</f>
        <v>Korea.Giaotiep.Anhthongbao_XuBen.5018_MES_HuyLG_170322</v>
      </c>
      <c r="R113" s="67" t="str">
        <f>IFERROR(__xludf.DUMMYFUNCTION("""COMPUTED_VALUE"""),"NEW_Korea_1845_none_170322")</f>
        <v>NEW_Korea_1845_none_170322</v>
      </c>
      <c r="S113" s="67" t="str">
        <f>IFERROR(__xludf.DUMMYFUNCTION("""COMPUTED_VALUE"""),"saletructiep_Korea.Anhthongbao.1845.Giaotiep_TATTPVN_LD068")</f>
        <v>saletructiep_Korea.Anhthongbao.1845.Giaotiep_TATTPVN_LD068</v>
      </c>
      <c r="T113" s="120" t="str">
        <f>IFERROR(__xludf.DUMMYFUNCTION("""COMPUTED_VALUE"""),"https://patadovietnam.edu.vn/khoa-hoc-giao-tiep/?utm_source=Facebook&amp;utm_medium=MES&amp;utm_term=NEW_Korea_1845_none_170322&amp;utm_content=saletructiep_Korea.Anhthongbao.1845.Giaotiep_TATTPVN_LD068&amp;utm_campaign=Korea.Giaotiep.Anhthongbao_XuBen.5018_MES_HuyLG_170"&amp;"322")</f>
        <v>https://patadovietnam.edu.vn/khoa-hoc-giao-tiep/?utm_source=Facebook&amp;utm_medium=MES&amp;utm_term=NEW_Korea_1845_none_170322&amp;utm_content=saletructiep_Korea.Anhthongbao.1845.Giaotiep_TATTPVN_LD068&amp;utm_campaign=Korea.Giaotiep.Anhthongbao_XuBen.5018_MES_HuyLG_170322</v>
      </c>
      <c r="U113" s="118"/>
    </row>
    <row r="114">
      <c r="A114" s="72">
        <v>44637.0</v>
      </c>
      <c r="B114" s="156" t="s">
        <v>777</v>
      </c>
      <c r="C114" s="67" t="str">
        <f>IFERROR(__xludf.DUMMYFUNCTION("""COMPUTED_VALUE"""),"LD068")</f>
        <v>LD068</v>
      </c>
      <c r="D114" s="55" t="s">
        <v>42</v>
      </c>
      <c r="E114" s="143" t="s">
        <v>79</v>
      </c>
      <c r="F114" s="55" t="s">
        <v>182</v>
      </c>
      <c r="G114" s="55">
        <v>1845.0</v>
      </c>
      <c r="H114" s="143" t="s">
        <v>1131</v>
      </c>
      <c r="I114" s="55" t="s">
        <v>3107</v>
      </c>
      <c r="J114" s="55" t="s">
        <v>3108</v>
      </c>
      <c r="K114" s="143" t="s">
        <v>61</v>
      </c>
      <c r="L114" s="143" t="s">
        <v>317</v>
      </c>
      <c r="M114" s="55" t="s">
        <v>78</v>
      </c>
      <c r="N114" s="143" t="s">
        <v>79</v>
      </c>
      <c r="O114" s="143" t="s">
        <v>415</v>
      </c>
      <c r="P114" s="143" t="s">
        <v>110</v>
      </c>
      <c r="Q114" s="67" t="str">
        <f>IFERROR(__xludf.DUMMYFUNCTION("""COMPUTED_VALUE"""),"Malaysia.Giaotiep.Anhlotrinh_XuBen.5018_MES_HuyLG_170322")</f>
        <v>Malaysia.Giaotiep.Anhlotrinh_XuBen.5018_MES_HuyLG_170322</v>
      </c>
      <c r="R114" s="67" t="str">
        <f>IFERROR(__xludf.DUMMYFUNCTION("""COMPUTED_VALUE"""),"NEW_Malaysia_1845_none_170322")</f>
        <v>NEW_Malaysia_1845_none_170322</v>
      </c>
      <c r="S114" s="67" t="str">
        <f>IFERROR(__xludf.DUMMYFUNCTION("""COMPUTED_VALUE"""),"saletructiep_Malaysia.Anhlotrinh.1845.Giaotiep_TATTPVN_LD068")</f>
        <v>saletructiep_Malaysia.Anhlotrinh.1845.Giaotiep_TATTPVN_LD068</v>
      </c>
      <c r="T114" s="107" t="str">
        <f>IFERROR(__xludf.DUMMYFUNCTION("""COMPUTED_VALUE"""),"https://patadovietnam.edu.vn/khoa-hoc-giao-tiep/?utm_source=Facebook&amp;utm_medium=MES&amp;utm_term=NEW_Malaysia_1845_none_170322&amp;utm_content=saletructiep_Malaysia.Anhlotrinh.1845.Giaotiep_TATTPVN_LD068&amp;utm_campaign=Malaysia.Giaotiep.Anhlotrinh_XuBen.5018_MES_Hu"&amp;"yLG_170322")</f>
        <v>https://patadovietnam.edu.vn/khoa-hoc-giao-tiep/?utm_source=Facebook&amp;utm_medium=MES&amp;utm_term=NEW_Malaysia_1845_none_170322&amp;utm_content=saletructiep_Malaysia.Anhlotrinh.1845.Giaotiep_TATTPVN_LD068&amp;utm_campaign=Malaysia.Giaotiep.Anhlotrinh_XuBen.5018_MES_HuyLG_170322</v>
      </c>
      <c r="U114" s="118"/>
    </row>
    <row r="115">
      <c r="A115" s="72">
        <v>44637.0</v>
      </c>
      <c r="B115" s="156" t="s">
        <v>777</v>
      </c>
      <c r="C115" s="67" t="str">
        <f>IFERROR(__xludf.DUMMYFUNCTION("""COMPUTED_VALUE"""),"LD068")</f>
        <v>LD068</v>
      </c>
      <c r="D115" s="55" t="s">
        <v>42</v>
      </c>
      <c r="E115" s="143" t="s">
        <v>79</v>
      </c>
      <c r="F115" s="55" t="s">
        <v>164</v>
      </c>
      <c r="G115" s="55">
        <v>1845.0</v>
      </c>
      <c r="H115" s="143" t="s">
        <v>1131</v>
      </c>
      <c r="I115" s="55" t="s">
        <v>3112</v>
      </c>
      <c r="J115" s="55" t="s">
        <v>3113</v>
      </c>
      <c r="K115" s="143" t="s">
        <v>61</v>
      </c>
      <c r="L115" s="143" t="s">
        <v>317</v>
      </c>
      <c r="M115" s="55" t="s">
        <v>78</v>
      </c>
      <c r="N115" s="143" t="s">
        <v>79</v>
      </c>
      <c r="O115" s="143" t="s">
        <v>415</v>
      </c>
      <c r="P115" s="143" t="s">
        <v>110</v>
      </c>
      <c r="Q115" s="67" t="str">
        <f>IFERROR(__xludf.DUMMYFUNCTION("""COMPUTED_VALUE"""),"Taiwan.Giaotiep.Anhlotrinh_XuBen.5018_MES_HuyLG_170322")</f>
        <v>Taiwan.Giaotiep.Anhlotrinh_XuBen.5018_MES_HuyLG_170322</v>
      </c>
      <c r="R115" s="67" t="str">
        <f>IFERROR(__xludf.DUMMYFUNCTION("""COMPUTED_VALUE"""),"NEW_Taiwan_1845_none_170322")</f>
        <v>NEW_Taiwan_1845_none_170322</v>
      </c>
      <c r="S115" s="67" t="str">
        <f>IFERROR(__xludf.DUMMYFUNCTION("""COMPUTED_VALUE"""),"saletructiep_Taiwan.Anhlotrinh.1845.Giaotiep_TATTPVN_LD068")</f>
        <v>saletructiep_Taiwan.Anhlotrinh.1845.Giaotiep_TATTPVN_LD068</v>
      </c>
      <c r="T115" s="107" t="str">
        <f>IFERROR(__xludf.DUMMYFUNCTION("""COMPUTED_VALUE"""),"https://patadovietnam.edu.vn/khoa-hoc-giao-tiep/?utm_source=Facebook&amp;utm_medium=MES&amp;utm_term=NEW_Taiwan_1845_none_170322&amp;utm_content=saletructiep_Taiwan.Anhlotrinh.1845.Giaotiep_TATTPVN_LD068&amp;utm_campaign=Taiwan.Giaotiep.Anhlotrinh_XuBen.5018_MES_HuyLG_17"&amp;"0322")</f>
        <v>https://patadovietnam.edu.vn/khoa-hoc-giao-tiep/?utm_source=Facebook&amp;utm_medium=MES&amp;utm_term=NEW_Taiwan_1845_none_170322&amp;utm_content=saletructiep_Taiwan.Anhlotrinh.1845.Giaotiep_TATTPVN_LD068&amp;utm_campaign=Taiwan.Giaotiep.Anhlotrinh_XuBen.5018_MES_HuyLG_170322</v>
      </c>
      <c r="U115" s="118"/>
    </row>
    <row r="116">
      <c r="A116" s="72">
        <v>44637.0</v>
      </c>
      <c r="B116" s="61" t="s">
        <v>769</v>
      </c>
      <c r="C116" s="67" t="str">
        <f>IFERROR(__xludf.DUMMYFUNCTION("""COMPUTED_VALUE"""),"LD114")</f>
        <v>LD114</v>
      </c>
      <c r="D116" s="55" t="s">
        <v>42</v>
      </c>
      <c r="E116" s="55" t="s">
        <v>69</v>
      </c>
      <c r="F116" s="55" t="s">
        <v>199</v>
      </c>
      <c r="G116" s="55">
        <v>1840.0</v>
      </c>
      <c r="H116" s="55" t="s">
        <v>1131</v>
      </c>
      <c r="I116" s="55" t="s">
        <v>3118</v>
      </c>
      <c r="J116" s="55" t="s">
        <v>3119</v>
      </c>
      <c r="K116" s="143" t="s">
        <v>61</v>
      </c>
      <c r="L116" s="143" t="s">
        <v>317</v>
      </c>
      <c r="M116" s="55" t="s">
        <v>2789</v>
      </c>
      <c r="N116" s="87" t="s">
        <v>69</v>
      </c>
      <c r="O116" s="143" t="s">
        <v>415</v>
      </c>
      <c r="P116" s="143" t="s">
        <v>110</v>
      </c>
      <c r="Q116" s="67" t="str">
        <f>IFERROR(__xludf.DUMMYFUNCTION("""COMPUTED_VALUE"""),"Vietnam.IELTS.VideoIELTS_XuBen.5018_CVS_HuyLG_170322")</f>
        <v>Vietnam.IELTS.VideoIELTS_XuBen.5018_CVS_HuyLG_170322</v>
      </c>
      <c r="R116" s="67" t="str">
        <f>IFERROR(__xludf.DUMMYFUNCTION("""COMPUTED_VALUE"""),"NEW_Vietnam_1840_none_170322")</f>
        <v>NEW_Vietnam_1840_none_170322</v>
      </c>
      <c r="S116" s="67" t="str">
        <f>IFERROR(__xludf.DUMMYFUNCTION("""COMPUTED_VALUE"""),"Storytelling_Vietnam.VideoIELTS.1840.IELTS_TATTPVN_LD114")</f>
        <v>Storytelling_Vietnam.VideoIELTS.1840.IELTS_TATTPVN_LD114</v>
      </c>
      <c r="T116" s="107" t="str">
        <f>IFERROR(__xludf.DUMMYFUNCTION("""COMPUTED_VALUE"""),"https://patadovietnam.edu.vn/ielts_cvs/?utm_source=Facebook&amp;utm_medium=CVS&amp;utm_term=NEW_Vietnam_1840_none_170322&amp;utm_content=Storytelling_Vietnam.VideoIELTS.1840.IELTS_TATTPVN_LD114&amp;utm_campaign=Vietnam.IELTS.VideoIELTS_XuBen.5018_CVS_HuyLG_170322")</f>
        <v>https://patadovietnam.edu.vn/ielts_cvs/?utm_source=Facebook&amp;utm_medium=CVS&amp;utm_term=NEW_Vietnam_1840_none_170322&amp;utm_content=Storytelling_Vietnam.VideoIELTS.1840.IELTS_TATTPVN_LD114&amp;utm_campaign=Vietnam.IELTS.VideoIELTS_XuBen.5018_CVS_HuyLG_170322</v>
      </c>
      <c r="U116" s="118"/>
    </row>
    <row r="117">
      <c r="A117" s="72">
        <v>44638.0</v>
      </c>
      <c r="B117" s="156" t="s">
        <v>777</v>
      </c>
      <c r="C117" s="67" t="str">
        <f>IFERROR(__xludf.DUMMYFUNCTION("""COMPUTED_VALUE"""),"LD068")</f>
        <v>LD068</v>
      </c>
      <c r="D117" s="55" t="s">
        <v>42</v>
      </c>
      <c r="E117" s="143" t="s">
        <v>79</v>
      </c>
      <c r="F117" s="55" t="s">
        <v>129</v>
      </c>
      <c r="G117" s="55">
        <v>1845.0</v>
      </c>
      <c r="H117" s="143" t="s">
        <v>1131</v>
      </c>
      <c r="I117" s="55" t="s">
        <v>3122</v>
      </c>
      <c r="J117" s="55" t="s">
        <v>3123</v>
      </c>
      <c r="K117" s="143" t="s">
        <v>61</v>
      </c>
      <c r="L117" s="143" t="s">
        <v>317</v>
      </c>
      <c r="M117" s="55" t="s">
        <v>78</v>
      </c>
      <c r="N117" s="143" t="s">
        <v>79</v>
      </c>
      <c r="O117" s="143" t="s">
        <v>415</v>
      </c>
      <c r="P117" s="143" t="s">
        <v>110</v>
      </c>
      <c r="Q117" s="67" t="str">
        <f>IFERROR(__xludf.DUMMYFUNCTION("""COMPUTED_VALUE"""),"Australia.Giaotiep.Anhthongbao_XuBen.5018_MES_HuyLG_180322")</f>
        <v>Australia.Giaotiep.Anhthongbao_XuBen.5018_MES_HuyLG_180322</v>
      </c>
      <c r="R117" s="67" t="str">
        <f>IFERROR(__xludf.DUMMYFUNCTION("""COMPUTED_VALUE"""),"NEW_Australia_1845_none_180322")</f>
        <v>NEW_Australia_1845_none_180322</v>
      </c>
      <c r="S117" s="67" t="str">
        <f>IFERROR(__xludf.DUMMYFUNCTION("""COMPUTED_VALUE"""),"saletructiep_Australia.Anhthongbao.1845.Giaotiep_TATTPVN_LD068")</f>
        <v>saletructiep_Australia.Anhthongbao.1845.Giaotiep_TATTPVN_LD068</v>
      </c>
      <c r="T117" s="107" t="str">
        <f>IFERROR(__xludf.DUMMYFUNCTION("""COMPUTED_VALUE"""),"https://patadovietnam.edu.vn/khoa-hoc-giao-tiep/?utm_source=Facebook&amp;utm_medium=MES&amp;utm_term=NEW_Australia_1845_none_180322&amp;utm_content=saletructiep_Australia.Anhthongbao.1845.Giaotiep_TATTPVN_LD068&amp;utm_campaign=Australia.Giaotiep.Anhthongbao_XuBen.5018_M"&amp;"ES_HuyLG_180322")</f>
        <v>https://patadovietnam.edu.vn/khoa-hoc-giao-tiep/?utm_source=Facebook&amp;utm_medium=MES&amp;utm_term=NEW_Australia_1845_none_180322&amp;utm_content=saletructiep_Australia.Anhthongbao.1845.Giaotiep_TATTPVN_LD068&amp;utm_campaign=Australia.Giaotiep.Anhthongbao_XuBen.5018_MES_HuyLG_180322</v>
      </c>
      <c r="U117" s="118"/>
    </row>
    <row r="118">
      <c r="A118" s="72">
        <v>44638.0</v>
      </c>
      <c r="B118" s="156" t="s">
        <v>777</v>
      </c>
      <c r="C118" s="67" t="str">
        <f>IFERROR(__xludf.DUMMYFUNCTION("""COMPUTED_VALUE"""),"LD068")</f>
        <v>LD068</v>
      </c>
      <c r="D118" s="55" t="s">
        <v>42</v>
      </c>
      <c r="E118" s="143" t="s">
        <v>79</v>
      </c>
      <c r="F118" s="55" t="s">
        <v>674</v>
      </c>
      <c r="G118" s="55">
        <v>1845.0</v>
      </c>
      <c r="H118" s="143" t="s">
        <v>1131</v>
      </c>
      <c r="I118" s="55" t="s">
        <v>3127</v>
      </c>
      <c r="J118" s="55" t="s">
        <v>3128</v>
      </c>
      <c r="K118" s="143" t="s">
        <v>61</v>
      </c>
      <c r="L118" s="143" t="s">
        <v>317</v>
      </c>
      <c r="M118" s="55" t="s">
        <v>78</v>
      </c>
      <c r="N118" s="143" t="s">
        <v>79</v>
      </c>
      <c r="O118" s="143" t="s">
        <v>415</v>
      </c>
      <c r="P118" s="143" t="s">
        <v>110</v>
      </c>
      <c r="Q118" s="67" t="str">
        <f>IFERROR(__xludf.DUMMYFUNCTION("""COMPUTED_VALUE"""),"Europe.Giaotiep.Anhthongbao_XuBen.5018_MES_HuyLG_180322")</f>
        <v>Europe.Giaotiep.Anhthongbao_XuBen.5018_MES_HuyLG_180322</v>
      </c>
      <c r="R118" s="67" t="str">
        <f>IFERROR(__xludf.DUMMYFUNCTION("""COMPUTED_VALUE"""),"NEW_Europe_1845_none_180322")</f>
        <v>NEW_Europe_1845_none_180322</v>
      </c>
      <c r="S118" s="67" t="str">
        <f>IFERROR(__xludf.DUMMYFUNCTION("""COMPUTED_VALUE"""),"saletructiep_Europe.Anhthongbao.1845.Giaotiep_TATTPVN_LD068")</f>
        <v>saletructiep_Europe.Anhthongbao.1845.Giaotiep_TATTPVN_LD068</v>
      </c>
      <c r="T118" s="107" t="str">
        <f>IFERROR(__xludf.DUMMYFUNCTION("""COMPUTED_VALUE"""),"https://patadovietnam.edu.vn/khoa-hoc-giao-tiep/?utm_source=Facebook&amp;utm_medium=MES&amp;utm_term=NEW_Europe_1845_none_180322&amp;utm_content=saletructiep_Europe.Anhthongbao.1845.Giaotiep_TATTPVN_LD068&amp;utm_campaign=Europe.Giaotiep.Anhthongbao_XuBen.5018_MES_HuyLG_"&amp;"180322")</f>
        <v>https://patadovietnam.edu.vn/khoa-hoc-giao-tiep/?utm_source=Facebook&amp;utm_medium=MES&amp;utm_term=NEW_Europe_1845_none_180322&amp;utm_content=saletructiep_Europe.Anhthongbao.1845.Giaotiep_TATTPVN_LD068&amp;utm_campaign=Europe.Giaotiep.Anhthongbao_XuBen.5018_MES_HuyLG_180322</v>
      </c>
      <c r="U118" s="118"/>
    </row>
    <row r="119">
      <c r="A119" s="72">
        <v>44641.0</v>
      </c>
      <c r="B119" s="61" t="s">
        <v>769</v>
      </c>
      <c r="C119" s="67" t="str">
        <f>IFERROR(__xludf.DUMMYFUNCTION("""COMPUTED_VALUE"""),"LD114")</f>
        <v>LD114</v>
      </c>
      <c r="D119" s="55" t="s">
        <v>42</v>
      </c>
      <c r="E119" s="143" t="s">
        <v>79</v>
      </c>
      <c r="F119" s="55" t="s">
        <v>199</v>
      </c>
      <c r="G119" s="55">
        <v>1840.0</v>
      </c>
      <c r="H119" s="143" t="s">
        <v>1131</v>
      </c>
      <c r="I119" s="55" t="s">
        <v>3118</v>
      </c>
      <c r="J119" s="55" t="s">
        <v>3119</v>
      </c>
      <c r="K119" s="143" t="s">
        <v>61</v>
      </c>
      <c r="L119" s="143" t="s">
        <v>317</v>
      </c>
      <c r="M119" s="55" t="s">
        <v>2789</v>
      </c>
      <c r="N119" s="143" t="s">
        <v>79</v>
      </c>
      <c r="O119" s="143" t="s">
        <v>415</v>
      </c>
      <c r="P119" s="143" t="s">
        <v>110</v>
      </c>
      <c r="Q119" s="67" t="str">
        <f>IFERROR(__xludf.DUMMYFUNCTION("""COMPUTED_VALUE"""),"Vietnam.IELTS.VideoIELTS_XuBen.5018_MES_HuyLG_210322")</f>
        <v>Vietnam.IELTS.VideoIELTS_XuBen.5018_MES_HuyLG_210322</v>
      </c>
      <c r="R119" s="67" t="str">
        <f>IFERROR(__xludf.DUMMYFUNCTION("""COMPUTED_VALUE"""),"NEW_Vietnam_1840_none_210322")</f>
        <v>NEW_Vietnam_1840_none_210322</v>
      </c>
      <c r="S119" s="67" t="str">
        <f>IFERROR(__xludf.DUMMYFUNCTION("""COMPUTED_VALUE"""),"Storytelling_Vietnam.VideoIELTS.1840.IELTS_TATTPVN_LD114")</f>
        <v>Storytelling_Vietnam.VideoIELTS.1840.IELTS_TATTPVN_LD114</v>
      </c>
      <c r="T119" s="107" t="str">
        <f>IFERROR(__xludf.DUMMYFUNCTION("""COMPUTED_VALUE"""),"https://patadovietnam.edu.vn/ielts_cvs/?utm_source=Facebook&amp;utm_medium=MES&amp;utm_term=NEW_Vietnam_1840_none_210322&amp;utm_content=Storytelling_Vietnam.VideoIELTS.1840.IELTS_TATTPVN_LD114&amp;utm_campaign=Vietnam.IELTS.VideoIELTS_XuBen.5018_MES_HuyLG_210322")</f>
        <v>https://patadovietnam.edu.vn/ielts_cvs/?utm_source=Facebook&amp;utm_medium=MES&amp;utm_term=NEW_Vietnam_1840_none_210322&amp;utm_content=Storytelling_Vietnam.VideoIELTS.1840.IELTS_TATTPVN_LD114&amp;utm_campaign=Vietnam.IELTS.VideoIELTS_XuBen.5018_MES_HuyLG_210322</v>
      </c>
      <c r="U119" s="118"/>
    </row>
    <row r="120">
      <c r="A120" s="72">
        <v>44641.0</v>
      </c>
      <c r="B120" s="61" t="s">
        <v>769</v>
      </c>
      <c r="C120" s="67" t="str">
        <f>IFERROR(__xludf.DUMMYFUNCTION("""COMPUTED_VALUE"""),"LD114")</f>
        <v>LD114</v>
      </c>
      <c r="D120" s="55" t="s">
        <v>42</v>
      </c>
      <c r="E120" s="55" t="s">
        <v>79</v>
      </c>
      <c r="F120" s="55" t="s">
        <v>539</v>
      </c>
      <c r="G120" s="55">
        <v>1845.0</v>
      </c>
      <c r="H120" s="143" t="s">
        <v>1131</v>
      </c>
      <c r="I120" s="55" t="s">
        <v>3133</v>
      </c>
      <c r="J120" s="55" t="s">
        <v>3134</v>
      </c>
      <c r="K120" s="143" t="s">
        <v>61</v>
      </c>
      <c r="L120" s="143" t="s">
        <v>317</v>
      </c>
      <c r="M120" s="55" t="s">
        <v>2789</v>
      </c>
      <c r="N120" s="143" t="s">
        <v>79</v>
      </c>
      <c r="O120" s="143" t="s">
        <v>415</v>
      </c>
      <c r="P120" s="143" t="s">
        <v>110</v>
      </c>
      <c r="Q120" s="67" t="str">
        <f>IFERROR(__xludf.DUMMYFUNCTION("""COMPUTED_VALUE"""),"ALL.IELTS.VideoIELTS_XuBen.5018_MES_HuyLG_210322")</f>
        <v>ALL.IELTS.VideoIELTS_XuBen.5018_MES_HuyLG_210322</v>
      </c>
      <c r="R120" s="67" t="str">
        <f>IFERROR(__xludf.DUMMYFUNCTION("""COMPUTED_VALUE"""),"NEW_ALL_1845_none_210322")</f>
        <v>NEW_ALL_1845_none_210322</v>
      </c>
      <c r="S120" s="67" t="str">
        <f>IFERROR(__xludf.DUMMYFUNCTION("""COMPUTED_VALUE"""),"Storytelling_ALL.VideoIELTS.1845.IELTS_TATTPVN_LD114")</f>
        <v>Storytelling_ALL.VideoIELTS.1845.IELTS_TATTPVN_LD114</v>
      </c>
      <c r="T120" s="107" t="str">
        <f>IFERROR(__xludf.DUMMYFUNCTION("""COMPUTED_VALUE"""),"https://patadovietnam.edu.vn/ielts_cvs/?utm_source=Facebook&amp;utm_medium=MES&amp;utm_term=NEW_ALL_1845_none_210322&amp;utm_content=Storytelling_ALL.VideoIELTS.1845.IELTS_TATTPVN_LD114&amp;utm_campaign=ALL.IELTS.VideoIELTS_XuBen.5018_MES_HuyLG_210322")</f>
        <v>https://patadovietnam.edu.vn/ielts_cvs/?utm_source=Facebook&amp;utm_medium=MES&amp;utm_term=NEW_ALL_1845_none_210322&amp;utm_content=Storytelling_ALL.VideoIELTS.1845.IELTS_TATTPVN_LD114&amp;utm_campaign=ALL.IELTS.VideoIELTS_XuBen.5018_MES_HuyLG_210322</v>
      </c>
      <c r="U120" s="118"/>
    </row>
    <row r="121">
      <c r="A121" s="72">
        <v>44644.0</v>
      </c>
      <c r="B121" s="156" t="s">
        <v>777</v>
      </c>
      <c r="C121" s="67" t="str">
        <f>IFERROR(__xludf.DUMMYFUNCTION("""COMPUTED_VALUE"""),"LD068")</f>
        <v>LD068</v>
      </c>
      <c r="D121" s="55" t="s">
        <v>42</v>
      </c>
      <c r="E121" s="55" t="s">
        <v>79</v>
      </c>
      <c r="F121" s="55" t="s">
        <v>174</v>
      </c>
      <c r="G121" s="55">
        <v>1845.0</v>
      </c>
      <c r="H121" s="143" t="s">
        <v>1131</v>
      </c>
      <c r="I121" s="55" t="s">
        <v>3138</v>
      </c>
      <c r="J121" s="55" t="s">
        <v>3139</v>
      </c>
      <c r="K121" s="143" t="s">
        <v>61</v>
      </c>
      <c r="L121" s="143" t="s">
        <v>317</v>
      </c>
      <c r="M121" s="55" t="s">
        <v>78</v>
      </c>
      <c r="N121" s="143" t="s">
        <v>79</v>
      </c>
      <c r="O121" s="143" t="s">
        <v>415</v>
      </c>
      <c r="P121" s="143" t="s">
        <v>110</v>
      </c>
      <c r="Q121" s="67" t="str">
        <f>IFERROR(__xludf.DUMMYFUNCTION("""COMPUTED_VALUE"""),"Philippines.Giaotiep.Anhthongbao_XuBen.5018_MES_HuyLG_240322")</f>
        <v>Philippines.Giaotiep.Anhthongbao_XuBen.5018_MES_HuyLG_240322</v>
      </c>
      <c r="R121" s="67" t="str">
        <f>IFERROR(__xludf.DUMMYFUNCTION("""COMPUTED_VALUE"""),"NEW_Philippines_1845_none_240322")</f>
        <v>NEW_Philippines_1845_none_240322</v>
      </c>
      <c r="S121" s="67" t="str">
        <f>IFERROR(__xludf.DUMMYFUNCTION("""COMPUTED_VALUE"""),"saletructiep_Philippines.Anhthongbao.1845.Giaotiep_TATTPVN_LD068")</f>
        <v>saletructiep_Philippines.Anhthongbao.1845.Giaotiep_TATTPVN_LD068</v>
      </c>
      <c r="T121" s="107" t="str">
        <f>IFERROR(__xludf.DUMMYFUNCTION("""COMPUTED_VALUE"""),"https://patadovietnam.edu.vn/khoa-hoc-giao-tiep/?utm_source=Facebook&amp;utm_medium=MES&amp;utm_term=NEW_Philippines_1845_none_240322&amp;utm_content=saletructiep_Philippines.Anhthongbao.1845.Giaotiep_TATTPVN_LD068&amp;utm_campaign=Philippines.Giaotiep.Anhthongbao_XuBen."&amp;"5018_MES_HuyLG_240322")</f>
        <v>https://patadovietnam.edu.vn/khoa-hoc-giao-tiep/?utm_source=Facebook&amp;utm_medium=MES&amp;utm_term=NEW_Philippines_1845_none_240322&amp;utm_content=saletructiep_Philippines.Anhthongbao.1845.Giaotiep_TATTPVN_LD068&amp;utm_campaign=Philippines.Giaotiep.Anhthongbao_XuBen.5018_MES_HuyLG_240322</v>
      </c>
      <c r="U121" s="118"/>
    </row>
    <row r="122">
      <c r="A122" s="72">
        <v>44645.0</v>
      </c>
      <c r="B122" s="156" t="s">
        <v>777</v>
      </c>
      <c r="C122" s="67" t="str">
        <f>IFERROR(__xludf.DUMMYFUNCTION("""COMPUTED_VALUE"""),"LD068")</f>
        <v>LD068</v>
      </c>
      <c r="D122" s="55" t="s">
        <v>42</v>
      </c>
      <c r="E122" s="55" t="s">
        <v>79</v>
      </c>
      <c r="F122" s="55" t="s">
        <v>133</v>
      </c>
      <c r="G122" s="55">
        <v>1840.0</v>
      </c>
      <c r="H122" s="55" t="s">
        <v>1131</v>
      </c>
      <c r="I122" s="55" t="s">
        <v>3145</v>
      </c>
      <c r="J122" s="55" t="s">
        <v>3146</v>
      </c>
      <c r="K122" s="143" t="s">
        <v>61</v>
      </c>
      <c r="L122" s="143" t="s">
        <v>317</v>
      </c>
      <c r="M122" s="55" t="s">
        <v>78</v>
      </c>
      <c r="N122" s="143" t="s">
        <v>79</v>
      </c>
      <c r="O122" s="55" t="s">
        <v>910</v>
      </c>
      <c r="P122" s="143" t="s">
        <v>110</v>
      </c>
      <c r="Q122" s="67" t="str">
        <f>IFERROR(__xludf.DUMMYFUNCTION("""COMPUTED_VALUE"""),"Japan.Giaotiep.VideoH4trungtam_XuBen.5018_MES_HuyLG_250322")</f>
        <v>Japan.Giaotiep.VideoH4trungtam_XuBen.5018_MES_HuyLG_250322</v>
      </c>
      <c r="R122" s="67" t="str">
        <f>IFERROR(__xludf.DUMMYFUNCTION("""COMPUTED_VALUE"""),"NEW_Japan_1840_none_250322")</f>
        <v>NEW_Japan_1840_none_250322</v>
      </c>
      <c r="S122" s="67" t="str">
        <f>IFERROR(__xludf.DUMMYFUNCTION("""COMPUTED_VALUE"""),"saletructiep_Japan.VideoH4trungtam.1840.Giaotiep_TATTP_LD068")</f>
        <v>saletructiep_Japan.VideoH4trungtam.1840.Giaotiep_TATTP_LD068</v>
      </c>
      <c r="T122" s="107" t="str">
        <f>IFERROR(__xludf.DUMMYFUNCTION("""COMPUTED_VALUE"""),"https://patadovietnam.edu.vn/khoa-hoc-giao-tiep/?utm_source=Facebook&amp;utm_medium=MES&amp;utm_term=NEW_Japan_1840_none_250322&amp;utm_content=saletructiep_Japan.VideoH4trungtam.1840.Giaotiep_TATTP_LD068&amp;utm_campaign=Japan.Giaotiep.VideoH4trungtam_XuBen.5018_MES_Huy"&amp;"LG_250322")</f>
        <v>https://patadovietnam.edu.vn/khoa-hoc-giao-tiep/?utm_source=Facebook&amp;utm_medium=MES&amp;utm_term=NEW_Japan_1840_none_250322&amp;utm_content=saletructiep_Japan.VideoH4trungtam.1840.Giaotiep_TATTP_LD068&amp;utm_campaign=Japan.Giaotiep.VideoH4trungtam_XuBen.5018_MES_HuyLG_250322</v>
      </c>
      <c r="U122" s="118"/>
    </row>
    <row r="123">
      <c r="A123" s="72">
        <v>44645.0</v>
      </c>
      <c r="B123" s="156" t="s">
        <v>777</v>
      </c>
      <c r="C123" s="67" t="str">
        <f>IFERROR(__xludf.DUMMYFUNCTION("""COMPUTED_VALUE"""),"LD068")</f>
        <v>LD068</v>
      </c>
      <c r="D123" s="86" t="s">
        <v>42</v>
      </c>
      <c r="E123" s="87" t="s">
        <v>79</v>
      </c>
      <c r="F123" s="87" t="s">
        <v>112</v>
      </c>
      <c r="G123" s="163">
        <v>1845.0</v>
      </c>
      <c r="H123" s="86" t="s">
        <v>1131</v>
      </c>
      <c r="I123" s="87" t="s">
        <v>3150</v>
      </c>
      <c r="J123" s="55" t="s">
        <v>3151</v>
      </c>
      <c r="K123" s="143" t="s">
        <v>61</v>
      </c>
      <c r="L123" s="143" t="s">
        <v>317</v>
      </c>
      <c r="M123" s="55" t="s">
        <v>78</v>
      </c>
      <c r="N123" s="143" t="s">
        <v>79</v>
      </c>
      <c r="O123" s="55" t="s">
        <v>910</v>
      </c>
      <c r="P123" s="143" t="s">
        <v>110</v>
      </c>
      <c r="Q123" s="67" t="str">
        <f>IFERROR(__xludf.DUMMYFUNCTION("""COMPUTED_VALUE"""),"Canada.Giaotiep.Anhthongbao_XuBen.5018_MES_HuyLG_250322")</f>
        <v>Canada.Giaotiep.Anhthongbao_XuBen.5018_MES_HuyLG_250322</v>
      </c>
      <c r="R123" s="67" t="str">
        <f>IFERROR(__xludf.DUMMYFUNCTION("""COMPUTED_VALUE"""),"NEW_Canada_1845_none_250322")</f>
        <v>NEW_Canada_1845_none_250322</v>
      </c>
      <c r="S123" s="67" t="str">
        <f>IFERROR(__xludf.DUMMYFUNCTION("""COMPUTED_VALUE"""),"saletructiep_Canada.Anhthongbao.1845.Giaotiep_TATTP_LD068")</f>
        <v>saletructiep_Canada.Anhthongbao.1845.Giaotiep_TATTP_LD068</v>
      </c>
      <c r="T123" s="107" t="str">
        <f>IFERROR(__xludf.DUMMYFUNCTION("""COMPUTED_VALUE"""),"https://patadovietnam.edu.vn/khoa-hoc-giao-tiep/?utm_source=Facebook&amp;utm_medium=MES&amp;utm_term=NEW_Canada_1845_none_250322&amp;utm_content=saletructiep_Canada.Anhthongbao.1845.Giaotiep_TATTP_LD068&amp;utm_campaign=Canada.Giaotiep.Anhthongbao_XuBen.5018_MES_HuyLG_25"&amp;"0322")</f>
        <v>https://patadovietnam.edu.vn/khoa-hoc-giao-tiep/?utm_source=Facebook&amp;utm_medium=MES&amp;utm_term=NEW_Canada_1845_none_250322&amp;utm_content=saletructiep_Canada.Anhthongbao.1845.Giaotiep_TATTP_LD068&amp;utm_campaign=Canada.Giaotiep.Anhthongbao_XuBen.5018_MES_HuyLG_250322</v>
      </c>
      <c r="U123" s="118"/>
    </row>
    <row r="124">
      <c r="A124" s="72">
        <v>44645.0</v>
      </c>
      <c r="B124" s="156" t="s">
        <v>777</v>
      </c>
      <c r="C124" s="67" t="str">
        <f>IFERROR(__xludf.DUMMYFUNCTION("""COMPUTED_VALUE"""),"LD068")</f>
        <v>LD068</v>
      </c>
      <c r="D124" s="55" t="s">
        <v>42</v>
      </c>
      <c r="E124" s="143" t="s">
        <v>79</v>
      </c>
      <c r="F124" s="55" t="s">
        <v>129</v>
      </c>
      <c r="G124" s="55">
        <v>1845.0</v>
      </c>
      <c r="H124" s="143" t="s">
        <v>1131</v>
      </c>
      <c r="I124" s="55" t="s">
        <v>3122</v>
      </c>
      <c r="J124" s="55" t="s">
        <v>3123</v>
      </c>
      <c r="K124" s="143" t="s">
        <v>61</v>
      </c>
      <c r="L124" s="143" t="s">
        <v>317</v>
      </c>
      <c r="M124" s="55" t="s">
        <v>78</v>
      </c>
      <c r="N124" s="143" t="s">
        <v>79</v>
      </c>
      <c r="O124" s="55" t="s">
        <v>910</v>
      </c>
      <c r="P124" s="143" t="s">
        <v>110</v>
      </c>
      <c r="Q124" s="67" t="str">
        <f>IFERROR(__xludf.DUMMYFUNCTION("""COMPUTED_VALUE"""),"Australia.Giaotiep.Anhthongbao_XuBen.5018_MES_HuyLG_250322")</f>
        <v>Australia.Giaotiep.Anhthongbao_XuBen.5018_MES_HuyLG_250322</v>
      </c>
      <c r="R124" s="67" t="str">
        <f>IFERROR(__xludf.DUMMYFUNCTION("""COMPUTED_VALUE"""),"NEW_Australia_1845_none_250322")</f>
        <v>NEW_Australia_1845_none_250322</v>
      </c>
      <c r="S124" s="67" t="str">
        <f>IFERROR(__xludf.DUMMYFUNCTION("""COMPUTED_VALUE"""),"saletructiep_Australia.Anhthongbao.1845.Giaotiep_TATTP_LD068")</f>
        <v>saletructiep_Australia.Anhthongbao.1845.Giaotiep_TATTP_LD068</v>
      </c>
      <c r="T124" s="107" t="str">
        <f>IFERROR(__xludf.DUMMYFUNCTION("""COMPUTED_VALUE"""),"https://patadovietnam.edu.vn/khoa-hoc-giao-tiep/?utm_source=Facebook&amp;utm_medium=MES&amp;utm_term=NEW_Australia_1845_none_250322&amp;utm_content=saletructiep_Australia.Anhthongbao.1845.Giaotiep_TATTP_LD068&amp;utm_campaign=Australia.Giaotiep.Anhthongbao_XuBen.5018_MES"&amp;"_HuyLG_250322")</f>
        <v>https://patadovietnam.edu.vn/khoa-hoc-giao-tiep/?utm_source=Facebook&amp;utm_medium=MES&amp;utm_term=NEW_Australia_1845_none_250322&amp;utm_content=saletructiep_Australia.Anhthongbao.1845.Giaotiep_TATTP_LD068&amp;utm_campaign=Australia.Giaotiep.Anhthongbao_XuBen.5018_MES_HuyLG_250322</v>
      </c>
      <c r="U124" s="118"/>
    </row>
    <row r="125">
      <c r="A125" s="72">
        <v>44645.0</v>
      </c>
      <c r="B125" s="156" t="s">
        <v>777</v>
      </c>
      <c r="C125" s="67" t="str">
        <f>IFERROR(__xludf.DUMMYFUNCTION("""COMPUTED_VALUE"""),"LD068")</f>
        <v>LD068</v>
      </c>
      <c r="D125" s="55" t="s">
        <v>42</v>
      </c>
      <c r="E125" s="143" t="s">
        <v>79</v>
      </c>
      <c r="F125" s="55" t="s">
        <v>614</v>
      </c>
      <c r="G125" s="55">
        <v>1845.0</v>
      </c>
      <c r="H125" s="143" t="s">
        <v>1131</v>
      </c>
      <c r="I125" s="55" t="s">
        <v>3105</v>
      </c>
      <c r="J125" s="55" t="s">
        <v>3106</v>
      </c>
      <c r="K125" s="143" t="s">
        <v>61</v>
      </c>
      <c r="L125" s="143" t="s">
        <v>317</v>
      </c>
      <c r="M125" s="55" t="s">
        <v>78</v>
      </c>
      <c r="N125" s="143" t="s">
        <v>79</v>
      </c>
      <c r="O125" s="55" t="s">
        <v>910</v>
      </c>
      <c r="P125" s="143" t="s">
        <v>110</v>
      </c>
      <c r="Q125" s="67" t="str">
        <f>IFERROR(__xludf.DUMMYFUNCTION("""COMPUTED_VALUE"""),"Korea.Giaotiep.Anhthongbao_XuBen.5018_MES_HuyLG_250322")</f>
        <v>Korea.Giaotiep.Anhthongbao_XuBen.5018_MES_HuyLG_250322</v>
      </c>
      <c r="R125" s="67" t="str">
        <f>IFERROR(__xludf.DUMMYFUNCTION("""COMPUTED_VALUE"""),"NEW_Korea_1845_none_250322")</f>
        <v>NEW_Korea_1845_none_250322</v>
      </c>
      <c r="S125" s="67" t="str">
        <f>IFERROR(__xludf.DUMMYFUNCTION("""COMPUTED_VALUE"""),"saletructiep_Korea.Anhthongbao.1845.Giaotiep_TATTP_LD068")</f>
        <v>saletructiep_Korea.Anhthongbao.1845.Giaotiep_TATTP_LD068</v>
      </c>
      <c r="T125" s="107" t="str">
        <f>IFERROR(__xludf.DUMMYFUNCTION("""COMPUTED_VALUE"""),"https://patadovietnam.edu.vn/khoa-hoc-giao-tiep/?utm_source=Facebook&amp;utm_medium=MES&amp;utm_term=NEW_Korea_1845_none_250322&amp;utm_content=saletructiep_Korea.Anhthongbao.1845.Giaotiep_TATTP_LD068&amp;utm_campaign=Korea.Giaotiep.Anhthongbao_XuBen.5018_MES_HuyLG_25032"&amp;"2")</f>
        <v>https://patadovietnam.edu.vn/khoa-hoc-giao-tiep/?utm_source=Facebook&amp;utm_medium=MES&amp;utm_term=NEW_Korea_1845_none_250322&amp;utm_content=saletructiep_Korea.Anhthongbao.1845.Giaotiep_TATTP_LD068&amp;utm_campaign=Korea.Giaotiep.Anhthongbao_XuBen.5018_MES_HuyLG_250322</v>
      </c>
      <c r="U125" s="118"/>
    </row>
    <row r="126">
      <c r="A126" s="72">
        <v>44645.0</v>
      </c>
      <c r="B126" s="156" t="s">
        <v>777</v>
      </c>
      <c r="C126" s="67" t="str">
        <f>IFERROR(__xludf.DUMMYFUNCTION("""COMPUTED_VALUE"""),"LD068")</f>
        <v>LD068</v>
      </c>
      <c r="D126" s="55" t="s">
        <v>42</v>
      </c>
      <c r="E126" s="55" t="s">
        <v>79</v>
      </c>
      <c r="F126" s="55" t="s">
        <v>539</v>
      </c>
      <c r="G126" s="55">
        <v>1845.0</v>
      </c>
      <c r="H126" s="143" t="s">
        <v>1131</v>
      </c>
      <c r="I126" s="55" t="s">
        <v>3161</v>
      </c>
      <c r="J126" s="55" t="s">
        <v>3162</v>
      </c>
      <c r="K126" s="55" t="s">
        <v>61</v>
      </c>
      <c r="L126" s="55" t="s">
        <v>317</v>
      </c>
      <c r="M126" s="55" t="s">
        <v>78</v>
      </c>
      <c r="N126" s="55" t="s">
        <v>79</v>
      </c>
      <c r="O126" s="55" t="s">
        <v>910</v>
      </c>
      <c r="P126" s="55" t="s">
        <v>110</v>
      </c>
      <c r="Q126" s="67" t="str">
        <f>IFERROR(__xludf.DUMMYFUNCTION("""COMPUTED_VALUE"""),"ALL.Giaotiep.Videolophoc_XuBen.5018_MES_HuyLG_250322")</f>
        <v>ALL.Giaotiep.Videolophoc_XuBen.5018_MES_HuyLG_250322</v>
      </c>
      <c r="R126" s="67" t="str">
        <f>IFERROR(__xludf.DUMMYFUNCTION("""COMPUTED_VALUE"""),"NEW_ALL_1845_none_250322")</f>
        <v>NEW_ALL_1845_none_250322</v>
      </c>
      <c r="S126" s="67" t="str">
        <f>IFERROR(__xludf.DUMMYFUNCTION("""COMPUTED_VALUE"""),"saletructiep_ALL.Videolophoc.1845.Giaotiep_TATTP_LD068")</f>
        <v>saletructiep_ALL.Videolophoc.1845.Giaotiep_TATTP_LD068</v>
      </c>
      <c r="T126" s="107" t="str">
        <f>IFERROR(__xludf.DUMMYFUNCTION("""COMPUTED_VALUE"""),"https://patadovietnam.edu.vn/khoa-hoc-giao-tiep/?utm_source=Facebook&amp;utm_medium=MES&amp;utm_term=NEW_ALL_1845_none_250322&amp;utm_content=saletructiep_ALL.Videolophoc.1845.Giaotiep_TATTP_LD068&amp;utm_campaign=ALL.Giaotiep.Videolophoc_XuBen.5018_MES_HuyLG_250322")</f>
        <v>https://patadovietnam.edu.vn/khoa-hoc-giao-tiep/?utm_source=Facebook&amp;utm_medium=MES&amp;utm_term=NEW_ALL_1845_none_250322&amp;utm_content=saletructiep_ALL.Videolophoc.1845.Giaotiep_TATTP_LD068&amp;utm_campaign=ALL.Giaotiep.Videolophoc_XuBen.5018_MES_HuyLG_250322</v>
      </c>
      <c r="U126" s="118"/>
    </row>
    <row r="127">
      <c r="A127" s="72">
        <v>44645.0</v>
      </c>
      <c r="B127" s="156" t="s">
        <v>777</v>
      </c>
      <c r="C127" s="67" t="str">
        <f>IFERROR(__xludf.DUMMYFUNCTION("""COMPUTED_VALUE"""),"LD068")</f>
        <v>LD068</v>
      </c>
      <c r="D127" s="55" t="s">
        <v>42</v>
      </c>
      <c r="E127" s="143" t="s">
        <v>79</v>
      </c>
      <c r="F127" s="55" t="s">
        <v>461</v>
      </c>
      <c r="G127" s="55">
        <v>1845.0</v>
      </c>
      <c r="H127" s="143" t="s">
        <v>1131</v>
      </c>
      <c r="I127" s="55" t="s">
        <v>3166</v>
      </c>
      <c r="J127" s="55" t="s">
        <v>3167</v>
      </c>
      <c r="K127" s="143" t="s">
        <v>61</v>
      </c>
      <c r="L127" s="143" t="s">
        <v>317</v>
      </c>
      <c r="M127" s="55" t="s">
        <v>78</v>
      </c>
      <c r="N127" s="143" t="s">
        <v>79</v>
      </c>
      <c r="O127" s="55" t="s">
        <v>910</v>
      </c>
      <c r="P127" s="143" t="s">
        <v>110</v>
      </c>
      <c r="Q127" s="67" t="str">
        <f>IFERROR(__xludf.DUMMYFUNCTION("""COMPUTED_VALUE"""),"CzechRepublic.Giaotiep.Anhthongbao_XuBen.5018_MES_HuyLG_250322")</f>
        <v>CzechRepublic.Giaotiep.Anhthongbao_XuBen.5018_MES_HuyLG_250322</v>
      </c>
      <c r="R127" s="67" t="str">
        <f>IFERROR(__xludf.DUMMYFUNCTION("""COMPUTED_VALUE"""),"NEW_CzechRepublic_1845_none_250322")</f>
        <v>NEW_CzechRepublic_1845_none_250322</v>
      </c>
      <c r="S127" s="67" t="str">
        <f>IFERROR(__xludf.DUMMYFUNCTION("""COMPUTED_VALUE"""),"saletructiep_CzechRepublic.Anhthongbao.1845.Giaotiep_TATTP_LD068")</f>
        <v>saletructiep_CzechRepublic.Anhthongbao.1845.Giaotiep_TATTP_LD068</v>
      </c>
      <c r="T127" s="107" t="str">
        <f>IFERROR(__xludf.DUMMYFUNCTION("""COMPUTED_VALUE"""),"https://patadovietnam.edu.vn/khoa-hoc-giao-tiep/?utm_source=Facebook&amp;utm_medium=MES&amp;utm_term=NEW_CzechRepublic_1845_none_250322&amp;utm_content=saletructiep_CzechRepublic.Anhthongbao.1845.Giaotiep_TATTP_LD068&amp;utm_campaign=CzechRepublic.Giaotiep.Anhthongbao_Xu"&amp;"Ben.5018_MES_HuyLG_250322")</f>
        <v>https://patadovietnam.edu.vn/khoa-hoc-giao-tiep/?utm_source=Facebook&amp;utm_medium=MES&amp;utm_term=NEW_CzechRepublic_1845_none_250322&amp;utm_content=saletructiep_CzechRepublic.Anhthongbao.1845.Giaotiep_TATTP_LD068&amp;utm_campaign=CzechRepublic.Giaotiep.Anhthongbao_XuBen.5018_MES_HuyLG_250322</v>
      </c>
      <c r="U127" s="118"/>
    </row>
    <row r="128">
      <c r="A128" s="72">
        <v>44645.0</v>
      </c>
      <c r="B128" s="156" t="s">
        <v>777</v>
      </c>
      <c r="C128" s="67" t="str">
        <f>IFERROR(__xludf.DUMMYFUNCTION("""COMPUTED_VALUE"""),"LD068")</f>
        <v>LD068</v>
      </c>
      <c r="D128" s="55" t="s">
        <v>42</v>
      </c>
      <c r="E128" s="55" t="s">
        <v>79</v>
      </c>
      <c r="F128" s="55" t="s">
        <v>174</v>
      </c>
      <c r="G128" s="55">
        <v>1845.0</v>
      </c>
      <c r="H128" s="143" t="s">
        <v>1131</v>
      </c>
      <c r="I128" s="55" t="s">
        <v>3138</v>
      </c>
      <c r="J128" s="55" t="s">
        <v>3139</v>
      </c>
      <c r="K128" s="143" t="s">
        <v>61</v>
      </c>
      <c r="L128" s="143" t="s">
        <v>317</v>
      </c>
      <c r="M128" s="55" t="s">
        <v>78</v>
      </c>
      <c r="N128" s="143" t="s">
        <v>79</v>
      </c>
      <c r="O128" s="55" t="s">
        <v>910</v>
      </c>
      <c r="P128" s="143" t="s">
        <v>110</v>
      </c>
      <c r="Q128" s="67" t="str">
        <f>IFERROR(__xludf.DUMMYFUNCTION("""COMPUTED_VALUE"""),"Philippines.Giaotiep.Anhthongbao_XuBen.5018_MES_HuyLG_250322")</f>
        <v>Philippines.Giaotiep.Anhthongbao_XuBen.5018_MES_HuyLG_250322</v>
      </c>
      <c r="R128" s="67" t="str">
        <f>IFERROR(__xludf.DUMMYFUNCTION("""COMPUTED_VALUE"""),"NEW_Philippines_1845_none_250322")</f>
        <v>NEW_Philippines_1845_none_250322</v>
      </c>
      <c r="S128" s="67" t="str">
        <f>IFERROR(__xludf.DUMMYFUNCTION("""COMPUTED_VALUE"""),"saletructiep_Philippines.Anhthongbao.1845.Giaotiep_TATTP_LD068")</f>
        <v>saletructiep_Philippines.Anhthongbao.1845.Giaotiep_TATTP_LD068</v>
      </c>
      <c r="T128" s="107" t="str">
        <f>IFERROR(__xludf.DUMMYFUNCTION("""COMPUTED_VALUE"""),"https://patadovietnam.edu.vn/khoa-hoc-giao-tiep/?utm_source=Facebook&amp;utm_medium=MES&amp;utm_term=NEW_Philippines_1845_none_250322&amp;utm_content=saletructiep_Philippines.Anhthongbao.1845.Giaotiep_TATTP_LD068&amp;utm_campaign=Philippines.Giaotiep.Anhthongbao_XuBen.50"&amp;"18_MES_HuyLG_250322")</f>
        <v>https://patadovietnam.edu.vn/khoa-hoc-giao-tiep/?utm_source=Facebook&amp;utm_medium=MES&amp;utm_term=NEW_Philippines_1845_none_250322&amp;utm_content=saletructiep_Philippines.Anhthongbao.1845.Giaotiep_TATTP_LD068&amp;utm_campaign=Philippines.Giaotiep.Anhthongbao_XuBen.5018_MES_HuyLG_250322</v>
      </c>
      <c r="U128" s="118"/>
    </row>
    <row r="129">
      <c r="A129" s="72">
        <v>44645.0</v>
      </c>
      <c r="B129" s="156" t="s">
        <v>777</v>
      </c>
      <c r="C129" s="67" t="str">
        <f>IFERROR(__xludf.DUMMYFUNCTION("""COMPUTED_VALUE"""),"LD068")</f>
        <v>LD068</v>
      </c>
      <c r="D129" s="55" t="s">
        <v>42</v>
      </c>
      <c r="E129" s="55" t="s">
        <v>79</v>
      </c>
      <c r="F129" s="55" t="s">
        <v>162</v>
      </c>
      <c r="G129" s="55">
        <v>1845.0</v>
      </c>
      <c r="H129" s="55" t="s">
        <v>1131</v>
      </c>
      <c r="I129" s="55" t="s">
        <v>3078</v>
      </c>
      <c r="J129" s="55" t="s">
        <v>3171</v>
      </c>
      <c r="K129" s="55" t="s">
        <v>61</v>
      </c>
      <c r="L129" s="55" t="s">
        <v>317</v>
      </c>
      <c r="M129" s="55" t="s">
        <v>78</v>
      </c>
      <c r="N129" s="55" t="s">
        <v>79</v>
      </c>
      <c r="O129" s="55" t="s">
        <v>910</v>
      </c>
      <c r="P129" s="55" t="s">
        <v>110</v>
      </c>
      <c r="Q129" s="67" t="str">
        <f>IFERROR(__xludf.DUMMYFUNCTION("""COMPUTED_VALUE"""),"Singapore.Giaotiep.Anhthongbao_XuBen.5018_MES_HuyLG_250322")</f>
        <v>Singapore.Giaotiep.Anhthongbao_XuBen.5018_MES_HuyLG_250322</v>
      </c>
      <c r="R129" s="67" t="str">
        <f>IFERROR(__xludf.DUMMYFUNCTION("""COMPUTED_VALUE"""),"NEW_Singapore_1845_none_250322")</f>
        <v>NEW_Singapore_1845_none_250322</v>
      </c>
      <c r="S129" s="67" t="str">
        <f>IFERROR(__xludf.DUMMYFUNCTION("""COMPUTED_VALUE"""),"saletructiep_Singapore.Anhthongbao.1845.Giaotiep_TATTP_LD068")</f>
        <v>saletructiep_Singapore.Anhthongbao.1845.Giaotiep_TATTP_LD068</v>
      </c>
      <c r="T129" s="107" t="str">
        <f>IFERROR(__xludf.DUMMYFUNCTION("""COMPUTED_VALUE"""),"https://patadovietnam.edu.vn/khoa-hoc-giao-tiep/?utm_source=Facebook&amp;utm_medium=MES&amp;utm_term=NEW_Singapore_1845_none_250322&amp;utm_content=saletructiep_Singapore.Anhthongbao.1845.Giaotiep_TATTP_LD068&amp;utm_campaign=Singapore.Giaotiep.Anhthongbao_XuBen.5018_MES"&amp;"_HuyLG_250322")</f>
        <v>https://patadovietnam.edu.vn/khoa-hoc-giao-tiep/?utm_source=Facebook&amp;utm_medium=MES&amp;utm_term=NEW_Singapore_1845_none_250322&amp;utm_content=saletructiep_Singapore.Anhthongbao.1845.Giaotiep_TATTP_LD068&amp;utm_campaign=Singapore.Giaotiep.Anhthongbao_XuBen.5018_MES_HuyLG_250322</v>
      </c>
      <c r="U129" s="118"/>
    </row>
    <row r="130">
      <c r="A130" s="72">
        <v>44645.0</v>
      </c>
      <c r="B130" s="156" t="s">
        <v>777</v>
      </c>
      <c r="C130" s="67" t="str">
        <f>IFERROR(__xludf.DUMMYFUNCTION("""COMPUTED_VALUE"""),"LD068")</f>
        <v>LD068</v>
      </c>
      <c r="D130" s="55" t="s">
        <v>42</v>
      </c>
      <c r="E130" s="87" t="s">
        <v>69</v>
      </c>
      <c r="F130" s="55" t="s">
        <v>274</v>
      </c>
      <c r="G130" s="55">
        <v>1845.0</v>
      </c>
      <c r="H130" s="143" t="s">
        <v>1131</v>
      </c>
      <c r="I130" s="55" t="s">
        <v>3089</v>
      </c>
      <c r="J130" s="55" t="s">
        <v>3090</v>
      </c>
      <c r="K130" s="143" t="s">
        <v>61</v>
      </c>
      <c r="L130" s="143" t="s">
        <v>317</v>
      </c>
      <c r="M130" s="55" t="s">
        <v>78</v>
      </c>
      <c r="N130" s="87" t="s">
        <v>69</v>
      </c>
      <c r="O130" s="55" t="s">
        <v>910</v>
      </c>
      <c r="P130" s="143" t="s">
        <v>110</v>
      </c>
      <c r="Q130" s="67" t="str">
        <f>IFERROR(__xludf.DUMMYFUNCTION("""COMPUTED_VALUE"""),"UnitedKingdom.Giaotiep.Anhthongbao_XuBen.5018_CVS_HuyLG_250322")</f>
        <v>UnitedKingdom.Giaotiep.Anhthongbao_XuBen.5018_CVS_HuyLG_250322</v>
      </c>
      <c r="R130" s="67" t="str">
        <f>IFERROR(__xludf.DUMMYFUNCTION("""COMPUTED_VALUE"""),"NEW_UnitedKingdom_1845_none_250322")</f>
        <v>NEW_UnitedKingdom_1845_none_250322</v>
      </c>
      <c r="S130" s="67" t="str">
        <f>IFERROR(__xludf.DUMMYFUNCTION("""COMPUTED_VALUE"""),"saletructiep_UnitedKingdom.Anhthongbao.1845.Giaotiep_TATTP_LD068")</f>
        <v>saletructiep_UnitedKingdom.Anhthongbao.1845.Giaotiep_TATTP_LD068</v>
      </c>
      <c r="T130" s="107" t="str">
        <f>IFERROR(__xludf.DUMMYFUNCTION("""COMPUTED_VALUE"""),"https://patadovietnam.edu.vn/khoa-hoc-giao-tiep/?utm_source=Facebook&amp;utm_medium=CVS&amp;utm_term=NEW_UnitedKingdom_1845_none_250322&amp;utm_content=saletructiep_UnitedKingdom.Anhthongbao.1845.Giaotiep_TATTP_LD068&amp;utm_campaign=UnitedKingdom.Giaotiep.Anhthongbao_Xu"&amp;"Ben.5018_CVS_HuyLG_250322")</f>
        <v>https://patadovietnam.edu.vn/khoa-hoc-giao-tiep/?utm_source=Facebook&amp;utm_medium=CVS&amp;utm_term=NEW_UnitedKingdom_1845_none_250322&amp;utm_content=saletructiep_UnitedKingdom.Anhthongbao.1845.Giaotiep_TATTP_LD068&amp;utm_campaign=UnitedKingdom.Giaotiep.Anhthongbao_XuBen.5018_CVS_HuyLG_250322</v>
      </c>
      <c r="U130" s="118"/>
    </row>
    <row r="131">
      <c r="A131" s="72">
        <v>44645.0</v>
      </c>
      <c r="B131" s="156" t="s">
        <v>777</v>
      </c>
      <c r="C131" s="67" t="str">
        <f>IFERROR(__xludf.DUMMYFUNCTION("""COMPUTED_VALUE"""),"LD068")</f>
        <v>LD068</v>
      </c>
      <c r="D131" s="55" t="s">
        <v>42</v>
      </c>
      <c r="E131" s="87" t="s">
        <v>69</v>
      </c>
      <c r="F131" s="55" t="s">
        <v>133</v>
      </c>
      <c r="G131" s="55">
        <v>1845.0</v>
      </c>
      <c r="H131" s="55" t="s">
        <v>1131</v>
      </c>
      <c r="I131" s="55" t="s">
        <v>3176</v>
      </c>
      <c r="J131" s="55" t="s">
        <v>3177</v>
      </c>
      <c r="K131" s="143" t="s">
        <v>61</v>
      </c>
      <c r="L131" s="143" t="s">
        <v>317</v>
      </c>
      <c r="M131" s="55" t="s">
        <v>78</v>
      </c>
      <c r="N131" s="87" t="s">
        <v>69</v>
      </c>
      <c r="O131" s="55" t="s">
        <v>910</v>
      </c>
      <c r="P131" s="143" t="s">
        <v>110</v>
      </c>
      <c r="Q131" s="67" t="str">
        <f>IFERROR(__xludf.DUMMYFUNCTION("""COMPUTED_VALUE"""),"Japan.Giaotiep.Anhthongbao_XuBen.5018_CVS_HuyLG_250322")</f>
        <v>Japan.Giaotiep.Anhthongbao_XuBen.5018_CVS_HuyLG_250322</v>
      </c>
      <c r="R131" s="67" t="str">
        <f>IFERROR(__xludf.DUMMYFUNCTION("""COMPUTED_VALUE"""),"NEW_Japan_1845_none_250322")</f>
        <v>NEW_Japan_1845_none_250322</v>
      </c>
      <c r="S131" s="67" t="str">
        <f>IFERROR(__xludf.DUMMYFUNCTION("""COMPUTED_VALUE"""),"saletructiep_Japan.Anhthongbao.1845.Giaotiep_TATTP_LD068")</f>
        <v>saletructiep_Japan.Anhthongbao.1845.Giaotiep_TATTP_LD068</v>
      </c>
      <c r="T131" s="107" t="str">
        <f>IFERROR(__xludf.DUMMYFUNCTION("""COMPUTED_VALUE"""),"https://patadovietnam.edu.vn/khoa-hoc-giao-tiep/?utm_source=Facebook&amp;utm_medium=CVS&amp;utm_term=NEW_Japan_1845_none_250322&amp;utm_content=saletructiep_Japan.Anhthongbao.1845.Giaotiep_TATTP_LD068&amp;utm_campaign=Japan.Giaotiep.Anhthongbao_XuBen.5018_CVS_HuyLG_25032"&amp;"2")</f>
        <v>https://patadovietnam.edu.vn/khoa-hoc-giao-tiep/?utm_source=Facebook&amp;utm_medium=CVS&amp;utm_term=NEW_Japan_1845_none_250322&amp;utm_content=saletructiep_Japan.Anhthongbao.1845.Giaotiep_TATTP_LD068&amp;utm_campaign=Japan.Giaotiep.Anhthongbao_XuBen.5018_CVS_HuyLG_250322</v>
      </c>
      <c r="U131" s="118"/>
    </row>
    <row r="132">
      <c r="A132" s="72">
        <v>44645.0</v>
      </c>
      <c r="B132" s="156" t="s">
        <v>777</v>
      </c>
      <c r="C132" s="67" t="str">
        <f>IFERROR(__xludf.DUMMYFUNCTION("""COMPUTED_VALUE"""),"LD068")</f>
        <v>LD068</v>
      </c>
      <c r="D132" s="143" t="s">
        <v>42</v>
      </c>
      <c r="E132" s="143" t="s">
        <v>79</v>
      </c>
      <c r="F132" s="143" t="s">
        <v>107</v>
      </c>
      <c r="G132" s="87">
        <v>1845.0</v>
      </c>
      <c r="H132" s="143" t="s">
        <v>1131</v>
      </c>
      <c r="I132" s="87" t="s">
        <v>3081</v>
      </c>
      <c r="J132" s="87" t="s">
        <v>3180</v>
      </c>
      <c r="K132" s="143" t="s">
        <v>61</v>
      </c>
      <c r="L132" s="143" t="s">
        <v>317</v>
      </c>
      <c r="M132" s="55" t="s">
        <v>78</v>
      </c>
      <c r="N132" s="143" t="s">
        <v>79</v>
      </c>
      <c r="O132" s="55" t="s">
        <v>910</v>
      </c>
      <c r="P132" s="143" t="s">
        <v>110</v>
      </c>
      <c r="Q132" s="67" t="str">
        <f>IFERROR(__xludf.DUMMYFUNCTION("""COMPUTED_VALUE"""),"UnitedStates.Giaotiep.Anhthongbao_XuBen.5018_MES_HuyLG_250322")</f>
        <v>UnitedStates.Giaotiep.Anhthongbao_XuBen.5018_MES_HuyLG_250322</v>
      </c>
      <c r="R132" s="67" t="str">
        <f>IFERROR(__xludf.DUMMYFUNCTION("""COMPUTED_VALUE"""),"NEW_UnitedStates_1845_none_250322")</f>
        <v>NEW_UnitedStates_1845_none_250322</v>
      </c>
      <c r="S132" s="67" t="str">
        <f>IFERROR(__xludf.DUMMYFUNCTION("""COMPUTED_VALUE"""),"saletructiep_UnitedStates.Anhthongbao.1845.Giaotiep_TATTP_LD068")</f>
        <v>saletructiep_UnitedStates.Anhthongbao.1845.Giaotiep_TATTP_LD068</v>
      </c>
      <c r="T132" s="107" t="str">
        <f>IFERROR(__xludf.DUMMYFUNCTION("""COMPUTED_VALUE"""),"https://patadovietnam.edu.vn/khoa-hoc-giao-tiep/?utm_source=Facebook&amp;utm_medium=MES&amp;utm_term=NEW_UnitedStates_1845_none_250322&amp;utm_content=saletructiep_UnitedStates.Anhthongbao.1845.Giaotiep_TATTP_LD068&amp;utm_campaign=UnitedStates.Giaotiep.Anhthongbao_XuBen"&amp;".5018_MES_HuyLG_250322")</f>
        <v>https://patadovietnam.edu.vn/khoa-hoc-giao-tiep/?utm_source=Facebook&amp;utm_medium=MES&amp;utm_term=NEW_UnitedStates_1845_none_250322&amp;utm_content=saletructiep_UnitedStates.Anhthongbao.1845.Giaotiep_TATTP_LD068&amp;utm_campaign=UnitedStates.Giaotiep.Anhthongbao_XuBen.5018_MES_HuyLG_250322</v>
      </c>
      <c r="U132" s="118"/>
    </row>
    <row r="133">
      <c r="A133" s="72">
        <v>44645.0</v>
      </c>
      <c r="B133" s="61" t="s">
        <v>769</v>
      </c>
      <c r="C133" s="67" t="str">
        <f>IFERROR(__xludf.DUMMYFUNCTION("""COMPUTED_VALUE"""),"LD114")</f>
        <v>LD114</v>
      </c>
      <c r="D133" s="55" t="s">
        <v>42</v>
      </c>
      <c r="E133" s="143" t="s">
        <v>79</v>
      </c>
      <c r="F133" s="55" t="s">
        <v>199</v>
      </c>
      <c r="G133" s="55">
        <v>1840.0</v>
      </c>
      <c r="H133" s="143" t="s">
        <v>1131</v>
      </c>
      <c r="I133" s="55" t="s">
        <v>3184</v>
      </c>
      <c r="J133" s="55" t="s">
        <v>3185</v>
      </c>
      <c r="K133" s="55" t="s">
        <v>61</v>
      </c>
      <c r="L133" s="55" t="s">
        <v>317</v>
      </c>
      <c r="M133" s="55" t="s">
        <v>78</v>
      </c>
      <c r="N133" s="55" t="s">
        <v>79</v>
      </c>
      <c r="O133" s="55" t="s">
        <v>910</v>
      </c>
      <c r="P133" s="55" t="s">
        <v>110</v>
      </c>
      <c r="Q133" s="67" t="str">
        <f>IFERROR(__xludf.DUMMYFUNCTION("""COMPUTED_VALUE"""),"Vietnam.IELTS.Anhlotrinh_XuBen.5018_MES_HuyLG_250322")</f>
        <v>Vietnam.IELTS.Anhlotrinh_XuBen.5018_MES_HuyLG_250322</v>
      </c>
      <c r="R133" s="67" t="str">
        <f>IFERROR(__xludf.DUMMYFUNCTION("""COMPUTED_VALUE"""),"NEW_Vietnam_1840_none_250322")</f>
        <v>NEW_Vietnam_1840_none_250322</v>
      </c>
      <c r="S133" s="67" t="str">
        <f>IFERROR(__xludf.DUMMYFUNCTION("""COMPUTED_VALUE"""),"saletructiep_Vietnam.Anhlotrinh.1840.IELTS_TATTP_LD114")</f>
        <v>saletructiep_Vietnam.Anhlotrinh.1840.IELTS_TATTP_LD114</v>
      </c>
      <c r="T133" s="107" t="str">
        <f>IFERROR(__xludf.DUMMYFUNCTION("""COMPUTED_VALUE"""),"https://patadovietnam.edu.vn/ielts_cvs/?utm_source=Facebook&amp;utm_medium=MES&amp;utm_term=NEW_Vietnam_1840_none_250322&amp;utm_content=saletructiep_Vietnam.Anhlotrinh.1840.IELTS_TATTP_LD114&amp;utm_campaign=Vietnam.IELTS.Anhlotrinh_XuBen.5018_MES_HuyLG_250322")</f>
        <v>https://patadovietnam.edu.vn/ielts_cvs/?utm_source=Facebook&amp;utm_medium=MES&amp;utm_term=NEW_Vietnam_1840_none_250322&amp;utm_content=saletructiep_Vietnam.Anhlotrinh.1840.IELTS_TATTP_LD114&amp;utm_campaign=Vietnam.IELTS.Anhlotrinh_XuBen.5018_MES_HuyLG_250322</v>
      </c>
      <c r="U133" s="118"/>
    </row>
    <row r="134">
      <c r="A134" s="72">
        <v>44645.0</v>
      </c>
      <c r="B134" s="156" t="s">
        <v>777</v>
      </c>
      <c r="C134" s="67" t="str">
        <f>IFERROR(__xludf.DUMMYFUNCTION("""COMPUTED_VALUE"""),"LD068")</f>
        <v>LD068</v>
      </c>
      <c r="D134" s="55" t="s">
        <v>42</v>
      </c>
      <c r="E134" s="143" t="s">
        <v>79</v>
      </c>
      <c r="F134" s="55" t="s">
        <v>674</v>
      </c>
      <c r="G134" s="55">
        <v>1845.0</v>
      </c>
      <c r="H134" s="143" t="s">
        <v>1131</v>
      </c>
      <c r="I134" s="55" t="s">
        <v>3189</v>
      </c>
      <c r="J134" s="55" t="s">
        <v>3190</v>
      </c>
      <c r="K134" s="55" t="s">
        <v>61</v>
      </c>
      <c r="L134" s="55" t="s">
        <v>317</v>
      </c>
      <c r="M134" s="55" t="s">
        <v>78</v>
      </c>
      <c r="N134" s="55" t="s">
        <v>79</v>
      </c>
      <c r="O134" s="55" t="s">
        <v>910</v>
      </c>
      <c r="P134" s="55" t="s">
        <v>110</v>
      </c>
      <c r="Q134" s="67" t="str">
        <f>IFERROR(__xludf.DUMMYFUNCTION("""COMPUTED_VALUE"""),"Europe.Giaotiep.Videolophoc_XuBen.5018_MES_HuyLG_250322")</f>
        <v>Europe.Giaotiep.Videolophoc_XuBen.5018_MES_HuyLG_250322</v>
      </c>
      <c r="R134" s="67" t="str">
        <f>IFERROR(__xludf.DUMMYFUNCTION("""COMPUTED_VALUE"""),"NEW_Europe_1845_none_250322")</f>
        <v>NEW_Europe_1845_none_250322</v>
      </c>
      <c r="S134" s="67" t="str">
        <f>IFERROR(__xludf.DUMMYFUNCTION("""COMPUTED_VALUE"""),"saletructiep_Europe.Videolophoc.1845.Giaotiep_TATTP_LD068")</f>
        <v>saletructiep_Europe.Videolophoc.1845.Giaotiep_TATTP_LD068</v>
      </c>
      <c r="T134" s="107" t="str">
        <f>IFERROR(__xludf.DUMMYFUNCTION("""COMPUTED_VALUE"""),"https://patadovietnam.edu.vn/khoa-hoc-giao-tiep/?utm_source=Facebook&amp;utm_medium=MES&amp;utm_term=NEW_Europe_1845_none_250322&amp;utm_content=saletructiep_Europe.Videolophoc.1845.Giaotiep_TATTP_LD068&amp;utm_campaign=Europe.Giaotiep.Videolophoc_XuBen.5018_MES_HuyLG_25"&amp;"0322")</f>
        <v>https://patadovietnam.edu.vn/khoa-hoc-giao-tiep/?utm_source=Facebook&amp;utm_medium=MES&amp;utm_term=NEW_Europe_1845_none_250322&amp;utm_content=saletructiep_Europe.Videolophoc.1845.Giaotiep_TATTP_LD068&amp;utm_campaign=Europe.Giaotiep.Videolophoc_XuBen.5018_MES_HuyLG_250322</v>
      </c>
      <c r="U134" s="118"/>
    </row>
    <row r="135">
      <c r="A135" s="72">
        <v>44645.0</v>
      </c>
      <c r="B135" s="156" t="s">
        <v>777</v>
      </c>
      <c r="C135" s="67" t="str">
        <f>IFERROR(__xludf.DUMMYFUNCTION("""COMPUTED_VALUE"""),"LD068")</f>
        <v>LD068</v>
      </c>
      <c r="D135" s="55" t="s">
        <v>42</v>
      </c>
      <c r="E135" s="143" t="s">
        <v>79</v>
      </c>
      <c r="F135" s="55" t="s">
        <v>164</v>
      </c>
      <c r="G135" s="55">
        <v>1845.0</v>
      </c>
      <c r="H135" s="143" t="s">
        <v>1131</v>
      </c>
      <c r="I135" s="55" t="s">
        <v>3112</v>
      </c>
      <c r="J135" s="55" t="s">
        <v>3113</v>
      </c>
      <c r="K135" s="143" t="s">
        <v>61</v>
      </c>
      <c r="L135" s="143" t="s">
        <v>317</v>
      </c>
      <c r="M135" s="55" t="s">
        <v>78</v>
      </c>
      <c r="N135" s="143" t="s">
        <v>79</v>
      </c>
      <c r="O135" s="55" t="s">
        <v>910</v>
      </c>
      <c r="P135" s="143" t="s">
        <v>110</v>
      </c>
      <c r="Q135" s="67" t="str">
        <f>IFERROR(__xludf.DUMMYFUNCTION("""COMPUTED_VALUE"""),"Taiwan.Giaotiep.Anhlotrinh_XuBen.5018_MES_HuyLG_250322")</f>
        <v>Taiwan.Giaotiep.Anhlotrinh_XuBen.5018_MES_HuyLG_250322</v>
      </c>
      <c r="R135" s="67" t="str">
        <f>IFERROR(__xludf.DUMMYFUNCTION("""COMPUTED_VALUE"""),"NEW_Taiwan_1845_none_250322")</f>
        <v>NEW_Taiwan_1845_none_250322</v>
      </c>
      <c r="S135" s="67" t="str">
        <f>IFERROR(__xludf.DUMMYFUNCTION("""COMPUTED_VALUE"""),"saletructiep_Taiwan.Anhlotrinh.1845.Giaotiep_TATTP_LD068")</f>
        <v>saletructiep_Taiwan.Anhlotrinh.1845.Giaotiep_TATTP_LD068</v>
      </c>
      <c r="T135" s="107" t="str">
        <f>IFERROR(__xludf.DUMMYFUNCTION("""COMPUTED_VALUE"""),"https://patadovietnam.edu.vn/khoa-hoc-giao-tiep/?utm_source=Facebook&amp;utm_medium=MES&amp;utm_term=NEW_Taiwan_1845_none_250322&amp;utm_content=saletructiep_Taiwan.Anhlotrinh.1845.Giaotiep_TATTP_LD068&amp;utm_campaign=Taiwan.Giaotiep.Anhlotrinh_XuBen.5018_MES_HuyLG_2503"&amp;"22")</f>
        <v>https://patadovietnam.edu.vn/khoa-hoc-giao-tiep/?utm_source=Facebook&amp;utm_medium=MES&amp;utm_term=NEW_Taiwan_1845_none_250322&amp;utm_content=saletructiep_Taiwan.Anhlotrinh.1845.Giaotiep_TATTP_LD068&amp;utm_campaign=Taiwan.Giaotiep.Anhlotrinh_XuBen.5018_MES_HuyLG_250322</v>
      </c>
      <c r="U135" s="118"/>
    </row>
    <row r="136">
      <c r="A136" s="72">
        <v>44645.0</v>
      </c>
      <c r="B136" s="61" t="s">
        <v>769</v>
      </c>
      <c r="C136" s="67" t="str">
        <f>IFERROR(__xludf.DUMMYFUNCTION("""COMPUTED_VALUE"""),"LD114")</f>
        <v>LD114</v>
      </c>
      <c r="D136" s="55" t="s">
        <v>42</v>
      </c>
      <c r="E136" s="55" t="s">
        <v>79</v>
      </c>
      <c r="F136" s="55" t="s">
        <v>539</v>
      </c>
      <c r="G136" s="55">
        <v>1835.0</v>
      </c>
      <c r="H136" s="143" t="s">
        <v>1131</v>
      </c>
      <c r="I136" s="55" t="s">
        <v>3133</v>
      </c>
      <c r="J136" s="55" t="s">
        <v>3195</v>
      </c>
      <c r="K136" s="143" t="s">
        <v>61</v>
      </c>
      <c r="L136" s="143" t="s">
        <v>317</v>
      </c>
      <c r="M136" s="55" t="s">
        <v>2789</v>
      </c>
      <c r="N136" s="143" t="s">
        <v>79</v>
      </c>
      <c r="O136" s="55" t="s">
        <v>910</v>
      </c>
      <c r="P136" s="143" t="s">
        <v>110</v>
      </c>
      <c r="Q136" s="67" t="str">
        <f>IFERROR(__xludf.DUMMYFUNCTION("""COMPUTED_VALUE"""),"ALL.IELTS.VideoIELTS_XuBen.5018_MES_HuyLG_250322")</f>
        <v>ALL.IELTS.VideoIELTS_XuBen.5018_MES_HuyLG_250322</v>
      </c>
      <c r="R136" s="67" t="str">
        <f>IFERROR(__xludf.DUMMYFUNCTION("""COMPUTED_VALUE"""),"NEW_ALL_1835_none_250322")</f>
        <v>NEW_ALL_1835_none_250322</v>
      </c>
      <c r="S136" s="67" t="str">
        <f>IFERROR(__xludf.DUMMYFUNCTION("""COMPUTED_VALUE"""),"Storytelling_ALL.VideoIELTS.1835.IELTS_TATTP_LD114")</f>
        <v>Storytelling_ALL.VideoIELTS.1835.IELTS_TATTP_LD114</v>
      </c>
      <c r="T136" s="107" t="str">
        <f>IFERROR(__xludf.DUMMYFUNCTION("""COMPUTED_VALUE"""),"https://patadovietnam.edu.vn/ielts_cvs/?utm_source=Facebook&amp;utm_medium=MES&amp;utm_term=NEW_ALL_1835_none_250322&amp;utm_content=Storytelling_ALL.VideoIELTS.1835.IELTS_TATTP_LD114&amp;utm_campaign=ALL.IELTS.VideoIELTS_XuBen.5018_MES_HuyLG_250322")</f>
        <v>https://patadovietnam.edu.vn/ielts_cvs/?utm_source=Facebook&amp;utm_medium=MES&amp;utm_term=NEW_ALL_1835_none_250322&amp;utm_content=Storytelling_ALL.VideoIELTS.1835.IELTS_TATTP_LD114&amp;utm_campaign=ALL.IELTS.VideoIELTS_XuBen.5018_MES_HuyLG_250322</v>
      </c>
      <c r="U136" s="118"/>
    </row>
    <row r="137">
      <c r="A137" s="72">
        <v>44646.0</v>
      </c>
      <c r="B137" s="156" t="s">
        <v>777</v>
      </c>
      <c r="C137" s="67" t="str">
        <f>IFERROR(__xludf.DUMMYFUNCTION("""COMPUTED_VALUE"""),"LD068")</f>
        <v>LD068</v>
      </c>
      <c r="D137" s="55" t="s">
        <v>42</v>
      </c>
      <c r="E137" s="55" t="s">
        <v>79</v>
      </c>
      <c r="F137" s="55" t="s">
        <v>119</v>
      </c>
      <c r="G137" s="55">
        <v>1845.0</v>
      </c>
      <c r="H137" s="143" t="s">
        <v>1131</v>
      </c>
      <c r="I137" s="55" t="s">
        <v>3198</v>
      </c>
      <c r="J137" s="55" t="s">
        <v>3200</v>
      </c>
      <c r="K137" s="55" t="s">
        <v>61</v>
      </c>
      <c r="L137" s="55" t="s">
        <v>317</v>
      </c>
      <c r="M137" s="55" t="s">
        <v>78</v>
      </c>
      <c r="N137" s="55" t="s">
        <v>79</v>
      </c>
      <c r="O137" s="55" t="s">
        <v>910</v>
      </c>
      <c r="P137" s="55" t="s">
        <v>110</v>
      </c>
      <c r="Q137" s="67" t="str">
        <f>IFERROR(__xludf.DUMMYFUNCTION("""COMPUTED_VALUE"""),"NewZealand.Giaotiep.Anhlotrinh_XuBen.5018_MES_HuyLG_260322")</f>
        <v>NewZealand.Giaotiep.Anhlotrinh_XuBen.5018_MES_HuyLG_260322</v>
      </c>
      <c r="R137" s="67" t="str">
        <f>IFERROR(__xludf.DUMMYFUNCTION("""COMPUTED_VALUE"""),"NEW_NewZealand_1845_none_260322")</f>
        <v>NEW_NewZealand_1845_none_260322</v>
      </c>
      <c r="S137" s="67" t="str">
        <f>IFERROR(__xludf.DUMMYFUNCTION("""COMPUTED_VALUE"""),"saletructiep_NewZealand.Anhlotrinh.1845.Giaotiep_TATTP_LD068")</f>
        <v>saletructiep_NewZealand.Anhlotrinh.1845.Giaotiep_TATTP_LD068</v>
      </c>
      <c r="T137" s="107" t="str">
        <f>IFERROR(__xludf.DUMMYFUNCTION("""COMPUTED_VALUE"""),"https://patadovietnam.edu.vn/khoa-hoc-giao-tiep/?utm_source=Facebook&amp;utm_medium=MES&amp;utm_term=NEW_NewZealand_1845_none_260322&amp;utm_content=saletructiep_NewZealand.Anhlotrinh.1845.Giaotiep_TATTP_LD068&amp;utm_campaign=NewZealand.Giaotiep.Anhlotrinh_XuBen.5018_ME"&amp;"S_HuyLG_260322")</f>
        <v>https://patadovietnam.edu.vn/khoa-hoc-giao-tiep/?utm_source=Facebook&amp;utm_medium=MES&amp;utm_term=NEW_NewZealand_1845_none_260322&amp;utm_content=saletructiep_NewZealand.Anhlotrinh.1845.Giaotiep_TATTP_LD068&amp;utm_campaign=NewZealand.Giaotiep.Anhlotrinh_XuBen.5018_MES_HuyLG_260322</v>
      </c>
      <c r="U137" s="118"/>
    </row>
    <row r="138">
      <c r="A138" s="72">
        <v>44652.0</v>
      </c>
      <c r="B138" s="61" t="s">
        <v>769</v>
      </c>
      <c r="C138" s="67" t="str">
        <f>IFERROR(__xludf.DUMMYFUNCTION("""COMPUTED_VALUE"""),"LD114")</f>
        <v>LD114</v>
      </c>
      <c r="D138" s="55" t="s">
        <v>42</v>
      </c>
      <c r="E138" s="87" t="s">
        <v>69</v>
      </c>
      <c r="F138" s="55" t="s">
        <v>199</v>
      </c>
      <c r="G138" s="55">
        <v>1840.0</v>
      </c>
      <c r="H138" s="143" t="s">
        <v>1131</v>
      </c>
      <c r="I138" s="55" t="s">
        <v>3207</v>
      </c>
      <c r="J138" s="55" t="s">
        <v>3208</v>
      </c>
      <c r="K138" s="55" t="s">
        <v>61</v>
      </c>
      <c r="L138" s="55" t="s">
        <v>317</v>
      </c>
      <c r="M138" s="55" t="s">
        <v>78</v>
      </c>
      <c r="N138" s="87" t="s">
        <v>69</v>
      </c>
      <c r="O138" s="55" t="s">
        <v>910</v>
      </c>
      <c r="P138" s="55" t="s">
        <v>110</v>
      </c>
      <c r="Q138" s="67" t="str">
        <f>IFERROR(__xludf.DUMMYFUNCTION("""COMPUTED_VALUE"""),"Vietnam.IELTS.AnhIELTS_XuBen.5018_CVS_HuyLG_010422")</f>
        <v>Vietnam.IELTS.AnhIELTS_XuBen.5018_CVS_HuyLG_010422</v>
      </c>
      <c r="R138" s="67" t="str">
        <f>IFERROR(__xludf.DUMMYFUNCTION("""COMPUTED_VALUE"""),"NEW_Vietnam_1840_none_010422")</f>
        <v>NEW_Vietnam_1840_none_010422</v>
      </c>
      <c r="S138" s="67" t="str">
        <f>IFERROR(__xludf.DUMMYFUNCTION("""COMPUTED_VALUE"""),"saletructiep_Vietnam.AnhIELTS.1840.IELTS_TATTP_LD114")</f>
        <v>saletructiep_Vietnam.AnhIELTS.1840.IELTS_TATTP_LD114</v>
      </c>
      <c r="T138" s="107" t="str">
        <f>IFERROR(__xludf.DUMMYFUNCTION("""COMPUTED_VALUE"""),"https://patadovietnam.edu.vn/ielts_cvs/?utm_source=Facebook&amp;utm_medium=CVS&amp;utm_term=NEW_Vietnam_1840_none_010422&amp;utm_content=saletructiep_Vietnam.AnhIELTS.1840.IELTS_TATTP_LD114&amp;utm_campaign=Vietnam.IELTS.AnhIELTS_XuBen.5018_CVS_HuyLG_010422")</f>
        <v>https://patadovietnam.edu.vn/ielts_cvs/?utm_source=Facebook&amp;utm_medium=CVS&amp;utm_term=NEW_Vietnam_1840_none_010422&amp;utm_content=saletructiep_Vietnam.AnhIELTS.1840.IELTS_TATTP_LD114&amp;utm_campaign=Vietnam.IELTS.AnhIELTS_XuBen.5018_CVS_HuyLG_010422</v>
      </c>
      <c r="U138" s="118"/>
    </row>
    <row r="139">
      <c r="A139" s="72">
        <v>44652.0</v>
      </c>
      <c r="B139" s="156" t="s">
        <v>777</v>
      </c>
      <c r="C139" s="67" t="str">
        <f>IFERROR(__xludf.DUMMYFUNCTION("""COMPUTED_VALUE"""),"LD068")</f>
        <v>LD068</v>
      </c>
      <c r="D139" s="55" t="s">
        <v>42</v>
      </c>
      <c r="E139" s="55" t="s">
        <v>79</v>
      </c>
      <c r="F139" s="55" t="s">
        <v>303</v>
      </c>
      <c r="G139" s="55">
        <v>1845.0</v>
      </c>
      <c r="H139" s="143" t="s">
        <v>1131</v>
      </c>
      <c r="I139" s="55" t="s">
        <v>3212</v>
      </c>
      <c r="J139" s="55" t="s">
        <v>3213</v>
      </c>
      <c r="K139" s="55" t="s">
        <v>61</v>
      </c>
      <c r="L139" s="55" t="s">
        <v>317</v>
      </c>
      <c r="M139" s="55" t="s">
        <v>78</v>
      </c>
      <c r="N139" s="55" t="s">
        <v>79</v>
      </c>
      <c r="O139" s="55" t="s">
        <v>910</v>
      </c>
      <c r="P139" s="55" t="s">
        <v>110</v>
      </c>
      <c r="Q139" s="67" t="str">
        <f>IFERROR(__xludf.DUMMYFUNCTION("""COMPUTED_VALUE"""),"Cambodia.Giaotiep.Anhlotrinh_XuBen.5018_MES_HuyLG_010422")</f>
        <v>Cambodia.Giaotiep.Anhlotrinh_XuBen.5018_MES_HuyLG_010422</v>
      </c>
      <c r="R139" s="67" t="str">
        <f>IFERROR(__xludf.DUMMYFUNCTION("""COMPUTED_VALUE"""),"NEW_Cambodia_1845_none_010422")</f>
        <v>NEW_Cambodia_1845_none_010422</v>
      </c>
      <c r="S139" s="67" t="str">
        <f>IFERROR(__xludf.DUMMYFUNCTION("""COMPUTED_VALUE"""),"saletructiep_Cambodia.Anhlotrinh.1845.Giaotiep_TATTP_LD068")</f>
        <v>saletructiep_Cambodia.Anhlotrinh.1845.Giaotiep_TATTP_LD068</v>
      </c>
      <c r="T139" s="107" t="str">
        <f>IFERROR(__xludf.DUMMYFUNCTION("""COMPUTED_VALUE"""),"https://patadovietnam.edu.vn/khoa-hoc-giao-tiep/?utm_source=Facebook&amp;utm_medium=MES&amp;utm_term=NEW_Cambodia_1845_none_010422&amp;utm_content=saletructiep_Cambodia.Anhlotrinh.1845.Giaotiep_TATTP_LD068&amp;utm_campaign=Cambodia.Giaotiep.Anhlotrinh_XuBen.5018_MES_HuyL"&amp;"G_010422")</f>
        <v>https://patadovietnam.edu.vn/khoa-hoc-giao-tiep/?utm_source=Facebook&amp;utm_medium=MES&amp;utm_term=NEW_Cambodia_1845_none_010422&amp;utm_content=saletructiep_Cambodia.Anhlotrinh.1845.Giaotiep_TATTP_LD068&amp;utm_campaign=Cambodia.Giaotiep.Anhlotrinh_XuBen.5018_MES_HuyLG_010422</v>
      </c>
      <c r="U139" s="118"/>
    </row>
    <row r="140">
      <c r="A140" s="72">
        <v>44652.0</v>
      </c>
      <c r="B140" s="156" t="s">
        <v>777</v>
      </c>
      <c r="C140" s="67" t="str">
        <f>IFERROR(__xludf.DUMMYFUNCTION("""COMPUTED_VALUE"""),"LD068")</f>
        <v>LD068</v>
      </c>
      <c r="D140" s="55" t="s">
        <v>42</v>
      </c>
      <c r="E140" s="55" t="s">
        <v>79</v>
      </c>
      <c r="F140" s="55" t="s">
        <v>488</v>
      </c>
      <c r="G140" s="55">
        <v>2045.0</v>
      </c>
      <c r="H140" s="143" t="s">
        <v>1131</v>
      </c>
      <c r="I140" s="55" t="s">
        <v>3216</v>
      </c>
      <c r="J140" s="55" t="s">
        <v>3217</v>
      </c>
      <c r="K140" s="55" t="s">
        <v>61</v>
      </c>
      <c r="L140" s="55" t="s">
        <v>317</v>
      </c>
      <c r="M140" s="55" t="s">
        <v>78</v>
      </c>
      <c r="N140" s="55" t="s">
        <v>79</v>
      </c>
      <c r="O140" s="55" t="s">
        <v>910</v>
      </c>
      <c r="P140" s="55" t="s">
        <v>110</v>
      </c>
      <c r="Q140" s="67" t="str">
        <f>IFERROR(__xludf.DUMMYFUNCTION("""COMPUTED_VALUE"""),"Thailand.Giaotiep.Anhlotrinh_XuBen.5018_MES_HuyLG_010422")</f>
        <v>Thailand.Giaotiep.Anhlotrinh_XuBen.5018_MES_HuyLG_010422</v>
      </c>
      <c r="R140" s="67" t="str">
        <f>IFERROR(__xludf.DUMMYFUNCTION("""COMPUTED_VALUE"""),"NEW_Thailand_2045_none_010422")</f>
        <v>NEW_Thailand_2045_none_010422</v>
      </c>
      <c r="S140" s="67" t="str">
        <f>IFERROR(__xludf.DUMMYFUNCTION("""COMPUTED_VALUE"""),"saletructiep_Thailand.Anhlotrinh.2045.Giaotiep_TATTP_LD068")</f>
        <v>saletructiep_Thailand.Anhlotrinh.2045.Giaotiep_TATTP_LD068</v>
      </c>
      <c r="T140" s="107" t="str">
        <f>IFERROR(__xludf.DUMMYFUNCTION("""COMPUTED_VALUE"""),"https://patadovietnam.edu.vn/khoa-hoc-giao-tiep/?utm_source=Facebook&amp;utm_medium=MES&amp;utm_term=NEW_Thailand_2045_none_010422&amp;utm_content=saletructiep_Thailand.Anhlotrinh.2045.Giaotiep_TATTP_LD068&amp;utm_campaign=Thailand.Giaotiep.Anhlotrinh_XuBen.5018_MES_HuyL"&amp;"G_010422")</f>
        <v>https://patadovietnam.edu.vn/khoa-hoc-giao-tiep/?utm_source=Facebook&amp;utm_medium=MES&amp;utm_term=NEW_Thailand_2045_none_010422&amp;utm_content=saletructiep_Thailand.Anhlotrinh.2045.Giaotiep_TATTP_LD068&amp;utm_campaign=Thailand.Giaotiep.Anhlotrinh_XuBen.5018_MES_HuyLG_010422</v>
      </c>
      <c r="U140" s="118"/>
    </row>
    <row r="141">
      <c r="A141" s="72">
        <v>44652.0</v>
      </c>
      <c r="B141" s="156" t="s">
        <v>777</v>
      </c>
      <c r="C141" s="67" t="str">
        <f>IFERROR(__xludf.DUMMYFUNCTION("""COMPUTED_VALUE"""),"LD068")</f>
        <v>LD068</v>
      </c>
      <c r="D141" s="143" t="s">
        <v>42</v>
      </c>
      <c r="E141" s="87" t="s">
        <v>69</v>
      </c>
      <c r="F141" s="143" t="s">
        <v>107</v>
      </c>
      <c r="G141" s="87">
        <v>1845.0</v>
      </c>
      <c r="H141" s="143" t="s">
        <v>1131</v>
      </c>
      <c r="I141" s="87" t="s">
        <v>3221</v>
      </c>
      <c r="J141" s="87" t="s">
        <v>3222</v>
      </c>
      <c r="K141" s="55" t="s">
        <v>61</v>
      </c>
      <c r="L141" s="55" t="s">
        <v>317</v>
      </c>
      <c r="M141" s="55" t="s">
        <v>78</v>
      </c>
      <c r="N141" s="87" t="s">
        <v>69</v>
      </c>
      <c r="O141" s="55" t="s">
        <v>910</v>
      </c>
      <c r="P141" s="55" t="s">
        <v>110</v>
      </c>
      <c r="Q141" s="67" t="str">
        <f>IFERROR(__xludf.DUMMYFUNCTION("""COMPUTED_VALUE"""),"UnitedStates.Giaotiep.Videolophoc_XuBen.5018_CVS_HuyLG_010422")</f>
        <v>UnitedStates.Giaotiep.Videolophoc_XuBen.5018_CVS_HuyLG_010422</v>
      </c>
      <c r="R141" s="67" t="str">
        <f>IFERROR(__xludf.DUMMYFUNCTION("""COMPUTED_VALUE"""),"NEW_UnitedStates_1845_none_010422")</f>
        <v>NEW_UnitedStates_1845_none_010422</v>
      </c>
      <c r="S141" s="67" t="str">
        <f>IFERROR(__xludf.DUMMYFUNCTION("""COMPUTED_VALUE"""),"saletructiep_UnitedStates.Videolophoc.1845.Giaotiep_TATTP_LD068")</f>
        <v>saletructiep_UnitedStates.Videolophoc.1845.Giaotiep_TATTP_LD068</v>
      </c>
      <c r="T141" s="107" t="str">
        <f>IFERROR(__xludf.DUMMYFUNCTION("""COMPUTED_VALUE"""),"https://patadovietnam.edu.vn/khoa-hoc-giao-tiep/?utm_source=Facebook&amp;utm_medium=CVS&amp;utm_term=NEW_UnitedStates_1845_none_010422&amp;utm_content=saletructiep_UnitedStates.Videolophoc.1845.Giaotiep_TATTP_LD068&amp;utm_campaign=UnitedStates.Giaotiep.Videolophoc_XuBen"&amp;".5018_CVS_HuyLG_010422")</f>
        <v>https://patadovietnam.edu.vn/khoa-hoc-giao-tiep/?utm_source=Facebook&amp;utm_medium=CVS&amp;utm_term=NEW_UnitedStates_1845_none_010422&amp;utm_content=saletructiep_UnitedStates.Videolophoc.1845.Giaotiep_TATTP_LD068&amp;utm_campaign=UnitedStates.Giaotiep.Videolophoc_XuBen.5018_CVS_HuyLG_010422</v>
      </c>
      <c r="U141" s="118"/>
    </row>
    <row r="142">
      <c r="A142" s="72">
        <v>44655.0</v>
      </c>
      <c r="B142" s="156" t="s">
        <v>777</v>
      </c>
      <c r="C142" s="67" t="str">
        <f>IFERROR(__xludf.DUMMYFUNCTION("""COMPUTED_VALUE"""),"LD068")</f>
        <v>LD068</v>
      </c>
      <c r="D142" s="55" t="s">
        <v>42</v>
      </c>
      <c r="E142" s="143" t="s">
        <v>79</v>
      </c>
      <c r="F142" s="55" t="s">
        <v>614</v>
      </c>
      <c r="G142" s="55">
        <v>1845.0</v>
      </c>
      <c r="H142" s="143" t="s">
        <v>1131</v>
      </c>
      <c r="I142" s="55" t="s">
        <v>3227</v>
      </c>
      <c r="J142" s="55" t="s">
        <v>3228</v>
      </c>
      <c r="K142" s="55" t="s">
        <v>61</v>
      </c>
      <c r="L142" s="55" t="s">
        <v>317</v>
      </c>
      <c r="M142" s="55" t="s">
        <v>78</v>
      </c>
      <c r="N142" s="55" t="s">
        <v>79</v>
      </c>
      <c r="O142" s="55" t="s">
        <v>910</v>
      </c>
      <c r="P142" s="55" t="s">
        <v>110</v>
      </c>
      <c r="Q142" s="67" t="str">
        <f>IFERROR(__xludf.DUMMYFUNCTION("""COMPUTED_VALUE"""),"Korea.Giaotiep.Videolophoc_XuBen.5018_MES_HuyLG_040422")</f>
        <v>Korea.Giaotiep.Videolophoc_XuBen.5018_MES_HuyLG_040422</v>
      </c>
      <c r="R142" s="67" t="str">
        <f>IFERROR(__xludf.DUMMYFUNCTION("""COMPUTED_VALUE"""),"NEW_Korea_1845_none_040422")</f>
        <v>NEW_Korea_1845_none_040422</v>
      </c>
      <c r="S142" s="67" t="str">
        <f>IFERROR(__xludf.DUMMYFUNCTION("""COMPUTED_VALUE"""),"saletructiep_Korea.Videolophoc.1845.Giaotiep_TATTP_LD068")</f>
        <v>saletructiep_Korea.Videolophoc.1845.Giaotiep_TATTP_LD068</v>
      </c>
      <c r="T142" s="107" t="str">
        <f>IFERROR(__xludf.DUMMYFUNCTION("""COMPUTED_VALUE"""),"https://patadovietnam.edu.vn/khoa-hoc-giao-tiep/?utm_source=Facebook&amp;utm_medium=MES&amp;utm_term=NEW_Korea_1845_none_040422&amp;utm_content=saletructiep_Korea.Videolophoc.1845.Giaotiep_TATTP_LD068&amp;utm_campaign=Korea.Giaotiep.Videolophoc_XuBen.5018_MES_HuyLG_04042"&amp;"2")</f>
        <v>https://patadovietnam.edu.vn/khoa-hoc-giao-tiep/?utm_source=Facebook&amp;utm_medium=MES&amp;utm_term=NEW_Korea_1845_none_040422&amp;utm_content=saletructiep_Korea.Videolophoc.1845.Giaotiep_TATTP_LD068&amp;utm_campaign=Korea.Giaotiep.Videolophoc_XuBen.5018_MES_HuyLG_040422</v>
      </c>
      <c r="U142" s="118"/>
    </row>
    <row r="143">
      <c r="A143" s="72">
        <v>44655.0</v>
      </c>
      <c r="B143" s="61" t="s">
        <v>769</v>
      </c>
      <c r="C143" s="67" t="str">
        <f>IFERROR(__xludf.DUMMYFUNCTION("""COMPUTED_VALUE"""),"LD114")</f>
        <v>LD114</v>
      </c>
      <c r="D143" s="55" t="s">
        <v>42</v>
      </c>
      <c r="E143" s="87" t="s">
        <v>69</v>
      </c>
      <c r="F143" s="55" t="s">
        <v>539</v>
      </c>
      <c r="G143" s="55">
        <v>1835.0</v>
      </c>
      <c r="H143" s="143" t="s">
        <v>1131</v>
      </c>
      <c r="I143" s="55" t="s">
        <v>3231</v>
      </c>
      <c r="J143" s="55" t="s">
        <v>3232</v>
      </c>
      <c r="K143" s="143" t="s">
        <v>61</v>
      </c>
      <c r="L143" s="143" t="s">
        <v>317</v>
      </c>
      <c r="M143" s="55" t="s">
        <v>78</v>
      </c>
      <c r="N143" s="87" t="s">
        <v>69</v>
      </c>
      <c r="O143" s="55" t="s">
        <v>910</v>
      </c>
      <c r="P143" s="143" t="s">
        <v>110</v>
      </c>
      <c r="Q143" s="67" t="str">
        <f>IFERROR(__xludf.DUMMYFUNCTION("""COMPUTED_VALUE"""),"ALL.IELTS.Anhlotrinh_XuBen.5018_CVS_HuyLG_040422")</f>
        <v>ALL.IELTS.Anhlotrinh_XuBen.5018_CVS_HuyLG_040422</v>
      </c>
      <c r="R143" s="67" t="str">
        <f>IFERROR(__xludf.DUMMYFUNCTION("""COMPUTED_VALUE"""),"NEW_ALL_1835_none_040422")</f>
        <v>NEW_ALL_1835_none_040422</v>
      </c>
      <c r="S143" s="67" t="str">
        <f>IFERROR(__xludf.DUMMYFUNCTION("""COMPUTED_VALUE"""),"saletructiep_ALL.Anhlotrinh.1835.IELTS_TATTP_LD114")</f>
        <v>saletructiep_ALL.Anhlotrinh.1835.IELTS_TATTP_LD114</v>
      </c>
      <c r="T143" s="107" t="str">
        <f>IFERROR(__xludf.DUMMYFUNCTION("""COMPUTED_VALUE"""),"https://patadovietnam.edu.vn/ielts_cvs/?utm_source=Facebook&amp;utm_medium=CVS&amp;utm_term=NEW_ALL_1835_none_040422&amp;utm_content=saletructiep_ALL.Anhlotrinh.1835.IELTS_TATTP_LD114&amp;utm_campaign=ALL.IELTS.Anhlotrinh_XuBen.5018_CVS_HuyLG_040422")</f>
        <v>https://patadovietnam.edu.vn/ielts_cvs/?utm_source=Facebook&amp;utm_medium=CVS&amp;utm_term=NEW_ALL_1835_none_040422&amp;utm_content=saletructiep_ALL.Anhlotrinh.1835.IELTS_TATTP_LD114&amp;utm_campaign=ALL.IELTS.Anhlotrinh_XuBen.5018_CVS_HuyLG_040422</v>
      </c>
      <c r="U143" s="118"/>
    </row>
    <row r="144">
      <c r="A144" s="72">
        <v>44656.0</v>
      </c>
      <c r="B144" s="156" t="s">
        <v>777</v>
      </c>
      <c r="C144" s="67" t="str">
        <f>IFERROR(__xludf.DUMMYFUNCTION("""COMPUTED_VALUE"""),"LD068")</f>
        <v>LD068</v>
      </c>
      <c r="D144" s="55" t="s">
        <v>42</v>
      </c>
      <c r="E144" s="143" t="s">
        <v>79</v>
      </c>
      <c r="F144" s="55" t="s">
        <v>182</v>
      </c>
      <c r="G144" s="55">
        <v>1845.0</v>
      </c>
      <c r="H144" s="143" t="s">
        <v>1131</v>
      </c>
      <c r="I144" s="55" t="s">
        <v>3107</v>
      </c>
      <c r="J144" s="55" t="s">
        <v>3108</v>
      </c>
      <c r="K144" s="55" t="s">
        <v>61</v>
      </c>
      <c r="L144" s="55" t="s">
        <v>317</v>
      </c>
      <c r="M144" s="55" t="s">
        <v>78</v>
      </c>
      <c r="N144" s="55" t="s">
        <v>79</v>
      </c>
      <c r="O144" s="55" t="s">
        <v>910</v>
      </c>
      <c r="P144" s="55" t="s">
        <v>110</v>
      </c>
      <c r="Q144" s="67" t="str">
        <f>IFERROR(__xludf.DUMMYFUNCTION("""COMPUTED_VALUE"""),"Malaysia.Giaotiep.Anhlotrinh_XuBen.5018_MES_HuyLG_050422")</f>
        <v>Malaysia.Giaotiep.Anhlotrinh_XuBen.5018_MES_HuyLG_050422</v>
      </c>
      <c r="R144" s="67" t="str">
        <f>IFERROR(__xludf.DUMMYFUNCTION("""COMPUTED_VALUE"""),"NEW_Malaysia_1845_none_050422")</f>
        <v>NEW_Malaysia_1845_none_050422</v>
      </c>
      <c r="S144" s="67" t="str">
        <f>IFERROR(__xludf.DUMMYFUNCTION("""COMPUTED_VALUE"""),"saletructiep_Malaysia.Anhlotrinh.1845.Giaotiep_TATTP_LD068")</f>
        <v>saletructiep_Malaysia.Anhlotrinh.1845.Giaotiep_TATTP_LD068</v>
      </c>
      <c r="T144" s="107" t="str">
        <f>IFERROR(__xludf.DUMMYFUNCTION("""COMPUTED_VALUE"""),"https://patadovietnam.edu.vn/khoa-hoc-giao-tiep/?utm_source=Facebook&amp;utm_medium=MES&amp;utm_term=NEW_Malaysia_1845_none_050422&amp;utm_content=saletructiep_Malaysia.Anhlotrinh.1845.Giaotiep_TATTP_LD068&amp;utm_campaign=Malaysia.Giaotiep.Anhlotrinh_XuBen.5018_MES_HuyL"&amp;"G_050422")</f>
        <v>https://patadovietnam.edu.vn/khoa-hoc-giao-tiep/?utm_source=Facebook&amp;utm_medium=MES&amp;utm_term=NEW_Malaysia_1845_none_050422&amp;utm_content=saletructiep_Malaysia.Anhlotrinh.1845.Giaotiep_TATTP_LD068&amp;utm_campaign=Malaysia.Giaotiep.Anhlotrinh_XuBen.5018_MES_HuyLG_050422</v>
      </c>
      <c r="U144" s="118"/>
    </row>
    <row r="145">
      <c r="A145" s="72">
        <v>44656.0</v>
      </c>
      <c r="B145" s="156" t="s">
        <v>777</v>
      </c>
      <c r="C145" s="67" t="str">
        <f>IFERROR(__xludf.DUMMYFUNCTION("""COMPUTED_VALUE"""),"LD068")</f>
        <v>LD068</v>
      </c>
      <c r="D145" s="55" t="s">
        <v>42</v>
      </c>
      <c r="E145" s="143" t="s">
        <v>79</v>
      </c>
      <c r="F145" s="55" t="s">
        <v>608</v>
      </c>
      <c r="G145" s="55">
        <v>1845.0</v>
      </c>
      <c r="H145" s="143" t="s">
        <v>1131</v>
      </c>
      <c r="I145" s="55" t="s">
        <v>3237</v>
      </c>
      <c r="J145" s="55" t="s">
        <v>3238</v>
      </c>
      <c r="K145" s="55" t="s">
        <v>61</v>
      </c>
      <c r="L145" s="55" t="s">
        <v>317</v>
      </c>
      <c r="M145" s="55" t="s">
        <v>78</v>
      </c>
      <c r="N145" s="55" t="s">
        <v>79</v>
      </c>
      <c r="O145" s="55" t="s">
        <v>910</v>
      </c>
      <c r="P145" s="55" t="s">
        <v>110</v>
      </c>
      <c r="Q145" s="67" t="str">
        <f>IFERROR(__xludf.DUMMYFUNCTION("""COMPUTED_VALUE"""),"Macao.Giaotiep.Videolophoc_XuBen.5018_MES_HuyLG_050422")</f>
        <v>Macao.Giaotiep.Videolophoc_XuBen.5018_MES_HuyLG_050422</v>
      </c>
      <c r="R145" s="67" t="str">
        <f>IFERROR(__xludf.DUMMYFUNCTION("""COMPUTED_VALUE"""),"NEW_Macao_1845_none_050422")</f>
        <v>NEW_Macao_1845_none_050422</v>
      </c>
      <c r="S145" s="67" t="str">
        <f>IFERROR(__xludf.DUMMYFUNCTION("""COMPUTED_VALUE"""),"saletructiep_Macao.Videolophoc.1845.Giaotiep_TATTP_LD068")</f>
        <v>saletructiep_Macao.Videolophoc.1845.Giaotiep_TATTP_LD068</v>
      </c>
      <c r="T145" s="107" t="str">
        <f>IFERROR(__xludf.DUMMYFUNCTION("""COMPUTED_VALUE"""),"https://patadovietnam.edu.vn/khoa-hoc-giao-tiep/?utm_source=Facebook&amp;utm_medium=MES&amp;utm_term=NEW_Macao_1845_none_050422&amp;utm_content=saletructiep_Macao.Videolophoc.1845.Giaotiep_TATTP_LD068&amp;utm_campaign=Macao.Giaotiep.Videolophoc_XuBen.5018_MES_HuyLG_05042"&amp;"2")</f>
        <v>https://patadovietnam.edu.vn/khoa-hoc-giao-tiep/?utm_source=Facebook&amp;utm_medium=MES&amp;utm_term=NEW_Macao_1845_none_050422&amp;utm_content=saletructiep_Macao.Videolophoc.1845.Giaotiep_TATTP_LD068&amp;utm_campaign=Macao.Giaotiep.Videolophoc_XuBen.5018_MES_HuyLG_050422</v>
      </c>
      <c r="U145" s="118"/>
    </row>
    <row r="146">
      <c r="A146" s="72">
        <v>44657.0</v>
      </c>
      <c r="B146" s="61" t="s">
        <v>769</v>
      </c>
      <c r="C146" s="67" t="str">
        <f>IFERROR(__xludf.DUMMYFUNCTION("""COMPUTED_VALUE"""),"LD114")</f>
        <v>LD114</v>
      </c>
      <c r="D146" s="55" t="s">
        <v>42</v>
      </c>
      <c r="E146" s="143" t="s">
        <v>79</v>
      </c>
      <c r="F146" s="55" t="s">
        <v>539</v>
      </c>
      <c r="G146" s="55">
        <v>2035.0</v>
      </c>
      <c r="H146" s="143" t="s">
        <v>1131</v>
      </c>
      <c r="I146" s="55" t="s">
        <v>3133</v>
      </c>
      <c r="J146" s="55" t="s">
        <v>3241</v>
      </c>
      <c r="K146" s="143" t="s">
        <v>61</v>
      </c>
      <c r="L146" s="143" t="s">
        <v>317</v>
      </c>
      <c r="M146" s="55" t="s">
        <v>78</v>
      </c>
      <c r="N146" s="55" t="s">
        <v>79</v>
      </c>
      <c r="O146" s="55" t="s">
        <v>910</v>
      </c>
      <c r="P146" s="55" t="s">
        <v>110</v>
      </c>
      <c r="Q146" s="67" t="str">
        <f>IFERROR(__xludf.DUMMYFUNCTION("""COMPUTED_VALUE"""),"ALL.IELTS.VideoIELTS_XuBen.5018_MES_HuyLG_060422")</f>
        <v>ALL.IELTS.VideoIELTS_XuBen.5018_MES_HuyLG_060422</v>
      </c>
      <c r="R146" s="67" t="str">
        <f>IFERROR(__xludf.DUMMYFUNCTION("""COMPUTED_VALUE"""),"NEW_ALL_2035_none_060422")</f>
        <v>NEW_ALL_2035_none_060422</v>
      </c>
      <c r="S146" s="67" t="str">
        <f>IFERROR(__xludf.DUMMYFUNCTION("""COMPUTED_VALUE"""),"saletructiep_ALL.VideoIELTS.2035.IELTS_TATTP_LD114")</f>
        <v>saletructiep_ALL.VideoIELTS.2035.IELTS_TATTP_LD114</v>
      </c>
      <c r="T146" s="107" t="str">
        <f>IFERROR(__xludf.DUMMYFUNCTION("""COMPUTED_VALUE"""),"https://patadovietnam.edu.vn/ielts_cvs/?utm_source=Facebook&amp;utm_medium=MES&amp;utm_term=NEW_ALL_2035_none_060422&amp;utm_content=saletructiep_ALL.VideoIELTS.2035.IELTS_TATTP_LD114&amp;utm_campaign=ALL.IELTS.VideoIELTS_XuBen.5018_MES_HuyLG_060422")</f>
        <v>https://patadovietnam.edu.vn/ielts_cvs/?utm_source=Facebook&amp;utm_medium=MES&amp;utm_term=NEW_ALL_2035_none_060422&amp;utm_content=saletructiep_ALL.VideoIELTS.2035.IELTS_TATTP_LD114&amp;utm_campaign=ALL.IELTS.VideoIELTS_XuBen.5018_MES_HuyLG_060422</v>
      </c>
      <c r="U146" s="118"/>
    </row>
    <row r="147">
      <c r="A147" s="72">
        <v>44670.0</v>
      </c>
      <c r="B147" s="156" t="s">
        <v>777</v>
      </c>
      <c r="C147" s="67" t="str">
        <f>IFERROR(__xludf.DUMMYFUNCTION("""COMPUTED_VALUE"""),"LD068")</f>
        <v>LD068</v>
      </c>
      <c r="D147" s="143" t="s">
        <v>42</v>
      </c>
      <c r="E147" s="143" t="s">
        <v>79</v>
      </c>
      <c r="F147" s="143" t="s">
        <v>107</v>
      </c>
      <c r="G147" s="87">
        <v>1845.0</v>
      </c>
      <c r="H147" s="143" t="s">
        <v>1131</v>
      </c>
      <c r="I147" s="87" t="s">
        <v>3244</v>
      </c>
      <c r="J147" s="87" t="s">
        <v>3245</v>
      </c>
      <c r="K147" s="143" t="s">
        <v>61</v>
      </c>
      <c r="L147" s="143" t="s">
        <v>317</v>
      </c>
      <c r="M147" s="55" t="s">
        <v>78</v>
      </c>
      <c r="N147" s="143" t="s">
        <v>79</v>
      </c>
      <c r="O147" s="55" t="s">
        <v>910</v>
      </c>
      <c r="P147" s="143" t="s">
        <v>110</v>
      </c>
      <c r="Q147" s="67" t="str">
        <f>IFERROR(__xludf.DUMMYFUNCTION("""COMPUTED_VALUE"""),"UnitedStates.Giaotiep.VideoH4trungtam_XuBen.5018_MES_HuyLG_190422")</f>
        <v>UnitedStates.Giaotiep.VideoH4trungtam_XuBen.5018_MES_HuyLG_190422</v>
      </c>
      <c r="R147" s="67" t="str">
        <f>IFERROR(__xludf.DUMMYFUNCTION("""COMPUTED_VALUE"""),"NEW_UnitedStates_1845_none_190422")</f>
        <v>NEW_UnitedStates_1845_none_190422</v>
      </c>
      <c r="S147" s="67" t="str">
        <f>IFERROR(__xludf.DUMMYFUNCTION("""COMPUTED_VALUE"""),"saletructiep_UnitedStates.VideoH4trungtam.1845.Giaotiep_TATTP_LD068")</f>
        <v>saletructiep_UnitedStates.VideoH4trungtam.1845.Giaotiep_TATTP_LD068</v>
      </c>
      <c r="T147" s="107" t="str">
        <f>IFERROR(__xludf.DUMMYFUNCTION("""COMPUTED_VALUE"""),"https://patadovietnam.edu.vn/khoa-hoc-giao-tiep/?utm_source=Facebook&amp;utm_medium=MES&amp;utm_term=NEW_UnitedStates_1845_none_190422&amp;utm_content=saletructiep_UnitedStates.VideoH4trungtam.1845.Giaotiep_TATTP_LD068&amp;utm_campaign=UnitedStates.Giaotiep.VideoH4trungt"&amp;"am_XuBen.5018_MES_HuyLG_190422")</f>
        <v>https://patadovietnam.edu.vn/khoa-hoc-giao-tiep/?utm_source=Facebook&amp;utm_medium=MES&amp;utm_term=NEW_UnitedStates_1845_none_190422&amp;utm_content=saletructiep_UnitedStates.VideoH4trungtam.1845.Giaotiep_TATTP_LD068&amp;utm_campaign=UnitedStates.Giaotiep.VideoH4trungtam_XuBen.5018_MES_HuyLG_190422</v>
      </c>
      <c r="U147" s="118"/>
    </row>
    <row r="148">
      <c r="A148" s="72">
        <v>44660.0</v>
      </c>
      <c r="B148" s="156" t="s">
        <v>777</v>
      </c>
      <c r="C148" s="67" t="str">
        <f>IFERROR(__xludf.DUMMYFUNCTION("""COMPUTED_VALUE"""),"LD068")</f>
        <v>LD068</v>
      </c>
      <c r="D148" s="55" t="s">
        <v>42</v>
      </c>
      <c r="E148" s="143" t="s">
        <v>79</v>
      </c>
      <c r="F148" s="55" t="s">
        <v>182</v>
      </c>
      <c r="G148" s="55">
        <v>1840.0</v>
      </c>
      <c r="H148" s="143" t="s">
        <v>1131</v>
      </c>
      <c r="I148" s="55" t="s">
        <v>3249</v>
      </c>
      <c r="J148" s="55" t="s">
        <v>3250</v>
      </c>
      <c r="K148" s="55" t="s">
        <v>61</v>
      </c>
      <c r="L148" s="55" t="s">
        <v>317</v>
      </c>
      <c r="M148" s="55" t="s">
        <v>78</v>
      </c>
      <c r="N148" s="55" t="s">
        <v>79</v>
      </c>
      <c r="O148" s="55" t="s">
        <v>910</v>
      </c>
      <c r="P148" s="55" t="s">
        <v>110</v>
      </c>
      <c r="Q148" s="67" t="str">
        <f>IFERROR(__xludf.DUMMYFUNCTION("""COMPUTED_VALUE"""),"Malaysia.Giaotiep.VideoH4trungtam_XuBen.5018_MES_HuyLG_090422")</f>
        <v>Malaysia.Giaotiep.VideoH4trungtam_XuBen.5018_MES_HuyLG_090422</v>
      </c>
      <c r="R148" s="67" t="str">
        <f>IFERROR(__xludf.DUMMYFUNCTION("""COMPUTED_VALUE"""),"NEW_Malaysia_1840_none_090422")</f>
        <v>NEW_Malaysia_1840_none_090422</v>
      </c>
      <c r="S148" s="67" t="str">
        <f>IFERROR(__xludf.DUMMYFUNCTION("""COMPUTED_VALUE"""),"saletructiep_Malaysia.VideoH4trungtam.1840.Giaotiep_TATTP_LD068")</f>
        <v>saletructiep_Malaysia.VideoH4trungtam.1840.Giaotiep_TATTP_LD068</v>
      </c>
      <c r="T148" s="107" t="str">
        <f>IFERROR(__xludf.DUMMYFUNCTION("""COMPUTED_VALUE"""),"https://patadovietnam.edu.vn/khoa-hoc-giao-tiep/?utm_source=Facebook&amp;utm_medium=MES&amp;utm_term=NEW_Malaysia_1840_none_090422&amp;utm_content=saletructiep_Malaysia.VideoH4trungtam.1840.Giaotiep_TATTP_LD068&amp;utm_campaign=Malaysia.Giaotiep.VideoH4trungtam_XuBen.501"&amp;"8_MES_HuyLG_090422")</f>
        <v>https://patadovietnam.edu.vn/khoa-hoc-giao-tiep/?utm_source=Facebook&amp;utm_medium=MES&amp;utm_term=NEW_Malaysia_1840_none_090422&amp;utm_content=saletructiep_Malaysia.VideoH4trungtam.1840.Giaotiep_TATTP_LD068&amp;utm_campaign=Malaysia.Giaotiep.VideoH4trungtam_XuBen.5018_MES_HuyLG_090422</v>
      </c>
      <c r="U148" s="118"/>
    </row>
    <row r="149">
      <c r="A149" s="72">
        <v>44670.0</v>
      </c>
      <c r="B149" s="156" t="s">
        <v>777</v>
      </c>
      <c r="C149" s="67" t="str">
        <f>IFERROR(__xludf.DUMMYFUNCTION("""COMPUTED_VALUE"""),"LD068")</f>
        <v>LD068</v>
      </c>
      <c r="D149" s="55" t="s">
        <v>42</v>
      </c>
      <c r="E149" s="87" t="s">
        <v>69</v>
      </c>
      <c r="F149" s="55" t="s">
        <v>614</v>
      </c>
      <c r="G149" s="87">
        <v>1845.0</v>
      </c>
      <c r="H149" s="143" t="s">
        <v>1131</v>
      </c>
      <c r="I149" s="55" t="s">
        <v>3105</v>
      </c>
      <c r="J149" s="55" t="s">
        <v>3106</v>
      </c>
      <c r="K149" s="55" t="s">
        <v>61</v>
      </c>
      <c r="L149" s="55" t="s">
        <v>317</v>
      </c>
      <c r="M149" s="55" t="s">
        <v>78</v>
      </c>
      <c r="N149" s="55" t="s">
        <v>69</v>
      </c>
      <c r="O149" s="55" t="s">
        <v>910</v>
      </c>
      <c r="P149" s="55" t="s">
        <v>110</v>
      </c>
      <c r="Q149" s="67" t="str">
        <f>IFERROR(__xludf.DUMMYFUNCTION("""COMPUTED_VALUE"""),"Korea.Giaotiep.Anhthongbao_XuBen.5018_CVS_HuyLG_190422")</f>
        <v>Korea.Giaotiep.Anhthongbao_XuBen.5018_CVS_HuyLG_190422</v>
      </c>
      <c r="R149" s="67" t="str">
        <f>IFERROR(__xludf.DUMMYFUNCTION("""COMPUTED_VALUE"""),"NEW_Korea_1845_none_190422")</f>
        <v>NEW_Korea_1845_none_190422</v>
      </c>
      <c r="S149" s="67" t="str">
        <f>IFERROR(__xludf.DUMMYFUNCTION("""COMPUTED_VALUE"""),"saletructiep_Korea.Anhthongbao.1845.Giaotiep_TATTP_LD068")</f>
        <v>saletructiep_Korea.Anhthongbao.1845.Giaotiep_TATTP_LD068</v>
      </c>
      <c r="T149" s="107" t="str">
        <f>IFERROR(__xludf.DUMMYFUNCTION("""COMPUTED_VALUE"""),"https://patadovietnam.edu.vn/khoa-hoc-giao-tiep/?utm_source=Facebook&amp;utm_medium=CVS&amp;utm_term=NEW_Korea_1845_none_190422&amp;utm_content=saletructiep_Korea.Anhthongbao.1845.Giaotiep_TATTP_LD068&amp;utm_campaign=Korea.Giaotiep.Anhthongbao_XuBen.5018_CVS_HuyLG_19042"&amp;"2")</f>
        <v>https://patadovietnam.edu.vn/khoa-hoc-giao-tiep/?utm_source=Facebook&amp;utm_medium=CVS&amp;utm_term=NEW_Korea_1845_none_190422&amp;utm_content=saletructiep_Korea.Anhthongbao.1845.Giaotiep_TATTP_LD068&amp;utm_campaign=Korea.Giaotiep.Anhthongbao_XuBen.5018_CVS_HuyLG_190422</v>
      </c>
      <c r="U149" s="118"/>
    </row>
    <row r="150">
      <c r="A150" s="72">
        <v>44671.0</v>
      </c>
      <c r="B150" s="156" t="s">
        <v>777</v>
      </c>
      <c r="C150" s="67" t="str">
        <f>IFERROR(__xludf.DUMMYFUNCTION("""COMPUTED_VALUE"""),"LD068")</f>
        <v>LD068</v>
      </c>
      <c r="D150" s="55" t="s">
        <v>42</v>
      </c>
      <c r="E150" s="143" t="s">
        <v>79</v>
      </c>
      <c r="F150" s="55" t="s">
        <v>674</v>
      </c>
      <c r="G150" s="55">
        <v>1840.0</v>
      </c>
      <c r="H150" s="143" t="s">
        <v>1131</v>
      </c>
      <c r="I150" s="55" t="s">
        <v>3127</v>
      </c>
      <c r="J150" s="55" t="s">
        <v>3128</v>
      </c>
      <c r="K150" s="55" t="s">
        <v>61</v>
      </c>
      <c r="L150" s="55" t="s">
        <v>317</v>
      </c>
      <c r="M150" s="55" t="s">
        <v>78</v>
      </c>
      <c r="N150" s="55" t="s">
        <v>79</v>
      </c>
      <c r="O150" s="55" t="s">
        <v>910</v>
      </c>
      <c r="P150" s="55" t="s">
        <v>110</v>
      </c>
      <c r="Q150" s="67" t="str">
        <f>IFERROR(__xludf.DUMMYFUNCTION("""COMPUTED_VALUE"""),"Europe.Giaotiep.Anhthongbao_XuBen.5018_MES_HuyLG_200422")</f>
        <v>Europe.Giaotiep.Anhthongbao_XuBen.5018_MES_HuyLG_200422</v>
      </c>
      <c r="R150" s="67" t="str">
        <f>IFERROR(__xludf.DUMMYFUNCTION("""COMPUTED_VALUE"""),"NEW_Europe_1840_none_200422")</f>
        <v>NEW_Europe_1840_none_200422</v>
      </c>
      <c r="S150" s="67" t="str">
        <f>IFERROR(__xludf.DUMMYFUNCTION("""COMPUTED_VALUE"""),"saletructiep_Europe.Anhthongbao.1845.Giaotiep_TATTP_LD068")</f>
        <v>saletructiep_Europe.Anhthongbao.1845.Giaotiep_TATTP_LD068</v>
      </c>
      <c r="T150" s="107" t="str">
        <f>IFERROR(__xludf.DUMMYFUNCTION("""COMPUTED_VALUE"""),"https://patadovietnam.edu.vn/khoa-hoc-giao-tiep/?utm_source=Facebook&amp;utm_medium=MES&amp;utm_term=NEW_Europe_1840_none_200422&amp;utm_content=saletructiep_Europe.Anhthongbao.1845.Giaotiep_TATTP_LD068&amp;utm_campaign=Europe.Giaotiep.Anhthongbao_XuBen.5018_MES_HuyLG_20"&amp;"0422")</f>
        <v>https://patadovietnam.edu.vn/khoa-hoc-giao-tiep/?utm_source=Facebook&amp;utm_medium=MES&amp;utm_term=NEW_Europe_1840_none_200422&amp;utm_content=saletructiep_Europe.Anhthongbao.1845.Giaotiep_TATTP_LD068&amp;utm_campaign=Europe.Giaotiep.Anhthongbao_XuBen.5018_MES_HuyLG_200422</v>
      </c>
      <c r="U150" s="118"/>
    </row>
    <row r="151">
      <c r="A151" s="72">
        <v>44673.0</v>
      </c>
      <c r="B151" s="156" t="s">
        <v>777</v>
      </c>
      <c r="C151" s="67" t="str">
        <f>IFERROR(__xludf.DUMMYFUNCTION("""COMPUTED_VALUE"""),"LD068")</f>
        <v>LD068</v>
      </c>
      <c r="D151" s="55" t="s">
        <v>42</v>
      </c>
      <c r="E151" s="55" t="s">
        <v>79</v>
      </c>
      <c r="F151" s="55" t="s">
        <v>539</v>
      </c>
      <c r="G151" s="55">
        <v>1840.0</v>
      </c>
      <c r="H151" s="143" t="s">
        <v>1131</v>
      </c>
      <c r="I151" s="55" t="s">
        <v>3264</v>
      </c>
      <c r="J151" s="55" t="s">
        <v>3265</v>
      </c>
      <c r="K151" s="55" t="s">
        <v>61</v>
      </c>
      <c r="L151" s="55" t="s">
        <v>317</v>
      </c>
      <c r="M151" s="55" t="s">
        <v>78</v>
      </c>
      <c r="N151" s="55" t="s">
        <v>79</v>
      </c>
      <c r="O151" s="55" t="s">
        <v>910</v>
      </c>
      <c r="P151" s="55" t="s">
        <v>110</v>
      </c>
      <c r="Q151" s="67" t="str">
        <f>IFERROR(__xludf.DUMMYFUNCTION("""COMPUTED_VALUE"""),"ALL.Giaotiep.VideoH4trungtam_XuBen.5018_MES_HuyLG_220422")</f>
        <v>ALL.Giaotiep.VideoH4trungtam_XuBen.5018_MES_HuyLG_220422</v>
      </c>
      <c r="R151" s="67" t="str">
        <f>IFERROR(__xludf.DUMMYFUNCTION("""COMPUTED_VALUE"""),"NEW_ALL_1840_none_220422")</f>
        <v>NEW_ALL_1840_none_220422</v>
      </c>
      <c r="S151" s="67" t="str">
        <f>IFERROR(__xludf.DUMMYFUNCTION("""COMPUTED_VALUE"""),"saletructiep_ALL.VideoH4trungtam.1845.Giaotiep_TATTP_LD068")</f>
        <v>saletructiep_ALL.VideoH4trungtam.1845.Giaotiep_TATTP_LD068</v>
      </c>
      <c r="T151" s="107" t="str">
        <f>IFERROR(__xludf.DUMMYFUNCTION("""COMPUTED_VALUE"""),"https://patadovietnam.edu.vn/khoa-hoc-giao-tiep/?utm_source=Facebook&amp;utm_medium=MES&amp;utm_term=NEW_ALL_1840_none_220422&amp;utm_content=saletructiep_ALL.VideoH4trungtam.1845.Giaotiep_TATTP_LD068&amp;utm_campaign=ALL.Giaotiep.VideoH4trungtam_XuBen.5018_MES_HuyLG_220"&amp;"422")</f>
        <v>https://patadovietnam.edu.vn/khoa-hoc-giao-tiep/?utm_source=Facebook&amp;utm_medium=MES&amp;utm_term=NEW_ALL_1840_none_220422&amp;utm_content=saletructiep_ALL.VideoH4trungtam.1845.Giaotiep_TATTP_LD068&amp;utm_campaign=ALL.Giaotiep.VideoH4trungtam_XuBen.5018_MES_HuyLG_220422</v>
      </c>
      <c r="U151" s="118"/>
    </row>
    <row r="152">
      <c r="A152" s="72">
        <v>44685.0</v>
      </c>
      <c r="B152" s="61" t="s">
        <v>777</v>
      </c>
      <c r="C152" s="67" t="str">
        <f>IFERROR(__xludf.DUMMYFUNCTION("""COMPUTED_VALUE"""),"LD068")</f>
        <v>LD068</v>
      </c>
      <c r="D152" s="55" t="s">
        <v>42</v>
      </c>
      <c r="E152" s="87" t="s">
        <v>69</v>
      </c>
      <c r="F152" s="55" t="s">
        <v>133</v>
      </c>
      <c r="G152" s="55">
        <v>1845.0</v>
      </c>
      <c r="H152" s="55" t="s">
        <v>1131</v>
      </c>
      <c r="I152" s="55" t="s">
        <v>3176</v>
      </c>
      <c r="J152" s="55" t="s">
        <v>3177</v>
      </c>
      <c r="K152" s="143" t="s">
        <v>61</v>
      </c>
      <c r="L152" s="143" t="s">
        <v>317</v>
      </c>
      <c r="M152" s="55" t="s">
        <v>78</v>
      </c>
      <c r="N152" s="87" t="s">
        <v>69</v>
      </c>
      <c r="O152" s="55" t="s">
        <v>3271</v>
      </c>
      <c r="P152" s="143" t="s">
        <v>110</v>
      </c>
      <c r="Q152" s="67" t="str">
        <f>IFERROR(__xludf.DUMMYFUNCTION("""COMPUTED_VALUE"""),"Japan.Giaotiep.Anhthongbao_XuBen.5018_CVS_HuyLG_040522")</f>
        <v>Japan.Giaotiep.Anhthongbao_XuBen.5018_CVS_HuyLG_040522</v>
      </c>
      <c r="R152" s="67" t="str">
        <f>IFERROR(__xludf.DUMMYFUNCTION("""COMPUTED_VALUE"""),"NEW_Japan_1845_none_040522")</f>
        <v>NEW_Japan_1845_none_040522</v>
      </c>
      <c r="S152" s="67" t="str">
        <f>IFERROR(__xludf.DUMMYFUNCTION("""COMPUTED_VALUE"""),"saletructiep_Japan.Anhthongbao.1845.Giaotiep_PGPGTTA_LD068")</f>
        <v>saletructiep_Japan.Anhthongbao.1845.Giaotiep_PGPGTTA_LD068</v>
      </c>
      <c r="T152" s="107" t="str">
        <f>IFERROR(__xludf.DUMMYFUNCTION("""COMPUTED_VALUE"""),"https://patadovietnam.edu.vn/khoa-hoc-giao-tiep/?utm_source=Facebook&amp;utm_medium=CVS&amp;utm_term=NEW_Japan_1845_none_040522&amp;utm_content=saletructiep_Japan.Anhthongbao.1845.Giaotiep_PGPGTTA_LD068&amp;utm_campaign=Japan.Giaotiep.Anhthongbao_XuBen.5018_CVS_HuyLG_040"&amp;"522")</f>
        <v>https://patadovietnam.edu.vn/khoa-hoc-giao-tiep/?utm_source=Facebook&amp;utm_medium=CVS&amp;utm_term=NEW_Japan_1845_none_040522&amp;utm_content=saletructiep_Japan.Anhthongbao.1845.Giaotiep_PGPGTTA_LD068&amp;utm_campaign=Japan.Giaotiep.Anhthongbao_XuBen.5018_CVS_HuyLG_040522</v>
      </c>
      <c r="U152" s="118"/>
    </row>
    <row r="153">
      <c r="A153" s="72">
        <v>44685.0</v>
      </c>
      <c r="B153" s="61" t="s">
        <v>777</v>
      </c>
      <c r="C153" s="67" t="str">
        <f>IFERROR(__xludf.DUMMYFUNCTION("""COMPUTED_VALUE"""),"LD068")</f>
        <v>LD068</v>
      </c>
      <c r="D153" s="55" t="s">
        <v>42</v>
      </c>
      <c r="E153" s="143" t="s">
        <v>79</v>
      </c>
      <c r="F153" s="55" t="s">
        <v>129</v>
      </c>
      <c r="G153" s="55">
        <v>1845.0</v>
      </c>
      <c r="H153" s="143" t="s">
        <v>1131</v>
      </c>
      <c r="I153" s="55" t="s">
        <v>3122</v>
      </c>
      <c r="J153" s="55" t="s">
        <v>3123</v>
      </c>
      <c r="K153" s="143" t="s">
        <v>61</v>
      </c>
      <c r="L153" s="143" t="s">
        <v>317</v>
      </c>
      <c r="M153" s="55" t="s">
        <v>78</v>
      </c>
      <c r="N153" s="143" t="s">
        <v>79</v>
      </c>
      <c r="O153" s="55" t="s">
        <v>3271</v>
      </c>
      <c r="P153" s="143" t="s">
        <v>110</v>
      </c>
      <c r="Q153" s="67" t="str">
        <f>IFERROR(__xludf.DUMMYFUNCTION("""COMPUTED_VALUE"""),"Australia.Giaotiep.Anhthongbao_XuBen.5018_MES_HuyLG_040522")</f>
        <v>Australia.Giaotiep.Anhthongbao_XuBen.5018_MES_HuyLG_040522</v>
      </c>
      <c r="R153" s="67" t="str">
        <f>IFERROR(__xludf.DUMMYFUNCTION("""COMPUTED_VALUE"""),"NEW_Australia_1845_none_040522")</f>
        <v>NEW_Australia_1845_none_040522</v>
      </c>
      <c r="S153" s="67" t="str">
        <f>IFERROR(__xludf.DUMMYFUNCTION("""COMPUTED_VALUE"""),"saletructiep_Australia.Anhthongbao.1845.Giaotiep_PGPGTTA_LD068")</f>
        <v>saletructiep_Australia.Anhthongbao.1845.Giaotiep_PGPGTTA_LD068</v>
      </c>
      <c r="T153" s="107" t="str">
        <f>IFERROR(__xludf.DUMMYFUNCTION("""COMPUTED_VALUE"""),"https://patadovietnam.edu.vn/khoa-hoc-giao-tiep/?utm_source=Facebook&amp;utm_medium=MES&amp;utm_term=NEW_Australia_1845_none_040522&amp;utm_content=saletructiep_Australia.Anhthongbao.1845.Giaotiep_PGPGTTA_LD068&amp;utm_campaign=Australia.Giaotiep.Anhthongbao_XuBen.5018_M"&amp;"ES_HuyLG_040522")</f>
        <v>https://patadovietnam.edu.vn/khoa-hoc-giao-tiep/?utm_source=Facebook&amp;utm_medium=MES&amp;utm_term=NEW_Australia_1845_none_040522&amp;utm_content=saletructiep_Australia.Anhthongbao.1845.Giaotiep_PGPGTTA_LD068&amp;utm_campaign=Australia.Giaotiep.Anhthongbao_XuBen.5018_MES_HuyLG_040522</v>
      </c>
      <c r="U153" s="118"/>
    </row>
    <row r="154">
      <c r="A154" s="72">
        <v>44685.0</v>
      </c>
      <c r="B154" s="61" t="s">
        <v>777</v>
      </c>
      <c r="C154" s="67" t="str">
        <f>IFERROR(__xludf.DUMMYFUNCTION("""COMPUTED_VALUE"""),"LD068")</f>
        <v>LD068</v>
      </c>
      <c r="D154" s="55" t="s">
        <v>42</v>
      </c>
      <c r="E154" s="143" t="s">
        <v>79</v>
      </c>
      <c r="F154" s="55" t="s">
        <v>614</v>
      </c>
      <c r="G154" s="55">
        <v>1845.0</v>
      </c>
      <c r="H154" s="143" t="s">
        <v>1131</v>
      </c>
      <c r="I154" s="55" t="s">
        <v>3105</v>
      </c>
      <c r="J154" s="55" t="s">
        <v>3106</v>
      </c>
      <c r="K154" s="143" t="s">
        <v>61</v>
      </c>
      <c r="L154" s="143" t="s">
        <v>317</v>
      </c>
      <c r="M154" s="55" t="s">
        <v>78</v>
      </c>
      <c r="N154" s="143" t="s">
        <v>79</v>
      </c>
      <c r="O154" s="55" t="s">
        <v>3271</v>
      </c>
      <c r="P154" s="143" t="s">
        <v>110</v>
      </c>
      <c r="Q154" s="67" t="str">
        <f>IFERROR(__xludf.DUMMYFUNCTION("""COMPUTED_VALUE"""),"Korea.Giaotiep.Anhthongbao_XuBen.5018_MES_HuyLG_040522")</f>
        <v>Korea.Giaotiep.Anhthongbao_XuBen.5018_MES_HuyLG_040522</v>
      </c>
      <c r="R154" s="67" t="str">
        <f>IFERROR(__xludf.DUMMYFUNCTION("""COMPUTED_VALUE"""),"NEW_Korea_1845_none_040522")</f>
        <v>NEW_Korea_1845_none_040522</v>
      </c>
      <c r="S154" s="67" t="str">
        <f>IFERROR(__xludf.DUMMYFUNCTION("""COMPUTED_VALUE"""),"saletructiep_Korea.Anhthongbao.1845.Giaotiep_PGPGTTA_LD068")</f>
        <v>saletructiep_Korea.Anhthongbao.1845.Giaotiep_PGPGTTA_LD068</v>
      </c>
      <c r="T154" s="107" t="str">
        <f>IFERROR(__xludf.DUMMYFUNCTION("""COMPUTED_VALUE"""),"https://patadovietnam.edu.vn/khoa-hoc-giao-tiep/?utm_source=Facebook&amp;utm_medium=MES&amp;utm_term=NEW_Korea_1845_none_040522&amp;utm_content=saletructiep_Korea.Anhthongbao.1845.Giaotiep_PGPGTTA_LD068&amp;utm_campaign=Korea.Giaotiep.Anhthongbao_XuBen.5018_MES_HuyLG_040"&amp;"522")</f>
        <v>https://patadovietnam.edu.vn/khoa-hoc-giao-tiep/?utm_source=Facebook&amp;utm_medium=MES&amp;utm_term=NEW_Korea_1845_none_040522&amp;utm_content=saletructiep_Korea.Anhthongbao.1845.Giaotiep_PGPGTTA_LD068&amp;utm_campaign=Korea.Giaotiep.Anhthongbao_XuBen.5018_MES_HuyLG_040522</v>
      </c>
      <c r="U154" s="118"/>
    </row>
    <row r="155">
      <c r="A155" s="72">
        <v>44685.0</v>
      </c>
      <c r="B155" s="61" t="s">
        <v>777</v>
      </c>
      <c r="C155" s="67" t="str">
        <f>IFERROR(__xludf.DUMMYFUNCTION("""COMPUTED_VALUE"""),"LD068")</f>
        <v>LD068</v>
      </c>
      <c r="D155" s="143" t="s">
        <v>42</v>
      </c>
      <c r="E155" s="143" t="s">
        <v>79</v>
      </c>
      <c r="F155" s="143" t="s">
        <v>107</v>
      </c>
      <c r="G155" s="87">
        <v>1845.0</v>
      </c>
      <c r="H155" s="143" t="s">
        <v>1131</v>
      </c>
      <c r="I155" s="87" t="s">
        <v>3081</v>
      </c>
      <c r="J155" s="87" t="s">
        <v>3180</v>
      </c>
      <c r="K155" s="143" t="s">
        <v>61</v>
      </c>
      <c r="L155" s="143" t="s">
        <v>317</v>
      </c>
      <c r="M155" s="55" t="s">
        <v>78</v>
      </c>
      <c r="N155" s="143" t="s">
        <v>79</v>
      </c>
      <c r="O155" s="55" t="s">
        <v>3271</v>
      </c>
      <c r="P155" s="143" t="s">
        <v>110</v>
      </c>
      <c r="Q155" s="67" t="str">
        <f>IFERROR(__xludf.DUMMYFUNCTION("""COMPUTED_VALUE"""),"UnitedStates.Giaotiep.Anhthongbao_XuBen.5018_MES_HuyLG_040522")</f>
        <v>UnitedStates.Giaotiep.Anhthongbao_XuBen.5018_MES_HuyLG_040522</v>
      </c>
      <c r="R155" s="67" t="str">
        <f>IFERROR(__xludf.DUMMYFUNCTION("""COMPUTED_VALUE"""),"NEW_UnitedStates_1845_none_040522")</f>
        <v>NEW_UnitedStates_1845_none_040522</v>
      </c>
      <c r="S155" s="67" t="str">
        <f>IFERROR(__xludf.DUMMYFUNCTION("""COMPUTED_VALUE"""),"saletructiep_UnitedStates.Anhthongbao.1845.Giaotiep_PGPGTTA_LD068")</f>
        <v>saletructiep_UnitedStates.Anhthongbao.1845.Giaotiep_PGPGTTA_LD068</v>
      </c>
      <c r="T155" s="107" t="str">
        <f>IFERROR(__xludf.DUMMYFUNCTION("""COMPUTED_VALUE"""),"https://patadovietnam.edu.vn/khoa-hoc-giao-tiep/?utm_source=Facebook&amp;utm_medium=MES&amp;utm_term=NEW_UnitedStates_1845_none_040522&amp;utm_content=saletructiep_UnitedStates.Anhthongbao.1845.Giaotiep_PGPGTTA_LD068&amp;utm_campaign=UnitedStates.Giaotiep.Anhthongbao_XuB"&amp;"en.5018_MES_HuyLG_040522")</f>
        <v>https://patadovietnam.edu.vn/khoa-hoc-giao-tiep/?utm_source=Facebook&amp;utm_medium=MES&amp;utm_term=NEW_UnitedStates_1845_none_040522&amp;utm_content=saletructiep_UnitedStates.Anhthongbao.1845.Giaotiep_PGPGTTA_LD068&amp;utm_campaign=UnitedStates.Giaotiep.Anhthongbao_XuBen.5018_MES_HuyLG_040522</v>
      </c>
      <c r="U155" s="118"/>
    </row>
    <row r="156">
      <c r="A156" s="72">
        <v>44685.0</v>
      </c>
      <c r="B156" s="61" t="s">
        <v>769</v>
      </c>
      <c r="C156" s="67" t="str">
        <f>IFERROR(__xludf.DUMMYFUNCTION("""COMPUTED_VALUE"""),"LD114")</f>
        <v>LD114</v>
      </c>
      <c r="D156" s="55" t="s">
        <v>42</v>
      </c>
      <c r="E156" s="143" t="s">
        <v>79</v>
      </c>
      <c r="F156" s="55" t="s">
        <v>199</v>
      </c>
      <c r="G156" s="55">
        <v>1840.0</v>
      </c>
      <c r="H156" s="143" t="s">
        <v>1131</v>
      </c>
      <c r="I156" s="55" t="s">
        <v>3184</v>
      </c>
      <c r="J156" s="55" t="s">
        <v>3185</v>
      </c>
      <c r="K156" s="55" t="s">
        <v>61</v>
      </c>
      <c r="L156" s="55" t="s">
        <v>317</v>
      </c>
      <c r="M156" s="55" t="s">
        <v>78</v>
      </c>
      <c r="N156" s="55" t="s">
        <v>79</v>
      </c>
      <c r="O156" s="55" t="s">
        <v>3271</v>
      </c>
      <c r="P156" s="55" t="s">
        <v>110</v>
      </c>
      <c r="Q156" s="67" t="str">
        <f>IFERROR(__xludf.DUMMYFUNCTION("""COMPUTED_VALUE"""),"Vietnam.IELTS.Anhlotrinh_XuBen.5018_MES_HuyLG_040522")</f>
        <v>Vietnam.IELTS.Anhlotrinh_XuBen.5018_MES_HuyLG_040522</v>
      </c>
      <c r="R156" s="67" t="str">
        <f>IFERROR(__xludf.DUMMYFUNCTION("""COMPUTED_VALUE"""),"NEW_Vietnam_1840_none_040522")</f>
        <v>NEW_Vietnam_1840_none_040522</v>
      </c>
      <c r="S156" s="67" t="str">
        <f>IFERROR(__xludf.DUMMYFUNCTION("""COMPUTED_VALUE"""),"saletructiep_Vietnam.Anhlotrinh.1840.IELTS_PGPGTTA_LD114")</f>
        <v>saletructiep_Vietnam.Anhlotrinh.1840.IELTS_PGPGTTA_LD114</v>
      </c>
      <c r="T156" s="107" t="str">
        <f>IFERROR(__xludf.DUMMYFUNCTION("""COMPUTED_VALUE"""),"https://patadovietnam.edu.vn/ielts_cvs/?utm_source=Facebook&amp;utm_medium=MES&amp;utm_term=NEW_Vietnam_1840_none_040522&amp;utm_content=saletructiep_Vietnam.Anhlotrinh.1840.IELTS_PGPGTTA_LD114&amp;utm_campaign=Vietnam.IELTS.Anhlotrinh_XuBen.5018_MES_HuyLG_040522")</f>
        <v>https://patadovietnam.edu.vn/ielts_cvs/?utm_source=Facebook&amp;utm_medium=MES&amp;utm_term=NEW_Vietnam_1840_none_040522&amp;utm_content=saletructiep_Vietnam.Anhlotrinh.1840.IELTS_PGPGTTA_LD114&amp;utm_campaign=Vietnam.IELTS.Anhlotrinh_XuBen.5018_MES_HuyLG_040522</v>
      </c>
      <c r="U156" s="118"/>
    </row>
    <row r="157">
      <c r="A157" s="72">
        <v>44685.0</v>
      </c>
      <c r="B157" s="61" t="s">
        <v>777</v>
      </c>
      <c r="C157" s="67" t="str">
        <f>IFERROR(__xludf.DUMMYFUNCTION("""COMPUTED_VALUE"""),"LD068")</f>
        <v>LD068</v>
      </c>
      <c r="D157" s="55" t="s">
        <v>42</v>
      </c>
      <c r="E157" s="143" t="s">
        <v>79</v>
      </c>
      <c r="F157" s="55" t="s">
        <v>182</v>
      </c>
      <c r="G157" s="55">
        <v>1840.0</v>
      </c>
      <c r="H157" s="143" t="s">
        <v>1131</v>
      </c>
      <c r="I157" s="55" t="s">
        <v>3249</v>
      </c>
      <c r="J157" s="55" t="s">
        <v>3250</v>
      </c>
      <c r="K157" s="55" t="s">
        <v>61</v>
      </c>
      <c r="L157" s="55" t="s">
        <v>317</v>
      </c>
      <c r="M157" s="55" t="s">
        <v>78</v>
      </c>
      <c r="N157" s="55" t="s">
        <v>79</v>
      </c>
      <c r="O157" s="55" t="s">
        <v>3271</v>
      </c>
      <c r="P157" s="55" t="s">
        <v>110</v>
      </c>
      <c r="Q157" s="67" t="str">
        <f>IFERROR(__xludf.DUMMYFUNCTION("""COMPUTED_VALUE"""),"Malaysia.Giaotiep.VideoH4trungtam_XuBen.5018_MES_HuyLG_040522")</f>
        <v>Malaysia.Giaotiep.VideoH4trungtam_XuBen.5018_MES_HuyLG_040522</v>
      </c>
      <c r="R157" s="67" t="str">
        <f>IFERROR(__xludf.DUMMYFUNCTION("""COMPUTED_VALUE"""),"NEW_Malaysia_1840_none_040522")</f>
        <v>NEW_Malaysia_1840_none_040522</v>
      </c>
      <c r="S157" s="67" t="str">
        <f>IFERROR(__xludf.DUMMYFUNCTION("""COMPUTED_VALUE"""),"saletructiep_Malaysia.VideoH4trungtam.1840.Giaotiep_PGPGTTA_LD068")</f>
        <v>saletructiep_Malaysia.VideoH4trungtam.1840.Giaotiep_PGPGTTA_LD068</v>
      </c>
      <c r="T157" s="107" t="str">
        <f>IFERROR(__xludf.DUMMYFUNCTION("""COMPUTED_VALUE"""),"https://patadovietnam.edu.vn/khoa-hoc-giao-tiep/?utm_source=Facebook&amp;utm_medium=MES&amp;utm_term=NEW_Malaysia_1840_none_040522&amp;utm_content=saletructiep_Malaysia.VideoH4trungtam.1840.Giaotiep_PGPGTTA_LD068&amp;utm_campaign=Malaysia.Giaotiep.VideoH4trungtam_XuBen.5"&amp;"018_MES_HuyLG_040522")</f>
        <v>https://patadovietnam.edu.vn/khoa-hoc-giao-tiep/?utm_source=Facebook&amp;utm_medium=MES&amp;utm_term=NEW_Malaysia_1840_none_040522&amp;utm_content=saletructiep_Malaysia.VideoH4trungtam.1840.Giaotiep_PGPGTTA_LD068&amp;utm_campaign=Malaysia.Giaotiep.VideoH4trungtam_XuBen.5018_MES_HuyLG_040522</v>
      </c>
      <c r="U157" s="118"/>
    </row>
    <row r="158">
      <c r="A158" s="72">
        <v>44685.0</v>
      </c>
      <c r="B158" s="61" t="s">
        <v>777</v>
      </c>
      <c r="C158" s="67" t="str">
        <f>IFERROR(__xludf.DUMMYFUNCTION("""COMPUTED_VALUE"""),"LD068")</f>
        <v>LD068</v>
      </c>
      <c r="D158" s="55" t="s">
        <v>42</v>
      </c>
      <c r="E158" s="55" t="s">
        <v>79</v>
      </c>
      <c r="F158" s="55" t="s">
        <v>174</v>
      </c>
      <c r="G158" s="55">
        <v>1845.0</v>
      </c>
      <c r="H158" s="143" t="s">
        <v>1131</v>
      </c>
      <c r="I158" s="55" t="s">
        <v>3138</v>
      </c>
      <c r="J158" s="55" t="s">
        <v>3139</v>
      </c>
      <c r="K158" s="143" t="s">
        <v>61</v>
      </c>
      <c r="L158" s="143" t="s">
        <v>317</v>
      </c>
      <c r="M158" s="55" t="s">
        <v>78</v>
      </c>
      <c r="N158" s="143" t="s">
        <v>79</v>
      </c>
      <c r="O158" s="55" t="s">
        <v>3271</v>
      </c>
      <c r="P158" s="143" t="s">
        <v>110</v>
      </c>
      <c r="Q158" s="67" t="str">
        <f>IFERROR(__xludf.DUMMYFUNCTION("""COMPUTED_VALUE"""),"Philippines.Giaotiep.Anhthongbao_XuBen.5018_MES_HuyLG_040522")</f>
        <v>Philippines.Giaotiep.Anhthongbao_XuBen.5018_MES_HuyLG_040522</v>
      </c>
      <c r="R158" s="67" t="str">
        <f>IFERROR(__xludf.DUMMYFUNCTION("""COMPUTED_VALUE"""),"NEW_Philippines_1845_none_040522")</f>
        <v>NEW_Philippines_1845_none_040522</v>
      </c>
      <c r="S158" s="67" t="str">
        <f>IFERROR(__xludf.DUMMYFUNCTION("""COMPUTED_VALUE"""),"saletructiep_Philippines.Anhthongbao.1845.Giaotiep_PGPGTTA_LD068")</f>
        <v>saletructiep_Philippines.Anhthongbao.1845.Giaotiep_PGPGTTA_LD068</v>
      </c>
      <c r="T158" s="107" t="str">
        <f>IFERROR(__xludf.DUMMYFUNCTION("""COMPUTED_VALUE"""),"https://patadovietnam.edu.vn/khoa-hoc-giao-tiep/?utm_source=Facebook&amp;utm_medium=MES&amp;utm_term=NEW_Philippines_1845_none_040522&amp;utm_content=saletructiep_Philippines.Anhthongbao.1845.Giaotiep_PGPGTTA_LD068&amp;utm_campaign=Philippines.Giaotiep.Anhthongbao_XuBen."&amp;"5018_MES_HuyLG_040522")</f>
        <v>https://patadovietnam.edu.vn/khoa-hoc-giao-tiep/?utm_source=Facebook&amp;utm_medium=MES&amp;utm_term=NEW_Philippines_1845_none_040522&amp;utm_content=saletructiep_Philippines.Anhthongbao.1845.Giaotiep_PGPGTTA_LD068&amp;utm_campaign=Philippines.Giaotiep.Anhthongbao_XuBen.5018_MES_HuyLG_040522</v>
      </c>
      <c r="U158" s="118"/>
    </row>
    <row r="159">
      <c r="A159" s="72">
        <v>44685.0</v>
      </c>
      <c r="B159" s="61" t="s">
        <v>777</v>
      </c>
      <c r="C159" s="67" t="str">
        <f>IFERROR(__xludf.DUMMYFUNCTION("""COMPUTED_VALUE"""),"LD068")</f>
        <v>LD068</v>
      </c>
      <c r="D159" s="86" t="s">
        <v>42</v>
      </c>
      <c r="E159" s="87" t="s">
        <v>79</v>
      </c>
      <c r="F159" s="87" t="s">
        <v>112</v>
      </c>
      <c r="G159" s="163">
        <v>1845.0</v>
      </c>
      <c r="H159" s="86" t="s">
        <v>1131</v>
      </c>
      <c r="I159" s="87" t="s">
        <v>3150</v>
      </c>
      <c r="J159" s="55" t="s">
        <v>3151</v>
      </c>
      <c r="K159" s="143" t="s">
        <v>61</v>
      </c>
      <c r="L159" s="143" t="s">
        <v>317</v>
      </c>
      <c r="M159" s="55" t="s">
        <v>78</v>
      </c>
      <c r="N159" s="143" t="s">
        <v>79</v>
      </c>
      <c r="O159" s="55" t="s">
        <v>3271</v>
      </c>
      <c r="P159" s="143" t="s">
        <v>110</v>
      </c>
      <c r="Q159" s="67" t="str">
        <f>IFERROR(__xludf.DUMMYFUNCTION("""COMPUTED_VALUE"""),"Canada.Giaotiep.Anhthongbao_XuBen.5018_MES_HuyLG_040522")</f>
        <v>Canada.Giaotiep.Anhthongbao_XuBen.5018_MES_HuyLG_040522</v>
      </c>
      <c r="R159" s="67" t="str">
        <f>IFERROR(__xludf.DUMMYFUNCTION("""COMPUTED_VALUE"""),"NEW_Canada_1845_none_040522")</f>
        <v>NEW_Canada_1845_none_040522</v>
      </c>
      <c r="S159" s="67" t="str">
        <f>IFERROR(__xludf.DUMMYFUNCTION("""COMPUTED_VALUE"""),"saletructiep_Canada.Anhthongbao.1845.Giaotiep_PGPGTTA_LD068")</f>
        <v>saletructiep_Canada.Anhthongbao.1845.Giaotiep_PGPGTTA_LD068</v>
      </c>
      <c r="T159" s="107" t="str">
        <f>IFERROR(__xludf.DUMMYFUNCTION("""COMPUTED_VALUE"""),"https://patadovietnam.edu.vn/khoa-hoc-giao-tiep/?utm_source=Facebook&amp;utm_medium=MES&amp;utm_term=NEW_Canada_1845_none_040522&amp;utm_content=saletructiep_Canada.Anhthongbao.1845.Giaotiep_PGPGTTA_LD068&amp;utm_campaign=Canada.Giaotiep.Anhthongbao_XuBen.5018_MES_HuyLG_"&amp;"040522")</f>
        <v>https://patadovietnam.edu.vn/khoa-hoc-giao-tiep/?utm_source=Facebook&amp;utm_medium=MES&amp;utm_term=NEW_Canada_1845_none_040522&amp;utm_content=saletructiep_Canada.Anhthongbao.1845.Giaotiep_PGPGTTA_LD068&amp;utm_campaign=Canada.Giaotiep.Anhthongbao_XuBen.5018_MES_HuyLG_040522</v>
      </c>
      <c r="U159" s="118"/>
    </row>
    <row r="160">
      <c r="A160" s="72">
        <v>44685.0</v>
      </c>
      <c r="B160" s="61" t="s">
        <v>777</v>
      </c>
      <c r="C160" s="67" t="str">
        <f>IFERROR(__xludf.DUMMYFUNCTION("""COMPUTED_VALUE"""),"LD068")</f>
        <v>LD068</v>
      </c>
      <c r="D160" s="55" t="s">
        <v>42</v>
      </c>
      <c r="E160" s="55" t="s">
        <v>79</v>
      </c>
      <c r="F160" s="55" t="s">
        <v>162</v>
      </c>
      <c r="G160" s="55">
        <v>1845.0</v>
      </c>
      <c r="H160" s="55" t="s">
        <v>1131</v>
      </c>
      <c r="I160" s="55" t="s">
        <v>3078</v>
      </c>
      <c r="J160" s="55" t="s">
        <v>3171</v>
      </c>
      <c r="K160" s="55" t="s">
        <v>61</v>
      </c>
      <c r="L160" s="55" t="s">
        <v>317</v>
      </c>
      <c r="M160" s="55" t="s">
        <v>78</v>
      </c>
      <c r="N160" s="55" t="s">
        <v>79</v>
      </c>
      <c r="O160" s="55" t="s">
        <v>3271</v>
      </c>
      <c r="P160" s="55" t="s">
        <v>110</v>
      </c>
      <c r="Q160" s="67" t="str">
        <f>IFERROR(__xludf.DUMMYFUNCTION("""COMPUTED_VALUE"""),"Singapore.Giaotiep.Anhthongbao_XuBen.5018_MES_HuyLG_040522")</f>
        <v>Singapore.Giaotiep.Anhthongbao_XuBen.5018_MES_HuyLG_040522</v>
      </c>
      <c r="R160" s="67" t="str">
        <f>IFERROR(__xludf.DUMMYFUNCTION("""COMPUTED_VALUE"""),"NEW_Singapore_1845_none_040522")</f>
        <v>NEW_Singapore_1845_none_040522</v>
      </c>
      <c r="S160" s="67" t="str">
        <f>IFERROR(__xludf.DUMMYFUNCTION("""COMPUTED_VALUE"""),"saletructiep_Singapore.Anhthongbao.1845.Giaotiep_PGPGTTA_LD068")</f>
        <v>saletructiep_Singapore.Anhthongbao.1845.Giaotiep_PGPGTTA_LD068</v>
      </c>
      <c r="T160" s="107" t="str">
        <f>IFERROR(__xludf.DUMMYFUNCTION("""COMPUTED_VALUE"""),"https://patadovietnam.edu.vn/khoa-hoc-giao-tiep/?utm_source=Facebook&amp;utm_medium=MES&amp;utm_term=NEW_Singapore_1845_none_040522&amp;utm_content=saletructiep_Singapore.Anhthongbao.1845.Giaotiep_PGPGTTA_LD068&amp;utm_campaign=Singapore.Giaotiep.Anhthongbao_XuBen.5018_M"&amp;"ES_HuyLG_040522")</f>
        <v>https://patadovietnam.edu.vn/khoa-hoc-giao-tiep/?utm_source=Facebook&amp;utm_medium=MES&amp;utm_term=NEW_Singapore_1845_none_040522&amp;utm_content=saletructiep_Singapore.Anhthongbao.1845.Giaotiep_PGPGTTA_LD068&amp;utm_campaign=Singapore.Giaotiep.Anhthongbao_XuBen.5018_MES_HuyLG_040522</v>
      </c>
      <c r="U160" s="118"/>
    </row>
    <row r="161">
      <c r="A161" s="72">
        <v>44686.0</v>
      </c>
      <c r="B161" s="61" t="s">
        <v>777</v>
      </c>
      <c r="C161" s="67" t="str">
        <f>IFERROR(__xludf.DUMMYFUNCTION("""COMPUTED_VALUE"""),"LD068")</f>
        <v>LD068</v>
      </c>
      <c r="D161" s="55" t="s">
        <v>42</v>
      </c>
      <c r="E161" s="143" t="s">
        <v>79</v>
      </c>
      <c r="F161" s="55" t="s">
        <v>461</v>
      </c>
      <c r="G161" s="55">
        <v>1845.0</v>
      </c>
      <c r="H161" s="143" t="s">
        <v>1131</v>
      </c>
      <c r="I161" s="55" t="s">
        <v>3166</v>
      </c>
      <c r="J161" s="55" t="s">
        <v>3167</v>
      </c>
      <c r="K161" s="143" t="s">
        <v>61</v>
      </c>
      <c r="L161" s="143" t="s">
        <v>317</v>
      </c>
      <c r="M161" s="55" t="s">
        <v>78</v>
      </c>
      <c r="N161" s="143" t="s">
        <v>79</v>
      </c>
      <c r="O161" s="55" t="s">
        <v>71</v>
      </c>
      <c r="P161" s="143" t="s">
        <v>110</v>
      </c>
      <c r="Q161" s="67" t="str">
        <f>IFERROR(__xludf.DUMMYFUNCTION("""COMPUTED_VALUE"""),"CzechRepublic.Giaotiep.Anhthongbao_XuBen.5018_MES_HuyLG_050522")</f>
        <v>CzechRepublic.Giaotiep.Anhthongbao_XuBen.5018_MES_HuyLG_050522</v>
      </c>
      <c r="R161" s="67" t="str">
        <f>IFERROR(__xludf.DUMMYFUNCTION("""COMPUTED_VALUE"""),"NEW_CzechRepublic_1845_none_050522")</f>
        <v>NEW_CzechRepublic_1845_none_050522</v>
      </c>
      <c r="S161" s="67" t="str">
        <f>IFERROR(__xludf.DUMMYFUNCTION("""COMPUTED_VALUE"""),"saletructiep_CzechRepublic.Anhthongbao.1845.Giaotiep_TAGTTDP_LD068")</f>
        <v>saletructiep_CzechRepublic.Anhthongbao.1845.Giaotiep_TAGTTDP_LD068</v>
      </c>
      <c r="T161" s="107" t="str">
        <f>IFERROR(__xludf.DUMMYFUNCTION("""COMPUTED_VALUE"""),"https://patadovietnam.edu.vn/khoa-hoc-giao-tiep/?utm_source=Facebook&amp;utm_medium=MES&amp;utm_term=NEW_CzechRepublic_1845_none_050522&amp;utm_content=saletructiep_CzechRepublic.Anhthongbao.1845.Giaotiep_TAGTTDP_LD068&amp;utm_campaign=CzechRepublic.Giaotiep.Anhthongbao_"&amp;"XuBen.5018_MES_HuyLG_050522")</f>
        <v>https://patadovietnam.edu.vn/khoa-hoc-giao-tiep/?utm_source=Facebook&amp;utm_medium=MES&amp;utm_term=NEW_CzechRepublic_1845_none_050522&amp;utm_content=saletructiep_CzechRepublic.Anhthongbao.1845.Giaotiep_TAGTTDP_LD068&amp;utm_campaign=CzechRepublic.Giaotiep.Anhthongbao_XuBen.5018_MES_HuyLG_050522</v>
      </c>
      <c r="U161" s="118"/>
    </row>
    <row r="162">
      <c r="A162" s="72">
        <v>44686.0</v>
      </c>
      <c r="B162" s="61" t="s">
        <v>777</v>
      </c>
      <c r="C162" s="67" t="str">
        <f>IFERROR(__xludf.DUMMYFUNCTION("""COMPUTED_VALUE"""),"LD068")</f>
        <v>LD068</v>
      </c>
      <c r="D162" s="143" t="s">
        <v>42</v>
      </c>
      <c r="E162" s="143" t="s">
        <v>79</v>
      </c>
      <c r="F162" s="143" t="s">
        <v>107</v>
      </c>
      <c r="G162" s="87">
        <v>1845.0</v>
      </c>
      <c r="H162" s="143" t="s">
        <v>1131</v>
      </c>
      <c r="I162" s="87" t="s">
        <v>3244</v>
      </c>
      <c r="J162" s="87" t="s">
        <v>3245</v>
      </c>
      <c r="K162" s="143" t="s">
        <v>61</v>
      </c>
      <c r="L162" s="143" t="s">
        <v>317</v>
      </c>
      <c r="M162" s="55" t="s">
        <v>78</v>
      </c>
      <c r="N162" s="143" t="s">
        <v>79</v>
      </c>
      <c r="O162" s="55" t="s">
        <v>3271</v>
      </c>
      <c r="P162" s="143" t="s">
        <v>110</v>
      </c>
      <c r="Q162" s="67" t="str">
        <f>IFERROR(__xludf.DUMMYFUNCTION("""COMPUTED_VALUE"""),"UnitedStates.Giaotiep.VideoH4trungtam_XuBen.5018_MES_HuyLG_050522")</f>
        <v>UnitedStates.Giaotiep.VideoH4trungtam_XuBen.5018_MES_HuyLG_050522</v>
      </c>
      <c r="R162" s="67" t="str">
        <f>IFERROR(__xludf.DUMMYFUNCTION("""COMPUTED_VALUE"""),"NEW_UnitedStates_1845_none_050522")</f>
        <v>NEW_UnitedStates_1845_none_050522</v>
      </c>
      <c r="S162" s="67" t="str">
        <f>IFERROR(__xludf.DUMMYFUNCTION("""COMPUTED_VALUE"""),"saletructiep_UnitedStates.VideoH4trungtam.1845.Giaotiep_PGPGTTA_LD068")</f>
        <v>saletructiep_UnitedStates.VideoH4trungtam.1845.Giaotiep_PGPGTTA_LD068</v>
      </c>
      <c r="T162" s="107" t="str">
        <f>IFERROR(__xludf.DUMMYFUNCTION("""COMPUTED_VALUE"""),"https://patadovietnam.edu.vn/khoa-hoc-giao-tiep/?utm_source=Facebook&amp;utm_medium=MES&amp;utm_term=NEW_UnitedStates_1845_none_050522&amp;utm_content=saletructiep_UnitedStates.VideoH4trungtam.1845.Giaotiep_PGPGTTA_LD068&amp;utm_campaign=UnitedStates.Giaotiep.VideoH4trun"&amp;"gtam_XuBen.5018_MES_HuyLG_050522")</f>
        <v>https://patadovietnam.edu.vn/khoa-hoc-giao-tiep/?utm_source=Facebook&amp;utm_medium=MES&amp;utm_term=NEW_UnitedStates_1845_none_050522&amp;utm_content=saletructiep_UnitedStates.VideoH4trungtam.1845.Giaotiep_PGPGTTA_LD068&amp;utm_campaign=UnitedStates.Giaotiep.VideoH4trungtam_XuBen.5018_MES_HuyLG_050522</v>
      </c>
      <c r="U162" s="118"/>
    </row>
    <row r="163">
      <c r="A163" s="72">
        <v>44686.0</v>
      </c>
      <c r="B163" s="61" t="s">
        <v>777</v>
      </c>
      <c r="C163" s="67" t="str">
        <f>IFERROR(__xludf.DUMMYFUNCTION("""COMPUTED_VALUE"""),"LD068")</f>
        <v>LD068</v>
      </c>
      <c r="D163" s="55" t="s">
        <v>42</v>
      </c>
      <c r="E163" s="55" t="s">
        <v>79</v>
      </c>
      <c r="F163" s="55" t="s">
        <v>133</v>
      </c>
      <c r="G163" s="55">
        <v>1840.0</v>
      </c>
      <c r="H163" s="55" t="s">
        <v>1131</v>
      </c>
      <c r="I163" s="55" t="s">
        <v>3312</v>
      </c>
      <c r="J163" s="55" t="s">
        <v>3313</v>
      </c>
      <c r="K163" s="143" t="s">
        <v>61</v>
      </c>
      <c r="L163" s="143" t="s">
        <v>317</v>
      </c>
      <c r="M163" s="55" t="s">
        <v>78</v>
      </c>
      <c r="N163" s="143" t="s">
        <v>79</v>
      </c>
      <c r="O163" s="55" t="s">
        <v>3271</v>
      </c>
      <c r="P163" s="143" t="s">
        <v>110</v>
      </c>
      <c r="Q163" s="67" t="str">
        <f>IFERROR(__xludf.DUMMYFUNCTION("""COMPUTED_VALUE"""),"Japan.Giaotiep.Videolophoc_XuBen.5018_MES_HuyLG_050522")</f>
        <v>Japan.Giaotiep.Videolophoc_XuBen.5018_MES_HuyLG_050522</v>
      </c>
      <c r="R163" s="67" t="str">
        <f>IFERROR(__xludf.DUMMYFUNCTION("""COMPUTED_VALUE"""),"NEW_Japan_1840_none_050522")</f>
        <v>NEW_Japan_1840_none_050522</v>
      </c>
      <c r="S163" s="67" t="str">
        <f>IFERROR(__xludf.DUMMYFUNCTION("""COMPUTED_VALUE"""),"saletructiep_Japan.Videolophoc.1840.Giaotiep_PGPGTTA_LD068")</f>
        <v>saletructiep_Japan.Videolophoc.1840.Giaotiep_PGPGTTA_LD068</v>
      </c>
      <c r="T163" s="107" t="str">
        <f>IFERROR(__xludf.DUMMYFUNCTION("""COMPUTED_VALUE"""),"https://patadovietnam.edu.vn/khoa-hoc-giao-tiep/?utm_source=Facebook&amp;utm_medium=MES&amp;utm_term=NEW_Japan_1840_none_050522&amp;utm_content=saletructiep_Japan.Videolophoc.1840.Giaotiep_PGPGTTA_LD068&amp;utm_campaign=Japan.Giaotiep.Videolophoc_XuBen.5018_MES_HuyLG_050"&amp;"522")</f>
        <v>https://patadovietnam.edu.vn/khoa-hoc-giao-tiep/?utm_source=Facebook&amp;utm_medium=MES&amp;utm_term=NEW_Japan_1840_none_050522&amp;utm_content=saletructiep_Japan.Videolophoc.1840.Giaotiep_PGPGTTA_LD068&amp;utm_campaign=Japan.Giaotiep.Videolophoc_XuBen.5018_MES_HuyLG_050522</v>
      </c>
      <c r="U163" s="118"/>
    </row>
    <row r="164">
      <c r="A164" s="72">
        <v>44688.0</v>
      </c>
      <c r="B164" s="61" t="s">
        <v>777</v>
      </c>
      <c r="C164" s="67" t="str">
        <f>IFERROR(__xludf.DUMMYFUNCTION("""COMPUTED_VALUE"""),"LD068")</f>
        <v>LD068</v>
      </c>
      <c r="D164" s="55" t="s">
        <v>42</v>
      </c>
      <c r="E164" s="55" t="s">
        <v>79</v>
      </c>
      <c r="F164" s="55" t="s">
        <v>539</v>
      </c>
      <c r="G164" s="55">
        <v>1840.0</v>
      </c>
      <c r="H164" s="143" t="s">
        <v>1131</v>
      </c>
      <c r="I164" s="55" t="s">
        <v>3264</v>
      </c>
      <c r="J164" s="55" t="s">
        <v>3265</v>
      </c>
      <c r="K164" s="55" t="s">
        <v>61</v>
      </c>
      <c r="L164" s="55" t="s">
        <v>317</v>
      </c>
      <c r="M164" s="55" t="s">
        <v>78</v>
      </c>
      <c r="N164" s="55" t="s">
        <v>79</v>
      </c>
      <c r="O164" s="55" t="s">
        <v>910</v>
      </c>
      <c r="P164" s="55" t="s">
        <v>110</v>
      </c>
      <c r="Q164" s="67" t="str">
        <f>IFERROR(__xludf.DUMMYFUNCTION("""COMPUTED_VALUE"""),"ALL.Giaotiep.VideoH4trungtam_XuBen.5018_MES_HuyLG_070522")</f>
        <v>ALL.Giaotiep.VideoH4trungtam_XuBen.5018_MES_HuyLG_070522</v>
      </c>
      <c r="R164" s="67" t="str">
        <f>IFERROR(__xludf.DUMMYFUNCTION("""COMPUTED_VALUE"""),"NEW_ALL_1840_none_070522")</f>
        <v>NEW_ALL_1840_none_070522</v>
      </c>
      <c r="S164" s="67" t="str">
        <f>IFERROR(__xludf.DUMMYFUNCTION("""COMPUTED_VALUE"""),"saletructiep_ALL.VideoH4trungtam.1845.Giaotiep_TATTP_LD068")</f>
        <v>saletructiep_ALL.VideoH4trungtam.1845.Giaotiep_TATTP_LD068</v>
      </c>
      <c r="T164" s="107" t="str">
        <f>IFERROR(__xludf.DUMMYFUNCTION("""COMPUTED_VALUE"""),"https://patadovietnam.edu.vn/khoa-hoc-giao-tiep/?utm_source=Facebook&amp;utm_medium=MES&amp;utm_term=NEW_ALL_1840_none_070522&amp;utm_content=saletructiep_ALL.VideoH4trungtam.1845.Giaotiep_TATTP_LD068&amp;utm_campaign=ALL.Giaotiep.VideoH4trungtam_XuBen.5018_MES_HuyLG_070"&amp;"522")</f>
        <v>https://patadovietnam.edu.vn/khoa-hoc-giao-tiep/?utm_source=Facebook&amp;utm_medium=MES&amp;utm_term=NEW_ALL_1840_none_070522&amp;utm_content=saletructiep_ALL.VideoH4trungtam.1845.Giaotiep_TATTP_LD068&amp;utm_campaign=ALL.Giaotiep.VideoH4trungtam_XuBen.5018_MES_HuyLG_070522</v>
      </c>
      <c r="U164" s="118"/>
    </row>
    <row r="165">
      <c r="A165" s="72">
        <v>44690.0</v>
      </c>
      <c r="B165" s="61" t="s">
        <v>777</v>
      </c>
      <c r="C165" s="67" t="str">
        <f>IFERROR(__xludf.DUMMYFUNCTION("""COMPUTED_VALUE"""),"LD068")</f>
        <v>LD068</v>
      </c>
      <c r="D165" s="55" t="s">
        <v>42</v>
      </c>
      <c r="E165" s="87" t="s">
        <v>69</v>
      </c>
      <c r="F165" s="55" t="s">
        <v>133</v>
      </c>
      <c r="G165" s="55">
        <v>1845.0</v>
      </c>
      <c r="H165" s="55" t="s">
        <v>1131</v>
      </c>
      <c r="I165" s="55" t="s">
        <v>3176</v>
      </c>
      <c r="J165" s="55" t="s">
        <v>3177</v>
      </c>
      <c r="K165" s="143" t="s">
        <v>61</v>
      </c>
      <c r="L165" s="143" t="s">
        <v>317</v>
      </c>
      <c r="M165" s="55" t="s">
        <v>78</v>
      </c>
      <c r="N165" s="87" t="s">
        <v>69</v>
      </c>
      <c r="O165" s="55" t="s">
        <v>910</v>
      </c>
      <c r="P165" s="143" t="s">
        <v>110</v>
      </c>
      <c r="Q165" s="67" t="str">
        <f>IFERROR(__xludf.DUMMYFUNCTION("""COMPUTED_VALUE"""),"Japan.Giaotiep.Anhthongbao_XuBen.5018_CVS_HuyLG_090522")</f>
        <v>Japan.Giaotiep.Anhthongbao_XuBen.5018_CVS_HuyLG_090522</v>
      </c>
      <c r="R165" s="67" t="str">
        <f>IFERROR(__xludf.DUMMYFUNCTION("""COMPUTED_VALUE"""),"NEW_Japan_1845_none_090522")</f>
        <v>NEW_Japan_1845_none_090522</v>
      </c>
      <c r="S165" s="67" t="str">
        <f>IFERROR(__xludf.DUMMYFUNCTION("""COMPUTED_VALUE"""),"saletructiep_Japan.Anhthongbao.1845.Giaotiep_TATTP_LD068")</f>
        <v>saletructiep_Japan.Anhthongbao.1845.Giaotiep_TATTP_LD068</v>
      </c>
      <c r="T165" s="107" t="str">
        <f>IFERROR(__xludf.DUMMYFUNCTION("""COMPUTED_VALUE"""),"https://patadovietnam.edu.vn/khoa-hoc-giao-tiep/?utm_source=Facebook&amp;utm_medium=CVS&amp;utm_term=NEW_Japan_1845_none_090522&amp;utm_content=saletructiep_Japan.Anhthongbao.1845.Giaotiep_TATTP_LD068&amp;utm_campaign=Japan.Giaotiep.Anhthongbao_XuBen.5018_CVS_HuyLG_09052"&amp;"2")</f>
        <v>https://patadovietnam.edu.vn/khoa-hoc-giao-tiep/?utm_source=Facebook&amp;utm_medium=CVS&amp;utm_term=NEW_Japan_1845_none_090522&amp;utm_content=saletructiep_Japan.Anhthongbao.1845.Giaotiep_TATTP_LD068&amp;utm_campaign=Japan.Giaotiep.Anhthongbao_XuBen.5018_CVS_HuyLG_090522</v>
      </c>
      <c r="U165" s="118"/>
    </row>
    <row r="166">
      <c r="A166" s="72">
        <v>44690.0</v>
      </c>
      <c r="B166" s="61" t="s">
        <v>777</v>
      </c>
      <c r="C166" s="67" t="str">
        <f>IFERROR(__xludf.DUMMYFUNCTION("""COMPUTED_VALUE"""),"LD068")</f>
        <v>LD068</v>
      </c>
      <c r="D166" s="55" t="s">
        <v>42</v>
      </c>
      <c r="E166" s="143" t="s">
        <v>79</v>
      </c>
      <c r="F166" s="55" t="s">
        <v>614</v>
      </c>
      <c r="G166" s="55">
        <v>1845.0</v>
      </c>
      <c r="H166" s="143" t="s">
        <v>1131</v>
      </c>
      <c r="I166" s="55" t="s">
        <v>3105</v>
      </c>
      <c r="J166" s="55" t="s">
        <v>3106</v>
      </c>
      <c r="K166" s="143" t="s">
        <v>61</v>
      </c>
      <c r="L166" s="143" t="s">
        <v>317</v>
      </c>
      <c r="M166" s="55" t="s">
        <v>78</v>
      </c>
      <c r="N166" s="143" t="s">
        <v>79</v>
      </c>
      <c r="O166" s="55" t="s">
        <v>910</v>
      </c>
      <c r="P166" s="143" t="s">
        <v>110</v>
      </c>
      <c r="Q166" s="67" t="str">
        <f>IFERROR(__xludf.DUMMYFUNCTION("""COMPUTED_VALUE"""),"Korea.Giaotiep.Anhthongbao_XuBen.5018_MES_HuyLG_090522")</f>
        <v>Korea.Giaotiep.Anhthongbao_XuBen.5018_MES_HuyLG_090522</v>
      </c>
      <c r="R166" s="67" t="str">
        <f>IFERROR(__xludf.DUMMYFUNCTION("""COMPUTED_VALUE"""),"NEW_Korea_1845_none_090522")</f>
        <v>NEW_Korea_1845_none_090522</v>
      </c>
      <c r="S166" s="67" t="str">
        <f>IFERROR(__xludf.DUMMYFUNCTION("""COMPUTED_VALUE"""),"saletructiep_Korea.Anhthongbao.1845.Giaotiep_TATTP_LD068")</f>
        <v>saletructiep_Korea.Anhthongbao.1845.Giaotiep_TATTP_LD068</v>
      </c>
      <c r="T166" s="107" t="str">
        <f>IFERROR(__xludf.DUMMYFUNCTION("""COMPUTED_VALUE"""),"https://patadovietnam.edu.vn/khoa-hoc-giao-tiep/?utm_source=Facebook&amp;utm_medium=MES&amp;utm_term=NEW_Korea_1845_none_090522&amp;utm_content=saletructiep_Korea.Anhthongbao.1845.Giaotiep_TATTP_LD068&amp;utm_campaign=Korea.Giaotiep.Anhthongbao_XuBen.5018_MES_HuyLG_09052"&amp;"2")</f>
        <v>https://patadovietnam.edu.vn/khoa-hoc-giao-tiep/?utm_source=Facebook&amp;utm_medium=MES&amp;utm_term=NEW_Korea_1845_none_090522&amp;utm_content=saletructiep_Korea.Anhthongbao.1845.Giaotiep_TATTP_LD068&amp;utm_campaign=Korea.Giaotiep.Anhthongbao_XuBen.5018_MES_HuyLG_090522</v>
      </c>
      <c r="U166" s="118"/>
    </row>
    <row r="167">
      <c r="A167" s="72">
        <v>44690.0</v>
      </c>
      <c r="B167" s="61" t="s">
        <v>777</v>
      </c>
      <c r="C167" s="67" t="str">
        <f>IFERROR(__xludf.DUMMYFUNCTION("""COMPUTED_VALUE"""),"LD068")</f>
        <v>LD068</v>
      </c>
      <c r="D167" s="86" t="s">
        <v>42</v>
      </c>
      <c r="E167" s="87" t="s">
        <v>79</v>
      </c>
      <c r="F167" s="87" t="s">
        <v>112</v>
      </c>
      <c r="G167" s="163">
        <v>1845.0</v>
      </c>
      <c r="H167" s="86" t="s">
        <v>1131</v>
      </c>
      <c r="I167" s="87" t="s">
        <v>3150</v>
      </c>
      <c r="J167" s="55" t="s">
        <v>3151</v>
      </c>
      <c r="K167" s="143" t="s">
        <v>61</v>
      </c>
      <c r="L167" s="143" t="s">
        <v>317</v>
      </c>
      <c r="M167" s="55" t="s">
        <v>78</v>
      </c>
      <c r="N167" s="143" t="s">
        <v>79</v>
      </c>
      <c r="O167" s="55" t="s">
        <v>910</v>
      </c>
      <c r="P167" s="143" t="s">
        <v>110</v>
      </c>
      <c r="Q167" s="67" t="str">
        <f>IFERROR(__xludf.DUMMYFUNCTION("""COMPUTED_VALUE"""),"Canada.Giaotiep.Anhthongbao_XuBen.5018_MES_HuyLG_090522")</f>
        <v>Canada.Giaotiep.Anhthongbao_XuBen.5018_MES_HuyLG_090522</v>
      </c>
      <c r="R167" s="67" t="str">
        <f>IFERROR(__xludf.DUMMYFUNCTION("""COMPUTED_VALUE"""),"NEW_Canada_1845_none_090522")</f>
        <v>NEW_Canada_1845_none_090522</v>
      </c>
      <c r="S167" s="67" t="str">
        <f>IFERROR(__xludf.DUMMYFUNCTION("""COMPUTED_VALUE"""),"saletructiep_Canada.Anhthongbao.1845.Giaotiep_TATTP_LD068")</f>
        <v>saletructiep_Canada.Anhthongbao.1845.Giaotiep_TATTP_LD068</v>
      </c>
      <c r="T167" s="107" t="str">
        <f>IFERROR(__xludf.DUMMYFUNCTION("""COMPUTED_VALUE"""),"https://patadovietnam.edu.vn/khoa-hoc-giao-tiep/?utm_source=Facebook&amp;utm_medium=MES&amp;utm_term=NEW_Canada_1845_none_090522&amp;utm_content=saletructiep_Canada.Anhthongbao.1845.Giaotiep_TATTP_LD068&amp;utm_campaign=Canada.Giaotiep.Anhthongbao_XuBen.5018_MES_HuyLG_09"&amp;"0522")</f>
        <v>https://patadovietnam.edu.vn/khoa-hoc-giao-tiep/?utm_source=Facebook&amp;utm_medium=MES&amp;utm_term=NEW_Canada_1845_none_090522&amp;utm_content=saletructiep_Canada.Anhthongbao.1845.Giaotiep_TATTP_LD068&amp;utm_campaign=Canada.Giaotiep.Anhthongbao_XuBen.5018_MES_HuyLG_090522</v>
      </c>
      <c r="U167" s="118"/>
    </row>
    <row r="168">
      <c r="A168" s="72">
        <v>44690.0</v>
      </c>
      <c r="B168" s="61" t="s">
        <v>777</v>
      </c>
      <c r="C168" s="67" t="str">
        <f>IFERROR(__xludf.DUMMYFUNCTION("""COMPUTED_VALUE"""),"LD068")</f>
        <v>LD068</v>
      </c>
      <c r="D168" s="55" t="s">
        <v>42</v>
      </c>
      <c r="E168" s="143" t="s">
        <v>79</v>
      </c>
      <c r="F168" s="55" t="s">
        <v>129</v>
      </c>
      <c r="G168" s="55">
        <v>1845.0</v>
      </c>
      <c r="H168" s="143" t="s">
        <v>1131</v>
      </c>
      <c r="I168" s="55" t="s">
        <v>3122</v>
      </c>
      <c r="J168" s="55" t="s">
        <v>3123</v>
      </c>
      <c r="K168" s="143" t="s">
        <v>61</v>
      </c>
      <c r="L168" s="143" t="s">
        <v>317</v>
      </c>
      <c r="M168" s="55" t="s">
        <v>78</v>
      </c>
      <c r="N168" s="143" t="s">
        <v>79</v>
      </c>
      <c r="O168" s="55" t="s">
        <v>910</v>
      </c>
      <c r="P168" s="143" t="s">
        <v>110</v>
      </c>
      <c r="Q168" s="67" t="str">
        <f>IFERROR(__xludf.DUMMYFUNCTION("""COMPUTED_VALUE"""),"Australia.Giaotiep.Anhthongbao_XuBen.5018_MES_HuyLG_090522")</f>
        <v>Australia.Giaotiep.Anhthongbao_XuBen.5018_MES_HuyLG_090522</v>
      </c>
      <c r="R168" s="67" t="str">
        <f>IFERROR(__xludf.DUMMYFUNCTION("""COMPUTED_VALUE"""),"NEW_Australia_1845_none_090522")</f>
        <v>NEW_Australia_1845_none_090522</v>
      </c>
      <c r="S168" s="67" t="str">
        <f>IFERROR(__xludf.DUMMYFUNCTION("""COMPUTED_VALUE"""),"saletructiep_Australia.Anhthongbao.1845.Giaotiep_TATTP_LD068")</f>
        <v>saletructiep_Australia.Anhthongbao.1845.Giaotiep_TATTP_LD068</v>
      </c>
      <c r="T168" s="107" t="str">
        <f>IFERROR(__xludf.DUMMYFUNCTION("""COMPUTED_VALUE"""),"https://patadovietnam.edu.vn/khoa-hoc-giao-tiep/?utm_source=Facebook&amp;utm_medium=MES&amp;utm_term=NEW_Australia_1845_none_090522&amp;utm_content=saletructiep_Australia.Anhthongbao.1845.Giaotiep_TATTP_LD068&amp;utm_campaign=Australia.Giaotiep.Anhthongbao_XuBen.5018_MES"&amp;"_HuyLG_090522")</f>
        <v>https://patadovietnam.edu.vn/khoa-hoc-giao-tiep/?utm_source=Facebook&amp;utm_medium=MES&amp;utm_term=NEW_Australia_1845_none_090522&amp;utm_content=saletructiep_Australia.Anhthongbao.1845.Giaotiep_TATTP_LD068&amp;utm_campaign=Australia.Giaotiep.Anhthongbao_XuBen.5018_MES_HuyLG_090522</v>
      </c>
      <c r="U168" s="118"/>
    </row>
    <row r="169">
      <c r="A169" s="72">
        <v>44692.0</v>
      </c>
      <c r="B169" s="61" t="s">
        <v>777</v>
      </c>
      <c r="C169" s="67" t="str">
        <f>IFERROR(__xludf.DUMMYFUNCTION("""COMPUTED_VALUE"""),"LD068")</f>
        <v>LD068</v>
      </c>
      <c r="D169" s="143" t="s">
        <v>42</v>
      </c>
      <c r="E169" s="143" t="s">
        <v>79</v>
      </c>
      <c r="F169" s="143" t="s">
        <v>107</v>
      </c>
      <c r="G169" s="87">
        <v>1845.0</v>
      </c>
      <c r="H169" s="143" t="s">
        <v>1131</v>
      </c>
      <c r="I169" s="87" t="s">
        <v>3081</v>
      </c>
      <c r="J169" s="87" t="s">
        <v>3180</v>
      </c>
      <c r="K169" s="143" t="s">
        <v>61</v>
      </c>
      <c r="L169" s="143" t="s">
        <v>317</v>
      </c>
      <c r="M169" s="55" t="s">
        <v>78</v>
      </c>
      <c r="N169" s="143" t="s">
        <v>79</v>
      </c>
      <c r="O169" s="55" t="s">
        <v>910</v>
      </c>
      <c r="P169" s="143" t="s">
        <v>110</v>
      </c>
      <c r="Q169" s="67" t="str">
        <f>IFERROR(__xludf.DUMMYFUNCTION("""COMPUTED_VALUE"""),"UnitedStates.Giaotiep.Anhthongbao_XuBen.5018_MES_HuyLG_110522")</f>
        <v>UnitedStates.Giaotiep.Anhthongbao_XuBen.5018_MES_HuyLG_110522</v>
      </c>
      <c r="R169" s="67" t="str">
        <f>IFERROR(__xludf.DUMMYFUNCTION("""COMPUTED_VALUE"""),"NEW_UnitedStates_1845_none_110522")</f>
        <v>NEW_UnitedStates_1845_none_110522</v>
      </c>
      <c r="S169" s="67" t="str">
        <f>IFERROR(__xludf.DUMMYFUNCTION("""COMPUTED_VALUE"""),"saletructiep_UnitedStates.Anhthongbao.1845.Giaotiep_TATTP_LD068")</f>
        <v>saletructiep_UnitedStates.Anhthongbao.1845.Giaotiep_TATTP_LD068</v>
      </c>
      <c r="T169" s="107" t="str">
        <f>IFERROR(__xludf.DUMMYFUNCTION("""COMPUTED_VALUE"""),"https://patadovietnam.edu.vn/khoa-hoc-giao-tiep/?utm_source=Facebook&amp;utm_medium=MES&amp;utm_term=NEW_UnitedStates_1845_none_110522&amp;utm_content=saletructiep_UnitedStates.Anhthongbao.1845.Giaotiep_TATTP_LD068&amp;utm_campaign=UnitedStates.Giaotiep.Anhthongbao_XuBen"&amp;".5018_MES_HuyLG_110522")</f>
        <v>https://patadovietnam.edu.vn/khoa-hoc-giao-tiep/?utm_source=Facebook&amp;utm_medium=MES&amp;utm_term=NEW_UnitedStates_1845_none_110522&amp;utm_content=saletructiep_UnitedStates.Anhthongbao.1845.Giaotiep_TATTP_LD068&amp;utm_campaign=UnitedStates.Giaotiep.Anhthongbao_XuBen.5018_MES_HuyLG_110522</v>
      </c>
      <c r="U169" s="118"/>
    </row>
    <row r="170">
      <c r="A170" s="72">
        <v>44693.0</v>
      </c>
      <c r="B170" s="61" t="s">
        <v>769</v>
      </c>
      <c r="C170" s="67" t="str">
        <f>IFERROR(__xludf.DUMMYFUNCTION("""COMPUTED_VALUE"""),"LD114")</f>
        <v>LD114</v>
      </c>
      <c r="D170" s="55" t="s">
        <v>42</v>
      </c>
      <c r="E170" s="143" t="s">
        <v>79</v>
      </c>
      <c r="F170" s="55" t="s">
        <v>199</v>
      </c>
      <c r="G170" s="55">
        <v>1840.0</v>
      </c>
      <c r="H170" s="143" t="s">
        <v>1131</v>
      </c>
      <c r="I170" s="55" t="s">
        <v>3184</v>
      </c>
      <c r="J170" s="55" t="s">
        <v>3185</v>
      </c>
      <c r="K170" s="55" t="s">
        <v>61</v>
      </c>
      <c r="L170" s="55" t="s">
        <v>317</v>
      </c>
      <c r="M170" s="55" t="s">
        <v>78</v>
      </c>
      <c r="N170" s="55" t="s">
        <v>79</v>
      </c>
      <c r="O170" s="55" t="s">
        <v>910</v>
      </c>
      <c r="P170" s="55" t="s">
        <v>110</v>
      </c>
      <c r="Q170" s="67" t="str">
        <f>IFERROR(__xludf.DUMMYFUNCTION("""COMPUTED_VALUE"""),"Vietnam.IELTS.Anhlotrinh_XuBen.5018_MES_HuyLG_120522")</f>
        <v>Vietnam.IELTS.Anhlotrinh_XuBen.5018_MES_HuyLG_120522</v>
      </c>
      <c r="R170" s="67" t="str">
        <f>IFERROR(__xludf.DUMMYFUNCTION("""COMPUTED_VALUE"""),"NEW_Vietnam_1840_none_120522")</f>
        <v>NEW_Vietnam_1840_none_120522</v>
      </c>
      <c r="S170" s="67" t="str">
        <f>IFERROR(__xludf.DUMMYFUNCTION("""COMPUTED_VALUE"""),"saletructiep_Vietnam.Anhlotrinh.1840.IELTS_TATTP_LD114")</f>
        <v>saletructiep_Vietnam.Anhlotrinh.1840.IELTS_TATTP_LD114</v>
      </c>
      <c r="T170" s="107" t="str">
        <f>IFERROR(__xludf.DUMMYFUNCTION("""COMPUTED_VALUE"""),"https://patadovietnam.edu.vn/ielts_cvs/?utm_source=Facebook&amp;utm_medium=MES&amp;utm_term=NEW_Vietnam_1840_none_120522&amp;utm_content=saletructiep_Vietnam.Anhlotrinh.1840.IELTS_TATTP_LD114&amp;utm_campaign=Vietnam.IELTS.Anhlotrinh_XuBen.5018_MES_HuyLG_120522")</f>
        <v>https://patadovietnam.edu.vn/ielts_cvs/?utm_source=Facebook&amp;utm_medium=MES&amp;utm_term=NEW_Vietnam_1840_none_120522&amp;utm_content=saletructiep_Vietnam.Anhlotrinh.1840.IELTS_TATTP_LD114&amp;utm_campaign=Vietnam.IELTS.Anhlotrinh_XuBen.5018_MES_HuyLG_120522</v>
      </c>
      <c r="U170" s="118"/>
    </row>
    <row r="171">
      <c r="A171" s="72">
        <v>44693.0</v>
      </c>
      <c r="B171" s="61" t="s">
        <v>777</v>
      </c>
      <c r="C171" s="67" t="str">
        <f>IFERROR(__xludf.DUMMYFUNCTION("""COMPUTED_VALUE"""),"LD068")</f>
        <v>LD068</v>
      </c>
      <c r="D171" s="55" t="s">
        <v>42</v>
      </c>
      <c r="E171" s="55" t="s">
        <v>79</v>
      </c>
      <c r="F171" s="55" t="s">
        <v>539</v>
      </c>
      <c r="G171" s="55">
        <v>1840.0</v>
      </c>
      <c r="H171" s="143" t="s">
        <v>1131</v>
      </c>
      <c r="I171" s="55" t="s">
        <v>3264</v>
      </c>
      <c r="J171" s="55" t="s">
        <v>3265</v>
      </c>
      <c r="K171" s="55" t="s">
        <v>61</v>
      </c>
      <c r="L171" s="55" t="s">
        <v>317</v>
      </c>
      <c r="M171" s="55" t="s">
        <v>78</v>
      </c>
      <c r="N171" s="55" t="s">
        <v>79</v>
      </c>
      <c r="O171" s="55" t="s">
        <v>910</v>
      </c>
      <c r="P171" s="55" t="s">
        <v>110</v>
      </c>
      <c r="Q171" s="67" t="str">
        <f>IFERROR(__xludf.DUMMYFUNCTION("""COMPUTED_VALUE"""),"ALL.Giaotiep.VideoH4trungtam_XuBen.5018_MES_HuyLG_120522")</f>
        <v>ALL.Giaotiep.VideoH4trungtam_XuBen.5018_MES_HuyLG_120522</v>
      </c>
      <c r="R171" s="67" t="str">
        <f>IFERROR(__xludf.DUMMYFUNCTION("""COMPUTED_VALUE"""),"NEW_ALL_1840_none_120522")</f>
        <v>NEW_ALL_1840_none_120522</v>
      </c>
      <c r="S171" s="67" t="str">
        <f>IFERROR(__xludf.DUMMYFUNCTION("""COMPUTED_VALUE"""),"saletructiep_ALL.VideoH4trungtam.1845.Giaotiep_TATTP_LD068")</f>
        <v>saletructiep_ALL.VideoH4trungtam.1845.Giaotiep_TATTP_LD068</v>
      </c>
      <c r="T171" s="107" t="str">
        <f>IFERROR(__xludf.DUMMYFUNCTION("""COMPUTED_VALUE"""),"https://patadovietnam.edu.vn/khoa-hoc-giao-tiep/?utm_source=Facebook&amp;utm_medium=MES&amp;utm_term=NEW_ALL_1840_none_120522&amp;utm_content=saletructiep_ALL.VideoH4trungtam.1845.Giaotiep_TATTP_LD068&amp;utm_campaign=ALL.Giaotiep.VideoH4trungtam_XuBen.5018_MES_HuyLG_120"&amp;"522")</f>
        <v>https://patadovietnam.edu.vn/khoa-hoc-giao-tiep/?utm_source=Facebook&amp;utm_medium=MES&amp;utm_term=NEW_ALL_1840_none_120522&amp;utm_content=saletructiep_ALL.VideoH4trungtam.1845.Giaotiep_TATTP_LD068&amp;utm_campaign=ALL.Giaotiep.VideoH4trungtam_XuBen.5018_MES_HuyLG_120522</v>
      </c>
      <c r="U171" s="118"/>
    </row>
    <row r="172">
      <c r="A172" s="72">
        <v>44697.0</v>
      </c>
      <c r="B172" s="61" t="s">
        <v>777</v>
      </c>
      <c r="C172" s="67" t="str">
        <f>IFERROR(__xludf.DUMMYFUNCTION("""COMPUTED_VALUE"""),"LD068")</f>
        <v>LD068</v>
      </c>
      <c r="D172" s="55" t="s">
        <v>42</v>
      </c>
      <c r="E172" s="55" t="s">
        <v>79</v>
      </c>
      <c r="F172" s="55" t="s">
        <v>133</v>
      </c>
      <c r="G172" s="55">
        <v>1835.0</v>
      </c>
      <c r="H172" s="55" t="s">
        <v>1131</v>
      </c>
      <c r="I172" s="55" t="s">
        <v>3356</v>
      </c>
      <c r="J172" s="55" t="s">
        <v>3357</v>
      </c>
      <c r="K172" s="143" t="s">
        <v>61</v>
      </c>
      <c r="L172" s="143" t="s">
        <v>317</v>
      </c>
      <c r="M172" s="55" t="s">
        <v>78</v>
      </c>
      <c r="N172" s="55" t="s">
        <v>79</v>
      </c>
      <c r="O172" s="55" t="s">
        <v>910</v>
      </c>
      <c r="P172" s="143" t="s">
        <v>110</v>
      </c>
      <c r="Q172" s="67" t="str">
        <f>IFERROR(__xludf.DUMMYFUNCTION("""COMPUTED_VALUE"""),"Japan.Giaotiep.Anhlotrinh_XuBen.5018_MES_HuyLG_160522")</f>
        <v>Japan.Giaotiep.Anhlotrinh_XuBen.5018_MES_HuyLG_160522</v>
      </c>
      <c r="R172" s="67" t="str">
        <f>IFERROR(__xludf.DUMMYFUNCTION("""COMPUTED_VALUE"""),"NEW_Japan_1835_none_160522")</f>
        <v>NEW_Japan_1835_none_160522</v>
      </c>
      <c r="S172" s="67" t="str">
        <f>IFERROR(__xludf.DUMMYFUNCTION("""COMPUTED_VALUE"""),"saletructiep_Japan.Anhlotrinh.1835.Giaotiep_TATTP_LD068")</f>
        <v>saletructiep_Japan.Anhlotrinh.1835.Giaotiep_TATTP_LD068</v>
      </c>
      <c r="T172" s="107" t="str">
        <f>IFERROR(__xludf.DUMMYFUNCTION("""COMPUTED_VALUE"""),"https://patadovietnam.edu.vn/khoa-hoc-giao-tiep/?utm_source=Facebook&amp;utm_medium=MES&amp;utm_term=NEW_Japan_1835_none_160522&amp;utm_content=saletructiep_Japan.Anhlotrinh.1835.Giaotiep_TATTP_LD068&amp;utm_campaign=Japan.Giaotiep.Anhlotrinh_XuBen.5018_MES_HuyLG_160522")</f>
        <v>https://patadovietnam.edu.vn/khoa-hoc-giao-tiep/?utm_source=Facebook&amp;utm_medium=MES&amp;utm_term=NEW_Japan_1835_none_160522&amp;utm_content=saletructiep_Japan.Anhlotrinh.1835.Giaotiep_TATTP_LD068&amp;utm_campaign=Japan.Giaotiep.Anhlotrinh_XuBen.5018_MES_HuyLG_160522</v>
      </c>
      <c r="U172" s="118"/>
    </row>
    <row r="173">
      <c r="A173" s="72">
        <v>44697.0</v>
      </c>
      <c r="B173" s="61" t="s">
        <v>777</v>
      </c>
      <c r="C173" s="67" t="str">
        <f>IFERROR(__xludf.DUMMYFUNCTION("""COMPUTED_VALUE"""),"LD068")</f>
        <v>LD068</v>
      </c>
      <c r="D173" s="55" t="s">
        <v>42</v>
      </c>
      <c r="E173" s="55" t="s">
        <v>79</v>
      </c>
      <c r="F173" s="55" t="s">
        <v>174</v>
      </c>
      <c r="G173" s="55">
        <v>1835.0</v>
      </c>
      <c r="H173" s="55" t="s">
        <v>1131</v>
      </c>
      <c r="I173" s="55" t="s">
        <v>3364</v>
      </c>
      <c r="J173" s="55" t="s">
        <v>3365</v>
      </c>
      <c r="K173" s="143" t="s">
        <v>61</v>
      </c>
      <c r="L173" s="143" t="s">
        <v>317</v>
      </c>
      <c r="M173" s="55" t="s">
        <v>78</v>
      </c>
      <c r="N173" s="55" t="s">
        <v>79</v>
      </c>
      <c r="O173" s="55" t="s">
        <v>910</v>
      </c>
      <c r="P173" s="143" t="s">
        <v>110</v>
      </c>
      <c r="Q173" s="67" t="str">
        <f>IFERROR(__xludf.DUMMYFUNCTION("""COMPUTED_VALUE"""),"Philippines.Giaotiep.Anhlotrinh_XuBen.5018_MES_HuyLG_160522")</f>
        <v>Philippines.Giaotiep.Anhlotrinh_XuBen.5018_MES_HuyLG_160522</v>
      </c>
      <c r="R173" s="67" t="str">
        <f>IFERROR(__xludf.DUMMYFUNCTION("""COMPUTED_VALUE"""),"NEW_Philippines_1835_none_160522")</f>
        <v>NEW_Philippines_1835_none_160522</v>
      </c>
      <c r="S173" s="67" t="str">
        <f>IFERROR(__xludf.DUMMYFUNCTION("""COMPUTED_VALUE"""),"saletructiep_Philippines.Anhlotrinh.1835.Giaotiep_TATTP_LD068")</f>
        <v>saletructiep_Philippines.Anhlotrinh.1835.Giaotiep_TATTP_LD068</v>
      </c>
      <c r="T173" s="107" t="str">
        <f>IFERROR(__xludf.DUMMYFUNCTION("""COMPUTED_VALUE"""),"https://patadovietnam.edu.vn/khoa-hoc-giao-tiep/?utm_source=Facebook&amp;utm_medium=MES&amp;utm_term=NEW_Philippines_1835_none_160522&amp;utm_content=saletructiep_Philippines.Anhlotrinh.1835.Giaotiep_TATTP_LD068&amp;utm_campaign=Philippines.Giaotiep.Anhlotrinh_XuBen.5018"&amp;"_MES_HuyLG_160522")</f>
        <v>https://patadovietnam.edu.vn/khoa-hoc-giao-tiep/?utm_source=Facebook&amp;utm_medium=MES&amp;utm_term=NEW_Philippines_1835_none_160522&amp;utm_content=saletructiep_Philippines.Anhlotrinh.1835.Giaotiep_TATTP_LD068&amp;utm_campaign=Philippines.Giaotiep.Anhlotrinh_XuBen.5018_MES_HuyLG_160522</v>
      </c>
      <c r="U173" s="118"/>
    </row>
    <row r="174">
      <c r="A174" s="72">
        <v>44697.0</v>
      </c>
      <c r="B174" s="61" t="s">
        <v>777</v>
      </c>
      <c r="C174" s="67" t="str">
        <f>IFERROR(__xludf.DUMMYFUNCTION("""COMPUTED_VALUE"""),"LD068")</f>
        <v>LD068</v>
      </c>
      <c r="D174" s="55" t="s">
        <v>42</v>
      </c>
      <c r="E174" s="143" t="s">
        <v>79</v>
      </c>
      <c r="F174" s="55" t="s">
        <v>129</v>
      </c>
      <c r="G174" s="55">
        <v>1840.0</v>
      </c>
      <c r="H174" s="143" t="s">
        <v>1131</v>
      </c>
      <c r="I174" s="55" t="s">
        <v>3371</v>
      </c>
      <c r="J174" s="55" t="s">
        <v>3372</v>
      </c>
      <c r="K174" s="143" t="s">
        <v>61</v>
      </c>
      <c r="L174" s="143" t="s">
        <v>317</v>
      </c>
      <c r="M174" s="55" t="s">
        <v>78</v>
      </c>
      <c r="N174" s="143" t="s">
        <v>79</v>
      </c>
      <c r="O174" s="55" t="s">
        <v>910</v>
      </c>
      <c r="P174" s="143" t="s">
        <v>110</v>
      </c>
      <c r="Q174" s="67" t="str">
        <f>IFERROR(__xludf.DUMMYFUNCTION("""COMPUTED_VALUE"""),"Australia.Giaotiep.Anhlotrinh_XuBen.5018_MES_HuyLG_160522")</f>
        <v>Australia.Giaotiep.Anhlotrinh_XuBen.5018_MES_HuyLG_160522</v>
      </c>
      <c r="R174" s="67" t="str">
        <f>IFERROR(__xludf.DUMMYFUNCTION("""COMPUTED_VALUE"""),"NEW_Australia_1840_none_160522")</f>
        <v>NEW_Australia_1840_none_160522</v>
      </c>
      <c r="S174" s="67" t="str">
        <f>IFERROR(__xludf.DUMMYFUNCTION("""COMPUTED_VALUE"""),"saletructiep_Australia.Anhlotrinh.1845.Giaotiep_TATTP_LD068")</f>
        <v>saletructiep_Australia.Anhlotrinh.1845.Giaotiep_TATTP_LD068</v>
      </c>
      <c r="T174" s="107" t="str">
        <f>IFERROR(__xludf.DUMMYFUNCTION("""COMPUTED_VALUE"""),"https://patadovietnam.edu.vn/khoa-hoc-giao-tiep/?utm_source=Facebook&amp;utm_medium=MES&amp;utm_term=NEW_Australia_1840_none_160522&amp;utm_content=saletructiep_Australia.Anhlotrinh.1845.Giaotiep_TATTP_LD068&amp;utm_campaign=Australia.Giaotiep.Anhlotrinh_XuBen.5018_MES_H"&amp;"uyLG_160522")</f>
        <v>https://patadovietnam.edu.vn/khoa-hoc-giao-tiep/?utm_source=Facebook&amp;utm_medium=MES&amp;utm_term=NEW_Australia_1840_none_160522&amp;utm_content=saletructiep_Australia.Anhlotrinh.1845.Giaotiep_TATTP_LD068&amp;utm_campaign=Australia.Giaotiep.Anhlotrinh_XuBen.5018_MES_HuyLG_160522</v>
      </c>
      <c r="U174" s="118"/>
    </row>
    <row r="175">
      <c r="A175" s="72">
        <v>44697.0</v>
      </c>
      <c r="B175" s="61" t="s">
        <v>777</v>
      </c>
      <c r="C175" s="67" t="str">
        <f>IFERROR(__xludf.DUMMYFUNCTION("""COMPUTED_VALUE"""),"LD068")</f>
        <v>LD068</v>
      </c>
      <c r="D175" s="55" t="s">
        <v>42</v>
      </c>
      <c r="E175" s="143" t="s">
        <v>79</v>
      </c>
      <c r="F175" s="55" t="s">
        <v>182</v>
      </c>
      <c r="G175" s="55">
        <v>1840.0</v>
      </c>
      <c r="H175" s="143" t="s">
        <v>1131</v>
      </c>
      <c r="I175" s="55" t="s">
        <v>3378</v>
      </c>
      <c r="J175" s="55" t="s">
        <v>3379</v>
      </c>
      <c r="K175" s="55" t="s">
        <v>61</v>
      </c>
      <c r="L175" s="55" t="s">
        <v>317</v>
      </c>
      <c r="M175" s="55" t="s">
        <v>78</v>
      </c>
      <c r="N175" s="55" t="s">
        <v>79</v>
      </c>
      <c r="O175" s="55" t="s">
        <v>910</v>
      </c>
      <c r="P175" s="55" t="s">
        <v>110</v>
      </c>
      <c r="Q175" s="67" t="str">
        <f>IFERROR(__xludf.DUMMYFUNCTION("""COMPUTED_VALUE"""),"Malaysia.Giaotiep.Videolophoc_XuBen.5018_MES_HuyLG_160522")</f>
        <v>Malaysia.Giaotiep.Videolophoc_XuBen.5018_MES_HuyLG_160522</v>
      </c>
      <c r="R175" s="67" t="str">
        <f>IFERROR(__xludf.DUMMYFUNCTION("""COMPUTED_VALUE"""),"NEW_Malaysia_1840_none_160522")</f>
        <v>NEW_Malaysia_1840_none_160522</v>
      </c>
      <c r="S175" s="67" t="str">
        <f>IFERROR(__xludf.DUMMYFUNCTION("""COMPUTED_VALUE"""),"saletructiep_Malaysia.Videolophoc.1840.Giaotiep_TATTP_LD068")</f>
        <v>saletructiep_Malaysia.Videolophoc.1840.Giaotiep_TATTP_LD068</v>
      </c>
      <c r="T175" s="107" t="str">
        <f>IFERROR(__xludf.DUMMYFUNCTION("""COMPUTED_VALUE"""),"https://patadovietnam.edu.vn/khoa-hoc-giao-tiep/?utm_source=Facebook&amp;utm_medium=MES&amp;utm_term=NEW_Malaysia_1840_none_160522&amp;utm_content=saletructiep_Malaysia.Videolophoc.1840.Giaotiep_TATTP_LD068&amp;utm_campaign=Malaysia.Giaotiep.Videolophoc_XuBen.5018_MES_Hu"&amp;"yLG_160522")</f>
        <v>https://patadovietnam.edu.vn/khoa-hoc-giao-tiep/?utm_source=Facebook&amp;utm_medium=MES&amp;utm_term=NEW_Malaysia_1840_none_160522&amp;utm_content=saletructiep_Malaysia.Videolophoc.1840.Giaotiep_TATTP_LD068&amp;utm_campaign=Malaysia.Giaotiep.Videolophoc_XuBen.5018_MES_HuyLG_160522</v>
      </c>
      <c r="U175" s="118"/>
    </row>
    <row r="176">
      <c r="A176" s="72">
        <v>44699.0</v>
      </c>
      <c r="B176" s="61" t="s">
        <v>777</v>
      </c>
      <c r="C176" s="67" t="str">
        <f>IFERROR(__xludf.DUMMYFUNCTION("""COMPUTED_VALUE"""),"LD068")</f>
        <v>LD068</v>
      </c>
      <c r="D176" s="55" t="s">
        <v>42</v>
      </c>
      <c r="E176" s="55" t="s">
        <v>79</v>
      </c>
      <c r="F176" s="55" t="s">
        <v>133</v>
      </c>
      <c r="G176" s="55">
        <v>1835.0</v>
      </c>
      <c r="H176" s="55" t="s">
        <v>1131</v>
      </c>
      <c r="I176" s="55" t="s">
        <v>3385</v>
      </c>
      <c r="J176" s="55" t="s">
        <v>3386</v>
      </c>
      <c r="K176" s="143" t="s">
        <v>61</v>
      </c>
      <c r="L176" s="143" t="s">
        <v>317</v>
      </c>
      <c r="M176" s="55" t="s">
        <v>78</v>
      </c>
      <c r="N176" s="55" t="s">
        <v>79</v>
      </c>
      <c r="O176" s="55" t="s">
        <v>910</v>
      </c>
      <c r="P176" s="143" t="s">
        <v>110</v>
      </c>
      <c r="Q176" s="67" t="str">
        <f>IFERROR(__xludf.DUMMYFUNCTION("""COMPUTED_VALUE"""),"Japan.Giaotiep.Anhnenxanh_XuBen.5018_MES_HuyLG_180522")</f>
        <v>Japan.Giaotiep.Anhnenxanh_XuBen.5018_MES_HuyLG_180522</v>
      </c>
      <c r="R176" s="67" t="str">
        <f>IFERROR(__xludf.DUMMYFUNCTION("""COMPUTED_VALUE"""),"NEW_Japan_1835_none_180522")</f>
        <v>NEW_Japan_1835_none_180522</v>
      </c>
      <c r="S176" s="67" t="str">
        <f>IFERROR(__xludf.DUMMYFUNCTION("""COMPUTED_VALUE"""),"saletructiep_Japan.Anhnenxanh.1835.Giaotiep_TATTP_LD068")</f>
        <v>saletructiep_Japan.Anhnenxanh.1835.Giaotiep_TATTP_LD068</v>
      </c>
      <c r="T176" s="107" t="str">
        <f>IFERROR(__xludf.DUMMYFUNCTION("""COMPUTED_VALUE"""),"https://patadovietnam.edu.vn/khoa-hoc-giao-tiep/?utm_source=Facebook&amp;utm_medium=MES&amp;utm_term=NEW_Japan_1835_none_180522&amp;utm_content=saletructiep_Japan.Anhnenxanh.1835.Giaotiep_TATTP_LD068&amp;utm_campaign=Japan.Giaotiep.Anhnenxanh_XuBen.5018_MES_HuyLG_180522")</f>
        <v>https://patadovietnam.edu.vn/khoa-hoc-giao-tiep/?utm_source=Facebook&amp;utm_medium=MES&amp;utm_term=NEW_Japan_1835_none_180522&amp;utm_content=saletructiep_Japan.Anhnenxanh.1835.Giaotiep_TATTP_LD068&amp;utm_campaign=Japan.Giaotiep.Anhnenxanh_XuBen.5018_MES_HuyLG_180522</v>
      </c>
      <c r="U176" s="118"/>
    </row>
    <row r="177">
      <c r="A177" s="72">
        <v>44699.0</v>
      </c>
      <c r="B177" s="61" t="s">
        <v>777</v>
      </c>
      <c r="C177" s="67" t="str">
        <f>IFERROR(__xludf.DUMMYFUNCTION("""COMPUTED_VALUE"""),"LD068")</f>
        <v>LD068</v>
      </c>
      <c r="D177" s="86" t="s">
        <v>42</v>
      </c>
      <c r="E177" s="87" t="s">
        <v>79</v>
      </c>
      <c r="F177" s="87" t="s">
        <v>112</v>
      </c>
      <c r="G177" s="163">
        <v>1838.0</v>
      </c>
      <c r="H177" s="86" t="s">
        <v>1131</v>
      </c>
      <c r="I177" s="87" t="s">
        <v>3390</v>
      </c>
      <c r="J177" s="55" t="s">
        <v>3391</v>
      </c>
      <c r="K177" s="143" t="s">
        <v>61</v>
      </c>
      <c r="L177" s="143" t="s">
        <v>317</v>
      </c>
      <c r="M177" s="55" t="s">
        <v>78</v>
      </c>
      <c r="N177" s="143" t="s">
        <v>79</v>
      </c>
      <c r="O177" s="55" t="s">
        <v>910</v>
      </c>
      <c r="P177" s="143" t="s">
        <v>110</v>
      </c>
      <c r="Q177" s="67" t="str">
        <f>IFERROR(__xludf.DUMMYFUNCTION("""COMPUTED_VALUE"""),"Canada.Giaotiep.Videogioithieu_XuBen.5018_MES_HuyLG_180522")</f>
        <v>Canada.Giaotiep.Videogioithieu_XuBen.5018_MES_HuyLG_180522</v>
      </c>
      <c r="R177" s="67" t="str">
        <f>IFERROR(__xludf.DUMMYFUNCTION("""COMPUTED_VALUE"""),"NEW_Canada_1838_none_180522")</f>
        <v>NEW_Canada_1838_none_180522</v>
      </c>
      <c r="S177" s="67" t="str">
        <f>IFERROR(__xludf.DUMMYFUNCTION("""COMPUTED_VALUE"""),"saletructiep_Canada.Videogioithieu.1845.Giaotiep_TATTP_LD068")</f>
        <v>saletructiep_Canada.Videogioithieu.1845.Giaotiep_TATTP_LD068</v>
      </c>
      <c r="T177" s="107" t="str">
        <f>IFERROR(__xludf.DUMMYFUNCTION("""COMPUTED_VALUE"""),"https://patadovietnam.edu.vn/khoa-hoc-giao-tiep/?utm_source=Facebook&amp;utm_medium=MES&amp;utm_term=NEW_Canada_1838_none_180522&amp;utm_content=saletructiep_Canada.Videogioithieu.1845.Giaotiep_TATTP_LD068&amp;utm_campaign=Canada.Giaotiep.Videogioithieu_XuBen.5018_MES_Hu"&amp;"yLG_180522")</f>
        <v>https://patadovietnam.edu.vn/khoa-hoc-giao-tiep/?utm_source=Facebook&amp;utm_medium=MES&amp;utm_term=NEW_Canada_1838_none_180522&amp;utm_content=saletructiep_Canada.Videogioithieu.1845.Giaotiep_TATTP_LD068&amp;utm_campaign=Canada.Giaotiep.Videogioithieu_XuBen.5018_MES_HuyLG_180522</v>
      </c>
      <c r="U177" s="118"/>
    </row>
    <row r="178">
      <c r="A178" s="72">
        <v>44699.0</v>
      </c>
      <c r="B178" s="61" t="s">
        <v>777</v>
      </c>
      <c r="C178" s="67" t="str">
        <f>IFERROR(__xludf.DUMMYFUNCTION("""COMPUTED_VALUE"""),"LD068")</f>
        <v>LD068</v>
      </c>
      <c r="D178" s="55" t="s">
        <v>42</v>
      </c>
      <c r="E178" s="143" t="s">
        <v>79</v>
      </c>
      <c r="F178" s="55" t="s">
        <v>129</v>
      </c>
      <c r="G178" s="55">
        <v>1833.0</v>
      </c>
      <c r="H178" s="143" t="s">
        <v>1131</v>
      </c>
      <c r="I178" s="55" t="s">
        <v>3394</v>
      </c>
      <c r="J178" s="55" t="s">
        <v>3395</v>
      </c>
      <c r="K178" s="143" t="s">
        <v>61</v>
      </c>
      <c r="L178" s="143" t="s">
        <v>317</v>
      </c>
      <c r="M178" s="55" t="s">
        <v>78</v>
      </c>
      <c r="N178" s="143" t="s">
        <v>79</v>
      </c>
      <c r="O178" s="55" t="s">
        <v>910</v>
      </c>
      <c r="P178" s="143" t="s">
        <v>110</v>
      </c>
      <c r="Q178" s="67" t="str">
        <f>IFERROR(__xludf.DUMMYFUNCTION("""COMPUTED_VALUE"""),"Australia.Giaotiep.Videogioithieu_XuBen.5018_MES_HuyLG_180522")</f>
        <v>Australia.Giaotiep.Videogioithieu_XuBen.5018_MES_HuyLG_180522</v>
      </c>
      <c r="R178" s="67" t="str">
        <f>IFERROR(__xludf.DUMMYFUNCTION("""COMPUTED_VALUE"""),"NEW_Australia_1833_none_180522")</f>
        <v>NEW_Australia_1833_none_180522</v>
      </c>
      <c r="S178" s="67" t="str">
        <f>IFERROR(__xludf.DUMMYFUNCTION("""COMPUTED_VALUE"""),"saletructiep_Australia.Videogioithieu.1845.Giaotiep_TATTP_LD068")</f>
        <v>saletructiep_Australia.Videogioithieu.1845.Giaotiep_TATTP_LD068</v>
      </c>
      <c r="T178" s="107" t="str">
        <f>IFERROR(__xludf.DUMMYFUNCTION("""COMPUTED_VALUE"""),"https://patadovietnam.edu.vn/khoa-hoc-giao-tiep/?utm_source=Facebook&amp;utm_medium=MES&amp;utm_term=NEW_Australia_1833_none_180522&amp;utm_content=saletructiep_Australia.Videogioithieu.1845.Giaotiep_TATTP_LD068&amp;utm_campaign=Australia.Giaotiep.Videogioithieu_XuBen.50"&amp;"18_MES_HuyLG_180522")</f>
        <v>https://patadovietnam.edu.vn/khoa-hoc-giao-tiep/?utm_source=Facebook&amp;utm_medium=MES&amp;utm_term=NEW_Australia_1833_none_180522&amp;utm_content=saletructiep_Australia.Videogioithieu.1845.Giaotiep_TATTP_LD068&amp;utm_campaign=Australia.Giaotiep.Videogioithieu_XuBen.5018_MES_HuyLG_180522</v>
      </c>
      <c r="U178" s="118"/>
    </row>
    <row r="179">
      <c r="A179" s="72">
        <v>44699.0</v>
      </c>
      <c r="B179" s="61" t="s">
        <v>777</v>
      </c>
      <c r="C179" s="67" t="str">
        <f>IFERROR(__xludf.DUMMYFUNCTION("""COMPUTED_VALUE"""),"LD068")</f>
        <v>LD068</v>
      </c>
      <c r="D179" s="143" t="s">
        <v>42</v>
      </c>
      <c r="E179" s="143" t="s">
        <v>79</v>
      </c>
      <c r="F179" s="143" t="s">
        <v>107</v>
      </c>
      <c r="G179" s="87">
        <v>1834.0</v>
      </c>
      <c r="H179" s="143" t="s">
        <v>1131</v>
      </c>
      <c r="I179" s="87" t="s">
        <v>3399</v>
      </c>
      <c r="J179" s="87" t="s">
        <v>3400</v>
      </c>
      <c r="K179" s="143" t="s">
        <v>61</v>
      </c>
      <c r="L179" s="143" t="s">
        <v>317</v>
      </c>
      <c r="M179" s="55" t="s">
        <v>78</v>
      </c>
      <c r="N179" s="143" t="s">
        <v>79</v>
      </c>
      <c r="O179" s="55" t="s">
        <v>910</v>
      </c>
      <c r="P179" s="143" t="s">
        <v>110</v>
      </c>
      <c r="Q179" s="67" t="str">
        <f>IFERROR(__xludf.DUMMYFUNCTION("""COMPUTED_VALUE"""),"UnitedStates.Giaotiep.Videogioithieu_XuBen.5018_MES_HuyLG_180522")</f>
        <v>UnitedStates.Giaotiep.Videogioithieu_XuBen.5018_MES_HuyLG_180522</v>
      </c>
      <c r="R179" s="67" t="str">
        <f>IFERROR(__xludf.DUMMYFUNCTION("""COMPUTED_VALUE"""),"NEW_UnitedStates_1834_none_180522")</f>
        <v>NEW_UnitedStates_1834_none_180522</v>
      </c>
      <c r="S179" s="67" t="str">
        <f>IFERROR(__xludf.DUMMYFUNCTION("""COMPUTED_VALUE"""),"saletructiep_UnitedStates.Videogioithieu.1845.Giaotiep_TATTP_LD068")</f>
        <v>saletructiep_UnitedStates.Videogioithieu.1845.Giaotiep_TATTP_LD068</v>
      </c>
      <c r="T179" s="107" t="str">
        <f>IFERROR(__xludf.DUMMYFUNCTION("""COMPUTED_VALUE"""),"https://patadovietnam.edu.vn/khoa-hoc-giao-tiep/?utm_source=Facebook&amp;utm_medium=MES&amp;utm_term=NEW_UnitedStates_1834_none_180522&amp;utm_content=saletructiep_UnitedStates.Videogioithieu.1845.Giaotiep_TATTP_LD068&amp;utm_campaign=UnitedStates.Giaotiep.Videogioithieu"&amp;"_XuBen.5018_MES_HuyLG_180522")</f>
        <v>https://patadovietnam.edu.vn/khoa-hoc-giao-tiep/?utm_source=Facebook&amp;utm_medium=MES&amp;utm_term=NEW_UnitedStates_1834_none_180522&amp;utm_content=saletructiep_UnitedStates.Videogioithieu.1845.Giaotiep_TATTP_LD068&amp;utm_campaign=UnitedStates.Giaotiep.Videogioithieu_XuBen.5018_MES_HuyLG_180522</v>
      </c>
      <c r="U179" s="118"/>
    </row>
    <row r="180">
      <c r="A180" s="72">
        <v>44699.0</v>
      </c>
      <c r="B180" s="61" t="s">
        <v>777</v>
      </c>
      <c r="C180" s="67" t="str">
        <f>IFERROR(__xludf.DUMMYFUNCTION("""COMPUTED_VALUE"""),"LD068")</f>
        <v>LD068</v>
      </c>
      <c r="D180" s="143" t="s">
        <v>42</v>
      </c>
      <c r="E180" s="143" t="s">
        <v>79</v>
      </c>
      <c r="F180" s="55" t="s">
        <v>164</v>
      </c>
      <c r="G180" s="87">
        <v>1834.0</v>
      </c>
      <c r="H180" s="143" t="s">
        <v>1131</v>
      </c>
      <c r="I180" s="55" t="s">
        <v>3405</v>
      </c>
      <c r="J180" s="55" t="s">
        <v>3406</v>
      </c>
      <c r="K180" s="143" t="s">
        <v>61</v>
      </c>
      <c r="L180" s="143" t="s">
        <v>317</v>
      </c>
      <c r="M180" s="55" t="s">
        <v>78</v>
      </c>
      <c r="N180" s="143" t="s">
        <v>79</v>
      </c>
      <c r="O180" s="55" t="s">
        <v>910</v>
      </c>
      <c r="P180" s="143" t="s">
        <v>110</v>
      </c>
      <c r="Q180" s="67" t="str">
        <f>IFERROR(__xludf.DUMMYFUNCTION("""COMPUTED_VALUE"""),"Taiwan.Giaotiep.VideoH4trungtam_XuBen.5018_MES_HuyLG_180522")</f>
        <v>Taiwan.Giaotiep.VideoH4trungtam_XuBen.5018_MES_HuyLG_180522</v>
      </c>
      <c r="R180" s="67" t="str">
        <f>IFERROR(__xludf.DUMMYFUNCTION("""COMPUTED_VALUE"""),"NEW_Taiwan_1834_none_180522")</f>
        <v>NEW_Taiwan_1834_none_180522</v>
      </c>
      <c r="S180" s="67" t="str">
        <f>IFERROR(__xludf.DUMMYFUNCTION("""COMPUTED_VALUE"""),"saletructiep_Taiwan.VideoH4trungtam.1834.Giaotiep_TATTP_LD068")</f>
        <v>saletructiep_Taiwan.VideoH4trungtam.1834.Giaotiep_TATTP_LD068</v>
      </c>
      <c r="T180" s="107" t="str">
        <f>IFERROR(__xludf.DUMMYFUNCTION("""COMPUTED_VALUE"""),"https://patadovietnam.edu.vn/khoa-hoc-giao-tiep/?utm_source=Facebook&amp;utm_medium=MES&amp;utm_term=NEW_Taiwan_1834_none_180522&amp;utm_content=saletructiep_Taiwan.VideoH4trungtam.1834.Giaotiep_TATTP_LD068&amp;utm_campaign=Taiwan.Giaotiep.VideoH4trungtam_XuBen.5018_MES_"&amp;"HuyLG_180522")</f>
        <v>https://patadovietnam.edu.vn/khoa-hoc-giao-tiep/?utm_source=Facebook&amp;utm_medium=MES&amp;utm_term=NEW_Taiwan_1834_none_180522&amp;utm_content=saletructiep_Taiwan.VideoH4trungtam.1834.Giaotiep_TATTP_LD068&amp;utm_campaign=Taiwan.Giaotiep.VideoH4trungtam_XuBen.5018_MES_HuyLG_180522</v>
      </c>
      <c r="U180" s="118"/>
    </row>
    <row r="181">
      <c r="A181" s="72">
        <v>44702.0</v>
      </c>
      <c r="B181" s="61" t="s">
        <v>777</v>
      </c>
      <c r="C181" s="67" t="str">
        <f>IFERROR(__xludf.DUMMYFUNCTION("""COMPUTED_VALUE"""),"LD068")</f>
        <v>LD068</v>
      </c>
      <c r="D181" s="55" t="s">
        <v>42</v>
      </c>
      <c r="E181" s="55" t="s">
        <v>79</v>
      </c>
      <c r="F181" s="55" t="s">
        <v>133</v>
      </c>
      <c r="G181" s="55">
        <v>1840.0</v>
      </c>
      <c r="H181" s="55" t="s">
        <v>1131</v>
      </c>
      <c r="I181" s="55" t="s">
        <v>3145</v>
      </c>
      <c r="J181" s="55" t="s">
        <v>3146</v>
      </c>
      <c r="K181" s="143" t="s">
        <v>61</v>
      </c>
      <c r="L181" s="143" t="s">
        <v>317</v>
      </c>
      <c r="M181" s="55" t="s">
        <v>78</v>
      </c>
      <c r="N181" s="143" t="s">
        <v>79</v>
      </c>
      <c r="O181" s="55" t="s">
        <v>3271</v>
      </c>
      <c r="P181" s="143" t="s">
        <v>110</v>
      </c>
      <c r="Q181" s="67" t="str">
        <f>IFERROR(__xludf.DUMMYFUNCTION("""COMPUTED_VALUE"""),"Japan.Giaotiep.VideoH4trungtam_XuBen.5018_MES_HuyLG_210522")</f>
        <v>Japan.Giaotiep.VideoH4trungtam_XuBen.5018_MES_HuyLG_210522</v>
      </c>
      <c r="R181" s="67" t="str">
        <f>IFERROR(__xludf.DUMMYFUNCTION("""COMPUTED_VALUE"""),"NEW_Japan_1840_none_210522")</f>
        <v>NEW_Japan_1840_none_210522</v>
      </c>
      <c r="S181" s="67" t="str">
        <f>IFERROR(__xludf.DUMMYFUNCTION("""COMPUTED_VALUE"""),"saletructiep_Japan.VideoH4trungtam.1840.Giaotiep_PGPGTTA_LD068")</f>
        <v>saletructiep_Japan.VideoH4trungtam.1840.Giaotiep_PGPGTTA_LD068</v>
      </c>
      <c r="T181" s="107" t="str">
        <f>IFERROR(__xludf.DUMMYFUNCTION("""COMPUTED_VALUE"""),"https://patadovietnam.edu.vn/khoa-hoc-giao-tiep/?utm_source=Facebook&amp;utm_medium=MES&amp;utm_term=NEW_Japan_1840_none_210522&amp;utm_content=saletructiep_Japan.VideoH4trungtam.1840.Giaotiep_PGPGTTA_LD068&amp;utm_campaign=Japan.Giaotiep.VideoH4trungtam_XuBen.5018_MES_H"&amp;"uyLG_210522")</f>
        <v>https://patadovietnam.edu.vn/khoa-hoc-giao-tiep/?utm_source=Facebook&amp;utm_medium=MES&amp;utm_term=NEW_Japan_1840_none_210522&amp;utm_content=saletructiep_Japan.VideoH4trungtam.1840.Giaotiep_PGPGTTA_LD068&amp;utm_campaign=Japan.Giaotiep.VideoH4trungtam_XuBen.5018_MES_HuyLG_210522</v>
      </c>
      <c r="U181" s="118"/>
    </row>
    <row r="182">
      <c r="A182" s="72">
        <v>44703.0</v>
      </c>
      <c r="B182" s="61" t="s">
        <v>777</v>
      </c>
      <c r="C182" s="67" t="str">
        <f>IFERROR(__xludf.DUMMYFUNCTION("""COMPUTED_VALUE"""),"LD068")</f>
        <v>LD068</v>
      </c>
      <c r="D182" s="55" t="s">
        <v>42</v>
      </c>
      <c r="E182" s="55" t="s">
        <v>69</v>
      </c>
      <c r="F182" s="55" t="s">
        <v>133</v>
      </c>
      <c r="G182" s="55">
        <v>1835.0</v>
      </c>
      <c r="H182" s="55" t="s">
        <v>1131</v>
      </c>
      <c r="I182" s="55" t="s">
        <v>3412</v>
      </c>
      <c r="J182" s="55" t="s">
        <v>3413</v>
      </c>
      <c r="K182" s="143" t="s">
        <v>61</v>
      </c>
      <c r="L182" s="143" t="s">
        <v>317</v>
      </c>
      <c r="M182" s="55" t="s">
        <v>78</v>
      </c>
      <c r="N182" s="55" t="s">
        <v>69</v>
      </c>
      <c r="O182" s="55" t="s">
        <v>910</v>
      </c>
      <c r="P182" s="143" t="s">
        <v>110</v>
      </c>
      <c r="Q182" s="67" t="str">
        <f>IFERROR(__xludf.DUMMYFUNCTION("""COMPUTED_VALUE"""),"Japan.Giaotiep.Anhthongbao12_XuBen.5018_CVS_HuyLG_220522")</f>
        <v>Japan.Giaotiep.Anhthongbao12_XuBen.5018_CVS_HuyLG_220522</v>
      </c>
      <c r="R182" s="67" t="str">
        <f>IFERROR(__xludf.DUMMYFUNCTION("""COMPUTED_VALUE"""),"NEW_Japan_1835_none_220522")</f>
        <v>NEW_Japan_1835_none_220522</v>
      </c>
      <c r="S182" s="67" t="str">
        <f>IFERROR(__xludf.DUMMYFUNCTION("""COMPUTED_VALUE"""),"saletructiep_Japan.Anhthongbao12.1835.Giaotiep_TATTP_LD068")</f>
        <v>saletructiep_Japan.Anhthongbao12.1835.Giaotiep_TATTP_LD068</v>
      </c>
      <c r="T182" s="107" t="str">
        <f>IFERROR(__xludf.DUMMYFUNCTION("""COMPUTED_VALUE"""),"https://patadovietnam.edu.vn/khoa-hoc-giao-tiep/?utm_source=Facebook&amp;utm_medium=CVS&amp;utm_term=NEW_Japan_1835_none_220522&amp;utm_content=saletructiep_Japan.Anhthongbao12.1835.Giaotiep_TATTP_LD068&amp;utm_campaign=Japan.Giaotiep.Anhthongbao12_XuBen.5018_CVS_HuyLG_2"&amp;"20522")</f>
        <v>https://patadovietnam.edu.vn/khoa-hoc-giao-tiep/?utm_source=Facebook&amp;utm_medium=CVS&amp;utm_term=NEW_Japan_1835_none_220522&amp;utm_content=saletructiep_Japan.Anhthongbao12.1835.Giaotiep_TATTP_LD068&amp;utm_campaign=Japan.Giaotiep.Anhthongbao12_XuBen.5018_CVS_HuyLG_220522</v>
      </c>
      <c r="U182" s="118"/>
    </row>
    <row r="183">
      <c r="A183" s="72">
        <v>44703.0</v>
      </c>
      <c r="B183" s="61" t="s">
        <v>777</v>
      </c>
      <c r="C183" s="67" t="str">
        <f>IFERROR(__xludf.DUMMYFUNCTION("""COMPUTED_VALUE"""),"LD068")</f>
        <v>LD068</v>
      </c>
      <c r="D183" s="55" t="s">
        <v>42</v>
      </c>
      <c r="E183" s="143" t="s">
        <v>79</v>
      </c>
      <c r="F183" s="55" t="s">
        <v>129</v>
      </c>
      <c r="G183" s="55">
        <v>1845.0</v>
      </c>
      <c r="H183" s="143" t="s">
        <v>1131</v>
      </c>
      <c r="I183" s="55" t="s">
        <v>3420</v>
      </c>
      <c r="J183" s="55" t="s">
        <v>3421</v>
      </c>
      <c r="K183" s="143" t="s">
        <v>61</v>
      </c>
      <c r="L183" s="143" t="s">
        <v>317</v>
      </c>
      <c r="M183" s="55" t="s">
        <v>78</v>
      </c>
      <c r="N183" s="143" t="s">
        <v>79</v>
      </c>
      <c r="O183" s="55" t="s">
        <v>910</v>
      </c>
      <c r="P183" s="143" t="s">
        <v>110</v>
      </c>
      <c r="Q183" s="67" t="str">
        <f>IFERROR(__xludf.DUMMYFUNCTION("""COMPUTED_VALUE"""),"Australia.Giaotiep.Anhthongbao12_XuBen.5018_MES_HuyLG_220522")</f>
        <v>Australia.Giaotiep.Anhthongbao12_XuBen.5018_MES_HuyLG_220522</v>
      </c>
      <c r="R183" s="67" t="str">
        <f>IFERROR(__xludf.DUMMYFUNCTION("""COMPUTED_VALUE"""),"NEW_Australia_1845_none_220522")</f>
        <v>NEW_Australia_1845_none_220522</v>
      </c>
      <c r="S183" s="67" t="str">
        <f>IFERROR(__xludf.DUMMYFUNCTION("""COMPUTED_VALUE"""),"saletructiep_Australia.Anhthongbao12.1845.Giaotiep_TATTP_LD068")</f>
        <v>saletructiep_Australia.Anhthongbao12.1845.Giaotiep_TATTP_LD068</v>
      </c>
      <c r="T183" s="107" t="str">
        <f>IFERROR(__xludf.DUMMYFUNCTION("""COMPUTED_VALUE"""),"https://patadovietnam.edu.vn/khoa-hoc-giao-tiep/?utm_source=Facebook&amp;utm_medium=MES&amp;utm_term=NEW_Australia_1845_none_220522&amp;utm_content=saletructiep_Australia.Anhthongbao12.1845.Giaotiep_TATTP_LD068&amp;utm_campaign=Australia.Giaotiep.Anhthongbao12_XuBen.5018"&amp;"_MES_HuyLG_220522")</f>
        <v>https://patadovietnam.edu.vn/khoa-hoc-giao-tiep/?utm_source=Facebook&amp;utm_medium=MES&amp;utm_term=NEW_Australia_1845_none_220522&amp;utm_content=saletructiep_Australia.Anhthongbao12.1845.Giaotiep_TATTP_LD068&amp;utm_campaign=Australia.Giaotiep.Anhthongbao12_XuBen.5018_MES_HuyLG_220522</v>
      </c>
      <c r="U183" s="118"/>
    </row>
    <row r="184">
      <c r="A184" s="72">
        <v>44703.0</v>
      </c>
      <c r="B184" s="61" t="s">
        <v>777</v>
      </c>
      <c r="C184" s="67" t="str">
        <f>IFERROR(__xludf.DUMMYFUNCTION("""COMPUTED_VALUE"""),"LD068")</f>
        <v>LD068</v>
      </c>
      <c r="D184" s="143" t="s">
        <v>42</v>
      </c>
      <c r="E184" s="143" t="s">
        <v>79</v>
      </c>
      <c r="F184" s="143" t="s">
        <v>107</v>
      </c>
      <c r="G184" s="87">
        <v>1845.0</v>
      </c>
      <c r="H184" s="143" t="s">
        <v>1131</v>
      </c>
      <c r="I184" s="87" t="s">
        <v>3430</v>
      </c>
      <c r="J184" s="87" t="s">
        <v>3431</v>
      </c>
      <c r="K184" s="143" t="s">
        <v>61</v>
      </c>
      <c r="L184" s="143" t="s">
        <v>317</v>
      </c>
      <c r="M184" s="55" t="s">
        <v>78</v>
      </c>
      <c r="N184" s="143" t="s">
        <v>79</v>
      </c>
      <c r="O184" s="55" t="s">
        <v>910</v>
      </c>
      <c r="P184" s="87" t="s">
        <v>110</v>
      </c>
      <c r="Q184" s="67" t="str">
        <f>IFERROR(__xludf.DUMMYFUNCTION("""COMPUTED_VALUE"""),"UnitedStates.Giaotiep.Anhthongbao12_XuBen.5018_MES_HuyLG_220522")</f>
        <v>UnitedStates.Giaotiep.Anhthongbao12_XuBen.5018_MES_HuyLG_220522</v>
      </c>
      <c r="R184" s="67" t="str">
        <f>IFERROR(__xludf.DUMMYFUNCTION("""COMPUTED_VALUE"""),"NEW_UnitedStates_1845_none_220522")</f>
        <v>NEW_UnitedStates_1845_none_220522</v>
      </c>
      <c r="S184" s="67" t="str">
        <f>IFERROR(__xludf.DUMMYFUNCTION("""COMPUTED_VALUE"""),"saletructiep_UnitedStates.Anhthongbao12.1845.Giaotiep_TATTP_LD068")</f>
        <v>saletructiep_UnitedStates.Anhthongbao12.1845.Giaotiep_TATTP_LD068</v>
      </c>
      <c r="T184" s="107" t="str">
        <f>IFERROR(__xludf.DUMMYFUNCTION("""COMPUTED_VALUE"""),"https://patadovietnam.edu.vn/khoa-hoc-giao-tiep/?utm_source=Facebook&amp;utm_medium=MES&amp;utm_term=NEW_UnitedStates_1845_none_220522&amp;utm_content=saletructiep_UnitedStates.Anhthongbao12.1845.Giaotiep_TATTP_LD068&amp;utm_campaign=UnitedStates.Giaotiep.Anhthongbao12_X"&amp;"uBen.5018_MES_HuyLG_220522")</f>
        <v>https://patadovietnam.edu.vn/khoa-hoc-giao-tiep/?utm_source=Facebook&amp;utm_medium=MES&amp;utm_term=NEW_UnitedStates_1845_none_220522&amp;utm_content=saletructiep_UnitedStates.Anhthongbao12.1845.Giaotiep_TATTP_LD068&amp;utm_campaign=UnitedStates.Giaotiep.Anhthongbao12_XuBen.5018_MES_HuyLG_220522</v>
      </c>
      <c r="U184" s="118"/>
    </row>
    <row r="185">
      <c r="A185" s="72">
        <v>44703.0</v>
      </c>
      <c r="B185" s="61" t="s">
        <v>777</v>
      </c>
      <c r="C185" s="67" t="str">
        <f>IFERROR(__xludf.DUMMYFUNCTION("""COMPUTED_VALUE"""),"LD068")</f>
        <v>LD068</v>
      </c>
      <c r="D185" s="55" t="s">
        <v>42</v>
      </c>
      <c r="E185" s="55" t="s">
        <v>79</v>
      </c>
      <c r="F185" s="55" t="s">
        <v>162</v>
      </c>
      <c r="G185" s="55">
        <v>1845.0</v>
      </c>
      <c r="H185" s="55" t="s">
        <v>1131</v>
      </c>
      <c r="I185" s="55" t="s">
        <v>3436</v>
      </c>
      <c r="J185" s="55" t="s">
        <v>3437</v>
      </c>
      <c r="K185" s="55" t="s">
        <v>61</v>
      </c>
      <c r="L185" s="55" t="s">
        <v>317</v>
      </c>
      <c r="M185" s="55" t="s">
        <v>78</v>
      </c>
      <c r="N185" s="55" t="s">
        <v>79</v>
      </c>
      <c r="O185" s="55" t="s">
        <v>910</v>
      </c>
      <c r="P185" s="55" t="s">
        <v>110</v>
      </c>
      <c r="Q185" s="129" t="str">
        <f>IFERROR(__xludf.DUMMYFUNCTION("""COMPUTED_VALUE"""),"Singapore.Giaotiep.Anhthongbao12_XuBen.5018_MES_HuyLG_220522")</f>
        <v>Singapore.Giaotiep.Anhthongbao12_XuBen.5018_MES_HuyLG_220522</v>
      </c>
      <c r="R185" s="129" t="str">
        <f>IFERROR(__xludf.DUMMYFUNCTION("""COMPUTED_VALUE"""),"NEW_Singapore_1845_none_220522")</f>
        <v>NEW_Singapore_1845_none_220522</v>
      </c>
      <c r="S185" s="129" t="str">
        <f>IFERROR(__xludf.DUMMYFUNCTION("""COMPUTED_VALUE"""),"saletructiep_Singapore.Anhthongbao12.1845.Giaotiep_TATTP_LD068")</f>
        <v>saletructiep_Singapore.Anhthongbao12.1845.Giaotiep_TATTP_LD068</v>
      </c>
      <c r="T185" s="130" t="str">
        <f>IFERROR(__xludf.DUMMYFUNCTION("""COMPUTED_VALUE"""),"https://patadovietnam.edu.vn/khoa-hoc-giao-tiep/?utm_source=Facebook&amp;utm_medium=MES&amp;utm_term=NEW_Singapore_1845_none_220522&amp;utm_content=saletructiep_Singapore.Anhthongbao12.1845.Giaotiep_TATTP_LD068&amp;utm_campaign=Singapore.Giaotiep.Anhthongbao12_XuBen.5018"&amp;"_MES_HuyLG_220522")</f>
        <v>https://patadovietnam.edu.vn/khoa-hoc-giao-tiep/?utm_source=Facebook&amp;utm_medium=MES&amp;utm_term=NEW_Singapore_1845_none_220522&amp;utm_content=saletructiep_Singapore.Anhthongbao12.1845.Giaotiep_TATTP_LD068&amp;utm_campaign=Singapore.Giaotiep.Anhthongbao12_XuBen.5018_MES_HuyLG_220522</v>
      </c>
      <c r="U185" s="174"/>
    </row>
    <row r="186">
      <c r="A186" s="72">
        <v>44703.0</v>
      </c>
      <c r="B186" s="61" t="s">
        <v>777</v>
      </c>
      <c r="C186" s="67" t="str">
        <f>IFERROR(__xludf.DUMMYFUNCTION("""COMPUTED_VALUE"""),"LD068")</f>
        <v>LD068</v>
      </c>
      <c r="D186" s="86" t="s">
        <v>42</v>
      </c>
      <c r="E186" s="87" t="s">
        <v>79</v>
      </c>
      <c r="F186" s="87" t="s">
        <v>112</v>
      </c>
      <c r="G186" s="163">
        <v>1838.0</v>
      </c>
      <c r="H186" s="86" t="s">
        <v>1131</v>
      </c>
      <c r="I186" s="87" t="s">
        <v>3446</v>
      </c>
      <c r="J186" s="55" t="s">
        <v>3447</v>
      </c>
      <c r="K186" s="143" t="s">
        <v>61</v>
      </c>
      <c r="L186" s="143" t="s">
        <v>317</v>
      </c>
      <c r="M186" s="55" t="s">
        <v>78</v>
      </c>
      <c r="N186" s="143" t="s">
        <v>79</v>
      </c>
      <c r="O186" s="55" t="s">
        <v>910</v>
      </c>
      <c r="P186" s="143" t="s">
        <v>110</v>
      </c>
      <c r="Q186" s="129" t="str">
        <f>IFERROR(__xludf.DUMMYFUNCTION("""COMPUTED_VALUE"""),"Canada.Giaotiep.Anhthongbao12_XuBen.5018_MES_HuyLG_220522")</f>
        <v>Canada.Giaotiep.Anhthongbao12_XuBen.5018_MES_HuyLG_220522</v>
      </c>
      <c r="R186" s="129" t="str">
        <f>IFERROR(__xludf.DUMMYFUNCTION("""COMPUTED_VALUE"""),"NEW_Canada_1838_none_220522")</f>
        <v>NEW_Canada_1838_none_220522</v>
      </c>
      <c r="S186" s="114" t="str">
        <f>IFERROR(__xludf.DUMMYFUNCTION("""COMPUTED_VALUE"""),"saletructiep_Canada.Anhthongbao12.1845.Giaotiep_TATTP_LD068")</f>
        <v>saletructiep_Canada.Anhthongbao12.1845.Giaotiep_TATTP_LD068</v>
      </c>
      <c r="T186" s="130" t="str">
        <f>IFERROR(__xludf.DUMMYFUNCTION("""COMPUTED_VALUE"""),"https://patadovietnam.edu.vn/khoa-hoc-giao-tiep/?utm_source=Facebook&amp;utm_medium=MES&amp;utm_term=NEW_Canada_1838_none_220522&amp;utm_content=saletructiep_Canada.Anhthongbao12.1845.Giaotiep_TATTP_LD068&amp;utm_campaign=Canada.Giaotiep.Anhthongbao12_XuBen.5018_MES_HuyL"&amp;"G_220522")</f>
        <v>https://patadovietnam.edu.vn/khoa-hoc-giao-tiep/?utm_source=Facebook&amp;utm_medium=MES&amp;utm_term=NEW_Canada_1838_none_220522&amp;utm_content=saletructiep_Canada.Anhthongbao12.1845.Giaotiep_TATTP_LD068&amp;utm_campaign=Canada.Giaotiep.Anhthongbao12_XuBen.5018_MES_HuyLG_220522</v>
      </c>
      <c r="U186" s="174"/>
    </row>
    <row r="187">
      <c r="A187" s="72">
        <v>44703.0</v>
      </c>
      <c r="B187" s="61" t="s">
        <v>777</v>
      </c>
      <c r="C187" s="67" t="str">
        <f>IFERROR(__xludf.DUMMYFUNCTION("""COMPUTED_VALUE"""),"LD068")</f>
        <v>LD068</v>
      </c>
      <c r="D187" s="143" t="s">
        <v>42</v>
      </c>
      <c r="E187" s="143" t="s">
        <v>79</v>
      </c>
      <c r="F187" s="55" t="s">
        <v>164</v>
      </c>
      <c r="G187" s="87">
        <v>1840.0</v>
      </c>
      <c r="H187" s="143" t="s">
        <v>1131</v>
      </c>
      <c r="I187" s="55" t="s">
        <v>3452</v>
      </c>
      <c r="J187" s="55" t="s">
        <v>3453</v>
      </c>
      <c r="K187" s="143" t="s">
        <v>61</v>
      </c>
      <c r="L187" s="143" t="s">
        <v>317</v>
      </c>
      <c r="M187" s="55" t="s">
        <v>78</v>
      </c>
      <c r="N187" s="143" t="s">
        <v>79</v>
      </c>
      <c r="O187" s="55" t="s">
        <v>910</v>
      </c>
      <c r="P187" s="143" t="s">
        <v>110</v>
      </c>
      <c r="Q187" s="129" t="str">
        <f>IFERROR(__xludf.DUMMYFUNCTION("""COMPUTED_VALUE"""),"Taiwan.Giaotiep.Anhthongbao12_XuBen.5018_MES_HuyLG_220522")</f>
        <v>Taiwan.Giaotiep.Anhthongbao12_XuBen.5018_MES_HuyLG_220522</v>
      </c>
      <c r="R187" s="129" t="str">
        <f>IFERROR(__xludf.DUMMYFUNCTION("""COMPUTED_VALUE"""),"NEW_Taiwan_1840_none_220522")</f>
        <v>NEW_Taiwan_1840_none_220522</v>
      </c>
      <c r="S187" s="129" t="str">
        <f>IFERROR(__xludf.DUMMYFUNCTION("""COMPUTED_VALUE"""),"saletructiep_Taiwan.Anhthongbao12.1840.Giaotiep_TATTP_LD068")</f>
        <v>saletructiep_Taiwan.Anhthongbao12.1840.Giaotiep_TATTP_LD068</v>
      </c>
      <c r="T187" s="130" t="str">
        <f>IFERROR(__xludf.DUMMYFUNCTION("""COMPUTED_VALUE"""),"https://patadovietnam.edu.vn/khoa-hoc-giao-tiep/?utm_source=Facebook&amp;utm_medium=MES&amp;utm_term=NEW_Taiwan_1840_none_220522&amp;utm_content=saletructiep_Taiwan.Anhthongbao12.1840.Giaotiep_TATTP_LD068&amp;utm_campaign=Taiwan.Giaotiep.Anhthongbao12_XuBen.5018_MES_HuyL"&amp;"G_220522")</f>
        <v>https://patadovietnam.edu.vn/khoa-hoc-giao-tiep/?utm_source=Facebook&amp;utm_medium=MES&amp;utm_term=NEW_Taiwan_1840_none_220522&amp;utm_content=saletructiep_Taiwan.Anhthongbao12.1840.Giaotiep_TATTP_LD068&amp;utm_campaign=Taiwan.Giaotiep.Anhthongbao12_XuBen.5018_MES_HuyLG_220522</v>
      </c>
      <c r="U187" s="174"/>
    </row>
    <row r="188">
      <c r="A188" s="72">
        <v>44685.0</v>
      </c>
      <c r="B188" s="60" t="s">
        <v>3461</v>
      </c>
      <c r="C188" s="67" t="str">
        <f>IFERROR(__xludf.DUMMYFUNCTION("""COMPUTED_VALUE"""),"LD154")</f>
        <v>LD154</v>
      </c>
      <c r="D188" s="55" t="s">
        <v>42</v>
      </c>
      <c r="E188" s="143" t="s">
        <v>79</v>
      </c>
      <c r="F188" s="55" t="s">
        <v>674</v>
      </c>
      <c r="G188" s="55">
        <v>1840.0</v>
      </c>
      <c r="H188" s="143" t="s">
        <v>1131</v>
      </c>
      <c r="I188" s="55" t="s">
        <v>3127</v>
      </c>
      <c r="J188" s="55" t="s">
        <v>3128</v>
      </c>
      <c r="K188" s="55" t="s">
        <v>61</v>
      </c>
      <c r="L188" s="55" t="s">
        <v>317</v>
      </c>
      <c r="M188" s="55" t="s">
        <v>78</v>
      </c>
      <c r="N188" s="55" t="s">
        <v>79</v>
      </c>
      <c r="O188" s="55" t="s">
        <v>3271</v>
      </c>
      <c r="P188" s="55" t="s">
        <v>110</v>
      </c>
      <c r="Q188" s="175" t="str">
        <f>IFERROR(__xludf.DUMMYFUNCTION("""COMPUTED_VALUE"""),"Europe.Giaotiep.Anhthongbao_XuBen.5018_MES_HuyLG_040522")</f>
        <v>Europe.Giaotiep.Anhthongbao_XuBen.5018_MES_HuyLG_040522</v>
      </c>
      <c r="R188" s="175" t="str">
        <f>IFERROR(__xludf.DUMMYFUNCTION("""COMPUTED_VALUE"""),"NEW_Europe_1840_none_040522")</f>
        <v>NEW_Europe_1840_none_040522</v>
      </c>
      <c r="S188" s="175" t="str">
        <f>IFERROR(__xludf.DUMMYFUNCTION("""COMPUTED_VALUE"""),"saletructiep_Europe.Anhthongbao.1845.Giaotiep_PGPGTTA_LD154")</f>
        <v>saletructiep_Europe.Anhthongbao.1845.Giaotiep_PGPGTTA_LD154</v>
      </c>
      <c r="T188" s="176" t="str">
        <f>IFERROR(__xludf.DUMMYFUNCTION("""COMPUTED_VALUE"""),"https://patadovietnam.edu.vn/eu_hlg/?utm_source=Facebook&amp;utm_medium=MES&amp;utm_term=NEW_Europe_1840_none_040522&amp;utm_content=saletructiep_Europe.Anhthongbao.1845.Giaotiep_PGPGTTA_LD154&amp;utm_campaign=Europe.Giaotiep.Anhthongbao_XuBen.5018_MES_HuyLG_040522")</f>
        <v>https://patadovietnam.edu.vn/eu_hlg/?utm_source=Facebook&amp;utm_medium=MES&amp;utm_term=NEW_Europe_1840_none_040522&amp;utm_content=saletructiep_Europe.Anhthongbao.1845.Giaotiep_PGPGTTA_LD154&amp;utm_campaign=Europe.Giaotiep.Anhthongbao_XuBen.5018_MES_HuyLG_040522</v>
      </c>
      <c r="U188" s="177" t="s">
        <v>3469</v>
      </c>
    </row>
    <row r="189">
      <c r="A189" s="72">
        <v>44704.0</v>
      </c>
      <c r="B189" s="61" t="s">
        <v>777</v>
      </c>
      <c r="C189" s="67" t="str">
        <f>IFERROR(__xludf.DUMMYFUNCTION("""COMPUTED_VALUE"""),"LD068")</f>
        <v>LD068</v>
      </c>
      <c r="D189" s="55" t="s">
        <v>42</v>
      </c>
      <c r="E189" s="55" t="s">
        <v>69</v>
      </c>
      <c r="F189" s="55" t="s">
        <v>133</v>
      </c>
      <c r="G189" s="55">
        <v>1840.0</v>
      </c>
      <c r="H189" s="55" t="s">
        <v>1131</v>
      </c>
      <c r="I189" s="55" t="s">
        <v>3412</v>
      </c>
      <c r="J189" s="55" t="s">
        <v>3473</v>
      </c>
      <c r="K189" s="143" t="s">
        <v>61</v>
      </c>
      <c r="L189" s="143" t="s">
        <v>317</v>
      </c>
      <c r="M189" s="55" t="s">
        <v>78</v>
      </c>
      <c r="N189" s="55" t="s">
        <v>69</v>
      </c>
      <c r="O189" s="55" t="s">
        <v>3271</v>
      </c>
      <c r="P189" s="143" t="s">
        <v>110</v>
      </c>
      <c r="Q189" s="129" t="str">
        <f>IFERROR(__xludf.DUMMYFUNCTION("""COMPUTED_VALUE"""),"Japan.Giaotiep.Anhthongbao12_XuBen.5018_CVS_HuyLG_230522")</f>
        <v>Japan.Giaotiep.Anhthongbao12_XuBen.5018_CVS_HuyLG_230522</v>
      </c>
      <c r="R189" s="129" t="str">
        <f>IFERROR(__xludf.DUMMYFUNCTION("""COMPUTED_VALUE"""),"NEW_Japan_1840_none_230522")</f>
        <v>NEW_Japan_1840_none_230522</v>
      </c>
      <c r="S189" s="129" t="str">
        <f>IFERROR(__xludf.DUMMYFUNCTION("""COMPUTED_VALUE"""),"saletructiep_Japan.Anhthongbao12.1840.Giaotiep_PGPGTTA_LD068")</f>
        <v>saletructiep_Japan.Anhthongbao12.1840.Giaotiep_PGPGTTA_LD068</v>
      </c>
      <c r="T189" s="130" t="str">
        <f>IFERROR(__xludf.DUMMYFUNCTION("""COMPUTED_VALUE"""),"https://patadovietnam.edu.vn/khoa-hoc-giao-tiep/?utm_source=Facebook&amp;utm_medium=CVS&amp;utm_term=NEW_Japan_1840_none_230522&amp;utm_content=saletructiep_Japan.Anhthongbao12.1840.Giaotiep_PGPGTTA_LD068&amp;utm_campaign=Japan.Giaotiep.Anhthongbao12_XuBen.5018_CVS_HuyLG"&amp;"_230522")</f>
        <v>https://patadovietnam.edu.vn/khoa-hoc-giao-tiep/?utm_source=Facebook&amp;utm_medium=CVS&amp;utm_term=NEW_Japan_1840_none_230522&amp;utm_content=saletructiep_Japan.Anhthongbao12.1840.Giaotiep_PGPGTTA_LD068&amp;utm_campaign=Japan.Giaotiep.Anhthongbao12_XuBen.5018_CVS_HuyLG_230522</v>
      </c>
      <c r="U189" s="112" t="s">
        <v>3478</v>
      </c>
    </row>
    <row r="190">
      <c r="A190" s="72">
        <v>44704.0</v>
      </c>
      <c r="B190" s="61" t="s">
        <v>777</v>
      </c>
      <c r="C190" s="67" t="str">
        <f>IFERROR(__xludf.DUMMYFUNCTION("""COMPUTED_VALUE"""),"LD068")</f>
        <v>LD068</v>
      </c>
      <c r="D190" s="55" t="s">
        <v>42</v>
      </c>
      <c r="E190" s="143" t="s">
        <v>79</v>
      </c>
      <c r="F190" s="55" t="s">
        <v>129</v>
      </c>
      <c r="G190" s="55">
        <v>1845.0</v>
      </c>
      <c r="H190" s="143" t="s">
        <v>1131</v>
      </c>
      <c r="I190" s="55" t="s">
        <v>3420</v>
      </c>
      <c r="J190" s="55" t="s">
        <v>3421</v>
      </c>
      <c r="K190" s="143" t="s">
        <v>61</v>
      </c>
      <c r="L190" s="143" t="s">
        <v>317</v>
      </c>
      <c r="M190" s="55" t="s">
        <v>78</v>
      </c>
      <c r="N190" s="143" t="s">
        <v>79</v>
      </c>
      <c r="O190" s="55" t="s">
        <v>3271</v>
      </c>
      <c r="P190" s="143" t="s">
        <v>110</v>
      </c>
      <c r="Q190" s="178" t="str">
        <f>IFERROR(__xludf.DUMMYFUNCTION("""COMPUTED_VALUE"""),"Australia.Giaotiep.Anhthongbao12_XuBen.5018_MES_HuyLG_230522")</f>
        <v>Australia.Giaotiep.Anhthongbao12_XuBen.5018_MES_HuyLG_230522</v>
      </c>
      <c r="R190" s="178" t="str">
        <f>IFERROR(__xludf.DUMMYFUNCTION("""COMPUTED_VALUE"""),"NEW_Australia_1845_none_230522")</f>
        <v>NEW_Australia_1845_none_230522</v>
      </c>
      <c r="S190" s="178" t="str">
        <f>IFERROR(__xludf.DUMMYFUNCTION("""COMPUTED_VALUE"""),"saletructiep_Australia.Anhthongbao12.1845.Giaotiep_PGPGTTA_LD068")</f>
        <v>saletructiep_Australia.Anhthongbao12.1845.Giaotiep_PGPGTTA_LD068</v>
      </c>
      <c r="T190" s="179" t="str">
        <f>IFERROR(__xludf.DUMMYFUNCTION("""COMPUTED_VALUE"""),"https://patadovietnam.edu.vn/khoa-hoc-giao-tiep/?utm_source=Facebook&amp;utm_medium=MES&amp;utm_term=NEW_Australia_1845_none_230522&amp;utm_content=saletructiep_Australia.Anhthongbao12.1845.Giaotiep_PGPGTTA_LD068&amp;utm_campaign=Australia.Giaotiep.Anhthongbao12_XuBen.50"&amp;"18_MES_HuyLG_230522")</f>
        <v>https://patadovietnam.edu.vn/khoa-hoc-giao-tiep/?utm_source=Facebook&amp;utm_medium=MES&amp;utm_term=NEW_Australia_1845_none_230522&amp;utm_content=saletructiep_Australia.Anhthongbao12.1845.Giaotiep_PGPGTTA_LD068&amp;utm_campaign=Australia.Giaotiep.Anhthongbao12_XuBen.5018_MES_HuyLG_230522</v>
      </c>
      <c r="U190" s="180" t="s">
        <v>3483</v>
      </c>
    </row>
    <row r="191">
      <c r="A191" s="72">
        <v>44704.0</v>
      </c>
      <c r="B191" s="61" t="s">
        <v>777</v>
      </c>
      <c r="C191" s="67" t="str">
        <f>IFERROR(__xludf.DUMMYFUNCTION("""COMPUTED_VALUE"""),"LD068")</f>
        <v>LD068</v>
      </c>
      <c r="D191" s="143" t="s">
        <v>42</v>
      </c>
      <c r="E191" s="143" t="s">
        <v>79</v>
      </c>
      <c r="F191" s="143" t="s">
        <v>107</v>
      </c>
      <c r="G191" s="87">
        <v>1845.0</v>
      </c>
      <c r="H191" s="143" t="s">
        <v>1131</v>
      </c>
      <c r="I191" s="87" t="s">
        <v>3430</v>
      </c>
      <c r="J191" s="87" t="s">
        <v>3431</v>
      </c>
      <c r="K191" s="143" t="s">
        <v>61</v>
      </c>
      <c r="L191" s="143" t="s">
        <v>317</v>
      </c>
      <c r="M191" s="55" t="s">
        <v>78</v>
      </c>
      <c r="N191" s="143" t="s">
        <v>79</v>
      </c>
      <c r="O191" s="55" t="s">
        <v>3271</v>
      </c>
      <c r="P191" s="87" t="s">
        <v>110</v>
      </c>
      <c r="Q191" s="181" t="str">
        <f>IFERROR(__xludf.DUMMYFUNCTION("""COMPUTED_VALUE"""),"UnitedStates.Giaotiep.Anhthongbao12_XuBen.5018_MES_HuyLG_230522")</f>
        <v>UnitedStates.Giaotiep.Anhthongbao12_XuBen.5018_MES_HuyLG_230522</v>
      </c>
      <c r="R191" s="181" t="str">
        <f>IFERROR(__xludf.DUMMYFUNCTION("""COMPUTED_VALUE"""),"NEW_UnitedStates_1845_none_230522")</f>
        <v>NEW_UnitedStates_1845_none_230522</v>
      </c>
      <c r="S191" s="181" t="str">
        <f>IFERROR(__xludf.DUMMYFUNCTION("""COMPUTED_VALUE"""),"saletructiep_UnitedStates.Anhthongbao12.1845.Giaotiep_PGPGTTA_LD068")</f>
        <v>saletructiep_UnitedStates.Anhthongbao12.1845.Giaotiep_PGPGTTA_LD068</v>
      </c>
      <c r="T191" s="182" t="str">
        <f>IFERROR(__xludf.DUMMYFUNCTION("""COMPUTED_VALUE"""),"https://patadovietnam.edu.vn/khoa-hoc-giao-tiep/?utm_source=Facebook&amp;utm_medium=MES&amp;utm_term=NEW_UnitedStates_1845_none_230522&amp;utm_content=saletructiep_UnitedStates.Anhthongbao12.1845.Giaotiep_PGPGTTA_LD068&amp;utm_campaign=UnitedStates.Giaotiep.Anhthongbao12"&amp;"_XuBen.5018_MES_HuyLG_230522")</f>
        <v>https://patadovietnam.edu.vn/khoa-hoc-giao-tiep/?utm_source=Facebook&amp;utm_medium=MES&amp;utm_term=NEW_UnitedStates_1845_none_230522&amp;utm_content=saletructiep_UnitedStates.Anhthongbao12.1845.Giaotiep_PGPGTTA_LD068&amp;utm_campaign=UnitedStates.Giaotiep.Anhthongbao12_XuBen.5018_MES_HuyLG_230522</v>
      </c>
      <c r="U191" s="183" t="s">
        <v>3490</v>
      </c>
    </row>
    <row r="192">
      <c r="A192" s="72">
        <v>44704.0</v>
      </c>
      <c r="B192" s="61" t="s">
        <v>777</v>
      </c>
      <c r="C192" s="67" t="str">
        <f>IFERROR(__xludf.DUMMYFUNCTION("""COMPUTED_VALUE"""),"LD068")</f>
        <v>LD068</v>
      </c>
      <c r="D192" s="55" t="s">
        <v>42</v>
      </c>
      <c r="E192" s="55" t="s">
        <v>79</v>
      </c>
      <c r="F192" s="55" t="s">
        <v>162</v>
      </c>
      <c r="G192" s="55">
        <v>1845.0</v>
      </c>
      <c r="H192" s="55" t="s">
        <v>1131</v>
      </c>
      <c r="I192" s="55" t="s">
        <v>3436</v>
      </c>
      <c r="J192" s="55" t="s">
        <v>3437</v>
      </c>
      <c r="K192" s="55" t="s">
        <v>61</v>
      </c>
      <c r="L192" s="55" t="s">
        <v>317</v>
      </c>
      <c r="M192" s="55" t="s">
        <v>78</v>
      </c>
      <c r="N192" s="55" t="s">
        <v>79</v>
      </c>
      <c r="O192" s="55" t="s">
        <v>3271</v>
      </c>
      <c r="P192" s="55" t="s">
        <v>110</v>
      </c>
      <c r="Q192" s="129" t="str">
        <f>IFERROR(__xludf.DUMMYFUNCTION("""COMPUTED_VALUE"""),"Singapore.Giaotiep.Anhthongbao12_XuBen.5018_MES_HuyLG_230522")</f>
        <v>Singapore.Giaotiep.Anhthongbao12_XuBen.5018_MES_HuyLG_230522</v>
      </c>
      <c r="R192" s="129" t="str">
        <f>IFERROR(__xludf.DUMMYFUNCTION("""COMPUTED_VALUE"""),"NEW_Singapore_1845_none_230522")</f>
        <v>NEW_Singapore_1845_none_230522</v>
      </c>
      <c r="S192" s="129" t="str">
        <f>IFERROR(__xludf.DUMMYFUNCTION("""COMPUTED_VALUE"""),"saletructiep_Singapore.Anhthongbao12.1845.Giaotiep_PGPGTTA_LD068")</f>
        <v>saletructiep_Singapore.Anhthongbao12.1845.Giaotiep_PGPGTTA_LD068</v>
      </c>
      <c r="T192" s="130" t="str">
        <f>IFERROR(__xludf.DUMMYFUNCTION("""COMPUTED_VALUE"""),"https://patadovietnam.edu.vn/khoa-hoc-giao-tiep/?utm_source=Facebook&amp;utm_medium=MES&amp;utm_term=NEW_Singapore_1845_none_230522&amp;utm_content=saletructiep_Singapore.Anhthongbao12.1845.Giaotiep_PGPGTTA_LD068&amp;utm_campaign=Singapore.Giaotiep.Anhthongbao12_XuBen.50"&amp;"18_MES_HuyLG_230522")</f>
        <v>https://patadovietnam.edu.vn/khoa-hoc-giao-tiep/?utm_source=Facebook&amp;utm_medium=MES&amp;utm_term=NEW_Singapore_1845_none_230522&amp;utm_content=saletructiep_Singapore.Anhthongbao12.1845.Giaotiep_PGPGTTA_LD068&amp;utm_campaign=Singapore.Giaotiep.Anhthongbao12_XuBen.5018_MES_HuyLG_230522</v>
      </c>
      <c r="U192" s="174"/>
    </row>
    <row r="193">
      <c r="A193" s="72">
        <v>44704.0</v>
      </c>
      <c r="B193" s="61" t="s">
        <v>777</v>
      </c>
      <c r="C193" s="67" t="str">
        <f>IFERROR(__xludf.DUMMYFUNCTION("""COMPUTED_VALUE"""),"LD068")</f>
        <v>LD068</v>
      </c>
      <c r="D193" s="86" t="s">
        <v>42</v>
      </c>
      <c r="E193" s="87" t="s">
        <v>79</v>
      </c>
      <c r="F193" s="87" t="s">
        <v>112</v>
      </c>
      <c r="G193" s="163">
        <v>1838.0</v>
      </c>
      <c r="H193" s="86" t="s">
        <v>1131</v>
      </c>
      <c r="I193" s="87" t="s">
        <v>3446</v>
      </c>
      <c r="J193" s="55" t="s">
        <v>3447</v>
      </c>
      <c r="K193" s="143" t="s">
        <v>61</v>
      </c>
      <c r="L193" s="143" t="s">
        <v>317</v>
      </c>
      <c r="M193" s="55" t="s">
        <v>78</v>
      </c>
      <c r="N193" s="143" t="s">
        <v>79</v>
      </c>
      <c r="O193" s="55" t="s">
        <v>3271</v>
      </c>
      <c r="P193" s="143" t="s">
        <v>110</v>
      </c>
      <c r="Q193" s="129" t="str">
        <f>IFERROR(__xludf.DUMMYFUNCTION("""COMPUTED_VALUE"""),"Canada.Giaotiep.Anhthongbao12_XuBen.5018_MES_HuyLG_230522")</f>
        <v>Canada.Giaotiep.Anhthongbao12_XuBen.5018_MES_HuyLG_230522</v>
      </c>
      <c r="R193" s="129" t="str">
        <f>IFERROR(__xludf.DUMMYFUNCTION("""COMPUTED_VALUE"""),"NEW_Canada_1838_none_230522")</f>
        <v>NEW_Canada_1838_none_230522</v>
      </c>
      <c r="S193" s="129" t="str">
        <f>IFERROR(__xludf.DUMMYFUNCTION("""COMPUTED_VALUE"""),"saletructiep_Canada.Anhthongbao12.1845.Giaotiep_PGPGTTA_LD068")</f>
        <v>saletructiep_Canada.Anhthongbao12.1845.Giaotiep_PGPGTTA_LD068</v>
      </c>
      <c r="T193" s="130" t="str">
        <f>IFERROR(__xludf.DUMMYFUNCTION("""COMPUTED_VALUE"""),"https://patadovietnam.edu.vn/khoa-hoc-giao-tiep/?utm_source=Facebook&amp;utm_medium=MES&amp;utm_term=NEW_Canada_1838_none_230522&amp;utm_content=saletructiep_Canada.Anhthongbao12.1845.Giaotiep_PGPGTTA_LD068&amp;utm_campaign=Canada.Giaotiep.Anhthongbao12_XuBen.5018_MES_Hu"&amp;"yLG_230522")</f>
        <v>https://patadovietnam.edu.vn/khoa-hoc-giao-tiep/?utm_source=Facebook&amp;utm_medium=MES&amp;utm_term=NEW_Canada_1838_none_230522&amp;utm_content=saletructiep_Canada.Anhthongbao12.1845.Giaotiep_PGPGTTA_LD068&amp;utm_campaign=Canada.Giaotiep.Anhthongbao12_XuBen.5018_MES_HuyLG_230522</v>
      </c>
      <c r="U193" s="174"/>
    </row>
    <row r="194">
      <c r="A194" s="72">
        <v>44704.0</v>
      </c>
      <c r="B194" s="61" t="s">
        <v>777</v>
      </c>
      <c r="C194" s="67" t="str">
        <f>IFERROR(__xludf.DUMMYFUNCTION("""COMPUTED_VALUE"""),"LD068")</f>
        <v>LD068</v>
      </c>
      <c r="D194" s="143" t="s">
        <v>42</v>
      </c>
      <c r="E194" s="143" t="s">
        <v>79</v>
      </c>
      <c r="F194" s="55" t="s">
        <v>164</v>
      </c>
      <c r="G194" s="87">
        <v>1840.0</v>
      </c>
      <c r="H194" s="143" t="s">
        <v>1131</v>
      </c>
      <c r="I194" s="55" t="s">
        <v>3452</v>
      </c>
      <c r="J194" s="55" t="s">
        <v>3453</v>
      </c>
      <c r="K194" s="143" t="s">
        <v>61</v>
      </c>
      <c r="L194" s="143" t="s">
        <v>317</v>
      </c>
      <c r="M194" s="55" t="s">
        <v>78</v>
      </c>
      <c r="N194" s="143" t="s">
        <v>79</v>
      </c>
      <c r="O194" s="55" t="s">
        <v>3271</v>
      </c>
      <c r="P194" s="143" t="s">
        <v>110</v>
      </c>
      <c r="Q194" s="178" t="str">
        <f>IFERROR(__xludf.DUMMYFUNCTION("""COMPUTED_VALUE"""),"Taiwan.Giaotiep.Anhthongbao12_XuBen.5018_MES_HuyLG_230522")</f>
        <v>Taiwan.Giaotiep.Anhthongbao12_XuBen.5018_MES_HuyLG_230522</v>
      </c>
      <c r="R194" s="178" t="str">
        <f>IFERROR(__xludf.DUMMYFUNCTION("""COMPUTED_VALUE"""),"NEW_Taiwan_1840_none_230522")</f>
        <v>NEW_Taiwan_1840_none_230522</v>
      </c>
      <c r="S194" s="178" t="str">
        <f>IFERROR(__xludf.DUMMYFUNCTION("""COMPUTED_VALUE"""),"saletructiep_Taiwan.Anhthongbao12.1840.Giaotiep_PGPGTTA_LD068")</f>
        <v>saletructiep_Taiwan.Anhthongbao12.1840.Giaotiep_PGPGTTA_LD068</v>
      </c>
      <c r="T194" s="184" t="str">
        <f>IFERROR(__xludf.DUMMYFUNCTION("""COMPUTED_VALUE"""),"https://patadovietnam.edu.vn/khoa-hoc-giao-tiep/?utm_source=Facebook&amp;utm_medium=MES&amp;utm_term=NEW_Taiwan_1840_none_230522&amp;utm_content=saletructiep_Taiwan.Anhthongbao12.1840.Giaotiep_PGPGTTA_LD068&amp;utm_campaign=Taiwan.Giaotiep.Anhthongbao12_XuBen.5018_MES_Hu"&amp;"yLG_230522")</f>
        <v>https://patadovietnam.edu.vn/khoa-hoc-giao-tiep/?utm_source=Facebook&amp;utm_medium=MES&amp;utm_term=NEW_Taiwan_1840_none_230522&amp;utm_content=saletructiep_Taiwan.Anhthongbao12.1840.Giaotiep_PGPGTTA_LD068&amp;utm_campaign=Taiwan.Giaotiep.Anhthongbao12_XuBen.5018_MES_HuyLG_230522</v>
      </c>
      <c r="U194" s="180" t="s">
        <v>3503</v>
      </c>
    </row>
    <row r="195">
      <c r="A195" s="72">
        <v>44706.0</v>
      </c>
      <c r="B195" s="61" t="s">
        <v>769</v>
      </c>
      <c r="C195" s="67" t="str">
        <f>IFERROR(__xludf.DUMMYFUNCTION("""COMPUTED_VALUE"""),"LD114")</f>
        <v>LD114</v>
      </c>
      <c r="D195" s="55" t="s">
        <v>42</v>
      </c>
      <c r="E195" s="143" t="s">
        <v>79</v>
      </c>
      <c r="F195" s="55" t="s">
        <v>199</v>
      </c>
      <c r="G195" s="55">
        <v>1840.0</v>
      </c>
      <c r="H195" s="143" t="s">
        <v>1131</v>
      </c>
      <c r="I195" s="55" t="s">
        <v>3118</v>
      </c>
      <c r="J195" s="55" t="s">
        <v>3119</v>
      </c>
      <c r="K195" s="143" t="s">
        <v>61</v>
      </c>
      <c r="L195" s="143" t="s">
        <v>317</v>
      </c>
      <c r="M195" s="55" t="s">
        <v>2789</v>
      </c>
      <c r="N195" s="143" t="s">
        <v>79</v>
      </c>
      <c r="O195" s="55" t="s">
        <v>3271</v>
      </c>
      <c r="P195" s="143" t="s">
        <v>110</v>
      </c>
      <c r="Q195" s="129" t="str">
        <f>IFERROR(__xludf.DUMMYFUNCTION("""COMPUTED_VALUE"""),"Vietnam.IELTS.VideoIELTS_XuBen.5018_MES_HuyLG_250522")</f>
        <v>Vietnam.IELTS.VideoIELTS_XuBen.5018_MES_HuyLG_250522</v>
      </c>
      <c r="R195" s="174" t="str">
        <f>IFERROR(__xludf.DUMMYFUNCTION("""COMPUTED_VALUE"""),"NEW_Vietnam_1840_none_250522")</f>
        <v>NEW_Vietnam_1840_none_250522</v>
      </c>
      <c r="S195" s="129" t="str">
        <f>IFERROR(__xludf.DUMMYFUNCTION("""COMPUTED_VALUE"""),"Storytelling_Vietnam.VideoIELTS.1840.IELTS_PGPGTTA_LD114")</f>
        <v>Storytelling_Vietnam.VideoIELTS.1840.IELTS_PGPGTTA_LD114</v>
      </c>
      <c r="T195" s="130" t="str">
        <f>IFERROR(__xludf.DUMMYFUNCTION("""COMPUTED_VALUE"""),"https://patadovietnam.edu.vn/ielts_cvs/?utm_source=Facebook&amp;utm_medium=MES&amp;utm_term=NEW_Vietnam_1840_none_250522&amp;utm_content=Storytelling_Vietnam.VideoIELTS.1840.IELTS_PGPGTTA_LD114&amp;utm_campaign=Vietnam.IELTS.VideoIELTS_XuBen.5018_MES_HuyLG_250522")</f>
        <v>https://patadovietnam.edu.vn/ielts_cvs/?utm_source=Facebook&amp;utm_medium=MES&amp;utm_term=NEW_Vietnam_1840_none_250522&amp;utm_content=Storytelling_Vietnam.VideoIELTS.1840.IELTS_PGPGTTA_LD114&amp;utm_campaign=Vietnam.IELTS.VideoIELTS_XuBen.5018_MES_HuyLG_250522</v>
      </c>
      <c r="U195" s="174"/>
    </row>
    <row r="196">
      <c r="A196" s="72">
        <v>44706.0</v>
      </c>
      <c r="B196" s="61" t="s">
        <v>777</v>
      </c>
      <c r="C196" s="67" t="str">
        <f>IFERROR(__xludf.DUMMYFUNCTION("""COMPUTED_VALUE"""),"LD068")</f>
        <v>LD068</v>
      </c>
      <c r="D196" s="55" t="s">
        <v>42</v>
      </c>
      <c r="E196" s="55" t="s">
        <v>79</v>
      </c>
      <c r="F196" s="55" t="s">
        <v>174</v>
      </c>
      <c r="G196" s="55">
        <v>1840.0</v>
      </c>
      <c r="H196" s="55" t="s">
        <v>1131</v>
      </c>
      <c r="I196" s="55" t="s">
        <v>3510</v>
      </c>
      <c r="J196" s="55" t="s">
        <v>3511</v>
      </c>
      <c r="K196" s="143" t="s">
        <v>61</v>
      </c>
      <c r="L196" s="143" t="s">
        <v>317</v>
      </c>
      <c r="M196" s="55" t="s">
        <v>78</v>
      </c>
      <c r="N196" s="55" t="s">
        <v>79</v>
      </c>
      <c r="O196" s="55" t="s">
        <v>3271</v>
      </c>
      <c r="P196" s="143" t="s">
        <v>110</v>
      </c>
      <c r="Q196" s="129" t="str">
        <f>IFERROR(__xludf.DUMMYFUNCTION("""COMPUTED_VALUE"""),"Philippines.Giaotiep.Anhthongbao12_XuBen.5018_MES_HuyLG_250522")</f>
        <v>Philippines.Giaotiep.Anhthongbao12_XuBen.5018_MES_HuyLG_250522</v>
      </c>
      <c r="R196" s="129" t="str">
        <f>IFERROR(__xludf.DUMMYFUNCTION("""COMPUTED_VALUE"""),"NEW_Philippines_1840_none_250522")</f>
        <v>NEW_Philippines_1840_none_250522</v>
      </c>
      <c r="S196" s="129" t="str">
        <f>IFERROR(__xludf.DUMMYFUNCTION("""COMPUTED_VALUE"""),"saletructiep_Philippines.Anhthongbao12.1840.Giaotiep_PGPGTTA_LD068")</f>
        <v>saletructiep_Philippines.Anhthongbao12.1840.Giaotiep_PGPGTTA_LD068</v>
      </c>
      <c r="T196" s="130" t="str">
        <f>IFERROR(__xludf.DUMMYFUNCTION("""COMPUTED_VALUE"""),"https://patadovietnam.edu.vn/khoa-hoc-giao-tiep/?utm_source=Facebook&amp;utm_medium=MES&amp;utm_term=NEW_Philippines_1840_none_250522&amp;utm_content=saletructiep_Philippines.Anhthongbao12.1840.Giaotiep_PGPGTTA_LD068&amp;utm_campaign=Philippines.Giaotiep.Anhthongbao12_Xu"&amp;"Ben.5018_MES_HuyLG_250522")</f>
        <v>https://patadovietnam.edu.vn/khoa-hoc-giao-tiep/?utm_source=Facebook&amp;utm_medium=MES&amp;utm_term=NEW_Philippines_1840_none_250522&amp;utm_content=saletructiep_Philippines.Anhthongbao12.1840.Giaotiep_PGPGTTA_LD068&amp;utm_campaign=Philippines.Giaotiep.Anhthongbao12_XuBen.5018_MES_HuyLG_250522</v>
      </c>
      <c r="U196" s="174"/>
    </row>
    <row r="197">
      <c r="A197" s="72">
        <v>44706.0</v>
      </c>
      <c r="B197" s="61" t="s">
        <v>777</v>
      </c>
      <c r="C197" s="67" t="str">
        <f>IFERROR(__xludf.DUMMYFUNCTION("""COMPUTED_VALUE"""),"LD068")</f>
        <v>LD068</v>
      </c>
      <c r="D197" s="55" t="s">
        <v>42</v>
      </c>
      <c r="E197" s="143" t="s">
        <v>79</v>
      </c>
      <c r="F197" s="55" t="s">
        <v>614</v>
      </c>
      <c r="G197" s="55">
        <v>1845.0</v>
      </c>
      <c r="H197" s="143" t="s">
        <v>1131</v>
      </c>
      <c r="I197" s="55" t="s">
        <v>3514</v>
      </c>
      <c r="J197" s="55" t="s">
        <v>3515</v>
      </c>
      <c r="K197" s="143" t="s">
        <v>61</v>
      </c>
      <c r="L197" s="143" t="s">
        <v>317</v>
      </c>
      <c r="M197" s="55" t="s">
        <v>78</v>
      </c>
      <c r="N197" s="143" t="s">
        <v>79</v>
      </c>
      <c r="O197" s="55" t="s">
        <v>3271</v>
      </c>
      <c r="P197" s="143" t="s">
        <v>110</v>
      </c>
      <c r="Q197" s="178" t="str">
        <f>IFERROR(__xludf.DUMMYFUNCTION("""COMPUTED_VALUE"""),"Korea.Giaotiep.Anhthongbao12_XuBen.5018_MES_HuyLG_250522")</f>
        <v>Korea.Giaotiep.Anhthongbao12_XuBen.5018_MES_HuyLG_250522</v>
      </c>
      <c r="R197" s="178" t="str">
        <f>IFERROR(__xludf.DUMMYFUNCTION("""COMPUTED_VALUE"""),"NEW_Korea_1845_none_250522")</f>
        <v>NEW_Korea_1845_none_250522</v>
      </c>
      <c r="S197" s="178" t="str">
        <f>IFERROR(__xludf.DUMMYFUNCTION("""COMPUTED_VALUE"""),"saletructiep_Korea.Anhthongbao12.1845.Giaotiep_PGPGTTA_LD068")</f>
        <v>saletructiep_Korea.Anhthongbao12.1845.Giaotiep_PGPGTTA_LD068</v>
      </c>
      <c r="T197" s="184" t="str">
        <f>IFERROR(__xludf.DUMMYFUNCTION("""COMPUTED_VALUE"""),"https://patadovietnam.edu.vn/khoa-hoc-giao-tiep/?utm_source=Facebook&amp;utm_medium=MES&amp;utm_term=NEW_Korea_1845_none_250522&amp;utm_content=saletructiep_Korea.Anhthongbao12.1845.Giaotiep_PGPGTTA_LD068&amp;utm_campaign=Korea.Giaotiep.Anhthongbao12_XuBen.5018_MES_HuyLG"&amp;"_250522")</f>
        <v>https://patadovietnam.edu.vn/khoa-hoc-giao-tiep/?utm_source=Facebook&amp;utm_medium=MES&amp;utm_term=NEW_Korea_1845_none_250522&amp;utm_content=saletructiep_Korea.Anhthongbao12.1845.Giaotiep_PGPGTTA_LD068&amp;utm_campaign=Korea.Giaotiep.Anhthongbao12_XuBen.5018_MES_HuyLG_250522</v>
      </c>
      <c r="U197" s="185" t="s">
        <v>3519</v>
      </c>
    </row>
    <row r="198">
      <c r="A198" s="72">
        <v>44706.0</v>
      </c>
      <c r="B198" s="61" t="s">
        <v>777</v>
      </c>
      <c r="C198" s="67" t="str">
        <f>IFERROR(__xludf.DUMMYFUNCTION("""COMPUTED_VALUE"""),"LD068")</f>
        <v>LD068</v>
      </c>
      <c r="D198" s="55" t="s">
        <v>42</v>
      </c>
      <c r="E198" s="143" t="s">
        <v>79</v>
      </c>
      <c r="F198" s="55" t="s">
        <v>182</v>
      </c>
      <c r="G198" s="55">
        <v>1840.0</v>
      </c>
      <c r="H198" s="143" t="s">
        <v>1131</v>
      </c>
      <c r="I198" s="55" t="s">
        <v>3520</v>
      </c>
      <c r="J198" s="55" t="s">
        <v>3521</v>
      </c>
      <c r="K198" s="55" t="s">
        <v>61</v>
      </c>
      <c r="L198" s="55" t="s">
        <v>317</v>
      </c>
      <c r="M198" s="55" t="s">
        <v>78</v>
      </c>
      <c r="N198" s="55" t="s">
        <v>79</v>
      </c>
      <c r="O198" s="55" t="s">
        <v>3271</v>
      </c>
      <c r="P198" s="55" t="s">
        <v>110</v>
      </c>
      <c r="Q198" s="129" t="str">
        <f>IFERROR(__xludf.DUMMYFUNCTION("""COMPUTED_VALUE"""),"Malaysia.Giaotiep.Anhthongbao12_XuBen.5018_MES_HuyLG_250522")</f>
        <v>Malaysia.Giaotiep.Anhthongbao12_XuBen.5018_MES_HuyLG_250522</v>
      </c>
      <c r="R198" s="129" t="str">
        <f>IFERROR(__xludf.DUMMYFUNCTION("""COMPUTED_VALUE"""),"NEW_Malaysia_1840_none_250522")</f>
        <v>NEW_Malaysia_1840_none_250522</v>
      </c>
      <c r="S198" s="129" t="str">
        <f>IFERROR(__xludf.DUMMYFUNCTION("""COMPUTED_VALUE"""),"saletructiep_Malaysia.Anhthongbao12.1840.Giaotiep_PGPGTTA_LD068")</f>
        <v>saletructiep_Malaysia.Anhthongbao12.1840.Giaotiep_PGPGTTA_LD068</v>
      </c>
      <c r="T198" s="130" t="str">
        <f>IFERROR(__xludf.DUMMYFUNCTION("""COMPUTED_VALUE"""),"https://patadovietnam.edu.vn/khoa-hoc-giao-tiep/?utm_source=Facebook&amp;utm_medium=MES&amp;utm_term=NEW_Malaysia_1840_none_250522&amp;utm_content=saletructiep_Malaysia.Anhthongbao12.1840.Giaotiep_PGPGTTA_LD068&amp;utm_campaign=Malaysia.Giaotiep.Anhthongbao12_XuBen.5018_"&amp;"MES_HuyLG_250522")</f>
        <v>https://patadovietnam.edu.vn/khoa-hoc-giao-tiep/?utm_source=Facebook&amp;utm_medium=MES&amp;utm_term=NEW_Malaysia_1840_none_250522&amp;utm_content=saletructiep_Malaysia.Anhthongbao12.1840.Giaotiep_PGPGTTA_LD068&amp;utm_campaign=Malaysia.Giaotiep.Anhthongbao12_XuBen.5018_MES_HuyLG_250522</v>
      </c>
      <c r="U198" s="174"/>
    </row>
    <row r="199">
      <c r="A199" s="72">
        <v>44709.0</v>
      </c>
      <c r="B199" s="61" t="s">
        <v>777</v>
      </c>
      <c r="C199" s="67" t="str">
        <f>IFERROR(__xludf.DUMMYFUNCTION("""COMPUTED_VALUE"""),"LD068")</f>
        <v>LD068</v>
      </c>
      <c r="D199" s="55" t="s">
        <v>42</v>
      </c>
      <c r="E199" s="55" t="s">
        <v>69</v>
      </c>
      <c r="F199" s="55" t="s">
        <v>133</v>
      </c>
      <c r="G199" s="55">
        <v>1840.0</v>
      </c>
      <c r="H199" s="55" t="s">
        <v>1131</v>
      </c>
      <c r="I199" s="55" t="s">
        <v>3412</v>
      </c>
      <c r="J199" s="55" t="s">
        <v>3473</v>
      </c>
      <c r="K199" s="143" t="s">
        <v>61</v>
      </c>
      <c r="L199" s="143" t="s">
        <v>317</v>
      </c>
      <c r="M199" s="55" t="s">
        <v>78</v>
      </c>
      <c r="N199" s="55" t="s">
        <v>69</v>
      </c>
      <c r="O199" s="55" t="s">
        <v>910</v>
      </c>
      <c r="P199" s="143" t="s">
        <v>110</v>
      </c>
      <c r="Q199" s="129" t="str">
        <f>IFERROR(__xludf.DUMMYFUNCTION("""COMPUTED_VALUE"""),"Japan.Giaotiep.Anhthongbao12_XuBen.5018_CVS_HuyLG_280522")</f>
        <v>Japan.Giaotiep.Anhthongbao12_XuBen.5018_CVS_HuyLG_280522</v>
      </c>
      <c r="R199" s="129" t="str">
        <f>IFERROR(__xludf.DUMMYFUNCTION("""COMPUTED_VALUE"""),"NEW_Japan_1840_none_280522")</f>
        <v>NEW_Japan_1840_none_280522</v>
      </c>
      <c r="S199" s="129" t="str">
        <f>IFERROR(__xludf.DUMMYFUNCTION("""COMPUTED_VALUE"""),"saletructiep_Japan.Anhthongbao12.1840.Giaotiep_TATTP_LD068")</f>
        <v>saletructiep_Japan.Anhthongbao12.1840.Giaotiep_TATTP_LD068</v>
      </c>
      <c r="T199" s="130" t="str">
        <f>IFERROR(__xludf.DUMMYFUNCTION("""COMPUTED_VALUE"""),"https://patadovietnam.edu.vn/khoa-hoc-giao-tiep/?utm_source=Facebook&amp;utm_medium=CVS&amp;utm_term=NEW_Japan_1840_none_280522&amp;utm_content=saletructiep_Japan.Anhthongbao12.1840.Giaotiep_TATTP_LD068&amp;utm_campaign=Japan.Giaotiep.Anhthongbao12_XuBen.5018_CVS_HuyLG_2"&amp;"80522")</f>
        <v>https://patadovietnam.edu.vn/khoa-hoc-giao-tiep/?utm_source=Facebook&amp;utm_medium=CVS&amp;utm_term=NEW_Japan_1840_none_280522&amp;utm_content=saletructiep_Japan.Anhthongbao12.1840.Giaotiep_TATTP_LD068&amp;utm_campaign=Japan.Giaotiep.Anhthongbao12_XuBen.5018_CVS_HuyLG_280522</v>
      </c>
      <c r="U199" s="174"/>
    </row>
    <row r="200">
      <c r="A200" s="72">
        <v>44709.0</v>
      </c>
      <c r="B200" s="61" t="s">
        <v>777</v>
      </c>
      <c r="C200" s="67" t="str">
        <f>IFERROR(__xludf.DUMMYFUNCTION("""COMPUTED_VALUE"""),"LD068")</f>
        <v>LD068</v>
      </c>
      <c r="D200" s="55" t="s">
        <v>42</v>
      </c>
      <c r="E200" s="143" t="s">
        <v>79</v>
      </c>
      <c r="F200" s="55" t="s">
        <v>614</v>
      </c>
      <c r="G200" s="55">
        <v>1840.0</v>
      </c>
      <c r="H200" s="143" t="s">
        <v>1131</v>
      </c>
      <c r="I200" s="55" t="s">
        <v>3514</v>
      </c>
      <c r="J200" s="55" t="s">
        <v>3529</v>
      </c>
      <c r="K200" s="143" t="s">
        <v>61</v>
      </c>
      <c r="L200" s="143" t="s">
        <v>317</v>
      </c>
      <c r="M200" s="55" t="s">
        <v>78</v>
      </c>
      <c r="N200" s="143" t="s">
        <v>79</v>
      </c>
      <c r="O200" s="55" t="s">
        <v>910</v>
      </c>
      <c r="P200" s="143" t="s">
        <v>110</v>
      </c>
      <c r="Q200" s="129" t="str">
        <f>IFERROR(__xludf.DUMMYFUNCTION("""COMPUTED_VALUE"""),"Korea.Giaotiep.Anhthongbao12_XuBen.5018_MES_HuyLG_280522")</f>
        <v>Korea.Giaotiep.Anhthongbao12_XuBen.5018_MES_HuyLG_280522</v>
      </c>
      <c r="R200" s="129" t="str">
        <f>IFERROR(__xludf.DUMMYFUNCTION("""COMPUTED_VALUE"""),"NEW_Korea_1840_none_280522")</f>
        <v>NEW_Korea_1840_none_280522</v>
      </c>
      <c r="S200" s="129" t="str">
        <f>IFERROR(__xludf.DUMMYFUNCTION("""COMPUTED_VALUE"""),"saletructiep_Korea.Anhthongbao.1840.Giaotiep_TATTP_LD068")</f>
        <v>saletructiep_Korea.Anhthongbao.1840.Giaotiep_TATTP_LD068</v>
      </c>
      <c r="T200" s="128" t="str">
        <f>IFERROR(__xludf.DUMMYFUNCTION("""COMPUTED_VALUE"""),"https://patadovietnam.edu.vn/khoa-hoc-giao-tiep/?utm_source=Facebook&amp;utm_medium=MES&amp;utm_term=NEW_Korea_1840_none_280522&amp;utm_content=saletructiep_Korea.Anhthongbao.1840.Giaotiep_TATTP_LD068&amp;utm_campaign=Korea.Giaotiep.Anhthongbao12_XuBen.5018_MES_HuyLG_280"&amp;"522")</f>
        <v>https://patadovietnam.edu.vn/khoa-hoc-giao-tiep/?utm_source=Facebook&amp;utm_medium=MES&amp;utm_term=NEW_Korea_1840_none_280522&amp;utm_content=saletructiep_Korea.Anhthongbao.1840.Giaotiep_TATTP_LD068&amp;utm_campaign=Korea.Giaotiep.Anhthongbao12_XuBen.5018_MES_HuyLG_280522</v>
      </c>
      <c r="U200" s="119" t="s">
        <v>3534</v>
      </c>
    </row>
    <row r="201">
      <c r="A201" s="72">
        <v>44709.0</v>
      </c>
      <c r="B201" s="61" t="s">
        <v>777</v>
      </c>
      <c r="C201" s="67" t="str">
        <f>IFERROR(__xludf.DUMMYFUNCTION("""COMPUTED_VALUE"""),"LD068")</f>
        <v>LD068</v>
      </c>
      <c r="D201" s="143" t="s">
        <v>42</v>
      </c>
      <c r="E201" s="143" t="s">
        <v>79</v>
      </c>
      <c r="F201" s="55" t="s">
        <v>164</v>
      </c>
      <c r="G201" s="87">
        <v>1840.0</v>
      </c>
      <c r="H201" s="143" t="s">
        <v>1131</v>
      </c>
      <c r="I201" s="55" t="s">
        <v>3452</v>
      </c>
      <c r="J201" s="55" t="s">
        <v>3453</v>
      </c>
      <c r="K201" s="143" t="s">
        <v>61</v>
      </c>
      <c r="L201" s="143" t="s">
        <v>317</v>
      </c>
      <c r="M201" s="55" t="s">
        <v>78</v>
      </c>
      <c r="N201" s="143" t="s">
        <v>79</v>
      </c>
      <c r="O201" s="55" t="s">
        <v>910</v>
      </c>
      <c r="P201" s="143" t="s">
        <v>110</v>
      </c>
      <c r="Q201" s="129" t="str">
        <f>IFERROR(__xludf.DUMMYFUNCTION("""COMPUTED_VALUE"""),"Taiwan.Giaotiep.Anhthongbao12_XuBen.5018_MES_HuyLG_280522")</f>
        <v>Taiwan.Giaotiep.Anhthongbao12_XuBen.5018_MES_HuyLG_280522</v>
      </c>
      <c r="R201" s="129" t="str">
        <f>IFERROR(__xludf.DUMMYFUNCTION("""COMPUTED_VALUE"""),"NEW_Taiwan_1840_none_280522")</f>
        <v>NEW_Taiwan_1840_none_280522</v>
      </c>
      <c r="S201" s="129" t="str">
        <f>IFERROR(__xludf.DUMMYFUNCTION("""COMPUTED_VALUE"""),"saletructiep_Taiwan.Anhthongbao12.1840.Giaotiep_TATTP_LD068")</f>
        <v>saletructiep_Taiwan.Anhthongbao12.1840.Giaotiep_TATTP_LD068</v>
      </c>
      <c r="T201" s="130" t="str">
        <f>IFERROR(__xludf.DUMMYFUNCTION("""COMPUTED_VALUE"""),"https://patadovietnam.edu.vn/khoa-hoc-giao-tiep/?utm_source=Facebook&amp;utm_medium=MES&amp;utm_term=NEW_Taiwan_1840_none_280522&amp;utm_content=saletructiep_Taiwan.Anhthongbao12.1840.Giaotiep_TATTP_LD068&amp;utm_campaign=Taiwan.Giaotiep.Anhthongbao12_XuBen.5018_MES_HuyL"&amp;"G_280522")</f>
        <v>https://patadovietnam.edu.vn/khoa-hoc-giao-tiep/?utm_source=Facebook&amp;utm_medium=MES&amp;utm_term=NEW_Taiwan_1840_none_280522&amp;utm_content=saletructiep_Taiwan.Anhthongbao12.1840.Giaotiep_TATTP_LD068&amp;utm_campaign=Taiwan.Giaotiep.Anhthongbao12_XuBen.5018_MES_HuyLG_280522</v>
      </c>
      <c r="U201" s="174"/>
    </row>
    <row r="202">
      <c r="A202" s="72">
        <v>44709.0</v>
      </c>
      <c r="B202" s="61" t="s">
        <v>777</v>
      </c>
      <c r="C202" s="67" t="str">
        <f>IFERROR(__xludf.DUMMYFUNCTION("""COMPUTED_VALUE"""),"LD068")</f>
        <v>LD068</v>
      </c>
      <c r="D202" s="55" t="s">
        <v>42</v>
      </c>
      <c r="E202" s="55" t="s">
        <v>79</v>
      </c>
      <c r="F202" s="55" t="s">
        <v>174</v>
      </c>
      <c r="G202" s="55">
        <v>1840.0</v>
      </c>
      <c r="H202" s="55" t="s">
        <v>1131</v>
      </c>
      <c r="I202" s="55" t="s">
        <v>3510</v>
      </c>
      <c r="J202" s="55" t="s">
        <v>3511</v>
      </c>
      <c r="K202" s="143" t="s">
        <v>61</v>
      </c>
      <c r="L202" s="143" t="s">
        <v>317</v>
      </c>
      <c r="M202" s="55" t="s">
        <v>78</v>
      </c>
      <c r="N202" s="55" t="s">
        <v>79</v>
      </c>
      <c r="O202" s="55" t="s">
        <v>910</v>
      </c>
      <c r="P202" s="143" t="s">
        <v>110</v>
      </c>
      <c r="Q202" s="129" t="str">
        <f>IFERROR(__xludf.DUMMYFUNCTION("""COMPUTED_VALUE"""),"Philippines.Giaotiep.Anhthongbao12_XuBen.5018_MES_HuyLG_280522")</f>
        <v>Philippines.Giaotiep.Anhthongbao12_XuBen.5018_MES_HuyLG_280522</v>
      </c>
      <c r="R202" s="129" t="str">
        <f>IFERROR(__xludf.DUMMYFUNCTION("""COMPUTED_VALUE"""),"NEW_Philippines_1840_none_280522")</f>
        <v>NEW_Philippines_1840_none_280522</v>
      </c>
      <c r="S202" s="129" t="str">
        <f>IFERROR(__xludf.DUMMYFUNCTION("""COMPUTED_VALUE"""),"saletructiep_Philippines.Anhthongbao12.1840.Giaotiep_TATTP_LD068")</f>
        <v>saletructiep_Philippines.Anhthongbao12.1840.Giaotiep_TATTP_LD068</v>
      </c>
      <c r="T202" s="130" t="str">
        <f>IFERROR(__xludf.DUMMYFUNCTION("""COMPUTED_VALUE"""),"https://patadovietnam.edu.vn/khoa-hoc-giao-tiep/?utm_source=Facebook&amp;utm_medium=MES&amp;utm_term=NEW_Philippines_1840_none_280522&amp;utm_content=saletructiep_Philippines.Anhthongbao12.1840.Giaotiep_TATTP_LD068&amp;utm_campaign=Philippines.Giaotiep.Anhthongbao12_XuBe"&amp;"n.5018_MES_HuyLG_280522")</f>
        <v>https://patadovietnam.edu.vn/khoa-hoc-giao-tiep/?utm_source=Facebook&amp;utm_medium=MES&amp;utm_term=NEW_Philippines_1840_none_280522&amp;utm_content=saletructiep_Philippines.Anhthongbao12.1840.Giaotiep_TATTP_LD068&amp;utm_campaign=Philippines.Giaotiep.Anhthongbao12_XuBen.5018_MES_HuyLG_280522</v>
      </c>
      <c r="U202" s="174"/>
    </row>
    <row r="203">
      <c r="A203" s="72">
        <v>44709.0</v>
      </c>
      <c r="B203" s="61" t="s">
        <v>777</v>
      </c>
      <c r="C203" s="67" t="str">
        <f>IFERROR(__xludf.DUMMYFUNCTION("""COMPUTED_VALUE"""),"LD068")</f>
        <v>LD068</v>
      </c>
      <c r="D203" s="86" t="s">
        <v>42</v>
      </c>
      <c r="E203" s="87" t="s">
        <v>79</v>
      </c>
      <c r="F203" s="87" t="s">
        <v>112</v>
      </c>
      <c r="G203" s="163">
        <v>1845.0</v>
      </c>
      <c r="H203" s="86" t="s">
        <v>1131</v>
      </c>
      <c r="I203" s="87" t="s">
        <v>3446</v>
      </c>
      <c r="J203" s="55" t="s">
        <v>3447</v>
      </c>
      <c r="K203" s="143" t="s">
        <v>61</v>
      </c>
      <c r="L203" s="143" t="s">
        <v>317</v>
      </c>
      <c r="M203" s="55" t="s">
        <v>78</v>
      </c>
      <c r="N203" s="143" t="s">
        <v>79</v>
      </c>
      <c r="O203" s="55" t="s">
        <v>910</v>
      </c>
      <c r="P203" s="143" t="s">
        <v>110</v>
      </c>
      <c r="Q203" s="129" t="str">
        <f>IFERROR(__xludf.DUMMYFUNCTION("""COMPUTED_VALUE"""),"Canada.Giaotiep.Anhthongbao12_XuBen.5018_MES_HuyLG_280522")</f>
        <v>Canada.Giaotiep.Anhthongbao12_XuBen.5018_MES_HuyLG_280522</v>
      </c>
      <c r="R203" s="129" t="str">
        <f>IFERROR(__xludf.DUMMYFUNCTION("""COMPUTED_VALUE"""),"NEW_Canada_1845_none_280522")</f>
        <v>NEW_Canada_1845_none_280522</v>
      </c>
      <c r="S203" s="129" t="str">
        <f>IFERROR(__xludf.DUMMYFUNCTION("""COMPUTED_VALUE"""),"saletructiep_Canada.Anhthongbao12.1845.Giaotiep_TATTP_LD068")</f>
        <v>saletructiep_Canada.Anhthongbao12.1845.Giaotiep_TATTP_LD068</v>
      </c>
      <c r="T203" s="130" t="str">
        <f>IFERROR(__xludf.DUMMYFUNCTION("""COMPUTED_VALUE"""),"https://patadovietnam.edu.vn/khoa-hoc-giao-tiep/?utm_source=Facebook&amp;utm_medium=MES&amp;utm_term=NEW_Canada_1845_none_280522&amp;utm_content=saletructiep_Canada.Anhthongbao12.1845.Giaotiep_TATTP_LD068&amp;utm_campaign=Canada.Giaotiep.Anhthongbao12_XuBen.5018_MES_HuyL"&amp;"G_280522")</f>
        <v>https://patadovietnam.edu.vn/khoa-hoc-giao-tiep/?utm_source=Facebook&amp;utm_medium=MES&amp;utm_term=NEW_Canada_1845_none_280522&amp;utm_content=saletructiep_Canada.Anhthongbao12.1845.Giaotiep_TATTP_LD068&amp;utm_campaign=Canada.Giaotiep.Anhthongbao12_XuBen.5018_MES_HuyLG_280522</v>
      </c>
      <c r="U203" s="112" t="s">
        <v>3544</v>
      </c>
    </row>
    <row r="204">
      <c r="A204" s="72">
        <v>44709.0</v>
      </c>
      <c r="B204" s="61" t="s">
        <v>777</v>
      </c>
      <c r="C204" s="67" t="str">
        <f>IFERROR(__xludf.DUMMYFUNCTION("""COMPUTED_VALUE"""),"LD068")</f>
        <v>LD068</v>
      </c>
      <c r="D204" s="55" t="s">
        <v>42</v>
      </c>
      <c r="E204" s="143" t="s">
        <v>79</v>
      </c>
      <c r="F204" s="55" t="s">
        <v>674</v>
      </c>
      <c r="G204" s="55">
        <v>1840.0</v>
      </c>
      <c r="H204" s="143" t="s">
        <v>1131</v>
      </c>
      <c r="I204" s="55" t="s">
        <v>3547</v>
      </c>
      <c r="J204" s="55" t="s">
        <v>3548</v>
      </c>
      <c r="K204" s="55" t="s">
        <v>61</v>
      </c>
      <c r="L204" s="55" t="s">
        <v>317</v>
      </c>
      <c r="M204" s="55" t="s">
        <v>78</v>
      </c>
      <c r="N204" s="55" t="s">
        <v>79</v>
      </c>
      <c r="O204" s="55" t="s">
        <v>910</v>
      </c>
      <c r="P204" s="55" t="s">
        <v>110</v>
      </c>
      <c r="Q204" s="124" t="str">
        <f>IFERROR(__xludf.DUMMYFUNCTION("""COMPUTED_VALUE"""),"Europe.Giaotiep.Anhthongbao12_XuBen.5018_MES_HuyLG_280522")</f>
        <v>Europe.Giaotiep.Anhthongbao12_XuBen.5018_MES_HuyLG_280522</v>
      </c>
      <c r="R204" s="124" t="str">
        <f>IFERROR(__xludf.DUMMYFUNCTION("""COMPUTED_VALUE"""),"NEW_Europe_1840_none_280522")</f>
        <v>NEW_Europe_1840_none_280522</v>
      </c>
      <c r="S204" s="124" t="str">
        <f>IFERROR(__xludf.DUMMYFUNCTION("""COMPUTED_VALUE"""),"saletructiep_Europe.Anhthongbao12.1840.Giaotiep_TATTP_LD068")</f>
        <v>saletructiep_Europe.Anhthongbao12.1840.Giaotiep_TATTP_LD068</v>
      </c>
      <c r="T204" s="186" t="str">
        <f>IFERROR(__xludf.DUMMYFUNCTION("""COMPUTED_VALUE"""),"https://patadovietnam.edu.vn/khoa-hoc-giao-tiep/?utm_source=Facebook&amp;utm_medium=MES&amp;utm_term=NEW_Europe_1840_none_280522&amp;utm_content=saletructiep_Europe.Anhthongbao12.1840.Giaotiep_TATTP_LD068&amp;utm_campaign=Europe.Giaotiep.Anhthongbao12_XuBen.5018_MES_HuyL"&amp;"G_280522")</f>
        <v>https://patadovietnam.edu.vn/khoa-hoc-giao-tiep/?utm_source=Facebook&amp;utm_medium=MES&amp;utm_term=NEW_Europe_1840_none_280522&amp;utm_content=saletructiep_Europe.Anhthongbao12.1840.Giaotiep_TATTP_LD068&amp;utm_campaign=Europe.Giaotiep.Anhthongbao12_XuBen.5018_MES_HuyLG_280522</v>
      </c>
      <c r="U204" s="174"/>
    </row>
    <row r="205">
      <c r="A205" s="72">
        <v>44712.0</v>
      </c>
      <c r="B205" s="75" t="s">
        <v>772</v>
      </c>
      <c r="C205" s="67" t="str">
        <f>IFERROR(__xludf.DUMMYFUNCTION("""COMPUTED_VALUE"""),"LD115")</f>
        <v>LD115</v>
      </c>
      <c r="D205" s="55" t="s">
        <v>42</v>
      </c>
      <c r="E205" s="55" t="s">
        <v>69</v>
      </c>
      <c r="F205" s="55" t="s">
        <v>133</v>
      </c>
      <c r="G205" s="55">
        <v>1840.0</v>
      </c>
      <c r="H205" s="55" t="s">
        <v>1131</v>
      </c>
      <c r="I205" s="55" t="s">
        <v>3412</v>
      </c>
      <c r="J205" s="55" t="s">
        <v>3473</v>
      </c>
      <c r="K205" s="143" t="s">
        <v>61</v>
      </c>
      <c r="L205" s="143" t="s">
        <v>317</v>
      </c>
      <c r="M205" s="55" t="s">
        <v>78</v>
      </c>
      <c r="N205" s="55" t="s">
        <v>69</v>
      </c>
      <c r="O205" s="55" t="s">
        <v>910</v>
      </c>
      <c r="P205" s="143" t="s">
        <v>110</v>
      </c>
      <c r="Q205" s="178" t="str">
        <f>IFERROR(__xludf.DUMMYFUNCTION("""COMPUTED_VALUE"""),"Japan.Giaotiep.Anhthongbao12_XuBen.5018_CVS_HuyLG_310522")</f>
        <v>Japan.Giaotiep.Anhthongbao12_XuBen.5018_CVS_HuyLG_310522</v>
      </c>
      <c r="R205" s="178" t="str">
        <f>IFERROR(__xludf.DUMMYFUNCTION("""COMPUTED_VALUE"""),"NEW_Japan_1840_none_310522")</f>
        <v>NEW_Japan_1840_none_310522</v>
      </c>
      <c r="S205" s="178" t="str">
        <f>IFERROR(__xludf.DUMMYFUNCTION("""COMPUTED_VALUE"""),"saletructiep_Japan.Anhthongbao12.1840.Giaotiep_TATTP_LD115")</f>
        <v>saletructiep_Japan.Anhthongbao12.1840.Giaotiep_TATTP_LD115</v>
      </c>
      <c r="T205" s="179" t="str">
        <f>IFERROR(__xludf.DUMMYFUNCTION("""COMPUTED_VALUE"""),"https://patadovietnam.edu.vn/japancvs/?utm_source=Facebook&amp;utm_medium=CVS&amp;utm_term=NEW_Japan_1840_none_310522&amp;utm_content=saletructiep_Japan.Anhthongbao12.1840.Giaotiep_TATTP_LD115&amp;utm_campaign=Japan.Giaotiep.Anhthongbao12_XuBen.5018_CVS_HuyLG_310522")</f>
        <v>https://patadovietnam.edu.vn/japancvs/?utm_source=Facebook&amp;utm_medium=CVS&amp;utm_term=NEW_Japan_1840_none_310522&amp;utm_content=saletructiep_Japan.Anhthongbao12.1840.Giaotiep_TATTP_LD115&amp;utm_campaign=Japan.Giaotiep.Anhthongbao12_XuBen.5018_CVS_HuyLG_310522</v>
      </c>
      <c r="U205" s="180" t="s">
        <v>3560</v>
      </c>
    </row>
    <row r="206">
      <c r="A206" s="72">
        <v>44712.0</v>
      </c>
      <c r="B206" s="61" t="s">
        <v>777</v>
      </c>
      <c r="C206" s="67" t="str">
        <f>IFERROR(__xludf.DUMMYFUNCTION("""COMPUTED_VALUE"""),"LD068")</f>
        <v>LD068</v>
      </c>
      <c r="D206" s="55" t="s">
        <v>42</v>
      </c>
      <c r="E206" s="55" t="s">
        <v>79</v>
      </c>
      <c r="F206" s="55" t="s">
        <v>133</v>
      </c>
      <c r="G206" s="55">
        <v>1840.0</v>
      </c>
      <c r="H206" s="55" t="s">
        <v>1131</v>
      </c>
      <c r="I206" s="55" t="s">
        <v>3412</v>
      </c>
      <c r="J206" s="55" t="s">
        <v>3473</v>
      </c>
      <c r="K206" s="143" t="s">
        <v>61</v>
      </c>
      <c r="L206" s="143" t="s">
        <v>317</v>
      </c>
      <c r="M206" s="55" t="s">
        <v>78</v>
      </c>
      <c r="N206" s="55" t="s">
        <v>79</v>
      </c>
      <c r="O206" s="55" t="s">
        <v>3271</v>
      </c>
      <c r="P206" s="143" t="s">
        <v>110</v>
      </c>
      <c r="Q206" s="124" t="str">
        <f>IFERROR(__xludf.DUMMYFUNCTION("""COMPUTED_VALUE"""),"Japan.Giaotiep.Anhthongbao12_XuBen.5018_MES_HuyLG_310522")</f>
        <v>Japan.Giaotiep.Anhthongbao12_XuBen.5018_MES_HuyLG_310522</v>
      </c>
      <c r="R206" s="124" t="str">
        <f>IFERROR(__xludf.DUMMYFUNCTION("""COMPUTED_VALUE"""),"NEW_Japan_1840_none_310522")</f>
        <v>NEW_Japan_1840_none_310522</v>
      </c>
      <c r="S206" s="124" t="str">
        <f>IFERROR(__xludf.DUMMYFUNCTION("""COMPUTED_VALUE"""),"saletructiep_Japan.Anhthongbao12.1840.Giaotiep_PGPGTTA_LD068")</f>
        <v>saletructiep_Japan.Anhthongbao12.1840.Giaotiep_PGPGTTA_LD068</v>
      </c>
      <c r="T206" s="186" t="str">
        <f>IFERROR(__xludf.DUMMYFUNCTION("""COMPUTED_VALUE"""),"https://patadovietnam.edu.vn/khoa-hoc-giao-tiep/?utm_source=Facebook&amp;utm_medium=MES&amp;utm_term=NEW_Japan_1840_none_310522&amp;utm_content=saletructiep_Japan.Anhthongbao12.1840.Giaotiep_PGPGTTA_LD068&amp;utm_campaign=Japan.Giaotiep.Anhthongbao12_XuBen.5018_MES_HuyLG"&amp;"_310522")</f>
        <v>https://patadovietnam.edu.vn/khoa-hoc-giao-tiep/?utm_source=Facebook&amp;utm_medium=MES&amp;utm_term=NEW_Japan_1840_none_310522&amp;utm_content=saletructiep_Japan.Anhthongbao12.1840.Giaotiep_PGPGTTA_LD068&amp;utm_campaign=Japan.Giaotiep.Anhthongbao12_XuBen.5018_MES_HuyLG_310522</v>
      </c>
      <c r="U206" s="127" t="s">
        <v>3568</v>
      </c>
    </row>
    <row r="207">
      <c r="A207" s="72">
        <v>44712.0</v>
      </c>
      <c r="B207" s="61" t="s">
        <v>769</v>
      </c>
      <c r="C207" s="67" t="str">
        <f>IFERROR(__xludf.DUMMYFUNCTION("""COMPUTED_VALUE"""),"LD114")</f>
        <v>LD114</v>
      </c>
      <c r="D207" s="55" t="s">
        <v>42</v>
      </c>
      <c r="E207" s="143" t="s">
        <v>79</v>
      </c>
      <c r="F207" s="55" t="s">
        <v>199</v>
      </c>
      <c r="G207" s="55">
        <v>1835.0</v>
      </c>
      <c r="H207" s="143" t="s">
        <v>1131</v>
      </c>
      <c r="I207" s="55" t="s">
        <v>3184</v>
      </c>
      <c r="J207" s="55" t="s">
        <v>3085</v>
      </c>
      <c r="K207" s="143" t="s">
        <v>61</v>
      </c>
      <c r="L207" s="143" t="s">
        <v>317</v>
      </c>
      <c r="M207" s="55" t="s">
        <v>78</v>
      </c>
      <c r="N207" s="143" t="s">
        <v>79</v>
      </c>
      <c r="O207" s="55" t="s">
        <v>910</v>
      </c>
      <c r="P207" s="143" t="s">
        <v>110</v>
      </c>
      <c r="Q207" s="129" t="str">
        <f>IFERROR(__xludf.DUMMYFUNCTION("""COMPUTED_VALUE"""),"Vietnam.IELTS.Anhlotrinh_XuBen.5018_MES_HuyLG_310522")</f>
        <v>Vietnam.IELTS.Anhlotrinh_XuBen.5018_MES_HuyLG_310522</v>
      </c>
      <c r="R207" s="129" t="str">
        <f>IFERROR(__xludf.DUMMYFUNCTION("""COMPUTED_VALUE"""),"NEW_Vietnam_1835_none_310522")</f>
        <v>NEW_Vietnam_1835_none_310522</v>
      </c>
      <c r="S207" s="129" t="str">
        <f>IFERROR(__xludf.DUMMYFUNCTION("""COMPUTED_VALUE"""),"saletructiep_Vietnam.Anhlotrinh.1835.IELTS_TATTP_LD114")</f>
        <v>saletructiep_Vietnam.Anhlotrinh.1835.IELTS_TATTP_LD114</v>
      </c>
      <c r="T207" s="130" t="str">
        <f>IFERROR(__xludf.DUMMYFUNCTION("""COMPUTED_VALUE"""),"https://patadovietnam.edu.vn/ielts_cvs/?utm_source=Facebook&amp;utm_medium=MES&amp;utm_term=NEW_Vietnam_1835_none_310522&amp;utm_content=saletructiep_Vietnam.Anhlotrinh.1835.IELTS_TATTP_LD114&amp;utm_campaign=Vietnam.IELTS.Anhlotrinh_XuBen.5018_MES_HuyLG_310522")</f>
        <v>https://patadovietnam.edu.vn/ielts_cvs/?utm_source=Facebook&amp;utm_medium=MES&amp;utm_term=NEW_Vietnam_1835_none_310522&amp;utm_content=saletructiep_Vietnam.Anhlotrinh.1835.IELTS_TATTP_LD114&amp;utm_campaign=Vietnam.IELTS.Anhlotrinh_XuBen.5018_MES_HuyLG_310522</v>
      </c>
      <c r="U207" s="174"/>
    </row>
    <row r="208">
      <c r="A208" s="72">
        <v>44712.0</v>
      </c>
      <c r="B208" s="61" t="s">
        <v>777</v>
      </c>
      <c r="C208" s="67" t="str">
        <f>IFERROR(__xludf.DUMMYFUNCTION("""COMPUTED_VALUE"""),"LD068")</f>
        <v>LD068</v>
      </c>
      <c r="D208" s="143" t="s">
        <v>42</v>
      </c>
      <c r="E208" s="143" t="s">
        <v>79</v>
      </c>
      <c r="F208" s="143" t="s">
        <v>107</v>
      </c>
      <c r="G208" s="87">
        <v>1845.0</v>
      </c>
      <c r="H208" s="143" t="s">
        <v>1131</v>
      </c>
      <c r="I208" s="87" t="s">
        <v>3430</v>
      </c>
      <c r="J208" s="87" t="s">
        <v>3431</v>
      </c>
      <c r="K208" s="143" t="s">
        <v>61</v>
      </c>
      <c r="L208" s="143" t="s">
        <v>317</v>
      </c>
      <c r="M208" s="55" t="s">
        <v>78</v>
      </c>
      <c r="N208" s="143" t="s">
        <v>79</v>
      </c>
      <c r="O208" s="55" t="s">
        <v>910</v>
      </c>
      <c r="P208" s="87" t="s">
        <v>110</v>
      </c>
      <c r="Q208" s="129" t="str">
        <f>IFERROR(__xludf.DUMMYFUNCTION("""COMPUTED_VALUE"""),"UnitedStates.Giaotiep.Anhthongbao12_XuBen.5018_MES_HuyLG_310522")</f>
        <v>UnitedStates.Giaotiep.Anhthongbao12_XuBen.5018_MES_HuyLG_310522</v>
      </c>
      <c r="R208" s="129" t="str">
        <f>IFERROR(__xludf.DUMMYFUNCTION("""COMPUTED_VALUE"""),"NEW_UnitedStates_1845_none_310522")</f>
        <v>NEW_UnitedStates_1845_none_310522</v>
      </c>
      <c r="S208" s="129" t="str">
        <f>IFERROR(__xludf.DUMMYFUNCTION("""COMPUTED_VALUE"""),"saletructiep_UnitedStates.Anhthongbao12.1845.Giaotiep_TATTP_LD068")</f>
        <v>saletructiep_UnitedStates.Anhthongbao12.1845.Giaotiep_TATTP_LD068</v>
      </c>
      <c r="T208" s="128" t="str">
        <f>IFERROR(__xludf.DUMMYFUNCTION("""COMPUTED_VALUE"""),"https://patadovietnam.edu.vn/khoa-hoc-giao-tiep/?utm_source=Facebook&amp;utm_medium=MES&amp;utm_term=NEW_UnitedStates_1845_none_310522&amp;utm_content=saletructiep_UnitedStates.Anhthongbao12.1845.Giaotiep_TATTP_LD068&amp;utm_campaign=UnitedStates.Giaotiep.Anhthongbao12_X"&amp;"uBen.5018_MES_HuyLG_310522")</f>
        <v>https://patadovietnam.edu.vn/khoa-hoc-giao-tiep/?utm_source=Facebook&amp;utm_medium=MES&amp;utm_term=NEW_UnitedStates_1845_none_310522&amp;utm_content=saletructiep_UnitedStates.Anhthongbao12.1845.Giaotiep_TATTP_LD068&amp;utm_campaign=UnitedStates.Giaotiep.Anhthongbao12_XuBen.5018_MES_HuyLG_310522</v>
      </c>
      <c r="U208" s="174"/>
    </row>
    <row r="209">
      <c r="A209" s="72">
        <v>44716.0</v>
      </c>
      <c r="B209" s="61" t="s">
        <v>777</v>
      </c>
      <c r="C209" s="67" t="str">
        <f>IFERROR(__xludf.DUMMYFUNCTION("""COMPUTED_VALUE"""),"LD068")</f>
        <v>LD068</v>
      </c>
      <c r="D209" s="55" t="s">
        <v>42</v>
      </c>
      <c r="E209" s="143" t="s">
        <v>79</v>
      </c>
      <c r="F209" s="55" t="s">
        <v>129</v>
      </c>
      <c r="G209" s="55">
        <v>1845.0</v>
      </c>
      <c r="H209" s="143" t="s">
        <v>1131</v>
      </c>
      <c r="I209" s="55" t="s">
        <v>3420</v>
      </c>
      <c r="J209" s="55" t="s">
        <v>3421</v>
      </c>
      <c r="K209" s="143" t="s">
        <v>61</v>
      </c>
      <c r="L209" s="143" t="s">
        <v>317</v>
      </c>
      <c r="M209" s="55" t="s">
        <v>78</v>
      </c>
      <c r="N209" s="143" t="s">
        <v>79</v>
      </c>
      <c r="O209" s="55" t="s">
        <v>910</v>
      </c>
      <c r="P209" s="143" t="s">
        <v>110</v>
      </c>
      <c r="Q209" s="92" t="str">
        <f>IFERROR(__xludf.DUMMYFUNCTION("""COMPUTED_VALUE"""),"Australia.Giaotiep.Anhthongbao12_XuBen.5018_MES_HuyLG_040622")</f>
        <v>Australia.Giaotiep.Anhthongbao12_XuBen.5018_MES_HuyLG_040622</v>
      </c>
      <c r="R209" s="92" t="str">
        <f>IFERROR(__xludf.DUMMYFUNCTION("""COMPUTED_VALUE"""),"NEW_Australia_1845_none_040622")</f>
        <v>NEW_Australia_1845_none_040622</v>
      </c>
      <c r="S209" s="92" t="str">
        <f>IFERROR(__xludf.DUMMYFUNCTION("""COMPUTED_VALUE"""),"saletructiep_Australia.Anhthongbao12.1845.Giaotiep_TATTP_LD068")</f>
        <v>saletructiep_Australia.Anhthongbao12.1845.Giaotiep_TATTP_LD068</v>
      </c>
      <c r="T209" s="135" t="str">
        <f>IFERROR(__xludf.DUMMYFUNCTION("""COMPUTED_VALUE"""),"https://patadovietnam.edu.vn/khoa-hoc-giao-tiep/?utm_source=Facebook&amp;utm_medium=MES&amp;utm_term=NEW_Australia_1845_none_040622&amp;utm_content=saletructiep_Australia.Anhthongbao12.1845.Giaotiep_TATTP_LD068&amp;utm_campaign=Australia.Giaotiep.Anhthongbao12_XuBen.5018"&amp;"_MES_HuyLG_040622")</f>
        <v>https://patadovietnam.edu.vn/khoa-hoc-giao-tiep/?utm_source=Facebook&amp;utm_medium=MES&amp;utm_term=NEW_Australia_1845_none_040622&amp;utm_content=saletructiep_Australia.Anhthongbao12.1845.Giaotiep_TATTP_LD068&amp;utm_campaign=Australia.Giaotiep.Anhthongbao12_XuBen.5018_MES_HuyLG_040622</v>
      </c>
      <c r="U209" s="138" t="s">
        <v>3584</v>
      </c>
    </row>
    <row r="210">
      <c r="A210" s="72">
        <v>44716.0</v>
      </c>
      <c r="B210" s="61" t="s">
        <v>777</v>
      </c>
      <c r="C210" s="67" t="str">
        <f>IFERROR(__xludf.DUMMYFUNCTION("""COMPUTED_VALUE"""),"LD068")</f>
        <v>LD068</v>
      </c>
      <c r="D210" s="55" t="s">
        <v>42</v>
      </c>
      <c r="E210" s="143" t="s">
        <v>79</v>
      </c>
      <c r="F210" s="55" t="s">
        <v>182</v>
      </c>
      <c r="G210" s="55">
        <v>1840.0</v>
      </c>
      <c r="H210" s="143" t="s">
        <v>1131</v>
      </c>
      <c r="I210" s="55" t="s">
        <v>3520</v>
      </c>
      <c r="J210" s="55" t="s">
        <v>3521</v>
      </c>
      <c r="K210" s="55" t="s">
        <v>61</v>
      </c>
      <c r="L210" s="55" t="s">
        <v>317</v>
      </c>
      <c r="M210" s="55" t="s">
        <v>78</v>
      </c>
      <c r="N210" s="55" t="s">
        <v>79</v>
      </c>
      <c r="O210" s="55" t="s">
        <v>910</v>
      </c>
      <c r="P210" s="55" t="s">
        <v>110</v>
      </c>
      <c r="Q210" s="92" t="str">
        <f>IFERROR(__xludf.DUMMYFUNCTION("""COMPUTED_VALUE"""),"Malaysia.Giaotiep.Anhthongbao12_XuBen.5018_MES_HuyLG_040622")</f>
        <v>Malaysia.Giaotiep.Anhthongbao12_XuBen.5018_MES_HuyLG_040622</v>
      </c>
      <c r="R210" s="92" t="str">
        <f>IFERROR(__xludf.DUMMYFUNCTION("""COMPUTED_VALUE"""),"NEW_Malaysia_1840_none_040622")</f>
        <v>NEW_Malaysia_1840_none_040622</v>
      </c>
      <c r="S210" s="92" t="str">
        <f>IFERROR(__xludf.DUMMYFUNCTION("""COMPUTED_VALUE"""),"saletructiep_Malaysia.Anhthongbao12.1840.Giaotiep_TATTP_LD068")</f>
        <v>saletructiep_Malaysia.Anhthongbao12.1840.Giaotiep_TATTP_LD068</v>
      </c>
      <c r="T210" s="137" t="str">
        <f>IFERROR(__xludf.DUMMYFUNCTION("""COMPUTED_VALUE"""),"https://patadovietnam.edu.vn/khoa-hoc-giao-tiep/?utm_source=Facebook&amp;utm_medium=MES&amp;utm_term=NEW_Malaysia_1840_none_040622&amp;utm_content=saletructiep_Malaysia.Anhthongbao12.1840.Giaotiep_TATTP_LD068&amp;utm_campaign=Malaysia.Giaotiep.Anhthongbao12_XuBen.5018_ME"&amp;"S_HuyLG_040622")</f>
        <v>https://patadovietnam.edu.vn/khoa-hoc-giao-tiep/?utm_source=Facebook&amp;utm_medium=MES&amp;utm_term=NEW_Malaysia_1840_none_040622&amp;utm_content=saletructiep_Malaysia.Anhthongbao12.1840.Giaotiep_TATTP_LD068&amp;utm_campaign=Malaysia.Giaotiep.Anhthongbao12_XuBen.5018_MES_HuyLG_040622</v>
      </c>
      <c r="U210" s="145" t="s">
        <v>3592</v>
      </c>
    </row>
    <row r="211">
      <c r="A211" s="72">
        <v>44718.0</v>
      </c>
      <c r="B211" s="61" t="s">
        <v>769</v>
      </c>
      <c r="C211" s="67" t="str">
        <f>IFERROR(__xludf.DUMMYFUNCTION("""COMPUTED_VALUE"""),"LD114")</f>
        <v>LD114</v>
      </c>
      <c r="D211" s="55" t="s">
        <v>42</v>
      </c>
      <c r="E211" s="143" t="s">
        <v>79</v>
      </c>
      <c r="F211" s="55" t="s">
        <v>199</v>
      </c>
      <c r="G211" s="55">
        <v>1840.0</v>
      </c>
      <c r="H211" s="143" t="s">
        <v>1131</v>
      </c>
      <c r="I211" s="55" t="s">
        <v>3594</v>
      </c>
      <c r="J211" s="55" t="s">
        <v>3595</v>
      </c>
      <c r="K211" s="143" t="s">
        <v>61</v>
      </c>
      <c r="L211" s="143" t="s">
        <v>317</v>
      </c>
      <c r="M211" s="55" t="s">
        <v>78</v>
      </c>
      <c r="N211" s="143" t="s">
        <v>79</v>
      </c>
      <c r="O211" s="55" t="s">
        <v>910</v>
      </c>
      <c r="P211" s="143" t="s">
        <v>110</v>
      </c>
      <c r="Q211" s="129" t="str">
        <f>IFERROR(__xludf.DUMMYFUNCTION("""COMPUTED_VALUE"""),"Vietnam.IELTS.VideoH4trungtam_XuBen.5018_MES_HuyLG_060622")</f>
        <v>Vietnam.IELTS.VideoH4trungtam_XuBen.5018_MES_HuyLG_060622</v>
      </c>
      <c r="R211" s="129" t="str">
        <f>IFERROR(__xludf.DUMMYFUNCTION("""COMPUTED_VALUE"""),"NEW_Vietnam_1840_none_060622")</f>
        <v>NEW_Vietnam_1840_none_060622</v>
      </c>
      <c r="S211" s="129" t="str">
        <f>IFERROR(__xludf.DUMMYFUNCTION("""COMPUTED_VALUE"""),"saletructiep_Vietnam.VideoH4trungtam.1840.IELTS_TATTP_LD114")</f>
        <v>saletructiep_Vietnam.VideoH4trungtam.1840.IELTS_TATTP_LD114</v>
      </c>
      <c r="T211" s="130" t="str">
        <f>IFERROR(__xludf.DUMMYFUNCTION("""COMPUTED_VALUE"""),"https://patadovietnam.edu.vn/ielts_cvs/?utm_source=Facebook&amp;utm_medium=MES&amp;utm_term=NEW_Vietnam_1840_none_060622&amp;utm_content=saletructiep_Vietnam.VideoH4trungtam.1840.IELTS_TATTP_LD114&amp;utm_campaign=Vietnam.IELTS.VideoH4trungtam_XuBen.5018_MES_HuyLG_060622")</f>
        <v>https://patadovietnam.edu.vn/ielts_cvs/?utm_source=Facebook&amp;utm_medium=MES&amp;utm_term=NEW_Vietnam_1840_none_060622&amp;utm_content=saletructiep_Vietnam.VideoH4trungtam.1840.IELTS_TATTP_LD114&amp;utm_campaign=Vietnam.IELTS.VideoH4trungtam_XuBen.5018_MES_HuyLG_060622</v>
      </c>
      <c r="U211" s="174"/>
    </row>
    <row r="212">
      <c r="A212" s="72">
        <v>44723.0</v>
      </c>
      <c r="B212" s="60" t="s">
        <v>1120</v>
      </c>
      <c r="C212" s="67" t="str">
        <f>IFERROR(__xludf.DUMMYFUNCTION("""COMPUTED_VALUE"""),"LD125")</f>
        <v>LD125</v>
      </c>
      <c r="D212" s="55" t="s">
        <v>42</v>
      </c>
      <c r="E212" s="55" t="s">
        <v>69</v>
      </c>
      <c r="F212" s="55" t="s">
        <v>133</v>
      </c>
      <c r="G212" s="55">
        <v>1840.0</v>
      </c>
      <c r="H212" s="55" t="s">
        <v>1131</v>
      </c>
      <c r="I212" s="55" t="s">
        <v>3412</v>
      </c>
      <c r="J212" s="55" t="s">
        <v>3473</v>
      </c>
      <c r="K212" s="143" t="s">
        <v>61</v>
      </c>
      <c r="L212" s="143" t="s">
        <v>317</v>
      </c>
      <c r="M212" s="55" t="s">
        <v>78</v>
      </c>
      <c r="N212" s="55" t="s">
        <v>69</v>
      </c>
      <c r="O212" s="55" t="s">
        <v>910</v>
      </c>
      <c r="P212" s="143" t="s">
        <v>110</v>
      </c>
      <c r="Q212" s="187" t="str">
        <f>IFERROR(__xludf.DUMMYFUNCTION("""COMPUTED_VALUE"""),"Japan.Giaotiep.Anhthongbao12_XuBen.5018_CVS_HuyLG_110622")</f>
        <v>Japan.Giaotiep.Anhthongbao12_XuBen.5018_CVS_HuyLG_110622</v>
      </c>
      <c r="R212" s="187" t="str">
        <f>IFERROR(__xludf.DUMMYFUNCTION("""COMPUTED_VALUE"""),"NEW_Japan_1840_none_110622")</f>
        <v>NEW_Japan_1840_none_110622</v>
      </c>
      <c r="S212" s="187" t="str">
        <f>IFERROR(__xludf.DUMMYFUNCTION("""COMPUTED_VALUE"""),"saletructiep_Japan.Anhthongbao12.1840.Giaotiep_TATTP_LD125")</f>
        <v>saletructiep_Japan.Anhthongbao12.1840.Giaotiep_TATTP_LD125</v>
      </c>
      <c r="T212" s="188" t="str">
        <f>IFERROR(__xludf.DUMMYFUNCTION("""COMPUTED_VALUE"""),"https://patadovietnam.edu.vn/japan_hlg/?utm_source=Facebook&amp;utm_medium=CVS&amp;utm_term=NEW_Japan_1840_none_110622&amp;utm_content=saletructiep_Japan.Anhthongbao12.1840.Giaotiep_TATTP_LD125&amp;utm_campaign=Japan.Giaotiep.Anhthongbao12_XuBen.5018_CVS_HuyLG_110622")</f>
        <v>https://patadovietnam.edu.vn/japan_hlg/?utm_source=Facebook&amp;utm_medium=CVS&amp;utm_term=NEW_Japan_1840_none_110622&amp;utm_content=saletructiep_Japan.Anhthongbao12.1840.Giaotiep_TATTP_LD125&amp;utm_campaign=Japan.Giaotiep.Anhthongbao12_XuBen.5018_CVS_HuyLG_110622</v>
      </c>
      <c r="U212" s="189" t="s">
        <v>3610</v>
      </c>
    </row>
    <row r="213">
      <c r="A213" s="72">
        <v>44725.0</v>
      </c>
      <c r="B213" s="61" t="s">
        <v>777</v>
      </c>
      <c r="C213" s="67" t="str">
        <f>IFERROR(__xludf.DUMMYFUNCTION("""COMPUTED_VALUE"""),"LD068")</f>
        <v>LD068</v>
      </c>
      <c r="D213" s="55" t="s">
        <v>42</v>
      </c>
      <c r="E213" s="143" t="s">
        <v>79</v>
      </c>
      <c r="F213" s="55" t="s">
        <v>539</v>
      </c>
      <c r="G213" s="55">
        <v>1840.0</v>
      </c>
      <c r="H213" s="55" t="s">
        <v>1131</v>
      </c>
      <c r="I213" s="55" t="s">
        <v>3264</v>
      </c>
      <c r="J213" s="55" t="s">
        <v>3614</v>
      </c>
      <c r="K213" s="143" t="s">
        <v>61</v>
      </c>
      <c r="L213" s="143" t="s">
        <v>317</v>
      </c>
      <c r="M213" s="55" t="s">
        <v>78</v>
      </c>
      <c r="N213" s="143" t="s">
        <v>79</v>
      </c>
      <c r="O213" s="55" t="s">
        <v>910</v>
      </c>
      <c r="P213" s="143" t="s">
        <v>110</v>
      </c>
      <c r="Q213" s="190" t="str">
        <f>IFERROR(__xludf.DUMMYFUNCTION("""COMPUTED_VALUE"""),"ALL.Giaotiep.VideoH4trungtam_XuBen.5018_MES_HuyLG_130622")</f>
        <v>ALL.Giaotiep.VideoH4trungtam_XuBen.5018_MES_HuyLG_130622</v>
      </c>
      <c r="R213" s="190" t="str">
        <f>IFERROR(__xludf.DUMMYFUNCTION("""COMPUTED_VALUE"""),"NEW_ALL_1840_none_130622")</f>
        <v>NEW_ALL_1840_none_130622</v>
      </c>
      <c r="S213" s="190" t="str">
        <f>IFERROR(__xludf.DUMMYFUNCTION("""COMPUTED_VALUE"""),"saletructiep_ALL.VideoH4trungtam.1840.Giaotiep_TATTP_LD068")</f>
        <v>saletructiep_ALL.VideoH4trungtam.1840.Giaotiep_TATTP_LD068</v>
      </c>
      <c r="T213" s="191" t="str">
        <f>IFERROR(__xludf.DUMMYFUNCTION("""COMPUTED_VALUE"""),"https://patadovietnam.edu.vn/khoa-hoc-giao-tiep/?utm_source=Facebook&amp;utm_medium=MES&amp;utm_term=NEW_ALL_1840_none_130622&amp;utm_content=saletructiep_ALL.VideoH4trungtam.1840.Giaotiep_TATTP_LD068&amp;utm_campaign=ALL.Giaotiep.VideoH4trungtam_XuBen.5018_MES_HuyLG_130"&amp;"622")</f>
        <v>https://patadovietnam.edu.vn/khoa-hoc-giao-tiep/?utm_source=Facebook&amp;utm_medium=MES&amp;utm_term=NEW_ALL_1840_none_130622&amp;utm_content=saletructiep_ALL.VideoH4trungtam.1840.Giaotiep_TATTP_LD068&amp;utm_campaign=ALL.Giaotiep.VideoH4trungtam_XuBen.5018_MES_HuyLG_130622</v>
      </c>
      <c r="U213" s="192" t="s">
        <v>3624</v>
      </c>
    </row>
    <row r="214">
      <c r="A214" s="72">
        <v>44743.0</v>
      </c>
      <c r="B214" s="61" t="s">
        <v>712</v>
      </c>
      <c r="C214" s="67" t="str">
        <f>IFERROR(__xludf.DUMMYFUNCTION("""COMPUTED_VALUE"""),"LD109")</f>
        <v>LD109</v>
      </c>
      <c r="D214" s="55" t="s">
        <v>42</v>
      </c>
      <c r="E214" s="55" t="s">
        <v>69</v>
      </c>
      <c r="F214" s="55" t="s">
        <v>107</v>
      </c>
      <c r="G214" s="55">
        <v>1840.0</v>
      </c>
      <c r="H214" s="55" t="s">
        <v>1131</v>
      </c>
      <c r="I214" s="87" t="s">
        <v>3630</v>
      </c>
      <c r="J214" s="87" t="s">
        <v>3631</v>
      </c>
      <c r="K214" s="143" t="s">
        <v>61</v>
      </c>
      <c r="L214" s="143" t="s">
        <v>317</v>
      </c>
      <c r="M214" s="55" t="s">
        <v>78</v>
      </c>
      <c r="N214" s="55" t="s">
        <v>69</v>
      </c>
      <c r="O214" s="55" t="s">
        <v>3271</v>
      </c>
      <c r="P214" s="143" t="s">
        <v>110</v>
      </c>
      <c r="Q214" s="129" t="str">
        <f>IFERROR(__xludf.DUMMYFUNCTION("""COMPUTED_VALUE"""),"UnitedStates.Giaotiep.Anhlotrinh_XuBen.5018_CVS_HuyLG_010722")</f>
        <v>UnitedStates.Giaotiep.Anhlotrinh_XuBen.5018_CVS_HuyLG_010722</v>
      </c>
      <c r="R214" s="129" t="str">
        <f>IFERROR(__xludf.DUMMYFUNCTION("""COMPUTED_VALUE"""),"NEW_UnitedStates_1840_none_010722")</f>
        <v>NEW_UnitedStates_1840_none_010722</v>
      </c>
      <c r="S214" s="129" t="str">
        <f>IFERROR(__xludf.DUMMYFUNCTION("""COMPUTED_VALUE"""),"saletructiep_UnitedStates.Anhlotrinh.1845.Giaotiep_PGPGTTA_LD109")</f>
        <v>saletructiep_UnitedStates.Anhlotrinh.1845.Giaotiep_PGPGTTA_LD109</v>
      </c>
      <c r="T214" s="130" t="str">
        <f>IFERROR(__xludf.DUMMYFUNCTION("""COMPUTED_VALUE"""),"https://patadovietnam.edu.vn/hoaky_cvs/?utm_source=Facebook&amp;utm_medium=CVS&amp;utm_term=NEW_UnitedStates_1840_none_010722&amp;utm_content=saletructiep_UnitedStates.Anhlotrinh.1845.Giaotiep_PGPGTTA_LD109&amp;utm_campaign=UnitedStates.Giaotiep.Anhlotrinh_XuBen.5018_CVS"&amp;"_HuyLG_010722")</f>
        <v>https://patadovietnam.edu.vn/hoaky_cvs/?utm_source=Facebook&amp;utm_medium=CVS&amp;utm_term=NEW_UnitedStates_1840_none_010722&amp;utm_content=saletructiep_UnitedStates.Anhlotrinh.1845.Giaotiep_PGPGTTA_LD109&amp;utm_campaign=UnitedStates.Giaotiep.Anhlotrinh_XuBen.5018_CVS_HuyLG_010722</v>
      </c>
      <c r="U214" s="112" t="s">
        <v>3633</v>
      </c>
    </row>
    <row r="215">
      <c r="A215" s="72">
        <v>44743.0</v>
      </c>
      <c r="B215" s="61" t="s">
        <v>777</v>
      </c>
      <c r="C215" s="67" t="str">
        <f>IFERROR(__xludf.DUMMYFUNCTION("""COMPUTED_VALUE"""),"LD068")</f>
        <v>LD068</v>
      </c>
      <c r="D215" s="55" t="s">
        <v>42</v>
      </c>
      <c r="E215" s="55" t="s">
        <v>69</v>
      </c>
      <c r="F215" s="55" t="s">
        <v>129</v>
      </c>
      <c r="G215" s="55">
        <v>1840.0</v>
      </c>
      <c r="H215" s="143" t="s">
        <v>1131</v>
      </c>
      <c r="I215" s="55" t="s">
        <v>3371</v>
      </c>
      <c r="J215" s="55" t="s">
        <v>3372</v>
      </c>
      <c r="K215" s="143" t="s">
        <v>61</v>
      </c>
      <c r="L215" s="143" t="s">
        <v>317</v>
      </c>
      <c r="M215" s="55" t="s">
        <v>78</v>
      </c>
      <c r="N215" s="55" t="s">
        <v>69</v>
      </c>
      <c r="O215" s="55" t="s">
        <v>3271</v>
      </c>
      <c r="P215" s="143" t="s">
        <v>110</v>
      </c>
      <c r="Q215" s="129" t="str">
        <f>IFERROR(__xludf.DUMMYFUNCTION("""COMPUTED_VALUE"""),"Australia.Giaotiep.Anhlotrinh_XuBen.5018_CVS_HuyLG_010722")</f>
        <v>Australia.Giaotiep.Anhlotrinh_XuBen.5018_CVS_HuyLG_010722</v>
      </c>
      <c r="R215" s="129" t="str">
        <f>IFERROR(__xludf.DUMMYFUNCTION("""COMPUTED_VALUE"""),"NEW_Australia_1840_none_010722")</f>
        <v>NEW_Australia_1840_none_010722</v>
      </c>
      <c r="S215" s="129" t="str">
        <f>IFERROR(__xludf.DUMMYFUNCTION("""COMPUTED_VALUE"""),"saletructiep_Australia.Anhlotrinh.1845.Giaotiep_PGPGTTA_LD068")</f>
        <v>saletructiep_Australia.Anhlotrinh.1845.Giaotiep_PGPGTTA_LD068</v>
      </c>
      <c r="T215" s="130" t="str">
        <f>IFERROR(__xludf.DUMMYFUNCTION("""COMPUTED_VALUE"""),"https://patadovietnam.edu.vn/khoa-hoc-giao-tiep/?utm_source=Facebook&amp;utm_medium=CVS&amp;utm_term=NEW_Australia_1840_none_010722&amp;utm_content=saletructiep_Australia.Anhlotrinh.1845.Giaotiep_PGPGTTA_LD068&amp;utm_campaign=Australia.Giaotiep.Anhlotrinh_XuBen.5018_CVS"&amp;"_HuyLG_010722")</f>
        <v>https://patadovietnam.edu.vn/khoa-hoc-giao-tiep/?utm_source=Facebook&amp;utm_medium=CVS&amp;utm_term=NEW_Australia_1840_none_010722&amp;utm_content=saletructiep_Australia.Anhlotrinh.1845.Giaotiep_PGPGTTA_LD068&amp;utm_campaign=Australia.Giaotiep.Anhlotrinh_XuBen.5018_CVS_HuyLG_010722</v>
      </c>
      <c r="U215" s="112" t="s">
        <v>3642</v>
      </c>
    </row>
    <row r="216">
      <c r="A216" s="72">
        <v>44743.0</v>
      </c>
      <c r="B216" s="75" t="s">
        <v>776</v>
      </c>
      <c r="C216" s="67" t="str">
        <f>IFERROR(__xludf.DUMMYFUNCTION("""COMPUTED_VALUE"""),"LD117")</f>
        <v>LD117</v>
      </c>
      <c r="D216" s="55" t="s">
        <v>42</v>
      </c>
      <c r="E216" s="55" t="s">
        <v>69</v>
      </c>
      <c r="F216" s="55" t="s">
        <v>614</v>
      </c>
      <c r="G216" s="55">
        <v>1840.0</v>
      </c>
      <c r="H216" s="143" t="s">
        <v>1131</v>
      </c>
      <c r="I216" s="55" t="s">
        <v>3646</v>
      </c>
      <c r="J216" s="55" t="s">
        <v>3647</v>
      </c>
      <c r="K216" s="143" t="s">
        <v>61</v>
      </c>
      <c r="L216" s="143" t="s">
        <v>317</v>
      </c>
      <c r="M216" s="55" t="s">
        <v>78</v>
      </c>
      <c r="N216" s="55" t="s">
        <v>69</v>
      </c>
      <c r="O216" s="55" t="s">
        <v>3271</v>
      </c>
      <c r="P216" s="143" t="s">
        <v>110</v>
      </c>
      <c r="Q216" s="129" t="str">
        <f>IFERROR(__xludf.DUMMYFUNCTION("""COMPUTED_VALUE"""),"Korea.Giaotiep.Anhlotrinh_XuBen.5018_CVS_HuyLG_010722")</f>
        <v>Korea.Giaotiep.Anhlotrinh_XuBen.5018_CVS_HuyLG_010722</v>
      </c>
      <c r="R216" s="129" t="str">
        <f>IFERROR(__xludf.DUMMYFUNCTION("""COMPUTED_VALUE"""),"NEW_Korea_1840_none_010722")</f>
        <v>NEW_Korea_1840_none_010722</v>
      </c>
      <c r="S216" s="129" t="str">
        <f>IFERROR(__xludf.DUMMYFUNCTION("""COMPUTED_VALUE"""),"saletructiep_Korea.Anhlotrinh.1840.Giaotiep_PGPGTTA_LD117")</f>
        <v>saletructiep_Korea.Anhlotrinh.1840.Giaotiep_PGPGTTA_LD117</v>
      </c>
      <c r="T216" s="130" t="str">
        <f>IFERROR(__xludf.DUMMYFUNCTION("""COMPUTED_VALUE"""),"https://patadovietnam.edu.vn/korea_cvs/?utm_source=Facebook&amp;utm_medium=CVS&amp;utm_term=NEW_Korea_1840_none_010722&amp;utm_content=saletructiep_Korea.Anhlotrinh.1840.Giaotiep_PGPGTTA_LD117&amp;utm_campaign=Korea.Giaotiep.Anhlotrinh_XuBen.5018_CVS_HuyLG_010722")</f>
        <v>https://patadovietnam.edu.vn/korea_cvs/?utm_source=Facebook&amp;utm_medium=CVS&amp;utm_term=NEW_Korea_1840_none_010722&amp;utm_content=saletructiep_Korea.Anhlotrinh.1840.Giaotiep_PGPGTTA_LD117&amp;utm_campaign=Korea.Giaotiep.Anhlotrinh_XuBen.5018_CVS_HuyLG_010722</v>
      </c>
      <c r="U216" s="112" t="s">
        <v>3652</v>
      </c>
    </row>
    <row r="217">
      <c r="A217" s="72">
        <v>44744.0</v>
      </c>
      <c r="B217" s="60" t="s">
        <v>3461</v>
      </c>
      <c r="C217" s="67" t="str">
        <f>IFERROR(__xludf.DUMMYFUNCTION("""COMPUTED_VALUE"""),"LD154")</f>
        <v>LD154</v>
      </c>
      <c r="D217" s="55" t="s">
        <v>42</v>
      </c>
      <c r="E217" s="55" t="s">
        <v>69</v>
      </c>
      <c r="F217" s="55" t="s">
        <v>674</v>
      </c>
      <c r="G217" s="55">
        <v>1840.0</v>
      </c>
      <c r="H217" s="143" t="s">
        <v>1131</v>
      </c>
      <c r="I217" s="55" t="s">
        <v>3658</v>
      </c>
      <c r="J217" s="55" t="s">
        <v>3659</v>
      </c>
      <c r="K217" s="143" t="s">
        <v>61</v>
      </c>
      <c r="L217" s="143" t="s">
        <v>317</v>
      </c>
      <c r="M217" s="55" t="s">
        <v>78</v>
      </c>
      <c r="N217" s="55" t="s">
        <v>69</v>
      </c>
      <c r="O217" s="55" t="s">
        <v>3271</v>
      </c>
      <c r="P217" s="143" t="s">
        <v>110</v>
      </c>
      <c r="Q217" s="178" t="str">
        <f>IFERROR(__xludf.DUMMYFUNCTION("""COMPUTED_VALUE"""),"Europe.Giaotiep.Anhlotrinh_XuBen.5018_CVS_HuyLG_020722")</f>
        <v>Europe.Giaotiep.Anhlotrinh_XuBen.5018_CVS_HuyLG_020722</v>
      </c>
      <c r="R217" s="178" t="str">
        <f>IFERROR(__xludf.DUMMYFUNCTION("""COMPUTED_VALUE"""),"NEW_Europe_1840_none_020722")</f>
        <v>NEW_Europe_1840_none_020722</v>
      </c>
      <c r="S217" s="178" t="str">
        <f>IFERROR(__xludf.DUMMYFUNCTION("""COMPUTED_VALUE"""),"saletructiep_Europe.Anhlotrinh.1840.Giaotiep_PGPGTTA_LD154")</f>
        <v>saletructiep_Europe.Anhlotrinh.1840.Giaotiep_PGPGTTA_LD154</v>
      </c>
      <c r="T217" s="184" t="str">
        <f>IFERROR(__xludf.DUMMYFUNCTION("""COMPUTED_VALUE"""),"https://patadovietnam.edu.vn/eu_hlg/?utm_source=Facebook&amp;utm_medium=CVS&amp;utm_term=NEW_Europe_1840_none_020722&amp;utm_content=saletructiep_Europe.Anhlotrinh.1840.Giaotiep_PGPGTTA_LD154&amp;utm_campaign=Europe.Giaotiep.Anhlotrinh_XuBen.5018_CVS_HuyLG_020722")</f>
        <v>https://patadovietnam.edu.vn/eu_hlg/?utm_source=Facebook&amp;utm_medium=CVS&amp;utm_term=NEW_Europe_1840_none_020722&amp;utm_content=saletructiep_Europe.Anhlotrinh.1840.Giaotiep_PGPGTTA_LD154&amp;utm_campaign=Europe.Giaotiep.Anhlotrinh_XuBen.5018_CVS_HuyLG_020722</v>
      </c>
      <c r="U217" s="180" t="s">
        <v>3662</v>
      </c>
    </row>
    <row r="218">
      <c r="A218" s="72">
        <v>44751.0</v>
      </c>
      <c r="B218" s="61" t="s">
        <v>777</v>
      </c>
      <c r="C218" s="67" t="str">
        <f>IFERROR(__xludf.DUMMYFUNCTION("""COMPUTED_VALUE"""),"LD068")</f>
        <v>LD068</v>
      </c>
      <c r="D218" s="55" t="s">
        <v>42</v>
      </c>
      <c r="E218" s="55" t="s">
        <v>69</v>
      </c>
      <c r="F218" s="55" t="s">
        <v>129</v>
      </c>
      <c r="G218" s="55">
        <v>1840.0</v>
      </c>
      <c r="H218" s="143" t="s">
        <v>1131</v>
      </c>
      <c r="I218" s="55" t="s">
        <v>3665</v>
      </c>
      <c r="J218" s="55" t="s">
        <v>3666</v>
      </c>
      <c r="K218" s="143" t="s">
        <v>61</v>
      </c>
      <c r="L218" s="143" t="s">
        <v>317</v>
      </c>
      <c r="M218" s="55" t="s">
        <v>78</v>
      </c>
      <c r="N218" s="55" t="s">
        <v>69</v>
      </c>
      <c r="O218" s="55" t="s">
        <v>910</v>
      </c>
      <c r="P218" s="143" t="s">
        <v>110</v>
      </c>
      <c r="Q218" s="129" t="str">
        <f>IFERROR(__xludf.DUMMYFUNCTION("""COMPUTED_VALUE"""),"Australia.Giaotiep.Anhchaohe_XuBen.5018_CVS_HuyLG_090722")</f>
        <v>Australia.Giaotiep.Anhchaohe_XuBen.5018_CVS_HuyLG_090722</v>
      </c>
      <c r="R218" s="129" t="str">
        <f>IFERROR(__xludf.DUMMYFUNCTION("""COMPUTED_VALUE"""),"NEW_Australia_1840_none_090722")</f>
        <v>NEW_Australia_1840_none_090722</v>
      </c>
      <c r="S218" s="129" t="str">
        <f>IFERROR(__xludf.DUMMYFUNCTION("""COMPUTED_VALUE"""),"saletructiep_Australia.Anhchaohe.1845.Giaotiep_TATTP_LD068")</f>
        <v>saletructiep_Australia.Anhchaohe.1845.Giaotiep_TATTP_LD068</v>
      </c>
      <c r="T218" s="130" t="str">
        <f>IFERROR(__xludf.DUMMYFUNCTION("""COMPUTED_VALUE"""),"https://patadovietnam.edu.vn/khoa-hoc-giao-tiep/?utm_source=Facebook&amp;utm_medium=CVS&amp;utm_term=NEW_Australia_1840_none_090722&amp;utm_content=saletructiep_Australia.Anhchaohe.1845.Giaotiep_TATTP_LD068&amp;utm_campaign=Australia.Giaotiep.Anhchaohe_XuBen.5018_CVS_Huy"&amp;"LG_090722")</f>
        <v>https://patadovietnam.edu.vn/khoa-hoc-giao-tiep/?utm_source=Facebook&amp;utm_medium=CVS&amp;utm_term=NEW_Australia_1840_none_090722&amp;utm_content=saletructiep_Australia.Anhchaohe.1845.Giaotiep_TATTP_LD068&amp;utm_campaign=Australia.Giaotiep.Anhchaohe_XuBen.5018_CVS_HuyLG_090722</v>
      </c>
      <c r="U218" s="112" t="s">
        <v>3669</v>
      </c>
    </row>
    <row r="219">
      <c r="A219" s="72">
        <v>44751.0</v>
      </c>
      <c r="B219" s="75" t="s">
        <v>776</v>
      </c>
      <c r="C219" s="67" t="str">
        <f>IFERROR(__xludf.DUMMYFUNCTION("""COMPUTED_VALUE"""),"LD117")</f>
        <v>LD117</v>
      </c>
      <c r="D219" s="55" t="s">
        <v>42</v>
      </c>
      <c r="E219" s="55" t="s">
        <v>69</v>
      </c>
      <c r="F219" s="55" t="s">
        <v>614</v>
      </c>
      <c r="G219" s="55">
        <v>1840.0</v>
      </c>
      <c r="H219" s="143" t="s">
        <v>1131</v>
      </c>
      <c r="I219" s="55" t="s">
        <v>3670</v>
      </c>
      <c r="J219" s="55" t="s">
        <v>3671</v>
      </c>
      <c r="K219" s="143" t="s">
        <v>61</v>
      </c>
      <c r="L219" s="143" t="s">
        <v>317</v>
      </c>
      <c r="M219" s="55" t="s">
        <v>78</v>
      </c>
      <c r="N219" s="55" t="s">
        <v>69</v>
      </c>
      <c r="O219" s="55" t="s">
        <v>910</v>
      </c>
      <c r="P219" s="143" t="s">
        <v>110</v>
      </c>
      <c r="Q219" s="129" t="str">
        <f>IFERROR(__xludf.DUMMYFUNCTION("""COMPUTED_VALUE"""),"Korea.Giaotiep.Anhchaohe_XuBen.5018_CVS_HuyLG_090722")</f>
        <v>Korea.Giaotiep.Anhchaohe_XuBen.5018_CVS_HuyLG_090722</v>
      </c>
      <c r="R219" s="129" t="str">
        <f>IFERROR(__xludf.DUMMYFUNCTION("""COMPUTED_VALUE"""),"NEW_Korea_1840_none_090722")</f>
        <v>NEW_Korea_1840_none_090722</v>
      </c>
      <c r="S219" s="129" t="str">
        <f>IFERROR(__xludf.DUMMYFUNCTION("""COMPUTED_VALUE"""),"saletructiep_Korea.Anhchaohe.1840.Giaotiep_TATTP_LD117")</f>
        <v>saletructiep_Korea.Anhchaohe.1840.Giaotiep_TATTP_LD117</v>
      </c>
      <c r="T219" s="130" t="str">
        <f>IFERROR(__xludf.DUMMYFUNCTION("""COMPUTED_VALUE"""),"https://patadovietnam.edu.vn/korea_cvs/?utm_source=Facebook&amp;utm_medium=CVS&amp;utm_term=NEW_Korea_1840_none_090722&amp;utm_content=saletructiep_Korea.Anhchaohe.1840.Giaotiep_TATTP_LD117&amp;utm_campaign=Korea.Giaotiep.Anhchaohe_XuBen.5018_CVS_HuyLG_090722")</f>
        <v>https://patadovietnam.edu.vn/korea_cvs/?utm_source=Facebook&amp;utm_medium=CVS&amp;utm_term=NEW_Korea_1840_none_090722&amp;utm_content=saletructiep_Korea.Anhchaohe.1840.Giaotiep_TATTP_LD117&amp;utm_campaign=Korea.Giaotiep.Anhchaohe_XuBen.5018_CVS_HuyLG_090722</v>
      </c>
      <c r="U219" s="112" t="s">
        <v>3674</v>
      </c>
    </row>
    <row r="220">
      <c r="A220" s="72">
        <v>44751.0</v>
      </c>
      <c r="B220" s="61" t="s">
        <v>712</v>
      </c>
      <c r="C220" s="67" t="str">
        <f>IFERROR(__xludf.DUMMYFUNCTION("""COMPUTED_VALUE"""),"LD109")</f>
        <v>LD109</v>
      </c>
      <c r="D220" s="55" t="s">
        <v>42</v>
      </c>
      <c r="E220" s="55" t="s">
        <v>69</v>
      </c>
      <c r="F220" s="55" t="s">
        <v>107</v>
      </c>
      <c r="G220" s="55">
        <v>1840.0</v>
      </c>
      <c r="H220" s="55" t="s">
        <v>1131</v>
      </c>
      <c r="I220" s="87" t="s">
        <v>3430</v>
      </c>
      <c r="J220" s="87" t="s">
        <v>3431</v>
      </c>
      <c r="K220" s="143" t="s">
        <v>61</v>
      </c>
      <c r="L220" s="143" t="s">
        <v>317</v>
      </c>
      <c r="M220" s="55" t="s">
        <v>78</v>
      </c>
      <c r="N220" s="55" t="s">
        <v>69</v>
      </c>
      <c r="O220" s="55" t="s">
        <v>910</v>
      </c>
      <c r="P220" s="143" t="s">
        <v>110</v>
      </c>
      <c r="Q220" s="129" t="str">
        <f>IFERROR(__xludf.DUMMYFUNCTION("""COMPUTED_VALUE"""),"UnitedStates.Giaotiep.Anhthongbao12_XuBen.5018_CVS_HuyLG_090722")</f>
        <v>UnitedStates.Giaotiep.Anhthongbao12_XuBen.5018_CVS_HuyLG_090722</v>
      </c>
      <c r="R220" s="129" t="str">
        <f>IFERROR(__xludf.DUMMYFUNCTION("""COMPUTED_VALUE"""),"NEW_UnitedStates_1840_none_090722")</f>
        <v>NEW_UnitedStates_1840_none_090722</v>
      </c>
      <c r="S220" s="129" t="str">
        <f>IFERROR(__xludf.DUMMYFUNCTION("""COMPUTED_VALUE"""),"saletructiep_UnitedStates.Anhthongbao12.1845.Giaotiep_TATTP_LD109")</f>
        <v>saletructiep_UnitedStates.Anhthongbao12.1845.Giaotiep_TATTP_LD109</v>
      </c>
      <c r="T220" s="130" t="str">
        <f>IFERROR(__xludf.DUMMYFUNCTION("""COMPUTED_VALUE"""),"https://patadovietnam.edu.vn/hoaky_cvs/?utm_source=Facebook&amp;utm_medium=CVS&amp;utm_term=NEW_UnitedStates_1840_none_090722&amp;utm_content=saletructiep_UnitedStates.Anhthongbao12.1845.Giaotiep_TATTP_LD109&amp;utm_campaign=UnitedStates.Giaotiep.Anhthongbao12_XuBen.5018"&amp;"_CVS_HuyLG_090722")</f>
        <v>https://patadovietnam.edu.vn/hoaky_cvs/?utm_source=Facebook&amp;utm_medium=CVS&amp;utm_term=NEW_UnitedStates_1840_none_090722&amp;utm_content=saletructiep_UnitedStates.Anhthongbao12.1845.Giaotiep_TATTP_LD109&amp;utm_campaign=UnitedStates.Giaotiep.Anhthongbao12_XuBen.5018_CVS_HuyLG_090722</v>
      </c>
      <c r="U220" s="112" t="s">
        <v>3680</v>
      </c>
    </row>
    <row r="221">
      <c r="A221" s="72">
        <v>44753.0</v>
      </c>
      <c r="B221" s="61" t="s">
        <v>712</v>
      </c>
      <c r="C221" s="67" t="str">
        <f>IFERROR(__xludf.DUMMYFUNCTION("""COMPUTED_VALUE"""),"LD109")</f>
        <v>LD109</v>
      </c>
      <c r="D221" s="55" t="s">
        <v>42</v>
      </c>
      <c r="E221" s="55" t="s">
        <v>69</v>
      </c>
      <c r="F221" s="55" t="s">
        <v>107</v>
      </c>
      <c r="G221" s="55">
        <v>1850.0</v>
      </c>
      <c r="H221" s="55" t="s">
        <v>1131</v>
      </c>
      <c r="I221" s="87" t="s">
        <v>3682</v>
      </c>
      <c r="J221" s="87" t="s">
        <v>3683</v>
      </c>
      <c r="K221" s="143" t="s">
        <v>61</v>
      </c>
      <c r="L221" s="143" t="s">
        <v>317</v>
      </c>
      <c r="M221" s="55" t="s">
        <v>78</v>
      </c>
      <c r="N221" s="55" t="s">
        <v>69</v>
      </c>
      <c r="O221" s="55" t="s">
        <v>3271</v>
      </c>
      <c r="P221" s="143" t="s">
        <v>110</v>
      </c>
      <c r="Q221" s="129" t="str">
        <f>IFERROR(__xludf.DUMMYFUNCTION("""COMPUTED_VALUE"""),"UnitedStates.Giaotiep.Anhshortthongbao_XuBen.5018_CVS_HuyLG_110722")</f>
        <v>UnitedStates.Giaotiep.Anhshortthongbao_XuBen.5018_CVS_HuyLG_110722</v>
      </c>
      <c r="R221" s="129" t="str">
        <f>IFERROR(__xludf.DUMMYFUNCTION("""COMPUTED_VALUE"""),"NEW_UnitedStates_1850_none_110722")</f>
        <v>NEW_UnitedStates_1850_none_110722</v>
      </c>
      <c r="S221" s="129" t="str">
        <f>IFERROR(__xludf.DUMMYFUNCTION("""COMPUTED_VALUE"""),"saletructiep_UnitedStates.Anhshortthongbao.1845.Giaotiep_PGPGTTA_LD109")</f>
        <v>saletructiep_UnitedStates.Anhshortthongbao.1845.Giaotiep_PGPGTTA_LD109</v>
      </c>
      <c r="T221" s="130" t="str">
        <f>IFERROR(__xludf.DUMMYFUNCTION("""COMPUTED_VALUE"""),"https://patadovietnam.edu.vn/hoaky_cvs/?utm_source=Facebook&amp;utm_medium=CVS&amp;utm_term=NEW_UnitedStates_1850_none_110722&amp;utm_content=saletructiep_UnitedStates.Anhshortthongbao.1845.Giaotiep_PGPGTTA_LD109&amp;utm_campaign=UnitedStates.Giaotiep.Anhshortthongbao_Xu"&amp;"Ben.5018_CVS_HuyLG_110722")</f>
        <v>https://patadovietnam.edu.vn/hoaky_cvs/?utm_source=Facebook&amp;utm_medium=CVS&amp;utm_term=NEW_UnitedStates_1850_none_110722&amp;utm_content=saletructiep_UnitedStates.Anhshortthongbao.1845.Giaotiep_PGPGTTA_LD109&amp;utm_campaign=UnitedStates.Giaotiep.Anhshortthongbao_XuBen.5018_CVS_HuyLG_110722</v>
      </c>
      <c r="U221" s="112" t="s">
        <v>3687</v>
      </c>
    </row>
    <row r="222">
      <c r="A222" s="72">
        <v>44753.0</v>
      </c>
      <c r="B222" s="75" t="s">
        <v>776</v>
      </c>
      <c r="C222" s="67" t="str">
        <f>IFERROR(__xludf.DUMMYFUNCTION("""COMPUTED_VALUE"""),"LD117")</f>
        <v>LD117</v>
      </c>
      <c r="D222" s="55" t="s">
        <v>42</v>
      </c>
      <c r="E222" s="55" t="s">
        <v>69</v>
      </c>
      <c r="F222" s="55" t="s">
        <v>614</v>
      </c>
      <c r="G222" s="55">
        <v>1840.0</v>
      </c>
      <c r="H222" s="143" t="s">
        <v>1131</v>
      </c>
      <c r="I222" s="55" t="s">
        <v>3514</v>
      </c>
      <c r="J222" s="55" t="s">
        <v>3689</v>
      </c>
      <c r="K222" s="143" t="s">
        <v>61</v>
      </c>
      <c r="L222" s="143" t="s">
        <v>317</v>
      </c>
      <c r="M222" s="55" t="s">
        <v>78</v>
      </c>
      <c r="N222" s="55" t="s">
        <v>69</v>
      </c>
      <c r="O222" s="55" t="s">
        <v>910</v>
      </c>
      <c r="P222" s="143" t="s">
        <v>110</v>
      </c>
      <c r="Q222" s="129" t="str">
        <f>IFERROR(__xludf.DUMMYFUNCTION("""COMPUTED_VALUE"""),"Korea.Giaotiep.Anhthongbao12_XuBen.5018_CVS_HuyLG_110722")</f>
        <v>Korea.Giaotiep.Anhthongbao12_XuBen.5018_CVS_HuyLG_110722</v>
      </c>
      <c r="R222" s="129" t="str">
        <f>IFERROR(__xludf.DUMMYFUNCTION("""COMPUTED_VALUE"""),"NEW_Korea_1840_none_110722")</f>
        <v>NEW_Korea_1840_none_110722</v>
      </c>
      <c r="S222" s="129" t="str">
        <f>IFERROR(__xludf.DUMMYFUNCTION("""COMPUTED_VALUE"""),"saletructiep_Korea.Anhthongbao12.1840.Giaotiep_TATTP_LD117")</f>
        <v>saletructiep_Korea.Anhthongbao12.1840.Giaotiep_TATTP_LD117</v>
      </c>
      <c r="T222" s="130" t="str">
        <f>IFERROR(__xludf.DUMMYFUNCTION("""COMPUTED_VALUE"""),"https://patadovietnam.edu.vn/korea_cvs/?utm_source=Facebook&amp;utm_medium=CVS&amp;utm_term=NEW_Korea_1840_none_110722&amp;utm_content=saletructiep_Korea.Anhthongbao12.1840.Giaotiep_TATTP_LD117&amp;utm_campaign=Korea.Giaotiep.Anhthongbao12_XuBen.5018_CVS_HuyLG_110722")</f>
        <v>https://patadovietnam.edu.vn/korea_cvs/?utm_source=Facebook&amp;utm_medium=CVS&amp;utm_term=NEW_Korea_1840_none_110722&amp;utm_content=saletructiep_Korea.Anhthongbao12.1840.Giaotiep_TATTP_LD117&amp;utm_campaign=Korea.Giaotiep.Anhthongbao12_XuBen.5018_CVS_HuyLG_110722</v>
      </c>
      <c r="U222" s="112" t="s">
        <v>3692</v>
      </c>
    </row>
    <row r="223">
      <c r="A223" s="72">
        <v>44755.0</v>
      </c>
      <c r="B223" s="61" t="s">
        <v>777</v>
      </c>
      <c r="C223" s="67" t="str">
        <f>IFERROR(__xludf.DUMMYFUNCTION("""COMPUTED_VALUE"""),"LD068")</f>
        <v>LD068</v>
      </c>
      <c r="D223" s="86" t="s">
        <v>42</v>
      </c>
      <c r="E223" s="87" t="s">
        <v>79</v>
      </c>
      <c r="F223" s="87" t="s">
        <v>112</v>
      </c>
      <c r="G223" s="163">
        <v>1845.0</v>
      </c>
      <c r="H223" s="86" t="s">
        <v>1131</v>
      </c>
      <c r="I223" s="87" t="s">
        <v>3446</v>
      </c>
      <c r="J223" s="55" t="s">
        <v>3447</v>
      </c>
      <c r="K223" s="143" t="s">
        <v>61</v>
      </c>
      <c r="L223" s="143" t="s">
        <v>317</v>
      </c>
      <c r="M223" s="55" t="s">
        <v>78</v>
      </c>
      <c r="N223" s="143" t="s">
        <v>79</v>
      </c>
      <c r="O223" s="55" t="s">
        <v>910</v>
      </c>
      <c r="P223" s="143" t="s">
        <v>110</v>
      </c>
      <c r="Q223" s="129" t="str">
        <f>IFERROR(__xludf.DUMMYFUNCTION("""COMPUTED_VALUE"""),"Canada.Giaotiep.Anhthongbao12_XuBen.5018_MES_HuyLG_130722")</f>
        <v>Canada.Giaotiep.Anhthongbao12_XuBen.5018_MES_HuyLG_130722</v>
      </c>
      <c r="R223" s="129" t="str">
        <f>IFERROR(__xludf.DUMMYFUNCTION("""COMPUTED_VALUE"""),"NEW_Canada_1845_none_130722")</f>
        <v>NEW_Canada_1845_none_130722</v>
      </c>
      <c r="S223" s="129" t="str">
        <f>IFERROR(__xludf.DUMMYFUNCTION("""COMPUTED_VALUE"""),"saletructiep_Canada.Anhthongbao12.1845.Giaotiep_TATTP_LD068")</f>
        <v>saletructiep_Canada.Anhthongbao12.1845.Giaotiep_TATTP_LD068</v>
      </c>
      <c r="T223" s="130" t="str">
        <f>IFERROR(__xludf.DUMMYFUNCTION("""COMPUTED_VALUE"""),"https://patadovietnam.edu.vn/khoa-hoc-giao-tiep/?utm_source=Facebook&amp;utm_medium=MES&amp;utm_term=NEW_Canada_1845_none_130722&amp;utm_content=saletructiep_Canada.Anhthongbao12.1845.Giaotiep_TATTP_LD068&amp;utm_campaign=Canada.Giaotiep.Anhthongbao12_XuBen.5018_MES_HuyL"&amp;"G_130722")</f>
        <v>https://patadovietnam.edu.vn/khoa-hoc-giao-tiep/?utm_source=Facebook&amp;utm_medium=MES&amp;utm_term=NEW_Canada_1845_none_130722&amp;utm_content=saletructiep_Canada.Anhthongbao12.1845.Giaotiep_TATTP_LD068&amp;utm_campaign=Canada.Giaotiep.Anhthongbao12_XuBen.5018_MES_HuyLG_130722</v>
      </c>
      <c r="U223" s="112" t="s">
        <v>3699</v>
      </c>
    </row>
    <row r="224">
      <c r="A224" s="72">
        <v>44755.0</v>
      </c>
      <c r="B224" s="61" t="s">
        <v>777</v>
      </c>
      <c r="C224" s="67" t="str">
        <f>IFERROR(__xludf.DUMMYFUNCTION("""COMPUTED_VALUE"""),"LD068")</f>
        <v>LD068</v>
      </c>
      <c r="D224" s="55" t="s">
        <v>42</v>
      </c>
      <c r="E224" s="143" t="s">
        <v>79</v>
      </c>
      <c r="F224" s="55" t="s">
        <v>129</v>
      </c>
      <c r="G224" s="55">
        <v>1845.0</v>
      </c>
      <c r="H224" s="143" t="s">
        <v>1131</v>
      </c>
      <c r="I224" s="55" t="s">
        <v>3420</v>
      </c>
      <c r="J224" s="55" t="s">
        <v>3421</v>
      </c>
      <c r="K224" s="143" t="s">
        <v>61</v>
      </c>
      <c r="L224" s="143" t="s">
        <v>317</v>
      </c>
      <c r="M224" s="55" t="s">
        <v>78</v>
      </c>
      <c r="N224" s="143" t="s">
        <v>79</v>
      </c>
      <c r="O224" s="55" t="s">
        <v>3271</v>
      </c>
      <c r="P224" s="143" t="s">
        <v>110</v>
      </c>
      <c r="Q224" s="129" t="str">
        <f>IFERROR(__xludf.DUMMYFUNCTION("""COMPUTED_VALUE"""),"Australia.Giaotiep.Anhthongbao12_XuBen.5018_MES_HuyLG_130722")</f>
        <v>Australia.Giaotiep.Anhthongbao12_XuBen.5018_MES_HuyLG_130722</v>
      </c>
      <c r="R224" s="129" t="str">
        <f>IFERROR(__xludf.DUMMYFUNCTION("""COMPUTED_VALUE"""),"NEW_Australia_1845_none_130722")</f>
        <v>NEW_Australia_1845_none_130722</v>
      </c>
      <c r="S224" s="129" t="str">
        <f>IFERROR(__xludf.DUMMYFUNCTION("""COMPUTED_VALUE"""),"saletructiep_Australia.Anhthongbao12.1845.Giaotiep_PGPGTTA_LD068")</f>
        <v>saletructiep_Australia.Anhthongbao12.1845.Giaotiep_PGPGTTA_LD068</v>
      </c>
      <c r="T224" s="130" t="str">
        <f>IFERROR(__xludf.DUMMYFUNCTION("""COMPUTED_VALUE"""),"https://patadovietnam.edu.vn/khoa-hoc-giao-tiep/?utm_source=Facebook&amp;utm_medium=MES&amp;utm_term=NEW_Australia_1845_none_130722&amp;utm_content=saletructiep_Australia.Anhthongbao12.1845.Giaotiep_PGPGTTA_LD068&amp;utm_campaign=Australia.Giaotiep.Anhthongbao12_XuBen.50"&amp;"18_MES_HuyLG_130722")</f>
        <v>https://patadovietnam.edu.vn/khoa-hoc-giao-tiep/?utm_source=Facebook&amp;utm_medium=MES&amp;utm_term=NEW_Australia_1845_none_130722&amp;utm_content=saletructiep_Australia.Anhthongbao12.1845.Giaotiep_PGPGTTA_LD068&amp;utm_campaign=Australia.Giaotiep.Anhthongbao12_XuBen.5018_MES_HuyLG_130722</v>
      </c>
      <c r="U224" s="193"/>
    </row>
    <row r="225">
      <c r="A225" s="72">
        <v>44755.0</v>
      </c>
      <c r="B225" s="75" t="s">
        <v>1120</v>
      </c>
      <c r="C225" s="67" t="str">
        <f>IFERROR(__xludf.DUMMYFUNCTION("""COMPUTED_VALUE"""),"LD125")</f>
        <v>LD125</v>
      </c>
      <c r="D225" s="55" t="s">
        <v>42</v>
      </c>
      <c r="E225" s="55" t="s">
        <v>69</v>
      </c>
      <c r="F225" s="55" t="s">
        <v>133</v>
      </c>
      <c r="G225" s="55">
        <v>1840.0</v>
      </c>
      <c r="H225" s="55" t="s">
        <v>1131</v>
      </c>
      <c r="I225" s="55" t="s">
        <v>3707</v>
      </c>
      <c r="J225" s="55" t="s">
        <v>3708</v>
      </c>
      <c r="K225" s="143" t="s">
        <v>61</v>
      </c>
      <c r="L225" s="143" t="s">
        <v>317</v>
      </c>
      <c r="M225" s="55" t="s">
        <v>78</v>
      </c>
      <c r="N225" s="55" t="s">
        <v>69</v>
      </c>
      <c r="O225" s="55" t="s">
        <v>3271</v>
      </c>
      <c r="P225" s="143" t="s">
        <v>110</v>
      </c>
      <c r="Q225" s="190" t="str">
        <f>IFERROR(__xludf.DUMMYFUNCTION("""COMPUTED_VALUE"""),"Japan.Giaotiep.Anhshort_XuBen.5018_CVS_HuyLG_130722")</f>
        <v>Japan.Giaotiep.Anhshort_XuBen.5018_CVS_HuyLG_130722</v>
      </c>
      <c r="R225" s="190" t="str">
        <f>IFERROR(__xludf.DUMMYFUNCTION("""COMPUTED_VALUE"""),"NEW_Japan_1840_none_130722")</f>
        <v>NEW_Japan_1840_none_130722</v>
      </c>
      <c r="S225" s="190" t="str">
        <f>IFERROR(__xludf.DUMMYFUNCTION("""COMPUTED_VALUE"""),"saletructiep_Japan.Anhshort.1840.Giaotiep_PGPGTTA_LD125")</f>
        <v>saletructiep_Japan.Anhshort.1840.Giaotiep_PGPGTTA_LD125</v>
      </c>
      <c r="T225" s="191" t="str">
        <f>IFERROR(__xludf.DUMMYFUNCTION("""COMPUTED_VALUE"""),"https://patadovietnam.edu.vn/japan_hlg/?utm_source=Facebook&amp;utm_medium=CVS&amp;utm_term=NEW_Japan_1840_none_130722&amp;utm_content=saletructiep_Japan.Anhshort.1840.Giaotiep_PGPGTTA_LD125&amp;utm_campaign=Japan.Giaotiep.Anhshort_XuBen.5018_CVS_HuyLG_130722")</f>
        <v>https://patadovietnam.edu.vn/japan_hlg/?utm_source=Facebook&amp;utm_medium=CVS&amp;utm_term=NEW_Japan_1840_none_130722&amp;utm_content=saletructiep_Japan.Anhshort.1840.Giaotiep_PGPGTTA_LD125&amp;utm_campaign=Japan.Giaotiep.Anhshort_XuBen.5018_CVS_HuyLG_130722</v>
      </c>
      <c r="U225" s="192" t="s">
        <v>3715</v>
      </c>
    </row>
    <row r="226">
      <c r="A226" s="72">
        <v>44767.0</v>
      </c>
      <c r="B226" s="61" t="s">
        <v>777</v>
      </c>
      <c r="C226" s="67" t="str">
        <f>IFERROR(__xludf.DUMMYFUNCTION("""COMPUTED_VALUE"""),"LD068")</f>
        <v>LD068</v>
      </c>
      <c r="D226" s="55" t="s">
        <v>42</v>
      </c>
      <c r="E226" s="55" t="s">
        <v>125</v>
      </c>
      <c r="F226" s="55" t="s">
        <v>3032</v>
      </c>
      <c r="G226" s="55">
        <v>1840.0</v>
      </c>
      <c r="H226" s="55" t="s">
        <v>1131</v>
      </c>
      <c r="I226" s="95" t="s">
        <v>3716</v>
      </c>
      <c r="J226" s="55" t="s">
        <v>3717</v>
      </c>
      <c r="K226" s="143" t="s">
        <v>61</v>
      </c>
      <c r="L226" s="143" t="s">
        <v>317</v>
      </c>
      <c r="M226" s="55" t="s">
        <v>78</v>
      </c>
      <c r="N226" s="55" t="s">
        <v>125</v>
      </c>
      <c r="O226" s="55" t="s">
        <v>1142</v>
      </c>
      <c r="P226" s="55" t="s">
        <v>110</v>
      </c>
      <c r="Q226" s="129" t="str">
        <f>IFERROR(__xludf.DUMMYFUNCTION("""COMPUTED_VALUE"""),"HCM.PRtrungtam.VideoH4trungtam_XuBen.5018_CTW_HuyLG_250722")</f>
        <v>HCM.PRtrungtam.VideoH4trungtam_XuBen.5018_CTW_HuyLG_250722</v>
      </c>
      <c r="R226" s="129" t="str">
        <f>IFERROR(__xludf.DUMMYFUNCTION("""COMPUTED_VALUE"""),"NEW_HCM_1840_none_250722")</f>
        <v>NEW_HCM_1840_none_250722</v>
      </c>
      <c r="S226" s="129" t="str">
        <f>IFERROR(__xludf.DUMMYFUNCTION("""COMPUTED_VALUE"""),"saletructiep_HCM.VideoH4trungtam.1840.PRtrungtam_THCNGDP_LD068")</f>
        <v>saletructiep_HCM.VideoH4trungtam.1840.PRtrungtam_THCNGDP_LD068</v>
      </c>
      <c r="T226" s="130" t="str">
        <f>IFERROR(__xludf.DUMMYFUNCTION("""COMPUTED_VALUE"""),"https://patadovietnam.edu.vn/khoa-hoc-giao-tiep/?utm_source=Facebook&amp;utm_medium=CTW&amp;utm_term=NEW_HCM_1840_none_250722&amp;utm_content=saletructiep_HCM.VideoH4trungtam.1840.PRtrungtam_THCNGDP_LD068&amp;utm_campaign=HCM.PRtrungtam.VideoH4trungtam_XuBen.5018_CTW_Huy"&amp;"LG_250722")</f>
        <v>https://patadovietnam.edu.vn/khoa-hoc-giao-tiep/?utm_source=Facebook&amp;utm_medium=CTW&amp;utm_term=NEW_HCM_1840_none_250722&amp;utm_content=saletructiep_HCM.VideoH4trungtam.1840.PRtrungtam_THCNGDP_LD068&amp;utm_campaign=HCM.PRtrungtam.VideoH4trungtam_XuBen.5018_CTW_HuyLG_250722</v>
      </c>
      <c r="U226" s="112" t="s">
        <v>3721</v>
      </c>
    </row>
    <row r="227">
      <c r="A227" s="72">
        <v>44767.0</v>
      </c>
      <c r="B227" s="61" t="s">
        <v>777</v>
      </c>
      <c r="C227" s="67" t="str">
        <f>IFERROR(__xludf.DUMMYFUNCTION("""COMPUTED_VALUE"""),"LD068")</f>
        <v>LD068</v>
      </c>
      <c r="D227" s="55" t="s">
        <v>42</v>
      </c>
      <c r="E227" s="55" t="s">
        <v>125</v>
      </c>
      <c r="F227" s="55" t="s">
        <v>46</v>
      </c>
      <c r="G227" s="55">
        <v>1840.0</v>
      </c>
      <c r="H227" s="55" t="s">
        <v>1131</v>
      </c>
      <c r="I227" s="95" t="s">
        <v>3727</v>
      </c>
      <c r="J227" s="55" t="s">
        <v>3728</v>
      </c>
      <c r="K227" s="143" t="s">
        <v>61</v>
      </c>
      <c r="L227" s="143" t="s">
        <v>317</v>
      </c>
      <c r="M227" s="55" t="s">
        <v>78</v>
      </c>
      <c r="N227" s="55" t="s">
        <v>125</v>
      </c>
      <c r="O227" s="55" t="s">
        <v>1142</v>
      </c>
      <c r="P227" s="55" t="s">
        <v>110</v>
      </c>
      <c r="Q227" s="129" t="str">
        <f>IFERROR(__xludf.DUMMYFUNCTION("""COMPUTED_VALUE"""),"HN.PRtrungtam.VideoVTV_XuBen.5018_CTW_HuyLG_250722")</f>
        <v>HN.PRtrungtam.VideoVTV_XuBen.5018_CTW_HuyLG_250722</v>
      </c>
      <c r="R227" s="129" t="str">
        <f>IFERROR(__xludf.DUMMYFUNCTION("""COMPUTED_VALUE"""),"NEW_HN_1840_none_250722")</f>
        <v>NEW_HN_1840_none_250722</v>
      </c>
      <c r="S227" s="129" t="str">
        <f>IFERROR(__xludf.DUMMYFUNCTION("""COMPUTED_VALUE"""),"saletructiep_HN.VideoVTV.1840.PRtrungtam_THCNGDP_LD068")</f>
        <v>saletructiep_HN.VideoVTV.1840.PRtrungtam_THCNGDP_LD068</v>
      </c>
      <c r="T227" s="130" t="str">
        <f>IFERROR(__xludf.DUMMYFUNCTION("""COMPUTED_VALUE"""),"https://patadovietnam.edu.vn/khoa-hoc-giao-tiep/?utm_source=Facebook&amp;utm_medium=CTW&amp;utm_term=NEW_HN_1840_none_250722&amp;utm_content=saletructiep_HN.VideoVTV.1840.PRtrungtam_THCNGDP_LD068&amp;utm_campaign=HN.PRtrungtam.VideoVTV_XuBen.5018_CTW_HuyLG_250722")</f>
        <v>https://patadovietnam.edu.vn/khoa-hoc-giao-tiep/?utm_source=Facebook&amp;utm_medium=CTW&amp;utm_term=NEW_HN_1840_none_250722&amp;utm_content=saletructiep_HN.VideoVTV.1840.PRtrungtam_THCNGDP_LD068&amp;utm_campaign=HN.PRtrungtam.VideoVTV_XuBen.5018_CTW_HuyLG_250722</v>
      </c>
      <c r="U227" s="112" t="s">
        <v>3731</v>
      </c>
    </row>
    <row r="228">
      <c r="A228" s="72">
        <v>44786.0</v>
      </c>
      <c r="B228" s="75" t="s">
        <v>3734</v>
      </c>
      <c r="C228" s="67" t="str">
        <f>IFERROR(__xludf.DUMMYFUNCTION("""COMPUTED_VALUE"""),"LD120")</f>
        <v>LD120</v>
      </c>
      <c r="D228" s="55" t="s">
        <v>42</v>
      </c>
      <c r="E228" s="87" t="s">
        <v>69</v>
      </c>
      <c r="F228" s="55" t="s">
        <v>199</v>
      </c>
      <c r="G228" s="55">
        <v>2855.0</v>
      </c>
      <c r="H228" s="55" t="s">
        <v>1131</v>
      </c>
      <c r="I228" s="55" t="s">
        <v>3736</v>
      </c>
      <c r="J228" s="55" t="s">
        <v>3737</v>
      </c>
      <c r="K228" s="143" t="s">
        <v>61</v>
      </c>
      <c r="L228" s="143" t="s">
        <v>317</v>
      </c>
      <c r="M228" s="55" t="s">
        <v>78</v>
      </c>
      <c r="N228" s="55" t="s">
        <v>69</v>
      </c>
      <c r="O228" s="55" t="s">
        <v>910</v>
      </c>
      <c r="P228" s="55" t="s">
        <v>110</v>
      </c>
      <c r="Q228" s="129" t="str">
        <f>IFERROR(__xludf.DUMMYFUNCTION("""COMPUTED_VALUE"""),"Vietnam.Kids.Anhcambridge_XuBen.5018_CVS_HuyLG_130822")</f>
        <v>Vietnam.Kids.Anhcambridge_XuBen.5018_CVS_HuyLG_130822</v>
      </c>
      <c r="R228" s="129" t="str">
        <f>IFERROR(__xludf.DUMMYFUNCTION("""COMPUTED_VALUE"""),"NEW_Vietnam_2855_none_130822")</f>
        <v>NEW_Vietnam_2855_none_130822</v>
      </c>
      <c r="S228" s="129" t="str">
        <f>IFERROR(__xludf.DUMMYFUNCTION("""COMPUTED_VALUE"""),"saletructiep_Vietnam.Anhcambridge.2855.Kids_TATTP_LD120")</f>
        <v>saletructiep_Vietnam.Anhcambridge.2855.Kids_TATTP_LD120</v>
      </c>
      <c r="T228" s="130" t="str">
        <f>IFERROR(__xludf.DUMMYFUNCTION("""COMPUTED_VALUE"""),"https://patadovietnam.edu.vn/kids_hlg/?utm_source=Facebook&amp;utm_medium=CVS&amp;utm_term=NEW_Vietnam_2855_none_130822&amp;utm_content=saletructiep_Vietnam.Anhcambridge.2855.Kids_TATTP_LD120&amp;utm_campaign=Vietnam.Kids.Anhcambridge_XuBen.5018_CVS_HuyLG_130822")</f>
        <v>https://patadovietnam.edu.vn/kids_hlg/?utm_source=Facebook&amp;utm_medium=CVS&amp;utm_term=NEW_Vietnam_2855_none_130822&amp;utm_content=saletructiep_Vietnam.Anhcambridge.2855.Kids_TATTP_LD120&amp;utm_campaign=Vietnam.Kids.Anhcambridge_XuBen.5018_CVS_HuyLG_130822</v>
      </c>
      <c r="U228" s="112" t="s">
        <v>3742</v>
      </c>
    </row>
    <row r="229">
      <c r="A229" s="72">
        <v>44810.0</v>
      </c>
      <c r="B229" s="61" t="s">
        <v>777</v>
      </c>
      <c r="C229" s="67" t="str">
        <f>IFERROR(__xludf.DUMMYFUNCTION("""COMPUTED_VALUE"""),"LD068")</f>
        <v>LD068</v>
      </c>
      <c r="D229" s="55" t="s">
        <v>42</v>
      </c>
      <c r="E229" s="143" t="s">
        <v>79</v>
      </c>
      <c r="F229" s="55" t="s">
        <v>129</v>
      </c>
      <c r="G229" s="55">
        <v>1845.0</v>
      </c>
      <c r="H229" s="143" t="s">
        <v>1131</v>
      </c>
      <c r="I229" s="55" t="s">
        <v>3747</v>
      </c>
      <c r="J229" s="55" t="s">
        <v>3748</v>
      </c>
      <c r="K229" s="143" t="s">
        <v>61</v>
      </c>
      <c r="L229" s="143" t="s">
        <v>317</v>
      </c>
      <c r="M229" s="55" t="s">
        <v>2789</v>
      </c>
      <c r="N229" s="143" t="s">
        <v>79</v>
      </c>
      <c r="O229" s="55" t="s">
        <v>910</v>
      </c>
      <c r="P229" s="55" t="s">
        <v>110</v>
      </c>
      <c r="Q229" s="129" t="str">
        <f>IFERROR(__xludf.DUMMYFUNCTION("""COMPUTED_VALUE"""),"Australia.Giaotiep.Anhfeedback_XuBen.5018_MES_HuyLG_060922")</f>
        <v>Australia.Giaotiep.Anhfeedback_XuBen.5018_MES_HuyLG_060922</v>
      </c>
      <c r="R229" s="129" t="str">
        <f>IFERROR(__xludf.DUMMYFUNCTION("""COMPUTED_VALUE"""),"NEW_Australia_1845_none_060922")</f>
        <v>NEW_Australia_1845_none_060922</v>
      </c>
      <c r="S229" s="129" t="str">
        <f>IFERROR(__xludf.DUMMYFUNCTION("""COMPUTED_VALUE"""),"Storytelling_Australia.Anhfeedback.1845.Giaotiep_TATTP_LD068")</f>
        <v>Storytelling_Australia.Anhfeedback.1845.Giaotiep_TATTP_LD068</v>
      </c>
      <c r="T229" s="130" t="str">
        <f>IFERROR(__xludf.DUMMYFUNCTION("""COMPUTED_VALUE"""),"https://patadovietnam.edu.vn/khoa-hoc-giao-tiep/?utm_source=Facebook&amp;utm_medium=MES&amp;utm_term=NEW_Australia_1845_none_060922&amp;utm_content=Storytelling_Australia.Anhfeedback.1845.Giaotiep_TATTP_LD068&amp;utm_campaign=Australia.Giaotiep.Anhfeedback_XuBen.5018_MES"&amp;"_HuyLG_060922")</f>
        <v>https://patadovietnam.edu.vn/khoa-hoc-giao-tiep/?utm_source=Facebook&amp;utm_medium=MES&amp;utm_term=NEW_Australia_1845_none_060922&amp;utm_content=Storytelling_Australia.Anhfeedback.1845.Giaotiep_TATTP_LD068&amp;utm_campaign=Australia.Giaotiep.Anhfeedback_XuBen.5018_MES_HuyLG_060922</v>
      </c>
      <c r="U229" s="112" t="s">
        <v>3751</v>
      </c>
    </row>
    <row r="230">
      <c r="A230" s="72">
        <v>44810.0</v>
      </c>
      <c r="B230" s="61" t="s">
        <v>777</v>
      </c>
      <c r="C230" s="67" t="str">
        <f>IFERROR(__xludf.DUMMYFUNCTION("""COMPUTED_VALUE"""),"LD068")</f>
        <v>LD068</v>
      </c>
      <c r="D230" s="55" t="s">
        <v>42</v>
      </c>
      <c r="E230" s="143" t="s">
        <v>79</v>
      </c>
      <c r="F230" s="55" t="s">
        <v>107</v>
      </c>
      <c r="G230" s="55">
        <v>2050.0</v>
      </c>
      <c r="H230" s="143" t="s">
        <v>1131</v>
      </c>
      <c r="I230" s="55" t="s">
        <v>3754</v>
      </c>
      <c r="J230" s="55" t="s">
        <v>3755</v>
      </c>
      <c r="K230" s="143" t="s">
        <v>61</v>
      </c>
      <c r="L230" s="143" t="s">
        <v>317</v>
      </c>
      <c r="M230" s="55" t="s">
        <v>2789</v>
      </c>
      <c r="N230" s="143" t="s">
        <v>79</v>
      </c>
      <c r="O230" s="55" t="s">
        <v>910</v>
      </c>
      <c r="P230" s="55" t="s">
        <v>110</v>
      </c>
      <c r="Q230" s="129" t="str">
        <f>IFERROR(__xludf.DUMMYFUNCTION("""COMPUTED_VALUE"""),"UnitedStates.Giaotiep.Anhfeedback_XuBen.5018_MES_HuyLG_060922")</f>
        <v>UnitedStates.Giaotiep.Anhfeedback_XuBen.5018_MES_HuyLG_060922</v>
      </c>
      <c r="R230" s="129" t="str">
        <f>IFERROR(__xludf.DUMMYFUNCTION("""COMPUTED_VALUE"""),"NEW_UnitedStates_2050_none_060922")</f>
        <v>NEW_UnitedStates_2050_none_060922</v>
      </c>
      <c r="S230" s="129" t="str">
        <f>IFERROR(__xludf.DUMMYFUNCTION("""COMPUTED_VALUE"""),"Storytelling_UnitedStates.Anhfeedback.2050.Giaotiep_TATTP_LD068")</f>
        <v>Storytelling_UnitedStates.Anhfeedback.2050.Giaotiep_TATTP_LD068</v>
      </c>
      <c r="T230" s="130" t="str">
        <f>IFERROR(__xludf.DUMMYFUNCTION("""COMPUTED_VALUE"""),"https://patadovietnam.edu.vn/khoa-hoc-giao-tiep/?utm_source=Facebook&amp;utm_medium=MES&amp;utm_term=NEW_UnitedStates_2050_none_060922&amp;utm_content=Storytelling_UnitedStates.Anhfeedback.2050.Giaotiep_TATTP_LD068&amp;utm_campaign=UnitedStates.Giaotiep.Anhfeedback_XuBen"&amp;".5018_MES_HuyLG_060922")</f>
        <v>https://patadovietnam.edu.vn/khoa-hoc-giao-tiep/?utm_source=Facebook&amp;utm_medium=MES&amp;utm_term=NEW_UnitedStates_2050_none_060922&amp;utm_content=Storytelling_UnitedStates.Anhfeedback.2050.Giaotiep_TATTP_LD068&amp;utm_campaign=UnitedStates.Giaotiep.Anhfeedback_XuBen.5018_MES_HuyLG_060922</v>
      </c>
      <c r="U230" s="112" t="s">
        <v>3759</v>
      </c>
    </row>
    <row r="231">
      <c r="A231" s="72">
        <v>44832.0</v>
      </c>
      <c r="B231" s="61" t="s">
        <v>777</v>
      </c>
      <c r="C231" s="67" t="str">
        <f>IFERROR(__xludf.DUMMYFUNCTION("""COMPUTED_VALUE"""),"LD068")</f>
        <v>LD068</v>
      </c>
      <c r="D231" s="55" t="s">
        <v>42</v>
      </c>
      <c r="E231" s="143" t="s">
        <v>79</v>
      </c>
      <c r="F231" s="55" t="s">
        <v>129</v>
      </c>
      <c r="G231" s="55">
        <v>1845.0</v>
      </c>
      <c r="H231" s="143" t="s">
        <v>1131</v>
      </c>
      <c r="I231" s="55" t="s">
        <v>3760</v>
      </c>
      <c r="J231" s="55" t="s">
        <v>3761</v>
      </c>
      <c r="K231" s="143" t="s">
        <v>61</v>
      </c>
      <c r="L231" s="143" t="s">
        <v>317</v>
      </c>
      <c r="M231" s="55" t="s">
        <v>78</v>
      </c>
      <c r="N231" s="143" t="s">
        <v>79</v>
      </c>
      <c r="O231" s="55" t="s">
        <v>910</v>
      </c>
      <c r="P231" s="143" t="s">
        <v>110</v>
      </c>
      <c r="Q231" s="129" t="str">
        <f>IFERROR(__xludf.DUMMYFUNCTION("""COMPUTED_VALUE"""),"Australia.Giaotiep.Anhshortthongbao_XuBen.5018_MES_HuyLG_280922")</f>
        <v>Australia.Giaotiep.Anhshortthongbao_XuBen.5018_MES_HuyLG_280922</v>
      </c>
      <c r="R231" s="129" t="str">
        <f>IFERROR(__xludf.DUMMYFUNCTION("""COMPUTED_VALUE"""),"NEW_Australia_1845_none_280922")</f>
        <v>NEW_Australia_1845_none_280922</v>
      </c>
      <c r="S231" s="129" t="str">
        <f>IFERROR(__xludf.DUMMYFUNCTION("""COMPUTED_VALUE"""),"saletructiep_Australia.Anhshortthongbao.1845.Giaotiep_TATTP_LD068")</f>
        <v>saletructiep_Australia.Anhshortthongbao.1845.Giaotiep_TATTP_LD068</v>
      </c>
      <c r="T231" s="128" t="str">
        <f>IFERROR(__xludf.DUMMYFUNCTION("""COMPUTED_VALUE"""),"https://patadovietnam.edu.vn/khoa-hoc-giao-tiep/?utm_source=Facebook&amp;utm_medium=MES&amp;utm_term=NEW_Australia_1845_none_280922&amp;utm_content=saletructiep_Australia.Anhshortthongbao.1845.Giaotiep_TATTP_LD068&amp;utm_campaign=Australia.Giaotiep.Anhshortthongbao_XuBe"&amp;"n.5018_MES_HuyLG_280922")</f>
        <v>https://patadovietnam.edu.vn/khoa-hoc-giao-tiep/?utm_source=Facebook&amp;utm_medium=MES&amp;utm_term=NEW_Australia_1845_none_280922&amp;utm_content=saletructiep_Australia.Anhshortthongbao.1845.Giaotiep_TATTP_LD068&amp;utm_campaign=Australia.Giaotiep.Anhshortthongbao_XuBen.5018_MES_HuyLG_280922</v>
      </c>
      <c r="U231" s="112" t="s">
        <v>3765</v>
      </c>
    </row>
    <row r="232">
      <c r="A232" s="72">
        <v>44832.0</v>
      </c>
      <c r="B232" s="61" t="s">
        <v>777</v>
      </c>
      <c r="C232" s="67" t="str">
        <f>IFERROR(__xludf.DUMMYFUNCTION("""COMPUTED_VALUE"""),"LD068")</f>
        <v>LD068</v>
      </c>
      <c r="D232" s="143" t="s">
        <v>42</v>
      </c>
      <c r="E232" s="143" t="s">
        <v>79</v>
      </c>
      <c r="F232" s="55" t="s">
        <v>164</v>
      </c>
      <c r="G232" s="87">
        <v>1840.0</v>
      </c>
      <c r="H232" s="143" t="s">
        <v>1131</v>
      </c>
      <c r="I232" s="55" t="s">
        <v>3767</v>
      </c>
      <c r="J232" s="55" t="s">
        <v>3768</v>
      </c>
      <c r="K232" s="143" t="s">
        <v>61</v>
      </c>
      <c r="L232" s="143" t="s">
        <v>317</v>
      </c>
      <c r="M232" s="55" t="s">
        <v>78</v>
      </c>
      <c r="N232" s="143" t="s">
        <v>79</v>
      </c>
      <c r="O232" s="55" t="s">
        <v>910</v>
      </c>
      <c r="P232" s="143" t="s">
        <v>110</v>
      </c>
      <c r="Q232" s="129" t="str">
        <f>IFERROR(__xludf.DUMMYFUNCTION("""COMPUTED_VALUE"""),"Taiwan.Giaotiep.Anhshortthongbao_XuBen.5018_MES_HuyLG_280922")</f>
        <v>Taiwan.Giaotiep.Anhshortthongbao_XuBen.5018_MES_HuyLG_280922</v>
      </c>
      <c r="R232" s="129" t="str">
        <f>IFERROR(__xludf.DUMMYFUNCTION("""COMPUTED_VALUE"""),"NEW_Taiwan_1840_none_280922")</f>
        <v>NEW_Taiwan_1840_none_280922</v>
      </c>
      <c r="S232" s="129" t="str">
        <f>IFERROR(__xludf.DUMMYFUNCTION("""COMPUTED_VALUE"""),"saletructiep_Taiwan.Anhshortthongbao.1840.Giaotiep_TATTP_LD068")</f>
        <v>saletructiep_Taiwan.Anhshortthongbao.1840.Giaotiep_TATTP_LD068</v>
      </c>
      <c r="T232" s="128" t="str">
        <f>IFERROR(__xludf.DUMMYFUNCTION("""COMPUTED_VALUE"""),"https://patadovietnam.edu.vn/khoa-hoc-giao-tiep/?utm_source=Facebook&amp;utm_medium=MES&amp;utm_term=NEW_Taiwan_1840_none_280922&amp;utm_content=saletructiep_Taiwan.Anhshortthongbao.1840.Giaotiep_TATTP_LD068&amp;utm_campaign=Taiwan.Giaotiep.Anhshortthongbao_XuBen.5018_ME"&amp;"S_HuyLG_280922")</f>
        <v>https://patadovietnam.edu.vn/khoa-hoc-giao-tiep/?utm_source=Facebook&amp;utm_medium=MES&amp;utm_term=NEW_Taiwan_1840_none_280922&amp;utm_content=saletructiep_Taiwan.Anhshortthongbao.1840.Giaotiep_TATTP_LD068&amp;utm_campaign=Taiwan.Giaotiep.Anhshortthongbao_XuBen.5018_MES_HuyLG_280922</v>
      </c>
      <c r="U232" s="112" t="s">
        <v>3772</v>
      </c>
    </row>
    <row r="233">
      <c r="A233" s="72">
        <v>44832.0</v>
      </c>
      <c r="B233" s="61" t="s">
        <v>712</v>
      </c>
      <c r="C233" s="67" t="str">
        <f>IFERROR(__xludf.DUMMYFUNCTION("""COMPUTED_VALUE"""),"LD109")</f>
        <v>LD109</v>
      </c>
      <c r="D233" s="55" t="s">
        <v>42</v>
      </c>
      <c r="E233" s="143" t="s">
        <v>79</v>
      </c>
      <c r="F233" s="55" t="s">
        <v>107</v>
      </c>
      <c r="G233" s="55">
        <v>2045.0</v>
      </c>
      <c r="H233" s="143" t="s">
        <v>1131</v>
      </c>
      <c r="I233" s="55" t="s">
        <v>3682</v>
      </c>
      <c r="J233" s="55" t="s">
        <v>3773</v>
      </c>
      <c r="K233" s="143" t="s">
        <v>61</v>
      </c>
      <c r="L233" s="143" t="s">
        <v>317</v>
      </c>
      <c r="M233" s="55" t="s">
        <v>78</v>
      </c>
      <c r="N233" s="143" t="s">
        <v>79</v>
      </c>
      <c r="O233" s="55" t="s">
        <v>910</v>
      </c>
      <c r="P233" s="55" t="s">
        <v>110</v>
      </c>
      <c r="Q233" s="129" t="str">
        <f>IFERROR(__xludf.DUMMYFUNCTION("""COMPUTED_VALUE"""),"UnitedStates.Giaotiep.Anhshortthongbao_XuBen.5018_MES_HuyLG_280922")</f>
        <v>UnitedStates.Giaotiep.Anhshortthongbao_XuBen.5018_MES_HuyLG_280922</v>
      </c>
      <c r="R233" s="129" t="str">
        <f>IFERROR(__xludf.DUMMYFUNCTION("""COMPUTED_VALUE"""),"NEW_UnitedStates_2045_none_280922")</f>
        <v>NEW_UnitedStates_2045_none_280922</v>
      </c>
      <c r="S233" s="129" t="str">
        <f>IFERROR(__xludf.DUMMYFUNCTION("""COMPUTED_VALUE"""),"saletructiep_UnitedStates.Anhshortthongbao.2045.Giaotiep_TATTP_LD109")</f>
        <v>saletructiep_UnitedStates.Anhshortthongbao.2045.Giaotiep_TATTP_LD109</v>
      </c>
      <c r="T233" s="128" t="str">
        <f>IFERROR(__xludf.DUMMYFUNCTION("""COMPUTED_VALUE"""),"https://patadovietnam.edu.vn/hoaky_cvs/?utm_source=Facebook&amp;utm_medium=MES&amp;utm_term=NEW_UnitedStates_2045_none_280922&amp;utm_content=saletructiep_UnitedStates.Anhshortthongbao.2045.Giaotiep_TATTP_LD109&amp;utm_campaign=UnitedStates.Giaotiep.Anhshortthongbao_XuBe"&amp;"n.5018_MES_HuyLG_280922")</f>
        <v>https://patadovietnam.edu.vn/hoaky_cvs/?utm_source=Facebook&amp;utm_medium=MES&amp;utm_term=NEW_UnitedStates_2045_none_280922&amp;utm_content=saletructiep_UnitedStates.Anhshortthongbao.2045.Giaotiep_TATTP_LD109&amp;utm_campaign=UnitedStates.Giaotiep.Anhshortthongbao_XuBen.5018_MES_HuyLG_280922</v>
      </c>
      <c r="U233" s="131"/>
    </row>
    <row r="234">
      <c r="A234" s="72">
        <v>44838.0</v>
      </c>
      <c r="B234" s="75" t="s">
        <v>776</v>
      </c>
      <c r="C234" s="67" t="str">
        <f>IFERROR(__xludf.DUMMYFUNCTION("""COMPUTED_VALUE"""),"LD117")</f>
        <v>LD117</v>
      </c>
      <c r="D234" s="55" t="s">
        <v>42</v>
      </c>
      <c r="E234" s="87" t="s">
        <v>69</v>
      </c>
      <c r="F234" s="55" t="s">
        <v>614</v>
      </c>
      <c r="G234" s="55">
        <v>1840.0</v>
      </c>
      <c r="H234" s="143" t="s">
        <v>1131</v>
      </c>
      <c r="I234" s="55" t="s">
        <v>3781</v>
      </c>
      <c r="J234" s="55" t="s">
        <v>3689</v>
      </c>
      <c r="K234" s="143" t="s">
        <v>61</v>
      </c>
      <c r="L234" s="143" t="s">
        <v>317</v>
      </c>
      <c r="M234" s="55" t="s">
        <v>78</v>
      </c>
      <c r="N234" s="87" t="s">
        <v>69</v>
      </c>
      <c r="O234" s="55" t="s">
        <v>910</v>
      </c>
      <c r="P234" s="55" t="s">
        <v>110</v>
      </c>
      <c r="Q234" s="129" t="str">
        <f>IFERROR(__xludf.DUMMYFUNCTION("""COMPUTED_VALUE"""),"Korea.Giaotiep.Anhshortthongbao_XuBen.5018_CVS_HuyLG_041022")</f>
        <v>Korea.Giaotiep.Anhshortthongbao_XuBen.5018_CVS_HuyLG_041022</v>
      </c>
      <c r="R234" s="129" t="str">
        <f>IFERROR(__xludf.DUMMYFUNCTION("""COMPUTED_VALUE"""),"NEW_Korea_1840_none_041022")</f>
        <v>NEW_Korea_1840_none_041022</v>
      </c>
      <c r="S234" s="129" t="str">
        <f>IFERROR(__xludf.DUMMYFUNCTION("""COMPUTED_VALUE"""),"saletructiep_Korea.Anhthongbao12.1840.Giaotiep_TATTP_LD117")</f>
        <v>saletructiep_Korea.Anhthongbao12.1840.Giaotiep_TATTP_LD117</v>
      </c>
      <c r="T234" s="130" t="str">
        <f>IFERROR(__xludf.DUMMYFUNCTION("""COMPUTED_VALUE"""),"https://patadovietnam.edu.vn/korea_cvs/?utm_source=Facebook&amp;utm_medium=CVS&amp;utm_term=NEW_Korea_1840_none_041022&amp;utm_content=saletructiep_Korea.Anhthongbao12.1840.Giaotiep_TATTP_LD117&amp;utm_campaign=Korea.Giaotiep.Anhshortthongbao_XuBen.5018_CVS_HuyLG_041022")</f>
        <v>https://patadovietnam.edu.vn/korea_cvs/?utm_source=Facebook&amp;utm_medium=CVS&amp;utm_term=NEW_Korea_1840_none_041022&amp;utm_content=saletructiep_Korea.Anhthongbao12.1840.Giaotiep_TATTP_LD117&amp;utm_campaign=Korea.Giaotiep.Anhshortthongbao_XuBen.5018_CVS_HuyLG_041022</v>
      </c>
      <c r="U234" s="112" t="s">
        <v>3788</v>
      </c>
    </row>
    <row r="235">
      <c r="A235" s="72">
        <v>44841.0</v>
      </c>
      <c r="B235" s="61" t="s">
        <v>777</v>
      </c>
      <c r="C235" s="67" t="str">
        <f>IFERROR(__xludf.DUMMYFUNCTION("""COMPUTED_VALUE"""),"LD068")</f>
        <v>LD068</v>
      </c>
      <c r="D235" s="55" t="s">
        <v>42</v>
      </c>
      <c r="E235" s="143" t="s">
        <v>79</v>
      </c>
      <c r="F235" s="55" t="s">
        <v>608</v>
      </c>
      <c r="G235" s="55">
        <v>1840.0</v>
      </c>
      <c r="H235" s="143" t="s">
        <v>1131</v>
      </c>
      <c r="I235" s="55" t="s">
        <v>3791</v>
      </c>
      <c r="J235" s="55" t="s">
        <v>3792</v>
      </c>
      <c r="K235" s="143" t="s">
        <v>61</v>
      </c>
      <c r="L235" s="143" t="s">
        <v>317</v>
      </c>
      <c r="M235" s="55" t="s">
        <v>78</v>
      </c>
      <c r="N235" s="143" t="s">
        <v>79</v>
      </c>
      <c r="O235" s="55" t="s">
        <v>910</v>
      </c>
      <c r="P235" s="143" t="s">
        <v>110</v>
      </c>
      <c r="Q235" s="129" t="str">
        <f>IFERROR(__xludf.DUMMYFUNCTION("""COMPUTED_VALUE"""),"Macao.Giaotiep.Anhtutingt_XuBen.5018_MES_HuyLG_071022")</f>
        <v>Macao.Giaotiep.Anhtutingt_XuBen.5018_MES_HuyLG_071022</v>
      </c>
      <c r="R235" s="129" t="str">
        <f>IFERROR(__xludf.DUMMYFUNCTION("""COMPUTED_VALUE"""),"NEW_Macao_1840_none_071022")</f>
        <v>NEW_Macao_1840_none_071022</v>
      </c>
      <c r="S235" s="129" t="str">
        <f>IFERROR(__xludf.DUMMYFUNCTION("""COMPUTED_VALUE"""),"saletructiep_Macao.Anhtutingt.1840.Giaotiep_TATTP_LD068")</f>
        <v>saletructiep_Macao.Anhtutingt.1840.Giaotiep_TATTP_LD068</v>
      </c>
      <c r="T235" s="130" t="str">
        <f>IFERROR(__xludf.DUMMYFUNCTION("""COMPUTED_VALUE"""),"https://patadovietnam.edu.vn/khoa-hoc-giao-tiep/?utm_source=Facebook&amp;utm_medium=MES&amp;utm_term=NEW_Macao_1840_none_071022&amp;utm_content=saletructiep_Macao.Anhtutingt.1840.Giaotiep_TATTP_LD068&amp;utm_campaign=Macao.Giaotiep.Anhtutingt_XuBen.5018_MES_HuyLG_071022")</f>
        <v>https://patadovietnam.edu.vn/khoa-hoc-giao-tiep/?utm_source=Facebook&amp;utm_medium=MES&amp;utm_term=NEW_Macao_1840_none_071022&amp;utm_content=saletructiep_Macao.Anhtutingt.1840.Giaotiep_TATTP_LD068&amp;utm_campaign=Macao.Giaotiep.Anhtutingt_XuBen.5018_MES_HuyLG_071022</v>
      </c>
      <c r="U235" s="112" t="s">
        <v>3797</v>
      </c>
    </row>
    <row r="236">
      <c r="A236" s="72">
        <v>44845.0</v>
      </c>
      <c r="B236" s="61" t="s">
        <v>777</v>
      </c>
      <c r="C236" s="67" t="str">
        <f>IFERROR(__xludf.DUMMYFUNCTION("""COMPUTED_VALUE"""),"LD068")</f>
        <v>LD068</v>
      </c>
      <c r="D236" s="55" t="s">
        <v>42</v>
      </c>
      <c r="E236" s="55" t="s">
        <v>79</v>
      </c>
      <c r="F236" s="55" t="s">
        <v>174</v>
      </c>
      <c r="G236" s="55">
        <v>1840.0</v>
      </c>
      <c r="H236" s="55" t="s">
        <v>1131</v>
      </c>
      <c r="I236" s="55" t="s">
        <v>3510</v>
      </c>
      <c r="J236" s="55" t="s">
        <v>3511</v>
      </c>
      <c r="K236" s="143" t="s">
        <v>61</v>
      </c>
      <c r="L236" s="143" t="s">
        <v>317</v>
      </c>
      <c r="M236" s="55" t="s">
        <v>78</v>
      </c>
      <c r="N236" s="55" t="s">
        <v>79</v>
      </c>
      <c r="O236" s="55" t="s">
        <v>910</v>
      </c>
      <c r="P236" s="143" t="s">
        <v>110</v>
      </c>
      <c r="Q236" s="178" t="str">
        <f>IFERROR(__xludf.DUMMYFUNCTION("""COMPUTED_VALUE"""),"Philippines.Giaotiep.Anhthongbao12_XuBen.5018_MES_HuyLG_111022")</f>
        <v>Philippines.Giaotiep.Anhthongbao12_XuBen.5018_MES_HuyLG_111022</v>
      </c>
      <c r="R236" s="178" t="str">
        <f>IFERROR(__xludf.DUMMYFUNCTION("""COMPUTED_VALUE"""),"NEW_Philippines_1840_none_111022")</f>
        <v>NEW_Philippines_1840_none_111022</v>
      </c>
      <c r="S236" s="178" t="str">
        <f>IFERROR(__xludf.DUMMYFUNCTION("""COMPUTED_VALUE"""),"saletructiep_Philippines.Anhthongbao12.1840.Giaotiep_TATTP_LD068")</f>
        <v>saletructiep_Philippines.Anhthongbao12.1840.Giaotiep_TATTP_LD068</v>
      </c>
      <c r="T236" s="184" t="str">
        <f>IFERROR(__xludf.DUMMYFUNCTION("""COMPUTED_VALUE"""),"https://patadovietnam.edu.vn/khoa-hoc-giao-tiep/?utm_source=Facebook&amp;utm_medium=MES&amp;utm_term=NEW_Philippines_1840_none_111022&amp;utm_content=saletructiep_Philippines.Anhthongbao12.1840.Giaotiep_TATTP_LD068&amp;utm_campaign=Philippines.Giaotiep.Anhthongbao12_XuBe"&amp;"n.5018_MES_HuyLG_111022")</f>
        <v>https://patadovietnam.edu.vn/khoa-hoc-giao-tiep/?utm_source=Facebook&amp;utm_medium=MES&amp;utm_term=NEW_Philippines_1840_none_111022&amp;utm_content=saletructiep_Philippines.Anhthongbao12.1840.Giaotiep_TATTP_LD068&amp;utm_campaign=Philippines.Giaotiep.Anhthongbao12_XuBen.5018_MES_HuyLG_111022</v>
      </c>
      <c r="U236" s="185" t="s">
        <v>3803</v>
      </c>
    </row>
    <row r="237">
      <c r="A237" s="72">
        <v>44845.0</v>
      </c>
      <c r="B237" s="61" t="s">
        <v>777</v>
      </c>
      <c r="C237" s="67" t="str">
        <f>IFERROR(__xludf.DUMMYFUNCTION("""COMPUTED_VALUE"""),"LD068")</f>
        <v>LD068</v>
      </c>
      <c r="D237" s="55" t="s">
        <v>42</v>
      </c>
      <c r="E237" s="143" t="s">
        <v>79</v>
      </c>
      <c r="F237" s="55" t="s">
        <v>129</v>
      </c>
      <c r="G237" s="55">
        <v>1845.0</v>
      </c>
      <c r="H237" s="143" t="s">
        <v>1131</v>
      </c>
      <c r="I237" s="55" t="s">
        <v>3420</v>
      </c>
      <c r="J237" s="55" t="s">
        <v>3421</v>
      </c>
      <c r="K237" s="143" t="s">
        <v>61</v>
      </c>
      <c r="L237" s="143" t="s">
        <v>317</v>
      </c>
      <c r="M237" s="55" t="s">
        <v>78</v>
      </c>
      <c r="N237" s="143" t="s">
        <v>79</v>
      </c>
      <c r="O237" s="55" t="s">
        <v>3271</v>
      </c>
      <c r="P237" s="55" t="s">
        <v>110</v>
      </c>
      <c r="Q237" s="195" t="str">
        <f>IFERROR(__xludf.DUMMYFUNCTION("""COMPUTED_VALUE"""),"Australia.Giaotiep.Anhthongbao12_XuBen.5018_MES_HuyLG_111022")</f>
        <v>Australia.Giaotiep.Anhthongbao12_XuBen.5018_MES_HuyLG_111022</v>
      </c>
      <c r="R237" s="195" t="str">
        <f>IFERROR(__xludf.DUMMYFUNCTION("""COMPUTED_VALUE"""),"NEW_Australia_1845_none_111022")</f>
        <v>NEW_Australia_1845_none_111022</v>
      </c>
      <c r="S237" s="195" t="str">
        <f>IFERROR(__xludf.DUMMYFUNCTION("""COMPUTED_VALUE"""),"saletructiep_Australia.Anhthongbao12.1845.Giaotiep_PGPGTTA_LD068")</f>
        <v>saletructiep_Australia.Anhthongbao12.1845.Giaotiep_PGPGTTA_LD068</v>
      </c>
      <c r="T237" s="196" t="str">
        <f>IFERROR(__xludf.DUMMYFUNCTION("""COMPUTED_VALUE"""),"https://patadovietnam.edu.vn/khoa-hoc-giao-tiep/?utm_source=Facebook&amp;utm_medium=MES&amp;utm_term=NEW_Australia_1845_none_111022&amp;utm_content=saletructiep_Australia.Anhthongbao12.1845.Giaotiep_PGPGTTA_LD068&amp;utm_campaign=Australia.Giaotiep.Anhthongbao12_XuBen.50"&amp;"18_MES_HuyLG_111022")</f>
        <v>https://patadovietnam.edu.vn/khoa-hoc-giao-tiep/?utm_source=Facebook&amp;utm_medium=MES&amp;utm_term=NEW_Australia_1845_none_111022&amp;utm_content=saletructiep_Australia.Anhthongbao12.1845.Giaotiep_PGPGTTA_LD068&amp;utm_campaign=Australia.Giaotiep.Anhthongbao12_XuBen.5018_MES_HuyLG_111022</v>
      </c>
      <c r="U237" s="197" t="s">
        <v>3813</v>
      </c>
    </row>
    <row r="238">
      <c r="A238" s="72">
        <v>44845.0</v>
      </c>
      <c r="B238" s="61" t="s">
        <v>777</v>
      </c>
      <c r="C238" s="67" t="str">
        <f>IFERROR(__xludf.DUMMYFUNCTION("""COMPUTED_VALUE"""),"LD068")</f>
        <v>LD068</v>
      </c>
      <c r="D238" s="86" t="s">
        <v>42</v>
      </c>
      <c r="E238" s="87" t="s">
        <v>79</v>
      </c>
      <c r="F238" s="87" t="s">
        <v>112</v>
      </c>
      <c r="G238" s="163">
        <v>1845.0</v>
      </c>
      <c r="H238" s="86" t="s">
        <v>1131</v>
      </c>
      <c r="I238" s="87" t="s">
        <v>3446</v>
      </c>
      <c r="J238" s="55" t="s">
        <v>3447</v>
      </c>
      <c r="K238" s="143" t="s">
        <v>61</v>
      </c>
      <c r="L238" s="143" t="s">
        <v>317</v>
      </c>
      <c r="M238" s="55" t="s">
        <v>78</v>
      </c>
      <c r="N238" s="143" t="s">
        <v>79</v>
      </c>
      <c r="O238" s="55" t="s">
        <v>3271</v>
      </c>
      <c r="P238" s="143" t="s">
        <v>110</v>
      </c>
      <c r="Q238" s="178" t="str">
        <f>IFERROR(__xludf.DUMMYFUNCTION("""COMPUTED_VALUE"""),"Canada.Giaotiep.Anhthongbao12_XuBen.5018_MES_HuyLG_111022")</f>
        <v>Canada.Giaotiep.Anhthongbao12_XuBen.5018_MES_HuyLG_111022</v>
      </c>
      <c r="R238" s="178" t="str">
        <f>IFERROR(__xludf.DUMMYFUNCTION("""COMPUTED_VALUE"""),"NEW_Canada_1845_none_111022")</f>
        <v>NEW_Canada_1845_none_111022</v>
      </c>
      <c r="S238" s="178" t="str">
        <f>IFERROR(__xludf.DUMMYFUNCTION("""COMPUTED_VALUE"""),"saletructiep_Canada.Anhthongbao12.1845.Giaotiep_PGPGTTA_LD068")</f>
        <v>saletructiep_Canada.Anhthongbao12.1845.Giaotiep_PGPGTTA_LD068</v>
      </c>
      <c r="T238" s="179" t="str">
        <f>IFERROR(__xludf.DUMMYFUNCTION("""COMPUTED_VALUE"""),"https://patadovietnam.edu.vn/khoa-hoc-giao-tiep/?utm_source=Facebook&amp;utm_medium=MES&amp;utm_term=NEW_Canada_1845_none_111022&amp;utm_content=saletructiep_Canada.Anhthongbao12.1845.Giaotiep_PGPGTTA_LD068&amp;utm_campaign=Canada.Giaotiep.Anhthongbao12_XuBen.5018_MES_Hu"&amp;"yLG_111022")</f>
        <v>https://patadovietnam.edu.vn/khoa-hoc-giao-tiep/?utm_source=Facebook&amp;utm_medium=MES&amp;utm_term=NEW_Canada_1845_none_111022&amp;utm_content=saletructiep_Canada.Anhthongbao12.1845.Giaotiep_PGPGTTA_LD068&amp;utm_campaign=Canada.Giaotiep.Anhthongbao12_XuBen.5018_MES_HuyLG_111022</v>
      </c>
      <c r="U238" s="180" t="s">
        <v>3823</v>
      </c>
    </row>
    <row r="239">
      <c r="A239" s="72">
        <v>44851.0</v>
      </c>
      <c r="B239" s="61" t="s">
        <v>712</v>
      </c>
      <c r="C239" s="67" t="str">
        <f>IFERROR(__xludf.DUMMYFUNCTION("""COMPUTED_VALUE"""),"LD109")</f>
        <v>LD109</v>
      </c>
      <c r="D239" s="55" t="s">
        <v>42</v>
      </c>
      <c r="E239" s="143" t="s">
        <v>79</v>
      </c>
      <c r="F239" s="55" t="s">
        <v>107</v>
      </c>
      <c r="G239" s="55">
        <v>1845.0</v>
      </c>
      <c r="H239" s="86" t="s">
        <v>1131</v>
      </c>
      <c r="I239" s="55" t="s">
        <v>3430</v>
      </c>
      <c r="J239" s="55" t="s">
        <v>3827</v>
      </c>
      <c r="K239" s="143" t="s">
        <v>61</v>
      </c>
      <c r="L239" s="55">
        <v>95360.0</v>
      </c>
      <c r="M239" s="55" t="s">
        <v>78</v>
      </c>
      <c r="N239" s="143" t="s">
        <v>79</v>
      </c>
      <c r="O239" s="55" t="s">
        <v>3271</v>
      </c>
      <c r="P239" s="143" t="s">
        <v>110</v>
      </c>
      <c r="Q239" s="129" t="str">
        <f>IFERROR(__xludf.DUMMYFUNCTION("""COMPUTED_VALUE"""),"UnitedStates.Giaotiep.Anhthongbao12_95360_MES_HuyLG_171022")</f>
        <v>UnitedStates.Giaotiep.Anhthongbao12_95360_MES_HuyLG_171022</v>
      </c>
      <c r="R239" s="129" t="str">
        <f>IFERROR(__xludf.DUMMYFUNCTION("""COMPUTED_VALUE"""),"NEW_UnitedStates_1845_none_171022")</f>
        <v>NEW_UnitedStates_1845_none_171022</v>
      </c>
      <c r="S239" s="129" t="str">
        <f>IFERROR(__xludf.DUMMYFUNCTION("""COMPUTED_VALUE"""),"saletructiep_UnitedStates.Anhthongbao12.2045.Giaotiep_PGPGTTA_LD109")</f>
        <v>saletructiep_UnitedStates.Anhthongbao12.2045.Giaotiep_PGPGTTA_LD109</v>
      </c>
      <c r="T239" s="130" t="str">
        <f>IFERROR(__xludf.DUMMYFUNCTION("""COMPUTED_VALUE"""),"https://patadovietnam.edu.vn/hoaky_cvs/?utm_source=Facebook&amp;utm_medium=MES&amp;utm_term=NEW_UnitedStates_1845_none_171022&amp;utm_content=saletructiep_UnitedStates.Anhthongbao12.2045.Giaotiep_PGPGTTA_LD109&amp;utm_campaign=UnitedStates.Giaotiep.Anhthongbao12_95360_ME"&amp;"S_HuyLG_171022")</f>
        <v>https://patadovietnam.edu.vn/hoaky_cvs/?utm_source=Facebook&amp;utm_medium=MES&amp;utm_term=NEW_UnitedStates_1845_none_171022&amp;utm_content=saletructiep_UnitedStates.Anhthongbao12.2045.Giaotiep_PGPGTTA_LD109&amp;utm_campaign=UnitedStates.Giaotiep.Anhthongbao12_95360_MES_HuyLG_171022</v>
      </c>
      <c r="U239" s="112" t="s">
        <v>3831</v>
      </c>
    </row>
    <row r="240">
      <c r="A240" s="72">
        <v>44851.0</v>
      </c>
      <c r="B240" s="75" t="s">
        <v>772</v>
      </c>
      <c r="C240" s="67" t="str">
        <f>IFERROR(__xludf.DUMMYFUNCTION("""COMPUTED_VALUE"""),"LD115")</f>
        <v>LD115</v>
      </c>
      <c r="D240" s="55" t="s">
        <v>42</v>
      </c>
      <c r="E240" s="55" t="s">
        <v>69</v>
      </c>
      <c r="F240" s="55" t="s">
        <v>133</v>
      </c>
      <c r="G240" s="55">
        <v>1840.0</v>
      </c>
      <c r="H240" s="55" t="s">
        <v>1131</v>
      </c>
      <c r="I240" s="55" t="s">
        <v>3412</v>
      </c>
      <c r="J240" s="55" t="s">
        <v>3473</v>
      </c>
      <c r="K240" s="143" t="s">
        <v>61</v>
      </c>
      <c r="L240" s="55">
        <v>95360.0</v>
      </c>
      <c r="M240" s="55" t="s">
        <v>78</v>
      </c>
      <c r="N240" s="143" t="s">
        <v>79</v>
      </c>
      <c r="O240" s="55" t="s">
        <v>3271</v>
      </c>
      <c r="P240" s="143" t="s">
        <v>110</v>
      </c>
      <c r="Q240" s="129" t="str">
        <f>IFERROR(__xludf.DUMMYFUNCTION("""COMPUTED_VALUE"""),"Japan.Giaotiep.Anhthongbao12_95360_MES_HuyLG_171022")</f>
        <v>Japan.Giaotiep.Anhthongbao12_95360_MES_HuyLG_171022</v>
      </c>
      <c r="R240" s="129" t="str">
        <f>IFERROR(__xludf.DUMMYFUNCTION("""COMPUTED_VALUE"""),"NEW_Japan_1840_none_171022")</f>
        <v>NEW_Japan_1840_none_171022</v>
      </c>
      <c r="S240" s="129" t="str">
        <f>IFERROR(__xludf.DUMMYFUNCTION("""COMPUTED_VALUE"""),"saletructiep_Japan.Anhthongbao12.1840.Giaotiep_PGPGTTA_LD115")</f>
        <v>saletructiep_Japan.Anhthongbao12.1840.Giaotiep_PGPGTTA_LD115</v>
      </c>
      <c r="T240" s="130" t="str">
        <f>IFERROR(__xludf.DUMMYFUNCTION("""COMPUTED_VALUE"""),"https://patadovietnam.edu.vn/japancvs/?utm_source=Facebook&amp;utm_medium=CVS&amp;utm_term=NEW_Japan_1840_none_171022&amp;utm_content=saletructiep_Japan.Anhthongbao12.1840.Giaotiep_PGPGTTA_LD115&amp;utm_campaign=Japan.Giaotiep.Anhthongbao12_95360_MES_HuyLG_171022")</f>
        <v>https://patadovietnam.edu.vn/japancvs/?utm_source=Facebook&amp;utm_medium=CVS&amp;utm_term=NEW_Japan_1840_none_171022&amp;utm_content=saletructiep_Japan.Anhthongbao12.1840.Giaotiep_PGPGTTA_LD115&amp;utm_campaign=Japan.Giaotiep.Anhthongbao12_95360_MES_HuyLG_171022</v>
      </c>
      <c r="U240" s="112" t="s">
        <v>3839</v>
      </c>
    </row>
    <row r="241">
      <c r="A241" s="72">
        <v>44872.0</v>
      </c>
      <c r="B241" s="60" t="s">
        <v>1120</v>
      </c>
      <c r="C241" s="67" t="str">
        <f>IFERROR(__xludf.DUMMYFUNCTION("""COMPUTED_VALUE"""),"LD125")</f>
        <v>LD125</v>
      </c>
      <c r="D241" s="55" t="s">
        <v>42</v>
      </c>
      <c r="E241" s="55" t="s">
        <v>69</v>
      </c>
      <c r="F241" s="55" t="s">
        <v>133</v>
      </c>
      <c r="G241" s="55">
        <v>2140.0</v>
      </c>
      <c r="H241" s="55" t="s">
        <v>1131</v>
      </c>
      <c r="I241" s="55" t="s">
        <v>3842</v>
      </c>
      <c r="J241" s="55" t="s">
        <v>3843</v>
      </c>
      <c r="K241" s="143" t="s">
        <v>61</v>
      </c>
      <c r="L241" s="143" t="s">
        <v>317</v>
      </c>
      <c r="M241" s="55" t="s">
        <v>78</v>
      </c>
      <c r="N241" s="87" t="s">
        <v>69</v>
      </c>
      <c r="O241" s="55" t="s">
        <v>910</v>
      </c>
      <c r="P241" s="143" t="s">
        <v>110</v>
      </c>
      <c r="Q241" s="129" t="str">
        <f>IFERROR(__xludf.DUMMYFUNCTION("""COMPUTED_VALUE"""),"Japan.Giaotiep.Anhldpjapan_XuBen.5018_CVS_HuyLG_071122")</f>
        <v>Japan.Giaotiep.Anhldpjapan_XuBen.5018_CVS_HuyLG_071122</v>
      </c>
      <c r="R241" s="129" t="str">
        <f>IFERROR(__xludf.DUMMYFUNCTION("""COMPUTED_VALUE"""),"NEW_Japan_2140_none_071122")</f>
        <v>NEW_Japan_2140_none_071122</v>
      </c>
      <c r="S241" s="129" t="str">
        <f>IFERROR(__xludf.DUMMYFUNCTION("""COMPUTED_VALUE"""),"saletructiep_Japan.Anhldpjapan.2140.Giaotiep_TATTP_LD125")</f>
        <v>saletructiep_Japan.Anhldpjapan.2140.Giaotiep_TATTP_LD125</v>
      </c>
      <c r="T241" s="128" t="str">
        <f>IFERROR(__xludf.DUMMYFUNCTION("""COMPUTED_VALUE"""),"https://patadovietnam.edu.vn/japan_hlg/?utm_source=Facebook&amp;utm_medium=CVS&amp;utm_term=NEW_Japan_2140_none_071122&amp;utm_content=saletructiep_Japan.Anhldpjapan.2140.Giaotiep_TATTP_LD125&amp;utm_campaign=Japan.Giaotiep.Anhldpjapan_XuBen.5018_CVS_HuyLG_071122")</f>
        <v>https://patadovietnam.edu.vn/japan_hlg/?utm_source=Facebook&amp;utm_medium=CVS&amp;utm_term=NEW_Japan_2140_none_071122&amp;utm_content=saletructiep_Japan.Anhldpjapan.2140.Giaotiep_TATTP_LD125&amp;utm_campaign=Japan.Giaotiep.Anhldpjapan_XuBen.5018_CVS_HuyLG_071122</v>
      </c>
      <c r="U241" s="112" t="s">
        <v>3849</v>
      </c>
    </row>
    <row r="242">
      <c r="A242" s="72">
        <v>44893.0</v>
      </c>
      <c r="B242" s="61" t="s">
        <v>712</v>
      </c>
      <c r="C242" s="67" t="str">
        <f>IFERROR(__xludf.DUMMYFUNCTION("""COMPUTED_VALUE"""),"LD109")</f>
        <v>LD109</v>
      </c>
      <c r="D242" s="55" t="s">
        <v>42</v>
      </c>
      <c r="E242" s="55" t="s">
        <v>79</v>
      </c>
      <c r="F242" s="55" t="s">
        <v>107</v>
      </c>
      <c r="G242" s="55">
        <v>2045.0</v>
      </c>
      <c r="H242" s="86" t="s">
        <v>1131</v>
      </c>
      <c r="I242" s="55" t="s">
        <v>3221</v>
      </c>
      <c r="J242" s="55" t="s">
        <v>3852</v>
      </c>
      <c r="K242" s="143" t="s">
        <v>61</v>
      </c>
      <c r="L242" s="143" t="s">
        <v>317</v>
      </c>
      <c r="M242" s="55" t="s">
        <v>78</v>
      </c>
      <c r="N242" s="143" t="s">
        <v>79</v>
      </c>
      <c r="O242" s="55" t="s">
        <v>910</v>
      </c>
      <c r="P242" s="143" t="s">
        <v>110</v>
      </c>
      <c r="Q242" s="129" t="str">
        <f>IFERROR(__xludf.DUMMYFUNCTION("""COMPUTED_VALUE"""),"UnitedStates.Giaotiep.Videolophoc_XuBen.5018_MES_HuyLG_281122")</f>
        <v>UnitedStates.Giaotiep.Videolophoc_XuBen.5018_MES_HuyLG_281122</v>
      </c>
      <c r="R242" s="129" t="str">
        <f>IFERROR(__xludf.DUMMYFUNCTION("""COMPUTED_VALUE"""),"NEW_UnitedStates_2045_none_281122")</f>
        <v>NEW_UnitedStates_2045_none_281122</v>
      </c>
      <c r="S242" s="129" t="str">
        <f>IFERROR(__xludf.DUMMYFUNCTION("""COMPUTED_VALUE"""),"saletructiep_UnitedStates.Videolophoc.2045.Giaotiep_TATTP_LD109")</f>
        <v>saletructiep_UnitedStates.Videolophoc.2045.Giaotiep_TATTP_LD109</v>
      </c>
      <c r="T242" s="130" t="str">
        <f>IFERROR(__xludf.DUMMYFUNCTION("""COMPUTED_VALUE"""),"https://patadovietnam.edu.vn/hoaky_cvs/?utm_source=Facebook&amp;utm_medium=MES&amp;utm_term=NEW_UnitedStates_2045_none_281122&amp;utm_content=saletructiep_UnitedStates.Videolophoc.2045.Giaotiep_TATTP_LD109&amp;utm_campaign=UnitedStates.Giaotiep.Videolophoc_XuBen.5018_MES"&amp;"_HuyLG_281122")</f>
        <v>https://patadovietnam.edu.vn/hoaky_cvs/?utm_source=Facebook&amp;utm_medium=MES&amp;utm_term=NEW_UnitedStates_2045_none_281122&amp;utm_content=saletructiep_UnitedStates.Videolophoc.2045.Giaotiep_TATTP_LD109&amp;utm_campaign=UnitedStates.Giaotiep.Videolophoc_XuBen.5018_MES_HuyLG_281122</v>
      </c>
      <c r="U242" s="112" t="s">
        <v>3856</v>
      </c>
    </row>
    <row r="243">
      <c r="A243" s="72">
        <v>44900.0</v>
      </c>
      <c r="B243" s="61" t="s">
        <v>712</v>
      </c>
      <c r="C243" s="67" t="str">
        <f>IFERROR(__xludf.DUMMYFUNCTION("""COMPUTED_VALUE"""),"LD109")</f>
        <v>LD109</v>
      </c>
      <c r="D243" s="55" t="s">
        <v>42</v>
      </c>
      <c r="E243" s="143" t="s">
        <v>79</v>
      </c>
      <c r="F243" s="55" t="s">
        <v>107</v>
      </c>
      <c r="G243" s="55">
        <v>2045.0</v>
      </c>
      <c r="H243" s="143" t="s">
        <v>1131</v>
      </c>
      <c r="I243" s="55" t="s">
        <v>3682</v>
      </c>
      <c r="J243" s="55" t="s">
        <v>3773</v>
      </c>
      <c r="K243" s="143" t="s">
        <v>61</v>
      </c>
      <c r="L243" s="143" t="s">
        <v>317</v>
      </c>
      <c r="M243" s="55" t="s">
        <v>78</v>
      </c>
      <c r="N243" s="143" t="s">
        <v>79</v>
      </c>
      <c r="O243" s="55" t="s">
        <v>3271</v>
      </c>
      <c r="P243" s="55" t="s">
        <v>110</v>
      </c>
      <c r="Q243" s="178" t="str">
        <f>IFERROR(__xludf.DUMMYFUNCTION("""COMPUTED_VALUE"""),"UnitedStates.Giaotiep.Anhshortthongbao_XuBen.5018_MES_HuyLG_051222")</f>
        <v>UnitedStates.Giaotiep.Anhshortthongbao_XuBen.5018_MES_HuyLG_051222</v>
      </c>
      <c r="R243" s="178" t="str">
        <f>IFERROR(__xludf.DUMMYFUNCTION("""COMPUTED_VALUE"""),"NEW_UnitedStates_2045_none_051222")</f>
        <v>NEW_UnitedStates_2045_none_051222</v>
      </c>
      <c r="S243" s="178" t="str">
        <f>IFERROR(__xludf.DUMMYFUNCTION("""COMPUTED_VALUE"""),"saletructiep_UnitedStates.Anhshortthongbao.2045.Giaotiep_PGPGTTA_LD109")</f>
        <v>saletructiep_UnitedStates.Anhshortthongbao.2045.Giaotiep_PGPGTTA_LD109</v>
      </c>
      <c r="T243" s="184" t="str">
        <f>IFERROR(__xludf.DUMMYFUNCTION("""COMPUTED_VALUE"""),"https://patadovietnam.edu.vn/hoaky_cvs/?utm_source=Facebook&amp;utm_medium=MES&amp;utm_term=NEW_UnitedStates_2045_none_051222&amp;utm_content=saletructiep_UnitedStates.Anhshortthongbao.2045.Giaotiep_PGPGTTA_LD109&amp;utm_campaign=UnitedStates.Giaotiep.Anhshortthongbao_Xu"&amp;"Ben.5018_MES_HuyLG_051222")</f>
        <v>https://patadovietnam.edu.vn/hoaky_cvs/?utm_source=Facebook&amp;utm_medium=MES&amp;utm_term=NEW_UnitedStates_2045_none_051222&amp;utm_content=saletructiep_UnitedStates.Anhshortthongbao.2045.Giaotiep_PGPGTTA_LD109&amp;utm_campaign=UnitedStates.Giaotiep.Anhshortthongbao_XuBen.5018_MES_HuyLG_051222</v>
      </c>
      <c r="U243" s="180" t="s">
        <v>3862</v>
      </c>
    </row>
    <row r="244">
      <c r="A244" s="72">
        <v>44903.0</v>
      </c>
      <c r="B244" s="60" t="s">
        <v>3734</v>
      </c>
      <c r="C244" s="67" t="str">
        <f>IFERROR(__xludf.DUMMYFUNCTION("""COMPUTED_VALUE"""),"LD120")</f>
        <v>LD120</v>
      </c>
      <c r="D244" s="55" t="s">
        <v>42</v>
      </c>
      <c r="E244" s="143" t="s">
        <v>79</v>
      </c>
      <c r="F244" s="55" t="s">
        <v>199</v>
      </c>
      <c r="G244" s="55">
        <v>3050.0</v>
      </c>
      <c r="H244" s="55" t="s">
        <v>1131</v>
      </c>
      <c r="I244" s="55" t="s">
        <v>3736</v>
      </c>
      <c r="J244" s="55" t="s">
        <v>3737</v>
      </c>
      <c r="K244" s="143" t="s">
        <v>61</v>
      </c>
      <c r="L244" s="143" t="s">
        <v>317</v>
      </c>
      <c r="M244" s="55" t="s">
        <v>78</v>
      </c>
      <c r="N244" s="143" t="s">
        <v>79</v>
      </c>
      <c r="O244" s="55" t="s">
        <v>910</v>
      </c>
      <c r="P244" s="55" t="s">
        <v>110</v>
      </c>
      <c r="Q244" s="129" t="str">
        <f>IFERROR(__xludf.DUMMYFUNCTION("""COMPUTED_VALUE"""),"Vietnam.Kids.Anhcambridge_XuBen.5018_MES_HuyLG_081222")</f>
        <v>Vietnam.Kids.Anhcambridge_XuBen.5018_MES_HuyLG_081222</v>
      </c>
      <c r="R244" s="129" t="str">
        <f>IFERROR(__xludf.DUMMYFUNCTION("""COMPUTED_VALUE"""),"NEW_Vietnam_3050_none_081222")</f>
        <v>NEW_Vietnam_3050_none_081222</v>
      </c>
      <c r="S244" s="129" t="str">
        <f>IFERROR(__xludf.DUMMYFUNCTION("""COMPUTED_VALUE"""),"saletructiep_Vietnam.Anhcambridge.2855.Kids_TATTP_LD120")</f>
        <v>saletructiep_Vietnam.Anhcambridge.2855.Kids_TATTP_LD120</v>
      </c>
      <c r="T244" s="130" t="str">
        <f>IFERROR(__xludf.DUMMYFUNCTION("""COMPUTED_VALUE"""),"https://patadovietnam.edu.vn/kids_hlg/?utm_source=Facebook&amp;utm_medium=MES&amp;utm_term=NEW_Vietnam_3050_none_081222&amp;utm_content=saletructiep_Vietnam.Anhcambridge.2855.Kids_TATTP_LD120&amp;utm_campaign=Vietnam.Kids.Anhcambridge_XuBen.5018_MES_HuyLG_081222")</f>
        <v>https://patadovietnam.edu.vn/kids_hlg/?utm_source=Facebook&amp;utm_medium=MES&amp;utm_term=NEW_Vietnam_3050_none_081222&amp;utm_content=saletructiep_Vietnam.Anhcambridge.2855.Kids_TATTP_LD120&amp;utm_campaign=Vietnam.Kids.Anhcambridge_XuBen.5018_MES_HuyLG_081222</v>
      </c>
      <c r="U244" s="112" t="s">
        <v>3867</v>
      </c>
    </row>
    <row r="245">
      <c r="A245" s="72">
        <v>44903.0</v>
      </c>
      <c r="B245" s="60" t="s">
        <v>3734</v>
      </c>
      <c r="C245" s="67" t="str">
        <f>IFERROR(__xludf.DUMMYFUNCTION("""COMPUTED_VALUE"""),"LD120")</f>
        <v>LD120</v>
      </c>
      <c r="D245" s="55" t="s">
        <v>42</v>
      </c>
      <c r="E245" s="87" t="s">
        <v>69</v>
      </c>
      <c r="F245" s="55" t="s">
        <v>674</v>
      </c>
      <c r="G245" s="55">
        <v>3050.0</v>
      </c>
      <c r="H245" s="55" t="s">
        <v>1131</v>
      </c>
      <c r="I245" s="55" t="s">
        <v>3871</v>
      </c>
      <c r="J245" s="55" t="s">
        <v>3872</v>
      </c>
      <c r="K245" s="143" t="s">
        <v>61</v>
      </c>
      <c r="L245" s="143" t="s">
        <v>317</v>
      </c>
      <c r="M245" s="55" t="s">
        <v>78</v>
      </c>
      <c r="N245" s="87" t="s">
        <v>69</v>
      </c>
      <c r="O245" s="55" t="s">
        <v>910</v>
      </c>
      <c r="P245" s="55" t="s">
        <v>110</v>
      </c>
      <c r="Q245" s="129" t="str">
        <f>IFERROR(__xludf.DUMMYFUNCTION("""COMPUTED_VALUE"""),"Europe.Kids.Anhcambridge_XuBen.5018_CVS_HuyLG_081222")</f>
        <v>Europe.Kids.Anhcambridge_XuBen.5018_CVS_HuyLG_081222</v>
      </c>
      <c r="R245" s="129" t="str">
        <f>IFERROR(__xludf.DUMMYFUNCTION("""COMPUTED_VALUE"""),"NEW_Europe_3050_none_081222")</f>
        <v>NEW_Europe_3050_none_081222</v>
      </c>
      <c r="S245" s="129" t="str">
        <f>IFERROR(__xludf.DUMMYFUNCTION("""COMPUTED_VALUE"""),"saletructiep_Europe.Anhcambridge.2550.Kids_TATTP_LD120")</f>
        <v>saletructiep_Europe.Anhcambridge.2550.Kids_TATTP_LD120</v>
      </c>
      <c r="T245" s="130" t="str">
        <f>IFERROR(__xludf.DUMMYFUNCTION("""COMPUTED_VALUE"""),"https://patadovietnam.edu.vn/kids_hlg/?utm_source=Facebook&amp;utm_medium=CVS&amp;utm_term=NEW_Europe_3050_none_081222&amp;utm_content=saletructiep_Europe.Anhcambridge.2550.Kids_TATTP_LD120&amp;utm_campaign=Europe.Kids.Anhcambridge_XuBen.5018_CVS_HuyLG_081222")</f>
        <v>https://patadovietnam.edu.vn/kids_hlg/?utm_source=Facebook&amp;utm_medium=CVS&amp;utm_term=NEW_Europe_3050_none_081222&amp;utm_content=saletructiep_Europe.Anhcambridge.2550.Kids_TATTP_LD120&amp;utm_campaign=Europe.Kids.Anhcambridge_XuBen.5018_CVS_HuyLG_081222</v>
      </c>
      <c r="U245" s="112" t="s">
        <v>3878</v>
      </c>
    </row>
    <row r="246">
      <c r="A246" s="72">
        <v>44971.0</v>
      </c>
      <c r="B246" s="61" t="s">
        <v>777</v>
      </c>
      <c r="C246" s="67" t="str">
        <f>IFERROR(__xludf.DUMMYFUNCTION("""COMPUTED_VALUE"""),"LD068")</f>
        <v>LD068</v>
      </c>
      <c r="D246" s="55" t="s">
        <v>42</v>
      </c>
      <c r="E246" s="143" t="s">
        <v>79</v>
      </c>
      <c r="F246" s="55" t="s">
        <v>129</v>
      </c>
      <c r="G246" s="55">
        <v>1845.0</v>
      </c>
      <c r="H246" s="55" t="s">
        <v>1131</v>
      </c>
      <c r="I246" s="55" t="s">
        <v>3760</v>
      </c>
      <c r="J246" s="55" t="s">
        <v>3761</v>
      </c>
      <c r="K246" s="143" t="s">
        <v>61</v>
      </c>
      <c r="L246" s="55">
        <v>95360.0</v>
      </c>
      <c r="M246" s="55" t="s">
        <v>78</v>
      </c>
      <c r="N246" s="143" t="s">
        <v>79</v>
      </c>
      <c r="O246" s="55" t="s">
        <v>3271</v>
      </c>
      <c r="P246" s="55" t="s">
        <v>110</v>
      </c>
      <c r="Q246" s="129" t="str">
        <f>IFERROR(__xludf.DUMMYFUNCTION("""COMPUTED_VALUE"""),"Australia.Giaotiep.Anhshortthongbao_95360_MES_HuyLG_140223")</f>
        <v>Australia.Giaotiep.Anhshortthongbao_95360_MES_HuyLG_140223</v>
      </c>
      <c r="R246" s="129" t="str">
        <f>IFERROR(__xludf.DUMMYFUNCTION("""COMPUTED_VALUE"""),"NEW_Australia_1845_none_140223")</f>
        <v>NEW_Australia_1845_none_140223</v>
      </c>
      <c r="S246" s="129" t="str">
        <f>IFERROR(__xludf.DUMMYFUNCTION("""COMPUTED_VALUE"""),"saletructiep_Australia.Anhshortthongbao.1845.Giaotiep_PGPGTTA_LD068")</f>
        <v>saletructiep_Australia.Anhshortthongbao.1845.Giaotiep_PGPGTTA_LD068</v>
      </c>
      <c r="T246" s="130" t="str">
        <f>IFERROR(__xludf.DUMMYFUNCTION("""COMPUTED_VALUE"""),"https://patadovietnam.edu.vn/khoa-hoc-giao-tiep/?utm_source=Facebook&amp;utm_medium=MES&amp;utm_term=NEW_Australia_1845_none_140223&amp;utm_content=saletructiep_Australia.Anhshortthongbao.1845.Giaotiep_PGPGTTA_LD068&amp;utm_campaign=Australia.Giaotiep.Anhshortthongbao_95"&amp;"360_MES_HuyLG_140223")</f>
        <v>https://patadovietnam.edu.vn/khoa-hoc-giao-tiep/?utm_source=Facebook&amp;utm_medium=MES&amp;utm_term=NEW_Australia_1845_none_140223&amp;utm_content=saletructiep_Australia.Anhshortthongbao.1845.Giaotiep_PGPGTTA_LD068&amp;utm_campaign=Australia.Giaotiep.Anhshortthongbao_95360_MES_HuyLG_140223</v>
      </c>
      <c r="U246" s="174"/>
    </row>
    <row r="247">
      <c r="A247" s="72">
        <v>44995.0</v>
      </c>
      <c r="B247" s="60" t="s">
        <v>769</v>
      </c>
      <c r="C247" s="67" t="str">
        <f>IFERROR(__xludf.DUMMYFUNCTION("""COMPUTED_VALUE"""),"LD114")</f>
        <v>LD114</v>
      </c>
      <c r="D247" s="55" t="s">
        <v>42</v>
      </c>
      <c r="E247" s="143" t="s">
        <v>79</v>
      </c>
      <c r="F247" s="55" t="s">
        <v>199</v>
      </c>
      <c r="G247" s="55">
        <v>1840.0</v>
      </c>
      <c r="H247" s="55" t="s">
        <v>1131</v>
      </c>
      <c r="I247" s="55" t="s">
        <v>3207</v>
      </c>
      <c r="J247" s="55" t="s">
        <v>3208</v>
      </c>
      <c r="K247" s="143" t="s">
        <v>61</v>
      </c>
      <c r="L247" s="143" t="s">
        <v>317</v>
      </c>
      <c r="M247" s="55" t="s">
        <v>78</v>
      </c>
      <c r="N247" s="143" t="s">
        <v>79</v>
      </c>
      <c r="O247" s="55" t="s">
        <v>910</v>
      </c>
      <c r="P247" s="55" t="s">
        <v>110</v>
      </c>
      <c r="Q247" s="178" t="str">
        <f>IFERROR(__xludf.DUMMYFUNCTION("""COMPUTED_VALUE"""),"Vietnam.IELTS.AnhIELTS_XuBen.5018_MES_HuyLG_100323")</f>
        <v>Vietnam.IELTS.AnhIELTS_XuBen.5018_MES_HuyLG_100323</v>
      </c>
      <c r="R247" s="178" t="str">
        <f>IFERROR(__xludf.DUMMYFUNCTION("""COMPUTED_VALUE"""),"NEW_Vietnam_1840_none_100323")</f>
        <v>NEW_Vietnam_1840_none_100323</v>
      </c>
      <c r="S247" s="178" t="str">
        <f>IFERROR(__xludf.DUMMYFUNCTION("""COMPUTED_VALUE"""),"saletructiep_Vietnam.AnhIELTS.1840.IELTS_TATTP_LD114")</f>
        <v>saletructiep_Vietnam.AnhIELTS.1840.IELTS_TATTP_LD114</v>
      </c>
      <c r="T247" s="184" t="str">
        <f>IFERROR(__xludf.DUMMYFUNCTION("""COMPUTED_VALUE"""),"https://patadovietnam.edu.vn/ielts_cvs/?utm_source=Facebook&amp;utm_medium=MES&amp;utm_term=NEW_Vietnam_1840_none_100323&amp;utm_content=saletructiep_Vietnam.AnhIELTS.1840.IELTS_TATTP_LD114&amp;utm_campaign=Vietnam.IELTS.AnhIELTS_XuBen.5018_MES_HuyLG_100323")</f>
        <v>https://patadovietnam.edu.vn/ielts_cvs/?utm_source=Facebook&amp;utm_medium=MES&amp;utm_term=NEW_Vietnam_1840_none_100323&amp;utm_content=saletructiep_Vietnam.AnhIELTS.1840.IELTS_TATTP_LD114&amp;utm_campaign=Vietnam.IELTS.AnhIELTS_XuBen.5018_MES_HuyLG_100323</v>
      </c>
      <c r="U247" s="185" t="s">
        <v>3893</v>
      </c>
    </row>
    <row r="248">
      <c r="A248" s="72">
        <v>44995.0</v>
      </c>
      <c r="B248" s="60" t="s">
        <v>777</v>
      </c>
      <c r="C248" s="67" t="str">
        <f>IFERROR(__xludf.DUMMYFUNCTION("""COMPUTED_VALUE"""),"LD068")</f>
        <v>LD068</v>
      </c>
      <c r="D248" s="55" t="s">
        <v>42</v>
      </c>
      <c r="E248" s="143" t="s">
        <v>79</v>
      </c>
      <c r="F248" s="55" t="s">
        <v>311</v>
      </c>
      <c r="G248" s="55">
        <v>2045.0</v>
      </c>
      <c r="H248" s="55" t="s">
        <v>1131</v>
      </c>
      <c r="I248" s="55" t="s">
        <v>3895</v>
      </c>
      <c r="J248" s="55" t="s">
        <v>3896</v>
      </c>
      <c r="K248" s="143" t="s">
        <v>61</v>
      </c>
      <c r="L248" s="143" t="s">
        <v>317</v>
      </c>
      <c r="M248" s="55" t="s">
        <v>78</v>
      </c>
      <c r="N248" s="143" t="s">
        <v>79</v>
      </c>
      <c r="O248" s="55" t="s">
        <v>910</v>
      </c>
      <c r="P248" s="55" t="s">
        <v>110</v>
      </c>
      <c r="Q248" s="129" t="str">
        <f>IFERROR(__xludf.DUMMYFUNCTION("""COMPUTED_VALUE"""),"Mexico.Giaotiep.Anhchung_XuBen.5018_MES_HuyLG_100323")</f>
        <v>Mexico.Giaotiep.Anhchung_XuBen.5018_MES_HuyLG_100323</v>
      </c>
      <c r="R248" s="129" t="str">
        <f>IFERROR(__xludf.DUMMYFUNCTION("""COMPUTED_VALUE"""),"NEW_Mexico_2045_none_100323")</f>
        <v>NEW_Mexico_2045_none_100323</v>
      </c>
      <c r="S248" s="129" t="str">
        <f>IFERROR(__xludf.DUMMYFUNCTION("""COMPUTED_VALUE"""),"saletructiep_Mexico.Anhchung.2045.Giaotiep_TATTP_LD068")</f>
        <v>saletructiep_Mexico.Anhchung.2045.Giaotiep_TATTP_LD068</v>
      </c>
      <c r="T248" s="130" t="str">
        <f>IFERROR(__xludf.DUMMYFUNCTION("""COMPUTED_VALUE"""),"https://patadovietnam.edu.vn/khoa-hoc-giao-tiep/?utm_source=Facebook&amp;utm_medium=MES&amp;utm_term=NEW_Mexico_2045_none_100323&amp;utm_content=saletructiep_Mexico.Anhchung.2045.Giaotiep_TATTP_LD068&amp;utm_campaign=Mexico.Giaotiep.Anhchung_XuBen.5018_MES_HuyLG_100323")</f>
        <v>https://patadovietnam.edu.vn/khoa-hoc-giao-tiep/?utm_source=Facebook&amp;utm_medium=MES&amp;utm_term=NEW_Mexico_2045_none_100323&amp;utm_content=saletructiep_Mexico.Anhchung.2045.Giaotiep_TATTP_LD068&amp;utm_campaign=Mexico.Giaotiep.Anhchung_XuBen.5018_MES_HuyLG_100323</v>
      </c>
      <c r="U248" s="133" t="s">
        <v>3898</v>
      </c>
    </row>
    <row r="249">
      <c r="A249" s="72">
        <v>44998.0</v>
      </c>
      <c r="B249" s="61" t="s">
        <v>777</v>
      </c>
      <c r="C249" s="67" t="str">
        <f>IFERROR(__xludf.DUMMYFUNCTION("""COMPUTED_VALUE"""),"LD068")</f>
        <v>LD068</v>
      </c>
      <c r="D249" s="55" t="s">
        <v>42</v>
      </c>
      <c r="E249" s="143" t="s">
        <v>79</v>
      </c>
      <c r="F249" s="55" t="s">
        <v>129</v>
      </c>
      <c r="G249" s="55">
        <v>1840.0</v>
      </c>
      <c r="H249" s="55" t="s">
        <v>1131</v>
      </c>
      <c r="I249" s="55" t="s">
        <v>3899</v>
      </c>
      <c r="J249" s="55" t="s">
        <v>3900</v>
      </c>
      <c r="K249" s="143" t="s">
        <v>61</v>
      </c>
      <c r="L249" s="143" t="s">
        <v>317</v>
      </c>
      <c r="M249" s="55" t="s">
        <v>78</v>
      </c>
      <c r="N249" s="143" t="s">
        <v>79</v>
      </c>
      <c r="O249" s="55" t="s">
        <v>910</v>
      </c>
      <c r="P249" s="55" t="s">
        <v>110</v>
      </c>
      <c r="Q249" s="129" t="str">
        <f>IFERROR(__xludf.DUMMYFUNCTION("""COMPUTED_VALUE"""),"Australia.Giaotiep.Anhmatgocdengiaotiep_XuBen.5018_MES_HuyLG_130323")</f>
        <v>Australia.Giaotiep.Anhmatgocdengiaotiep_XuBen.5018_MES_HuyLG_130323</v>
      </c>
      <c r="R249" s="129" t="str">
        <f>IFERROR(__xludf.DUMMYFUNCTION("""COMPUTED_VALUE"""),"NEW_Australia_1840_none_130323")</f>
        <v>NEW_Australia_1840_none_130323</v>
      </c>
      <c r="S249" s="129" t="str">
        <f>IFERROR(__xludf.DUMMYFUNCTION("""COMPUTED_VALUE"""),"saletructiep_Australia.Anhmatgocdengiaotiep.1840.Giaotiep_TATTP_LD068")</f>
        <v>saletructiep_Australia.Anhmatgocdengiaotiep.1840.Giaotiep_TATTP_LD068</v>
      </c>
      <c r="T249" s="128" t="str">
        <f>IFERROR(__xludf.DUMMYFUNCTION("""COMPUTED_VALUE"""),"https://patadovietnam.edu.vn/khoa-hoc-giao-tiep/?utm_source=Facebook&amp;utm_medium=MES&amp;utm_term=NEW_Australia_1840_none_130323&amp;utm_content=saletructiep_Australia.Anhmatgocdengiaotiep.1840.Giaotiep_TATTP_LD068&amp;utm_campaign=Australia.Giaotiep.Anhmatgocdengiaot"&amp;"iep_XuBen.5018_MES_HuyLG_130323")</f>
        <v>https://patadovietnam.edu.vn/khoa-hoc-giao-tiep/?utm_source=Facebook&amp;utm_medium=MES&amp;utm_term=NEW_Australia_1840_none_130323&amp;utm_content=saletructiep_Australia.Anhmatgocdengiaotiep.1840.Giaotiep_TATTP_LD068&amp;utm_campaign=Australia.Giaotiep.Anhmatgocdengiaotiep_XuBen.5018_MES_HuyLG_130323</v>
      </c>
      <c r="U249" s="112" t="s">
        <v>3902</v>
      </c>
    </row>
    <row r="250">
      <c r="A250" s="72">
        <v>44998.0</v>
      </c>
      <c r="B250" s="61" t="s">
        <v>712</v>
      </c>
      <c r="C250" s="67" t="str">
        <f>IFERROR(__xludf.DUMMYFUNCTION("""COMPUTED_VALUE"""),"LD109")</f>
        <v>LD109</v>
      </c>
      <c r="D250" s="55" t="s">
        <v>42</v>
      </c>
      <c r="E250" s="143" t="s">
        <v>79</v>
      </c>
      <c r="F250" s="55" t="s">
        <v>107</v>
      </c>
      <c r="G250" s="55">
        <v>1845.0</v>
      </c>
      <c r="H250" s="55" t="s">
        <v>1131</v>
      </c>
      <c r="I250" s="55" t="s">
        <v>3904</v>
      </c>
      <c r="J250" s="55" t="s">
        <v>3905</v>
      </c>
      <c r="K250" s="143" t="s">
        <v>61</v>
      </c>
      <c r="L250" s="143" t="s">
        <v>317</v>
      </c>
      <c r="M250" s="55" t="s">
        <v>78</v>
      </c>
      <c r="N250" s="143" t="s">
        <v>79</v>
      </c>
      <c r="O250" s="55" t="s">
        <v>910</v>
      </c>
      <c r="P250" s="55" t="s">
        <v>110</v>
      </c>
      <c r="Q250" s="129" t="str">
        <f>IFERROR(__xludf.DUMMYFUNCTION("""COMPUTED_VALUE"""),"UnitedStates.Giaotiep.Anhlotrinhxanh_XuBen.5018_MES_HuyLG_130323")</f>
        <v>UnitedStates.Giaotiep.Anhlotrinhxanh_XuBen.5018_MES_HuyLG_130323</v>
      </c>
      <c r="R250" s="129" t="str">
        <f>IFERROR(__xludf.DUMMYFUNCTION("""COMPUTED_VALUE"""),"NEW_UnitedStates_1845_none_130323")</f>
        <v>NEW_UnitedStates_1845_none_130323</v>
      </c>
      <c r="S250" s="129" t="str">
        <f>IFERROR(__xludf.DUMMYFUNCTION("""COMPUTED_VALUE"""),"saletructiep_UnitedStates.Anhlotrinhxanh.1845.Giaotiep_TATTP_LD109")</f>
        <v>saletructiep_UnitedStates.Anhlotrinhxanh.1845.Giaotiep_TATTP_LD109</v>
      </c>
      <c r="T250" s="130" t="str">
        <f>IFERROR(__xludf.DUMMYFUNCTION("""COMPUTED_VALUE"""),"https://patadovietnam.edu.vn/hoaky_cvs/?utm_source=Facebook&amp;utm_medium=MES&amp;utm_term=NEW_UnitedStates_1845_none_130323&amp;utm_content=saletructiep_UnitedStates.Anhlotrinhxanh.1845.Giaotiep_TATTP_LD109&amp;utm_campaign=UnitedStates.Giaotiep.Anhlotrinhxanh_XuBen.50"&amp;"18_MES_HuyLG_130323")</f>
        <v>https://patadovietnam.edu.vn/hoaky_cvs/?utm_source=Facebook&amp;utm_medium=MES&amp;utm_term=NEW_UnitedStates_1845_none_130323&amp;utm_content=saletructiep_UnitedStates.Anhlotrinhxanh.1845.Giaotiep_TATTP_LD109&amp;utm_campaign=UnitedStates.Giaotiep.Anhlotrinhxanh_XuBen.5018_MES_HuyLG_130323</v>
      </c>
      <c r="U250" s="174"/>
    </row>
    <row r="251">
      <c r="A251" s="72">
        <v>44998.0</v>
      </c>
      <c r="B251" s="60" t="s">
        <v>1120</v>
      </c>
      <c r="C251" s="67" t="str">
        <f>IFERROR(__xludf.DUMMYFUNCTION("""COMPUTED_VALUE"""),"LD125")</f>
        <v>LD125</v>
      </c>
      <c r="D251" s="55" t="s">
        <v>42</v>
      </c>
      <c r="E251" s="55" t="s">
        <v>69</v>
      </c>
      <c r="F251" s="55" t="s">
        <v>133</v>
      </c>
      <c r="G251" s="55">
        <v>1840.0</v>
      </c>
      <c r="H251" s="55" t="s">
        <v>1131</v>
      </c>
      <c r="I251" s="55" t="s">
        <v>3908</v>
      </c>
      <c r="J251" s="55" t="s">
        <v>3909</v>
      </c>
      <c r="K251" s="143" t="s">
        <v>61</v>
      </c>
      <c r="L251" s="143" t="s">
        <v>317</v>
      </c>
      <c r="M251" s="55" t="s">
        <v>78</v>
      </c>
      <c r="N251" s="87" t="s">
        <v>69</v>
      </c>
      <c r="O251" s="55" t="s">
        <v>910</v>
      </c>
      <c r="P251" s="55" t="s">
        <v>110</v>
      </c>
      <c r="Q251" s="129" t="str">
        <f>IFERROR(__xludf.DUMMYFUNCTION("""COMPUTED_VALUE"""),"Japan.Giaotiep.Anhmolop_XuBen.5018_CVS_HuyLG_130323")</f>
        <v>Japan.Giaotiep.Anhmolop_XuBen.5018_CVS_HuyLG_130323</v>
      </c>
      <c r="R251" s="129" t="str">
        <f>IFERROR(__xludf.DUMMYFUNCTION("""COMPUTED_VALUE"""),"NEW_Japan_1840_none_130323")</f>
        <v>NEW_Japan_1840_none_130323</v>
      </c>
      <c r="S251" s="129" t="str">
        <f>IFERROR(__xludf.DUMMYFUNCTION("""COMPUTED_VALUE"""),"saletructiep_Japan.Anhmolop.1840.Giaotiep_TATTP_LD125")</f>
        <v>saletructiep_Japan.Anhmolop.1840.Giaotiep_TATTP_LD125</v>
      </c>
      <c r="T251" s="130" t="str">
        <f>IFERROR(__xludf.DUMMYFUNCTION("""COMPUTED_VALUE"""),"https://patadovietnam.edu.vn/japan_hlg/?utm_source=Facebook&amp;utm_medium=CVS&amp;utm_term=NEW_Japan_1840_none_130323&amp;utm_content=saletructiep_Japan.Anhmolop.1840.Giaotiep_TATTP_LD125&amp;utm_campaign=Japan.Giaotiep.Anhmolop_XuBen.5018_CVS_HuyLG_130323")</f>
        <v>https://patadovietnam.edu.vn/japan_hlg/?utm_source=Facebook&amp;utm_medium=CVS&amp;utm_term=NEW_Japan_1840_none_130323&amp;utm_content=saletructiep_Japan.Anhmolop.1840.Giaotiep_TATTP_LD125&amp;utm_campaign=Japan.Giaotiep.Anhmolop_XuBen.5018_CVS_HuyLG_130323</v>
      </c>
      <c r="U251" s="133" t="s">
        <v>3913</v>
      </c>
    </row>
    <row r="252">
      <c r="A252" s="72">
        <v>44998.0</v>
      </c>
      <c r="B252" s="61" t="s">
        <v>777</v>
      </c>
      <c r="C252" s="67" t="str">
        <f>IFERROR(__xludf.DUMMYFUNCTION("""COMPUTED_VALUE"""),"LD068")</f>
        <v>LD068</v>
      </c>
      <c r="D252" s="55" t="s">
        <v>42</v>
      </c>
      <c r="E252" s="55" t="s">
        <v>3916</v>
      </c>
      <c r="F252" s="55" t="s">
        <v>133</v>
      </c>
      <c r="G252" s="55">
        <v>1840.0</v>
      </c>
      <c r="H252" s="55" t="s">
        <v>1131</v>
      </c>
      <c r="I252" s="55" t="s">
        <v>3312</v>
      </c>
      <c r="J252" s="55" t="s">
        <v>3917</v>
      </c>
      <c r="K252" s="143" t="s">
        <v>61</v>
      </c>
      <c r="L252" s="143" t="s">
        <v>317</v>
      </c>
      <c r="M252" s="55" t="s">
        <v>3918</v>
      </c>
      <c r="N252" s="55" t="s">
        <v>3916</v>
      </c>
      <c r="O252" s="55" t="s">
        <v>910</v>
      </c>
      <c r="P252" s="55" t="s">
        <v>110</v>
      </c>
      <c r="Q252" s="129" t="str">
        <f>IFERROR(__xludf.DUMMYFUNCTION("""COMPUTED_VALUE"""),"Japan.Giaotiep.Videolophoc_XuBen.5018_REEL_HuyLG_130323")</f>
        <v>Japan.Giaotiep.Videolophoc_XuBen.5018_REEL_HuyLG_130323</v>
      </c>
      <c r="R252" s="129" t="str">
        <f>IFERROR(__xludf.DUMMYFUNCTION("""COMPUTED_VALUE"""),"NEW_Japan_1840_none_130323")</f>
        <v>NEW_Japan_1840_none_130323</v>
      </c>
      <c r="S252" s="129" t="str">
        <f>IFERROR(__xludf.DUMMYFUNCTION("""COMPUTED_VALUE"""),"Videolophoc_Japan.Videolophoc.Giaotiep_TATTP_LD068")</f>
        <v>Videolophoc_Japan.Videolophoc.Giaotiep_TATTP_LD068</v>
      </c>
      <c r="T252" s="130" t="str">
        <f>IFERROR(__xludf.DUMMYFUNCTION("""COMPUTED_VALUE"""),"https://patadovietnam.edu.vn/khoa-hoc-giao-tiep/?utm_source=Facebook&amp;utm_medium=REEL&amp;utm_term=NEW_Japan_1840_none_130323&amp;utm_content=Videolophoc_Japan.Videolophoc.Giaotiep_TATTP_LD068&amp;utm_campaign=Japan.Giaotiep.Videolophoc_XuBen.5018_REEL_HuyLG_130323")</f>
        <v>https://patadovietnam.edu.vn/khoa-hoc-giao-tiep/?utm_source=Facebook&amp;utm_medium=REEL&amp;utm_term=NEW_Japan_1840_none_130323&amp;utm_content=Videolophoc_Japan.Videolophoc.Giaotiep_TATTP_LD068&amp;utm_campaign=Japan.Giaotiep.Videolophoc_XuBen.5018_REEL_HuyLG_130323</v>
      </c>
      <c r="U252" s="174"/>
    </row>
    <row r="253">
      <c r="A253" s="72">
        <v>45029.0</v>
      </c>
      <c r="B253" s="60" t="s">
        <v>1120</v>
      </c>
      <c r="C253" s="67" t="str">
        <f>IFERROR(__xludf.DUMMYFUNCTION("""COMPUTED_VALUE"""),"LD125")</f>
        <v>LD125</v>
      </c>
      <c r="D253" s="55" t="s">
        <v>42</v>
      </c>
      <c r="E253" s="55" t="s">
        <v>1409</v>
      </c>
      <c r="F253" s="55" t="s">
        <v>133</v>
      </c>
      <c r="G253" s="55">
        <v>1840.0</v>
      </c>
      <c r="H253" s="55" t="s">
        <v>1131</v>
      </c>
      <c r="I253" s="55" t="s">
        <v>3412</v>
      </c>
      <c r="J253" s="55" t="s">
        <v>3473</v>
      </c>
      <c r="K253" s="143" t="s">
        <v>61</v>
      </c>
      <c r="L253" s="143" t="s">
        <v>317</v>
      </c>
      <c r="M253" s="55" t="s">
        <v>78</v>
      </c>
      <c r="N253" s="55" t="s">
        <v>1409</v>
      </c>
      <c r="O253" s="55" t="s">
        <v>910</v>
      </c>
      <c r="P253" s="55" t="s">
        <v>110</v>
      </c>
      <c r="Q253" s="129" t="str">
        <f>IFERROR(__xludf.DUMMYFUNCTION("""COMPUTED_VALUE"""),"Japan.Giaotiep.Anhthongbao12_XuBen.5018_LEAD_HuyLG_130423")</f>
        <v>Japan.Giaotiep.Anhthongbao12_XuBen.5018_LEAD_HuyLG_130423</v>
      </c>
      <c r="R253" s="129" t="str">
        <f>IFERROR(__xludf.DUMMYFUNCTION("""COMPUTED_VALUE"""),"NEW_Japan_1840_none_130423")</f>
        <v>NEW_Japan_1840_none_130423</v>
      </c>
      <c r="S253" s="129" t="str">
        <f>IFERROR(__xludf.DUMMYFUNCTION("""COMPUTED_VALUE"""),"saletructiep_Japan.Anhthongbao12.1840.Giaotiep_TATTP_LD125")</f>
        <v>saletructiep_Japan.Anhthongbao12.1840.Giaotiep_TATTP_LD125</v>
      </c>
      <c r="T253" s="130" t="str">
        <f>IFERROR(__xludf.DUMMYFUNCTION("""COMPUTED_VALUE"""),"https://patadovietnam.edu.vn/japan_hlg/?utm_source=Facebook&amp;utm_medium=LEAD&amp;utm_term=NEW_Japan_1840_none_130423&amp;utm_content=saletructiep_Japan.Anhthongbao12.1840.Giaotiep_TATTP_LD125&amp;utm_campaign=Japan.Giaotiep.Anhthongbao12_XuBen.5018_LEAD_HuyLG_130423")</f>
        <v>https://patadovietnam.edu.vn/japan_hlg/?utm_source=Facebook&amp;utm_medium=LEAD&amp;utm_term=NEW_Japan_1840_none_130423&amp;utm_content=saletructiep_Japan.Anhthongbao12.1840.Giaotiep_TATTP_LD125&amp;utm_campaign=Japan.Giaotiep.Anhthongbao12_XuBen.5018_LEAD_HuyLG_130423</v>
      </c>
      <c r="U253" s="133" t="s">
        <v>3926</v>
      </c>
    </row>
    <row r="254">
      <c r="A254" s="72">
        <v>45029.0</v>
      </c>
      <c r="B254" s="60" t="s">
        <v>712</v>
      </c>
      <c r="C254" s="67" t="str">
        <f>IFERROR(__xludf.DUMMYFUNCTION("""COMPUTED_VALUE"""),"LD109")</f>
        <v>LD109</v>
      </c>
      <c r="D254" s="55" t="s">
        <v>42</v>
      </c>
      <c r="E254" s="55" t="s">
        <v>1409</v>
      </c>
      <c r="F254" s="55" t="s">
        <v>107</v>
      </c>
      <c r="G254" s="55">
        <v>2045.0</v>
      </c>
      <c r="H254" s="55" t="s">
        <v>1131</v>
      </c>
      <c r="I254" s="55" t="s">
        <v>3682</v>
      </c>
      <c r="J254" s="55" t="s">
        <v>3773</v>
      </c>
      <c r="K254" s="143" t="s">
        <v>61</v>
      </c>
      <c r="L254" s="143" t="s">
        <v>317</v>
      </c>
      <c r="M254" s="55" t="s">
        <v>78</v>
      </c>
      <c r="N254" s="55" t="s">
        <v>1409</v>
      </c>
      <c r="O254" s="55" t="s">
        <v>910</v>
      </c>
      <c r="P254" s="55" t="s">
        <v>110</v>
      </c>
      <c r="Q254" s="129" t="str">
        <f>IFERROR(__xludf.DUMMYFUNCTION("""COMPUTED_VALUE"""),"UnitedStates.Giaotiep.Anhshortthongbao_XuBen.5018_LEAD_HuyLG_130423")</f>
        <v>UnitedStates.Giaotiep.Anhshortthongbao_XuBen.5018_LEAD_HuyLG_130423</v>
      </c>
      <c r="R254" s="129" t="str">
        <f>IFERROR(__xludf.DUMMYFUNCTION("""COMPUTED_VALUE"""),"NEW_UnitedStates_2045_none_130423")</f>
        <v>NEW_UnitedStates_2045_none_130423</v>
      </c>
      <c r="S254" s="129" t="str">
        <f>IFERROR(__xludf.DUMMYFUNCTION("""COMPUTED_VALUE"""),"saletructiep_UnitedStates.Anhshortthongbao.2045.Giaotiep_TATTP_LD109")</f>
        <v>saletructiep_UnitedStates.Anhshortthongbao.2045.Giaotiep_TATTP_LD109</v>
      </c>
      <c r="T254" s="130" t="str">
        <f>IFERROR(__xludf.DUMMYFUNCTION("""COMPUTED_VALUE"""),"https://patadovietnam.edu.vn/hoaky_cvs/?utm_source=Facebook&amp;utm_medium=LEAD&amp;utm_term=NEW_UnitedStates_2045_none_130423&amp;utm_content=saletructiep_UnitedStates.Anhshortthongbao.2045.Giaotiep_TATTP_LD109&amp;utm_campaign=UnitedStates.Giaotiep.Anhshortthongbao_XuB"&amp;"en.5018_LEAD_HuyLG_130423")</f>
        <v>https://patadovietnam.edu.vn/hoaky_cvs/?utm_source=Facebook&amp;utm_medium=LEAD&amp;utm_term=NEW_UnitedStates_2045_none_130423&amp;utm_content=saletructiep_UnitedStates.Anhshortthongbao.2045.Giaotiep_TATTP_LD109&amp;utm_campaign=UnitedStates.Giaotiep.Anhshortthongbao_XuBen.5018_LEAD_HuyLG_130423</v>
      </c>
      <c r="U254" s="133" t="s">
        <v>3934</v>
      </c>
    </row>
    <row r="255">
      <c r="A255" s="72">
        <v>45030.0</v>
      </c>
      <c r="B255" s="60" t="s">
        <v>3461</v>
      </c>
      <c r="C255" s="67" t="str">
        <f>IFERROR(__xludf.DUMMYFUNCTION("""COMPUTED_VALUE"""),"LD154")</f>
        <v>LD154</v>
      </c>
      <c r="D255" s="55" t="s">
        <v>42</v>
      </c>
      <c r="E255" s="55" t="s">
        <v>1409</v>
      </c>
      <c r="F255" s="55" t="s">
        <v>674</v>
      </c>
      <c r="G255" s="55">
        <v>2045.0</v>
      </c>
      <c r="H255" s="55" t="s">
        <v>1131</v>
      </c>
      <c r="I255" s="55" t="s">
        <v>3938</v>
      </c>
      <c r="J255" s="55" t="s">
        <v>3940</v>
      </c>
      <c r="K255" s="143" t="s">
        <v>61</v>
      </c>
      <c r="L255" s="143" t="s">
        <v>317</v>
      </c>
      <c r="M255" s="55" t="s">
        <v>78</v>
      </c>
      <c r="N255" s="55" t="s">
        <v>1409</v>
      </c>
      <c r="O255" s="55" t="s">
        <v>910</v>
      </c>
      <c r="P255" s="55" t="s">
        <v>110</v>
      </c>
      <c r="Q255" s="129" t="str">
        <f>IFERROR(__xludf.DUMMYFUNCTION("""COMPUTED_VALUE"""),"Europe.Giaotiep.Anhshort_XuBen.5018_LEAD_HuyLG_140423")</f>
        <v>Europe.Giaotiep.Anhshort_XuBen.5018_LEAD_HuyLG_140423</v>
      </c>
      <c r="R255" s="129" t="str">
        <f>IFERROR(__xludf.DUMMYFUNCTION("""COMPUTED_VALUE"""),"NEW_Europe_2045_none_140423")</f>
        <v>NEW_Europe_2045_none_140423</v>
      </c>
      <c r="S255" s="129" t="str">
        <f>IFERROR(__xludf.DUMMYFUNCTION("""COMPUTED_VALUE"""),"saletructiep_Europe.Anhshort.2045.Giaotiep_TATTP_LD154")</f>
        <v>saletructiep_Europe.Anhshort.2045.Giaotiep_TATTP_LD154</v>
      </c>
      <c r="T255" s="130" t="str">
        <f>IFERROR(__xludf.DUMMYFUNCTION("""COMPUTED_VALUE"""),"https://patadovietnam.edu.vn/eu_hlg/?utm_source=Facebook&amp;utm_medium=LEAD&amp;utm_term=NEW_Europe_2045_none_140423&amp;utm_content=saletructiep_Europe.Anhshort.2045.Giaotiep_TATTP_LD154&amp;utm_campaign=Europe.Giaotiep.Anhshort_XuBen.5018_LEAD_HuyLG_140423")</f>
        <v>https://patadovietnam.edu.vn/eu_hlg/?utm_source=Facebook&amp;utm_medium=LEAD&amp;utm_term=NEW_Europe_2045_none_140423&amp;utm_content=saletructiep_Europe.Anhshort.2045.Giaotiep_TATTP_LD154&amp;utm_campaign=Europe.Giaotiep.Anhshort_XuBen.5018_LEAD_HuyLG_140423</v>
      </c>
      <c r="U255" s="112" t="s">
        <v>3943</v>
      </c>
    </row>
    <row r="256">
      <c r="A256" s="72">
        <v>45031.0</v>
      </c>
      <c r="B256" s="75" t="s">
        <v>776</v>
      </c>
      <c r="C256" s="67" t="str">
        <f>IFERROR(__xludf.DUMMYFUNCTION("""COMPUTED_VALUE"""),"LD117")</f>
        <v>LD117</v>
      </c>
      <c r="D256" s="55" t="s">
        <v>42</v>
      </c>
      <c r="E256" s="55" t="s">
        <v>1409</v>
      </c>
      <c r="F256" s="55" t="s">
        <v>614</v>
      </c>
      <c r="G256" s="55">
        <v>1840.0</v>
      </c>
      <c r="H256" s="55" t="s">
        <v>1131</v>
      </c>
      <c r="I256" s="55" t="s">
        <v>3948</v>
      </c>
      <c r="J256" s="55" t="s">
        <v>3949</v>
      </c>
      <c r="K256" s="55" t="s">
        <v>61</v>
      </c>
      <c r="L256" s="143" t="s">
        <v>317</v>
      </c>
      <c r="M256" s="55" t="s">
        <v>78</v>
      </c>
      <c r="N256" s="55" t="s">
        <v>1409</v>
      </c>
      <c r="O256" s="55" t="s">
        <v>910</v>
      </c>
      <c r="P256" s="55" t="s">
        <v>110</v>
      </c>
      <c r="Q256" s="129" t="str">
        <f>IFERROR(__xludf.DUMMYFUNCTION("""COMPUTED_VALUE"""),"Korea.Giaotiep.Anhmolop_XuBen.5018_LEAD_HuyLG_150423")</f>
        <v>Korea.Giaotiep.Anhmolop_XuBen.5018_LEAD_HuyLG_150423</v>
      </c>
      <c r="R256" s="129" t="str">
        <f>IFERROR(__xludf.DUMMYFUNCTION("""COMPUTED_VALUE"""),"NEW_Korea_1840_none_150423")</f>
        <v>NEW_Korea_1840_none_150423</v>
      </c>
      <c r="S256" s="129" t="str">
        <f>IFERROR(__xludf.DUMMYFUNCTION("""COMPUTED_VALUE"""),"saletructiep_Korea.Anhmolop.1840.Giaotiep_TATTP_LD117")</f>
        <v>saletructiep_Korea.Anhmolop.1840.Giaotiep_TATTP_LD117</v>
      </c>
      <c r="T256" s="128" t="str">
        <f>IFERROR(__xludf.DUMMYFUNCTION("""COMPUTED_VALUE"""),"https://patadovietnam.edu.vn/korea_cvs/?utm_source=Facebook&amp;utm_medium=LEAD&amp;utm_term=NEW_Korea_1840_none_150423&amp;utm_content=saletructiep_Korea.Anhmolop.1840.Giaotiep_TATTP_LD117&amp;utm_campaign=Korea.Giaotiep.Anhmolop_XuBen.5018_LEAD_HuyLG_150423")</f>
        <v>https://patadovietnam.edu.vn/korea_cvs/?utm_source=Facebook&amp;utm_medium=LEAD&amp;utm_term=NEW_Korea_1840_none_150423&amp;utm_content=saletructiep_Korea.Anhmolop.1840.Giaotiep_TATTP_LD117&amp;utm_campaign=Korea.Giaotiep.Anhmolop_XuBen.5018_LEAD_HuyLG_150423</v>
      </c>
      <c r="U256" s="112" t="s">
        <v>3956</v>
      </c>
    </row>
    <row r="257">
      <c r="A257" s="72">
        <v>45030.0</v>
      </c>
      <c r="B257" s="60" t="s">
        <v>3461</v>
      </c>
      <c r="C257" s="67" t="str">
        <f>IFERROR(__xludf.DUMMYFUNCTION("""COMPUTED_VALUE"""),"LD154")</f>
        <v>LD154</v>
      </c>
      <c r="D257" s="55" t="s">
        <v>42</v>
      </c>
      <c r="E257" s="55" t="s">
        <v>69</v>
      </c>
      <c r="F257" s="55" t="s">
        <v>674</v>
      </c>
      <c r="G257" s="55">
        <v>2045.0</v>
      </c>
      <c r="H257" s="55" t="s">
        <v>1131</v>
      </c>
      <c r="I257" s="55" t="s">
        <v>3960</v>
      </c>
      <c r="J257" s="55" t="s">
        <v>3961</v>
      </c>
      <c r="K257" s="55" t="s">
        <v>61</v>
      </c>
      <c r="L257" s="143" t="s">
        <v>317</v>
      </c>
      <c r="M257" s="55" t="s">
        <v>78</v>
      </c>
      <c r="N257" s="55" t="s">
        <v>69</v>
      </c>
      <c r="O257" s="55" t="s">
        <v>3271</v>
      </c>
      <c r="P257" s="55" t="s">
        <v>110</v>
      </c>
      <c r="Q257" s="129" t="str">
        <f>IFERROR(__xludf.DUMMYFUNCTION("""COMPUTED_VALUE"""),"Europe.Giaotiep.Anhshort1_XuBen.5018_CVS_HuyLG_140423")</f>
        <v>Europe.Giaotiep.Anhshort1_XuBen.5018_CVS_HuyLG_140423</v>
      </c>
      <c r="R257" s="129" t="str">
        <f>IFERROR(__xludf.DUMMYFUNCTION("""COMPUTED_VALUE"""),"NEW_Europe_2045_none_140423")</f>
        <v>NEW_Europe_2045_none_140423</v>
      </c>
      <c r="S257" s="129" t="str">
        <f>IFERROR(__xludf.DUMMYFUNCTION("""COMPUTED_VALUE"""),"saletructiep_Europe.Anhshort1.2045.Giaotiep_PGPGTTA_LD154")</f>
        <v>saletructiep_Europe.Anhshort1.2045.Giaotiep_PGPGTTA_LD154</v>
      </c>
      <c r="T257" s="130" t="str">
        <f>IFERROR(__xludf.DUMMYFUNCTION("""COMPUTED_VALUE"""),"https://patadovietnam.edu.vn/eu_hlg/?utm_source=Facebook&amp;utm_medium=CVS&amp;utm_term=NEW_Europe_2045_none_140423&amp;utm_content=saletructiep_Europe.Anhshort1.2045.Giaotiep_PGPGTTA_LD154&amp;utm_campaign=Europe.Giaotiep.Anhshort1_XuBen.5018_CVS_HuyLG_140423")</f>
        <v>https://patadovietnam.edu.vn/eu_hlg/?utm_source=Facebook&amp;utm_medium=CVS&amp;utm_term=NEW_Europe_2045_none_140423&amp;utm_content=saletructiep_Europe.Anhshort1.2045.Giaotiep_PGPGTTA_LD154&amp;utm_campaign=Europe.Giaotiep.Anhshort1_XuBen.5018_CVS_HuyLG_140423</v>
      </c>
      <c r="U257" s="112" t="s">
        <v>3964</v>
      </c>
    </row>
    <row r="258">
      <c r="A258" s="72">
        <v>45127.0</v>
      </c>
      <c r="B258" s="60" t="s">
        <v>439</v>
      </c>
      <c r="C258" s="67" t="str">
        <f>IFERROR(__xludf.DUMMYFUNCTION("""COMPUTED_VALUE"""),"LD069")</f>
        <v>LD069</v>
      </c>
      <c r="D258" s="55" t="s">
        <v>42</v>
      </c>
      <c r="E258" s="143" t="s">
        <v>79</v>
      </c>
      <c r="F258" s="55" t="s">
        <v>107</v>
      </c>
      <c r="G258" s="55">
        <v>2050.0</v>
      </c>
      <c r="H258" s="55" t="s">
        <v>1131</v>
      </c>
      <c r="I258" s="55" t="s">
        <v>3969</v>
      </c>
      <c r="J258" s="55" t="s">
        <v>3970</v>
      </c>
      <c r="K258" s="55" t="s">
        <v>61</v>
      </c>
      <c r="L258" s="143" t="s">
        <v>317</v>
      </c>
      <c r="M258" s="55" t="s">
        <v>2789</v>
      </c>
      <c r="N258" s="55" t="s">
        <v>69</v>
      </c>
      <c r="O258" s="55" t="s">
        <v>3971</v>
      </c>
      <c r="P258" s="55" t="s">
        <v>110</v>
      </c>
      <c r="Q258" s="129" t="str">
        <f>IFERROR(__xludf.DUMMYFUNCTION("""COMPUTED_VALUE"""),"UnitedStates.Giaotiep.Nailsstorytelling_XuBen.5018_CVS_HuyLG_200723")</f>
        <v>UnitedStates.Giaotiep.Nailsstorytelling_XuBen.5018_CVS_HuyLG_200723</v>
      </c>
      <c r="R258" s="129" t="str">
        <f>IFERROR(__xludf.DUMMYFUNCTION("""COMPUTED_VALUE"""),"NEW_UnitedStates_2050_none_200723")</f>
        <v>NEW_UnitedStates_2050_none_200723</v>
      </c>
      <c r="S258" s="129" t="str">
        <f>IFERROR(__xludf.DUMMYFUNCTION("""COMPUTED_VALUE"""),"Storytelling_UnitedStates.Nailsstorytelling.2050.Giaotiep_CDNVTM_LD069")</f>
        <v>Storytelling_UnitedStates.Nailsstorytelling.2050.Giaotiep_CDNVTM_LD069</v>
      </c>
      <c r="T258" s="130" t="str">
        <f>IFERROR(__xludf.DUMMYFUNCTION("""COMPUTED_VALUE"""),"https://patadovietnam.edu.vn/nailspatado/?utm_source=Facebook&amp;utm_medium=MES&amp;utm_term=NEW_UnitedStates_2050_none_200723&amp;utm_content=Storytelling_UnitedStates.Nailsstorytelling.2050.Giaotiep_CDNVTM_LD069&amp;utm_campaign=UnitedStates.Giaotiep.Nailsstorytelling"&amp;"_XuBen.5018_CVS_HuyLG_200723")</f>
        <v>https://patadovietnam.edu.vn/nailspatado/?utm_source=Facebook&amp;utm_medium=MES&amp;utm_term=NEW_UnitedStates_2050_none_200723&amp;utm_content=Storytelling_UnitedStates.Nailsstorytelling.2050.Giaotiep_CDNVTM_LD069&amp;utm_campaign=UnitedStates.Giaotiep.Nailsstorytelling_XuBen.5018_CVS_HuyLG_200723</v>
      </c>
      <c r="U258" s="174"/>
    </row>
    <row r="259">
      <c r="A259" s="72">
        <v>45237.0</v>
      </c>
      <c r="B259" s="60" t="s">
        <v>3977</v>
      </c>
      <c r="C259" s="67" t="str">
        <f>IFERROR(__xludf.DUMMYFUNCTION("""COMPUTED_VALUE"""),"LD279")</f>
        <v>LD279</v>
      </c>
      <c r="D259" s="55" t="s">
        <v>42</v>
      </c>
      <c r="E259" s="55" t="s">
        <v>69</v>
      </c>
      <c r="F259" s="55" t="s">
        <v>133</v>
      </c>
      <c r="G259" s="55">
        <v>2045.0</v>
      </c>
      <c r="H259" s="55" t="s">
        <v>1131</v>
      </c>
      <c r="I259" s="55" t="s">
        <v>3980</v>
      </c>
      <c r="J259" s="55" t="s">
        <v>3981</v>
      </c>
      <c r="K259" s="55" t="s">
        <v>61</v>
      </c>
      <c r="L259" s="143" t="s">
        <v>317</v>
      </c>
      <c r="M259" s="55" t="s">
        <v>78</v>
      </c>
      <c r="N259" s="55" t="s">
        <v>69</v>
      </c>
      <c r="O259" s="55" t="s">
        <v>415</v>
      </c>
      <c r="P259" s="55" t="s">
        <v>110</v>
      </c>
      <c r="Q259" s="198" t="str">
        <f>IFERROR(__xludf.DUMMYFUNCTION("""COMPUTED_VALUE"""),"Japan.Giaotiep.M37C30_XuBen.5018_CVS_HuyLG_071123")</f>
        <v>Japan.Giaotiep.M37C30_XuBen.5018_CVS_HuyLG_071123</v>
      </c>
      <c r="R259" s="198" t="str">
        <f>IFERROR(__xludf.DUMMYFUNCTION("""COMPUTED_VALUE"""),"NEW_Japan_2045_none_071123")</f>
        <v>NEW_Japan_2045_none_071123</v>
      </c>
      <c r="S259" s="198" t="str">
        <f>IFERROR(__xludf.DUMMYFUNCTION("""COMPUTED_VALUE"""),"saletructiep_Japan.M37C30.2045.Giaotiep_TATTPVN_LD279")</f>
        <v>saletructiep_Japan.M37C30.2045.Giaotiep_TATTPVN_LD279</v>
      </c>
      <c r="T259" s="182" t="str">
        <f>IFERROR(__xludf.DUMMYFUNCTION("""COMPUTED_VALUE"""),"https://patado.edu.vn/hlg_tattp_gt/?utm_source=Facebook&amp;utm_medium=CVS&amp;utm_term=NEW_Japan_2045_none_071123&amp;utm_content=saletructiep_Japan.M37C30.2045.Giaotiep_TATTPVN_LD279&amp;utm_campaign=Japan.Giaotiep.M37C30_XuBen.5018_CVS_HuyLG_071123")</f>
        <v>https://patado.edu.vn/hlg_tattp_gt/?utm_source=Facebook&amp;utm_medium=CVS&amp;utm_term=NEW_Japan_2045_none_071123&amp;utm_content=saletructiep_Japan.M37C30.2045.Giaotiep_TATTPVN_LD279&amp;utm_campaign=Japan.Giaotiep.M37C30_XuBen.5018_CVS_HuyLG_071123</v>
      </c>
      <c r="U259" s="199" t="s">
        <v>3986</v>
      </c>
    </row>
    <row r="260">
      <c r="A260" s="72">
        <v>45237.0</v>
      </c>
      <c r="B260" s="112" t="s">
        <v>3989</v>
      </c>
      <c r="C260" s="67" t="str">
        <f>IFERROR(__xludf.DUMMYFUNCTION("""COMPUTED_VALUE"""),"LD205")</f>
        <v>LD205</v>
      </c>
      <c r="D260" s="55" t="s">
        <v>42</v>
      </c>
      <c r="E260" s="143" t="s">
        <v>79</v>
      </c>
      <c r="F260" s="55" t="s">
        <v>625</v>
      </c>
      <c r="G260" s="55">
        <v>2045.0</v>
      </c>
      <c r="H260" s="55" t="s">
        <v>1131</v>
      </c>
      <c r="I260" s="55" t="s">
        <v>3991</v>
      </c>
      <c r="J260" s="55" t="s">
        <v>3992</v>
      </c>
      <c r="K260" s="55" t="s">
        <v>61</v>
      </c>
      <c r="L260" s="143" t="s">
        <v>317</v>
      </c>
      <c r="M260" s="55" t="s">
        <v>78</v>
      </c>
      <c r="N260" s="55" t="s">
        <v>79</v>
      </c>
      <c r="O260" s="55" t="s">
        <v>415</v>
      </c>
      <c r="P260" s="55" t="s">
        <v>110</v>
      </c>
      <c r="Q260" s="129" t="str">
        <f>IFERROR(__xludf.DUMMYFUNCTION("""COMPUTED_VALUE"""),"KoreaSouth.Giaotiep.M36C24_XuBen.5018_MES_HuyLG_071123")</f>
        <v>KoreaSouth.Giaotiep.M36C24_XuBen.5018_MES_HuyLG_071123</v>
      </c>
      <c r="R260" s="129" t="str">
        <f>IFERROR(__xludf.DUMMYFUNCTION("""COMPUTED_VALUE"""),"NEW_KoreaSouth_2045_none_071123")</f>
        <v>NEW_KoreaSouth_2045_none_071123</v>
      </c>
      <c r="S260" s="129" t="str">
        <f>IFERROR(__xludf.DUMMYFUNCTION("""COMPUTED_VALUE"""),"saletructiep_KoreaSouth.M36C24.2045.Giaotiep_TATTPVN_LD205")</f>
        <v>saletructiep_KoreaSouth.M36C24.2045.Giaotiep_TATTPVN_LD205</v>
      </c>
      <c r="T260" s="130" t="str">
        <f>IFERROR(__xludf.DUMMYFUNCTION("""COMPUTED_VALUE"""),"https://patadovietnam.edu.vn/hlg_kr_tattpvn/?utm_source=Facebook&amp;utm_medium=MES&amp;utm_term=NEW_KoreaSouth_2045_none_071123&amp;utm_content=saletructiep_KoreaSouth.M36C24.2045.Giaotiep_TATTPVN_LD205&amp;utm_campaign=KoreaSouth.Giaotiep.M36C24_XuBen.5018_MES_HuyLG_07"&amp;"1123")</f>
        <v>https://patadovietnam.edu.vn/hlg_kr_tattpvn/?utm_source=Facebook&amp;utm_medium=MES&amp;utm_term=NEW_KoreaSouth_2045_none_071123&amp;utm_content=saletructiep_KoreaSouth.M36C24.2045.Giaotiep_TATTPVN_LD205&amp;utm_campaign=KoreaSouth.Giaotiep.M36C24_XuBen.5018_MES_HuyLG_071123</v>
      </c>
      <c r="U260" s="112" t="s">
        <v>3998</v>
      </c>
    </row>
    <row r="261">
      <c r="A261" s="72">
        <v>45237.0</v>
      </c>
      <c r="B261" s="75" t="s">
        <v>3999</v>
      </c>
      <c r="C261" s="67" t="str">
        <f>IFERROR(__xludf.DUMMYFUNCTION("""COMPUTED_VALUE"""),"LD208")</f>
        <v>LD208</v>
      </c>
      <c r="D261" s="55" t="s">
        <v>42</v>
      </c>
      <c r="E261" s="143" t="s">
        <v>79</v>
      </c>
      <c r="F261" s="55" t="s">
        <v>107</v>
      </c>
      <c r="G261" s="55">
        <v>2045.0</v>
      </c>
      <c r="H261" s="55" t="s">
        <v>1131</v>
      </c>
      <c r="I261" s="55" t="s">
        <v>4000</v>
      </c>
      <c r="J261" s="55" t="s">
        <v>4002</v>
      </c>
      <c r="K261" s="55" t="s">
        <v>61</v>
      </c>
      <c r="L261" s="143" t="s">
        <v>317</v>
      </c>
      <c r="M261" s="55" t="s">
        <v>78</v>
      </c>
      <c r="N261" s="55" t="s">
        <v>79</v>
      </c>
      <c r="O261" s="55" t="s">
        <v>415</v>
      </c>
      <c r="P261" s="55" t="s">
        <v>110</v>
      </c>
      <c r="Q261" s="129" t="str">
        <f>IFERROR(__xludf.DUMMYFUNCTION("""COMPUTED_VALUE"""),"UnitedStates.Giaotiep.M49C34_XuBen.5018_MES_HuyLG_071123")</f>
        <v>UnitedStates.Giaotiep.M49C34_XuBen.5018_MES_HuyLG_071123</v>
      </c>
      <c r="R261" s="129" t="str">
        <f>IFERROR(__xludf.DUMMYFUNCTION("""COMPUTED_VALUE"""),"NEW_UnitedStates_2045_none_071123")</f>
        <v>NEW_UnitedStates_2045_none_071123</v>
      </c>
      <c r="S261" s="129" t="str">
        <f>IFERROR(__xludf.DUMMYFUNCTION("""COMPUTED_VALUE"""),"saletructiep_UnitedStates.M49C34.2045.Giaotiep_TATTPVN_LD208")</f>
        <v>saletructiep_UnitedStates.M49C34.2045.Giaotiep_TATTPVN_LD208</v>
      </c>
      <c r="T261" s="130" t="str">
        <f>IFERROR(__xludf.DUMMYFUNCTION("""COMPUTED_VALUE"""),"https://patadovietnam.edu.vn/hlg_us_tattpvn/?utm_source=Facebook&amp;utm_medium=MES&amp;utm_term=NEW_UnitedStates_2045_none_071123&amp;utm_content=saletructiep_UnitedStates.M49C34.2045.Giaotiep_TATTPVN_LD208&amp;utm_campaign=UnitedStates.Giaotiep.M49C34_XuBen.5018_MES_Hu"&amp;"yLG_071123")</f>
        <v>https://patadovietnam.edu.vn/hlg_us_tattpvn/?utm_source=Facebook&amp;utm_medium=MES&amp;utm_term=NEW_UnitedStates_2045_none_071123&amp;utm_content=saletructiep_UnitedStates.M49C34.2045.Giaotiep_TATTPVN_LD208&amp;utm_campaign=UnitedStates.Giaotiep.M49C34_XuBen.5018_MES_HuyLG_071123</v>
      </c>
      <c r="U261" s="112" t="s">
        <v>4005</v>
      </c>
    </row>
    <row r="262">
      <c r="A262" s="72">
        <v>45239.0</v>
      </c>
      <c r="B262" s="61" t="s">
        <v>777</v>
      </c>
      <c r="C262" s="67" t="str">
        <f>IFERROR(__xludf.DUMMYFUNCTION("""COMPUTED_VALUE"""),"LD068")</f>
        <v>LD068</v>
      </c>
      <c r="D262" s="55" t="s">
        <v>42</v>
      </c>
      <c r="E262" s="143" t="s">
        <v>79</v>
      </c>
      <c r="F262" s="55" t="s">
        <v>182</v>
      </c>
      <c r="G262" s="55">
        <v>2040.0</v>
      </c>
      <c r="H262" s="55" t="s">
        <v>1131</v>
      </c>
      <c r="I262" s="55" t="s">
        <v>4008</v>
      </c>
      <c r="J262" s="55" t="s">
        <v>4009</v>
      </c>
      <c r="K262" s="55" t="s">
        <v>61</v>
      </c>
      <c r="L262" s="143" t="s">
        <v>317</v>
      </c>
      <c r="M262" s="55" t="s">
        <v>78</v>
      </c>
      <c r="N262" s="55" t="s">
        <v>79</v>
      </c>
      <c r="O262" s="55" t="s">
        <v>415</v>
      </c>
      <c r="P262" s="55" t="s">
        <v>110</v>
      </c>
      <c r="Q262" s="129" t="str">
        <f>IFERROR(__xludf.DUMMYFUNCTION("""COMPUTED_VALUE"""),"Malaysia.Giaotiep.M50C35_XuBen.5018_MES_HuyLG_091123")</f>
        <v>Malaysia.Giaotiep.M50C35_XuBen.5018_MES_HuyLG_091123</v>
      </c>
      <c r="R262" s="129" t="str">
        <f>IFERROR(__xludf.DUMMYFUNCTION("""COMPUTED_VALUE"""),"NEW_Malaysia_2040_none_091123")</f>
        <v>NEW_Malaysia_2040_none_091123</v>
      </c>
      <c r="S262" s="129" t="str">
        <f>IFERROR(__xludf.DUMMYFUNCTION("""COMPUTED_VALUE"""),"saletructiep_Malaysia.M50C35.2040.Giaotiep_TATTPVN_LD068")</f>
        <v>saletructiep_Malaysia.M50C35.2040.Giaotiep_TATTPVN_LD068</v>
      </c>
      <c r="T262" s="130" t="str">
        <f>IFERROR(__xludf.DUMMYFUNCTION("""COMPUTED_VALUE"""),"https://patadovietnam.edu.vn/khoa-hoc-giao-tiep/?utm_source=Facebook&amp;utm_medium=MES&amp;utm_term=NEW_Malaysia_2040_none_091123&amp;utm_content=saletructiep_Malaysia.M50C35.2040.Giaotiep_TATTPVN_LD068&amp;utm_campaign=Malaysia.Giaotiep.M50C35_XuBen.5018_MES_HuyLG_0911"&amp;"23")</f>
        <v>https://patadovietnam.edu.vn/khoa-hoc-giao-tiep/?utm_source=Facebook&amp;utm_medium=MES&amp;utm_term=NEW_Malaysia_2040_none_091123&amp;utm_content=saletructiep_Malaysia.M50C35.2040.Giaotiep_TATTPVN_LD068&amp;utm_campaign=Malaysia.Giaotiep.M50C35_XuBen.5018_MES_HuyLG_091123</v>
      </c>
      <c r="U262" s="112" t="s">
        <v>4010</v>
      </c>
    </row>
    <row r="263">
      <c r="A263" s="72">
        <v>45239.0</v>
      </c>
      <c r="B263" s="75" t="s">
        <v>4013</v>
      </c>
      <c r="C263" s="67" t="str">
        <f>IFERROR(__xludf.DUMMYFUNCTION("""COMPUTED_VALUE"""),"LD209")</f>
        <v>LD209</v>
      </c>
      <c r="D263" s="55" t="s">
        <v>42</v>
      </c>
      <c r="E263" s="143" t="s">
        <v>79</v>
      </c>
      <c r="F263" s="55" t="s">
        <v>674</v>
      </c>
      <c r="G263" s="55">
        <v>2040.0</v>
      </c>
      <c r="H263" s="55" t="s">
        <v>1131</v>
      </c>
      <c r="I263" s="55" t="s">
        <v>4015</v>
      </c>
      <c r="J263" s="55" t="s">
        <v>4016</v>
      </c>
      <c r="K263" s="55" t="s">
        <v>61</v>
      </c>
      <c r="L263" s="143" t="s">
        <v>317</v>
      </c>
      <c r="M263" s="55" t="s">
        <v>78</v>
      </c>
      <c r="N263" s="55" t="s">
        <v>79</v>
      </c>
      <c r="O263" s="55" t="s">
        <v>415</v>
      </c>
      <c r="P263" s="55" t="s">
        <v>110</v>
      </c>
      <c r="Q263" s="129" t="str">
        <f>IFERROR(__xludf.DUMMYFUNCTION("""COMPUTED_VALUE"""),"Europe.Giaotiep.M46C35_XuBen.5018_MES_HuyLG_091123")</f>
        <v>Europe.Giaotiep.M46C35_XuBen.5018_MES_HuyLG_091123</v>
      </c>
      <c r="R263" s="129" t="str">
        <f>IFERROR(__xludf.DUMMYFUNCTION("""COMPUTED_VALUE"""),"NEW_Europe_2040_none_091123")</f>
        <v>NEW_Europe_2040_none_091123</v>
      </c>
      <c r="S263" s="129" t="str">
        <f>IFERROR(__xludf.DUMMYFUNCTION("""COMPUTED_VALUE"""),"saletructiep_Europe.M46C35.2040.Giaotiep_TATTPVN_LD209")</f>
        <v>saletructiep_Europe.M46C35.2040.Giaotiep_TATTPVN_LD209</v>
      </c>
      <c r="T263" s="130" t="str">
        <f>IFERROR(__xludf.DUMMYFUNCTION("""COMPUTED_VALUE"""),"https://patadovietnam.edu.vn/hlg_eu_tattpvn/?utm_source=Facebook&amp;utm_medium=MES&amp;utm_term=NEW_Europe_2040_none_091123&amp;utm_content=saletructiep_Europe.M46C35.2040.Giaotiep_TATTPVN_LD209&amp;utm_campaign=Europe.Giaotiep.M46C35_XuBen.5018_MES_HuyLG_091123")</f>
        <v>https://patadovietnam.edu.vn/hlg_eu_tattpvn/?utm_source=Facebook&amp;utm_medium=MES&amp;utm_term=NEW_Europe_2040_none_091123&amp;utm_content=saletructiep_Europe.M46C35.2040.Giaotiep_TATTPVN_LD209&amp;utm_campaign=Europe.Giaotiep.M46C35_XuBen.5018_MES_HuyLG_091123</v>
      </c>
      <c r="U263" s="112" t="s">
        <v>4021</v>
      </c>
    </row>
    <row r="264">
      <c r="A264" s="72">
        <v>45244.0</v>
      </c>
      <c r="B264" s="60" t="s">
        <v>712</v>
      </c>
      <c r="C264" s="67" t="str">
        <f>IFERROR(__xludf.DUMMYFUNCTION("""COMPUTED_VALUE"""),"LD109")</f>
        <v>LD109</v>
      </c>
      <c r="D264" s="55" t="s">
        <v>42</v>
      </c>
      <c r="E264" s="143" t="s">
        <v>79</v>
      </c>
      <c r="F264" s="55" t="s">
        <v>107</v>
      </c>
      <c r="G264" s="55">
        <v>2045.0</v>
      </c>
      <c r="H264" s="55" t="s">
        <v>1131</v>
      </c>
      <c r="I264" s="55" t="s">
        <v>4024</v>
      </c>
      <c r="J264" s="55" t="s">
        <v>4025</v>
      </c>
      <c r="K264" s="55" t="s">
        <v>61</v>
      </c>
      <c r="L264" s="143" t="s">
        <v>317</v>
      </c>
      <c r="M264" s="55" t="s">
        <v>78</v>
      </c>
      <c r="N264" s="55" t="s">
        <v>79</v>
      </c>
      <c r="O264" s="55" t="s">
        <v>415</v>
      </c>
      <c r="P264" s="55" t="s">
        <v>110</v>
      </c>
      <c r="Q264" s="129" t="str">
        <f>IFERROR(__xludf.DUMMYFUNCTION("""COMPUTED_VALUE"""),"UnitedStates.Giaotiep.M54C41_XuBen.5018_MES_HuyLG_141123")</f>
        <v>UnitedStates.Giaotiep.M54C41_XuBen.5018_MES_HuyLG_141123</v>
      </c>
      <c r="R264" s="129" t="str">
        <f>IFERROR(__xludf.DUMMYFUNCTION("""COMPUTED_VALUE"""),"NEW_UnitedStates_2045_none_141123")</f>
        <v>NEW_UnitedStates_2045_none_141123</v>
      </c>
      <c r="S264" s="129" t="str">
        <f>IFERROR(__xludf.DUMMYFUNCTION("""COMPUTED_VALUE"""),"saletructiep_UnitedStates.M54C41.2045.Giaotiep_TATTPVN_LD109")</f>
        <v>saletructiep_UnitedStates.M54C41.2045.Giaotiep_TATTPVN_LD109</v>
      </c>
      <c r="T264" s="130" t="str">
        <f>IFERROR(__xludf.DUMMYFUNCTION("""COMPUTED_VALUE"""),"https://patadovietnam.edu.vn/hoaky_cvs/?utm_source=Facebook&amp;utm_medium=MES&amp;utm_term=NEW_UnitedStates_2045_none_141123&amp;utm_content=saletructiep_UnitedStates.M54C41.2045.Giaotiep_TATTPVN_LD109&amp;utm_campaign=UnitedStates.Giaotiep.M54C41_XuBen.5018_MES_HuyLG_1"&amp;"41123")</f>
        <v>https://patadovietnam.edu.vn/hoaky_cvs/?utm_source=Facebook&amp;utm_medium=MES&amp;utm_term=NEW_UnitedStates_2045_none_141123&amp;utm_content=saletructiep_UnitedStates.M54C41.2045.Giaotiep_TATTPVN_LD109&amp;utm_campaign=UnitedStates.Giaotiep.M54C41_XuBen.5018_MES_HuyLG_141123</v>
      </c>
      <c r="U264" s="133" t="s">
        <v>4032</v>
      </c>
    </row>
    <row r="265">
      <c r="A265" s="72">
        <v>45244.0</v>
      </c>
      <c r="B265" s="112" t="s">
        <v>4033</v>
      </c>
      <c r="C265" s="67" t="str">
        <f>IFERROR(__xludf.DUMMYFUNCTION("""COMPUTED_VALUE"""),"LD204")</f>
        <v>LD204</v>
      </c>
      <c r="D265" s="55" t="s">
        <v>42</v>
      </c>
      <c r="E265" s="143" t="s">
        <v>79</v>
      </c>
      <c r="F265" s="55" t="s">
        <v>133</v>
      </c>
      <c r="G265" s="55">
        <v>2045.0</v>
      </c>
      <c r="H265" s="55" t="s">
        <v>1131</v>
      </c>
      <c r="I265" s="55" t="s">
        <v>4038</v>
      </c>
      <c r="J265" s="55" t="s">
        <v>4039</v>
      </c>
      <c r="K265" s="55" t="s">
        <v>61</v>
      </c>
      <c r="L265" s="143" t="s">
        <v>317</v>
      </c>
      <c r="M265" s="55" t="s">
        <v>78</v>
      </c>
      <c r="N265" s="55" t="s">
        <v>79</v>
      </c>
      <c r="O265" s="55" t="s">
        <v>415</v>
      </c>
      <c r="P265" s="55" t="s">
        <v>110</v>
      </c>
      <c r="Q265" s="129" t="str">
        <f>IFERROR(__xludf.DUMMYFUNCTION("""COMPUTED_VALUE"""),"Japan.Giaotiep.M54C41_XuBen.5018_MES_HuyLG_141123")</f>
        <v>Japan.Giaotiep.M54C41_XuBen.5018_MES_HuyLG_141123</v>
      </c>
      <c r="R265" s="129" t="str">
        <f>IFERROR(__xludf.DUMMYFUNCTION("""COMPUTED_VALUE"""),"NEW_Japan_2045_none_141123")</f>
        <v>NEW_Japan_2045_none_141123</v>
      </c>
      <c r="S265" s="129" t="str">
        <f>IFERROR(__xludf.DUMMYFUNCTION("""COMPUTED_VALUE"""),"saletructiep_Japan.M54C41.2045.Giaotiep_TATTPVN_LD204")</f>
        <v>saletructiep_Japan.M54C41.2045.Giaotiep_TATTPVN_LD204</v>
      </c>
      <c r="T265" s="130" t="str">
        <f>IFERROR(__xludf.DUMMYFUNCTION("""COMPUTED_VALUE"""),"https://patadovietnam.edu.vn/hlg_jp_tattpvn/?utm_source=Facebook&amp;utm_medium=MES&amp;utm_term=NEW_Japan_2045_none_141123&amp;utm_content=saletructiep_Japan.M54C41.2045.Giaotiep_TATTPVN_LD204&amp;utm_campaign=Japan.Giaotiep.M54C41_XuBen.5018_MES_HuyLG_141123")</f>
        <v>https://patadovietnam.edu.vn/hlg_jp_tattpvn/?utm_source=Facebook&amp;utm_medium=MES&amp;utm_term=NEW_Japan_2045_none_141123&amp;utm_content=saletructiep_Japan.M54C41.2045.Giaotiep_TATTPVN_LD204&amp;utm_campaign=Japan.Giaotiep.M54C41_XuBen.5018_MES_HuyLG_141123</v>
      </c>
      <c r="U265" s="133" t="s">
        <v>4046</v>
      </c>
    </row>
    <row r="266">
      <c r="A266" s="72">
        <v>45244.0</v>
      </c>
      <c r="B266" s="75" t="s">
        <v>776</v>
      </c>
      <c r="C266" s="67" t="str">
        <f>IFERROR(__xludf.DUMMYFUNCTION("""COMPUTED_VALUE"""),"LD117")</f>
        <v>LD117</v>
      </c>
      <c r="D266" s="55" t="s">
        <v>42</v>
      </c>
      <c r="E266" s="143" t="s">
        <v>79</v>
      </c>
      <c r="F266" s="55" t="s">
        <v>614</v>
      </c>
      <c r="G266" s="55">
        <v>2040.0</v>
      </c>
      <c r="H266" s="55" t="s">
        <v>1131</v>
      </c>
      <c r="I266" s="55" t="s">
        <v>4047</v>
      </c>
      <c r="J266" s="55" t="s">
        <v>4048</v>
      </c>
      <c r="K266" s="55" t="s">
        <v>61</v>
      </c>
      <c r="L266" s="143" t="s">
        <v>317</v>
      </c>
      <c r="M266" s="55" t="s">
        <v>78</v>
      </c>
      <c r="N266" s="55" t="s">
        <v>79</v>
      </c>
      <c r="O266" s="55" t="s">
        <v>910</v>
      </c>
      <c r="P266" s="55" t="s">
        <v>110</v>
      </c>
      <c r="Q266" s="129" t="str">
        <f>IFERROR(__xludf.DUMMYFUNCTION("""COMPUTED_VALUE"""),"Korea.Giaotiep.M54C41_XuBen.5018_MES_HuyLG_141123")</f>
        <v>Korea.Giaotiep.M54C41_XuBen.5018_MES_HuyLG_141123</v>
      </c>
      <c r="R266" s="129" t="str">
        <f>IFERROR(__xludf.DUMMYFUNCTION("""COMPUTED_VALUE"""),"NEW_Korea_2040_none_141123")</f>
        <v>NEW_Korea_2040_none_141123</v>
      </c>
      <c r="S266" s="129" t="str">
        <f>IFERROR(__xludf.DUMMYFUNCTION("""COMPUTED_VALUE"""),"saletructiep_Korea.M54C41.2040.Giaotiep_TATTP_LD117")</f>
        <v>saletructiep_Korea.M54C41.2040.Giaotiep_TATTP_LD117</v>
      </c>
      <c r="T266" s="130" t="str">
        <f>IFERROR(__xludf.DUMMYFUNCTION("""COMPUTED_VALUE"""),"https://patadovietnam.edu.vn/korea_cvs/?utm_source=Facebook&amp;utm_medium=MES&amp;utm_term=NEW_Korea_2040_none_141123&amp;utm_content=saletructiep_Korea.M54C41.2040.Giaotiep_TATTP_LD117&amp;utm_campaign=Korea.Giaotiep.M54C41_XuBen.5018_MES_HuyLG_141123")</f>
        <v>https://patadovietnam.edu.vn/korea_cvs/?utm_source=Facebook&amp;utm_medium=MES&amp;utm_term=NEW_Korea_2040_none_141123&amp;utm_content=saletructiep_Korea.M54C41.2040.Giaotiep_TATTP_LD117&amp;utm_campaign=Korea.Giaotiep.M54C41_XuBen.5018_MES_HuyLG_141123</v>
      </c>
      <c r="U266" s="133" t="s">
        <v>4054</v>
      </c>
    </row>
    <row r="267">
      <c r="A267" s="72">
        <v>45247.0</v>
      </c>
      <c r="B267" s="60" t="s">
        <v>3461</v>
      </c>
      <c r="C267" s="67" t="str">
        <f>IFERROR(__xludf.DUMMYFUNCTION("""COMPUTED_VALUE"""),"LD154")</f>
        <v>LD154</v>
      </c>
      <c r="D267" s="55" t="s">
        <v>42</v>
      </c>
      <c r="E267" s="143" t="s">
        <v>79</v>
      </c>
      <c r="F267" s="55" t="s">
        <v>674</v>
      </c>
      <c r="G267" s="55">
        <v>2040.0</v>
      </c>
      <c r="H267" s="55" t="s">
        <v>1131</v>
      </c>
      <c r="I267" s="55" t="s">
        <v>4055</v>
      </c>
      <c r="J267" s="55" t="s">
        <v>4056</v>
      </c>
      <c r="K267" s="55" t="s">
        <v>61</v>
      </c>
      <c r="L267" s="143" t="s">
        <v>317</v>
      </c>
      <c r="M267" s="55" t="s">
        <v>78</v>
      </c>
      <c r="N267" s="55" t="s">
        <v>79</v>
      </c>
      <c r="O267" s="55" t="s">
        <v>910</v>
      </c>
      <c r="P267" s="55" t="s">
        <v>110</v>
      </c>
      <c r="Q267" s="129" t="str">
        <f>IFERROR(__xludf.DUMMYFUNCTION("""COMPUTED_VALUE"""),"Europe.Giaotiep.M54C41_XuBen.5018_MES_HuyLG_171123")</f>
        <v>Europe.Giaotiep.M54C41_XuBen.5018_MES_HuyLG_171123</v>
      </c>
      <c r="R267" s="129" t="str">
        <f>IFERROR(__xludf.DUMMYFUNCTION("""COMPUTED_VALUE"""),"NEW_Europe_2040_none_171123")</f>
        <v>NEW_Europe_2040_none_171123</v>
      </c>
      <c r="S267" s="129" t="str">
        <f>IFERROR(__xludf.DUMMYFUNCTION("""COMPUTED_VALUE"""),"saletructiep_Europe.M54C41.2040.Giaotiep_TATTP_LD154")</f>
        <v>saletructiep_Europe.M54C41.2040.Giaotiep_TATTP_LD154</v>
      </c>
      <c r="T267" s="130" t="str">
        <f>IFERROR(__xludf.DUMMYFUNCTION("""COMPUTED_VALUE"""),"https://patadovietnam.edu.vn/eu_hlg/?utm_source=Facebook&amp;utm_medium=MES&amp;utm_term=NEW_Europe_2040_none_171123&amp;utm_content=saletructiep_Europe.M54C41.2040.Giaotiep_TATTP_LD154&amp;utm_campaign=Europe.Giaotiep.M54C41_XuBen.5018_MES_HuyLG_171123")</f>
        <v>https://patadovietnam.edu.vn/eu_hlg/?utm_source=Facebook&amp;utm_medium=MES&amp;utm_term=NEW_Europe_2040_none_171123&amp;utm_content=saletructiep_Europe.M54C41.2040.Giaotiep_TATTP_LD154&amp;utm_campaign=Europe.Giaotiep.M54C41_XuBen.5018_MES_HuyLG_171123</v>
      </c>
      <c r="U267" s="193"/>
    </row>
    <row r="268">
      <c r="A268" s="72">
        <v>45247.0</v>
      </c>
      <c r="B268" s="61" t="s">
        <v>777</v>
      </c>
      <c r="C268" s="67" t="str">
        <f>IFERROR(__xludf.DUMMYFUNCTION("""COMPUTED_VALUE"""),"LD068")</f>
        <v>LD068</v>
      </c>
      <c r="D268" s="55" t="s">
        <v>42</v>
      </c>
      <c r="E268" s="143" t="s">
        <v>79</v>
      </c>
      <c r="F268" s="55" t="s">
        <v>164</v>
      </c>
      <c r="G268" s="55">
        <v>2040.0</v>
      </c>
      <c r="H268" s="55" t="s">
        <v>1131</v>
      </c>
      <c r="I268" s="55" t="s">
        <v>4063</v>
      </c>
      <c r="J268" s="55" t="s">
        <v>4064</v>
      </c>
      <c r="K268" s="55" t="s">
        <v>61</v>
      </c>
      <c r="L268" s="143" t="s">
        <v>317</v>
      </c>
      <c r="M268" s="55" t="s">
        <v>78</v>
      </c>
      <c r="N268" s="55" t="s">
        <v>79</v>
      </c>
      <c r="O268" s="55" t="s">
        <v>415</v>
      </c>
      <c r="P268" s="55" t="s">
        <v>110</v>
      </c>
      <c r="Q268" s="129" t="str">
        <f>IFERROR(__xludf.DUMMYFUNCTION("""COMPUTED_VALUE"""),"Taiwan.Giaotiep.M54C41_XuBen.5018_MES_HuyLG_171123")</f>
        <v>Taiwan.Giaotiep.M54C41_XuBen.5018_MES_HuyLG_171123</v>
      </c>
      <c r="R268" s="129" t="str">
        <f>IFERROR(__xludf.DUMMYFUNCTION("""COMPUTED_VALUE"""),"NEW_Taiwan_2040_none_171123")</f>
        <v>NEW_Taiwan_2040_none_171123</v>
      </c>
      <c r="S268" s="129" t="str">
        <f>IFERROR(__xludf.DUMMYFUNCTION("""COMPUTED_VALUE"""),"saletructiep_Taiwan.M54C41.2040.Giaotiep_TATTPVN_LD068")</f>
        <v>saletructiep_Taiwan.M54C41.2040.Giaotiep_TATTPVN_LD068</v>
      </c>
      <c r="T268" s="130" t="str">
        <f>IFERROR(__xludf.DUMMYFUNCTION("""COMPUTED_VALUE"""),"https://patadovietnam.edu.vn/khoa-hoc-giao-tiep/?utm_source=Facebook&amp;utm_medium=MES&amp;utm_term=NEW_Taiwan_2040_none_171123&amp;utm_content=saletructiep_Taiwan.M54C41.2040.Giaotiep_TATTPVN_LD068&amp;utm_campaign=Taiwan.Giaotiep.M54C41_XuBen.5018_MES_HuyLG_171123")</f>
        <v>https://patadovietnam.edu.vn/khoa-hoc-giao-tiep/?utm_source=Facebook&amp;utm_medium=MES&amp;utm_term=NEW_Taiwan_2040_none_171123&amp;utm_content=saletructiep_Taiwan.M54C41.2040.Giaotiep_TATTPVN_LD068&amp;utm_campaign=Taiwan.Giaotiep.M54C41_XuBen.5018_MES_HuyLG_171123</v>
      </c>
      <c r="U268" s="133" t="s">
        <v>4069</v>
      </c>
    </row>
    <row r="269">
      <c r="A269" s="72">
        <v>45247.0</v>
      </c>
      <c r="B269" s="75" t="s">
        <v>3999</v>
      </c>
      <c r="C269" s="67" t="str">
        <f>IFERROR(__xludf.DUMMYFUNCTION("""COMPUTED_VALUE"""),"LD208")</f>
        <v>LD208</v>
      </c>
      <c r="D269" s="55" t="s">
        <v>42</v>
      </c>
      <c r="E269" s="55" t="s">
        <v>69</v>
      </c>
      <c r="F269" s="55" t="s">
        <v>107</v>
      </c>
      <c r="G269" s="55">
        <v>2045.0</v>
      </c>
      <c r="H269" s="55" t="s">
        <v>1131</v>
      </c>
      <c r="I269" s="55" t="s">
        <v>4071</v>
      </c>
      <c r="J269" s="55" t="s">
        <v>4072</v>
      </c>
      <c r="K269" s="55" t="s">
        <v>61</v>
      </c>
      <c r="L269" s="143" t="s">
        <v>317</v>
      </c>
      <c r="M269" s="55" t="s">
        <v>78</v>
      </c>
      <c r="N269" s="55" t="s">
        <v>69</v>
      </c>
      <c r="O269" s="55" t="s">
        <v>415</v>
      </c>
      <c r="P269" s="55" t="s">
        <v>110</v>
      </c>
      <c r="Q269" s="129" t="str">
        <f>IFERROR(__xludf.DUMMYFUNCTION("""COMPUTED_VALUE"""),"UnitedStates.Giaotiep.M37C30_XuBen.5018_CVS_HuyLG_171123")</f>
        <v>UnitedStates.Giaotiep.M37C30_XuBen.5018_CVS_HuyLG_171123</v>
      </c>
      <c r="R269" s="129" t="str">
        <f>IFERROR(__xludf.DUMMYFUNCTION("""COMPUTED_VALUE"""),"NEW_UnitedStates_2045_none_171123")</f>
        <v>NEW_UnitedStates_2045_none_171123</v>
      </c>
      <c r="S269" s="129" t="str">
        <f>IFERROR(__xludf.DUMMYFUNCTION("""COMPUTED_VALUE"""),"saletructiep_UnitedStates.M37C30.2045.Giaotiep_TATTPVN_LD208")</f>
        <v>saletructiep_UnitedStates.M37C30.2045.Giaotiep_TATTPVN_LD208</v>
      </c>
      <c r="T269" s="130" t="str">
        <f>IFERROR(__xludf.DUMMYFUNCTION("""COMPUTED_VALUE"""),"https://patadovietnam.edu.vn/hlg_us_tattpvn/?utm_source=Facebook&amp;utm_medium=CVS&amp;utm_term=NEW_UnitedStates_2045_none_171123&amp;utm_content=saletructiep_UnitedStates.M37C30.2045.Giaotiep_TATTPVN_LD208&amp;utm_campaign=UnitedStates.Giaotiep.M37C30_XuBen.5018_CVS_Hu"&amp;"yLG_171123")</f>
        <v>https://patadovietnam.edu.vn/hlg_us_tattpvn/?utm_source=Facebook&amp;utm_medium=CVS&amp;utm_term=NEW_UnitedStates_2045_none_171123&amp;utm_content=saletructiep_UnitedStates.M37C30.2045.Giaotiep_TATTPVN_LD208&amp;utm_campaign=UnitedStates.Giaotiep.M37C30_XuBen.5018_CVS_HuyLG_171123</v>
      </c>
      <c r="U269" s="133" t="s">
        <v>4078</v>
      </c>
    </row>
    <row r="270">
      <c r="A270" s="72">
        <v>45251.0</v>
      </c>
      <c r="B270" s="61" t="s">
        <v>777</v>
      </c>
      <c r="C270" s="67" t="str">
        <f>IFERROR(__xludf.DUMMYFUNCTION("""COMPUTED_VALUE"""),"LD068")</f>
        <v>LD068</v>
      </c>
      <c r="D270" s="55" t="s">
        <v>42</v>
      </c>
      <c r="E270" s="143" t="s">
        <v>79</v>
      </c>
      <c r="F270" s="55" t="s">
        <v>164</v>
      </c>
      <c r="G270" s="55">
        <v>2040.0</v>
      </c>
      <c r="H270" s="55" t="s">
        <v>1131</v>
      </c>
      <c r="I270" s="55" t="s">
        <v>4081</v>
      </c>
      <c r="J270" s="55" t="s">
        <v>4082</v>
      </c>
      <c r="K270" s="55" t="s">
        <v>61</v>
      </c>
      <c r="L270" s="143" t="s">
        <v>317</v>
      </c>
      <c r="M270" s="55" t="s">
        <v>78</v>
      </c>
      <c r="N270" s="55" t="s">
        <v>79</v>
      </c>
      <c r="O270" s="55" t="s">
        <v>910</v>
      </c>
      <c r="P270" s="55" t="s">
        <v>110</v>
      </c>
      <c r="Q270" s="129" t="str">
        <f>IFERROR(__xludf.DUMMYFUNCTION("""COMPUTED_VALUE"""),"Taiwan.Giaotiep.M46C39_XuBen.5018_MES_HuyLG_211123")</f>
        <v>Taiwan.Giaotiep.M46C39_XuBen.5018_MES_HuyLG_211123</v>
      </c>
      <c r="R270" s="129" t="str">
        <f>IFERROR(__xludf.DUMMYFUNCTION("""COMPUTED_VALUE"""),"NEW_Taiwan_2040_none_211123")</f>
        <v>NEW_Taiwan_2040_none_211123</v>
      </c>
      <c r="S270" s="129" t="str">
        <f>IFERROR(__xludf.DUMMYFUNCTION("""COMPUTED_VALUE"""),"saletructiep_Taiwan.M46C39.2040.Giaotiep_TATTP_LD068")</f>
        <v>saletructiep_Taiwan.M46C39.2040.Giaotiep_TATTP_LD068</v>
      </c>
      <c r="T270" s="130" t="str">
        <f>IFERROR(__xludf.DUMMYFUNCTION("""COMPUTED_VALUE"""),"https://patadovietnam.edu.vn/khoa-hoc-giao-tiep/?utm_source=Facebook&amp;utm_medium=MES&amp;utm_term=NEW_Taiwan_2040_none_211123&amp;utm_content=saletructiep_Taiwan.M46C39.2040.Giaotiep_TATTP_LD068&amp;utm_campaign=Taiwan.Giaotiep.M46C39_XuBen.5018_MES_HuyLG_211123")</f>
        <v>https://patadovietnam.edu.vn/khoa-hoc-giao-tiep/?utm_source=Facebook&amp;utm_medium=MES&amp;utm_term=NEW_Taiwan_2040_none_211123&amp;utm_content=saletructiep_Taiwan.M46C39.2040.Giaotiep_TATTP_LD068&amp;utm_campaign=Taiwan.Giaotiep.M46C39_XuBen.5018_MES_HuyLG_211123</v>
      </c>
      <c r="U270" s="112" t="s">
        <v>4069</v>
      </c>
    </row>
    <row r="271">
      <c r="A271" s="72">
        <v>45251.0</v>
      </c>
      <c r="B271" s="112" t="s">
        <v>3989</v>
      </c>
      <c r="C271" s="67" t="str">
        <f>IFERROR(__xludf.DUMMYFUNCTION("""COMPUTED_VALUE"""),"LD205")</f>
        <v>LD205</v>
      </c>
      <c r="D271" s="55" t="s">
        <v>42</v>
      </c>
      <c r="E271" s="143" t="s">
        <v>79</v>
      </c>
      <c r="F271" s="55" t="s">
        <v>625</v>
      </c>
      <c r="G271" s="55">
        <v>2045.0</v>
      </c>
      <c r="H271" s="55" t="s">
        <v>1131</v>
      </c>
      <c r="I271" s="55" t="s">
        <v>4089</v>
      </c>
      <c r="J271" s="55" t="s">
        <v>4090</v>
      </c>
      <c r="K271" s="55" t="s">
        <v>61</v>
      </c>
      <c r="L271" s="143" t="s">
        <v>317</v>
      </c>
      <c r="M271" s="55" t="s">
        <v>78</v>
      </c>
      <c r="N271" s="55" t="s">
        <v>79</v>
      </c>
      <c r="O271" s="55" t="s">
        <v>3271</v>
      </c>
      <c r="P271" s="55" t="s">
        <v>110</v>
      </c>
      <c r="Q271" s="129" t="str">
        <f>IFERROR(__xludf.DUMMYFUNCTION("""COMPUTED_VALUE"""),"KoreaSouth.Giaotiep.M62C35_XuBen.5018_MES_HuyLG_211123")</f>
        <v>KoreaSouth.Giaotiep.M62C35_XuBen.5018_MES_HuyLG_211123</v>
      </c>
      <c r="R271" s="129" t="str">
        <f>IFERROR(__xludf.DUMMYFUNCTION("""COMPUTED_VALUE"""),"NEW_KoreaSouth_2045_none_211123")</f>
        <v>NEW_KoreaSouth_2045_none_211123</v>
      </c>
      <c r="S271" s="129" t="str">
        <f>IFERROR(__xludf.DUMMYFUNCTION("""COMPUTED_VALUE"""),"saletructiep_Korea.M62C35.2040.Giaotiep_PGPGTTA_LD205")</f>
        <v>saletructiep_Korea.M62C35.2040.Giaotiep_PGPGTTA_LD205</v>
      </c>
      <c r="T271" s="130" t="str">
        <f>IFERROR(__xludf.DUMMYFUNCTION("""COMPUTED_VALUE"""),"https://patadovietnam.edu.vn/hlg_kr_tattpvn/?utm_source=Facebook&amp;utm_medium=MES&amp;utm_term=NEW_KoreaSouth_2045_none_211123&amp;utm_content=saletructiep_Korea.M62C35.2040.Giaotiep_PGPGTTA_LD205&amp;utm_campaign=KoreaSouth.Giaotiep.M62C35_XuBen.5018_MES_HuyLG_211123")</f>
        <v>https://patadovietnam.edu.vn/hlg_kr_tattpvn/?utm_source=Facebook&amp;utm_medium=MES&amp;utm_term=NEW_KoreaSouth_2045_none_211123&amp;utm_content=saletructiep_Korea.M62C35.2040.Giaotiep_PGPGTTA_LD205&amp;utm_campaign=KoreaSouth.Giaotiep.M62C35_XuBen.5018_MES_HuyLG_211123</v>
      </c>
      <c r="U271" s="133" t="s">
        <v>4094</v>
      </c>
    </row>
    <row r="272">
      <c r="A272" s="72">
        <v>45251.0</v>
      </c>
      <c r="B272" s="60" t="s">
        <v>769</v>
      </c>
      <c r="C272" s="67" t="str">
        <f>IFERROR(__xludf.DUMMYFUNCTION("""COMPUTED_VALUE"""),"LD114")</f>
        <v>LD114</v>
      </c>
      <c r="D272" s="55" t="s">
        <v>42</v>
      </c>
      <c r="E272" s="143" t="s">
        <v>79</v>
      </c>
      <c r="F272" s="55" t="s">
        <v>539</v>
      </c>
      <c r="G272" s="55">
        <v>2040.0</v>
      </c>
      <c r="H272" s="55" t="s">
        <v>1131</v>
      </c>
      <c r="I272" s="55" t="s">
        <v>4097</v>
      </c>
      <c r="J272" s="55" t="s">
        <v>4098</v>
      </c>
      <c r="K272" s="55" t="s">
        <v>61</v>
      </c>
      <c r="L272" s="143" t="s">
        <v>317</v>
      </c>
      <c r="M272" s="55" t="s">
        <v>78</v>
      </c>
      <c r="N272" s="55" t="s">
        <v>79</v>
      </c>
      <c r="O272" s="55" t="s">
        <v>415</v>
      </c>
      <c r="P272" s="55" t="s">
        <v>110</v>
      </c>
      <c r="Q272" s="129" t="str">
        <f>IFERROR(__xludf.DUMMYFUNCTION("""COMPUTED_VALUE"""),"ALL.IETLS.M63C47_XuBen.5018_MES_HuyLG_211123")</f>
        <v>ALL.IETLS.M63C47_XuBen.5018_MES_HuyLG_211123</v>
      </c>
      <c r="R272" s="129" t="str">
        <f>IFERROR(__xludf.DUMMYFUNCTION("""COMPUTED_VALUE"""),"NEW_ALL_2040_none_211123")</f>
        <v>NEW_ALL_2040_none_211123</v>
      </c>
      <c r="S272" s="129" t="str">
        <f>IFERROR(__xludf.DUMMYFUNCTION("""COMPUTED_VALUE"""),"saletructiep_ALL.M63C47.2040.IELTS_TATTPVN_LD114")</f>
        <v>saletructiep_ALL.M63C47.2040.IELTS_TATTPVN_LD114</v>
      </c>
      <c r="T272" s="130" t="str">
        <f>IFERROR(__xludf.DUMMYFUNCTION("""COMPUTED_VALUE"""),"https://patadovietnam.edu.vn/ielts_cvs/?utm_source=Facebook&amp;utm_medium=MES&amp;utm_term=NEW_ALL_2040_none_211123&amp;utm_content=saletructiep_ALL.M63C47.2040.IELTS_TATTPVN_LD114&amp;utm_campaign=ALL.IETLS.M63C47_XuBen.5018_MES_HuyLG_211123")</f>
        <v>https://patadovietnam.edu.vn/ielts_cvs/?utm_source=Facebook&amp;utm_medium=MES&amp;utm_term=NEW_ALL_2040_none_211123&amp;utm_content=saletructiep_ALL.M63C47.2040.IELTS_TATTPVN_LD114&amp;utm_campaign=ALL.IETLS.M63C47_XuBen.5018_MES_HuyLG_211123</v>
      </c>
      <c r="U272" s="133" t="s">
        <v>4104</v>
      </c>
    </row>
    <row r="273">
      <c r="A273" s="72">
        <v>45251.0</v>
      </c>
      <c r="B273" s="61" t="s">
        <v>777</v>
      </c>
      <c r="C273" s="67" t="str">
        <f>IFERROR(__xludf.DUMMYFUNCTION("""COMPUTED_VALUE"""),"LD068")</f>
        <v>LD068</v>
      </c>
      <c r="D273" s="55" t="s">
        <v>42</v>
      </c>
      <c r="E273" s="143" t="s">
        <v>79</v>
      </c>
      <c r="F273" s="55" t="s">
        <v>539</v>
      </c>
      <c r="G273" s="55">
        <v>2040.0</v>
      </c>
      <c r="H273" s="55" t="s">
        <v>1131</v>
      </c>
      <c r="I273" s="55" t="s">
        <v>4105</v>
      </c>
      <c r="J273" s="55" t="s">
        <v>4106</v>
      </c>
      <c r="K273" s="55" t="s">
        <v>61</v>
      </c>
      <c r="L273" s="143" t="s">
        <v>317</v>
      </c>
      <c r="M273" s="55" t="s">
        <v>78</v>
      </c>
      <c r="N273" s="55" t="s">
        <v>79</v>
      </c>
      <c r="O273" s="55" t="s">
        <v>3271</v>
      </c>
      <c r="P273" s="55" t="s">
        <v>110</v>
      </c>
      <c r="Q273" s="129" t="str">
        <f>IFERROR(__xludf.DUMMYFUNCTION("""COMPUTED_VALUE"""),"ALL.Giaotiep.M64C48_XuBen.5018_MES_HuyLG_211123")</f>
        <v>ALL.Giaotiep.M64C48_XuBen.5018_MES_HuyLG_211123</v>
      </c>
      <c r="R273" s="129" t="str">
        <f>IFERROR(__xludf.DUMMYFUNCTION("""COMPUTED_VALUE"""),"NEW_ALL_2040_none_211123")</f>
        <v>NEW_ALL_2040_none_211123</v>
      </c>
      <c r="S273" s="129" t="str">
        <f>IFERROR(__xludf.DUMMYFUNCTION("""COMPUTED_VALUE"""),"saletructiep_ALL.M64C48.2040.Giaotiep_PGPGTTA_LD068")</f>
        <v>saletructiep_ALL.M64C48.2040.Giaotiep_PGPGTTA_LD068</v>
      </c>
      <c r="T273" s="130" t="str">
        <f>IFERROR(__xludf.DUMMYFUNCTION("""COMPUTED_VALUE"""),"https://patadovietnam.edu.vn/khoa-hoc-giao-tiep/?utm_source=Facebook&amp;utm_medium=MES&amp;utm_term=NEW_ALL_2040_none_211123&amp;utm_content=saletructiep_ALL.M64C48.2040.Giaotiep_PGPGTTA_LD068&amp;utm_campaign=ALL.Giaotiep.M64C48_XuBen.5018_MES_HuyLG_211123")</f>
        <v>https://patadovietnam.edu.vn/khoa-hoc-giao-tiep/?utm_source=Facebook&amp;utm_medium=MES&amp;utm_term=NEW_ALL_2040_none_211123&amp;utm_content=saletructiep_ALL.M64C48.2040.Giaotiep_PGPGTTA_LD068&amp;utm_campaign=ALL.Giaotiep.M64C48_XuBen.5018_MES_HuyLG_211123</v>
      </c>
      <c r="U273" s="133" t="s">
        <v>4112</v>
      </c>
    </row>
    <row r="274">
      <c r="A274" s="72">
        <v>45266.0</v>
      </c>
      <c r="B274" s="75" t="s">
        <v>3999</v>
      </c>
      <c r="C274" s="67" t="str">
        <f>IFERROR(__xludf.DUMMYFUNCTION("""COMPUTED_VALUE"""),"LD208")</f>
        <v>LD208</v>
      </c>
      <c r="D274" s="55" t="s">
        <v>42</v>
      </c>
      <c r="E274" s="55" t="s">
        <v>79</v>
      </c>
      <c r="F274" s="55" t="s">
        <v>107</v>
      </c>
      <c r="G274" s="55">
        <v>2040.0</v>
      </c>
      <c r="H274" s="55" t="s">
        <v>1131</v>
      </c>
      <c r="I274" s="55" t="s">
        <v>4115</v>
      </c>
      <c r="J274" s="55" t="s">
        <v>4117</v>
      </c>
      <c r="K274" s="55" t="s">
        <v>61</v>
      </c>
      <c r="L274" s="143" t="s">
        <v>317</v>
      </c>
      <c r="M274" s="55" t="s">
        <v>78</v>
      </c>
      <c r="N274" s="55" t="s">
        <v>79</v>
      </c>
      <c r="O274" s="55" t="s">
        <v>415</v>
      </c>
      <c r="P274" s="55" t="s">
        <v>110</v>
      </c>
      <c r="Q274" s="129" t="str">
        <f>IFERROR(__xludf.DUMMYFUNCTION("""COMPUTED_VALUE"""),"UnitedStates.Giaotiep.M77C57_XuBen.5018_MES_HuyLG_061223")</f>
        <v>UnitedStates.Giaotiep.M77C57_XuBen.5018_MES_HuyLG_061223</v>
      </c>
      <c r="R274" s="129" t="str">
        <f>IFERROR(__xludf.DUMMYFUNCTION("""COMPUTED_VALUE"""),"NEW_UnitedStates_2040_none_061223")</f>
        <v>NEW_UnitedStates_2040_none_061223</v>
      </c>
      <c r="S274" s="129" t="str">
        <f>IFERROR(__xludf.DUMMYFUNCTION("""COMPUTED_VALUE"""),"saletructiep_UnitedStates.M77C57.2040.Giaotiep_TATTPVN_LD208")</f>
        <v>saletructiep_UnitedStates.M77C57.2040.Giaotiep_TATTPVN_LD208</v>
      </c>
      <c r="T274" s="130" t="str">
        <f>IFERROR(__xludf.DUMMYFUNCTION("""COMPUTED_VALUE"""),"https://patadovietnam.edu.vn/hlg_us_tattpvn/?utm_source=Facebook&amp;utm_medium=MES&amp;utm_term=NEW_UnitedStates_2040_none_061223&amp;utm_content=saletructiep_UnitedStates.M77C57.2040.Giaotiep_TATTPVN_LD208&amp;utm_campaign=UnitedStates.Giaotiep.M77C57_XuBen.5018_MES_Hu"&amp;"yLG_061223")</f>
        <v>https://patadovietnam.edu.vn/hlg_us_tattpvn/?utm_source=Facebook&amp;utm_medium=MES&amp;utm_term=NEW_UnitedStates_2040_none_061223&amp;utm_content=saletructiep_UnitedStates.M77C57.2040.Giaotiep_TATTPVN_LD208&amp;utm_campaign=UnitedStates.Giaotiep.M77C57_XuBen.5018_MES_HuyLG_061223</v>
      </c>
      <c r="U274" s="133" t="s">
        <v>4125</v>
      </c>
    </row>
    <row r="275">
      <c r="A275" s="72">
        <v>45266.0</v>
      </c>
      <c r="B275" s="75" t="s">
        <v>4013</v>
      </c>
      <c r="C275" s="67" t="str">
        <f>IFERROR(__xludf.DUMMYFUNCTION("""COMPUTED_VALUE"""),"LD209")</f>
        <v>LD209</v>
      </c>
      <c r="D275" s="55" t="s">
        <v>42</v>
      </c>
      <c r="E275" s="55" t="s">
        <v>79</v>
      </c>
      <c r="F275" s="55" t="s">
        <v>674</v>
      </c>
      <c r="G275" s="55">
        <v>2040.0</v>
      </c>
      <c r="H275" s="55" t="s">
        <v>1131</v>
      </c>
      <c r="I275" s="55" t="s">
        <v>4130</v>
      </c>
      <c r="J275" s="55" t="s">
        <v>4131</v>
      </c>
      <c r="K275" s="55" t="s">
        <v>61</v>
      </c>
      <c r="L275" s="143" t="s">
        <v>317</v>
      </c>
      <c r="M275" s="55" t="s">
        <v>78</v>
      </c>
      <c r="N275" s="55" t="s">
        <v>79</v>
      </c>
      <c r="O275" s="55" t="s">
        <v>415</v>
      </c>
      <c r="P275" s="55" t="s">
        <v>110</v>
      </c>
      <c r="Q275" s="129" t="str">
        <f>IFERROR(__xludf.DUMMYFUNCTION("""COMPUTED_VALUE"""),"Europe.Giaotiep.M82C55_XuBen.5018_MES_HuyLG_061223")</f>
        <v>Europe.Giaotiep.M82C55_XuBen.5018_MES_HuyLG_061223</v>
      </c>
      <c r="R275" s="129" t="str">
        <f>IFERROR(__xludf.DUMMYFUNCTION("""COMPUTED_VALUE"""),"NEW_Europe_2040_none_061223")</f>
        <v>NEW_Europe_2040_none_061223</v>
      </c>
      <c r="S275" s="129" t="str">
        <f>IFERROR(__xludf.DUMMYFUNCTION("""COMPUTED_VALUE"""),"saletructiep_Europe.M82C55.2040.Giaotiep_TATTPVN_LD209")</f>
        <v>saletructiep_Europe.M82C55.2040.Giaotiep_TATTPVN_LD209</v>
      </c>
      <c r="T275" s="130" t="str">
        <f>IFERROR(__xludf.DUMMYFUNCTION("""COMPUTED_VALUE"""),"https://patadovietnam.edu.vn/hlg_eu_tattpvn/?utm_source=Facebook&amp;utm_medium=MES&amp;utm_term=NEW_Europe_2040_none_061223&amp;utm_content=saletructiep_Europe.M82C55.2040.Giaotiep_TATTPVN_LD209&amp;utm_campaign=Europe.Giaotiep.M82C55_XuBen.5018_MES_HuyLG_061223")</f>
        <v>https://patadovietnam.edu.vn/hlg_eu_tattpvn/?utm_source=Facebook&amp;utm_medium=MES&amp;utm_term=NEW_Europe_2040_none_061223&amp;utm_content=saletructiep_Europe.M82C55.2040.Giaotiep_TATTPVN_LD209&amp;utm_campaign=Europe.Giaotiep.M82C55_XuBen.5018_MES_HuyLG_061223</v>
      </c>
      <c r="U275" s="133" t="s">
        <v>4148</v>
      </c>
    </row>
    <row r="276">
      <c r="A276" s="72">
        <v>45266.0</v>
      </c>
      <c r="B276" s="61" t="s">
        <v>777</v>
      </c>
      <c r="C276" s="67" t="str">
        <f>IFERROR(__xludf.DUMMYFUNCTION("""COMPUTED_VALUE"""),"LD068")</f>
        <v>LD068</v>
      </c>
      <c r="D276" s="55" t="s">
        <v>42</v>
      </c>
      <c r="E276" s="55" t="s">
        <v>79</v>
      </c>
      <c r="F276" s="55" t="s">
        <v>129</v>
      </c>
      <c r="G276" s="55">
        <v>2040.0</v>
      </c>
      <c r="H276" s="55" t="s">
        <v>1131</v>
      </c>
      <c r="I276" s="55" t="s">
        <v>4179</v>
      </c>
      <c r="J276" s="55" t="s">
        <v>4181</v>
      </c>
      <c r="K276" s="55" t="s">
        <v>61</v>
      </c>
      <c r="L276" s="143" t="s">
        <v>317</v>
      </c>
      <c r="M276" s="55" t="s">
        <v>78</v>
      </c>
      <c r="N276" s="55" t="s">
        <v>79</v>
      </c>
      <c r="O276" s="55" t="s">
        <v>415</v>
      </c>
      <c r="P276" s="55" t="s">
        <v>110</v>
      </c>
      <c r="Q276" s="129" t="str">
        <f>IFERROR(__xludf.DUMMYFUNCTION("""COMPUTED_VALUE"""),"Australia.Giaotiep.M82C55_XuBen.5018_MES_HuyLG_061223")</f>
        <v>Australia.Giaotiep.M82C55_XuBen.5018_MES_HuyLG_061223</v>
      </c>
      <c r="R276" s="129" t="str">
        <f>IFERROR(__xludf.DUMMYFUNCTION("""COMPUTED_VALUE"""),"NEW_Australia_2040_none_061223")</f>
        <v>NEW_Australia_2040_none_061223</v>
      </c>
      <c r="S276" s="129" t="str">
        <f>IFERROR(__xludf.DUMMYFUNCTION("""COMPUTED_VALUE"""),"saletructiep_Australia.M82C55.2040.Giaotiep_TATTPVN_LD068")</f>
        <v>saletructiep_Australia.M82C55.2040.Giaotiep_TATTPVN_LD068</v>
      </c>
      <c r="T276" s="130" t="str">
        <f>IFERROR(__xludf.DUMMYFUNCTION("""COMPUTED_VALUE"""),"https://patadovietnam.edu.vn/khoa-hoc-giao-tiep/?utm_source=Facebook&amp;utm_medium=MES&amp;utm_term=NEW_Australia_2040_none_061223&amp;utm_content=saletructiep_Australia.M82C55.2040.Giaotiep_TATTPVN_LD068&amp;utm_campaign=Australia.Giaotiep.M82C55_XuBen.5018_MES_HuyLG_0"&amp;"61223")</f>
        <v>https://patadovietnam.edu.vn/khoa-hoc-giao-tiep/?utm_source=Facebook&amp;utm_medium=MES&amp;utm_term=NEW_Australia_2040_none_061223&amp;utm_content=saletructiep_Australia.M82C55.2040.Giaotiep_TATTPVN_LD068&amp;utm_campaign=Australia.Giaotiep.M82C55_XuBen.5018_MES_HuyLG_061223</v>
      </c>
      <c r="U276" s="133" t="s">
        <v>4245</v>
      </c>
    </row>
    <row r="277">
      <c r="A277" s="72">
        <v>45266.0</v>
      </c>
      <c r="B277" s="61" t="s">
        <v>777</v>
      </c>
      <c r="C277" s="67" t="str">
        <f>IFERROR(__xludf.DUMMYFUNCTION("""COMPUTED_VALUE"""),"LD068")</f>
        <v>LD068</v>
      </c>
      <c r="D277" s="55" t="s">
        <v>42</v>
      </c>
      <c r="E277" s="55" t="s">
        <v>79</v>
      </c>
      <c r="F277" s="55" t="s">
        <v>174</v>
      </c>
      <c r="G277" s="55">
        <v>2040.0</v>
      </c>
      <c r="H277" s="55" t="s">
        <v>1131</v>
      </c>
      <c r="I277" s="55" t="s">
        <v>4273</v>
      </c>
      <c r="J277" s="55" t="s">
        <v>4275</v>
      </c>
      <c r="K277" s="55" t="s">
        <v>61</v>
      </c>
      <c r="L277" s="143" t="s">
        <v>317</v>
      </c>
      <c r="M277" s="55" t="s">
        <v>78</v>
      </c>
      <c r="N277" s="55" t="s">
        <v>79</v>
      </c>
      <c r="O277" s="55" t="s">
        <v>415</v>
      </c>
      <c r="P277" s="55" t="s">
        <v>110</v>
      </c>
      <c r="Q277" s="129" t="str">
        <f>IFERROR(__xludf.DUMMYFUNCTION("""COMPUTED_VALUE"""),"Philippines.Giaotiep.M82C55_XuBen.5018_MES_HuyLG_061223")</f>
        <v>Philippines.Giaotiep.M82C55_XuBen.5018_MES_HuyLG_061223</v>
      </c>
      <c r="R277" s="129" t="str">
        <f>IFERROR(__xludf.DUMMYFUNCTION("""COMPUTED_VALUE"""),"NEW_Philippines_2040_none_061223")</f>
        <v>NEW_Philippines_2040_none_061223</v>
      </c>
      <c r="S277" s="129" t="str">
        <f>IFERROR(__xludf.DUMMYFUNCTION("""COMPUTED_VALUE"""),"saletructiep_Philippines.M82C55.2040.Giaotiep_TATTPVN_LD068")</f>
        <v>saletructiep_Philippines.M82C55.2040.Giaotiep_TATTPVN_LD068</v>
      </c>
      <c r="T277" s="130" t="str">
        <f>IFERROR(__xludf.DUMMYFUNCTION("""COMPUTED_VALUE"""),"https://patadovietnam.edu.vn/khoa-hoc-giao-tiep/?utm_source=Facebook&amp;utm_medium=MES&amp;utm_term=NEW_Philippines_2040_none_061223&amp;utm_content=saletructiep_Philippines.M82C55.2040.Giaotiep_TATTPVN_LD068&amp;utm_campaign=Philippines.Giaotiep.M82C55_XuBen.5018_MES_H"&amp;"uyLG_061223")</f>
        <v>https://patadovietnam.edu.vn/khoa-hoc-giao-tiep/?utm_source=Facebook&amp;utm_medium=MES&amp;utm_term=NEW_Philippines_2040_none_061223&amp;utm_content=saletructiep_Philippines.M82C55.2040.Giaotiep_TATTPVN_LD068&amp;utm_campaign=Philippines.Giaotiep.M82C55_XuBen.5018_MES_HuyLG_061223</v>
      </c>
      <c r="U277" s="133" t="s">
        <v>4464</v>
      </c>
    </row>
    <row r="278">
      <c r="A278" s="72">
        <v>45266.0</v>
      </c>
      <c r="B278" s="61" t="s">
        <v>777</v>
      </c>
      <c r="C278" s="67" t="str">
        <f>IFERROR(__xludf.DUMMYFUNCTION("""COMPUTED_VALUE"""),"LD068")</f>
        <v>LD068</v>
      </c>
      <c r="D278" s="55" t="s">
        <v>42</v>
      </c>
      <c r="E278" s="55" t="s">
        <v>79</v>
      </c>
      <c r="F278" s="55" t="s">
        <v>164</v>
      </c>
      <c r="G278" s="55">
        <v>2040.0</v>
      </c>
      <c r="H278" s="55" t="s">
        <v>1131</v>
      </c>
      <c r="I278" s="55" t="s">
        <v>4503</v>
      </c>
      <c r="J278" s="55" t="s">
        <v>4504</v>
      </c>
      <c r="K278" s="55" t="s">
        <v>61</v>
      </c>
      <c r="L278" s="143" t="s">
        <v>317</v>
      </c>
      <c r="M278" s="55" t="s">
        <v>78</v>
      </c>
      <c r="N278" s="55" t="s">
        <v>79</v>
      </c>
      <c r="O278" s="55" t="s">
        <v>415</v>
      </c>
      <c r="P278" s="55" t="s">
        <v>110</v>
      </c>
      <c r="Q278" s="129" t="str">
        <f>IFERROR(__xludf.DUMMYFUNCTION("""COMPUTED_VALUE"""),"Taiwan.Giaotiep.M82C55_XuBen.5018_MES_HuyLG_061223")</f>
        <v>Taiwan.Giaotiep.M82C55_XuBen.5018_MES_HuyLG_061223</v>
      </c>
      <c r="R278" s="129" t="str">
        <f>IFERROR(__xludf.DUMMYFUNCTION("""COMPUTED_VALUE"""),"NEW_Taiwan_2040_none_061223")</f>
        <v>NEW_Taiwan_2040_none_061223</v>
      </c>
      <c r="S278" s="129" t="str">
        <f>IFERROR(__xludf.DUMMYFUNCTION("""COMPUTED_VALUE"""),"saletructiep_Taiwan.M82C55.2040.Giaotiep_TATTPVN_LD068")</f>
        <v>saletructiep_Taiwan.M82C55.2040.Giaotiep_TATTPVN_LD068</v>
      </c>
      <c r="T278" s="130" t="str">
        <f>IFERROR(__xludf.DUMMYFUNCTION("""COMPUTED_VALUE"""),"https://patadovietnam.edu.vn/khoa-hoc-giao-tiep/?utm_source=Facebook&amp;utm_medium=MES&amp;utm_term=NEW_Taiwan_2040_none_061223&amp;utm_content=saletructiep_Taiwan.M82C55.2040.Giaotiep_TATTPVN_LD068&amp;utm_campaign=Taiwan.Giaotiep.M82C55_XuBen.5018_MES_HuyLG_061223")</f>
        <v>https://patadovietnam.edu.vn/khoa-hoc-giao-tiep/?utm_source=Facebook&amp;utm_medium=MES&amp;utm_term=NEW_Taiwan_2040_none_061223&amp;utm_content=saletructiep_Taiwan.M82C55.2040.Giaotiep_TATTPVN_LD068&amp;utm_campaign=Taiwan.Giaotiep.M82C55_XuBen.5018_MES_HuyLG_061223</v>
      </c>
      <c r="U278" s="133" t="s">
        <v>4565</v>
      </c>
    </row>
    <row r="279">
      <c r="A279" s="72">
        <v>45356.0</v>
      </c>
      <c r="B279" s="75" t="s">
        <v>776</v>
      </c>
      <c r="C279" s="67" t="str">
        <f>IFERROR(__xludf.DUMMYFUNCTION("""COMPUTED_VALUE"""),"LD117")</f>
        <v>LD117</v>
      </c>
      <c r="D279" s="55" t="s">
        <v>42</v>
      </c>
      <c r="E279" s="143" t="s">
        <v>79</v>
      </c>
      <c r="F279" s="55" t="s">
        <v>625</v>
      </c>
      <c r="G279" s="55">
        <v>2040.0</v>
      </c>
      <c r="H279" s="55" t="s">
        <v>1131</v>
      </c>
      <c r="I279" s="55" t="s">
        <v>4579</v>
      </c>
      <c r="J279" s="55" t="s">
        <v>4580</v>
      </c>
      <c r="K279" s="55" t="s">
        <v>61</v>
      </c>
      <c r="L279" s="143" t="s">
        <v>317</v>
      </c>
      <c r="M279" s="55" t="s">
        <v>78</v>
      </c>
      <c r="N279" s="55" t="s">
        <v>79</v>
      </c>
      <c r="O279" s="55" t="s">
        <v>415</v>
      </c>
      <c r="P279" s="55" t="s">
        <v>110</v>
      </c>
      <c r="Q279" s="129" t="str">
        <f>IFERROR(__xludf.DUMMYFUNCTION("""COMPUTED_VALUE"""),"KoreaSouth.Giaotiep.M64C48_XuBen.5018_MES_HuyLG_050324")</f>
        <v>KoreaSouth.Giaotiep.M64C48_XuBen.5018_MES_HuyLG_050324</v>
      </c>
      <c r="R279" s="129" t="str">
        <f>IFERROR(__xludf.DUMMYFUNCTION("""COMPUTED_VALUE"""),"NEW_KoreaSouth_2040_none_050324")</f>
        <v>NEW_KoreaSouth_2040_none_050324</v>
      </c>
      <c r="S279" s="129" t="str">
        <f>IFERROR(__xludf.DUMMYFUNCTION("""COMPUTED_VALUE"""),"saletructiep_KoreaSouth.M64C48.2040.Giaotiep_TATTPVN_LD117")</f>
        <v>saletructiep_KoreaSouth.M64C48.2040.Giaotiep_TATTPVN_LD117</v>
      </c>
      <c r="T279" s="130" t="str">
        <f>IFERROR(__xludf.DUMMYFUNCTION("""COMPUTED_VALUE"""),"https://patadovietnam.edu.vn/korea_cvs/?utm_source=Facebook&amp;utm_medium=MES&amp;utm_term=NEW_KoreaSouth_2040_none_050324&amp;utm_content=saletructiep_KoreaSouth.M64C48.2040.Giaotiep_TATTPVN_LD117&amp;utm_campaign=KoreaSouth.Giaotiep.M64C48_XuBen.5018_MES_HuyLG_050324")</f>
        <v>https://patadovietnam.edu.vn/korea_cvs/?utm_source=Facebook&amp;utm_medium=MES&amp;utm_term=NEW_KoreaSouth_2040_none_050324&amp;utm_content=saletructiep_KoreaSouth.M64C48.2040.Giaotiep_TATTPVN_LD117&amp;utm_campaign=KoreaSouth.Giaotiep.M64C48_XuBen.5018_MES_HuyLG_050324</v>
      </c>
      <c r="U279" s="112" t="s">
        <v>4583</v>
      </c>
    </row>
    <row r="280">
      <c r="A280" s="72">
        <v>45383.0</v>
      </c>
      <c r="B280" s="75" t="s">
        <v>3999</v>
      </c>
      <c r="C280" s="67" t="str">
        <f>IFERROR(__xludf.DUMMYFUNCTION("""COMPUTED_VALUE"""),"LD208")</f>
        <v>LD208</v>
      </c>
      <c r="D280" s="55" t="s">
        <v>42</v>
      </c>
      <c r="E280" s="143" t="s">
        <v>79</v>
      </c>
      <c r="F280" s="55" t="s">
        <v>107</v>
      </c>
      <c r="G280" s="55">
        <v>2040.0</v>
      </c>
      <c r="H280" s="55" t="s">
        <v>1131</v>
      </c>
      <c r="I280" s="55" t="s">
        <v>4584</v>
      </c>
      <c r="J280" s="55" t="s">
        <v>4586</v>
      </c>
      <c r="K280" s="55" t="s">
        <v>61</v>
      </c>
      <c r="L280" s="143" t="s">
        <v>317</v>
      </c>
      <c r="M280" s="55" t="s">
        <v>78</v>
      </c>
      <c r="N280" s="55" t="s">
        <v>79</v>
      </c>
      <c r="O280" s="55" t="s">
        <v>415</v>
      </c>
      <c r="P280" s="55" t="s">
        <v>110</v>
      </c>
      <c r="Q280" s="129" t="str">
        <f>IFERROR(__xludf.DUMMYFUNCTION("""COMPUTED_VALUE"""),"UnitedStates.Giaotiep.M197C164_XuBen.5018_MES_HuyLG_010424")</f>
        <v>UnitedStates.Giaotiep.M197C164_XuBen.5018_MES_HuyLG_010424</v>
      </c>
      <c r="R280" s="129" t="str">
        <f>IFERROR(__xludf.DUMMYFUNCTION("""COMPUTED_VALUE"""),"NEW_UnitedStates_2040_none_010424")</f>
        <v>NEW_UnitedStates_2040_none_010424</v>
      </c>
      <c r="S280" s="129" t="str">
        <f>IFERROR(__xludf.DUMMYFUNCTION("""COMPUTED_VALUE"""),"saletructiep_UnitedStates.M197C164.2040.Giaotiep_TATTPVN_LD208")</f>
        <v>saletructiep_UnitedStates.M197C164.2040.Giaotiep_TATTPVN_LD208</v>
      </c>
      <c r="T280" s="130" t="str">
        <f>IFERROR(__xludf.DUMMYFUNCTION("""COMPUTED_VALUE"""),"https://patadovietnam.edu.vn/hlg_us_tattpvn/?utm_source=Facebook&amp;utm_medium=MES&amp;utm_term=NEW_UnitedStates_2040_none_010424&amp;utm_content=saletructiep_UnitedStates.M197C164.2040.Giaotiep_TATTPVN_LD208&amp;utm_campaign=UnitedStates.Giaotiep.M197C164_XuBen.5018_ME"&amp;"S_HuyLG_010424")</f>
        <v>https://patadovietnam.edu.vn/hlg_us_tattpvn/?utm_source=Facebook&amp;utm_medium=MES&amp;utm_term=NEW_UnitedStates_2040_none_010424&amp;utm_content=saletructiep_UnitedStates.M197C164.2040.Giaotiep_TATTPVN_LD208&amp;utm_campaign=UnitedStates.Giaotiep.M197C164_XuBen.5018_MES_HuyLG_010424</v>
      </c>
      <c r="U280" s="112" t="s">
        <v>4588</v>
      </c>
    </row>
    <row r="281">
      <c r="A281" s="72">
        <v>45383.0</v>
      </c>
      <c r="B281" s="112" t="s">
        <v>4033</v>
      </c>
      <c r="C281" s="67" t="str">
        <f>IFERROR(__xludf.DUMMYFUNCTION("""COMPUTED_VALUE"""),"LD204")</f>
        <v>LD204</v>
      </c>
      <c r="D281" s="55" t="s">
        <v>42</v>
      </c>
      <c r="E281" s="143" t="s">
        <v>79</v>
      </c>
      <c r="F281" s="55" t="s">
        <v>133</v>
      </c>
      <c r="G281" s="55">
        <v>2040.0</v>
      </c>
      <c r="H281" s="55" t="s">
        <v>1131</v>
      </c>
      <c r="I281" s="55" t="s">
        <v>4593</v>
      </c>
      <c r="J281" s="55" t="s">
        <v>4594</v>
      </c>
      <c r="K281" s="55" t="s">
        <v>61</v>
      </c>
      <c r="L281" s="143" t="s">
        <v>317</v>
      </c>
      <c r="M281" s="55" t="s">
        <v>78</v>
      </c>
      <c r="N281" s="55" t="s">
        <v>79</v>
      </c>
      <c r="O281" s="55" t="s">
        <v>415</v>
      </c>
      <c r="P281" s="55" t="s">
        <v>110</v>
      </c>
      <c r="Q281" s="129" t="str">
        <f>IFERROR(__xludf.DUMMYFUNCTION("""COMPUTED_VALUE"""),"Japan.Giaotiep.M197C164_XuBen.5018_MES_HuyLG_010424")</f>
        <v>Japan.Giaotiep.M197C164_XuBen.5018_MES_HuyLG_010424</v>
      </c>
      <c r="R281" s="129" t="str">
        <f>IFERROR(__xludf.DUMMYFUNCTION("""COMPUTED_VALUE"""),"NEW_Japan_2040_none_010424")</f>
        <v>NEW_Japan_2040_none_010424</v>
      </c>
      <c r="S281" s="129" t="str">
        <f>IFERROR(__xludf.DUMMYFUNCTION("""COMPUTED_VALUE"""),"saletructiep_Japan.M197C164.2040.Giaotiep_TATTPVN_LD204")</f>
        <v>saletructiep_Japan.M197C164.2040.Giaotiep_TATTPVN_LD204</v>
      </c>
      <c r="T281" s="130" t="str">
        <f>IFERROR(__xludf.DUMMYFUNCTION("""COMPUTED_VALUE"""),"https://patadovietnam.edu.vn/hlg_jp_tattpvn/?utm_source=Facebook&amp;utm_medium=MES&amp;utm_term=NEW_Japan_2040_none_010424&amp;utm_content=saletructiep_Japan.M197C164.2040.Giaotiep_TATTPVN_LD204&amp;utm_campaign=Japan.Giaotiep.M197C164_XuBen.5018_MES_HuyLG_010424")</f>
        <v>https://patadovietnam.edu.vn/hlg_jp_tattpvn/?utm_source=Facebook&amp;utm_medium=MES&amp;utm_term=NEW_Japan_2040_none_010424&amp;utm_content=saletructiep_Japan.M197C164.2040.Giaotiep_TATTPVN_LD204&amp;utm_campaign=Japan.Giaotiep.M197C164_XuBen.5018_MES_HuyLG_010424</v>
      </c>
      <c r="U281" s="112" t="s">
        <v>4597</v>
      </c>
    </row>
    <row r="282">
      <c r="A282" s="72">
        <v>45383.0</v>
      </c>
      <c r="B282" s="75" t="s">
        <v>4013</v>
      </c>
      <c r="C282" s="67" t="str">
        <f>IFERROR(__xludf.DUMMYFUNCTION("""COMPUTED_VALUE"""),"LD209")</f>
        <v>LD209</v>
      </c>
      <c r="D282" s="55" t="s">
        <v>42</v>
      </c>
      <c r="E282" s="143" t="s">
        <v>79</v>
      </c>
      <c r="F282" s="55" t="s">
        <v>674</v>
      </c>
      <c r="G282" s="55">
        <v>2040.0</v>
      </c>
      <c r="H282" s="55" t="s">
        <v>1131</v>
      </c>
      <c r="I282" s="55" t="s">
        <v>4601</v>
      </c>
      <c r="J282" s="55" t="s">
        <v>4602</v>
      </c>
      <c r="K282" s="55" t="s">
        <v>61</v>
      </c>
      <c r="L282" s="143" t="s">
        <v>317</v>
      </c>
      <c r="M282" s="55" t="s">
        <v>78</v>
      </c>
      <c r="N282" s="55" t="s">
        <v>79</v>
      </c>
      <c r="O282" s="55" t="s">
        <v>415</v>
      </c>
      <c r="P282" s="55" t="s">
        <v>110</v>
      </c>
      <c r="Q282" s="129" t="str">
        <f>IFERROR(__xludf.DUMMYFUNCTION("""COMPUTED_VALUE"""),"Europe.Giaotiep.M197C164_XuBen.5018_MES_HuyLG_010424")</f>
        <v>Europe.Giaotiep.M197C164_XuBen.5018_MES_HuyLG_010424</v>
      </c>
      <c r="R282" s="129" t="str">
        <f>IFERROR(__xludf.DUMMYFUNCTION("""COMPUTED_VALUE"""),"NEW_Europe_2040_none_010424")</f>
        <v>NEW_Europe_2040_none_010424</v>
      </c>
      <c r="S282" s="129" t="str">
        <f>IFERROR(__xludf.DUMMYFUNCTION("""COMPUTED_VALUE"""),"saletructiep_Europe.M197C164.2040.Giaotiep_TATTPVN_LD209")</f>
        <v>saletructiep_Europe.M197C164.2040.Giaotiep_TATTPVN_LD209</v>
      </c>
      <c r="T282" s="130" t="str">
        <f>IFERROR(__xludf.DUMMYFUNCTION("""COMPUTED_VALUE"""),"https://patadovietnam.edu.vn/hlg_eu_tattpvn/?utm_source=Facebook&amp;utm_medium=MES&amp;utm_term=NEW_Europe_2040_none_010424&amp;utm_content=saletructiep_Europe.M197C164.2040.Giaotiep_TATTPVN_LD209&amp;utm_campaign=Europe.Giaotiep.M197C164_XuBen.5018_MES_HuyLG_010424")</f>
        <v>https://patadovietnam.edu.vn/hlg_eu_tattpvn/?utm_source=Facebook&amp;utm_medium=MES&amp;utm_term=NEW_Europe_2040_none_010424&amp;utm_content=saletructiep_Europe.M197C164.2040.Giaotiep_TATTPVN_LD209&amp;utm_campaign=Europe.Giaotiep.M197C164_XuBen.5018_MES_HuyLG_010424</v>
      </c>
      <c r="U282" s="112" t="s">
        <v>4606</v>
      </c>
    </row>
    <row r="283">
      <c r="A283" s="72">
        <v>45385.0</v>
      </c>
      <c r="B283" s="75" t="s">
        <v>776</v>
      </c>
      <c r="C283" s="67" t="str">
        <f>IFERROR(__xludf.DUMMYFUNCTION("""COMPUTED_VALUE"""),"LD117")</f>
        <v>LD117</v>
      </c>
      <c r="D283" s="55" t="s">
        <v>42</v>
      </c>
      <c r="E283" s="55" t="s">
        <v>69</v>
      </c>
      <c r="F283" s="55" t="s">
        <v>625</v>
      </c>
      <c r="G283" s="55">
        <v>2040.0</v>
      </c>
      <c r="H283" s="55" t="s">
        <v>1131</v>
      </c>
      <c r="I283" s="55" t="s">
        <v>4609</v>
      </c>
      <c r="J283" s="55" t="s">
        <v>4610</v>
      </c>
      <c r="K283" s="55" t="s">
        <v>61</v>
      </c>
      <c r="L283" s="143" t="s">
        <v>317</v>
      </c>
      <c r="M283" s="55" t="s">
        <v>78</v>
      </c>
      <c r="N283" s="55" t="s">
        <v>69</v>
      </c>
      <c r="O283" s="55" t="s">
        <v>910</v>
      </c>
      <c r="P283" s="55" t="s">
        <v>110</v>
      </c>
      <c r="Q283" s="129" t="str">
        <f>IFERROR(__xludf.DUMMYFUNCTION("""COMPUTED_VALUE"""),"KoreaSouth.Giaotiep.M197C164_XuBen.5018_CVS_HuyLG_030424")</f>
        <v>KoreaSouth.Giaotiep.M197C164_XuBen.5018_CVS_HuyLG_030424</v>
      </c>
      <c r="R283" s="129" t="str">
        <f>IFERROR(__xludf.DUMMYFUNCTION("""COMPUTED_VALUE"""),"NEW_KoreaSouth_2040_none_030424")</f>
        <v>NEW_KoreaSouth_2040_none_030424</v>
      </c>
      <c r="S283" s="129" t="str">
        <f>IFERROR(__xludf.DUMMYFUNCTION("""COMPUTED_VALUE"""),"saletructiep_KoreaSouth.M197C164.2040.Giaotiep_TATTP_LD117")</f>
        <v>saletructiep_KoreaSouth.M197C164.2040.Giaotiep_TATTP_LD117</v>
      </c>
      <c r="T283" s="130" t="str">
        <f>IFERROR(__xludf.DUMMYFUNCTION("""COMPUTED_VALUE"""),"https://patadovietnam.edu.vn/korea_cvs/?utm_source=Facebook&amp;utm_medium=CVS&amp;utm_term=NEW_KoreaSouth_2040_none_030424&amp;utm_content=saletructiep_KoreaSouth.M197C164.2040.Giaotiep_TATTP_LD117&amp;utm_campaign=KoreaSouth.Giaotiep.M197C164_XuBen.5018_CVS_HuyLG_03042"&amp;"4")</f>
        <v>https://patadovietnam.edu.vn/korea_cvs/?utm_source=Facebook&amp;utm_medium=CVS&amp;utm_term=NEW_KoreaSouth_2040_none_030424&amp;utm_content=saletructiep_KoreaSouth.M197C164.2040.Giaotiep_TATTP_LD117&amp;utm_campaign=KoreaSouth.Giaotiep.M197C164_XuBen.5018_CVS_HuyLG_030424</v>
      </c>
      <c r="U283" s="112" t="s">
        <v>4630</v>
      </c>
    </row>
    <row r="284">
      <c r="A284" s="72">
        <v>45393.0</v>
      </c>
      <c r="B284" s="112" t="s">
        <v>4632</v>
      </c>
      <c r="C284" s="67" t="str">
        <f>IFERROR(__xludf.DUMMYFUNCTION("""COMPUTED_VALUE"""),"LD223")</f>
        <v>LD223</v>
      </c>
      <c r="D284" s="55" t="s">
        <v>42</v>
      </c>
      <c r="E284" s="143" t="s">
        <v>79</v>
      </c>
      <c r="F284" s="55" t="s">
        <v>199</v>
      </c>
      <c r="G284" s="55">
        <v>1830.0</v>
      </c>
      <c r="H284" s="55" t="s">
        <v>1131</v>
      </c>
      <c r="I284" s="95" t="s">
        <v>4635</v>
      </c>
      <c r="J284" s="95" t="s">
        <v>4636</v>
      </c>
      <c r="K284" s="55" t="s">
        <v>61</v>
      </c>
      <c r="L284" s="143" t="s">
        <v>317</v>
      </c>
      <c r="M284" s="55" t="s">
        <v>78</v>
      </c>
      <c r="N284" s="55" t="s">
        <v>79</v>
      </c>
      <c r="O284" s="55" t="s">
        <v>910</v>
      </c>
      <c r="P284" s="55" t="s">
        <v>110</v>
      </c>
      <c r="Q284" s="129" t="str">
        <f>IFERROR(__xludf.DUMMYFUNCTION("""COMPUTED_VALUE"""),"Vietnam.Congso.MB3CB2_XuBen.5018_MES_HuyLG_110424")</f>
        <v>Vietnam.Congso.MB3CB2_XuBen.5018_MES_HuyLG_110424</v>
      </c>
      <c r="R284" s="129" t="str">
        <f>IFERROR(__xludf.DUMMYFUNCTION("""COMPUTED_VALUE"""),"NEW_Vietnam_1830_none_110424")</f>
        <v>NEW_Vietnam_1830_none_110424</v>
      </c>
      <c r="S284" s="129" t="str">
        <f>IFERROR(__xludf.DUMMYFUNCTION("""COMPUTED_VALUE"""),"saletructiep_Vietnam.Congso.MB3CB2.1830_TATTP_LD223")</f>
        <v>saletructiep_Vietnam.Congso.MB3CB2.1830_TATTP_LD223</v>
      </c>
      <c r="T284" s="130" t="str">
        <f>IFERROR(__xludf.DUMMYFUNCTION("""COMPUTED_VALUE"""),"https://patadovietnam.edu.vn/be_hlg/?utm_source=Facebook&amp;utm_medium=MES&amp;utm_term=NEW_Vietnam_1830_none_110424&amp;utm_content=saletructiep_Vietnam.Congso.MB3CB2.1830_TATTP_LD223&amp;utm_campaign=Vietnam.Congso.MB3CB2_XuBen.5018_MES_HuyLG_110424")</f>
        <v>https://patadovietnam.edu.vn/be_hlg/?utm_source=Facebook&amp;utm_medium=MES&amp;utm_term=NEW_Vietnam_1830_none_110424&amp;utm_content=saletructiep_Vietnam.Congso.MB3CB2.1830_TATTP_LD223&amp;utm_campaign=Vietnam.Congso.MB3CB2_XuBen.5018_MES_HuyLG_110424</v>
      </c>
      <c r="U284" s="112" t="s">
        <v>4642</v>
      </c>
    </row>
    <row r="285">
      <c r="A285" s="72">
        <v>45393.0</v>
      </c>
      <c r="B285" s="112" t="s">
        <v>4632</v>
      </c>
      <c r="C285" s="67" t="str">
        <f>IFERROR(__xludf.DUMMYFUNCTION("""COMPUTED_VALUE"""),"LD223")</f>
        <v>LD223</v>
      </c>
      <c r="D285" s="55" t="s">
        <v>42</v>
      </c>
      <c r="E285" s="143" t="s">
        <v>79</v>
      </c>
      <c r="F285" s="55" t="s">
        <v>199</v>
      </c>
      <c r="G285" s="55">
        <v>3145.0</v>
      </c>
      <c r="H285" s="55" t="s">
        <v>1131</v>
      </c>
      <c r="I285" s="95" t="s">
        <v>4645</v>
      </c>
      <c r="J285" s="95" t="s">
        <v>4645</v>
      </c>
      <c r="K285" s="55" t="s">
        <v>61</v>
      </c>
      <c r="L285" s="143" t="s">
        <v>317</v>
      </c>
      <c r="M285" s="55" t="s">
        <v>78</v>
      </c>
      <c r="N285" s="55" t="s">
        <v>79</v>
      </c>
      <c r="O285" s="55" t="s">
        <v>910</v>
      </c>
      <c r="P285" s="55" t="s">
        <v>110</v>
      </c>
      <c r="Q285" s="129" t="str">
        <f>IFERROR(__xludf.DUMMYFUNCTION("""COMPUTED_VALUE"""),"Vietnam.Congso.MB3CB2.3145_XuBen.5018_MES_HuyLG_110424")</f>
        <v>Vietnam.Congso.MB3CB2.3145_XuBen.5018_MES_HuyLG_110424</v>
      </c>
      <c r="R285" s="129" t="str">
        <f>IFERROR(__xludf.DUMMYFUNCTION("""COMPUTED_VALUE"""),"NEW_Vietnam_3145_none_110424")</f>
        <v>NEW_Vietnam_3145_none_110424</v>
      </c>
      <c r="S285" s="129" t="str">
        <f>IFERROR(__xludf.DUMMYFUNCTION("""COMPUTED_VALUE"""),"saletructiep_Vietnam.Congso.MB3CB2.3145_TATTP_LD223")</f>
        <v>saletructiep_Vietnam.Congso.MB3CB2.3145_TATTP_LD223</v>
      </c>
      <c r="T285" s="130" t="str">
        <f>IFERROR(__xludf.DUMMYFUNCTION("""COMPUTED_VALUE"""),"https://patadovietnam.edu.vn/be_hlg/?utm_source=Facebook&amp;utm_medium=MES&amp;utm_term=NEW_Vietnam_3145_none_110424&amp;utm_content=saletructiep_Vietnam.Congso.MB3CB2.3145_TATTP_LD223&amp;utm_campaign=Vietnam.Congso.MB3CB2.3145_XuBen.5018_MES_HuyLG_110424")</f>
        <v>https://patadovietnam.edu.vn/be_hlg/?utm_source=Facebook&amp;utm_medium=MES&amp;utm_term=NEW_Vietnam_3145_none_110424&amp;utm_content=saletructiep_Vietnam.Congso.MB3CB2.3145_TATTP_LD223&amp;utm_campaign=Vietnam.Congso.MB3CB2.3145_XuBen.5018_MES_HuyLG_110424</v>
      </c>
      <c r="U285" s="112" t="s">
        <v>4650</v>
      </c>
    </row>
    <row r="286">
      <c r="A286" s="72">
        <v>45393.0</v>
      </c>
      <c r="B286" s="112" t="s">
        <v>4632</v>
      </c>
      <c r="C286" s="67" t="str">
        <f>IFERROR(__xludf.DUMMYFUNCTION("""COMPUTED_VALUE"""),"LD223")</f>
        <v>LD223</v>
      </c>
      <c r="D286" s="55" t="s">
        <v>42</v>
      </c>
      <c r="E286" s="143" t="s">
        <v>79</v>
      </c>
      <c r="F286" s="55" t="s">
        <v>46</v>
      </c>
      <c r="G286" s="55">
        <v>1830.0</v>
      </c>
      <c r="H286" s="55" t="s">
        <v>1131</v>
      </c>
      <c r="I286" s="55" t="s">
        <v>4655</v>
      </c>
      <c r="J286" s="55" t="s">
        <v>4656</v>
      </c>
      <c r="K286" s="55" t="s">
        <v>61</v>
      </c>
      <c r="L286" s="143" t="s">
        <v>317</v>
      </c>
      <c r="M286" s="55" t="s">
        <v>78</v>
      </c>
      <c r="N286" s="55" t="s">
        <v>79</v>
      </c>
      <c r="O286" s="55" t="s">
        <v>910</v>
      </c>
      <c r="P286" s="55" t="s">
        <v>110</v>
      </c>
      <c r="Q286" s="129" t="str">
        <f>IFERROR(__xludf.DUMMYFUNCTION("""COMPUTED_VALUE"""),"HN.Congso.MB4CB1_XuBen.5018_MES_HuyLG_110424")</f>
        <v>HN.Congso.MB4CB1_XuBen.5018_MES_HuyLG_110424</v>
      </c>
      <c r="R286" s="129" t="str">
        <f>IFERROR(__xludf.DUMMYFUNCTION("""COMPUTED_VALUE"""),"NEW_HN_1830_none_110424")</f>
        <v>NEW_HN_1830_none_110424</v>
      </c>
      <c r="S286" s="129" t="str">
        <f>IFERROR(__xludf.DUMMYFUNCTION("""COMPUTED_VALUE"""),"saletructiep_HN.Congso.MB4CB1.1830_TATTP_LD223")</f>
        <v>saletructiep_HN.Congso.MB4CB1.1830_TATTP_LD223</v>
      </c>
      <c r="T286" s="130" t="str">
        <f>IFERROR(__xludf.DUMMYFUNCTION("""COMPUTED_VALUE"""),"https://patadovietnam.edu.vn/be_hlg/?utm_source=Facebook&amp;utm_medium=MES&amp;utm_term=NEW_HN_1830_none_110424&amp;utm_content=saletructiep_HN.Congso.MB4CB1.1830_TATTP_LD223&amp;utm_campaign=HN.Congso.MB4CB1_XuBen.5018_MES_HuyLG_110424")</f>
        <v>https://patadovietnam.edu.vn/be_hlg/?utm_source=Facebook&amp;utm_medium=MES&amp;utm_term=NEW_HN_1830_none_110424&amp;utm_content=saletructiep_HN.Congso.MB4CB1.1830_TATTP_LD223&amp;utm_campaign=HN.Congso.MB4CB1_XuBen.5018_MES_HuyLG_110424</v>
      </c>
      <c r="U286" s="112" t="s">
        <v>4663</v>
      </c>
    </row>
    <row r="287">
      <c r="A287" s="72">
        <v>45393.0</v>
      </c>
      <c r="B287" s="112" t="s">
        <v>4632</v>
      </c>
      <c r="C287" s="67" t="str">
        <f>IFERROR(__xludf.DUMMYFUNCTION("""COMPUTED_VALUE"""),"LD223")</f>
        <v>LD223</v>
      </c>
      <c r="D287" s="55" t="s">
        <v>42</v>
      </c>
      <c r="E287" s="55" t="s">
        <v>69</v>
      </c>
      <c r="F287" s="55" t="s">
        <v>4666</v>
      </c>
      <c r="G287" s="55">
        <v>1830.0</v>
      </c>
      <c r="H287" s="55" t="s">
        <v>1131</v>
      </c>
      <c r="I287" s="55" t="s">
        <v>4667</v>
      </c>
      <c r="J287" s="55" t="s">
        <v>4668</v>
      </c>
      <c r="K287" s="55" t="s">
        <v>61</v>
      </c>
      <c r="L287" s="143" t="s">
        <v>317</v>
      </c>
      <c r="M287" s="55" t="s">
        <v>78</v>
      </c>
      <c r="N287" s="55" t="s">
        <v>69</v>
      </c>
      <c r="O287" s="55" t="s">
        <v>910</v>
      </c>
      <c r="P287" s="55" t="s">
        <v>110</v>
      </c>
      <c r="Q287" s="129" t="str">
        <f>IFERROR(__xludf.DUMMYFUNCTION("""COMPUTED_VALUE"""),"Danang.Congso.MB2CB1_XuBen.5018_CVS_HuyLG_110424")</f>
        <v>Danang.Congso.MB2CB1_XuBen.5018_CVS_HuyLG_110424</v>
      </c>
      <c r="R287" s="129" t="str">
        <f>IFERROR(__xludf.DUMMYFUNCTION("""COMPUTED_VALUE"""),"NEW_Danang_1830_none_110424")</f>
        <v>NEW_Danang_1830_none_110424</v>
      </c>
      <c r="S287" s="129" t="str">
        <f>IFERROR(__xludf.DUMMYFUNCTION("""COMPUTED_VALUE"""),"saletructiep_Danang.Congso.MB2CB1.1830_TATTP_LD223")</f>
        <v>saletructiep_Danang.Congso.MB2CB1.1830_TATTP_LD223</v>
      </c>
      <c r="T287" s="130" t="str">
        <f>IFERROR(__xludf.DUMMYFUNCTION("""COMPUTED_VALUE"""),"https://patadovietnam.edu.vn/be_hlg/?utm_source=Facebook&amp;utm_medium=CVS&amp;utm_term=NEW_Danang_1830_none_110424&amp;utm_content=saletructiep_Danang.Congso.MB2CB1.1830_TATTP_LD223&amp;utm_campaign=Danang.Congso.MB2CB1_XuBen.5018_CVS_HuyLG_110424")</f>
        <v>https://patadovietnam.edu.vn/be_hlg/?utm_source=Facebook&amp;utm_medium=CVS&amp;utm_term=NEW_Danang_1830_none_110424&amp;utm_content=saletructiep_Danang.Congso.MB2CB1.1830_TATTP_LD223&amp;utm_campaign=Danang.Congso.MB2CB1_XuBen.5018_CVS_HuyLG_110424</v>
      </c>
      <c r="U287" s="112" t="s">
        <v>4675</v>
      </c>
    </row>
    <row r="288">
      <c r="A288" s="72">
        <v>45406.0</v>
      </c>
      <c r="B288" s="112" t="s">
        <v>4632</v>
      </c>
      <c r="C288" s="67" t="str">
        <f>IFERROR(__xludf.DUMMYFUNCTION("""COMPUTED_VALUE"""),"LD223")</f>
        <v>LD223</v>
      </c>
      <c r="D288" s="55" t="s">
        <v>42</v>
      </c>
      <c r="E288" s="55" t="s">
        <v>69</v>
      </c>
      <c r="F288" s="55" t="s">
        <v>199</v>
      </c>
      <c r="G288" s="55">
        <v>1845.0</v>
      </c>
      <c r="H288" s="55" t="s">
        <v>1131</v>
      </c>
      <c r="I288" s="95" t="s">
        <v>4676</v>
      </c>
      <c r="J288" s="95" t="s">
        <v>4677</v>
      </c>
      <c r="K288" s="55" t="s">
        <v>61</v>
      </c>
      <c r="L288" s="143" t="s">
        <v>317</v>
      </c>
      <c r="M288" s="55" t="s">
        <v>4678</v>
      </c>
      <c r="N288" s="55" t="s">
        <v>69</v>
      </c>
      <c r="O288" s="55" t="s">
        <v>910</v>
      </c>
      <c r="P288" s="55" t="s">
        <v>110</v>
      </c>
      <c r="Q288" s="129" t="str">
        <f>IFERROR(__xludf.DUMMYFUNCTION("""COMPUTED_VALUE"""),"Vietnam.Congso.MB9CB6_XuBen.5018_CVS_HuyLG_240424")</f>
        <v>Vietnam.Congso.MB9CB6_XuBen.5018_CVS_HuyLG_240424</v>
      </c>
      <c r="R288" s="129" t="str">
        <f>IFERROR(__xludf.DUMMYFUNCTION("""COMPUTED_VALUE"""),"NEW_Vietnam_1845_none_240424")</f>
        <v>NEW_Vietnam_1845_none_240424</v>
      </c>
      <c r="S288" s="129" t="str">
        <f>IFERROR(__xludf.DUMMYFUNCTION("""COMPUTED_VALUE"""),"taodongluc_Vietnam.Congso.MB9CB6.1845_TATTP_LD223")</f>
        <v>taodongluc_Vietnam.Congso.MB9CB6.1845_TATTP_LD223</v>
      </c>
      <c r="T288" s="130" t="str">
        <f>IFERROR(__xludf.DUMMYFUNCTION("""COMPUTED_VALUE"""),"https://patadovietnam.edu.vn/be_hlg/?utm_source=Facebook&amp;utm_medium=CVS&amp;utm_term=NEW_Vietnam_1845_none_240424&amp;utm_content=taodongluc_Vietnam.Congso.MB9CB6.1845_TATTP_LD223&amp;utm_campaign=Vietnam.Congso.MB9CB6_XuBen.5018_CVS_HuyLG_240424")</f>
        <v>https://patadovietnam.edu.vn/be_hlg/?utm_source=Facebook&amp;utm_medium=CVS&amp;utm_term=NEW_Vietnam_1845_none_240424&amp;utm_content=taodongluc_Vietnam.Congso.MB9CB6.1845_TATTP_LD223&amp;utm_campaign=Vietnam.Congso.MB9CB6_XuBen.5018_CVS_HuyLG_240424</v>
      </c>
      <c r="U288" s="112" t="s">
        <v>4685</v>
      </c>
    </row>
    <row r="289">
      <c r="A289" s="72">
        <v>45420.0</v>
      </c>
      <c r="B289" s="112" t="s">
        <v>4632</v>
      </c>
      <c r="C289" s="67" t="str">
        <f>IFERROR(__xludf.DUMMYFUNCTION("""COMPUTED_VALUE"""),"LD223")</f>
        <v>LD223</v>
      </c>
      <c r="D289" s="55" t="s">
        <v>42</v>
      </c>
      <c r="E289" s="143" t="s">
        <v>79</v>
      </c>
      <c r="F289" s="55" t="s">
        <v>3032</v>
      </c>
      <c r="G289" s="55">
        <v>1845.0</v>
      </c>
      <c r="H289" s="55" t="s">
        <v>1131</v>
      </c>
      <c r="I289" s="95" t="s">
        <v>4687</v>
      </c>
      <c r="J289" s="95" t="s">
        <v>4687</v>
      </c>
      <c r="K289" s="55" t="s">
        <v>61</v>
      </c>
      <c r="L289" s="143" t="s">
        <v>317</v>
      </c>
      <c r="M289" s="55" t="s">
        <v>78</v>
      </c>
      <c r="N289" s="55" t="s">
        <v>79</v>
      </c>
      <c r="O289" s="55" t="s">
        <v>910</v>
      </c>
      <c r="P289" s="55" t="s">
        <v>110</v>
      </c>
      <c r="Q289" s="129" t="str">
        <f>IFERROR(__xludf.DUMMYFUNCTION("""COMPUTED_VALUE"""),"HCM.Congso.MB13CB4_XuBen.5018_MES_HuyLG_080524")</f>
        <v>HCM.Congso.MB13CB4_XuBen.5018_MES_HuyLG_080524</v>
      </c>
      <c r="R289" s="129" t="str">
        <f>IFERROR(__xludf.DUMMYFUNCTION("""COMPUTED_VALUE"""),"NEW_HCM_1845_none_080524")</f>
        <v>NEW_HCM_1845_none_080524</v>
      </c>
      <c r="S289" s="129" t="str">
        <f>IFERROR(__xludf.DUMMYFUNCTION("""COMPUTED_VALUE"""),"saletructiep_HCM.Congso.MB13CB4_TATTP_LD223")</f>
        <v>saletructiep_HCM.Congso.MB13CB4_TATTP_LD223</v>
      </c>
      <c r="T289" s="130" t="str">
        <f>IFERROR(__xludf.DUMMYFUNCTION("""COMPUTED_VALUE"""),"https://patadovietnam.edu.vn/be_hlg/?utm_source=Facebook&amp;utm_medium=MES&amp;utm_term=NEW_HCM_1845_none_080524&amp;utm_content=saletructiep_HCM.Congso.MB13CB4_TATTP_LD223&amp;utm_campaign=HCM.Congso.MB13CB4_XuBen.5018_MES_HuyLG_080524")</f>
        <v>https://patadovietnam.edu.vn/be_hlg/?utm_source=Facebook&amp;utm_medium=MES&amp;utm_term=NEW_HCM_1845_none_080524&amp;utm_content=saletructiep_HCM.Congso.MB13CB4_TATTP_LD223&amp;utm_campaign=HCM.Congso.MB13CB4_XuBen.5018_MES_HuyLG_080524</v>
      </c>
      <c r="U289" s="112" t="s">
        <v>4693</v>
      </c>
    </row>
    <row r="290">
      <c r="A290" s="72">
        <v>45420.0</v>
      </c>
      <c r="B290" s="112" t="s">
        <v>4632</v>
      </c>
      <c r="C290" s="67" t="str">
        <f>IFERROR(__xludf.DUMMYFUNCTION("""COMPUTED_VALUE"""),"LD223")</f>
        <v>LD223</v>
      </c>
      <c r="D290" s="55" t="s">
        <v>42</v>
      </c>
      <c r="E290" s="143" t="s">
        <v>79</v>
      </c>
      <c r="F290" s="55" t="s">
        <v>199</v>
      </c>
      <c r="G290" s="55">
        <v>1845.0</v>
      </c>
      <c r="H290" s="55" t="s">
        <v>1131</v>
      </c>
      <c r="I290" s="95" t="s">
        <v>4694</v>
      </c>
      <c r="J290" s="95" t="s">
        <v>4695</v>
      </c>
      <c r="K290" s="55" t="s">
        <v>61</v>
      </c>
      <c r="L290" s="143" t="s">
        <v>317</v>
      </c>
      <c r="M290" s="55" t="s">
        <v>78</v>
      </c>
      <c r="N290" s="55" t="s">
        <v>79</v>
      </c>
      <c r="O290" s="55" t="s">
        <v>910</v>
      </c>
      <c r="P290" s="55" t="s">
        <v>110</v>
      </c>
      <c r="Q290" s="129" t="str">
        <f>IFERROR(__xludf.DUMMYFUNCTION("""COMPUTED_VALUE"""),"Vietnam.Congso.MB12CB7_XuBen.5018_MES_HuyLG_080524")</f>
        <v>Vietnam.Congso.MB12CB7_XuBen.5018_MES_HuyLG_080524</v>
      </c>
      <c r="R290" s="129" t="str">
        <f>IFERROR(__xludf.DUMMYFUNCTION("""COMPUTED_VALUE"""),"NEW_Vietnam_1845_none_080524")</f>
        <v>NEW_Vietnam_1845_none_080524</v>
      </c>
      <c r="S290" s="129" t="str">
        <f>IFERROR(__xludf.DUMMYFUNCTION("""COMPUTED_VALUE"""),"saletructiep_Vietnam.Congso.MB12CB7.1845_TATTP_LD223")</f>
        <v>saletructiep_Vietnam.Congso.MB12CB7.1845_TATTP_LD223</v>
      </c>
      <c r="T290" s="128" t="str">
        <f>IFERROR(__xludf.DUMMYFUNCTION("""COMPUTED_VALUE"""),"https://patadovietnam.edu.vn/be_hlg/?utm_source=Facebook&amp;utm_medium=MES&amp;utm_term=NEW_Vietnam_1845_none_080524&amp;utm_content=saletructiep_Vietnam.Congso.MB12CB7.1845_TATTP_LD223&amp;utm_campaign=Vietnam.Congso.MB12CB7_XuBen.5018_MES_HuyLG_080524")</f>
        <v>https://patadovietnam.edu.vn/be_hlg/?utm_source=Facebook&amp;utm_medium=MES&amp;utm_term=NEW_Vietnam_1845_none_080524&amp;utm_content=saletructiep_Vietnam.Congso.MB12CB7.1845_TATTP_LD223&amp;utm_campaign=Vietnam.Congso.MB12CB7_XuBen.5018_MES_HuyLG_080524</v>
      </c>
      <c r="U290" s="112" t="s">
        <v>4702</v>
      </c>
    </row>
    <row r="291">
      <c r="A291" s="72">
        <v>45432.0</v>
      </c>
      <c r="B291" s="112" t="s">
        <v>4632</v>
      </c>
      <c r="C291" s="67" t="str">
        <f>IFERROR(__xludf.DUMMYFUNCTION("""COMPUTED_VALUE"""),"LD223")</f>
        <v>LD223</v>
      </c>
      <c r="D291" s="55" t="s">
        <v>42</v>
      </c>
      <c r="E291" s="143" t="s">
        <v>79</v>
      </c>
      <c r="F291" s="55" t="s">
        <v>199</v>
      </c>
      <c r="G291" s="55">
        <v>1845.0</v>
      </c>
      <c r="H291" s="55" t="s">
        <v>1131</v>
      </c>
      <c r="I291" s="95" t="s">
        <v>4708</v>
      </c>
      <c r="J291" s="95" t="s">
        <v>4709</v>
      </c>
      <c r="K291" s="55" t="s">
        <v>61</v>
      </c>
      <c r="L291" s="143" t="s">
        <v>317</v>
      </c>
      <c r="M291" s="55" t="s">
        <v>78</v>
      </c>
      <c r="N291" s="55" t="s">
        <v>79</v>
      </c>
      <c r="O291" s="55" t="s">
        <v>910</v>
      </c>
      <c r="P291" s="55" t="s">
        <v>110</v>
      </c>
      <c r="Q291" s="129" t="str">
        <f>IFERROR(__xludf.DUMMYFUNCTION("""COMPUTED_VALUE"""),"Vietnam.Congso.MB14CB8_XuBen.5018_MES_HuyLG_200524")</f>
        <v>Vietnam.Congso.MB14CB8_XuBen.5018_MES_HuyLG_200524</v>
      </c>
      <c r="R291" s="129" t="str">
        <f>IFERROR(__xludf.DUMMYFUNCTION("""COMPUTED_VALUE"""),"NEW_Vietnam_1845_none_200524")</f>
        <v>NEW_Vietnam_1845_none_200524</v>
      </c>
      <c r="S291" s="129" t="str">
        <f>IFERROR(__xludf.DUMMYFUNCTION("""COMPUTED_VALUE"""),"saletructiep_Vietnam.Congso.MB14CB8.1845_TATTP_LD223")</f>
        <v>saletructiep_Vietnam.Congso.MB14CB8.1845_TATTP_LD223</v>
      </c>
      <c r="T291" s="130" t="str">
        <f>IFERROR(__xludf.DUMMYFUNCTION("""COMPUTED_VALUE"""),"https://patadovietnam.edu.vn/be_hlg/?utm_source=Facebook&amp;utm_medium=MES&amp;utm_term=NEW_Vietnam_1845_none_200524&amp;utm_content=saletructiep_Vietnam.Congso.MB14CB8.1845_TATTP_LD223&amp;utm_campaign=Vietnam.Congso.MB14CB8_XuBen.5018_MES_HuyLG_200524")</f>
        <v>https://patadovietnam.edu.vn/be_hlg/?utm_source=Facebook&amp;utm_medium=MES&amp;utm_term=NEW_Vietnam_1845_none_200524&amp;utm_content=saletructiep_Vietnam.Congso.MB14CB8.1845_TATTP_LD223&amp;utm_campaign=Vietnam.Congso.MB14CB8_XuBen.5018_MES_HuyLG_200524</v>
      </c>
      <c r="U291" s="112" t="s">
        <v>4714</v>
      </c>
    </row>
    <row r="292">
      <c r="A292" s="72">
        <v>45432.0</v>
      </c>
      <c r="B292" s="75" t="s">
        <v>3999</v>
      </c>
      <c r="C292" s="67" t="str">
        <f>IFERROR(__xludf.DUMMYFUNCTION("""COMPUTED_VALUE"""),"LD208")</f>
        <v>LD208</v>
      </c>
      <c r="D292" s="55" t="s">
        <v>42</v>
      </c>
      <c r="E292" s="143" t="s">
        <v>79</v>
      </c>
      <c r="F292" s="55" t="s">
        <v>107</v>
      </c>
      <c r="G292" s="55">
        <v>2040.0</v>
      </c>
      <c r="H292" s="55" t="s">
        <v>1131</v>
      </c>
      <c r="I292" s="55" t="s">
        <v>4719</v>
      </c>
      <c r="J292" s="55" t="s">
        <v>4720</v>
      </c>
      <c r="K292" s="55" t="s">
        <v>61</v>
      </c>
      <c r="L292" s="143" t="s">
        <v>317</v>
      </c>
      <c r="M292" s="55" t="s">
        <v>78</v>
      </c>
      <c r="N292" s="55" t="s">
        <v>79</v>
      </c>
      <c r="O292" s="55" t="s">
        <v>415</v>
      </c>
      <c r="P292" s="55" t="s">
        <v>110</v>
      </c>
      <c r="Q292" s="129" t="str">
        <f>IFERROR(__xludf.DUMMYFUNCTION("""COMPUTED_VALUE"""),"UnitedStates.Giaotiep.M232C198_XuBen.5018_MES_HuyLG_200524")</f>
        <v>UnitedStates.Giaotiep.M232C198_XuBen.5018_MES_HuyLG_200524</v>
      </c>
      <c r="R292" s="129" t="str">
        <f>IFERROR(__xludf.DUMMYFUNCTION("""COMPUTED_VALUE"""),"NEW_UnitedStates_2040_none_200524")</f>
        <v>NEW_UnitedStates_2040_none_200524</v>
      </c>
      <c r="S292" s="129" t="str">
        <f>IFERROR(__xludf.DUMMYFUNCTION("""COMPUTED_VALUE"""),"saletructiep_UnitedStates.Giaotiep.M232C198.2040_TATTPVN_LD208")</f>
        <v>saletructiep_UnitedStates.Giaotiep.M232C198.2040_TATTPVN_LD208</v>
      </c>
      <c r="T292" s="130" t="str">
        <f>IFERROR(__xludf.DUMMYFUNCTION("""COMPUTED_VALUE"""),"https://patadovietnam.edu.vn/hlg_us_tattpvn/?utm_source=Facebook&amp;utm_medium=MES&amp;utm_term=NEW_UnitedStates_2040_none_200524&amp;utm_content=saletructiep_UnitedStates.Giaotiep.M232C198.2040_TATTPVN_LD208&amp;utm_campaign=UnitedStates.Giaotiep.M232C198_XuBen.5018_ME"&amp;"S_HuyLG_200524")</f>
        <v>https://patadovietnam.edu.vn/hlg_us_tattpvn/?utm_source=Facebook&amp;utm_medium=MES&amp;utm_term=NEW_UnitedStates_2040_none_200524&amp;utm_content=saletructiep_UnitedStates.Giaotiep.M232C198.2040_TATTPVN_LD208&amp;utm_campaign=UnitedStates.Giaotiep.M232C198_XuBen.5018_MES_HuyLG_200524</v>
      </c>
      <c r="U292" s="112" t="s">
        <v>4727</v>
      </c>
    </row>
    <row r="293">
      <c r="A293" s="72">
        <v>45432.0</v>
      </c>
      <c r="B293" s="60" t="s">
        <v>4632</v>
      </c>
      <c r="C293" s="67" t="str">
        <f>IFERROR(__xludf.DUMMYFUNCTION("""COMPUTED_VALUE"""),"LD223")</f>
        <v>LD223</v>
      </c>
      <c r="D293" s="55" t="s">
        <v>42</v>
      </c>
      <c r="E293" s="143" t="s">
        <v>79</v>
      </c>
      <c r="F293" s="55" t="s">
        <v>107</v>
      </c>
      <c r="G293" s="55">
        <v>2040.0</v>
      </c>
      <c r="H293" s="55" t="s">
        <v>1131</v>
      </c>
      <c r="I293" s="55" t="s">
        <v>4719</v>
      </c>
      <c r="J293" s="55" t="s">
        <v>4720</v>
      </c>
      <c r="K293" s="55" t="s">
        <v>61</v>
      </c>
      <c r="L293" s="143" t="s">
        <v>317</v>
      </c>
      <c r="M293" s="55" t="s">
        <v>78</v>
      </c>
      <c r="N293" s="55" t="s">
        <v>79</v>
      </c>
      <c r="O293" s="55" t="s">
        <v>415</v>
      </c>
      <c r="P293" s="55" t="s">
        <v>110</v>
      </c>
      <c r="Q293" s="129" t="str">
        <f>IFERROR(__xludf.DUMMYFUNCTION("""COMPUTED_VALUE"""),"UnitedStates.Giaotiep.M232C198_XuBen.5018_MES_HuyLG_200524")</f>
        <v>UnitedStates.Giaotiep.M232C198_XuBen.5018_MES_HuyLG_200524</v>
      </c>
      <c r="R293" s="129" t="str">
        <f>IFERROR(__xludf.DUMMYFUNCTION("""COMPUTED_VALUE"""),"NEW_UnitedStates_2040_none_200524")</f>
        <v>NEW_UnitedStates_2040_none_200524</v>
      </c>
      <c r="S293" s="129" t="str">
        <f>IFERROR(__xludf.DUMMYFUNCTION("""COMPUTED_VALUE"""),"saletructiep_UnitedStates.Giaotiep.M232C198.2040_TATTPVN_LD223")</f>
        <v>saletructiep_UnitedStates.Giaotiep.M232C198.2040_TATTPVN_LD223</v>
      </c>
      <c r="T293" s="130" t="str">
        <f>IFERROR(__xludf.DUMMYFUNCTION("""COMPUTED_VALUE"""),"https://patadovietnam.edu.vn/be_hlg/?utm_source=Facebook&amp;utm_medium=MES&amp;utm_term=NEW_UnitedStates_2040_none_200524&amp;utm_content=saletructiep_UnitedStates.Giaotiep.M232C198.2040_TATTPVN_LD223&amp;utm_campaign=UnitedStates.Giaotiep.M232C198_XuBen.5018_MES_HuyLG_"&amp;"200524")</f>
        <v>https://patadovietnam.edu.vn/be_hlg/?utm_source=Facebook&amp;utm_medium=MES&amp;utm_term=NEW_UnitedStates_2040_none_200524&amp;utm_content=saletructiep_UnitedStates.Giaotiep.M232C198.2040_TATTPVN_LD223&amp;utm_campaign=UnitedStates.Giaotiep.M232C198_XuBen.5018_MES_HuyLG_200524</v>
      </c>
      <c r="U293" s="112" t="s">
        <v>3680</v>
      </c>
    </row>
    <row r="294">
      <c r="A294" s="72">
        <v>45432.0</v>
      </c>
      <c r="B294" s="60" t="s">
        <v>4033</v>
      </c>
      <c r="C294" s="67" t="str">
        <f>IFERROR(__xludf.DUMMYFUNCTION("""COMPUTED_VALUE"""),"LD204")</f>
        <v>LD204</v>
      </c>
      <c r="D294" s="55" t="s">
        <v>42</v>
      </c>
      <c r="E294" s="55" t="s">
        <v>69</v>
      </c>
      <c r="F294" s="55" t="s">
        <v>133</v>
      </c>
      <c r="G294" s="55">
        <v>2040.0</v>
      </c>
      <c r="H294" s="55" t="s">
        <v>1131</v>
      </c>
      <c r="I294" s="55" t="s">
        <v>4739</v>
      </c>
      <c r="J294" s="55" t="s">
        <v>4740</v>
      </c>
      <c r="K294" s="55" t="s">
        <v>61</v>
      </c>
      <c r="L294" s="143" t="s">
        <v>317</v>
      </c>
      <c r="M294" s="55" t="s">
        <v>78</v>
      </c>
      <c r="N294" s="55" t="s">
        <v>79</v>
      </c>
      <c r="O294" s="55" t="s">
        <v>415</v>
      </c>
      <c r="P294" s="55" t="s">
        <v>110</v>
      </c>
      <c r="Q294" s="190" t="str">
        <f>IFERROR(__xludf.DUMMYFUNCTION("""COMPUTED_VALUE"""),"Japan.Giaotiep.M225C192_XuBen.5018_MES_HuyLG_200524")</f>
        <v>Japan.Giaotiep.M225C192_XuBen.5018_MES_HuyLG_200524</v>
      </c>
      <c r="R294" s="190" t="str">
        <f>IFERROR(__xludf.DUMMYFUNCTION("""COMPUTED_VALUE"""),"NEW_Japan_2040_none_200524")</f>
        <v>NEW_Japan_2040_none_200524</v>
      </c>
      <c r="S294" s="190" t="str">
        <f>IFERROR(__xludf.DUMMYFUNCTION("""COMPUTED_VALUE"""),"saletructiep_Japan.Giaotiep.M225C192.2040_TATTPVN_LD204")</f>
        <v>saletructiep_Japan.Giaotiep.M225C192.2040_TATTPVN_LD204</v>
      </c>
      <c r="T294" s="191" t="str">
        <f>IFERROR(__xludf.DUMMYFUNCTION("""COMPUTED_VALUE"""),"https://patadovietnam.edu.vn/hlg_jp_tattpvn/?utm_source=Facebook&amp;utm_medium=CVS&amp;utm_term=NEW_Japan_2040_none_200524&amp;utm_content=saletructiep_Japan.Giaotiep.M225C192.2040_TATTPVN_LD204&amp;utm_campaign=Japan.Giaotiep.M225C192_XuBen.5018_MES_HuyLG_200524")</f>
        <v>https://patadovietnam.edu.vn/hlg_jp_tattpvn/?utm_source=Facebook&amp;utm_medium=CVS&amp;utm_term=NEW_Japan_2040_none_200524&amp;utm_content=saletructiep_Japan.Giaotiep.M225C192.2040_TATTPVN_LD204&amp;utm_campaign=Japan.Giaotiep.M225C192_XuBen.5018_MES_HuyLG_200524</v>
      </c>
      <c r="U294" s="192" t="s">
        <v>4748</v>
      </c>
    </row>
    <row r="295">
      <c r="A295" s="72">
        <v>45432.0</v>
      </c>
      <c r="B295" s="60" t="s">
        <v>3989</v>
      </c>
      <c r="C295" s="67" t="str">
        <f>IFERROR(__xludf.DUMMYFUNCTION("""COMPUTED_VALUE"""),"LD205")</f>
        <v>LD205</v>
      </c>
      <c r="D295" s="55" t="s">
        <v>42</v>
      </c>
      <c r="E295" s="143" t="s">
        <v>79</v>
      </c>
      <c r="F295" s="55" t="s">
        <v>625</v>
      </c>
      <c r="G295" s="55">
        <v>2040.0</v>
      </c>
      <c r="H295" s="55" t="s">
        <v>1131</v>
      </c>
      <c r="I295" s="55" t="s">
        <v>4750</v>
      </c>
      <c r="J295" s="55" t="s">
        <v>4751</v>
      </c>
      <c r="K295" s="55" t="s">
        <v>61</v>
      </c>
      <c r="L295" s="143" t="s">
        <v>317</v>
      </c>
      <c r="M295" s="55" t="s">
        <v>78</v>
      </c>
      <c r="N295" s="55" t="s">
        <v>79</v>
      </c>
      <c r="O295" s="55" t="s">
        <v>415</v>
      </c>
      <c r="P295" s="55" t="s">
        <v>110</v>
      </c>
      <c r="Q295" s="129" t="str">
        <f>IFERROR(__xludf.DUMMYFUNCTION("""COMPUTED_VALUE"""),"KoreaSouth.Giaotiep.M232C198_XuBen.5018_MES_HuyLG_200524")</f>
        <v>KoreaSouth.Giaotiep.M232C198_XuBen.5018_MES_HuyLG_200524</v>
      </c>
      <c r="R295" s="129" t="str">
        <f>IFERROR(__xludf.DUMMYFUNCTION("""COMPUTED_VALUE"""),"NEW_KoreaSouth_2040_none_200524")</f>
        <v>NEW_KoreaSouth_2040_none_200524</v>
      </c>
      <c r="S295" s="129" t="str">
        <f>IFERROR(__xludf.DUMMYFUNCTION("""COMPUTED_VALUE"""),"saletructiep_KoreaSouth.Giaotiep.M232C198.2040_TATTPVN_LD205")</f>
        <v>saletructiep_KoreaSouth.Giaotiep.M232C198.2040_TATTPVN_LD205</v>
      </c>
      <c r="T295" s="130" t="str">
        <f>IFERROR(__xludf.DUMMYFUNCTION("""COMPUTED_VALUE"""),"https://patadovietnam.edu.vn/hlg_kr_tattpvn/?utm_source=Facebook&amp;utm_medium=MES&amp;utm_term=NEW_KoreaSouth_2040_none_200524&amp;utm_content=saletructiep_KoreaSouth.Giaotiep.M232C198.2040_TATTPVN_LD205&amp;utm_campaign=KoreaSouth.Giaotiep.M232C198_XuBen.5018_MES_HuyL"&amp;"G_200524")</f>
        <v>https://patadovietnam.edu.vn/hlg_kr_tattpvn/?utm_source=Facebook&amp;utm_medium=MES&amp;utm_term=NEW_KoreaSouth_2040_none_200524&amp;utm_content=saletructiep_KoreaSouth.Giaotiep.M232C198.2040_TATTPVN_LD205&amp;utm_campaign=KoreaSouth.Giaotiep.M232C198_XuBen.5018_MES_HuyLG_200524</v>
      </c>
      <c r="U295" s="112" t="s">
        <v>4759</v>
      </c>
    </row>
    <row r="296">
      <c r="A296" s="72">
        <v>45432.0</v>
      </c>
      <c r="B296" s="75" t="s">
        <v>4760</v>
      </c>
      <c r="C296" s="67" t="str">
        <f>IFERROR(__xludf.DUMMYFUNCTION("""COMPUTED_VALUE"""),"LD226")</f>
        <v>LD226</v>
      </c>
      <c r="D296" s="55" t="s">
        <v>42</v>
      </c>
      <c r="E296" s="143" t="s">
        <v>79</v>
      </c>
      <c r="F296" s="55" t="s">
        <v>539</v>
      </c>
      <c r="G296" s="55">
        <v>2040.0</v>
      </c>
      <c r="H296" s="55" t="s">
        <v>1131</v>
      </c>
      <c r="I296" s="55" t="s">
        <v>4765</v>
      </c>
      <c r="J296" s="55" t="s">
        <v>4766</v>
      </c>
      <c r="K296" s="55" t="s">
        <v>61</v>
      </c>
      <c r="L296" s="143" t="s">
        <v>317</v>
      </c>
      <c r="M296" s="55" t="s">
        <v>78</v>
      </c>
      <c r="N296" s="55" t="s">
        <v>79</v>
      </c>
      <c r="O296" s="55" t="s">
        <v>3271</v>
      </c>
      <c r="P296" s="55" t="s">
        <v>110</v>
      </c>
      <c r="Q296" s="181" t="str">
        <f>IFERROR(__xludf.DUMMYFUNCTION("""COMPUTED_VALUE"""),"ALL.Giaotiep.M172C138_XuBen.5018_MES_HuyLG_200524")</f>
        <v>ALL.Giaotiep.M172C138_XuBen.5018_MES_HuyLG_200524</v>
      </c>
      <c r="R296" s="181" t="str">
        <f>IFERROR(__xludf.DUMMYFUNCTION("""COMPUTED_VALUE"""),"NEW_ALL_2040_none_200524")</f>
        <v>NEW_ALL_2040_none_200524</v>
      </c>
      <c r="S296" s="181" t="str">
        <f>IFERROR(__xludf.DUMMYFUNCTION("""COMPUTED_VALUE"""),"saletructiep_ALL.Giaotiep.M172C138.2040_PGPGTTA_LD226")</f>
        <v>saletructiep_ALL.Giaotiep.M172C138.2040_PGPGTTA_LD226</v>
      </c>
      <c r="T296" s="130" t="str">
        <f>IFERROR(__xludf.DUMMYFUNCTION("""COMPUTED_VALUE"""),"https://patadovietnam.edu.vn/hlg_pgpgtta_gt/?utm_source=Facebook&amp;utm_medium=MES&amp;utm_term=NEW_ALL_2040_none_200524&amp;utm_content=saletructiep_ALL.Giaotiep.M172C138.2040_PGPGTTA_LD226&amp;utm_campaign=ALL.Giaotiep.M172C138_XuBen.5018_MES_HuyLG_200524")</f>
        <v>https://patadovietnam.edu.vn/hlg_pgpgtta_gt/?utm_source=Facebook&amp;utm_medium=MES&amp;utm_term=NEW_ALL_2040_none_200524&amp;utm_content=saletructiep_ALL.Giaotiep.M172C138.2040_PGPGTTA_LD226&amp;utm_campaign=ALL.Giaotiep.M172C138_XuBen.5018_MES_HuyLG_200524</v>
      </c>
      <c r="U296" s="112" t="s">
        <v>4773</v>
      </c>
    </row>
    <row r="297">
      <c r="A297" s="72">
        <v>45455.0</v>
      </c>
      <c r="B297" s="60" t="s">
        <v>3999</v>
      </c>
      <c r="C297" s="67" t="str">
        <f>IFERROR(__xludf.DUMMYFUNCTION("""COMPUTED_VALUE"""),"LD208")</f>
        <v>LD208</v>
      </c>
      <c r="D297" s="55" t="s">
        <v>42</v>
      </c>
      <c r="E297" s="143" t="s">
        <v>79</v>
      </c>
      <c r="F297" s="55" t="s">
        <v>107</v>
      </c>
      <c r="G297" s="55">
        <v>2040.0</v>
      </c>
      <c r="H297" s="55" t="s">
        <v>1131</v>
      </c>
      <c r="I297" s="55" t="s">
        <v>4778</v>
      </c>
      <c r="J297" s="55" t="s">
        <v>4779</v>
      </c>
      <c r="K297" s="55" t="s">
        <v>61</v>
      </c>
      <c r="L297" s="143" t="s">
        <v>317</v>
      </c>
      <c r="M297" s="55" t="s">
        <v>78</v>
      </c>
      <c r="N297" s="55" t="s">
        <v>79</v>
      </c>
      <c r="O297" s="55" t="s">
        <v>415</v>
      </c>
      <c r="P297" s="55" t="s">
        <v>110</v>
      </c>
      <c r="Q297" s="129" t="str">
        <f>IFERROR(__xludf.DUMMYFUNCTION("""COMPUTED_VALUE"""),"UnitedStates.Giaotiep.M237C206_XuBen.5018_MES_HuyLG_120624")</f>
        <v>UnitedStates.Giaotiep.M237C206_XuBen.5018_MES_HuyLG_120624</v>
      </c>
      <c r="R297" s="129" t="str">
        <f>IFERROR(__xludf.DUMMYFUNCTION("""COMPUTED_VALUE"""),"NEW_UnitedStates_2040_none_120624")</f>
        <v>NEW_UnitedStates_2040_none_120624</v>
      </c>
      <c r="S297" s="129" t="str">
        <f>IFERROR(__xludf.DUMMYFUNCTION("""COMPUTED_VALUE"""),"saletructiep_UnitedStates.Giaotiep.M237C206.2040_TATTPVN_LD208")</f>
        <v>saletructiep_UnitedStates.Giaotiep.M237C206.2040_TATTPVN_LD208</v>
      </c>
      <c r="T297" s="130" t="str">
        <f>IFERROR(__xludf.DUMMYFUNCTION("""COMPUTED_VALUE"""),"https://patadovietnam.edu.vn/hlg_us_tattpvn/?utm_source=Facebook&amp;utm_medium=MES&amp;utm_term=NEW_UnitedStates_2040_none_120624&amp;utm_content=saletructiep_UnitedStates.Giaotiep.M237C206.2040_TATTPVN_LD208&amp;utm_campaign=UnitedStates.Giaotiep.M237C206_XuBen.5018_ME"&amp;"S_HuyLG_120624")</f>
        <v>https://patadovietnam.edu.vn/hlg_us_tattpvn/?utm_source=Facebook&amp;utm_medium=MES&amp;utm_term=NEW_UnitedStates_2040_none_120624&amp;utm_content=saletructiep_UnitedStates.Giaotiep.M237C206.2040_TATTPVN_LD208&amp;utm_campaign=UnitedStates.Giaotiep.M237C206_XuBen.5018_MES_HuyLG_120624</v>
      </c>
      <c r="U297" s="112" t="s">
        <v>4784</v>
      </c>
    </row>
    <row r="298">
      <c r="A298" s="72">
        <v>45455.0</v>
      </c>
      <c r="B298" s="75" t="s">
        <v>4785</v>
      </c>
      <c r="C298" s="67" t="str">
        <f>IFERROR(__xludf.DUMMYFUNCTION("""COMPUTED_VALUE"""),"LD229")</f>
        <v>LD229</v>
      </c>
      <c r="D298" s="55" t="s">
        <v>42</v>
      </c>
      <c r="E298" s="143" t="s">
        <v>79</v>
      </c>
      <c r="F298" s="55" t="s">
        <v>129</v>
      </c>
      <c r="G298" s="55">
        <v>2040.0</v>
      </c>
      <c r="H298" s="55" t="s">
        <v>1131</v>
      </c>
      <c r="I298" s="55" t="s">
        <v>4788</v>
      </c>
      <c r="J298" s="55" t="s">
        <v>4789</v>
      </c>
      <c r="K298" s="55" t="s">
        <v>61</v>
      </c>
      <c r="L298" s="143" t="s">
        <v>317</v>
      </c>
      <c r="M298" s="55" t="s">
        <v>78</v>
      </c>
      <c r="N298" s="55" t="s">
        <v>79</v>
      </c>
      <c r="O298" s="55" t="s">
        <v>415</v>
      </c>
      <c r="P298" s="55" t="s">
        <v>110</v>
      </c>
      <c r="Q298" s="129" t="str">
        <f>IFERROR(__xludf.DUMMYFUNCTION("""COMPUTED_VALUE"""),"Australia.Giaotiep.M226C203_XuBen.5018_MES_HuyLG_120624")</f>
        <v>Australia.Giaotiep.M226C203_XuBen.5018_MES_HuyLG_120624</v>
      </c>
      <c r="R298" s="129" t="str">
        <f>IFERROR(__xludf.DUMMYFUNCTION("""COMPUTED_VALUE"""),"NEW_Australia_2040_none_120624")</f>
        <v>NEW_Australia_2040_none_120624</v>
      </c>
      <c r="S298" s="129" t="str">
        <f>IFERROR(__xludf.DUMMYFUNCTION("""COMPUTED_VALUE"""),"saletructiep_Australia.Giaotiep.M226C203.2040_TATTPVN_LD229")</f>
        <v>saletructiep_Australia.Giaotiep.M226C203.2040_TATTPVN_LD229</v>
      </c>
      <c r="T298" s="130" t="str">
        <f>IFERROR(__xludf.DUMMYFUNCTION("""COMPUTED_VALUE"""),"https://patadovietnam.edu.vn/hlg_tattpvn_gt/?utm_source=Facebook&amp;utm_medium=MES&amp;utm_term=NEW_Australia_2040_none_120624&amp;utm_content=saletructiep_Australia.Giaotiep.M226C203.2040_TATTPVN_LD229&amp;utm_campaign=Australia.Giaotiep.M226C203_XuBen.5018_MES_HuyLG_1"&amp;"20624")</f>
        <v>https://patadovietnam.edu.vn/hlg_tattpvn_gt/?utm_source=Facebook&amp;utm_medium=MES&amp;utm_term=NEW_Australia_2040_none_120624&amp;utm_content=saletructiep_Australia.Giaotiep.M226C203.2040_TATTPVN_LD229&amp;utm_campaign=Australia.Giaotiep.M226C203_XuBen.5018_MES_HuyLG_120624</v>
      </c>
      <c r="U298" s="112" t="s">
        <v>4798</v>
      </c>
    </row>
    <row r="299">
      <c r="A299" s="72">
        <v>45455.0</v>
      </c>
      <c r="B299" s="75" t="s">
        <v>4760</v>
      </c>
      <c r="C299" s="67" t="str">
        <f>IFERROR(__xludf.DUMMYFUNCTION("""COMPUTED_VALUE"""),"LD226")</f>
        <v>LD226</v>
      </c>
      <c r="D299" s="55" t="s">
        <v>42</v>
      </c>
      <c r="E299" s="143" t="s">
        <v>79</v>
      </c>
      <c r="F299" s="55" t="s">
        <v>625</v>
      </c>
      <c r="G299" s="55">
        <v>2040.0</v>
      </c>
      <c r="H299" s="55" t="s">
        <v>1131</v>
      </c>
      <c r="I299" s="55" t="s">
        <v>4801</v>
      </c>
      <c r="J299" s="55" t="s">
        <v>4802</v>
      </c>
      <c r="K299" s="55" t="s">
        <v>61</v>
      </c>
      <c r="L299" s="143" t="s">
        <v>317</v>
      </c>
      <c r="M299" s="55" t="s">
        <v>78</v>
      </c>
      <c r="N299" s="55" t="s">
        <v>79</v>
      </c>
      <c r="O299" s="55" t="s">
        <v>415</v>
      </c>
      <c r="P299" s="55" t="s">
        <v>110</v>
      </c>
      <c r="Q299" s="129" t="str">
        <f>IFERROR(__xludf.DUMMYFUNCTION("""COMPUTED_VALUE"""),"KoreaSouth.Giaotiep.M226C203_XuBen.5018_MES_HuyLG_120624")</f>
        <v>KoreaSouth.Giaotiep.M226C203_XuBen.5018_MES_HuyLG_120624</v>
      </c>
      <c r="R299" s="129" t="str">
        <f>IFERROR(__xludf.DUMMYFUNCTION("""COMPUTED_VALUE"""),"NEW_KoreaSouth_2040_none_120624")</f>
        <v>NEW_KoreaSouth_2040_none_120624</v>
      </c>
      <c r="S299" s="129" t="str">
        <f>IFERROR(__xludf.DUMMYFUNCTION("""COMPUTED_VALUE"""),"saletructiep_KoreaSouth.Giaotiep.M226C203.2040_TATTPVN_LD226")</f>
        <v>saletructiep_KoreaSouth.Giaotiep.M226C203.2040_TATTPVN_LD226</v>
      </c>
      <c r="T299" s="130" t="str">
        <f>IFERROR(__xludf.DUMMYFUNCTION("""COMPUTED_VALUE"""),"https://patadovietnam.edu.vn/hlg_pgpgtta_gt/?utm_source=Facebook&amp;utm_medium=MES&amp;utm_term=NEW_KoreaSouth_2040_none_120624&amp;utm_content=saletructiep_KoreaSouth.Giaotiep.M226C203.2040_TATTPVN_LD226&amp;utm_campaign=KoreaSouth.Giaotiep.M226C203_XuBen.5018_MES_HuyL"&amp;"G_120624")</f>
        <v>https://patadovietnam.edu.vn/hlg_pgpgtta_gt/?utm_source=Facebook&amp;utm_medium=MES&amp;utm_term=NEW_KoreaSouth_2040_none_120624&amp;utm_content=saletructiep_KoreaSouth.Giaotiep.M226C203.2040_TATTPVN_LD226&amp;utm_campaign=KoreaSouth.Giaotiep.M226C203_XuBen.5018_MES_HuyLG_120624</v>
      </c>
      <c r="U299" s="174"/>
    </row>
    <row r="300">
      <c r="A300" s="72">
        <v>45526.0</v>
      </c>
      <c r="B300" s="75" t="s">
        <v>4785</v>
      </c>
      <c r="C300" s="67" t="str">
        <f>IFERROR(__xludf.DUMMYFUNCTION("""COMPUTED_VALUE"""),"LD229")</f>
        <v>LD229</v>
      </c>
      <c r="D300" s="55" t="s">
        <v>42</v>
      </c>
      <c r="E300" s="55" t="s">
        <v>69</v>
      </c>
      <c r="F300" s="55" t="s">
        <v>133</v>
      </c>
      <c r="G300" s="55">
        <v>2040.0</v>
      </c>
      <c r="H300" s="55" t="s">
        <v>1131</v>
      </c>
      <c r="I300" s="55" t="s">
        <v>4808</v>
      </c>
      <c r="J300" s="55" t="s">
        <v>4809</v>
      </c>
      <c r="K300" s="55" t="s">
        <v>61</v>
      </c>
      <c r="L300" s="143" t="s">
        <v>317</v>
      </c>
      <c r="M300" s="55" t="s">
        <v>78</v>
      </c>
      <c r="N300" s="55" t="s">
        <v>69</v>
      </c>
      <c r="O300" s="55" t="s">
        <v>415</v>
      </c>
      <c r="P300" s="55" t="s">
        <v>110</v>
      </c>
      <c r="Q300" s="129" t="str">
        <f>IFERROR(__xludf.DUMMYFUNCTION("""COMPUTED_VALUE"""),"Japan.Giaotiep.M268C230_XuBen.5018_CVS_HuyLG_220824")</f>
        <v>Japan.Giaotiep.M268C230_XuBen.5018_CVS_HuyLG_220824</v>
      </c>
      <c r="R300" s="129" t="str">
        <f>IFERROR(__xludf.DUMMYFUNCTION("""COMPUTED_VALUE"""),"NEW_Japan_2040_none_220824")</f>
        <v>NEW_Japan_2040_none_220824</v>
      </c>
      <c r="S300" s="129" t="str">
        <f>IFERROR(__xludf.DUMMYFUNCTION("""COMPUTED_VALUE"""),"saletructiep_Japan.Giaotiep.M268C230.2040_TATTPVN_LD229")</f>
        <v>saletructiep_Japan.Giaotiep.M268C230.2040_TATTPVN_LD229</v>
      </c>
      <c r="T300" s="130" t="str">
        <f>IFERROR(__xludf.DUMMYFUNCTION("""COMPUTED_VALUE"""),"https://patadovietnam.edu.vn/hlg_tattpvn_gt/?utm_source=Facebook&amp;utm_medium=CVS&amp;utm_term=NEW_Japan_2040_none_220824&amp;utm_content=saletructiep_Japan.Giaotiep.M268C230.2040_TATTPVN_LD229&amp;utm_campaign=Japan.Giaotiep.M268C230_XuBen.5018_CVS_HuyLG_220824")</f>
        <v>https://patadovietnam.edu.vn/hlg_tattpvn_gt/?utm_source=Facebook&amp;utm_medium=CVS&amp;utm_term=NEW_Japan_2040_none_220824&amp;utm_content=saletructiep_Japan.Giaotiep.M268C230.2040_TATTPVN_LD229&amp;utm_campaign=Japan.Giaotiep.M268C230_XuBen.5018_CVS_HuyLG_220824</v>
      </c>
      <c r="U300" s="112" t="s">
        <v>4815</v>
      </c>
    </row>
    <row r="301">
      <c r="A301" s="72">
        <v>45526.0</v>
      </c>
      <c r="B301" s="75" t="s">
        <v>4785</v>
      </c>
      <c r="C301" s="67" t="str">
        <f>IFERROR(__xludf.DUMMYFUNCTION("""COMPUTED_VALUE"""),"LD229")</f>
        <v>LD229</v>
      </c>
      <c r="D301" s="55" t="s">
        <v>42</v>
      </c>
      <c r="E301" s="55" t="s">
        <v>69</v>
      </c>
      <c r="F301" s="55" t="s">
        <v>107</v>
      </c>
      <c r="G301" s="55">
        <v>2040.0</v>
      </c>
      <c r="H301" s="55" t="s">
        <v>1131</v>
      </c>
      <c r="I301" s="55" t="s">
        <v>4820</v>
      </c>
      <c r="J301" s="55" t="s">
        <v>4821</v>
      </c>
      <c r="K301" s="55" t="s">
        <v>61</v>
      </c>
      <c r="L301" s="143" t="s">
        <v>317</v>
      </c>
      <c r="M301" s="55" t="s">
        <v>78</v>
      </c>
      <c r="N301" s="55" t="s">
        <v>69</v>
      </c>
      <c r="O301" s="55" t="s">
        <v>415</v>
      </c>
      <c r="P301" s="55" t="s">
        <v>110</v>
      </c>
      <c r="Q301" s="129" t="str">
        <f>IFERROR(__xludf.DUMMYFUNCTION("""COMPUTED_VALUE"""),"UnitedStates.Giaotiep.M268C230_XuBen.5018_CVS_HuyLG_220824")</f>
        <v>UnitedStates.Giaotiep.M268C230_XuBen.5018_CVS_HuyLG_220824</v>
      </c>
      <c r="R301" s="129" t="str">
        <f>IFERROR(__xludf.DUMMYFUNCTION("""COMPUTED_VALUE"""),"NEW_UnitedStates_2040_none_220824")</f>
        <v>NEW_UnitedStates_2040_none_220824</v>
      </c>
      <c r="S301" s="129" t="str">
        <f>IFERROR(__xludf.DUMMYFUNCTION("""COMPUTED_VALUE"""),"saletructiep_UnitedStates.Giaotiep.M268C230.2040_TATTPVN_LD229")</f>
        <v>saletructiep_UnitedStates.Giaotiep.M268C230.2040_TATTPVN_LD229</v>
      </c>
      <c r="T301" s="130" t="str">
        <f>IFERROR(__xludf.DUMMYFUNCTION("""COMPUTED_VALUE"""),"https://patadovietnam.edu.vn/hlg_tattpvn_gt/?utm_source=Facebook&amp;utm_medium=CVS&amp;utm_term=NEW_UnitedStates_2040_none_220824&amp;utm_content=saletructiep_UnitedStates.Giaotiep.M268C230.2040_TATTPVN_LD229&amp;utm_campaign=UnitedStates.Giaotiep.M268C230_XuBen.5018_CV"&amp;"S_HuyLG_220824")</f>
        <v>https://patadovietnam.edu.vn/hlg_tattpvn_gt/?utm_source=Facebook&amp;utm_medium=CVS&amp;utm_term=NEW_UnitedStates_2040_none_220824&amp;utm_content=saletructiep_UnitedStates.Giaotiep.M268C230.2040_TATTPVN_LD229&amp;utm_campaign=UnitedStates.Giaotiep.M268C230_XuBen.5018_CVS_HuyLG_220824</v>
      </c>
      <c r="U301" s="112" t="s">
        <v>4727</v>
      </c>
    </row>
    <row r="302">
      <c r="A302" s="72">
        <v>45539.0</v>
      </c>
      <c r="B302" s="75" t="s">
        <v>4785</v>
      </c>
      <c r="C302" s="67" t="str">
        <f>IFERROR(__xludf.DUMMYFUNCTION("""COMPUTED_VALUE"""),"LD229")</f>
        <v>LD229</v>
      </c>
      <c r="D302" s="55" t="s">
        <v>42</v>
      </c>
      <c r="E302" s="143" t="s">
        <v>79</v>
      </c>
      <c r="F302" s="55" t="s">
        <v>539</v>
      </c>
      <c r="G302" s="55">
        <v>2040.0</v>
      </c>
      <c r="H302" s="55" t="s">
        <v>1131</v>
      </c>
      <c r="I302" s="55" t="s">
        <v>4833</v>
      </c>
      <c r="J302" s="55" t="s">
        <v>4834</v>
      </c>
      <c r="K302" s="55" t="s">
        <v>61</v>
      </c>
      <c r="L302" s="143" t="s">
        <v>317</v>
      </c>
      <c r="M302" s="55" t="s">
        <v>78</v>
      </c>
      <c r="N302" s="55" t="s">
        <v>79</v>
      </c>
      <c r="O302" s="55" t="s">
        <v>415</v>
      </c>
      <c r="P302" s="55" t="s">
        <v>110</v>
      </c>
      <c r="Q302" s="129" t="str">
        <f>IFERROR(__xludf.DUMMYFUNCTION("""COMPUTED_VALUE"""),"ALL.Giaotiep.M268C230_XuBen.5018_MES_HuyLG_040924")</f>
        <v>ALL.Giaotiep.M268C230_XuBen.5018_MES_HuyLG_040924</v>
      </c>
      <c r="R302" s="129" t="str">
        <f>IFERROR(__xludf.DUMMYFUNCTION("""COMPUTED_VALUE"""),"NEW_ALL_2040_none_040924")</f>
        <v>NEW_ALL_2040_none_040924</v>
      </c>
      <c r="S302" s="129" t="str">
        <f>IFERROR(__xludf.DUMMYFUNCTION("""COMPUTED_VALUE"""),"saletructiep_ALL.Giaotiep.M268C230.2040_TATTPVN_LD229")</f>
        <v>saletructiep_ALL.Giaotiep.M268C230.2040_TATTPVN_LD229</v>
      </c>
      <c r="T302" s="130" t="str">
        <f>IFERROR(__xludf.DUMMYFUNCTION("""COMPUTED_VALUE"""),"https://patadovietnam.edu.vn/hlg_tattpvn_gt/?utm_source=Facebook&amp;utm_medium=MES&amp;utm_term=NEW_ALL_2040_none_040924&amp;utm_content=saletructiep_ALL.Giaotiep.M268C230.2040_TATTPVN_LD229&amp;utm_campaign=ALL.Giaotiep.M268C230_XuBen.5018_MES_HuyLG_040924")</f>
        <v>https://patadovietnam.edu.vn/hlg_tattpvn_gt/?utm_source=Facebook&amp;utm_medium=MES&amp;utm_term=NEW_ALL_2040_none_040924&amp;utm_content=saletructiep_ALL.Giaotiep.M268C230.2040_TATTPVN_LD229&amp;utm_campaign=ALL.Giaotiep.M268C230_XuBen.5018_MES_HuyLG_040924</v>
      </c>
      <c r="U302" s="112" t="s">
        <v>4839</v>
      </c>
    </row>
    <row r="303">
      <c r="A303" s="72">
        <v>45539.0</v>
      </c>
      <c r="B303" s="60" t="s">
        <v>712</v>
      </c>
      <c r="C303" s="67" t="str">
        <f>IFERROR(__xludf.DUMMYFUNCTION("""COMPUTED_VALUE"""),"LD109")</f>
        <v>LD109</v>
      </c>
      <c r="D303" s="55" t="s">
        <v>42</v>
      </c>
      <c r="E303" s="143" t="s">
        <v>79</v>
      </c>
      <c r="F303" s="55" t="s">
        <v>107</v>
      </c>
      <c r="G303" s="55">
        <v>2040.0</v>
      </c>
      <c r="H303" s="55" t="s">
        <v>1131</v>
      </c>
      <c r="I303" s="55" t="s">
        <v>4846</v>
      </c>
      <c r="J303" s="55" t="s">
        <v>4847</v>
      </c>
      <c r="K303" s="55" t="s">
        <v>61</v>
      </c>
      <c r="L303" s="143" t="s">
        <v>317</v>
      </c>
      <c r="M303" s="55" t="s">
        <v>78</v>
      </c>
      <c r="N303" s="55" t="s">
        <v>79</v>
      </c>
      <c r="O303" s="55" t="s">
        <v>910</v>
      </c>
      <c r="P303" s="55" t="s">
        <v>110</v>
      </c>
      <c r="Q303" s="129" t="str">
        <f>IFERROR(__xludf.DUMMYFUNCTION("""COMPUTED_VALUE"""),"UnitedStates.Giaotiep.M77C235_XuBen.5018_MES_HuyLG_040924")</f>
        <v>UnitedStates.Giaotiep.M77C235_XuBen.5018_MES_HuyLG_040924</v>
      </c>
      <c r="R303" s="129" t="str">
        <f>IFERROR(__xludf.DUMMYFUNCTION("""COMPUTED_VALUE"""),"NEW_UnitedStates_2040_none_040924")</f>
        <v>NEW_UnitedStates_2040_none_040924</v>
      </c>
      <c r="S303" s="129" t="str">
        <f>IFERROR(__xludf.DUMMYFUNCTION("""COMPUTED_VALUE"""),"saletructiep_UnitedStates.Giaotiep.M77C235.2040_TATTP_LD109")</f>
        <v>saletructiep_UnitedStates.Giaotiep.M77C235.2040_TATTP_LD109</v>
      </c>
      <c r="T303" s="130" t="str">
        <f>IFERROR(__xludf.DUMMYFUNCTION("""COMPUTED_VALUE"""),"https://patadovietnam.edu.vn/hoaky_cvs/?utm_source=Facebook&amp;utm_medium=MES&amp;utm_term=NEW_UnitedStates_2040_none_040924&amp;utm_content=saletructiep_UnitedStates.Giaotiep.M77C235.2040_TATTP_LD109&amp;utm_campaign=UnitedStates.Giaotiep.M77C235_XuBen.5018_MES_HuyLG_0"&amp;"40924")</f>
        <v>https://patadovietnam.edu.vn/hoaky_cvs/?utm_source=Facebook&amp;utm_medium=MES&amp;utm_term=NEW_UnitedStates_2040_none_040924&amp;utm_content=saletructiep_UnitedStates.Giaotiep.M77C235.2040_TATTP_LD109&amp;utm_campaign=UnitedStates.Giaotiep.M77C235_XuBen.5018_MES_HuyLG_040924</v>
      </c>
      <c r="U303" s="112" t="s">
        <v>4849</v>
      </c>
    </row>
    <row r="304">
      <c r="A304" s="72">
        <v>45539.0</v>
      </c>
      <c r="B304" s="60" t="s">
        <v>3461</v>
      </c>
      <c r="C304" s="67" t="str">
        <f>IFERROR(__xludf.DUMMYFUNCTION("""COMPUTED_VALUE"""),"LD154")</f>
        <v>LD154</v>
      </c>
      <c r="D304" s="55" t="s">
        <v>42</v>
      </c>
      <c r="E304" s="143" t="s">
        <v>79</v>
      </c>
      <c r="F304" s="55" t="s">
        <v>674</v>
      </c>
      <c r="G304" s="55">
        <v>2040.0</v>
      </c>
      <c r="H304" s="55" t="s">
        <v>1131</v>
      </c>
      <c r="I304" s="55" t="s">
        <v>4852</v>
      </c>
      <c r="J304" s="55" t="s">
        <v>4853</v>
      </c>
      <c r="K304" s="55" t="s">
        <v>61</v>
      </c>
      <c r="L304" s="143" t="s">
        <v>317</v>
      </c>
      <c r="M304" s="55" t="s">
        <v>78</v>
      </c>
      <c r="N304" s="55" t="s">
        <v>79</v>
      </c>
      <c r="O304" s="55" t="s">
        <v>910</v>
      </c>
      <c r="P304" s="55" t="s">
        <v>110</v>
      </c>
      <c r="Q304" s="129" t="str">
        <f>IFERROR(__xludf.DUMMYFUNCTION("""COMPUTED_VALUE"""),"Europe.Giaotiep.M77C235_XuBen.5018_MES_HuyLG_040924")</f>
        <v>Europe.Giaotiep.M77C235_XuBen.5018_MES_HuyLG_040924</v>
      </c>
      <c r="R304" s="129" t="str">
        <f>IFERROR(__xludf.DUMMYFUNCTION("""COMPUTED_VALUE"""),"NEW_Europe_2040_none_040924")</f>
        <v>NEW_Europe_2040_none_040924</v>
      </c>
      <c r="S304" s="129" t="str">
        <f>IFERROR(__xludf.DUMMYFUNCTION("""COMPUTED_VALUE"""),"saletructiep_Europe.Giaotiep.M77C235.2040_TATTP_LD154")</f>
        <v>saletructiep_Europe.Giaotiep.M77C235.2040_TATTP_LD154</v>
      </c>
      <c r="T304" s="130" t="str">
        <f>IFERROR(__xludf.DUMMYFUNCTION("""COMPUTED_VALUE"""),"https://patadovietnam.edu.vn/eu_hlg/?utm_source=Facebook&amp;utm_medium=MES&amp;utm_term=NEW_Europe_2040_none_040924&amp;utm_content=saletructiep_Europe.Giaotiep.M77C235.2040_TATTP_LD154&amp;utm_campaign=Europe.Giaotiep.M77C235_XuBen.5018_MES_HuyLG_040924")</f>
        <v>https://patadovietnam.edu.vn/eu_hlg/?utm_source=Facebook&amp;utm_medium=MES&amp;utm_term=NEW_Europe_2040_none_040924&amp;utm_content=saletructiep_Europe.Giaotiep.M77C235.2040_TATTP_LD154&amp;utm_campaign=Europe.Giaotiep.M77C235_XuBen.5018_MES_HuyLG_040924</v>
      </c>
      <c r="U304" s="112" t="s">
        <v>4856</v>
      </c>
    </row>
    <row r="305">
      <c r="A305" s="72">
        <v>45539.0</v>
      </c>
      <c r="B305" s="75" t="s">
        <v>4785</v>
      </c>
      <c r="C305" s="67" t="str">
        <f>IFERROR(__xludf.DUMMYFUNCTION("""COMPUTED_VALUE"""),"LD229")</f>
        <v>LD229</v>
      </c>
      <c r="D305" s="55" t="s">
        <v>42</v>
      </c>
      <c r="E305" s="143" t="s">
        <v>79</v>
      </c>
      <c r="F305" s="55" t="s">
        <v>674</v>
      </c>
      <c r="G305" s="55">
        <v>2040.0</v>
      </c>
      <c r="H305" s="55" t="s">
        <v>1131</v>
      </c>
      <c r="I305" s="55" t="s">
        <v>4860</v>
      </c>
      <c r="J305" s="55" t="s">
        <v>4861</v>
      </c>
      <c r="K305" s="55" t="s">
        <v>61</v>
      </c>
      <c r="L305" s="143" t="s">
        <v>317</v>
      </c>
      <c r="M305" s="55" t="s">
        <v>78</v>
      </c>
      <c r="N305" s="55" t="s">
        <v>79</v>
      </c>
      <c r="O305" s="55" t="s">
        <v>415</v>
      </c>
      <c r="P305" s="55" t="s">
        <v>110</v>
      </c>
      <c r="Q305" s="129" t="str">
        <f>IFERROR(__xludf.DUMMYFUNCTION("""COMPUTED_VALUE"""),"Europe.Giaotiep.M273C235_XuBen.5018_MES_HuyLG_040924")</f>
        <v>Europe.Giaotiep.M273C235_XuBen.5018_MES_HuyLG_040924</v>
      </c>
      <c r="R305" s="129" t="str">
        <f>IFERROR(__xludf.DUMMYFUNCTION("""COMPUTED_VALUE"""),"NEW_Europe_2040_none_040924")</f>
        <v>NEW_Europe_2040_none_040924</v>
      </c>
      <c r="S305" s="129" t="str">
        <f>IFERROR(__xludf.DUMMYFUNCTION("""COMPUTED_VALUE"""),"saletructiep_Europe.Giaotiep.M273C235.2040.2040_TATTPVN_LD229")</f>
        <v>saletructiep_Europe.Giaotiep.M273C235.2040.2040_TATTPVN_LD229</v>
      </c>
      <c r="T305" s="130" t="str">
        <f>IFERROR(__xludf.DUMMYFUNCTION("""COMPUTED_VALUE"""),"https://patadovietnam.edu.vn/hlg_tattpvn_gt/?utm_source=Facebook&amp;utm_medium=MES&amp;utm_term=NEW_Europe_2040_none_040924&amp;utm_content=saletructiep_Europe.Giaotiep.M273C235.2040.2040_TATTPVN_LD229&amp;utm_campaign=Europe.Giaotiep.M273C235_XuBen.5018_MES_HuyLG_04092"&amp;"4")</f>
        <v>https://patadovietnam.edu.vn/hlg_tattpvn_gt/?utm_source=Facebook&amp;utm_medium=MES&amp;utm_term=NEW_Europe_2040_none_040924&amp;utm_content=saletructiep_Europe.Giaotiep.M273C235.2040.2040_TATTPVN_LD229&amp;utm_campaign=Europe.Giaotiep.M273C235_XuBen.5018_MES_HuyLG_040924</v>
      </c>
      <c r="U305" s="112" t="s">
        <v>4867</v>
      </c>
    </row>
    <row r="306">
      <c r="A306" s="72">
        <v>45539.0</v>
      </c>
      <c r="B306" s="60" t="s">
        <v>772</v>
      </c>
      <c r="C306" s="67" t="str">
        <f>IFERROR(__xludf.DUMMYFUNCTION("""COMPUTED_VALUE"""),"LD115")</f>
        <v>LD115</v>
      </c>
      <c r="D306" s="55" t="s">
        <v>42</v>
      </c>
      <c r="E306" s="143" t="s">
        <v>79</v>
      </c>
      <c r="F306" s="55" t="s">
        <v>133</v>
      </c>
      <c r="G306" s="55">
        <v>1835.0</v>
      </c>
      <c r="H306" s="55" t="s">
        <v>1131</v>
      </c>
      <c r="I306" s="55" t="s">
        <v>4868</v>
      </c>
      <c r="J306" s="55" t="s">
        <v>4869</v>
      </c>
      <c r="K306" s="55" t="s">
        <v>61</v>
      </c>
      <c r="L306" s="143" t="s">
        <v>317</v>
      </c>
      <c r="M306" s="55" t="s">
        <v>78</v>
      </c>
      <c r="N306" s="55" t="s">
        <v>79</v>
      </c>
      <c r="O306" s="55" t="s">
        <v>910</v>
      </c>
      <c r="P306" s="55" t="s">
        <v>110</v>
      </c>
      <c r="Q306" s="129" t="str">
        <f>IFERROR(__xludf.DUMMYFUNCTION("""COMPUTED_VALUE"""),"Japan.Giaotiep.M273C235_XuBen.5018_MES_HuyLG_040924")</f>
        <v>Japan.Giaotiep.M273C235_XuBen.5018_MES_HuyLG_040924</v>
      </c>
      <c r="R306" s="129" t="str">
        <f>IFERROR(__xludf.DUMMYFUNCTION("""COMPUTED_VALUE"""),"NEW_Japan_1835_none_040924")</f>
        <v>NEW_Japan_1835_none_040924</v>
      </c>
      <c r="S306" s="129" t="str">
        <f>IFERROR(__xludf.DUMMYFUNCTION("""COMPUTED_VALUE"""),"saletructiep_Japan.Giaotiep.M273C235.1835_TATTP_LD115")</f>
        <v>saletructiep_Japan.Giaotiep.M273C235.1835_TATTP_LD115</v>
      </c>
      <c r="T306" s="130" t="str">
        <f>IFERROR(__xludf.DUMMYFUNCTION("""COMPUTED_VALUE"""),"https://patadovietnam.edu.vn/japancvs/?utm_source=Facebook&amp;utm_medium=MES&amp;utm_term=NEW_Japan_1835_none_040924&amp;utm_content=saletructiep_Japan.Giaotiep.M273C235.1835_TATTP_LD115&amp;utm_campaign=Japan.Giaotiep.M273C235_XuBen.5018_MES_HuyLG_040924")</f>
        <v>https://patadovietnam.edu.vn/japancvs/?utm_source=Facebook&amp;utm_medium=MES&amp;utm_term=NEW_Japan_1835_none_040924&amp;utm_content=saletructiep_Japan.Giaotiep.M273C235.1835_TATTP_LD115&amp;utm_campaign=Japan.Giaotiep.M273C235_XuBen.5018_MES_HuyLG_040924</v>
      </c>
      <c r="U306" s="112" t="s">
        <v>4876</v>
      </c>
    </row>
    <row r="307">
      <c r="A307" s="72">
        <v>45539.0</v>
      </c>
      <c r="B307" s="75" t="s">
        <v>4760</v>
      </c>
      <c r="C307" s="67" t="str">
        <f>IFERROR(__xludf.DUMMYFUNCTION("""COMPUTED_VALUE"""),"LD226")</f>
        <v>LD226</v>
      </c>
      <c r="D307" s="55" t="s">
        <v>42</v>
      </c>
      <c r="E307" s="143" t="s">
        <v>79</v>
      </c>
      <c r="F307" s="55" t="s">
        <v>129</v>
      </c>
      <c r="G307" s="55">
        <v>2040.0</v>
      </c>
      <c r="H307" s="55" t="s">
        <v>1131</v>
      </c>
      <c r="I307" s="55" t="s">
        <v>4879</v>
      </c>
      <c r="J307" s="55" t="s">
        <v>4880</v>
      </c>
      <c r="K307" s="55" t="s">
        <v>61</v>
      </c>
      <c r="L307" s="143" t="s">
        <v>317</v>
      </c>
      <c r="M307" s="55" t="s">
        <v>78</v>
      </c>
      <c r="N307" s="55" t="s">
        <v>79</v>
      </c>
      <c r="O307" s="55" t="s">
        <v>415</v>
      </c>
      <c r="P307" s="55" t="s">
        <v>110</v>
      </c>
      <c r="Q307" s="129" t="str">
        <f>IFERROR(__xludf.DUMMYFUNCTION("""COMPUTED_VALUE"""),"Australia.Giaotiep.M273C235_XuBen.5018_MES_HuyLG_040924")</f>
        <v>Australia.Giaotiep.M273C235_XuBen.5018_MES_HuyLG_040924</v>
      </c>
      <c r="R307" s="129" t="str">
        <f>IFERROR(__xludf.DUMMYFUNCTION("""COMPUTED_VALUE"""),"NEW_Australia_2040_none_040924")</f>
        <v>NEW_Australia_2040_none_040924</v>
      </c>
      <c r="S307" s="129" t="str">
        <f>IFERROR(__xludf.DUMMYFUNCTION("""COMPUTED_VALUE"""),"saletructiep_Australia.Giaotiep.M273C235.2040_TATTPVN_LD226")</f>
        <v>saletructiep_Australia.Giaotiep.M273C235.2040_TATTPVN_LD226</v>
      </c>
      <c r="T307" s="130" t="str">
        <f>IFERROR(__xludf.DUMMYFUNCTION("""COMPUTED_VALUE"""),"https://patadovietnam.edu.vn/hlg_pgpgtta_gt/?utm_source=Facebook&amp;utm_medium=MES&amp;utm_term=NEW_Australia_2040_none_040924&amp;utm_content=saletructiep_Australia.Giaotiep.M273C235.2040_TATTPVN_LD226&amp;utm_campaign=Australia.Giaotiep.M273C235_XuBen.5018_MES_HuyLG_0"&amp;"40924")</f>
        <v>https://patadovietnam.edu.vn/hlg_pgpgtta_gt/?utm_source=Facebook&amp;utm_medium=MES&amp;utm_term=NEW_Australia_2040_none_040924&amp;utm_content=saletructiep_Australia.Giaotiep.M273C235.2040_TATTPVN_LD226&amp;utm_campaign=Australia.Giaotiep.M273C235_XuBen.5018_MES_HuyLG_040924</v>
      </c>
      <c r="U307" s="112" t="s">
        <v>4886</v>
      </c>
    </row>
    <row r="308">
      <c r="A308" s="72">
        <v>45556.0</v>
      </c>
      <c r="B308" s="75" t="s">
        <v>4887</v>
      </c>
      <c r="C308" s="67" t="str">
        <f>IFERROR(__xludf.DUMMYFUNCTION("""COMPUTED_VALUE"""),"LD233")</f>
        <v>LD233</v>
      </c>
      <c r="D308" s="55" t="s">
        <v>42</v>
      </c>
      <c r="E308" s="55" t="s">
        <v>1625</v>
      </c>
      <c r="F308" s="55" t="s">
        <v>133</v>
      </c>
      <c r="G308" s="55">
        <v>1840.0</v>
      </c>
      <c r="H308" s="55" t="s">
        <v>1131</v>
      </c>
      <c r="I308" s="55" t="s">
        <v>4890</v>
      </c>
      <c r="J308" s="55" t="s">
        <v>4891</v>
      </c>
      <c r="K308" s="55" t="s">
        <v>61</v>
      </c>
      <c r="L308" s="143" t="s">
        <v>317</v>
      </c>
      <c r="M308" s="55" t="s">
        <v>78</v>
      </c>
      <c r="N308" s="55" t="s">
        <v>1625</v>
      </c>
      <c r="O308" s="55" t="s">
        <v>910</v>
      </c>
      <c r="P308" s="55" t="s">
        <v>110</v>
      </c>
      <c r="Q308" s="129" t="str">
        <f>IFERROR(__xludf.DUMMYFUNCTION("""COMPUTED_VALUE"""),"Japan.Giaotiep.M277C238_XuBen.5018_REACH_HuyLG_210924")</f>
        <v>Japan.Giaotiep.M277C238_XuBen.5018_REACH_HuyLG_210924</v>
      </c>
      <c r="R308" s="129" t="str">
        <f>IFERROR(__xludf.DUMMYFUNCTION("""COMPUTED_VALUE"""),"NEW_Japan_1840_none_210924")</f>
        <v>NEW_Japan_1840_none_210924</v>
      </c>
      <c r="S308" s="129" t="str">
        <f>IFERROR(__xludf.DUMMYFUNCTION("""COMPUTED_VALUE"""),"saletructiep_Japan.Giaotiep.M277C238.1840_TATTP_LD233")</f>
        <v>saletructiep_Japan.Giaotiep.M277C238.1840_TATTP_LD233</v>
      </c>
      <c r="T308" s="130" t="str">
        <f>IFERROR(__xludf.DUMMYFUNCTION("""COMPUTED_VALUE"""),"https://patadovietnam.edu.vn/hlg_tattp_gt/?utm_source=Facebook&amp;utm_medium=REACH&amp;utm_term=NEW_Japan_1840_none_210924&amp;utm_content=saletructiep_Japan.Giaotiep.M277C238.1840_TATTP_LD233&amp;utm_campaign=Japan.Giaotiep.M277C238_XuBen.5018_REACH_HuyLG_210924")</f>
        <v>https://patadovietnam.edu.vn/hlg_tattp_gt/?utm_source=Facebook&amp;utm_medium=REACH&amp;utm_term=NEW_Japan_1840_none_210924&amp;utm_content=saletructiep_Japan.Giaotiep.M277C238.1840_TATTP_LD233&amp;utm_campaign=Japan.Giaotiep.M277C238_XuBen.5018_REACH_HuyLG_210924</v>
      </c>
      <c r="U308" s="112" t="s">
        <v>4897</v>
      </c>
    </row>
    <row r="309">
      <c r="A309" s="72">
        <v>45556.0</v>
      </c>
      <c r="B309" s="75" t="s">
        <v>4887</v>
      </c>
      <c r="C309" s="67" t="str">
        <f>IFERROR(__xludf.DUMMYFUNCTION("""COMPUTED_VALUE"""),"LD233")</f>
        <v>LD233</v>
      </c>
      <c r="D309" s="55" t="s">
        <v>42</v>
      </c>
      <c r="E309" s="55" t="s">
        <v>1625</v>
      </c>
      <c r="F309" s="55" t="s">
        <v>107</v>
      </c>
      <c r="G309" s="55">
        <v>2045.0</v>
      </c>
      <c r="H309" s="55" t="s">
        <v>1131</v>
      </c>
      <c r="I309" s="55" t="s">
        <v>4899</v>
      </c>
      <c r="J309" s="55" t="s">
        <v>4900</v>
      </c>
      <c r="K309" s="55" t="s">
        <v>61</v>
      </c>
      <c r="L309" s="143" t="s">
        <v>317</v>
      </c>
      <c r="M309" s="55" t="s">
        <v>78</v>
      </c>
      <c r="N309" s="55" t="s">
        <v>1625</v>
      </c>
      <c r="O309" s="55" t="s">
        <v>910</v>
      </c>
      <c r="P309" s="55" t="s">
        <v>110</v>
      </c>
      <c r="Q309" s="129" t="str">
        <f>IFERROR(__xludf.DUMMYFUNCTION("""COMPUTED_VALUE"""),"UnitedStates.Giaotiep.M277C238_XuBen.5018_REACH_HuyLG_210924")</f>
        <v>UnitedStates.Giaotiep.M277C238_XuBen.5018_REACH_HuyLG_210924</v>
      </c>
      <c r="R309" s="129" t="str">
        <f>IFERROR(__xludf.DUMMYFUNCTION("""COMPUTED_VALUE"""),"NEW_UnitedStates_2045_none_210924")</f>
        <v>NEW_UnitedStates_2045_none_210924</v>
      </c>
      <c r="S309" s="129" t="str">
        <f>IFERROR(__xludf.DUMMYFUNCTION("""COMPUTED_VALUE"""),"saletructiep_UnitedStates.Giaotiep.M277C238.2045_TATTP_LD233")</f>
        <v>saletructiep_UnitedStates.Giaotiep.M277C238.2045_TATTP_LD233</v>
      </c>
      <c r="T309" s="130" t="str">
        <f>IFERROR(__xludf.DUMMYFUNCTION("""COMPUTED_VALUE"""),"https://patadovietnam.edu.vn/hlg_tattp_gt/?utm_source=Facebook&amp;utm_medium=REACH&amp;utm_term=NEW_UnitedStates_2045_none_210924&amp;utm_content=saletructiep_UnitedStates.Giaotiep.M277C238.2045_TATTP_LD233&amp;utm_campaign=UnitedStates.Giaotiep.M277C238_XuBen.5018_REAC"&amp;"H_HuyLG_210924")</f>
        <v>https://patadovietnam.edu.vn/hlg_tattp_gt/?utm_source=Facebook&amp;utm_medium=REACH&amp;utm_term=NEW_UnitedStates_2045_none_210924&amp;utm_content=saletructiep_UnitedStates.Giaotiep.M277C238.2045_TATTP_LD233&amp;utm_campaign=UnitedStates.Giaotiep.M277C238_XuBen.5018_REACH_HuyLG_210924</v>
      </c>
      <c r="U309" s="112" t="s">
        <v>4907</v>
      </c>
    </row>
    <row r="310">
      <c r="A310" s="72">
        <v>45556.0</v>
      </c>
      <c r="B310" s="75" t="s">
        <v>4887</v>
      </c>
      <c r="C310" s="67" t="str">
        <f>IFERROR(__xludf.DUMMYFUNCTION("""COMPUTED_VALUE"""),"LD233")</f>
        <v>LD233</v>
      </c>
      <c r="D310" s="55" t="s">
        <v>42</v>
      </c>
      <c r="E310" s="55" t="s">
        <v>1625</v>
      </c>
      <c r="F310" s="55" t="s">
        <v>674</v>
      </c>
      <c r="G310" s="55">
        <v>2040.0</v>
      </c>
      <c r="H310" s="55" t="s">
        <v>1131</v>
      </c>
      <c r="I310" s="55" t="s">
        <v>4909</v>
      </c>
      <c r="J310" s="55" t="s">
        <v>4910</v>
      </c>
      <c r="K310" s="55" t="s">
        <v>61</v>
      </c>
      <c r="L310" s="143" t="s">
        <v>317</v>
      </c>
      <c r="M310" s="55" t="s">
        <v>78</v>
      </c>
      <c r="N310" s="55" t="s">
        <v>1625</v>
      </c>
      <c r="O310" s="55" t="s">
        <v>910</v>
      </c>
      <c r="P310" s="55" t="s">
        <v>110</v>
      </c>
      <c r="Q310" s="129" t="str">
        <f>IFERROR(__xludf.DUMMYFUNCTION("""COMPUTED_VALUE"""),"Europe.Giaotiep.M277C238_XuBen.5018_REACH_HuyLG_210924")</f>
        <v>Europe.Giaotiep.M277C238_XuBen.5018_REACH_HuyLG_210924</v>
      </c>
      <c r="R310" s="129" t="str">
        <f>IFERROR(__xludf.DUMMYFUNCTION("""COMPUTED_VALUE"""),"NEW_Europe_2040_none_210924")</f>
        <v>NEW_Europe_2040_none_210924</v>
      </c>
      <c r="S310" s="129" t="str">
        <f>IFERROR(__xludf.DUMMYFUNCTION("""COMPUTED_VALUE"""),"saletructiep_Europe.Giaotiep.M277C238.2040_TATTP_LD233")</f>
        <v>saletructiep_Europe.Giaotiep.M277C238.2040_TATTP_LD233</v>
      </c>
      <c r="T310" s="130" t="str">
        <f>IFERROR(__xludf.DUMMYFUNCTION("""COMPUTED_VALUE"""),"https://patadovietnam.edu.vn/hlg_tattp_gt/?utm_source=Facebook&amp;utm_medium=REACH&amp;utm_term=NEW_Europe_2040_none_210924&amp;utm_content=saletructiep_Europe.Giaotiep.M277C238.2040_TATTP_LD233&amp;utm_campaign=Europe.Giaotiep.M277C238_XuBen.5018_REACH_HuyLG_210924")</f>
        <v>https://patadovietnam.edu.vn/hlg_tattp_gt/?utm_source=Facebook&amp;utm_medium=REACH&amp;utm_term=NEW_Europe_2040_none_210924&amp;utm_content=saletructiep_Europe.Giaotiep.M277C238.2040_TATTP_LD233&amp;utm_campaign=Europe.Giaotiep.M277C238_XuBen.5018_REACH_HuyLG_210924</v>
      </c>
      <c r="U310" s="112" t="s">
        <v>4914</v>
      </c>
    </row>
    <row r="311">
      <c r="A311" s="72">
        <v>45556.0</v>
      </c>
      <c r="B311" s="75" t="s">
        <v>4887</v>
      </c>
      <c r="C311" s="67" t="str">
        <f>IFERROR(__xludf.DUMMYFUNCTION("""COMPUTED_VALUE"""),"LD233")</f>
        <v>LD233</v>
      </c>
      <c r="D311" s="55" t="s">
        <v>42</v>
      </c>
      <c r="E311" s="55" t="s">
        <v>1625</v>
      </c>
      <c r="F311" s="55" t="s">
        <v>625</v>
      </c>
      <c r="G311" s="55">
        <v>2040.0</v>
      </c>
      <c r="H311" s="55" t="s">
        <v>1131</v>
      </c>
      <c r="I311" s="55" t="s">
        <v>4918</v>
      </c>
      <c r="J311" s="55" t="s">
        <v>4919</v>
      </c>
      <c r="K311" s="55" t="s">
        <v>61</v>
      </c>
      <c r="L311" s="143" t="s">
        <v>317</v>
      </c>
      <c r="M311" s="55" t="s">
        <v>78</v>
      </c>
      <c r="N311" s="55" t="s">
        <v>1625</v>
      </c>
      <c r="O311" s="55" t="s">
        <v>910</v>
      </c>
      <c r="P311" s="55" t="s">
        <v>110</v>
      </c>
      <c r="Q311" s="129" t="str">
        <f>IFERROR(__xludf.DUMMYFUNCTION("""COMPUTED_VALUE"""),"KoreaSouth.Giaotiep.M277C238_XuBen.5018_REACH_HuyLG_210924")</f>
        <v>KoreaSouth.Giaotiep.M277C238_XuBen.5018_REACH_HuyLG_210924</v>
      </c>
      <c r="R311" s="129" t="str">
        <f>IFERROR(__xludf.DUMMYFUNCTION("""COMPUTED_VALUE"""),"NEW_KoreaSouth_2040_none_210924")</f>
        <v>NEW_KoreaSouth_2040_none_210924</v>
      </c>
      <c r="S311" s="129" t="str">
        <f>IFERROR(__xludf.DUMMYFUNCTION("""COMPUTED_VALUE"""),"saletructiep_KoreaSouth.Giaotiep.M277C238.2040_TATTP_LD233")</f>
        <v>saletructiep_KoreaSouth.Giaotiep.M277C238.2040_TATTP_LD233</v>
      </c>
      <c r="T311" s="130" t="str">
        <f>IFERROR(__xludf.DUMMYFUNCTION("""COMPUTED_VALUE"""),"https://patadovietnam.edu.vn/hlg_tattp_gt/?utm_source=Facebook&amp;utm_medium=REACH&amp;utm_term=NEW_KoreaSouth_2040_none_210924&amp;utm_content=saletructiep_KoreaSouth.Giaotiep.M277C238.2040_TATTP_LD233&amp;utm_campaign=KoreaSouth.Giaotiep.M277C238_XuBen.5018_REACH_HuyL"&amp;"G_210924")</f>
        <v>https://patadovietnam.edu.vn/hlg_tattp_gt/?utm_source=Facebook&amp;utm_medium=REACH&amp;utm_term=NEW_KoreaSouth_2040_none_210924&amp;utm_content=saletructiep_KoreaSouth.Giaotiep.M277C238.2040_TATTP_LD233&amp;utm_campaign=KoreaSouth.Giaotiep.M277C238_XuBen.5018_REACH_HuyLG_210924</v>
      </c>
      <c r="U311" s="112" t="s">
        <v>4925</v>
      </c>
    </row>
    <row r="312">
      <c r="A312" s="72">
        <v>45556.0</v>
      </c>
      <c r="B312" s="75" t="s">
        <v>4887</v>
      </c>
      <c r="C312" s="67" t="str">
        <f>IFERROR(__xludf.DUMMYFUNCTION("""COMPUTED_VALUE"""),"LD233")</f>
        <v>LD233</v>
      </c>
      <c r="D312" s="55" t="s">
        <v>42</v>
      </c>
      <c r="E312" s="55" t="s">
        <v>1625</v>
      </c>
      <c r="F312" s="55" t="s">
        <v>129</v>
      </c>
      <c r="G312" s="55">
        <v>2040.0</v>
      </c>
      <c r="H312" s="55" t="s">
        <v>1131</v>
      </c>
      <c r="I312" s="55" t="s">
        <v>4929</v>
      </c>
      <c r="J312" s="55" t="s">
        <v>4930</v>
      </c>
      <c r="K312" s="55" t="s">
        <v>61</v>
      </c>
      <c r="L312" s="143" t="s">
        <v>317</v>
      </c>
      <c r="M312" s="55" t="s">
        <v>78</v>
      </c>
      <c r="N312" s="55" t="s">
        <v>1625</v>
      </c>
      <c r="O312" s="55" t="s">
        <v>910</v>
      </c>
      <c r="P312" s="55" t="s">
        <v>110</v>
      </c>
      <c r="Q312" s="129" t="str">
        <f>IFERROR(__xludf.DUMMYFUNCTION("""COMPUTED_VALUE"""),"Australia.Giaotiep.M277C238_XuBen.5018_REACH_HuyLG_210924")</f>
        <v>Australia.Giaotiep.M277C238_XuBen.5018_REACH_HuyLG_210924</v>
      </c>
      <c r="R312" s="129" t="str">
        <f>IFERROR(__xludf.DUMMYFUNCTION("""COMPUTED_VALUE"""),"NEW_Australia_2040_none_210924")</f>
        <v>NEW_Australia_2040_none_210924</v>
      </c>
      <c r="S312" s="129" t="str">
        <f>IFERROR(__xludf.DUMMYFUNCTION("""COMPUTED_VALUE"""),"saletructiep_Australia.Giaotiep.M277C238.2040_TATTP_LD233")</f>
        <v>saletructiep_Australia.Giaotiep.M277C238.2040_TATTP_LD233</v>
      </c>
      <c r="T312" s="130" t="str">
        <f>IFERROR(__xludf.DUMMYFUNCTION("""COMPUTED_VALUE"""),"https://patadovietnam.edu.vn/hlg_tattp_gt/?utm_source=Facebook&amp;utm_medium=REACH&amp;utm_term=NEW_Australia_2040_none_210924&amp;utm_content=saletructiep_Australia.Giaotiep.M277C238.2040_TATTP_LD233&amp;utm_campaign=Australia.Giaotiep.M277C238_XuBen.5018_REACH_HuyLG_2"&amp;"10924")</f>
        <v>https://patadovietnam.edu.vn/hlg_tattp_gt/?utm_source=Facebook&amp;utm_medium=REACH&amp;utm_term=NEW_Australia_2040_none_210924&amp;utm_content=saletructiep_Australia.Giaotiep.M277C238.2040_TATTP_LD233&amp;utm_campaign=Australia.Giaotiep.M277C238_XuBen.5018_REACH_HuyLG_210924</v>
      </c>
      <c r="U312" s="112" t="s">
        <v>4935</v>
      </c>
    </row>
    <row r="313">
      <c r="A313" s="72">
        <v>45579.0</v>
      </c>
      <c r="B313" s="60" t="s">
        <v>4760</v>
      </c>
      <c r="C313" s="67" t="str">
        <f>IFERROR(__xludf.DUMMYFUNCTION("""COMPUTED_VALUE"""),"LD226")</f>
        <v>LD226</v>
      </c>
      <c r="D313" s="55" t="s">
        <v>42</v>
      </c>
      <c r="E313" s="55" t="s">
        <v>79</v>
      </c>
      <c r="F313" s="55" t="s">
        <v>133</v>
      </c>
      <c r="G313" s="55">
        <v>2040.0</v>
      </c>
      <c r="H313" s="55" t="s">
        <v>1131</v>
      </c>
      <c r="I313" s="55" t="s">
        <v>4936</v>
      </c>
      <c r="J313" s="55" t="s">
        <v>4937</v>
      </c>
      <c r="K313" s="55" t="s">
        <v>61</v>
      </c>
      <c r="L313" s="143" t="s">
        <v>317</v>
      </c>
      <c r="M313" s="55" t="s">
        <v>78</v>
      </c>
      <c r="N313" s="55" t="s">
        <v>79</v>
      </c>
      <c r="O313" s="55" t="s">
        <v>3271</v>
      </c>
      <c r="P313" s="55" t="s">
        <v>110</v>
      </c>
      <c r="Q313" s="220" t="str">
        <f>IFERROR(__xludf.DUMMYFUNCTION("""COMPUTED_VALUE"""),"Japan.Giaotiep.M285C241_XuBen.5018_MES_HuyLG_141024")</f>
        <v>Japan.Giaotiep.M285C241_XuBen.5018_MES_HuyLG_141024</v>
      </c>
      <c r="R313" s="220" t="str">
        <f>IFERROR(__xludf.DUMMYFUNCTION("""COMPUTED_VALUE"""),"NEW_Japan_2040_none_141024")</f>
        <v>NEW_Japan_2040_none_141024</v>
      </c>
      <c r="S313" s="220" t="str">
        <f>IFERROR(__xludf.DUMMYFUNCTION("""COMPUTED_VALUE"""),"saletructiep_Japan.Giaotiep.M285C241.2040_PGPGTTA_LD226")</f>
        <v>saletructiep_Japan.Giaotiep.M285C241.2040_PGPGTTA_LD226</v>
      </c>
      <c r="T313" s="221" t="str">
        <f>IFERROR(__xludf.DUMMYFUNCTION("""COMPUTED_VALUE"""),"https://patadovietnam.edu.vn/hlg_pgpgtta_gt/?utm_source=Facebook&amp;utm_medium=MES&amp;utm_term=NEW_Japan_2040_none_141024&amp;utm_content=saletructiep_Japan.Giaotiep.M285C241.2040_PGPGTTA_LD226&amp;utm_campaign=Japan.Giaotiep.M285C241_XuBen.5018_MES_HuyLG_141024")</f>
        <v>https://patadovietnam.edu.vn/hlg_pgpgtta_gt/?utm_source=Facebook&amp;utm_medium=MES&amp;utm_term=NEW_Japan_2040_none_141024&amp;utm_content=saletructiep_Japan.Giaotiep.M285C241.2040_PGPGTTA_LD226&amp;utm_campaign=Japan.Giaotiep.M285C241_XuBen.5018_MES_HuyLG_141024</v>
      </c>
      <c r="U313" s="112" t="s">
        <v>4940</v>
      </c>
    </row>
    <row r="314">
      <c r="A314" s="72">
        <v>45579.0</v>
      </c>
      <c r="B314" s="60" t="s">
        <v>4760</v>
      </c>
      <c r="C314" s="67" t="str">
        <f>IFERROR(__xludf.DUMMYFUNCTION("""COMPUTED_VALUE"""),"LD226")</f>
        <v>LD226</v>
      </c>
      <c r="D314" s="55" t="s">
        <v>42</v>
      </c>
      <c r="E314" s="55" t="s">
        <v>79</v>
      </c>
      <c r="F314" s="55" t="s">
        <v>625</v>
      </c>
      <c r="G314" s="55">
        <v>2040.0</v>
      </c>
      <c r="H314" s="55" t="s">
        <v>1131</v>
      </c>
      <c r="I314" s="55" t="s">
        <v>4941</v>
      </c>
      <c r="J314" s="55" t="s">
        <v>4942</v>
      </c>
      <c r="K314" s="55" t="s">
        <v>61</v>
      </c>
      <c r="L314" s="143" t="s">
        <v>317</v>
      </c>
      <c r="M314" s="55" t="s">
        <v>78</v>
      </c>
      <c r="N314" s="55" t="s">
        <v>79</v>
      </c>
      <c r="O314" s="55" t="s">
        <v>3271</v>
      </c>
      <c r="P314" s="55" t="s">
        <v>110</v>
      </c>
      <c r="Q314" s="129" t="str">
        <f>IFERROR(__xludf.DUMMYFUNCTION("""COMPUTED_VALUE"""),"KoreaSouth.Giaotiep.M285C241_XuBen.5018_MES_HuyLG_141024")</f>
        <v>KoreaSouth.Giaotiep.M285C241_XuBen.5018_MES_HuyLG_141024</v>
      </c>
      <c r="R314" s="129" t="str">
        <f>IFERROR(__xludf.DUMMYFUNCTION("""COMPUTED_VALUE"""),"NEW_KoreaSouth_2040_none_141024")</f>
        <v>NEW_KoreaSouth_2040_none_141024</v>
      </c>
      <c r="S314" s="129" t="str">
        <f>IFERROR(__xludf.DUMMYFUNCTION("""COMPUTED_VALUE"""),"saletructiep_KoreaSouth.Giaotiep.M285C241.2040_PGPGTTA_LD226")</f>
        <v>saletructiep_KoreaSouth.Giaotiep.M285C241.2040_PGPGTTA_LD226</v>
      </c>
      <c r="T314" s="130" t="str">
        <f>IFERROR(__xludf.DUMMYFUNCTION("""COMPUTED_VALUE"""),"https://patadovietnam.edu.vn/hlg_pgpgtta_gt/?utm_source=Facebook&amp;utm_medium=MES&amp;utm_term=NEW_KoreaSouth_2040_none_141024&amp;utm_content=saletructiep_KoreaSouth.Giaotiep.M285C241.2040_PGPGTTA_LD226&amp;utm_campaign=KoreaSouth.Giaotiep.M285C241_XuBen.5018_MES_HuyL"&amp;"G_141024")</f>
        <v>https://patadovietnam.edu.vn/hlg_pgpgtta_gt/?utm_source=Facebook&amp;utm_medium=MES&amp;utm_term=NEW_KoreaSouth_2040_none_141024&amp;utm_content=saletructiep_KoreaSouth.Giaotiep.M285C241.2040_PGPGTTA_LD226&amp;utm_campaign=KoreaSouth.Giaotiep.M285C241_XuBen.5018_MES_HuyLG_141024</v>
      </c>
      <c r="U314" s="112" t="s">
        <v>4948</v>
      </c>
    </row>
    <row r="315">
      <c r="A315" s="72">
        <v>45579.0</v>
      </c>
      <c r="B315" s="60" t="s">
        <v>3461</v>
      </c>
      <c r="C315" s="67" t="str">
        <f>IFERROR(__xludf.DUMMYFUNCTION("""COMPUTED_VALUE"""),"LD154")</f>
        <v>LD154</v>
      </c>
      <c r="D315" s="55" t="s">
        <v>42</v>
      </c>
      <c r="E315" s="55" t="s">
        <v>79</v>
      </c>
      <c r="F315" s="55" t="s">
        <v>674</v>
      </c>
      <c r="G315" s="55">
        <v>2040.0</v>
      </c>
      <c r="H315" s="55" t="s">
        <v>1131</v>
      </c>
      <c r="I315" s="55" t="s">
        <v>4951</v>
      </c>
      <c r="J315" s="55" t="s">
        <v>4952</v>
      </c>
      <c r="K315" s="55" t="s">
        <v>61</v>
      </c>
      <c r="L315" s="143" t="s">
        <v>317</v>
      </c>
      <c r="M315" s="55" t="s">
        <v>78</v>
      </c>
      <c r="N315" s="55" t="s">
        <v>79</v>
      </c>
      <c r="O315" s="55" t="s">
        <v>910</v>
      </c>
      <c r="P315" s="55" t="s">
        <v>110</v>
      </c>
      <c r="Q315" s="129" t="str">
        <f>IFERROR(__xludf.DUMMYFUNCTION("""COMPUTED_VALUE"""),"Europe.Giaotiep.M284C237_XuBen.5018_MES_HuyLG_141024")</f>
        <v>Europe.Giaotiep.M284C237_XuBen.5018_MES_HuyLG_141024</v>
      </c>
      <c r="R315" s="129" t="str">
        <f>IFERROR(__xludf.DUMMYFUNCTION("""COMPUTED_VALUE"""),"NEW_Europe_2040_none_141024")</f>
        <v>NEW_Europe_2040_none_141024</v>
      </c>
      <c r="S315" s="129" t="str">
        <f>IFERROR(__xludf.DUMMYFUNCTION("""COMPUTED_VALUE"""),"saletructiep_Europe.Giaotiep.M284C237.2040_TATTP_LD154")</f>
        <v>saletructiep_Europe.Giaotiep.M284C237.2040_TATTP_LD154</v>
      </c>
      <c r="T315" s="130" t="str">
        <f>IFERROR(__xludf.DUMMYFUNCTION("""COMPUTED_VALUE"""),"https://patadovietnam.edu.vn/eu_hlg/?utm_source=Facebook&amp;utm_medium=MES&amp;utm_term=NEW_Europe_2040_none_141024&amp;utm_content=saletructiep_Europe.Giaotiep.M284C237.2040_TATTP_LD154&amp;utm_campaign=Europe.Giaotiep.M284C237_XuBen.5018_MES_HuyLG_141024")</f>
        <v>https://patadovietnam.edu.vn/eu_hlg/?utm_source=Facebook&amp;utm_medium=MES&amp;utm_term=NEW_Europe_2040_none_141024&amp;utm_content=saletructiep_Europe.Giaotiep.M284C237.2040_TATTP_LD154&amp;utm_campaign=Europe.Giaotiep.M284C237_XuBen.5018_MES_HuyLG_141024</v>
      </c>
      <c r="U315" s="112" t="s">
        <v>4957</v>
      </c>
    </row>
    <row r="316">
      <c r="A316" s="72">
        <v>45579.0</v>
      </c>
      <c r="B316" s="75" t="s">
        <v>4887</v>
      </c>
      <c r="C316" s="67" t="str">
        <f>IFERROR(__xludf.DUMMYFUNCTION("""COMPUTED_VALUE"""),"LD233")</f>
        <v>LD233</v>
      </c>
      <c r="D316" s="55" t="s">
        <v>42</v>
      </c>
      <c r="E316" s="55" t="s">
        <v>79</v>
      </c>
      <c r="F316" s="55" t="s">
        <v>107</v>
      </c>
      <c r="G316" s="55">
        <v>2040.0</v>
      </c>
      <c r="H316" s="55" t="s">
        <v>1131</v>
      </c>
      <c r="I316" s="55" t="s">
        <v>4959</v>
      </c>
      <c r="J316" s="55" t="s">
        <v>4960</v>
      </c>
      <c r="K316" s="55" t="s">
        <v>61</v>
      </c>
      <c r="L316" s="143" t="s">
        <v>317</v>
      </c>
      <c r="M316" s="55" t="s">
        <v>78</v>
      </c>
      <c r="N316" s="55" t="s">
        <v>79</v>
      </c>
      <c r="O316" s="55" t="s">
        <v>3271</v>
      </c>
      <c r="P316" s="55" t="s">
        <v>110</v>
      </c>
      <c r="Q316" s="67" t="str">
        <f>IFERROR(__xludf.DUMMYFUNCTION("""COMPUTED_VALUE"""),"UnitedStates.Giaotiep.M283C226_XuBen.5018_MES_HuyLG_141024")</f>
        <v>UnitedStates.Giaotiep.M283C226_XuBen.5018_MES_HuyLG_141024</v>
      </c>
      <c r="R316" s="67" t="str">
        <f>IFERROR(__xludf.DUMMYFUNCTION("""COMPUTED_VALUE"""),"NEW_UnitedStates_2040_none_141024")</f>
        <v>NEW_UnitedStates_2040_none_141024</v>
      </c>
      <c r="S316" s="67" t="str">
        <f>IFERROR(__xludf.DUMMYFUNCTION("""COMPUTED_VALUE"""),"saletructiep_UnitedStates.Giaotiep.M283C226.2040_PGPGTTA_LD233")</f>
        <v>saletructiep_UnitedStates.Giaotiep.M283C226.2040_PGPGTTA_LD233</v>
      </c>
      <c r="T316" s="107" t="str">
        <f>IFERROR(__xludf.DUMMYFUNCTION("""COMPUTED_VALUE"""),"https://patadovietnam.edu.vn/hlg_tattp_gt/?utm_source=Facebook&amp;utm_medium=MES&amp;utm_term=NEW_UnitedStates_2040_none_141024&amp;utm_content=saletructiep_UnitedStates.Giaotiep.M283C226.2040_PGPGTTA_LD233&amp;utm_campaign=UnitedStates.Giaotiep.M283C226_XuBen.5018_MES_"&amp;"HuyLG_141024")</f>
        <v>https://patadovietnam.edu.vn/hlg_tattp_gt/?utm_source=Facebook&amp;utm_medium=MES&amp;utm_term=NEW_UnitedStates_2040_none_141024&amp;utm_content=saletructiep_UnitedStates.Giaotiep.M283C226.2040_PGPGTTA_LD233&amp;utm_campaign=UnitedStates.Giaotiep.M283C226_XuBen.5018_MES_HuyLG_141024</v>
      </c>
      <c r="U316" s="110" t="s">
        <v>4969</v>
      </c>
    </row>
    <row r="317">
      <c r="A317" s="72">
        <v>45579.0</v>
      </c>
      <c r="B317" s="60" t="s">
        <v>4887</v>
      </c>
      <c r="C317" s="67" t="str">
        <f>IFERROR(__xludf.DUMMYFUNCTION("""COMPUTED_VALUE"""),"LD233")</f>
        <v>LD233</v>
      </c>
      <c r="D317" s="55" t="s">
        <v>42</v>
      </c>
      <c r="E317" s="55" t="s">
        <v>79</v>
      </c>
      <c r="F317" s="55" t="s">
        <v>199</v>
      </c>
      <c r="G317" s="55">
        <v>2040.0</v>
      </c>
      <c r="H317" s="55" t="s">
        <v>1131</v>
      </c>
      <c r="I317" s="55" t="s">
        <v>4972</v>
      </c>
      <c r="J317" s="55" t="s">
        <v>4974</v>
      </c>
      <c r="K317" s="55" t="s">
        <v>61</v>
      </c>
      <c r="L317" s="143" t="s">
        <v>317</v>
      </c>
      <c r="M317" s="55" t="s">
        <v>78</v>
      </c>
      <c r="N317" s="55" t="s">
        <v>1625</v>
      </c>
      <c r="O317" s="55" t="s">
        <v>910</v>
      </c>
      <c r="P317" s="55" t="s">
        <v>110</v>
      </c>
      <c r="Q317" s="67" t="str">
        <f>IFERROR(__xludf.DUMMYFUNCTION("""COMPUTED_VALUE"""),"Vietnam.Giaotiep.M285C241_XuBen.5018_REACH_HuyLG_141024")</f>
        <v>Vietnam.Giaotiep.M285C241_XuBen.5018_REACH_HuyLG_141024</v>
      </c>
      <c r="R317" s="67" t="str">
        <f>IFERROR(__xludf.DUMMYFUNCTION("""COMPUTED_VALUE"""),"NEW_Vietnam_2040_none_141024")</f>
        <v>NEW_Vietnam_2040_none_141024</v>
      </c>
      <c r="S317" s="67" t="str">
        <f>IFERROR(__xludf.DUMMYFUNCTION("""COMPUTED_VALUE"""),"saletructiep_Vietnam.Giaotiep.M285C241.2040_TATTP_LD233")</f>
        <v>saletructiep_Vietnam.Giaotiep.M285C241.2040_TATTP_LD233</v>
      </c>
      <c r="T317" s="107" t="str">
        <f>IFERROR(__xludf.DUMMYFUNCTION("""COMPUTED_VALUE"""),"https://patadovietnam.edu.vn/hlg_tattp_gt/?utm_source=Facebook&amp;utm_medium=MES&amp;utm_term=NEW_Vietnam_2040_none_141024&amp;utm_content=saletructiep_Vietnam.Giaotiep.M285C241.2040_TATTP_LD233&amp;utm_campaign=Vietnam.Giaotiep.M285C241_XuBen.5018_REACH_HuyLG_141024")</f>
        <v>https://patadovietnam.edu.vn/hlg_tattp_gt/?utm_source=Facebook&amp;utm_medium=MES&amp;utm_term=NEW_Vietnam_2040_none_141024&amp;utm_content=saletructiep_Vietnam.Giaotiep.M285C241.2040_TATTP_LD233&amp;utm_campaign=Vietnam.Giaotiep.M285C241_XuBen.5018_REACH_HuyLG_141024</v>
      </c>
      <c r="U317" s="110" t="s">
        <v>4980</v>
      </c>
    </row>
    <row r="318">
      <c r="A318" s="72">
        <v>45588.0</v>
      </c>
      <c r="B318" s="60" t="s">
        <v>772</v>
      </c>
      <c r="C318" s="67" t="str">
        <f>IFERROR(__xludf.DUMMYFUNCTION("""COMPUTED_VALUE"""),"LD115")</f>
        <v>LD115</v>
      </c>
      <c r="D318" s="55" t="s">
        <v>42</v>
      </c>
      <c r="E318" s="55" t="s">
        <v>69</v>
      </c>
      <c r="F318" s="55" t="s">
        <v>133</v>
      </c>
      <c r="G318" s="55">
        <v>2040.0</v>
      </c>
      <c r="H318" s="55" t="s">
        <v>1131</v>
      </c>
      <c r="I318" s="55" t="s">
        <v>4986</v>
      </c>
      <c r="J318" s="55" t="s">
        <v>4987</v>
      </c>
      <c r="K318" s="55" t="s">
        <v>61</v>
      </c>
      <c r="L318" s="143" t="s">
        <v>317</v>
      </c>
      <c r="M318" s="55" t="s">
        <v>78</v>
      </c>
      <c r="N318" s="55" t="s">
        <v>69</v>
      </c>
      <c r="O318" s="55" t="s">
        <v>910</v>
      </c>
      <c r="P318" s="55" t="s">
        <v>110</v>
      </c>
      <c r="Q318" s="67" t="str">
        <f>IFERROR(__xludf.DUMMYFUNCTION("""COMPUTED_VALUE"""),"Japan.Giaotiep.M289C248_XuBen.5018_CVS_HuyLG_231024")</f>
        <v>Japan.Giaotiep.M289C248_XuBen.5018_CVS_HuyLG_231024</v>
      </c>
      <c r="R318" s="67" t="str">
        <f>IFERROR(__xludf.DUMMYFUNCTION("""COMPUTED_VALUE"""),"NEW_Japan_2040_none_231024")</f>
        <v>NEW_Japan_2040_none_231024</v>
      </c>
      <c r="S318" s="67" t="str">
        <f>IFERROR(__xludf.DUMMYFUNCTION("""COMPUTED_VALUE"""),"saletructiep_Japan.Giaotiep.M289C248.2040_TATTP_LD115")</f>
        <v>saletructiep_Japan.Giaotiep.M289C248.2040_TATTP_LD115</v>
      </c>
      <c r="T318" s="107" t="str">
        <f>IFERROR(__xludf.DUMMYFUNCTION("""COMPUTED_VALUE"""),"https://patadovietnam.edu.vn/japancvs/?utm_source=Facebook&amp;utm_medium=CVS&amp;utm_term=NEW_Japan_2040_none_231024&amp;utm_content=saletructiep_Japan.Giaotiep.M289C248.2040_TATTP_LD115&amp;utm_campaign=Japan.Giaotiep.M289C248_XuBen.5018_CVS_HuyLG_231024")</f>
        <v>https://patadovietnam.edu.vn/japancvs/?utm_source=Facebook&amp;utm_medium=CVS&amp;utm_term=NEW_Japan_2040_none_231024&amp;utm_content=saletructiep_Japan.Giaotiep.M289C248.2040_TATTP_LD115&amp;utm_campaign=Japan.Giaotiep.M289C248_XuBen.5018_CVS_HuyLG_231024</v>
      </c>
      <c r="U318" s="110" t="s">
        <v>4993</v>
      </c>
    </row>
    <row r="319">
      <c r="A319" s="72">
        <v>45588.0</v>
      </c>
      <c r="B319" s="60" t="s">
        <v>4785</v>
      </c>
      <c r="C319" s="67" t="str">
        <f>IFERROR(__xludf.DUMMYFUNCTION("""COMPUTED_VALUE"""),"LD229")</f>
        <v>LD229</v>
      </c>
      <c r="D319" s="55" t="s">
        <v>42</v>
      </c>
      <c r="E319" s="55" t="s">
        <v>79</v>
      </c>
      <c r="F319" s="55" t="s">
        <v>539</v>
      </c>
      <c r="G319" s="55">
        <v>2040.0</v>
      </c>
      <c r="H319" s="55" t="s">
        <v>1131</v>
      </c>
      <c r="I319" s="55" t="s">
        <v>4997</v>
      </c>
      <c r="J319" s="55" t="s">
        <v>4998</v>
      </c>
      <c r="K319" s="55" t="s">
        <v>61</v>
      </c>
      <c r="L319" s="143" t="s">
        <v>317</v>
      </c>
      <c r="M319" s="55" t="s">
        <v>78</v>
      </c>
      <c r="N319" s="55" t="s">
        <v>79</v>
      </c>
      <c r="O319" s="55" t="s">
        <v>415</v>
      </c>
      <c r="P319" s="55" t="s">
        <v>110</v>
      </c>
      <c r="Q319" s="222" t="str">
        <f>IFERROR(__xludf.DUMMYFUNCTION("""COMPUTED_VALUE"""),"ALL.Giaotiep.M289C248_XuBen.5018_MES_HuyLG_231024")</f>
        <v>ALL.Giaotiep.M289C248_XuBen.5018_MES_HuyLG_231024</v>
      </c>
      <c r="R319" s="222" t="str">
        <f>IFERROR(__xludf.DUMMYFUNCTION("""COMPUTED_VALUE"""),"NEW_ALL_2040_none_231024")</f>
        <v>NEW_ALL_2040_none_231024</v>
      </c>
      <c r="S319" s="222" t="str">
        <f>IFERROR(__xludf.DUMMYFUNCTION("""COMPUTED_VALUE"""),"saletructiep_ALL.Giaotiep.M289C248.2040_TATTPVN_LD229")</f>
        <v>saletructiep_ALL.Giaotiep.M289C248.2040_TATTPVN_LD229</v>
      </c>
      <c r="T319" s="223" t="str">
        <f>IFERROR(__xludf.DUMMYFUNCTION("""COMPUTED_VALUE"""),"https://patadovietnam.edu.vn/hlg_tattpvn_gt/?utm_source=Facebook&amp;utm_medium=MES&amp;utm_term=NEW_ALL_2040_none_231024&amp;utm_content=saletructiep_ALL.Giaotiep.M289C248.2040_TATTPVN_LD229&amp;utm_campaign=ALL.Giaotiep.M289C248_XuBen.5018_MES_HuyLG_231024")</f>
        <v>https://patadovietnam.edu.vn/hlg_tattpvn_gt/?utm_source=Facebook&amp;utm_medium=MES&amp;utm_term=NEW_ALL_2040_none_231024&amp;utm_content=saletructiep_ALL.Giaotiep.M289C248.2040_TATTPVN_LD229&amp;utm_campaign=ALL.Giaotiep.M289C248_XuBen.5018_MES_HuyLG_231024</v>
      </c>
      <c r="U319" s="110" t="s">
        <v>5007</v>
      </c>
    </row>
    <row r="320">
      <c r="A320" s="72">
        <v>45588.0</v>
      </c>
      <c r="B320" s="60" t="s">
        <v>4887</v>
      </c>
      <c r="C320" s="67" t="str">
        <f>IFERROR(__xludf.DUMMYFUNCTION("""COMPUTED_VALUE"""),"LD233")</f>
        <v>LD233</v>
      </c>
      <c r="D320" s="55" t="s">
        <v>42</v>
      </c>
      <c r="E320" s="55" t="s">
        <v>79</v>
      </c>
      <c r="F320" s="55" t="s">
        <v>107</v>
      </c>
      <c r="G320" s="55">
        <v>2040.0</v>
      </c>
      <c r="H320" s="55" t="s">
        <v>1131</v>
      </c>
      <c r="I320" s="55" t="s">
        <v>5012</v>
      </c>
      <c r="J320" s="55" t="s">
        <v>5013</v>
      </c>
      <c r="K320" s="55" t="s">
        <v>61</v>
      </c>
      <c r="L320" s="143" t="s">
        <v>317</v>
      </c>
      <c r="M320" s="55" t="s">
        <v>78</v>
      </c>
      <c r="N320" s="55" t="s">
        <v>79</v>
      </c>
      <c r="O320" s="55" t="s">
        <v>910</v>
      </c>
      <c r="P320" s="55" t="s">
        <v>110</v>
      </c>
      <c r="Q320" s="67" t="str">
        <f>IFERROR(__xludf.DUMMYFUNCTION("""COMPUTED_VALUE"""),"UnitedStates.Giaotiep.M231C203_XuBen.5018_MES_HuyLG_231024")</f>
        <v>UnitedStates.Giaotiep.M231C203_XuBen.5018_MES_HuyLG_231024</v>
      </c>
      <c r="R320" s="67" t="str">
        <f>IFERROR(__xludf.DUMMYFUNCTION("""COMPUTED_VALUE"""),"NEW_UnitedStates_2040_none_231024")</f>
        <v>NEW_UnitedStates_2040_none_231024</v>
      </c>
      <c r="S320" s="67" t="str">
        <f>IFERROR(__xludf.DUMMYFUNCTION("""COMPUTED_VALUE"""),"saletructiep_UnitedStates.Giaotiep.M231C203.2040_TATTP_LD233")</f>
        <v>saletructiep_UnitedStates.Giaotiep.M231C203.2040_TATTP_LD233</v>
      </c>
      <c r="T320" s="107" t="str">
        <f>IFERROR(__xludf.DUMMYFUNCTION("""COMPUTED_VALUE"""),"https://patadovietnam.edu.vn/hlg_tattp_gt/?utm_source=Facebook&amp;utm_medium=MES&amp;utm_term=NEW_UnitedStates_2040_none_231024&amp;utm_content=saletructiep_UnitedStates.Giaotiep.M231C203.2040_TATTP_LD233&amp;utm_campaign=UnitedStates.Giaotiep.M231C203_XuBen.5018_MES_Hu"&amp;"yLG_231024")</f>
        <v>https://patadovietnam.edu.vn/hlg_tattp_gt/?utm_source=Facebook&amp;utm_medium=MES&amp;utm_term=NEW_UnitedStates_2040_none_231024&amp;utm_content=saletructiep_UnitedStates.Giaotiep.M231C203.2040_TATTP_LD233&amp;utm_campaign=UnitedStates.Giaotiep.M231C203_XuBen.5018_MES_HuyLG_231024</v>
      </c>
      <c r="U320" s="110" t="s">
        <v>5019</v>
      </c>
    </row>
    <row r="321">
      <c r="A321" s="72">
        <v>45588.0</v>
      </c>
      <c r="B321" s="60" t="s">
        <v>3461</v>
      </c>
      <c r="C321" s="67" t="str">
        <f>IFERROR(__xludf.DUMMYFUNCTION("""COMPUTED_VALUE"""),"LD154")</f>
        <v>LD154</v>
      </c>
      <c r="D321" s="55" t="s">
        <v>42</v>
      </c>
      <c r="E321" s="55" t="s">
        <v>69</v>
      </c>
      <c r="F321" s="55" t="s">
        <v>674</v>
      </c>
      <c r="G321" s="55">
        <v>2040.0</v>
      </c>
      <c r="H321" s="55" t="s">
        <v>1131</v>
      </c>
      <c r="I321" s="55" t="s">
        <v>5024</v>
      </c>
      <c r="J321" s="55" t="s">
        <v>5025</v>
      </c>
      <c r="K321" s="55" t="s">
        <v>61</v>
      </c>
      <c r="L321" s="143" t="s">
        <v>317</v>
      </c>
      <c r="M321" s="55" t="s">
        <v>78</v>
      </c>
      <c r="N321" s="55" t="s">
        <v>79</v>
      </c>
      <c r="O321" s="55" t="s">
        <v>910</v>
      </c>
      <c r="P321" s="55" t="s">
        <v>110</v>
      </c>
      <c r="Q321" s="67" t="str">
        <f>IFERROR(__xludf.DUMMYFUNCTION("""COMPUTED_VALUE"""),"Europe.Giaotiep.M294C250_XuBen.5018_MES_HuyLG_231024")</f>
        <v>Europe.Giaotiep.M294C250_XuBen.5018_MES_HuyLG_231024</v>
      </c>
      <c r="R321" s="67" t="str">
        <f>IFERROR(__xludf.DUMMYFUNCTION("""COMPUTED_VALUE"""),"NEW_Europe_2040_none_231024")</f>
        <v>NEW_Europe_2040_none_231024</v>
      </c>
      <c r="S321" s="67" t="str">
        <f>IFERROR(__xludf.DUMMYFUNCTION("""COMPUTED_VALUE"""),"saletructiep_Europe.Giaotiep.M294C250.2040_TATTP_LD154")</f>
        <v>saletructiep_Europe.Giaotiep.M294C250.2040_TATTP_LD154</v>
      </c>
      <c r="T321" s="107" t="str">
        <f>IFERROR(__xludf.DUMMYFUNCTION("""COMPUTED_VALUE"""),"https://patadovietnam.edu.vn/eu_hlg/?utm_source=Facebook&amp;utm_medium=CVS&amp;utm_term=NEW_Europe_2040_none_231024&amp;utm_content=saletructiep_Europe.Giaotiep.M294C250.2040_TATTP_LD154&amp;utm_campaign=Europe.Giaotiep.M294C250_XuBen.5018_MES_HuyLG_231024")</f>
        <v>https://patadovietnam.edu.vn/eu_hlg/?utm_source=Facebook&amp;utm_medium=CVS&amp;utm_term=NEW_Europe_2040_none_231024&amp;utm_content=saletructiep_Europe.Giaotiep.M294C250.2040_TATTP_LD154&amp;utm_campaign=Europe.Giaotiep.M294C250_XuBen.5018_MES_HuyLG_231024</v>
      </c>
      <c r="U321" s="110" t="s">
        <v>5032</v>
      </c>
    </row>
    <row r="322">
      <c r="A322" s="72">
        <v>45597.0</v>
      </c>
      <c r="B322" s="60" t="s">
        <v>772</v>
      </c>
      <c r="C322" s="67" t="str">
        <f>IFERROR(__xludf.DUMMYFUNCTION("""COMPUTED_VALUE"""),"LD115")</f>
        <v>LD115</v>
      </c>
      <c r="D322" s="55" t="s">
        <v>42</v>
      </c>
      <c r="E322" s="55" t="s">
        <v>79</v>
      </c>
      <c r="F322" s="55" t="s">
        <v>133</v>
      </c>
      <c r="G322" s="55">
        <v>2040.0</v>
      </c>
      <c r="H322" s="55" t="s">
        <v>1131</v>
      </c>
      <c r="I322" s="55" t="s">
        <v>5036</v>
      </c>
      <c r="J322" s="55" t="s">
        <v>5037</v>
      </c>
      <c r="K322" s="55" t="s">
        <v>61</v>
      </c>
      <c r="L322" s="143" t="s">
        <v>317</v>
      </c>
      <c r="M322" s="55" t="s">
        <v>78</v>
      </c>
      <c r="N322" s="55" t="s">
        <v>79</v>
      </c>
      <c r="O322" s="55" t="s">
        <v>910</v>
      </c>
      <c r="P322" s="55" t="s">
        <v>110</v>
      </c>
      <c r="Q322" s="67" t="str">
        <f>IFERROR(__xludf.DUMMYFUNCTION("""COMPUTED_VALUE"""),"Japan.Giaotiep.M300C262_XuBen.5018_MES_HuyLG_011124")</f>
        <v>Japan.Giaotiep.M300C262_XuBen.5018_MES_HuyLG_011124</v>
      </c>
      <c r="R322" s="67" t="str">
        <f>IFERROR(__xludf.DUMMYFUNCTION("""COMPUTED_VALUE"""),"NEW_Japan_2040_none_011124")</f>
        <v>NEW_Japan_2040_none_011124</v>
      </c>
      <c r="S322" s="67" t="str">
        <f>IFERROR(__xludf.DUMMYFUNCTION("""COMPUTED_VALUE"""),"saletructiep_Japan.Giaotiep.M300C262.2040_TATTP_LD115")</f>
        <v>saletructiep_Japan.Giaotiep.M300C262.2040_TATTP_LD115</v>
      </c>
      <c r="T322" s="107" t="str">
        <f>IFERROR(__xludf.DUMMYFUNCTION("""COMPUTED_VALUE"""),"https://patadovietnam.edu.vn/japancvs/?utm_source=Facebook&amp;utm_medium=MES&amp;utm_term=NEW_Japan_2040_none_011124&amp;utm_content=saletructiep_Japan.Giaotiep.M300C262.2040_TATTP_LD115&amp;utm_campaign=Japan.Giaotiep.M300C262_XuBen.5018_MES_HuyLG_011124")</f>
        <v>https://patadovietnam.edu.vn/japancvs/?utm_source=Facebook&amp;utm_medium=MES&amp;utm_term=NEW_Japan_2040_none_011124&amp;utm_content=saletructiep_Japan.Giaotiep.M300C262.2040_TATTP_LD115&amp;utm_campaign=Japan.Giaotiep.M300C262_XuBen.5018_MES_HuyLG_011124</v>
      </c>
      <c r="U322" s="110" t="s">
        <v>5041</v>
      </c>
    </row>
    <row r="323">
      <c r="A323" s="72">
        <v>45597.0</v>
      </c>
      <c r="B323" s="60" t="s">
        <v>4887</v>
      </c>
      <c r="C323" s="67" t="str">
        <f>IFERROR(__xludf.DUMMYFUNCTION("""COMPUTED_VALUE"""),"LD233")</f>
        <v>LD233</v>
      </c>
      <c r="D323" s="55" t="s">
        <v>42</v>
      </c>
      <c r="E323" s="55" t="s">
        <v>79</v>
      </c>
      <c r="F323" s="55" t="s">
        <v>129</v>
      </c>
      <c r="G323" s="55">
        <v>2040.0</v>
      </c>
      <c r="H323" s="55" t="s">
        <v>1131</v>
      </c>
      <c r="I323" s="55" t="s">
        <v>5046</v>
      </c>
      <c r="J323" s="55" t="s">
        <v>5047</v>
      </c>
      <c r="K323" s="55" t="s">
        <v>61</v>
      </c>
      <c r="L323" s="143" t="s">
        <v>317</v>
      </c>
      <c r="M323" s="55" t="s">
        <v>78</v>
      </c>
      <c r="N323" s="55" t="s">
        <v>79</v>
      </c>
      <c r="O323" s="55" t="s">
        <v>910</v>
      </c>
      <c r="P323" s="55" t="s">
        <v>110</v>
      </c>
      <c r="Q323" s="224" t="str">
        <f>IFERROR(__xludf.DUMMYFUNCTION("""COMPUTED_VALUE"""),"Australia.Giaotiep.M300C262_XuBen.5018_MES_HuyLG_011124")</f>
        <v>Australia.Giaotiep.M300C262_XuBen.5018_MES_HuyLG_011124</v>
      </c>
      <c r="R323" s="224" t="str">
        <f>IFERROR(__xludf.DUMMYFUNCTION("""COMPUTED_VALUE"""),"NEW_Australia_2040_none_011124")</f>
        <v>NEW_Australia_2040_none_011124</v>
      </c>
      <c r="S323" s="224" t="str">
        <f>IFERROR(__xludf.DUMMYFUNCTION("""COMPUTED_VALUE"""),"saletructiep_Australia.Giaotiep.M300C262.2040_TATTP_LD233")</f>
        <v>saletructiep_Australia.Giaotiep.M300C262.2040_TATTP_LD233</v>
      </c>
      <c r="T323" s="225" t="str">
        <f>IFERROR(__xludf.DUMMYFUNCTION("""COMPUTED_VALUE"""),"https://patadovietnam.edu.vn/hlg_tattp_gt/?utm_source=Facebook&amp;utm_medium=MES&amp;utm_term=NEW_Australia_2040_none_011124&amp;utm_content=saletructiep_Australia.Giaotiep.M300C262.2040_TATTP_LD233&amp;utm_campaign=Australia.Giaotiep.M300C262_XuBen.5018_MES_HuyLG_01112"&amp;"4")</f>
        <v>https://patadovietnam.edu.vn/hlg_tattp_gt/?utm_source=Facebook&amp;utm_medium=MES&amp;utm_term=NEW_Australia_2040_none_011124&amp;utm_content=saletructiep_Australia.Giaotiep.M300C262.2040_TATTP_LD233&amp;utm_campaign=Australia.Giaotiep.M300C262_XuBen.5018_MES_HuyLG_011124</v>
      </c>
      <c r="U323" s="110" t="s">
        <v>5051</v>
      </c>
    </row>
    <row r="324">
      <c r="A324" s="72">
        <v>45597.0</v>
      </c>
      <c r="B324" s="60" t="s">
        <v>3461</v>
      </c>
      <c r="C324" s="67" t="str">
        <f>IFERROR(__xludf.DUMMYFUNCTION("""COMPUTED_VALUE"""),"LD154")</f>
        <v>LD154</v>
      </c>
      <c r="D324" s="55" t="s">
        <v>42</v>
      </c>
      <c r="E324" s="55" t="s">
        <v>79</v>
      </c>
      <c r="F324" s="55" t="s">
        <v>674</v>
      </c>
      <c r="G324" s="55">
        <v>2040.0</v>
      </c>
      <c r="H324" s="55" t="s">
        <v>1131</v>
      </c>
      <c r="I324" s="55" t="s">
        <v>5055</v>
      </c>
      <c r="J324" s="55" t="s">
        <v>5056</v>
      </c>
      <c r="K324" s="55" t="s">
        <v>61</v>
      </c>
      <c r="L324" s="143" t="s">
        <v>317</v>
      </c>
      <c r="M324" s="55" t="s">
        <v>78</v>
      </c>
      <c r="N324" s="55" t="s">
        <v>79</v>
      </c>
      <c r="O324" s="55" t="s">
        <v>910</v>
      </c>
      <c r="P324" s="55" t="s">
        <v>110</v>
      </c>
      <c r="Q324" s="67" t="str">
        <f>IFERROR(__xludf.DUMMYFUNCTION("""COMPUTED_VALUE"""),"Europe.Giaotiep.M300C262_XuBen.5018_MES_HuyLG_011124")</f>
        <v>Europe.Giaotiep.M300C262_XuBen.5018_MES_HuyLG_011124</v>
      </c>
      <c r="R324" s="67" t="str">
        <f>IFERROR(__xludf.DUMMYFUNCTION("""COMPUTED_VALUE"""),"NEW_Europe_2040_none_011124")</f>
        <v>NEW_Europe_2040_none_011124</v>
      </c>
      <c r="S324" s="67" t="str">
        <f>IFERROR(__xludf.DUMMYFUNCTION("""COMPUTED_VALUE"""),"saletructiep_Europe.Giaotiep.M300C262.2040_TATTP_LD154")</f>
        <v>saletructiep_Europe.Giaotiep.M300C262.2040_TATTP_LD154</v>
      </c>
      <c r="T324" s="107" t="str">
        <f>IFERROR(__xludf.DUMMYFUNCTION("""COMPUTED_VALUE"""),"https://patadovietnam.edu.vn/eu_hlg/?utm_source=Facebook&amp;utm_medium=MES&amp;utm_term=NEW_Europe_2040_none_011124&amp;utm_content=saletructiep_Europe.Giaotiep.M300C262.2040_TATTP_LD154&amp;utm_campaign=Europe.Giaotiep.M300C262_XuBen.5018_MES_HuyLG_011124")</f>
        <v>https://patadovietnam.edu.vn/eu_hlg/?utm_source=Facebook&amp;utm_medium=MES&amp;utm_term=NEW_Europe_2040_none_011124&amp;utm_content=saletructiep_Europe.Giaotiep.M300C262.2040_TATTP_LD154&amp;utm_campaign=Europe.Giaotiep.M300C262_XuBen.5018_MES_HuyLG_011124</v>
      </c>
      <c r="U324" s="110" t="s">
        <v>5063</v>
      </c>
    </row>
    <row r="325">
      <c r="A325" s="72">
        <v>45609.0</v>
      </c>
      <c r="B325" s="60" t="s">
        <v>4785</v>
      </c>
      <c r="C325" s="67" t="str">
        <f>IFERROR(__xludf.DUMMYFUNCTION("""COMPUTED_VALUE"""),"LD229")</f>
        <v>LD229</v>
      </c>
      <c r="D325" s="55" t="s">
        <v>42</v>
      </c>
      <c r="E325" s="55" t="s">
        <v>79</v>
      </c>
      <c r="F325" s="55" t="s">
        <v>539</v>
      </c>
      <c r="G325" s="55">
        <v>2040.0</v>
      </c>
      <c r="H325" s="55" t="s">
        <v>1131</v>
      </c>
      <c r="I325" s="55" t="s">
        <v>5067</v>
      </c>
      <c r="J325" s="55" t="s">
        <v>5068</v>
      </c>
      <c r="K325" s="55" t="s">
        <v>61</v>
      </c>
      <c r="L325" s="143" t="s">
        <v>317</v>
      </c>
      <c r="M325" s="55" t="s">
        <v>78</v>
      </c>
      <c r="N325" s="55" t="s">
        <v>79</v>
      </c>
      <c r="O325" s="55" t="s">
        <v>415</v>
      </c>
      <c r="P325" s="55" t="s">
        <v>110</v>
      </c>
      <c r="Q325" s="67" t="str">
        <f>IFERROR(__xludf.DUMMYFUNCTION("""COMPUTED_VALUE"""),"ALL.Giaotiep.M306C264_XuBen.5018_MES_HuyLG_131124")</f>
        <v>ALL.Giaotiep.M306C264_XuBen.5018_MES_HuyLG_131124</v>
      </c>
      <c r="R325" s="67" t="str">
        <f>IFERROR(__xludf.DUMMYFUNCTION("""COMPUTED_VALUE"""),"NEW_ALL_2040_none_131124")</f>
        <v>NEW_ALL_2040_none_131124</v>
      </c>
      <c r="S325" s="67" t="str">
        <f>IFERROR(__xludf.DUMMYFUNCTION("""COMPUTED_VALUE"""),"saletructiep_ALL.Giaotiep.M306C264.2040_TATTPVN_LD229")</f>
        <v>saletructiep_ALL.Giaotiep.M306C264.2040_TATTPVN_LD229</v>
      </c>
      <c r="T325" s="107" t="str">
        <f>IFERROR(__xludf.DUMMYFUNCTION("""COMPUTED_VALUE"""),"https://patadovietnam.edu.vn/hlg_tattpvn_gt/?utm_source=Facebook&amp;utm_medium=MES&amp;utm_term=NEW_ALL_2040_none_131124&amp;utm_content=saletructiep_ALL.Giaotiep.M306C264.2040_TATTPVN_LD229&amp;utm_campaign=ALL.Giaotiep.M306C264_XuBen.5018_MES_HuyLG_131124")</f>
        <v>https://patadovietnam.edu.vn/hlg_tattpvn_gt/?utm_source=Facebook&amp;utm_medium=MES&amp;utm_term=NEW_ALL_2040_none_131124&amp;utm_content=saletructiep_ALL.Giaotiep.M306C264.2040_TATTPVN_LD229&amp;utm_campaign=ALL.Giaotiep.M306C264_XuBen.5018_MES_HuyLG_131124</v>
      </c>
      <c r="U325" s="110" t="s">
        <v>5072</v>
      </c>
    </row>
    <row r="326">
      <c r="A326" s="72">
        <v>45609.0</v>
      </c>
      <c r="B326" s="60" t="s">
        <v>772</v>
      </c>
      <c r="C326" s="67" t="str">
        <f>IFERROR(__xludf.DUMMYFUNCTION("""COMPUTED_VALUE"""),"LD115")</f>
        <v>LD115</v>
      </c>
      <c r="D326" s="55" t="s">
        <v>42</v>
      </c>
      <c r="E326" s="55" t="s">
        <v>69</v>
      </c>
      <c r="F326" s="55" t="s">
        <v>133</v>
      </c>
      <c r="G326" s="55">
        <v>2040.0</v>
      </c>
      <c r="H326" s="55" t="s">
        <v>1131</v>
      </c>
      <c r="I326" s="55" t="s">
        <v>5076</v>
      </c>
      <c r="J326" s="55" t="s">
        <v>5077</v>
      </c>
      <c r="K326" s="55" t="s">
        <v>61</v>
      </c>
      <c r="L326" s="143" t="s">
        <v>317</v>
      </c>
      <c r="M326" s="55" t="s">
        <v>78</v>
      </c>
      <c r="N326" s="55" t="s">
        <v>69</v>
      </c>
      <c r="O326" s="55" t="s">
        <v>415</v>
      </c>
      <c r="P326" s="55" t="s">
        <v>110</v>
      </c>
      <c r="Q326" s="67" t="str">
        <f>IFERROR(__xludf.DUMMYFUNCTION("""COMPUTED_VALUE"""),"Japan.Giaotiep.M307C268_XuBen.5018_CVS_HuyLG_131124")</f>
        <v>Japan.Giaotiep.M307C268_XuBen.5018_CVS_HuyLG_131124</v>
      </c>
      <c r="R326" s="67" t="str">
        <f>IFERROR(__xludf.DUMMYFUNCTION("""COMPUTED_VALUE"""),"NEW_Japan_2040_none_131124")</f>
        <v>NEW_Japan_2040_none_131124</v>
      </c>
      <c r="S326" s="67" t="str">
        <f>IFERROR(__xludf.DUMMYFUNCTION("""COMPUTED_VALUE"""),"saletructiep_Japan.Giaotiep.M307C268.2040_TATTPVN_LD115")</f>
        <v>saletructiep_Japan.Giaotiep.M307C268.2040_TATTPVN_LD115</v>
      </c>
      <c r="T326" s="107" t="str">
        <f>IFERROR(__xludf.DUMMYFUNCTION("""COMPUTED_VALUE"""),"https://patadovietnam.edu.vn/japancvs/?utm_source=Facebook&amp;utm_medium=CVS&amp;utm_term=NEW_Japan_2040_none_131124&amp;utm_content=saletructiep_Japan.Giaotiep.M307C268.2040_TATTPVN_LD115&amp;utm_campaign=Japan.Giaotiep.M307C268_XuBen.5018_CVS_HuyLG_131124")</f>
        <v>https://patadovietnam.edu.vn/japancvs/?utm_source=Facebook&amp;utm_medium=CVS&amp;utm_term=NEW_Japan_2040_none_131124&amp;utm_content=saletructiep_Japan.Giaotiep.M307C268.2040_TATTPVN_LD115&amp;utm_campaign=Japan.Giaotiep.M307C268_XuBen.5018_CVS_HuyLG_131124</v>
      </c>
      <c r="U326" s="111" t="s">
        <v>5082</v>
      </c>
    </row>
    <row r="327">
      <c r="A327" s="72">
        <v>45615.0</v>
      </c>
      <c r="B327" s="60" t="s">
        <v>4887</v>
      </c>
      <c r="C327" s="67" t="str">
        <f>IFERROR(__xludf.DUMMYFUNCTION("""COMPUTED_VALUE"""),"LD233")</f>
        <v>LD233</v>
      </c>
      <c r="D327" s="55" t="s">
        <v>42</v>
      </c>
      <c r="E327" s="55" t="s">
        <v>79</v>
      </c>
      <c r="F327" s="55" t="s">
        <v>539</v>
      </c>
      <c r="G327" s="55">
        <v>2040.0</v>
      </c>
      <c r="H327" s="55" t="s">
        <v>1131</v>
      </c>
      <c r="I327" s="55" t="s">
        <v>5087</v>
      </c>
      <c r="J327" s="55" t="s">
        <v>5088</v>
      </c>
      <c r="K327" s="55" t="s">
        <v>61</v>
      </c>
      <c r="L327" s="143" t="s">
        <v>317</v>
      </c>
      <c r="M327" s="55" t="s">
        <v>78</v>
      </c>
      <c r="N327" s="55" t="s">
        <v>79</v>
      </c>
      <c r="O327" s="55" t="s">
        <v>910</v>
      </c>
      <c r="P327" s="55" t="s">
        <v>110</v>
      </c>
      <c r="Q327" s="67" t="str">
        <f>IFERROR(__xludf.DUMMYFUNCTION("""COMPUTED_VALUE"""),"ALL.Giaotiep.M311C268_XuBen.5018_MES_HuyLG_191124")</f>
        <v>ALL.Giaotiep.M311C268_XuBen.5018_MES_HuyLG_191124</v>
      </c>
      <c r="R327" s="67" t="str">
        <f>IFERROR(__xludf.DUMMYFUNCTION("""COMPUTED_VALUE"""),"NEW_ALL_2040_none_191124")</f>
        <v>NEW_ALL_2040_none_191124</v>
      </c>
      <c r="S327" s="67" t="str">
        <f>IFERROR(__xludf.DUMMYFUNCTION("""COMPUTED_VALUE"""),"saletructiep_ALL.Giaotiep.M311C268.2040_TATTP_LD233")</f>
        <v>saletructiep_ALL.Giaotiep.M311C268.2040_TATTP_LD233</v>
      </c>
      <c r="T327" s="107" t="str">
        <f>IFERROR(__xludf.DUMMYFUNCTION("""COMPUTED_VALUE"""),"https://patadovietnam.edu.vn/hlg_tattp_gt/?utm_source=Facebook&amp;utm_medium=MES&amp;utm_term=NEW_ALL_2040_none_191124&amp;utm_content=saletructiep_ALL.Giaotiep.M311C268.2040_TATTP_LD233&amp;utm_campaign=ALL.Giaotiep.M311C268_XuBen.5018_MES_HuyLG_191124")</f>
        <v>https://patadovietnam.edu.vn/hlg_tattp_gt/?utm_source=Facebook&amp;utm_medium=MES&amp;utm_term=NEW_ALL_2040_none_191124&amp;utm_content=saletructiep_ALL.Giaotiep.M311C268.2040_TATTP_LD233&amp;utm_campaign=ALL.Giaotiep.M311C268_XuBen.5018_MES_HuyLG_191124</v>
      </c>
      <c r="U327" s="110" t="s">
        <v>5090</v>
      </c>
    </row>
    <row r="328">
      <c r="A328" s="72">
        <v>45615.0</v>
      </c>
      <c r="B328" s="60" t="s">
        <v>4760</v>
      </c>
      <c r="C328" s="67" t="str">
        <f>IFERROR(__xludf.DUMMYFUNCTION("""COMPUTED_VALUE"""),"LD226")</f>
        <v>LD226</v>
      </c>
      <c r="D328" s="55" t="s">
        <v>42</v>
      </c>
      <c r="E328" s="55" t="s">
        <v>79</v>
      </c>
      <c r="F328" s="55" t="s">
        <v>133</v>
      </c>
      <c r="G328" s="55">
        <v>2040.0</v>
      </c>
      <c r="H328" s="55" t="s">
        <v>1131</v>
      </c>
      <c r="I328" s="55" t="s">
        <v>5094</v>
      </c>
      <c r="J328" s="55" t="s">
        <v>5095</v>
      </c>
      <c r="K328" s="55" t="s">
        <v>61</v>
      </c>
      <c r="L328" s="143" t="s">
        <v>317</v>
      </c>
      <c r="M328" s="55" t="s">
        <v>78</v>
      </c>
      <c r="N328" s="55" t="s">
        <v>79</v>
      </c>
      <c r="O328" s="55" t="s">
        <v>3271</v>
      </c>
      <c r="P328" s="55" t="s">
        <v>110</v>
      </c>
      <c r="Q328" s="67" t="str">
        <f>IFERROR(__xludf.DUMMYFUNCTION("""COMPUTED_VALUE"""),"Japan.Giaotiep.M312C267_XuBen.5018_MES_HuyLG_191124")</f>
        <v>Japan.Giaotiep.M312C267_XuBen.5018_MES_HuyLG_191124</v>
      </c>
      <c r="R328" s="67" t="str">
        <f>IFERROR(__xludf.DUMMYFUNCTION("""COMPUTED_VALUE"""),"NEW_Japan_2040_none_191124")</f>
        <v>NEW_Japan_2040_none_191124</v>
      </c>
      <c r="S328" s="67" t="str">
        <f>IFERROR(__xludf.DUMMYFUNCTION("""COMPUTED_VALUE"""),"saletructiep_Japan.Giaotiep.M312C267.2040_PGPGTTA_LD226")</f>
        <v>saletructiep_Japan.Giaotiep.M312C267.2040_PGPGTTA_LD226</v>
      </c>
      <c r="T328" s="107" t="str">
        <f>IFERROR(__xludf.DUMMYFUNCTION("""COMPUTED_VALUE"""),"https://patadovietnam.edu.vn/hlg_pgpgtta_gt/?utm_source=Facebook&amp;utm_medium=MES&amp;utm_term=NEW_Japan_2040_none_191124&amp;utm_content=saletructiep_Japan.Giaotiep.M312C267.2040_PGPGTTA_LD226&amp;utm_campaign=Japan.Giaotiep.M312C267_XuBen.5018_MES_HuyLG_191124")</f>
        <v>https://patadovietnam.edu.vn/hlg_pgpgtta_gt/?utm_source=Facebook&amp;utm_medium=MES&amp;utm_term=NEW_Japan_2040_none_191124&amp;utm_content=saletructiep_Japan.Giaotiep.M312C267.2040_PGPGTTA_LD226&amp;utm_campaign=Japan.Giaotiep.M312C267_XuBen.5018_MES_HuyLG_191124</v>
      </c>
      <c r="U328" s="110" t="s">
        <v>5101</v>
      </c>
    </row>
    <row r="329">
      <c r="A329" s="72">
        <v>45622.0</v>
      </c>
      <c r="B329" s="60" t="s">
        <v>3461</v>
      </c>
      <c r="C329" s="67" t="str">
        <f>IFERROR(__xludf.DUMMYFUNCTION("""COMPUTED_VALUE"""),"LD154")</f>
        <v>LD154</v>
      </c>
      <c r="D329" s="55" t="s">
        <v>42</v>
      </c>
      <c r="E329" s="55" t="s">
        <v>79</v>
      </c>
      <c r="F329" s="55" t="s">
        <v>674</v>
      </c>
      <c r="G329" s="55">
        <v>2040.0</v>
      </c>
      <c r="H329" s="55" t="s">
        <v>1131</v>
      </c>
      <c r="I329" s="55" t="s">
        <v>5103</v>
      </c>
      <c r="J329" s="55" t="s">
        <v>5105</v>
      </c>
      <c r="K329" s="55" t="s">
        <v>61</v>
      </c>
      <c r="L329" s="143" t="s">
        <v>317</v>
      </c>
      <c r="M329" s="55" t="s">
        <v>78</v>
      </c>
      <c r="N329" s="55" t="s">
        <v>79</v>
      </c>
      <c r="O329" s="55" t="s">
        <v>910</v>
      </c>
      <c r="P329" s="55" t="s">
        <v>110</v>
      </c>
      <c r="Q329" s="67" t="str">
        <f>IFERROR(__xludf.DUMMYFUNCTION("""COMPUTED_VALUE"""),"Europe.Giaotiep.M321C275_XuBen.5018_MES_HuyLG_261124")</f>
        <v>Europe.Giaotiep.M321C275_XuBen.5018_MES_HuyLG_261124</v>
      </c>
      <c r="R329" s="67" t="str">
        <f>IFERROR(__xludf.DUMMYFUNCTION("""COMPUTED_VALUE"""),"NEW_Europe_2040_none_261124")</f>
        <v>NEW_Europe_2040_none_261124</v>
      </c>
      <c r="S329" s="67" t="str">
        <f>IFERROR(__xludf.DUMMYFUNCTION("""COMPUTED_VALUE"""),"saletructiep_Europe.Giaotiep.M321C275.2040_TATTP_LD154")</f>
        <v>saletructiep_Europe.Giaotiep.M321C275.2040_TATTP_LD154</v>
      </c>
      <c r="T329" s="107" t="str">
        <f>IFERROR(__xludf.DUMMYFUNCTION("""COMPUTED_VALUE"""),"https://patadovietnam.edu.vn/eu_hlg/?utm_source=Facebook&amp;utm_medium=MES&amp;utm_term=NEW_Europe_2040_none_261124&amp;utm_content=saletructiep_Europe.Giaotiep.M321C275.2040_TATTP_LD154&amp;utm_campaign=Europe.Giaotiep.M321C275_XuBen.5018_MES_HuyLG_261124")</f>
        <v>https://patadovietnam.edu.vn/eu_hlg/?utm_source=Facebook&amp;utm_medium=MES&amp;utm_term=NEW_Europe_2040_none_261124&amp;utm_content=saletructiep_Europe.Giaotiep.M321C275.2040_TATTP_LD154&amp;utm_campaign=Europe.Giaotiep.M321C275_XuBen.5018_MES_HuyLG_261124</v>
      </c>
      <c r="U329" s="110" t="s">
        <v>5111</v>
      </c>
    </row>
    <row r="330">
      <c r="A330" s="72">
        <v>45622.0</v>
      </c>
      <c r="B330" s="60" t="s">
        <v>4887</v>
      </c>
      <c r="C330" s="67" t="str">
        <f>IFERROR(__xludf.DUMMYFUNCTION("""COMPUTED_VALUE"""),"LD233")</f>
        <v>LD233</v>
      </c>
      <c r="D330" s="55" t="s">
        <v>42</v>
      </c>
      <c r="E330" s="55" t="s">
        <v>79</v>
      </c>
      <c r="F330" s="55" t="s">
        <v>133</v>
      </c>
      <c r="G330" s="55">
        <v>2040.0</v>
      </c>
      <c r="H330" s="55" t="s">
        <v>1131</v>
      </c>
      <c r="I330" s="55" t="s">
        <v>5113</v>
      </c>
      <c r="J330" s="55" t="s">
        <v>5114</v>
      </c>
      <c r="K330" s="55" t="s">
        <v>61</v>
      </c>
      <c r="L330" s="143" t="s">
        <v>317</v>
      </c>
      <c r="M330" s="55" t="s">
        <v>78</v>
      </c>
      <c r="N330" s="55" t="s">
        <v>79</v>
      </c>
      <c r="O330" s="55" t="s">
        <v>910</v>
      </c>
      <c r="P330" s="55" t="s">
        <v>110</v>
      </c>
      <c r="Q330" s="67" t="str">
        <f>IFERROR(__xludf.DUMMYFUNCTION("""COMPUTED_VALUE"""),"Japan.Giaotiep.M321C275_XuBen.5018_MES_HuyLG_261124")</f>
        <v>Japan.Giaotiep.M321C275_XuBen.5018_MES_HuyLG_261124</v>
      </c>
      <c r="R330" s="67" t="str">
        <f>IFERROR(__xludf.DUMMYFUNCTION("""COMPUTED_VALUE"""),"NEW_Japan_2040_none_261124")</f>
        <v>NEW_Japan_2040_none_261124</v>
      </c>
      <c r="S330" s="67" t="str">
        <f>IFERROR(__xludf.DUMMYFUNCTION("""COMPUTED_VALUE"""),"saletructiep_Japan.Giaotiep.M321C275.2040_TATTP_LD233")</f>
        <v>saletructiep_Japan.Giaotiep.M321C275.2040_TATTP_LD233</v>
      </c>
      <c r="T330" s="107" t="str">
        <f>IFERROR(__xludf.DUMMYFUNCTION("""COMPUTED_VALUE"""),"https://patadovietnam.edu.vn/hlg_tattp_gt/?utm_source=Facebook&amp;utm_medium=MES&amp;utm_term=NEW_Japan_2040_none_261124&amp;utm_content=saletructiep_Japan.Giaotiep.M321C275.2040_TATTP_LD233&amp;utm_campaign=Japan.Giaotiep.M321C275_XuBen.5018_MES_HuyLG_261124")</f>
        <v>https://patadovietnam.edu.vn/hlg_tattp_gt/?utm_source=Facebook&amp;utm_medium=MES&amp;utm_term=NEW_Japan_2040_none_261124&amp;utm_content=saletructiep_Japan.Giaotiep.M321C275.2040_TATTP_LD233&amp;utm_campaign=Japan.Giaotiep.M321C275_XuBen.5018_MES_HuyLG_261124</v>
      </c>
      <c r="U330" s="110" t="s">
        <v>5117</v>
      </c>
    </row>
    <row r="331">
      <c r="A331" s="72">
        <v>45622.0</v>
      </c>
      <c r="B331" s="60" t="s">
        <v>4887</v>
      </c>
      <c r="C331" s="67" t="str">
        <f>IFERROR(__xludf.DUMMYFUNCTION("""COMPUTED_VALUE"""),"LD233")</f>
        <v>LD233</v>
      </c>
      <c r="D331" s="55" t="s">
        <v>42</v>
      </c>
      <c r="E331" s="55" t="s">
        <v>79</v>
      </c>
      <c r="F331" s="55" t="s">
        <v>107</v>
      </c>
      <c r="G331" s="55">
        <v>2040.0</v>
      </c>
      <c r="H331" s="55" t="s">
        <v>1131</v>
      </c>
      <c r="I331" s="55" t="s">
        <v>5119</v>
      </c>
      <c r="J331" s="55" t="s">
        <v>5120</v>
      </c>
      <c r="K331" s="55" t="s">
        <v>61</v>
      </c>
      <c r="L331" s="143" t="s">
        <v>317</v>
      </c>
      <c r="M331" s="55" t="s">
        <v>78</v>
      </c>
      <c r="N331" s="55" t="s">
        <v>79</v>
      </c>
      <c r="O331" s="55" t="s">
        <v>910</v>
      </c>
      <c r="P331" s="55" t="s">
        <v>110</v>
      </c>
      <c r="Q331" s="67" t="str">
        <f>IFERROR(__xludf.DUMMYFUNCTION("""COMPUTED_VALUE"""),"UnitedStates.Giaotiep.M321C275_XuBen.5018_MES_HuyLG_261124")</f>
        <v>UnitedStates.Giaotiep.M321C275_XuBen.5018_MES_HuyLG_261124</v>
      </c>
      <c r="R331" s="67" t="str">
        <f>IFERROR(__xludf.DUMMYFUNCTION("""COMPUTED_VALUE"""),"NEW_UnitedStates_2040_none_261124")</f>
        <v>NEW_UnitedStates_2040_none_261124</v>
      </c>
      <c r="S331" s="67" t="str">
        <f>IFERROR(__xludf.DUMMYFUNCTION("""COMPUTED_VALUE"""),"saletructiep_UnitedStates.Giaotiep.M321C275.2040_TATTP_LD233")</f>
        <v>saletructiep_UnitedStates.Giaotiep.M321C275.2040_TATTP_LD233</v>
      </c>
      <c r="T331" s="107" t="str">
        <f>IFERROR(__xludf.DUMMYFUNCTION("""COMPUTED_VALUE"""),"https://patadovietnam.edu.vn/hlg_tattp_gt/?utm_source=Facebook&amp;utm_medium=MES&amp;utm_term=NEW_UnitedStates_2040_none_261124&amp;utm_content=saletructiep_UnitedStates.Giaotiep.M321C275.2040_TATTP_LD233&amp;utm_campaign=UnitedStates.Giaotiep.M321C275_XuBen.5018_MES_Hu"&amp;"yLG_261124")</f>
        <v>https://patadovietnam.edu.vn/hlg_tattp_gt/?utm_source=Facebook&amp;utm_medium=MES&amp;utm_term=NEW_UnitedStates_2040_none_261124&amp;utm_content=saletructiep_UnitedStates.Giaotiep.M321C275.2040_TATTP_LD233&amp;utm_campaign=UnitedStates.Giaotiep.M321C275_XuBen.5018_MES_HuyLG_261124</v>
      </c>
      <c r="U331" s="110" t="s">
        <v>5123</v>
      </c>
    </row>
    <row r="332">
      <c r="A332" s="72">
        <v>45629.0</v>
      </c>
      <c r="B332" s="60" t="s">
        <v>4785</v>
      </c>
      <c r="C332" s="67" t="str">
        <f>IFERROR(__xludf.DUMMYFUNCTION("""COMPUTED_VALUE"""),"LD229")</f>
        <v>LD229</v>
      </c>
      <c r="D332" s="55" t="s">
        <v>42</v>
      </c>
      <c r="E332" s="55" t="s">
        <v>79</v>
      </c>
      <c r="F332" s="55" t="s">
        <v>107</v>
      </c>
      <c r="G332" s="55">
        <v>2040.0</v>
      </c>
      <c r="H332" s="55" t="s">
        <v>1131</v>
      </c>
      <c r="I332" s="55" t="s">
        <v>5127</v>
      </c>
      <c r="J332" s="55" t="s">
        <v>5128</v>
      </c>
      <c r="K332" s="55" t="s">
        <v>61</v>
      </c>
      <c r="L332" s="143" t="s">
        <v>317</v>
      </c>
      <c r="M332" s="55" t="s">
        <v>78</v>
      </c>
      <c r="N332" s="55" t="s">
        <v>79</v>
      </c>
      <c r="O332" s="55" t="s">
        <v>415</v>
      </c>
      <c r="P332" s="55" t="s">
        <v>110</v>
      </c>
      <c r="Q332" s="222" t="str">
        <f>IFERROR(__xludf.DUMMYFUNCTION("""COMPUTED_VALUE"""),"UnitedStates.Giaotiep.M332C280_XuBen.5018_MES_HuyLG_031224")</f>
        <v>UnitedStates.Giaotiep.M332C280_XuBen.5018_MES_HuyLG_031224</v>
      </c>
      <c r="R332" s="222" t="str">
        <f>IFERROR(__xludf.DUMMYFUNCTION("""COMPUTED_VALUE"""),"NEW_UnitedStates_2040_none_031224")</f>
        <v>NEW_UnitedStates_2040_none_031224</v>
      </c>
      <c r="S332" s="222" t="str">
        <f>IFERROR(__xludf.DUMMYFUNCTION("""COMPUTED_VALUE"""),"saletructiep_UnitedStates.Giaotiep.M332C280.2040_TATTPVN_LD229")</f>
        <v>saletructiep_UnitedStates.Giaotiep.M332C280.2040_TATTPVN_LD229</v>
      </c>
      <c r="T332" s="223" t="str">
        <f>IFERROR(__xludf.DUMMYFUNCTION("""COMPUTED_VALUE"""),"https://patadovietnam.edu.vn/hlg_tattpvn_gt/?utm_source=Facebook&amp;utm_medium=MES&amp;utm_term=NEW_UnitedStates_2040_none_031224&amp;utm_content=saletructiep_UnitedStates.Giaotiep.M332C280.2040_TATTPVN_LD229&amp;utm_campaign=UnitedStates.Giaotiep.M332C280_XuBen.5018_ME"&amp;"S_HuyLG_031224")</f>
        <v>https://patadovietnam.edu.vn/hlg_tattpvn_gt/?utm_source=Facebook&amp;utm_medium=MES&amp;utm_term=NEW_UnitedStates_2040_none_031224&amp;utm_content=saletructiep_UnitedStates.Giaotiep.M332C280.2040_TATTPVN_LD229&amp;utm_campaign=UnitedStates.Giaotiep.M332C280_XuBen.5018_MES_HuyLG_031224</v>
      </c>
      <c r="U332" s="110" t="s">
        <v>5130</v>
      </c>
    </row>
    <row r="333">
      <c r="A333" s="72">
        <v>45629.0</v>
      </c>
      <c r="B333" s="60" t="s">
        <v>4760</v>
      </c>
      <c r="C333" s="67" t="str">
        <f>IFERROR(__xludf.DUMMYFUNCTION("""COMPUTED_VALUE"""),"LD226")</f>
        <v>LD226</v>
      </c>
      <c r="D333" s="55" t="s">
        <v>42</v>
      </c>
      <c r="E333" s="55" t="s">
        <v>79</v>
      </c>
      <c r="F333" s="55" t="s">
        <v>107</v>
      </c>
      <c r="G333" s="55">
        <v>2050.0</v>
      </c>
      <c r="H333" s="55" t="s">
        <v>1131</v>
      </c>
      <c r="I333" s="55" t="s">
        <v>5135</v>
      </c>
      <c r="J333" s="55" t="s">
        <v>5136</v>
      </c>
      <c r="K333" s="55" t="s">
        <v>61</v>
      </c>
      <c r="L333" s="143" t="s">
        <v>317</v>
      </c>
      <c r="M333" s="55" t="s">
        <v>78</v>
      </c>
      <c r="N333" s="55" t="s">
        <v>79</v>
      </c>
      <c r="O333" s="55" t="s">
        <v>3271</v>
      </c>
      <c r="P333" s="55" t="s">
        <v>110</v>
      </c>
      <c r="Q333" s="67" t="str">
        <f>IFERROR(__xludf.DUMMYFUNCTION("""COMPUTED_VALUE"""),"UnitedStates.Giaotiep.M333C280_XuBen.5018_MES_HuyLG_031224")</f>
        <v>UnitedStates.Giaotiep.M333C280_XuBen.5018_MES_HuyLG_031224</v>
      </c>
      <c r="R333" s="67" t="str">
        <f>IFERROR(__xludf.DUMMYFUNCTION("""COMPUTED_VALUE"""),"NEW_UnitedStates_2050_none_031224")</f>
        <v>NEW_UnitedStates_2050_none_031224</v>
      </c>
      <c r="S333" s="67" t="str">
        <f>IFERROR(__xludf.DUMMYFUNCTION("""COMPUTED_VALUE"""),"saletructiep_UnitedStates.Giaotiep.M333C280.2050_PGPGTTA_LD226")</f>
        <v>saletructiep_UnitedStates.Giaotiep.M333C280.2050_PGPGTTA_LD226</v>
      </c>
      <c r="T333" s="107" t="str">
        <f>IFERROR(__xludf.DUMMYFUNCTION("""COMPUTED_VALUE"""),"https://patadovietnam.edu.vn/hlg_pgpgtta_gt/?utm_source=Facebook&amp;utm_medium=MES&amp;utm_term=NEW_UnitedStates_2050_none_031224&amp;utm_content=saletructiep_UnitedStates.Giaotiep.M333C280.2050_PGPGTTA_LD226&amp;utm_campaign=UnitedStates.Giaotiep.M333C280_XuBen.5018_ME"&amp;"S_HuyLG_031224")</f>
        <v>https://patadovietnam.edu.vn/hlg_pgpgtta_gt/?utm_source=Facebook&amp;utm_medium=MES&amp;utm_term=NEW_UnitedStates_2050_none_031224&amp;utm_content=saletructiep_UnitedStates.Giaotiep.M333C280.2050_PGPGTTA_LD226&amp;utm_campaign=UnitedStates.Giaotiep.M333C280_XuBen.5018_MES_HuyLG_031224</v>
      </c>
      <c r="U333" s="110" t="s">
        <v>5139</v>
      </c>
    </row>
    <row r="334">
      <c r="A334" s="72">
        <v>45629.0</v>
      </c>
      <c r="B334" s="60" t="s">
        <v>4785</v>
      </c>
      <c r="C334" s="67" t="str">
        <f>IFERROR(__xludf.DUMMYFUNCTION("""COMPUTED_VALUE"""),"LD229")</f>
        <v>LD229</v>
      </c>
      <c r="D334" s="55" t="s">
        <v>42</v>
      </c>
      <c r="E334" s="55" t="s">
        <v>79</v>
      </c>
      <c r="F334" s="55" t="s">
        <v>539</v>
      </c>
      <c r="G334" s="55">
        <v>2040.0</v>
      </c>
      <c r="H334" s="55" t="s">
        <v>1131</v>
      </c>
      <c r="I334" s="55" t="s">
        <v>5144</v>
      </c>
      <c r="J334" s="55" t="s">
        <v>5145</v>
      </c>
      <c r="K334" s="55" t="s">
        <v>61</v>
      </c>
      <c r="L334" s="143" t="s">
        <v>317</v>
      </c>
      <c r="M334" s="55" t="s">
        <v>78</v>
      </c>
      <c r="N334" s="55" t="s">
        <v>79</v>
      </c>
      <c r="O334" s="55" t="s">
        <v>415</v>
      </c>
      <c r="P334" s="55" t="s">
        <v>110</v>
      </c>
      <c r="Q334" s="67" t="str">
        <f>IFERROR(__xludf.DUMMYFUNCTION("""COMPUTED_VALUE"""),"ALL.Giaotiep.M311C273_XuBen.5018_MES_HuyLG_031224")</f>
        <v>ALL.Giaotiep.M311C273_XuBen.5018_MES_HuyLG_031224</v>
      </c>
      <c r="R334" s="67" t="str">
        <f>IFERROR(__xludf.DUMMYFUNCTION("""COMPUTED_VALUE"""),"NEW_ALL_2040_none_031224")</f>
        <v>NEW_ALL_2040_none_031224</v>
      </c>
      <c r="S334" s="67" t="str">
        <f>IFERROR(__xludf.DUMMYFUNCTION("""COMPUTED_VALUE"""),"saletructiep_ALL.Giaotiep.M311C273.2040_TATTPVN_LD229")</f>
        <v>saletructiep_ALL.Giaotiep.M311C273.2040_TATTPVN_LD229</v>
      </c>
      <c r="T334" s="107" t="str">
        <f>IFERROR(__xludf.DUMMYFUNCTION("""COMPUTED_VALUE"""),"https://patadovietnam.edu.vn/hlg_tattpvn_gt/?utm_source=Facebook&amp;utm_medium=MES&amp;utm_term=NEW_ALL_2040_none_031224&amp;utm_content=saletructiep_ALL.Giaotiep.M311C273.2040_TATTPVN_LD229&amp;utm_campaign=ALL.Giaotiep.M311C273_XuBen.5018_MES_HuyLG_031224")</f>
        <v>https://patadovietnam.edu.vn/hlg_tattpvn_gt/?utm_source=Facebook&amp;utm_medium=MES&amp;utm_term=NEW_ALL_2040_none_031224&amp;utm_content=saletructiep_ALL.Giaotiep.M311C273.2040_TATTPVN_LD229&amp;utm_campaign=ALL.Giaotiep.M311C273_XuBen.5018_MES_HuyLG_031224</v>
      </c>
      <c r="U334" s="110" t="s">
        <v>5150</v>
      </c>
    </row>
    <row r="335">
      <c r="A335" s="72">
        <v>45629.0</v>
      </c>
      <c r="B335" s="60" t="s">
        <v>4760</v>
      </c>
      <c r="C335" s="67" t="str">
        <f>IFERROR(__xludf.DUMMYFUNCTION("""COMPUTED_VALUE"""),"LD226")</f>
        <v>LD226</v>
      </c>
      <c r="D335" s="55" t="s">
        <v>42</v>
      </c>
      <c r="E335" s="55" t="s">
        <v>79</v>
      </c>
      <c r="F335" s="55" t="s">
        <v>674</v>
      </c>
      <c r="G335" s="55">
        <v>2040.0</v>
      </c>
      <c r="H335" s="55" t="s">
        <v>1131</v>
      </c>
      <c r="I335" s="55" t="s">
        <v>5154</v>
      </c>
      <c r="J335" s="55" t="s">
        <v>5155</v>
      </c>
      <c r="K335" s="55" t="s">
        <v>61</v>
      </c>
      <c r="L335" s="143" t="s">
        <v>317</v>
      </c>
      <c r="M335" s="55" t="s">
        <v>78</v>
      </c>
      <c r="N335" s="55" t="s">
        <v>79</v>
      </c>
      <c r="O335" s="55" t="s">
        <v>3271</v>
      </c>
      <c r="P335" s="55" t="s">
        <v>110</v>
      </c>
      <c r="Q335" s="178" t="str">
        <f>IFERROR(__xludf.DUMMYFUNCTION("""COMPUTED_VALUE"""),"Europe.Giaotiep.M320C277_XuBen.5018_MES_HuyLG_031224")</f>
        <v>Europe.Giaotiep.M320C277_XuBen.5018_MES_HuyLG_031224</v>
      </c>
      <c r="R335" s="178" t="str">
        <f>IFERROR(__xludf.DUMMYFUNCTION("""COMPUTED_VALUE"""),"NEW_Europe_2040_none_031224")</f>
        <v>NEW_Europe_2040_none_031224</v>
      </c>
      <c r="S335" s="178" t="str">
        <f>IFERROR(__xludf.DUMMYFUNCTION("""COMPUTED_VALUE"""),"saletructiep_Europe.Giaotiep.M320C277.2040_PGPGTTA_LD226")</f>
        <v>saletructiep_Europe.Giaotiep.M320C277.2040_PGPGTTA_LD226</v>
      </c>
      <c r="T335" s="179" t="str">
        <f>IFERROR(__xludf.DUMMYFUNCTION("""COMPUTED_VALUE"""),"https://patadovietnam.edu.vn/hlg_pgpgtta_gt/?utm_source=Facebook&amp;utm_medium=MES&amp;utm_term=NEW_Europe_2040_none_031224&amp;utm_content=saletructiep_Europe.Giaotiep.M320C277.2040_PGPGTTA_LD226&amp;utm_campaign=Europe.Giaotiep.M320C277_XuBen.5018_MES_HuyLG_031224")</f>
        <v>https://patadovietnam.edu.vn/hlg_pgpgtta_gt/?utm_source=Facebook&amp;utm_medium=MES&amp;utm_term=NEW_Europe_2040_none_031224&amp;utm_content=saletructiep_Europe.Giaotiep.M320C277.2040_PGPGTTA_LD226&amp;utm_campaign=Europe.Giaotiep.M320C277_XuBen.5018_MES_HuyLG_031224</v>
      </c>
      <c r="U335" s="110" t="s">
        <v>5162</v>
      </c>
    </row>
    <row r="336">
      <c r="A336" s="72">
        <v>45639.0</v>
      </c>
      <c r="B336" s="60" t="s">
        <v>4785</v>
      </c>
      <c r="C336" s="67" t="str">
        <f>IFERROR(__xludf.DUMMYFUNCTION("""COMPUTED_VALUE"""),"LD229")</f>
        <v>LD229</v>
      </c>
      <c r="D336" s="55" t="s">
        <v>42</v>
      </c>
      <c r="E336" s="55" t="s">
        <v>79</v>
      </c>
      <c r="F336" s="55" t="s">
        <v>129</v>
      </c>
      <c r="G336" s="55">
        <v>2040.0</v>
      </c>
      <c r="H336" s="55" t="s">
        <v>1131</v>
      </c>
      <c r="I336" s="55" t="s">
        <v>5165</v>
      </c>
      <c r="J336" s="55" t="s">
        <v>5166</v>
      </c>
      <c r="K336" s="55" t="s">
        <v>61</v>
      </c>
      <c r="L336" s="143" t="s">
        <v>317</v>
      </c>
      <c r="M336" s="55" t="s">
        <v>78</v>
      </c>
      <c r="N336" s="55" t="s">
        <v>79</v>
      </c>
      <c r="O336" s="55" t="s">
        <v>415</v>
      </c>
      <c r="P336" s="55" t="s">
        <v>110</v>
      </c>
      <c r="Q336" s="92" t="str">
        <f>IFERROR(__xludf.DUMMYFUNCTION("""COMPUTED_VALUE"""),"Australia.Giaotiep.M339C286_XuBen.5018_MES_HuyLG_131224")</f>
        <v>Australia.Giaotiep.M339C286_XuBen.5018_MES_HuyLG_131224</v>
      </c>
      <c r="R336" s="92" t="str">
        <f>IFERROR(__xludf.DUMMYFUNCTION("""COMPUTED_VALUE"""),"NEW_Australia_2040_none_131224")</f>
        <v>NEW_Australia_2040_none_131224</v>
      </c>
      <c r="S336" s="92" t="str">
        <f>IFERROR(__xludf.DUMMYFUNCTION("""COMPUTED_VALUE"""),"saletructiep_Australia.Giaotiep.M339C286.2040_TATTPVN_LD229")</f>
        <v>saletructiep_Australia.Giaotiep.M339C286.2040_TATTPVN_LD229</v>
      </c>
      <c r="T336" s="137" t="str">
        <f>IFERROR(__xludf.DUMMYFUNCTION("""COMPUTED_VALUE"""),"https://patadovietnam.edu.vn/hlg_tattpvn_gt/?utm_source=Facebook&amp;utm_medium=MES&amp;utm_term=NEW_Australia_2040_none_131224&amp;utm_content=saletructiep_Australia.Giaotiep.M339C286.2040_TATTPVN_LD229&amp;utm_campaign=Australia.Giaotiep.M339C286_XuBen.5018_MES_HuyLG_1"&amp;"31224")</f>
        <v>https://patadovietnam.edu.vn/hlg_tattpvn_gt/?utm_source=Facebook&amp;utm_medium=MES&amp;utm_term=NEW_Australia_2040_none_131224&amp;utm_content=saletructiep_Australia.Giaotiep.M339C286.2040_TATTPVN_LD229&amp;utm_campaign=Australia.Giaotiep.M339C286_XuBen.5018_MES_HuyLG_131224</v>
      </c>
      <c r="U336" s="110" t="s">
        <v>5171</v>
      </c>
    </row>
    <row r="337">
      <c r="A337" s="72">
        <v>45639.0</v>
      </c>
      <c r="B337" s="60" t="s">
        <v>4785</v>
      </c>
      <c r="C337" s="67" t="str">
        <f>IFERROR(__xludf.DUMMYFUNCTION("""COMPUTED_VALUE"""),"LD229")</f>
        <v>LD229</v>
      </c>
      <c r="D337" s="55" t="s">
        <v>42</v>
      </c>
      <c r="E337" s="55" t="s">
        <v>79</v>
      </c>
      <c r="F337" s="55" t="s">
        <v>539</v>
      </c>
      <c r="G337" s="55">
        <v>2040.0</v>
      </c>
      <c r="H337" s="55" t="s">
        <v>1131</v>
      </c>
      <c r="I337" s="55" t="s">
        <v>5174</v>
      </c>
      <c r="J337" s="55" t="s">
        <v>5175</v>
      </c>
      <c r="K337" s="55" t="s">
        <v>61</v>
      </c>
      <c r="L337" s="143" t="s">
        <v>317</v>
      </c>
      <c r="M337" s="55" t="s">
        <v>78</v>
      </c>
      <c r="N337" s="55" t="s">
        <v>79</v>
      </c>
      <c r="O337" s="55" t="s">
        <v>415</v>
      </c>
      <c r="P337" s="55" t="s">
        <v>110</v>
      </c>
      <c r="Q337" s="67" t="str">
        <f>IFERROR(__xludf.DUMMYFUNCTION("""COMPUTED_VALUE"""),"ALL.Giaotiep.M314C273_XuBen.5018_MES_HuyLG_131224")</f>
        <v>ALL.Giaotiep.M314C273_XuBen.5018_MES_HuyLG_131224</v>
      </c>
      <c r="R337" s="67" t="str">
        <f>IFERROR(__xludf.DUMMYFUNCTION("""COMPUTED_VALUE"""),"NEW_ALL_2040_none_131224")</f>
        <v>NEW_ALL_2040_none_131224</v>
      </c>
      <c r="S337" s="67" t="str">
        <f>IFERROR(__xludf.DUMMYFUNCTION("""COMPUTED_VALUE"""),"saletructiep_ALL.Giaotiep.M314C273.2040_TATTPVN_LD229")</f>
        <v>saletructiep_ALL.Giaotiep.M314C273.2040_TATTPVN_LD229</v>
      </c>
      <c r="T337" s="107" t="str">
        <f>IFERROR(__xludf.DUMMYFUNCTION("""COMPUTED_VALUE"""),"https://patadovietnam.edu.vn/hlg_tattpvn_gt/?utm_source=Facebook&amp;utm_medium=MES&amp;utm_term=NEW_ALL_2040_none_131224&amp;utm_content=saletructiep_ALL.Giaotiep.M314C273.2040_TATTPVN_LD229&amp;utm_campaign=ALL.Giaotiep.M314C273_XuBen.5018_MES_HuyLG_131224")</f>
        <v>https://patadovietnam.edu.vn/hlg_tattpvn_gt/?utm_source=Facebook&amp;utm_medium=MES&amp;utm_term=NEW_ALL_2040_none_131224&amp;utm_content=saletructiep_ALL.Giaotiep.M314C273.2040_TATTPVN_LD229&amp;utm_campaign=ALL.Giaotiep.M314C273_XuBen.5018_MES_HuyLG_131224</v>
      </c>
      <c r="U337" s="110" t="s">
        <v>5178</v>
      </c>
    </row>
    <row r="338">
      <c r="A338" s="72">
        <v>45666.0</v>
      </c>
      <c r="B338" s="60" t="s">
        <v>1120</v>
      </c>
      <c r="C338" s="67" t="str">
        <f>IFERROR(__xludf.DUMMYFUNCTION("""COMPUTED_VALUE"""),"LD125")</f>
        <v>LD125</v>
      </c>
      <c r="D338" s="55" t="s">
        <v>42</v>
      </c>
      <c r="E338" s="55" t="s">
        <v>69</v>
      </c>
      <c r="F338" s="55" t="s">
        <v>133</v>
      </c>
      <c r="G338" s="55">
        <v>1840.0</v>
      </c>
      <c r="H338" s="55" t="s">
        <v>1131</v>
      </c>
      <c r="I338" s="55" t="s">
        <v>3412</v>
      </c>
      <c r="J338" s="55" t="s">
        <v>3473</v>
      </c>
      <c r="K338" s="143" t="s">
        <v>61</v>
      </c>
      <c r="L338" s="143" t="s">
        <v>317</v>
      </c>
      <c r="M338" s="55" t="s">
        <v>78</v>
      </c>
      <c r="N338" s="55" t="s">
        <v>69</v>
      </c>
      <c r="O338" s="55" t="s">
        <v>910</v>
      </c>
      <c r="P338" s="143" t="s">
        <v>110</v>
      </c>
      <c r="Q338" s="67" t="str">
        <f>IFERROR(__xludf.DUMMYFUNCTION("""COMPUTED_VALUE"""),"Japan.Giaotiep.Anhthongbao12_XuBen.5018_CVS_HuyLG_090125")</f>
        <v>Japan.Giaotiep.Anhthongbao12_XuBen.5018_CVS_HuyLG_090125</v>
      </c>
      <c r="R338" s="67" t="str">
        <f>IFERROR(__xludf.DUMMYFUNCTION("""COMPUTED_VALUE"""),"NEW_Japan_1840_none_090125")</f>
        <v>NEW_Japan_1840_none_090125</v>
      </c>
      <c r="S338" s="67" t="str">
        <f>IFERROR(__xludf.DUMMYFUNCTION("""COMPUTED_VALUE"""),"saletructiep_Japan.Anhthongbao12.1840.Giaotiep_TATTP_LD125")</f>
        <v>saletructiep_Japan.Anhthongbao12.1840.Giaotiep_TATTP_LD125</v>
      </c>
      <c r="T338" s="107" t="str">
        <f>IFERROR(__xludf.DUMMYFUNCTION("""COMPUTED_VALUE"""),"https://patadovietnam.edu.vn/japan_hlg/?utm_source=Facebook&amp;utm_medium=CVS&amp;utm_term=NEW_Japan_1840_none_090125&amp;utm_content=saletructiep_Japan.Anhthongbao12.1840.Giaotiep_TATTP_LD125&amp;utm_campaign=Japan.Giaotiep.Anhthongbao12_XuBen.5018_CVS_HuyLG_090125")</f>
        <v>https://patadovietnam.edu.vn/japan_hlg/?utm_source=Facebook&amp;utm_medium=CVS&amp;utm_term=NEW_Japan_1840_none_090125&amp;utm_content=saletructiep_Japan.Anhthongbao12.1840.Giaotiep_TATTP_LD125&amp;utm_campaign=Japan.Giaotiep.Anhthongbao12_XuBen.5018_CVS_HuyLG_090125</v>
      </c>
      <c r="U338" s="110" t="s">
        <v>5187</v>
      </c>
    </row>
    <row r="339">
      <c r="A339" s="72">
        <v>45666.0</v>
      </c>
      <c r="B339" s="60" t="s">
        <v>3461</v>
      </c>
      <c r="C339" s="67" t="str">
        <f>IFERROR(__xludf.DUMMYFUNCTION("""COMPUTED_VALUE"""),"LD154")</f>
        <v>LD154</v>
      </c>
      <c r="D339" s="55" t="s">
        <v>42</v>
      </c>
      <c r="E339" s="55" t="s">
        <v>79</v>
      </c>
      <c r="F339" s="55" t="s">
        <v>674</v>
      </c>
      <c r="G339" s="55">
        <v>2040.0</v>
      </c>
      <c r="H339" s="55" t="s">
        <v>1131</v>
      </c>
      <c r="I339" s="55" t="s">
        <v>5190</v>
      </c>
      <c r="J339" s="55" t="s">
        <v>5191</v>
      </c>
      <c r="K339" s="143" t="s">
        <v>61</v>
      </c>
      <c r="L339" s="143" t="s">
        <v>317</v>
      </c>
      <c r="M339" s="55" t="s">
        <v>78</v>
      </c>
      <c r="N339" s="55" t="s">
        <v>79</v>
      </c>
      <c r="O339" s="55" t="s">
        <v>415</v>
      </c>
      <c r="P339" s="143" t="s">
        <v>110</v>
      </c>
      <c r="Q339" s="222" t="str">
        <f>IFERROR(__xludf.DUMMYFUNCTION("""COMPUTED_VALUE"""),"Europe.Giaotiep.M356C287_XuBen.5018_MES_HuyLG_090125")</f>
        <v>Europe.Giaotiep.M356C287_XuBen.5018_MES_HuyLG_090125</v>
      </c>
      <c r="R339" s="222" t="str">
        <f>IFERROR(__xludf.DUMMYFUNCTION("""COMPUTED_VALUE"""),"NEW_Europe_2040_none_090125")</f>
        <v>NEW_Europe_2040_none_090125</v>
      </c>
      <c r="S339" s="222" t="str">
        <f>IFERROR(__xludf.DUMMYFUNCTION("""COMPUTED_VALUE"""),"saletructiep_Europe.Giaotiep.M356C287.2040_TATTPVN_LD154")</f>
        <v>saletructiep_Europe.Giaotiep.M356C287.2040_TATTPVN_LD154</v>
      </c>
      <c r="T339" s="223" t="str">
        <f>IFERROR(__xludf.DUMMYFUNCTION("""COMPUTED_VALUE"""),"https://patadovietnam.edu.vn/eu_hlg/?utm_source=Facebook&amp;utm_medium=MES&amp;utm_term=NEW_Europe_2040_none_090125&amp;utm_content=saletructiep_Europe.Giaotiep.M356C287.2040_TATTPVN_LD154&amp;utm_campaign=Europe.Giaotiep.M356C287_XuBen.5018_MES_HuyLG_090125")</f>
        <v>https://patadovietnam.edu.vn/eu_hlg/?utm_source=Facebook&amp;utm_medium=MES&amp;utm_term=NEW_Europe_2040_none_090125&amp;utm_content=saletructiep_Europe.Giaotiep.M356C287.2040_TATTPVN_LD154&amp;utm_campaign=Europe.Giaotiep.M356C287_XuBen.5018_MES_HuyLG_090125</v>
      </c>
      <c r="U339" s="110" t="s">
        <v>5194</v>
      </c>
    </row>
    <row r="340">
      <c r="A340" s="72">
        <v>45666.0</v>
      </c>
      <c r="B340" s="60" t="s">
        <v>4785</v>
      </c>
      <c r="C340" s="67" t="str">
        <f>IFERROR(__xludf.DUMMYFUNCTION("""COMPUTED_VALUE"""),"LD229")</f>
        <v>LD229</v>
      </c>
      <c r="D340" s="55" t="s">
        <v>42</v>
      </c>
      <c r="E340" s="55" t="s">
        <v>79</v>
      </c>
      <c r="F340" s="55" t="s">
        <v>539</v>
      </c>
      <c r="G340" s="55">
        <v>2040.0</v>
      </c>
      <c r="H340" s="55" t="s">
        <v>1131</v>
      </c>
      <c r="I340" s="55" t="s">
        <v>5198</v>
      </c>
      <c r="J340" s="55" t="s">
        <v>5199</v>
      </c>
      <c r="K340" s="143" t="s">
        <v>61</v>
      </c>
      <c r="L340" s="143" t="s">
        <v>317</v>
      </c>
      <c r="M340" s="55" t="s">
        <v>78</v>
      </c>
      <c r="N340" s="55" t="s">
        <v>79</v>
      </c>
      <c r="O340" s="55" t="s">
        <v>415</v>
      </c>
      <c r="P340" s="143" t="s">
        <v>110</v>
      </c>
      <c r="Q340" s="67" t="str">
        <f>IFERROR(__xludf.DUMMYFUNCTION("""COMPUTED_VALUE"""),"ALL.Giaotiep.M356C287_XuBen.5018_MES_HuyLG_090125")</f>
        <v>ALL.Giaotiep.M356C287_XuBen.5018_MES_HuyLG_090125</v>
      </c>
      <c r="R340" s="67" t="str">
        <f>IFERROR(__xludf.DUMMYFUNCTION("""COMPUTED_VALUE"""),"NEW_ALL_2040_none_090125")</f>
        <v>NEW_ALL_2040_none_090125</v>
      </c>
      <c r="S340" s="67" t="str">
        <f>IFERROR(__xludf.DUMMYFUNCTION("""COMPUTED_VALUE"""),"saletructiep_ALL.Giaotiep.M356C287.2040_TATTPVN_LD229")</f>
        <v>saletructiep_ALL.Giaotiep.M356C287.2040_TATTPVN_LD229</v>
      </c>
      <c r="T340" s="107" t="str">
        <f>IFERROR(__xludf.DUMMYFUNCTION("""COMPUTED_VALUE"""),"https://patadovietnam.edu.vn/hlg_tattpvn_gt/?utm_source=Facebook&amp;utm_medium=MES&amp;utm_term=NEW_ALL_2040_none_090125&amp;utm_content=saletructiep_ALL.Giaotiep.M356C287.2040_TATTPVN_LD229&amp;utm_campaign=ALL.Giaotiep.M356C287_XuBen.5018_MES_HuyLG_090125")</f>
        <v>https://patadovietnam.edu.vn/hlg_tattpvn_gt/?utm_source=Facebook&amp;utm_medium=MES&amp;utm_term=NEW_ALL_2040_none_090125&amp;utm_content=saletructiep_ALL.Giaotiep.M356C287.2040_TATTPVN_LD229&amp;utm_campaign=ALL.Giaotiep.M356C287_XuBen.5018_MES_HuyLG_090125</v>
      </c>
      <c r="U340" s="110" t="s">
        <v>5203</v>
      </c>
    </row>
    <row r="341">
      <c r="A341" s="72">
        <v>45699.0</v>
      </c>
      <c r="B341" s="60" t="s">
        <v>1120</v>
      </c>
      <c r="C341" s="67" t="str">
        <f>IFERROR(__xludf.DUMMYFUNCTION("""COMPUTED_VALUE"""),"LD125")</f>
        <v>LD125</v>
      </c>
      <c r="D341" s="55" t="s">
        <v>42</v>
      </c>
      <c r="E341" s="55" t="s">
        <v>69</v>
      </c>
      <c r="F341" s="55" t="s">
        <v>133</v>
      </c>
      <c r="G341" s="55">
        <v>2040.0</v>
      </c>
      <c r="H341" s="55" t="s">
        <v>1131</v>
      </c>
      <c r="I341" s="55" t="s">
        <v>5207</v>
      </c>
      <c r="J341" s="55" t="s">
        <v>5208</v>
      </c>
      <c r="K341" s="143" t="s">
        <v>61</v>
      </c>
      <c r="L341" s="143" t="s">
        <v>317</v>
      </c>
      <c r="M341" s="55" t="s">
        <v>78</v>
      </c>
      <c r="N341" s="55" t="s">
        <v>69</v>
      </c>
      <c r="O341" s="55" t="s">
        <v>910</v>
      </c>
      <c r="P341" s="143" t="s">
        <v>110</v>
      </c>
      <c r="Q341" s="67" t="str">
        <f>IFERROR(__xludf.DUMMYFUNCTION("""COMPUTED_VALUE"""),"Japan.Giaotiep.M388C315_XuBen.5018_CVS_HuyLG_110225")</f>
        <v>Japan.Giaotiep.M388C315_XuBen.5018_CVS_HuyLG_110225</v>
      </c>
      <c r="R341" s="67" t="str">
        <f>IFERROR(__xludf.DUMMYFUNCTION("""COMPUTED_VALUE"""),"NEW_Japan_2040_none_110225")</f>
        <v>NEW_Japan_2040_none_110225</v>
      </c>
      <c r="S341" s="67" t="str">
        <f>IFERROR(__xludf.DUMMYFUNCTION("""COMPUTED_VALUE"""),"saletructiep_Japan.Giaotiep.M388C315.2040_TATTP_LD125")</f>
        <v>saletructiep_Japan.Giaotiep.M388C315.2040_TATTP_LD125</v>
      </c>
      <c r="T341" s="107" t="str">
        <f>IFERROR(__xludf.DUMMYFUNCTION("""COMPUTED_VALUE"""),"https://patadovietnam.edu.vn/japan_hlg/?utm_source=Facebook&amp;utm_medium=CVS&amp;utm_term=NEW_Japan_2040_none_110225&amp;utm_content=saletructiep_Japan.Giaotiep.M388C315.2040_TATTP_LD125&amp;utm_campaign=Japan.Giaotiep.M388C315_XuBen.5018_CVS_HuyLG_110225")</f>
        <v>https://patadovietnam.edu.vn/japan_hlg/?utm_source=Facebook&amp;utm_medium=CVS&amp;utm_term=NEW_Japan_2040_none_110225&amp;utm_content=saletructiep_Japan.Giaotiep.M388C315.2040_TATTP_LD125&amp;utm_campaign=Japan.Giaotiep.M388C315_XuBen.5018_CVS_HuyLG_110225</v>
      </c>
      <c r="U341" s="110" t="s">
        <v>5212</v>
      </c>
    </row>
    <row r="342">
      <c r="A342" s="72">
        <v>45699.0</v>
      </c>
      <c r="B342" s="60" t="s">
        <v>776</v>
      </c>
      <c r="C342" s="67" t="str">
        <f>IFERROR(__xludf.DUMMYFUNCTION("""COMPUTED_VALUE"""),"LD117")</f>
        <v>LD117</v>
      </c>
      <c r="D342" s="55" t="s">
        <v>42</v>
      </c>
      <c r="E342" s="55" t="s">
        <v>69</v>
      </c>
      <c r="F342" s="55" t="s">
        <v>625</v>
      </c>
      <c r="G342" s="55">
        <v>2040.0</v>
      </c>
      <c r="H342" s="55" t="s">
        <v>1131</v>
      </c>
      <c r="I342" s="55" t="s">
        <v>5215</v>
      </c>
      <c r="J342" s="55" t="s">
        <v>5218</v>
      </c>
      <c r="K342" s="143" t="s">
        <v>61</v>
      </c>
      <c r="L342" s="143" t="s">
        <v>317</v>
      </c>
      <c r="M342" s="55" t="s">
        <v>78</v>
      </c>
      <c r="N342" s="55" t="s">
        <v>69</v>
      </c>
      <c r="O342" s="55" t="s">
        <v>910</v>
      </c>
      <c r="P342" s="143" t="s">
        <v>110</v>
      </c>
      <c r="Q342" s="67" t="str">
        <f>IFERROR(__xludf.DUMMYFUNCTION("""COMPUTED_VALUE"""),"KoreaSouth.Giaotiep.M388C315_XuBen.5018_CVS_HuyLG_110225")</f>
        <v>KoreaSouth.Giaotiep.M388C315_XuBen.5018_CVS_HuyLG_110225</v>
      </c>
      <c r="R342" s="67" t="str">
        <f>IFERROR(__xludf.DUMMYFUNCTION("""COMPUTED_VALUE"""),"NEW_KoreaSouth_2040_none_110225")</f>
        <v>NEW_KoreaSouth_2040_none_110225</v>
      </c>
      <c r="S342" s="67" t="str">
        <f>IFERROR(__xludf.DUMMYFUNCTION("""COMPUTED_VALUE"""),"saletructiep_KoreaSouth.Giaotiep.M388C315.2040_TATTP_LD117")</f>
        <v>saletructiep_KoreaSouth.Giaotiep.M388C315.2040_TATTP_LD117</v>
      </c>
      <c r="T342" s="107" t="str">
        <f>IFERROR(__xludf.DUMMYFUNCTION("""COMPUTED_VALUE"""),"https://patadovietnam.edu.vn/korea_cvs/?utm_source=Facebook&amp;utm_medium=CVS&amp;utm_term=NEW_KoreaSouth_2040_none_110225&amp;utm_content=saletructiep_KoreaSouth.Giaotiep.M388C315.2040_TATTP_LD117&amp;utm_campaign=KoreaSouth.Giaotiep.M388C315_XuBen.5018_CVS_HuyLG_11022"&amp;"5")</f>
        <v>https://patadovietnam.edu.vn/korea_cvs/?utm_source=Facebook&amp;utm_medium=CVS&amp;utm_term=NEW_KoreaSouth_2040_none_110225&amp;utm_content=saletructiep_KoreaSouth.Giaotiep.M388C315.2040_TATTP_LD117&amp;utm_campaign=KoreaSouth.Giaotiep.M388C315_XuBen.5018_CVS_HuyLG_110225</v>
      </c>
      <c r="U342" s="110" t="s">
        <v>5221</v>
      </c>
    </row>
    <row r="343">
      <c r="A343" s="72">
        <v>45699.0</v>
      </c>
      <c r="B343" s="60" t="s">
        <v>712</v>
      </c>
      <c r="C343" s="67" t="str">
        <f>IFERROR(__xludf.DUMMYFUNCTION("""COMPUTED_VALUE"""),"LD109")</f>
        <v>LD109</v>
      </c>
      <c r="D343" s="55" t="s">
        <v>42</v>
      </c>
      <c r="E343" s="55" t="s">
        <v>69</v>
      </c>
      <c r="F343" s="55" t="s">
        <v>107</v>
      </c>
      <c r="G343" s="55">
        <v>2040.0</v>
      </c>
      <c r="H343" s="55" t="s">
        <v>1131</v>
      </c>
      <c r="I343" s="55" t="s">
        <v>5225</v>
      </c>
      <c r="J343" s="55" t="s">
        <v>5226</v>
      </c>
      <c r="K343" s="143" t="s">
        <v>61</v>
      </c>
      <c r="L343" s="143" t="s">
        <v>317</v>
      </c>
      <c r="M343" s="55" t="s">
        <v>78</v>
      </c>
      <c r="N343" s="55" t="s">
        <v>69</v>
      </c>
      <c r="O343" s="55" t="s">
        <v>910</v>
      </c>
      <c r="P343" s="143" t="s">
        <v>110</v>
      </c>
      <c r="Q343" s="67" t="str">
        <f>IFERROR(__xludf.DUMMYFUNCTION("""COMPUTED_VALUE"""),"UnitedStates.Giaotiep.M388C315_XuBen.5018_CVS_HuyLG_110225")</f>
        <v>UnitedStates.Giaotiep.M388C315_XuBen.5018_CVS_HuyLG_110225</v>
      </c>
      <c r="R343" s="67" t="str">
        <f>IFERROR(__xludf.DUMMYFUNCTION("""COMPUTED_VALUE"""),"NEW_UnitedStates_2040_none_110225")</f>
        <v>NEW_UnitedStates_2040_none_110225</v>
      </c>
      <c r="S343" s="67" t="str">
        <f>IFERROR(__xludf.DUMMYFUNCTION("""COMPUTED_VALUE"""),"saletructiep_UnitedStates.Giaotiep.M388C315.2040_TATTP_LD109")</f>
        <v>saletructiep_UnitedStates.Giaotiep.M388C315.2040_TATTP_LD109</v>
      </c>
      <c r="T343" s="107" t="str">
        <f>IFERROR(__xludf.DUMMYFUNCTION("""COMPUTED_VALUE"""),"https://patadovietnam.edu.vn/hoaky_cvs/?utm_source=Facebook&amp;utm_medium=CVS&amp;utm_term=NEW_UnitedStates_2040_none_110225&amp;utm_content=saletructiep_UnitedStates.Giaotiep.M388C315.2040_TATTP_LD109&amp;utm_campaign=UnitedStates.Giaotiep.M388C315_XuBen.5018_CVS_HuyLG"&amp;"_110225")</f>
        <v>https://patadovietnam.edu.vn/hoaky_cvs/?utm_source=Facebook&amp;utm_medium=CVS&amp;utm_term=NEW_UnitedStates_2040_none_110225&amp;utm_content=saletructiep_UnitedStates.Giaotiep.M388C315.2040_TATTP_LD109&amp;utm_campaign=UnitedStates.Giaotiep.M388C315_XuBen.5018_CVS_HuyLG_110225</v>
      </c>
      <c r="U343" s="110" t="s">
        <v>5230</v>
      </c>
    </row>
    <row r="344">
      <c r="A344" s="72">
        <v>45700.0</v>
      </c>
      <c r="B344" s="60" t="s">
        <v>4887</v>
      </c>
      <c r="C344" s="67" t="str">
        <f>IFERROR(__xludf.DUMMYFUNCTION("""COMPUTED_VALUE"""),"LD233")</f>
        <v>LD233</v>
      </c>
      <c r="D344" s="55" t="s">
        <v>42</v>
      </c>
      <c r="E344" s="55" t="s">
        <v>69</v>
      </c>
      <c r="F344" s="55" t="s">
        <v>674</v>
      </c>
      <c r="G344" s="55">
        <v>2040.0</v>
      </c>
      <c r="H344" s="55" t="s">
        <v>1131</v>
      </c>
      <c r="I344" s="55" t="s">
        <v>5234</v>
      </c>
      <c r="J344" s="55" t="s">
        <v>5235</v>
      </c>
      <c r="K344" s="143" t="s">
        <v>61</v>
      </c>
      <c r="L344" s="143" t="s">
        <v>317</v>
      </c>
      <c r="M344" s="55" t="s">
        <v>78</v>
      </c>
      <c r="N344" s="55" t="s">
        <v>69</v>
      </c>
      <c r="O344" s="55" t="s">
        <v>910</v>
      </c>
      <c r="P344" s="143" t="s">
        <v>110</v>
      </c>
      <c r="Q344" s="67" t="str">
        <f>IFERROR(__xludf.DUMMYFUNCTION("""COMPUTED_VALUE"""),"Europe.Giaotiep.M394C317_XuBen.5018_CVS_HuyLG_120225")</f>
        <v>Europe.Giaotiep.M394C317_XuBen.5018_CVS_HuyLG_120225</v>
      </c>
      <c r="R344" s="67" t="str">
        <f>IFERROR(__xludf.DUMMYFUNCTION("""COMPUTED_VALUE"""),"NEW_Europe_2040_none_120225")</f>
        <v>NEW_Europe_2040_none_120225</v>
      </c>
      <c r="S344" s="67" t="str">
        <f>IFERROR(__xludf.DUMMYFUNCTION("""COMPUTED_VALUE"""),"saletructiep_Europe.Giaotiep.M394C317.2040_TATTP_LD233")</f>
        <v>saletructiep_Europe.Giaotiep.M394C317.2040_TATTP_LD233</v>
      </c>
      <c r="T344" s="107" t="str">
        <f>IFERROR(__xludf.DUMMYFUNCTION("""COMPUTED_VALUE"""),"https://patadovietnam.edu.vn/hlg_tattp_gt/?utm_source=Facebook&amp;utm_medium=CVS&amp;utm_term=NEW_Europe_2040_none_120225&amp;utm_content=saletructiep_Europe.Giaotiep.M394C317.2040_TATTP_LD233&amp;utm_campaign=Europe.Giaotiep.M394C317_XuBen.5018_CVS_HuyLG_120225")</f>
        <v>https://patadovietnam.edu.vn/hlg_tattp_gt/?utm_source=Facebook&amp;utm_medium=CVS&amp;utm_term=NEW_Europe_2040_none_120225&amp;utm_content=saletructiep_Europe.Giaotiep.M394C317.2040_TATTP_LD233&amp;utm_campaign=Europe.Giaotiep.M394C317_XuBen.5018_CVS_HuyLG_120225</v>
      </c>
      <c r="U344" s="110" t="s">
        <v>5241</v>
      </c>
    </row>
    <row r="345">
      <c r="A345" s="72">
        <v>45701.0</v>
      </c>
      <c r="B345" s="60" t="s">
        <v>4785</v>
      </c>
      <c r="C345" s="67" t="str">
        <f>IFERROR(__xludf.DUMMYFUNCTION("""COMPUTED_VALUE"""),"LD229")</f>
        <v>LD229</v>
      </c>
      <c r="D345" s="55" t="s">
        <v>42</v>
      </c>
      <c r="E345" s="55" t="s">
        <v>79</v>
      </c>
      <c r="F345" s="55" t="s">
        <v>107</v>
      </c>
      <c r="G345" s="55">
        <v>2040.0</v>
      </c>
      <c r="H345" s="55" t="s">
        <v>1131</v>
      </c>
      <c r="I345" s="55" t="s">
        <v>5127</v>
      </c>
      <c r="J345" s="55" t="s">
        <v>5128</v>
      </c>
      <c r="K345" s="55" t="s">
        <v>61</v>
      </c>
      <c r="L345" s="143" t="s">
        <v>317</v>
      </c>
      <c r="M345" s="55" t="s">
        <v>78</v>
      </c>
      <c r="N345" s="55" t="s">
        <v>79</v>
      </c>
      <c r="O345" s="55" t="s">
        <v>415</v>
      </c>
      <c r="P345" s="55" t="s">
        <v>110</v>
      </c>
      <c r="Q345" s="67" t="str">
        <f>IFERROR(__xludf.DUMMYFUNCTION("""COMPUTED_VALUE"""),"UnitedStates.Giaotiep.M332C280_XuBen.5018_MES_HuyLG_130225")</f>
        <v>UnitedStates.Giaotiep.M332C280_XuBen.5018_MES_HuyLG_130225</v>
      </c>
      <c r="R345" s="67" t="str">
        <f>IFERROR(__xludf.DUMMYFUNCTION("""COMPUTED_VALUE"""),"NEW_UnitedStates_2040_none_130225")</f>
        <v>NEW_UnitedStates_2040_none_130225</v>
      </c>
      <c r="S345" s="67" t="str">
        <f>IFERROR(__xludf.DUMMYFUNCTION("""COMPUTED_VALUE"""),"saletructiep_UnitedStates.Giaotiep.M332C280.2040_TATTPVN_LD229")</f>
        <v>saletructiep_UnitedStates.Giaotiep.M332C280.2040_TATTPVN_LD229</v>
      </c>
      <c r="T345" s="107" t="str">
        <f>IFERROR(__xludf.DUMMYFUNCTION("""COMPUTED_VALUE"""),"https://patadovietnam.edu.vn/hlg_tattpvn_gt/?utm_source=Facebook&amp;utm_medium=MES&amp;utm_term=NEW_UnitedStates_2040_none_130225&amp;utm_content=saletructiep_UnitedStates.Giaotiep.M332C280.2040_TATTPVN_LD229&amp;utm_campaign=UnitedStates.Giaotiep.M332C280_XuBen.5018_ME"&amp;"S_HuyLG_130225")</f>
        <v>https://patadovietnam.edu.vn/hlg_tattpvn_gt/?utm_source=Facebook&amp;utm_medium=MES&amp;utm_term=NEW_UnitedStates_2040_none_130225&amp;utm_content=saletructiep_UnitedStates.Giaotiep.M332C280.2040_TATTPVN_LD229&amp;utm_campaign=UnitedStates.Giaotiep.M332C280_XuBen.5018_MES_HuyLG_130225</v>
      </c>
      <c r="U345" s="118"/>
    </row>
    <row r="346">
      <c r="A346" s="72">
        <v>45701.0</v>
      </c>
      <c r="B346" s="60" t="s">
        <v>4785</v>
      </c>
      <c r="C346" s="67" t="str">
        <f>IFERROR(__xludf.DUMMYFUNCTION("""COMPUTED_VALUE"""),"LD229")</f>
        <v>LD229</v>
      </c>
      <c r="D346" s="55" t="s">
        <v>42</v>
      </c>
      <c r="E346" s="55" t="s">
        <v>69</v>
      </c>
      <c r="F346" s="55" t="s">
        <v>674</v>
      </c>
      <c r="G346" s="55">
        <v>2040.0</v>
      </c>
      <c r="H346" s="55" t="s">
        <v>1131</v>
      </c>
      <c r="I346" s="55" t="s">
        <v>5249</v>
      </c>
      <c r="J346" s="55" t="s">
        <v>5250</v>
      </c>
      <c r="K346" s="55" t="s">
        <v>61</v>
      </c>
      <c r="L346" s="143" t="s">
        <v>317</v>
      </c>
      <c r="M346" s="55" t="s">
        <v>78</v>
      </c>
      <c r="N346" s="55" t="s">
        <v>69</v>
      </c>
      <c r="O346" s="55" t="s">
        <v>415</v>
      </c>
      <c r="P346" s="55" t="s">
        <v>110</v>
      </c>
      <c r="Q346" s="67" t="str">
        <f>IFERROR(__xludf.DUMMYFUNCTION("""COMPUTED_VALUE"""),"Europe.Giaotiep.M396C322_XuBen.5018_CVS_HuyLG_130225")</f>
        <v>Europe.Giaotiep.M396C322_XuBen.5018_CVS_HuyLG_130225</v>
      </c>
      <c r="R346" s="67" t="str">
        <f>IFERROR(__xludf.DUMMYFUNCTION("""COMPUTED_VALUE"""),"NEW_Europe_2040_none_130225")</f>
        <v>NEW_Europe_2040_none_130225</v>
      </c>
      <c r="S346" s="67" t="str">
        <f>IFERROR(__xludf.DUMMYFUNCTION("""COMPUTED_VALUE"""),"saletructiep_Europe.Giaotiep.M396C322.2040_TATTPVN_LD229")</f>
        <v>saletructiep_Europe.Giaotiep.M396C322.2040_TATTPVN_LD229</v>
      </c>
      <c r="T346" s="107" t="str">
        <f>IFERROR(__xludf.DUMMYFUNCTION("""COMPUTED_VALUE"""),"https://patadovietnam.edu.vn/hlg_tattpvn_gt/?utm_source=Facebook&amp;utm_medium=CVS&amp;utm_term=NEW_Europe_2040_none_130225&amp;utm_content=saletructiep_Europe.Giaotiep.M396C322.2040_TATTPVN_LD229&amp;utm_campaign=Europe.Giaotiep.M396C322_XuBen.5018_CVS_HuyLG_130225")</f>
        <v>https://patadovietnam.edu.vn/hlg_tattpvn_gt/?utm_source=Facebook&amp;utm_medium=CVS&amp;utm_term=NEW_Europe_2040_none_130225&amp;utm_content=saletructiep_Europe.Giaotiep.M396C322.2040_TATTPVN_LD229&amp;utm_campaign=Europe.Giaotiep.M396C322_XuBen.5018_CVS_HuyLG_130225</v>
      </c>
      <c r="U346" s="110" t="s">
        <v>5256</v>
      </c>
    </row>
    <row r="347">
      <c r="A347" s="72">
        <v>45701.0</v>
      </c>
      <c r="B347" s="60" t="s">
        <v>4785</v>
      </c>
      <c r="C347" s="67" t="str">
        <f>IFERROR(__xludf.DUMMYFUNCTION("""COMPUTED_VALUE"""),"LD229")</f>
        <v>LD229</v>
      </c>
      <c r="D347" s="55" t="s">
        <v>42</v>
      </c>
      <c r="E347" s="55" t="s">
        <v>69</v>
      </c>
      <c r="F347" s="55" t="s">
        <v>129</v>
      </c>
      <c r="G347" s="55">
        <v>2040.0</v>
      </c>
      <c r="H347" s="55" t="s">
        <v>1131</v>
      </c>
      <c r="I347" s="55" t="s">
        <v>5259</v>
      </c>
      <c r="J347" s="55" t="s">
        <v>5260</v>
      </c>
      <c r="K347" s="55" t="s">
        <v>61</v>
      </c>
      <c r="L347" s="143" t="s">
        <v>317</v>
      </c>
      <c r="M347" s="55" t="s">
        <v>78</v>
      </c>
      <c r="N347" s="55" t="s">
        <v>69</v>
      </c>
      <c r="O347" s="55" t="s">
        <v>415</v>
      </c>
      <c r="P347" s="55" t="s">
        <v>110</v>
      </c>
      <c r="Q347" s="129" t="str">
        <f>IFERROR(__xludf.DUMMYFUNCTION("""COMPUTED_VALUE"""),"Australia.Giaotiep.M396C322_XuBen.5018_CVS_HuyLG_130225")</f>
        <v>Australia.Giaotiep.M396C322_XuBen.5018_CVS_HuyLG_130225</v>
      </c>
      <c r="R347" s="129" t="str">
        <f>IFERROR(__xludf.DUMMYFUNCTION("""COMPUTED_VALUE"""),"NEW_Australia_2040_none_130225")</f>
        <v>NEW_Australia_2040_none_130225</v>
      </c>
      <c r="S347" s="129" t="str">
        <f>IFERROR(__xludf.DUMMYFUNCTION("""COMPUTED_VALUE"""),"saletructiep_Australia.Giaotiep.M396C322.2040_TATTPVN_LD229")</f>
        <v>saletructiep_Australia.Giaotiep.M396C322.2040_TATTPVN_LD229</v>
      </c>
      <c r="T347" s="130" t="str">
        <f>IFERROR(__xludf.DUMMYFUNCTION("""COMPUTED_VALUE"""),"https://patadovietnam.edu.vn/hlg_tattpvn_gt/?utm_source=Facebook&amp;utm_medium=CVS&amp;utm_term=NEW_Australia_2040_none_130225&amp;utm_content=saletructiep_Australia.Giaotiep.M396C322.2040_TATTPVN_LD229&amp;utm_campaign=Australia.Giaotiep.M396C322_XuBen.5018_CVS_HuyLG_1"&amp;"30225")</f>
        <v>https://patadovietnam.edu.vn/hlg_tattpvn_gt/?utm_source=Facebook&amp;utm_medium=CVS&amp;utm_term=NEW_Australia_2040_none_130225&amp;utm_content=saletructiep_Australia.Giaotiep.M396C322.2040_TATTPVN_LD229&amp;utm_campaign=Australia.Giaotiep.M396C322_XuBen.5018_CVS_HuyLG_130225</v>
      </c>
      <c r="U347" s="110" t="s">
        <v>5269</v>
      </c>
    </row>
    <row r="348">
      <c r="A348" s="72">
        <v>45701.0</v>
      </c>
      <c r="B348" s="60" t="s">
        <v>4785</v>
      </c>
      <c r="C348" s="67" t="str">
        <f>IFERROR(__xludf.DUMMYFUNCTION("""COMPUTED_VALUE"""),"LD229")</f>
        <v>LD229</v>
      </c>
      <c r="D348" s="55" t="s">
        <v>42</v>
      </c>
      <c r="E348" s="55" t="s">
        <v>69</v>
      </c>
      <c r="F348" s="55" t="s">
        <v>539</v>
      </c>
      <c r="G348" s="55">
        <v>2040.0</v>
      </c>
      <c r="H348" s="55" t="s">
        <v>1131</v>
      </c>
      <c r="I348" s="55" t="s">
        <v>5272</v>
      </c>
      <c r="J348" s="55" t="s">
        <v>5273</v>
      </c>
      <c r="K348" s="55" t="s">
        <v>61</v>
      </c>
      <c r="L348" s="143" t="s">
        <v>317</v>
      </c>
      <c r="M348" s="55" t="s">
        <v>78</v>
      </c>
      <c r="N348" s="55" t="s">
        <v>69</v>
      </c>
      <c r="O348" s="55" t="s">
        <v>415</v>
      </c>
      <c r="P348" s="55" t="s">
        <v>110</v>
      </c>
      <c r="Q348" s="67" t="str">
        <f>IFERROR(__xludf.DUMMYFUNCTION("""COMPUTED_VALUE"""),"ALL.Giaotiep.M396C322_XuBen.5018_CVS_HuyLG_130225")</f>
        <v>ALL.Giaotiep.M396C322_XuBen.5018_CVS_HuyLG_130225</v>
      </c>
      <c r="R348" s="67" t="str">
        <f>IFERROR(__xludf.DUMMYFUNCTION("""COMPUTED_VALUE"""),"NEW_ALL_2040_none_130225")</f>
        <v>NEW_ALL_2040_none_130225</v>
      </c>
      <c r="S348" s="67" t="str">
        <f>IFERROR(__xludf.DUMMYFUNCTION("""COMPUTED_VALUE"""),"saletructiep_ALL.Giaotiep.M396C322.2040_TATTPVN_LD229")</f>
        <v>saletructiep_ALL.Giaotiep.M396C322.2040_TATTPVN_LD229</v>
      </c>
      <c r="T348" s="107" t="str">
        <f>IFERROR(__xludf.DUMMYFUNCTION("""COMPUTED_VALUE"""),"https://patadovietnam.edu.vn/hlg_tattpvn_gt/?utm_source=Facebook&amp;utm_medium=CVS&amp;utm_term=NEW_ALL_2040_none_130225&amp;utm_content=saletructiep_ALL.Giaotiep.M396C322.2040_TATTPVN_LD229&amp;utm_campaign=ALL.Giaotiep.M396C322_XuBen.5018_CVS_HuyLG_130225")</f>
        <v>https://patadovietnam.edu.vn/hlg_tattpvn_gt/?utm_source=Facebook&amp;utm_medium=CVS&amp;utm_term=NEW_ALL_2040_none_130225&amp;utm_content=saletructiep_ALL.Giaotiep.M396C322.2040_TATTPVN_LD229&amp;utm_campaign=ALL.Giaotiep.M396C322_XuBen.5018_CVS_HuyLG_130225</v>
      </c>
      <c r="U348" s="110" t="s">
        <v>5278</v>
      </c>
    </row>
    <row r="349">
      <c r="A349" s="72">
        <v>45702.0</v>
      </c>
      <c r="B349" s="60" t="s">
        <v>4785</v>
      </c>
      <c r="C349" s="67" t="str">
        <f>IFERROR(__xludf.DUMMYFUNCTION("""COMPUTED_VALUE"""),"LD229")</f>
        <v>LD229</v>
      </c>
      <c r="D349" s="55" t="s">
        <v>42</v>
      </c>
      <c r="E349" s="55" t="s">
        <v>1625</v>
      </c>
      <c r="F349" s="55" t="s">
        <v>539</v>
      </c>
      <c r="G349" s="55">
        <v>2040.0</v>
      </c>
      <c r="H349" s="55" t="s">
        <v>1131</v>
      </c>
      <c r="I349" s="55" t="s">
        <v>5281</v>
      </c>
      <c r="J349" s="55" t="s">
        <v>5282</v>
      </c>
      <c r="K349" s="55" t="s">
        <v>61</v>
      </c>
      <c r="L349" s="143" t="s">
        <v>317</v>
      </c>
      <c r="M349" s="55" t="s">
        <v>3918</v>
      </c>
      <c r="N349" s="55" t="s">
        <v>1625</v>
      </c>
      <c r="O349" s="55" t="s">
        <v>415</v>
      </c>
      <c r="P349" s="55" t="s">
        <v>70</v>
      </c>
      <c r="Q349" s="67" t="str">
        <f>IFERROR(__xludf.DUMMYFUNCTION("""COMPUTED_VALUE"""),"ALL.Reach.M314C4_XuBen.5018_REACH_HuyLG_140225")</f>
        <v>ALL.Reach.M314C4_XuBen.5018_REACH_HuyLG_140225</v>
      </c>
      <c r="R349" s="67" t="str">
        <f>IFERROR(__xludf.DUMMYFUNCTION("""COMPUTED_VALUE"""),"NON_ALL_2040_none_140225")</f>
        <v>NON_ALL_2040_none_140225</v>
      </c>
      <c r="S349" s="67" t="str">
        <f>IFERROR(__xludf.DUMMYFUNCTION("""COMPUTED_VALUE"""),"Videolophoc_ALL.Reach.M314C4.2040_TATTPVN_LD229")</f>
        <v>Videolophoc_ALL.Reach.M314C4.2040_TATTPVN_LD229</v>
      </c>
      <c r="T349" s="107" t="str">
        <f>IFERROR(__xludf.DUMMYFUNCTION("""COMPUTED_VALUE"""),"https://patadovietnam.edu.vn/hlg_tattpvn_gt/?utm_source=Facebook&amp;utm_medium=REACH&amp;utm_term=NON_ALL_2040_none_140225&amp;utm_content=Videolophoc_ALL.Reach.M314C4.2040_TATTPVN_LD229&amp;utm_campaign=ALL.Reach.M314C4_XuBen.5018_REACH_HuyLG_140225")</f>
        <v>https://patadovietnam.edu.vn/hlg_tattpvn_gt/?utm_source=Facebook&amp;utm_medium=REACH&amp;utm_term=NON_ALL_2040_none_140225&amp;utm_content=Videolophoc_ALL.Reach.M314C4.2040_TATTPVN_LD229&amp;utm_campaign=ALL.Reach.M314C4_XuBen.5018_REACH_HuyLG_140225</v>
      </c>
      <c r="U349" s="110" t="s">
        <v>5288</v>
      </c>
    </row>
    <row r="350">
      <c r="A350" s="72">
        <v>45702.0</v>
      </c>
      <c r="B350" s="60" t="s">
        <v>4785</v>
      </c>
      <c r="C350" s="67" t="str">
        <f>IFERROR(__xludf.DUMMYFUNCTION("""COMPUTED_VALUE"""),"LD229")</f>
        <v>LD229</v>
      </c>
      <c r="D350" s="55" t="s">
        <v>42</v>
      </c>
      <c r="E350" s="55" t="s">
        <v>1409</v>
      </c>
      <c r="F350" s="55" t="s">
        <v>133</v>
      </c>
      <c r="G350" s="55">
        <v>2040.0</v>
      </c>
      <c r="H350" s="55" t="s">
        <v>1131</v>
      </c>
      <c r="I350" s="55" t="s">
        <v>5291</v>
      </c>
      <c r="J350" s="55" t="s">
        <v>5292</v>
      </c>
      <c r="K350" s="55" t="s">
        <v>61</v>
      </c>
      <c r="L350" s="143" t="s">
        <v>317</v>
      </c>
      <c r="M350" s="55" t="s">
        <v>78</v>
      </c>
      <c r="N350" s="55" t="s">
        <v>1409</v>
      </c>
      <c r="O350" s="55" t="s">
        <v>415</v>
      </c>
      <c r="P350" s="55" t="s">
        <v>110</v>
      </c>
      <c r="Q350" s="67" t="str">
        <f>IFERROR(__xludf.DUMMYFUNCTION("""COMPUTED_VALUE"""),"Japan.Lead.M397C4_XuBen.5018_LEAD_HuyLG_140225")</f>
        <v>Japan.Lead.M397C4_XuBen.5018_LEAD_HuyLG_140225</v>
      </c>
      <c r="R350" s="67" t="str">
        <f>IFERROR(__xludf.DUMMYFUNCTION("""COMPUTED_VALUE"""),"NEW_Japan_2040_none_140225")</f>
        <v>NEW_Japan_2040_none_140225</v>
      </c>
      <c r="S350" s="67" t="str">
        <f>IFERROR(__xludf.DUMMYFUNCTION("""COMPUTED_VALUE"""),"saletructiep_Japan.Lead.M397C4.2040_TATTPVN_LD229")</f>
        <v>saletructiep_Japan.Lead.M397C4.2040_TATTPVN_LD229</v>
      </c>
      <c r="T350" s="107" t="str">
        <f>IFERROR(__xludf.DUMMYFUNCTION("""COMPUTED_VALUE"""),"https://patadovietnam.edu.vn/hlg_tattpvn_gt/?utm_source=Facebook&amp;utm_medium=LEAD&amp;utm_term=NEW_Japan_2040_none_140225&amp;utm_content=saletructiep_Japan.Lead.M397C4.2040_TATTPVN_LD229&amp;utm_campaign=Japan.Lead.M397C4_XuBen.5018_LEAD_HuyLG_140225")</f>
        <v>https://patadovietnam.edu.vn/hlg_tattpvn_gt/?utm_source=Facebook&amp;utm_medium=LEAD&amp;utm_term=NEW_Japan_2040_none_140225&amp;utm_content=saletructiep_Japan.Lead.M397C4.2040_TATTPVN_LD229&amp;utm_campaign=Japan.Lead.M397C4_XuBen.5018_LEAD_HuyLG_140225</v>
      </c>
      <c r="U350" s="110" t="s">
        <v>5299</v>
      </c>
    </row>
    <row r="351">
      <c r="A351" s="72">
        <v>45702.0</v>
      </c>
      <c r="B351" s="60" t="s">
        <v>4785</v>
      </c>
      <c r="C351" s="67" t="str">
        <f>IFERROR(__xludf.DUMMYFUNCTION("""COMPUTED_VALUE"""),"LD229")</f>
        <v>LD229</v>
      </c>
      <c r="D351" s="55" t="s">
        <v>42</v>
      </c>
      <c r="E351" s="55" t="s">
        <v>1409</v>
      </c>
      <c r="F351" s="55" t="s">
        <v>107</v>
      </c>
      <c r="G351" s="55">
        <v>2040.0</v>
      </c>
      <c r="H351" s="55" t="s">
        <v>1131</v>
      </c>
      <c r="I351" s="55" t="s">
        <v>5301</v>
      </c>
      <c r="J351" s="55" t="s">
        <v>5302</v>
      </c>
      <c r="K351" s="55" t="s">
        <v>61</v>
      </c>
      <c r="L351" s="143" t="s">
        <v>317</v>
      </c>
      <c r="M351" s="55" t="s">
        <v>78</v>
      </c>
      <c r="N351" s="55" t="s">
        <v>1409</v>
      </c>
      <c r="O351" s="55" t="s">
        <v>415</v>
      </c>
      <c r="P351" s="55" t="s">
        <v>110</v>
      </c>
      <c r="Q351" s="67" t="str">
        <f>IFERROR(__xludf.DUMMYFUNCTION("""COMPUTED_VALUE"""),"UnitedStates.Lead.M397C4_XuBen.5018_LEAD_HuyLG_140225")</f>
        <v>UnitedStates.Lead.M397C4_XuBen.5018_LEAD_HuyLG_140225</v>
      </c>
      <c r="R351" s="67" t="str">
        <f>IFERROR(__xludf.DUMMYFUNCTION("""COMPUTED_VALUE"""),"NEW_UnitedStates_2040_none_140225")</f>
        <v>NEW_UnitedStates_2040_none_140225</v>
      </c>
      <c r="S351" s="67" t="str">
        <f>IFERROR(__xludf.DUMMYFUNCTION("""COMPUTED_VALUE"""),"saletructiep_UnitedStates.Lead.M397C4.2040_TATTPVN_LD229")</f>
        <v>saletructiep_UnitedStates.Lead.M397C4.2040_TATTPVN_LD229</v>
      </c>
      <c r="T351" s="107" t="str">
        <f>IFERROR(__xludf.DUMMYFUNCTION("""COMPUTED_VALUE"""),"https://patadovietnam.edu.vn/hlg_tattpvn_gt/?utm_source=Facebook&amp;utm_medium=LEAD&amp;utm_term=NEW_UnitedStates_2040_none_140225&amp;utm_content=saletructiep_UnitedStates.Lead.M397C4.2040_TATTPVN_LD229&amp;utm_campaign=UnitedStates.Lead.M397C4_XuBen.5018_LEAD_HuyLG_14"&amp;"0225")</f>
        <v>https://patadovietnam.edu.vn/hlg_tattpvn_gt/?utm_source=Facebook&amp;utm_medium=LEAD&amp;utm_term=NEW_UnitedStates_2040_none_140225&amp;utm_content=saletructiep_UnitedStates.Lead.M397C4.2040_TATTPVN_LD229&amp;utm_campaign=UnitedStates.Lead.M397C4_XuBen.5018_LEAD_HuyLG_140225</v>
      </c>
      <c r="U351" s="110" t="s">
        <v>5309</v>
      </c>
    </row>
    <row r="352">
      <c r="A352" s="72">
        <v>45702.0</v>
      </c>
      <c r="B352" s="60" t="s">
        <v>4785</v>
      </c>
      <c r="C352" s="67" t="str">
        <f>IFERROR(__xludf.DUMMYFUNCTION("""COMPUTED_VALUE"""),"LD229")</f>
        <v>LD229</v>
      </c>
      <c r="D352" s="55" t="s">
        <v>42</v>
      </c>
      <c r="E352" s="55" t="s">
        <v>1409</v>
      </c>
      <c r="F352" s="55" t="s">
        <v>674</v>
      </c>
      <c r="G352" s="55">
        <v>2040.0</v>
      </c>
      <c r="H352" s="55" t="s">
        <v>1131</v>
      </c>
      <c r="I352" s="55" t="s">
        <v>5310</v>
      </c>
      <c r="J352" s="55" t="s">
        <v>5311</v>
      </c>
      <c r="K352" s="55" t="s">
        <v>61</v>
      </c>
      <c r="L352" s="143" t="s">
        <v>317</v>
      </c>
      <c r="M352" s="55" t="s">
        <v>78</v>
      </c>
      <c r="N352" s="55" t="s">
        <v>1409</v>
      </c>
      <c r="O352" s="55" t="s">
        <v>415</v>
      </c>
      <c r="P352" s="55" t="s">
        <v>110</v>
      </c>
      <c r="Q352" s="67" t="str">
        <f>IFERROR(__xludf.DUMMYFUNCTION("""COMPUTED_VALUE"""),"Europe.Lead.M397C4_XuBen.5018_LEAD_HuyLG_140225")</f>
        <v>Europe.Lead.M397C4_XuBen.5018_LEAD_HuyLG_140225</v>
      </c>
      <c r="R352" s="67" t="str">
        <f>IFERROR(__xludf.DUMMYFUNCTION("""COMPUTED_VALUE"""),"NEW_Europe_2040_none_140225")</f>
        <v>NEW_Europe_2040_none_140225</v>
      </c>
      <c r="S352" s="67" t="str">
        <f>IFERROR(__xludf.DUMMYFUNCTION("""COMPUTED_VALUE"""),"saletructiep_Europe.Lead.M397C4.2040_TATTPVN_LD229")</f>
        <v>saletructiep_Europe.Lead.M397C4.2040_TATTPVN_LD229</v>
      </c>
      <c r="T352" s="120" t="str">
        <f>IFERROR(__xludf.DUMMYFUNCTION("""COMPUTED_VALUE"""),"https://patadovietnam.edu.vn/hlg_tattpvn_gt/?utm_source=Facebook&amp;utm_medium=LEAD&amp;utm_term=NEW_Europe_2040_none_140225&amp;utm_content=saletructiep_Europe.Lead.M397C4.2040_TATTPVN_LD229&amp;utm_campaign=Europe.Lead.M397C4_XuBen.5018_LEAD_HuyLG_140225")</f>
        <v>https://patadovietnam.edu.vn/hlg_tattpvn_gt/?utm_source=Facebook&amp;utm_medium=LEAD&amp;utm_term=NEW_Europe_2040_none_140225&amp;utm_content=saletructiep_Europe.Lead.M397C4.2040_TATTPVN_LD229&amp;utm_campaign=Europe.Lead.M397C4_XuBen.5018_LEAD_HuyLG_140225</v>
      </c>
      <c r="U352" s="110" t="s">
        <v>5318</v>
      </c>
    </row>
    <row r="353">
      <c r="A353" s="72">
        <v>45702.0</v>
      </c>
      <c r="B353" s="60" t="s">
        <v>4887</v>
      </c>
      <c r="C353" s="67" t="str">
        <f>IFERROR(__xludf.DUMMYFUNCTION("""COMPUTED_VALUE"""),"LD233")</f>
        <v>LD233</v>
      </c>
      <c r="D353" s="55" t="s">
        <v>42</v>
      </c>
      <c r="E353" s="55" t="s">
        <v>79</v>
      </c>
      <c r="F353" s="55" t="s">
        <v>133</v>
      </c>
      <c r="G353" s="55">
        <v>2040.0</v>
      </c>
      <c r="H353" s="55" t="s">
        <v>1131</v>
      </c>
      <c r="I353" s="55" t="s">
        <v>5321</v>
      </c>
      <c r="J353" s="55" t="s">
        <v>5322</v>
      </c>
      <c r="K353" s="55" t="s">
        <v>61</v>
      </c>
      <c r="L353" s="143" t="s">
        <v>317</v>
      </c>
      <c r="M353" s="55" t="s">
        <v>78</v>
      </c>
      <c r="N353" s="55" t="s">
        <v>79</v>
      </c>
      <c r="O353" s="55" t="s">
        <v>910</v>
      </c>
      <c r="P353" s="55" t="s">
        <v>5323</v>
      </c>
      <c r="Q353" s="67" t="str">
        <f>IFERROR(__xludf.DUMMYFUNCTION("""COMPUTED_VALUE"""),"Japan.LAL.M398C323_XuBen.5018_MES_HuyLG_140225")</f>
        <v>Japan.LAL.M398C323_XuBen.5018_MES_HuyLG_140225</v>
      </c>
      <c r="R353" s="67" t="str">
        <f>IFERROR(__xludf.DUMMYFUNCTION("""COMPUTED_VALUE"""),"LAL_Japan_2040_none_140225")</f>
        <v>LAL_Japan_2040_none_140225</v>
      </c>
      <c r="S353" s="67" t="str">
        <f>IFERROR(__xludf.DUMMYFUNCTION("""COMPUTED_VALUE"""),"saletructiep_Japan.LAL.M398C323.2040_TATTP_LD233")</f>
        <v>saletructiep_Japan.LAL.M398C323.2040_TATTP_LD233</v>
      </c>
      <c r="T353" s="107" t="str">
        <f>IFERROR(__xludf.DUMMYFUNCTION("""COMPUTED_VALUE"""),"https://patadovietnam.edu.vn/hlg_tattp_gt/?utm_source=Facebook&amp;utm_medium=MES&amp;utm_term=LAL_Japan_2040_none_140225&amp;utm_content=saletructiep_Japan.LAL.M398C323.2040_TATTP_LD233&amp;utm_campaign=Japan.LAL.M398C323_XuBen.5018_MES_HuyLG_140225")</f>
        <v>https://patadovietnam.edu.vn/hlg_tattp_gt/?utm_source=Facebook&amp;utm_medium=MES&amp;utm_term=LAL_Japan_2040_none_140225&amp;utm_content=saletructiep_Japan.LAL.M398C323.2040_TATTP_LD233&amp;utm_campaign=Japan.LAL.M398C323_XuBen.5018_MES_HuyLG_140225</v>
      </c>
      <c r="U353" s="110" t="s">
        <v>5327</v>
      </c>
    </row>
    <row r="354">
      <c r="A354" s="72">
        <v>45702.0</v>
      </c>
      <c r="B354" s="60" t="s">
        <v>4887</v>
      </c>
      <c r="C354" s="67" t="str">
        <f>IFERROR(__xludf.DUMMYFUNCTION("""COMPUTED_VALUE"""),"LD233")</f>
        <v>LD233</v>
      </c>
      <c r="D354" s="55" t="s">
        <v>42</v>
      </c>
      <c r="E354" s="55" t="s">
        <v>79</v>
      </c>
      <c r="F354" s="55" t="s">
        <v>539</v>
      </c>
      <c r="G354" s="55">
        <v>2040.0</v>
      </c>
      <c r="H354" s="55" t="s">
        <v>1131</v>
      </c>
      <c r="I354" s="55" t="s">
        <v>5330</v>
      </c>
      <c r="J354" s="55" t="s">
        <v>5330</v>
      </c>
      <c r="K354" s="55" t="s">
        <v>61</v>
      </c>
      <c r="L354" s="143" t="s">
        <v>317</v>
      </c>
      <c r="M354" s="55" t="s">
        <v>78</v>
      </c>
      <c r="N354" s="55" t="s">
        <v>79</v>
      </c>
      <c r="O354" s="55" t="s">
        <v>910</v>
      </c>
      <c r="P354" s="55" t="s">
        <v>72</v>
      </c>
      <c r="Q354" s="67" t="str">
        <f>IFERROR(__xludf.DUMMYFUNCTION("""COMPUTED_VALUE"""),"ALL.RMK.M398C323_XuBen.5018_MES_HuyLG_140225")</f>
        <v>ALL.RMK.M398C323_XuBen.5018_MES_HuyLG_140225</v>
      </c>
      <c r="R354" s="67" t="str">
        <f>IFERROR(__xludf.DUMMYFUNCTION("""COMPUTED_VALUE"""),"RMK_ALL_2040_none_140225")</f>
        <v>RMK_ALL_2040_none_140225</v>
      </c>
      <c r="S354" s="67" t="str">
        <f>IFERROR(__xludf.DUMMYFUNCTION("""COMPUTED_VALUE"""),"saletructiep_ALL.RMK.M398C323_TATTP_LD233")</f>
        <v>saletructiep_ALL.RMK.M398C323_TATTP_LD233</v>
      </c>
      <c r="T354" s="107" t="str">
        <f>IFERROR(__xludf.DUMMYFUNCTION("""COMPUTED_VALUE"""),"https://patadovietnam.edu.vn/hlg_tattp_gt/?utm_source=Facebook&amp;utm_medium=MES&amp;utm_term=RMK_ALL_2040_none_140225&amp;utm_content=saletructiep_ALL.RMK.M398C323_TATTP_LD233&amp;utm_campaign=ALL.RMK.M398C323_XuBen.5018_MES_HuyLG_140225")</f>
        <v>https://patadovietnam.edu.vn/hlg_tattp_gt/?utm_source=Facebook&amp;utm_medium=MES&amp;utm_term=RMK_ALL_2040_none_140225&amp;utm_content=saletructiep_ALL.RMK.M398C323_TATTP_LD233&amp;utm_campaign=ALL.RMK.M398C323_XuBen.5018_MES_HuyLG_140225</v>
      </c>
      <c r="U354" s="110" t="s">
        <v>5335</v>
      </c>
    </row>
    <row r="355">
      <c r="A355" s="72">
        <v>45702.0</v>
      </c>
      <c r="B355" s="60" t="s">
        <v>4887</v>
      </c>
      <c r="C355" s="67" t="str">
        <f>IFERROR(__xludf.DUMMYFUNCTION("""COMPUTED_VALUE"""),"LD233")</f>
        <v>LD233</v>
      </c>
      <c r="D355" s="55" t="s">
        <v>42</v>
      </c>
      <c r="E355" s="55" t="s">
        <v>79</v>
      </c>
      <c r="F355" s="55" t="s">
        <v>539</v>
      </c>
      <c r="G355" s="55">
        <v>2040.0</v>
      </c>
      <c r="H355" s="55" t="s">
        <v>1131</v>
      </c>
      <c r="I355" s="55" t="s">
        <v>5338</v>
      </c>
      <c r="J355" s="55" t="s">
        <v>5339</v>
      </c>
      <c r="K355" s="55" t="s">
        <v>61</v>
      </c>
      <c r="L355" s="143" t="s">
        <v>317</v>
      </c>
      <c r="M355" s="55" t="s">
        <v>78</v>
      </c>
      <c r="N355" s="55" t="s">
        <v>79</v>
      </c>
      <c r="O355" s="55" t="s">
        <v>910</v>
      </c>
      <c r="P355" s="55" t="s">
        <v>72</v>
      </c>
      <c r="Q355" s="67" t="str">
        <f>IFERROR(__xludf.DUMMYFUNCTION("""COMPUTED_VALUE"""),"ALL.RMK.M277C238_XuBen.5018_MES_HuyLG_140225")</f>
        <v>ALL.RMK.M277C238_XuBen.5018_MES_HuyLG_140225</v>
      </c>
      <c r="R355" s="67" t="str">
        <f>IFERROR(__xludf.DUMMYFUNCTION("""COMPUTED_VALUE"""),"RMK_ALL_2040_none_140225")</f>
        <v>RMK_ALL_2040_none_140225</v>
      </c>
      <c r="S355" s="67" t="str">
        <f>IFERROR(__xludf.DUMMYFUNCTION("""COMPUTED_VALUE"""),"saletructiep_ALL.RMK.M277C238.2040_TATTP_LD233")</f>
        <v>saletructiep_ALL.RMK.M277C238.2040_TATTP_LD233</v>
      </c>
      <c r="T355" s="107" t="str">
        <f>IFERROR(__xludf.DUMMYFUNCTION("""COMPUTED_VALUE"""),"https://patadovietnam.edu.vn/hlg_tattp_gt/?utm_source=Facebook&amp;utm_medium=MES&amp;utm_term=RMK_ALL_2040_none_140225&amp;utm_content=saletructiep_ALL.RMK.M277C238.2040_TATTP_LD233&amp;utm_campaign=ALL.RMK.M277C238_XuBen.5018_MES_HuyLG_140225")</f>
        <v>https://patadovietnam.edu.vn/hlg_tattp_gt/?utm_source=Facebook&amp;utm_medium=MES&amp;utm_term=RMK_ALL_2040_none_140225&amp;utm_content=saletructiep_ALL.RMK.M277C238.2040_TATTP_LD233&amp;utm_campaign=ALL.RMK.M277C238_XuBen.5018_MES_HuyLG_140225</v>
      </c>
      <c r="U355" s="110" t="s">
        <v>5345</v>
      </c>
    </row>
    <row r="356">
      <c r="A356" s="72">
        <v>45703.0</v>
      </c>
      <c r="B356" s="60" t="s">
        <v>4760</v>
      </c>
      <c r="C356" s="67" t="str">
        <f>IFERROR(__xludf.DUMMYFUNCTION("""COMPUTED_VALUE"""),"LD226")</f>
        <v>LD226</v>
      </c>
      <c r="D356" s="55" t="s">
        <v>42</v>
      </c>
      <c r="E356" s="55" t="s">
        <v>1625</v>
      </c>
      <c r="F356" s="55" t="s">
        <v>539</v>
      </c>
      <c r="G356" s="55">
        <v>2040.0</v>
      </c>
      <c r="H356" s="55" t="s">
        <v>1131</v>
      </c>
      <c r="I356" s="55" t="s">
        <v>5350</v>
      </c>
      <c r="J356" s="55" t="s">
        <v>5351</v>
      </c>
      <c r="K356" s="55" t="s">
        <v>61</v>
      </c>
      <c r="L356" s="143" t="s">
        <v>317</v>
      </c>
      <c r="M356" s="55" t="s">
        <v>78</v>
      </c>
      <c r="N356" s="55" t="s">
        <v>1625</v>
      </c>
      <c r="O356" s="55" t="s">
        <v>3271</v>
      </c>
      <c r="P356" s="55" t="s">
        <v>70</v>
      </c>
      <c r="Q356" s="67" t="str">
        <f>IFERROR(__xludf.DUMMYFUNCTION("""COMPUTED_VALUE"""),"ALL.REACH.FormC4_XuBen.5018_REACH_HuyLG_150225")</f>
        <v>ALL.REACH.FormC4_XuBen.5018_REACH_HuyLG_150225</v>
      </c>
      <c r="R356" s="67" t="str">
        <f>IFERROR(__xludf.DUMMYFUNCTION("""COMPUTED_VALUE"""),"NON_ALL_2040_none_150225")</f>
        <v>NON_ALL_2040_none_150225</v>
      </c>
      <c r="S356" s="67" t="str">
        <f>IFERROR(__xludf.DUMMYFUNCTION("""COMPUTED_VALUE"""),"saletructiep_ALL.REACH.FormC4.2040_PGPGTTA_LD226")</f>
        <v>saletructiep_ALL.REACH.FormC4.2040_PGPGTTA_LD226</v>
      </c>
      <c r="T356" s="107" t="str">
        <f>IFERROR(__xludf.DUMMYFUNCTION("""COMPUTED_VALUE"""),"https://patadovietnam.edu.vn/hlg_pgpgtta_gt/?utm_source=Facebook&amp;utm_medium=REACH&amp;utm_term=NON_ALL_2040_none_150225&amp;utm_content=saletructiep_ALL.REACH.FormC4.2040_PGPGTTA_LD226&amp;utm_campaign=ALL.REACH.FormC4_XuBen.5018_REACH_HuyLG_150225")</f>
        <v>https://patadovietnam.edu.vn/hlg_pgpgtta_gt/?utm_source=Facebook&amp;utm_medium=REACH&amp;utm_term=NON_ALL_2040_none_150225&amp;utm_content=saletructiep_ALL.REACH.FormC4.2040_PGPGTTA_LD226&amp;utm_campaign=ALL.REACH.FormC4_XuBen.5018_REACH_HuyLG_150225</v>
      </c>
      <c r="U356" s="110" t="s">
        <v>5360</v>
      </c>
    </row>
    <row r="357">
      <c r="A357" s="72">
        <v>45708.0</v>
      </c>
      <c r="B357" s="60" t="s">
        <v>4760</v>
      </c>
      <c r="C357" s="67" t="str">
        <f>IFERROR(__xludf.DUMMYFUNCTION("""COMPUTED_VALUE"""),"LD226")</f>
        <v>LD226</v>
      </c>
      <c r="D357" s="55" t="s">
        <v>42</v>
      </c>
      <c r="E357" s="55" t="s">
        <v>1625</v>
      </c>
      <c r="F357" s="55" t="s">
        <v>539</v>
      </c>
      <c r="G357" s="55">
        <v>2040.0</v>
      </c>
      <c r="H357" s="55" t="s">
        <v>1131</v>
      </c>
      <c r="I357" s="55" t="s">
        <v>5366</v>
      </c>
      <c r="J357" s="55" t="s">
        <v>5366</v>
      </c>
      <c r="K357" s="55" t="s">
        <v>61</v>
      </c>
      <c r="L357" s="143" t="s">
        <v>317</v>
      </c>
      <c r="M357" s="55" t="s">
        <v>118</v>
      </c>
      <c r="N357" s="55" t="s">
        <v>1625</v>
      </c>
      <c r="O357" s="55" t="s">
        <v>3271</v>
      </c>
      <c r="P357" s="55" t="s">
        <v>70</v>
      </c>
      <c r="Q357" s="67" t="str">
        <f>IFERROR(__xludf.DUMMYFUNCTION("""COMPUTED_VALUE"""),"ALL.REACH.FormTest_XuBen.5018_REACH_HuyLG_200225")</f>
        <v>ALL.REACH.FormTest_XuBen.5018_REACH_HuyLG_200225</v>
      </c>
      <c r="R357" s="67" t="str">
        <f>IFERROR(__xludf.DUMMYFUNCTION("""COMPUTED_VALUE"""),"NON_ALL_2040_none_200225")</f>
        <v>NON_ALL_2040_none_200225</v>
      </c>
      <c r="S357" s="67" t="str">
        <f>IFERROR(__xludf.DUMMYFUNCTION("""COMPUTED_VALUE"""),"test_ALL.REACH.FormTest_PGPGTTA_LD226")</f>
        <v>test_ALL.REACH.FormTest_PGPGTTA_LD226</v>
      </c>
      <c r="T357" s="107" t="str">
        <f>IFERROR(__xludf.DUMMYFUNCTION("""COMPUTED_VALUE"""),"https://patadovietnam.edu.vn/hlg_pgpgtta_gt/?utm_source=Facebook&amp;utm_medium=REACH&amp;utm_term=NON_ALL_2040_none_200225&amp;utm_content=test_ALL.REACH.FormTest_PGPGTTA_LD226&amp;utm_campaign=ALL.REACH.FormTest_XuBen.5018_REACH_HuyLG_200225")</f>
        <v>https://patadovietnam.edu.vn/hlg_pgpgtta_gt/?utm_source=Facebook&amp;utm_medium=REACH&amp;utm_term=NON_ALL_2040_none_200225&amp;utm_content=test_ALL.REACH.FormTest_PGPGTTA_LD226&amp;utm_campaign=ALL.REACH.FormTest_XuBen.5018_REACH_HuyLG_200225</v>
      </c>
      <c r="U357" s="110" t="s">
        <v>5375</v>
      </c>
    </row>
    <row r="358">
      <c r="A358" s="72">
        <v>45708.0</v>
      </c>
      <c r="B358" s="60" t="s">
        <v>4760</v>
      </c>
      <c r="C358" s="67" t="str">
        <f>IFERROR(__xludf.DUMMYFUNCTION("""COMPUTED_VALUE"""),"LD226")</f>
        <v>LD226</v>
      </c>
      <c r="D358" s="55" t="s">
        <v>42</v>
      </c>
      <c r="E358" s="55" t="s">
        <v>1625</v>
      </c>
      <c r="F358" s="55" t="s">
        <v>539</v>
      </c>
      <c r="G358" s="55">
        <v>2040.0</v>
      </c>
      <c r="H358" s="55" t="s">
        <v>1131</v>
      </c>
      <c r="I358" s="55" t="s">
        <v>5379</v>
      </c>
      <c r="J358" s="55" t="s">
        <v>5379</v>
      </c>
      <c r="K358" s="55" t="s">
        <v>61</v>
      </c>
      <c r="L358" s="143" t="s">
        <v>317</v>
      </c>
      <c r="M358" s="55" t="s">
        <v>5380</v>
      </c>
      <c r="N358" s="55" t="s">
        <v>1625</v>
      </c>
      <c r="O358" s="55" t="s">
        <v>3271</v>
      </c>
      <c r="P358" s="55" t="s">
        <v>70</v>
      </c>
      <c r="Q358" s="67" t="str">
        <f>IFERROR(__xludf.DUMMYFUNCTION("""COMPUTED_VALUE"""),"ALL.REACH.FormTL_XuBen.5018_REACH_HuyLG_200225")</f>
        <v>ALL.REACH.FormTL_XuBen.5018_REACH_HuyLG_200225</v>
      </c>
      <c r="R358" s="67" t="str">
        <f>IFERROR(__xludf.DUMMYFUNCTION("""COMPUTED_VALUE"""),"NON_ALL_2040_none_200225")</f>
        <v>NON_ALL_2040_none_200225</v>
      </c>
      <c r="S358" s="67" t="str">
        <f>IFERROR(__xludf.DUMMYFUNCTION("""COMPUTED_VALUE"""),"tangtailieu_ALL.REACH.FormTL_PGPGTTA_LD226")</f>
        <v>tangtailieu_ALL.REACH.FormTL_PGPGTTA_LD226</v>
      </c>
      <c r="T358" s="107" t="str">
        <f>IFERROR(__xludf.DUMMYFUNCTION("""COMPUTED_VALUE"""),"https://patadovietnam.edu.vn/hlg_pgpgtta_gt/?utm_source=Facebook&amp;utm_medium=REACH&amp;utm_term=NON_ALL_2040_none_200225&amp;utm_content=tangtailieu_ALL.REACH.FormTL_PGPGTTA_LD226&amp;utm_campaign=ALL.REACH.FormTL_XuBen.5018_REACH_HuyLG_200225")</f>
        <v>https://patadovietnam.edu.vn/hlg_pgpgtta_gt/?utm_source=Facebook&amp;utm_medium=REACH&amp;utm_term=NON_ALL_2040_none_200225&amp;utm_content=tangtailieu_ALL.REACH.FormTL_PGPGTTA_LD226&amp;utm_campaign=ALL.REACH.FormTL_XuBen.5018_REACH_HuyLG_200225</v>
      </c>
      <c r="U358" s="110" t="s">
        <v>5385</v>
      </c>
    </row>
    <row r="359">
      <c r="A359" s="72">
        <v>45714.0</v>
      </c>
      <c r="B359" s="60" t="s">
        <v>4887</v>
      </c>
      <c r="C359" s="67" t="str">
        <f>IFERROR(__xludf.DUMMYFUNCTION("""COMPUTED_VALUE"""),"LD233")</f>
        <v>LD233</v>
      </c>
      <c r="D359" s="55" t="s">
        <v>42</v>
      </c>
      <c r="E359" s="55" t="s">
        <v>72</v>
      </c>
      <c r="F359" s="55" t="s">
        <v>539</v>
      </c>
      <c r="G359" s="55">
        <v>2040.0</v>
      </c>
      <c r="H359" s="55" t="s">
        <v>1131</v>
      </c>
      <c r="I359" s="55" t="s">
        <v>5389</v>
      </c>
      <c r="J359" s="55" t="s">
        <v>5389</v>
      </c>
      <c r="K359" s="55" t="s">
        <v>61</v>
      </c>
      <c r="L359" s="143" t="s">
        <v>317</v>
      </c>
      <c r="M359" s="55" t="s">
        <v>78</v>
      </c>
      <c r="N359" s="55" t="s">
        <v>79</v>
      </c>
      <c r="O359" s="55" t="s">
        <v>910</v>
      </c>
      <c r="P359" s="55" t="s">
        <v>72</v>
      </c>
      <c r="Q359" s="67" t="str">
        <f>IFERROR(__xludf.DUMMYFUNCTION("""COMPUTED_VALUE"""),"ALL.RMK.Page_XuBen.5018_MES_HuyLG_260225")</f>
        <v>ALL.RMK.Page_XuBen.5018_MES_HuyLG_260225</v>
      </c>
      <c r="R359" s="67" t="str">
        <f>IFERROR(__xludf.DUMMYFUNCTION("""COMPUTED_VALUE"""),"RMK_ALL_2040_none_260225")</f>
        <v>RMK_ALL_2040_none_260225</v>
      </c>
      <c r="S359" s="67" t="str">
        <f>IFERROR(__xludf.DUMMYFUNCTION("""COMPUTED_VALUE"""),"saletructiep_ALL.RMK.Page_TATTP_LD233")</f>
        <v>saletructiep_ALL.RMK.Page_TATTP_LD233</v>
      </c>
      <c r="T359" s="107" t="str">
        <f>IFERROR(__xludf.DUMMYFUNCTION("""COMPUTED_VALUE"""),"https://patadovietnam.edu.vn/hlg_tattp_gt/?utm_source=Facebook&amp;utm_medium=RMK&amp;utm_term=RMK_ALL_2040_none_260225&amp;utm_content=saletructiep_ALL.RMK.Page_TATTP_LD233&amp;utm_campaign=ALL.RMK.Page_XuBen.5018_MES_HuyLG_260225")</f>
        <v>https://patadovietnam.edu.vn/hlg_tattp_gt/?utm_source=Facebook&amp;utm_medium=RMK&amp;utm_term=RMK_ALL_2040_none_260225&amp;utm_content=saletructiep_ALL.RMK.Page_TATTP_LD233&amp;utm_campaign=ALL.RMK.Page_XuBen.5018_MES_HuyLG_260225</v>
      </c>
      <c r="U359" s="118"/>
    </row>
    <row r="360">
      <c r="A360" s="72">
        <v>45719.0</v>
      </c>
      <c r="B360" s="60" t="s">
        <v>4887</v>
      </c>
      <c r="C360" s="67" t="str">
        <f>IFERROR(__xludf.DUMMYFUNCTION("""COMPUTED_VALUE"""),"LD233")</f>
        <v>LD233</v>
      </c>
      <c r="D360" s="55" t="s">
        <v>42</v>
      </c>
      <c r="E360" s="55" t="s">
        <v>69</v>
      </c>
      <c r="F360" s="55" t="s">
        <v>674</v>
      </c>
      <c r="G360" s="55">
        <v>2040.0</v>
      </c>
      <c r="H360" s="55" t="s">
        <v>1131</v>
      </c>
      <c r="I360" s="55" t="s">
        <v>5249</v>
      </c>
      <c r="J360" s="55" t="s">
        <v>5250</v>
      </c>
      <c r="K360" s="55" t="s">
        <v>61</v>
      </c>
      <c r="L360" s="55" t="s">
        <v>5396</v>
      </c>
      <c r="M360" s="55" t="s">
        <v>78</v>
      </c>
      <c r="N360" s="55" t="s">
        <v>69</v>
      </c>
      <c r="O360" s="55" t="s">
        <v>910</v>
      </c>
      <c r="P360" s="55" t="s">
        <v>110</v>
      </c>
      <c r="Q360" s="67" t="str">
        <f>IFERROR(__xludf.DUMMYFUNCTION("""COMPUTED_VALUE"""),"Europe.Giaotiep.M396C322_HG4601_CVS_HuyLG_030325")</f>
        <v>Europe.Giaotiep.M396C322_HG4601_CVS_HuyLG_030325</v>
      </c>
      <c r="R360" s="67" t="str">
        <f>IFERROR(__xludf.DUMMYFUNCTION("""COMPUTED_VALUE"""),"NEW_Europe_2040_none_030325")</f>
        <v>NEW_Europe_2040_none_030325</v>
      </c>
      <c r="S360" s="67" t="str">
        <f>IFERROR(__xludf.DUMMYFUNCTION("""COMPUTED_VALUE"""),"saletructiep_Europe.Giaotiep.M396C322.2040_TATTP_LD233")</f>
        <v>saletructiep_Europe.Giaotiep.M396C322.2040_TATTP_LD233</v>
      </c>
      <c r="T360" s="120" t="str">
        <f>IFERROR(__xludf.DUMMYFUNCTION("""COMPUTED_VALUE"""),"https://patadovietnam.edu.vn/hlg_tattp_gt/?utm_source=Facebook&amp;utm_medium=CVS&amp;utm_term=NEW_Europe_2040_none_030325&amp;utm_content=saletructiep_Europe.Giaotiep.M396C322.2040_TATTP_LD233&amp;utm_campaign=Europe.Giaotiep.M396C322_HG4601_CVS_HuyLG_030325")</f>
        <v>https://patadovietnam.edu.vn/hlg_tattp_gt/?utm_source=Facebook&amp;utm_medium=CVS&amp;utm_term=NEW_Europe_2040_none_030325&amp;utm_content=saletructiep_Europe.Giaotiep.M396C322.2040_TATTP_LD233&amp;utm_campaign=Europe.Giaotiep.M396C322_HG4601_CVS_HuyLG_030325</v>
      </c>
      <c r="U360" s="110" t="s">
        <v>5401</v>
      </c>
    </row>
    <row r="361">
      <c r="A361" s="72">
        <v>45721.0</v>
      </c>
      <c r="B361" s="60" t="s">
        <v>4887</v>
      </c>
      <c r="C361" s="67" t="str">
        <f>IFERROR(__xludf.DUMMYFUNCTION("""COMPUTED_VALUE"""),"LD233")</f>
        <v>LD233</v>
      </c>
      <c r="D361" s="55" t="s">
        <v>42</v>
      </c>
      <c r="E361" s="55" t="s">
        <v>69</v>
      </c>
      <c r="F361" s="55" t="s">
        <v>107</v>
      </c>
      <c r="G361" s="55">
        <v>2040.0</v>
      </c>
      <c r="H361" s="55" t="s">
        <v>1131</v>
      </c>
      <c r="I361" s="55" t="s">
        <v>5406</v>
      </c>
      <c r="J361" s="55" t="s">
        <v>5407</v>
      </c>
      <c r="K361" s="55" t="s">
        <v>61</v>
      </c>
      <c r="L361" s="55" t="s">
        <v>5396</v>
      </c>
      <c r="M361" s="55" t="s">
        <v>78</v>
      </c>
      <c r="N361" s="55" t="s">
        <v>69</v>
      </c>
      <c r="O361" s="55" t="s">
        <v>910</v>
      </c>
      <c r="P361" s="55" t="s">
        <v>110</v>
      </c>
      <c r="Q361" s="67" t="str">
        <f>IFERROR(__xludf.DUMMYFUNCTION("""COMPUTED_VALUE"""),"UnitedStates.Giaotiep.M396C322_HG4601_CVS_HuyLG_050325")</f>
        <v>UnitedStates.Giaotiep.M396C322_HG4601_CVS_HuyLG_050325</v>
      </c>
      <c r="R361" s="67" t="str">
        <f>IFERROR(__xludf.DUMMYFUNCTION("""COMPUTED_VALUE"""),"NEW_UnitedStates_2040_none_050325")</f>
        <v>NEW_UnitedStates_2040_none_050325</v>
      </c>
      <c r="S361" s="67" t="str">
        <f>IFERROR(__xludf.DUMMYFUNCTION("""COMPUTED_VALUE"""),"saletructiep_UnitedStates.Giaotiep.M396C322.2040_TATTP_LD233")</f>
        <v>saletructiep_UnitedStates.Giaotiep.M396C322.2040_TATTP_LD233</v>
      </c>
      <c r="T361" s="107" t="str">
        <f>IFERROR(__xludf.DUMMYFUNCTION("""COMPUTED_VALUE"""),"https://patadovietnam.edu.vn/hlg_tattp_gt/?utm_source=Facebook&amp;utm_medium=CVS&amp;utm_term=NEW_UnitedStates_2040_none_050325&amp;utm_content=saletructiep_UnitedStates.Giaotiep.M396C322.2040_TATTP_LD233&amp;utm_campaign=UnitedStates.Giaotiep.M396C322_HG4601_CVS_HuyLG_"&amp;"050325")</f>
        <v>https://patadovietnam.edu.vn/hlg_tattp_gt/?utm_source=Facebook&amp;utm_medium=CVS&amp;utm_term=NEW_UnitedStates_2040_none_050325&amp;utm_content=saletructiep_UnitedStates.Giaotiep.M396C322.2040_TATTP_LD233&amp;utm_campaign=UnitedStates.Giaotiep.M396C322_HG4601_CVS_HuyLG_050325</v>
      </c>
      <c r="U361" s="110" t="s">
        <v>5414</v>
      </c>
    </row>
    <row r="362">
      <c r="A362" s="72">
        <v>45721.0</v>
      </c>
      <c r="B362" s="60" t="s">
        <v>4887</v>
      </c>
      <c r="C362" s="67" t="str">
        <f>IFERROR(__xludf.DUMMYFUNCTION("""COMPUTED_VALUE"""),"LD233")</f>
        <v>LD233</v>
      </c>
      <c r="D362" s="55" t="s">
        <v>42</v>
      </c>
      <c r="E362" s="55" t="s">
        <v>69</v>
      </c>
      <c r="F362" s="55" t="s">
        <v>625</v>
      </c>
      <c r="G362" s="55">
        <v>2040.0</v>
      </c>
      <c r="H362" s="55" t="s">
        <v>1131</v>
      </c>
      <c r="I362" s="55" t="s">
        <v>5415</v>
      </c>
      <c r="J362" s="55" t="s">
        <v>5416</v>
      </c>
      <c r="K362" s="55" t="s">
        <v>61</v>
      </c>
      <c r="L362" s="55" t="s">
        <v>5396</v>
      </c>
      <c r="M362" s="55" t="s">
        <v>78</v>
      </c>
      <c r="N362" s="55" t="s">
        <v>69</v>
      </c>
      <c r="O362" s="55" t="s">
        <v>910</v>
      </c>
      <c r="P362" s="55" t="s">
        <v>110</v>
      </c>
      <c r="Q362" s="67" t="str">
        <f>IFERROR(__xludf.DUMMYFUNCTION("""COMPUTED_VALUE"""),"KoreaSouth.Giaotiep.M396C322_HG4601_CVS_HuyLG_050325")</f>
        <v>KoreaSouth.Giaotiep.M396C322_HG4601_CVS_HuyLG_050325</v>
      </c>
      <c r="R362" s="67" t="str">
        <f>IFERROR(__xludf.DUMMYFUNCTION("""COMPUTED_VALUE"""),"NEW_KoreaSouth_2040_none_050325")</f>
        <v>NEW_KoreaSouth_2040_none_050325</v>
      </c>
      <c r="S362" s="67" t="str">
        <f>IFERROR(__xludf.DUMMYFUNCTION("""COMPUTED_VALUE"""),"saletructiep_KoreaSouth.Giaotiep.M396C322.2040_TATTP_LD233")</f>
        <v>saletructiep_KoreaSouth.Giaotiep.M396C322.2040_TATTP_LD233</v>
      </c>
      <c r="T362" s="107" t="str">
        <f>IFERROR(__xludf.DUMMYFUNCTION("""COMPUTED_VALUE"""),"https://patadovietnam.edu.vn/hlg_tattp_gt/?utm_source=Facebook&amp;utm_medium=CVS&amp;utm_term=NEW_KoreaSouth_2040_none_050325&amp;utm_content=saletructiep_KoreaSouth.Giaotiep.M396C322.2040_TATTP_LD233&amp;utm_campaign=KoreaSouth.Giaotiep.M396C322_HG4601_CVS_HuyLG_050325")</f>
        <v>https://patadovietnam.edu.vn/hlg_tattp_gt/?utm_source=Facebook&amp;utm_medium=CVS&amp;utm_term=NEW_KoreaSouth_2040_none_050325&amp;utm_content=saletructiep_KoreaSouth.Giaotiep.M396C322.2040_TATTP_LD233&amp;utm_campaign=KoreaSouth.Giaotiep.M396C322_HG4601_CVS_HuyLG_050325</v>
      </c>
      <c r="U362" s="110" t="s">
        <v>5423</v>
      </c>
    </row>
    <row r="363">
      <c r="A363" s="72">
        <v>45725.0</v>
      </c>
      <c r="B363" s="60" t="s">
        <v>206</v>
      </c>
      <c r="C363" s="67" t="str">
        <f>IFERROR(__xludf.DUMMYFUNCTION("""COMPUTED_VALUE"""),"LD044")</f>
        <v>LD044</v>
      </c>
      <c r="D363" s="55" t="s">
        <v>42</v>
      </c>
      <c r="E363" s="55" t="s">
        <v>79</v>
      </c>
      <c r="F363" s="55" t="s">
        <v>199</v>
      </c>
      <c r="G363" s="55">
        <v>2040.0</v>
      </c>
      <c r="H363" s="55" t="s">
        <v>1131</v>
      </c>
      <c r="I363" s="55" t="s">
        <v>3184</v>
      </c>
      <c r="J363" s="55" t="s">
        <v>5425</v>
      </c>
      <c r="K363" s="55" t="s">
        <v>61</v>
      </c>
      <c r="L363" s="143" t="s">
        <v>317</v>
      </c>
      <c r="M363" s="55" t="s">
        <v>78</v>
      </c>
      <c r="N363" s="55" t="s">
        <v>79</v>
      </c>
      <c r="O363" s="55" t="s">
        <v>3271</v>
      </c>
      <c r="P363" s="55" t="s">
        <v>110</v>
      </c>
      <c r="Q363" s="67" t="str">
        <f>IFERROR(__xludf.DUMMYFUNCTION("""COMPUTED_VALUE"""),"Vietnam.IELTS.Anhlotrinh_XuBen.5018_MES_HuyLG_090325")</f>
        <v>Vietnam.IELTS.Anhlotrinh_XuBen.5018_MES_HuyLG_090325</v>
      </c>
      <c r="R363" s="67" t="str">
        <f>IFERROR(__xludf.DUMMYFUNCTION("""COMPUTED_VALUE"""),"NEW_Vietnam_2040_none_090325")</f>
        <v>NEW_Vietnam_2040_none_090325</v>
      </c>
      <c r="S363" s="67" t="str">
        <f>IFERROR(__xludf.DUMMYFUNCTION("""COMPUTED_VALUE"""),"saletructiep_Vietnam.IELTS.Anhlotrinh.2049_PGPGTTA_LD044")</f>
        <v>saletructiep_Vietnam.IELTS.Anhlotrinh.2049_PGPGTTA_LD044</v>
      </c>
      <c r="T363" s="107" t="str">
        <f>IFERROR(__xludf.DUMMYFUNCTION("""COMPUTED_VALUE"""),"https://patadovietnam.edu.vn/khoa-hoc-ielts/?utm_source=Facebook&amp;utm_medium=MES&amp;utm_term=NEW_Vietnam_2040_none_090325&amp;utm_content=saletructiep_Vietnam.IELTS.Anhlotrinh.2049_PGPGTTA_LD044&amp;utm_campaign=Vietnam.IELTS.Anhlotrinh_XuBen.5018_MES_HuyLG_090325")</f>
        <v>https://patadovietnam.edu.vn/khoa-hoc-ielts/?utm_source=Facebook&amp;utm_medium=MES&amp;utm_term=NEW_Vietnam_2040_none_090325&amp;utm_content=saletructiep_Vietnam.IELTS.Anhlotrinh.2049_PGPGTTA_LD044&amp;utm_campaign=Vietnam.IELTS.Anhlotrinh_XuBen.5018_MES_HuyLG_090325</v>
      </c>
      <c r="U363" s="110" t="s">
        <v>5430</v>
      </c>
    </row>
    <row r="364">
      <c r="A364" s="72">
        <v>45725.0</v>
      </c>
      <c r="B364" s="60" t="s">
        <v>206</v>
      </c>
      <c r="C364" s="67" t="str">
        <f>IFERROR(__xludf.DUMMYFUNCTION("""COMPUTED_VALUE"""),"LD044")</f>
        <v>LD044</v>
      </c>
      <c r="D364" s="55" t="s">
        <v>42</v>
      </c>
      <c r="E364" s="55" t="s">
        <v>79</v>
      </c>
      <c r="F364" s="55" t="s">
        <v>539</v>
      </c>
      <c r="G364" s="55">
        <v>2040.0</v>
      </c>
      <c r="H364" s="55" t="s">
        <v>1131</v>
      </c>
      <c r="I364" s="55" t="s">
        <v>3231</v>
      </c>
      <c r="J364" s="55" t="s">
        <v>5432</v>
      </c>
      <c r="K364" s="55" t="s">
        <v>61</v>
      </c>
      <c r="L364" s="143" t="s">
        <v>317</v>
      </c>
      <c r="M364" s="55" t="s">
        <v>78</v>
      </c>
      <c r="N364" s="55" t="s">
        <v>79</v>
      </c>
      <c r="O364" s="55" t="s">
        <v>3271</v>
      </c>
      <c r="P364" s="55" t="s">
        <v>110</v>
      </c>
      <c r="Q364" s="67" t="str">
        <f>IFERROR(__xludf.DUMMYFUNCTION("""COMPUTED_VALUE"""),"ALL.IELTS.Anhlotrinh_XuBen.5018_MES_HuyLG_090325")</f>
        <v>ALL.IELTS.Anhlotrinh_XuBen.5018_MES_HuyLG_090325</v>
      </c>
      <c r="R364" s="67" t="str">
        <f>IFERROR(__xludf.DUMMYFUNCTION("""COMPUTED_VALUE"""),"NEW_ALL_2040_none_090325")</f>
        <v>NEW_ALL_2040_none_090325</v>
      </c>
      <c r="S364" s="67" t="str">
        <f>IFERROR(__xludf.DUMMYFUNCTION("""COMPUTED_VALUE"""),"saletructiep_ALL.IELTS.Anhlotrinh.2040_PGPGTTA_LD044")</f>
        <v>saletructiep_ALL.IELTS.Anhlotrinh.2040_PGPGTTA_LD044</v>
      </c>
      <c r="T364" s="107" t="str">
        <f>IFERROR(__xludf.DUMMYFUNCTION("""COMPUTED_VALUE"""),"https://patadovietnam.edu.vn/khoa-hoc-ielts/?utm_source=Facebook&amp;utm_medium=MES&amp;utm_term=NEW_ALL_2040_none_090325&amp;utm_content=saletructiep_ALL.IELTS.Anhlotrinh.2040_PGPGTTA_LD044&amp;utm_campaign=ALL.IELTS.Anhlotrinh_XuBen.5018_MES_HuyLG_090325")</f>
        <v>https://patadovietnam.edu.vn/khoa-hoc-ielts/?utm_source=Facebook&amp;utm_medium=MES&amp;utm_term=NEW_ALL_2040_none_090325&amp;utm_content=saletructiep_ALL.IELTS.Anhlotrinh.2040_PGPGTTA_LD044&amp;utm_campaign=ALL.IELTS.Anhlotrinh_XuBen.5018_MES_HuyLG_090325</v>
      </c>
      <c r="U364" s="110" t="s">
        <v>5434</v>
      </c>
    </row>
    <row r="365">
      <c r="A365" s="72">
        <v>45726.0</v>
      </c>
      <c r="B365" s="60" t="s">
        <v>4887</v>
      </c>
      <c r="C365" s="67" t="str">
        <f>IFERROR(__xludf.DUMMYFUNCTION("""COMPUTED_VALUE"""),"LD233")</f>
        <v>LD233</v>
      </c>
      <c r="D365" s="55" t="s">
        <v>42</v>
      </c>
      <c r="E365" s="55" t="s">
        <v>79</v>
      </c>
      <c r="F365" s="55" t="s">
        <v>164</v>
      </c>
      <c r="G365" s="55">
        <v>2040.0</v>
      </c>
      <c r="H365" s="55" t="s">
        <v>1131</v>
      </c>
      <c r="I365" s="55" t="s">
        <v>3767</v>
      </c>
      <c r="J365" s="55" t="s">
        <v>5436</v>
      </c>
      <c r="K365" s="55" t="s">
        <v>61</v>
      </c>
      <c r="L365" s="55" t="s">
        <v>5437</v>
      </c>
      <c r="M365" s="55" t="s">
        <v>78</v>
      </c>
      <c r="N365" s="55" t="s">
        <v>79</v>
      </c>
      <c r="O365" s="55" t="s">
        <v>910</v>
      </c>
      <c r="P365" s="55" t="s">
        <v>110</v>
      </c>
      <c r="Q365" s="67" t="str">
        <f>IFERROR(__xludf.DUMMYFUNCTION("""COMPUTED_VALUE"""),"Taiwan.Giaotiep.Anhshortthongbao_LH3645_MES_HuyLG_100325")</f>
        <v>Taiwan.Giaotiep.Anhshortthongbao_LH3645_MES_HuyLG_100325</v>
      </c>
      <c r="R365" s="67" t="str">
        <f>IFERROR(__xludf.DUMMYFUNCTION("""COMPUTED_VALUE"""),"NEW_Taiwan_2040_none_100325")</f>
        <v>NEW_Taiwan_2040_none_100325</v>
      </c>
      <c r="S365" s="67" t="str">
        <f>IFERROR(__xludf.DUMMYFUNCTION("""COMPUTED_VALUE"""),"saletructiep_Taiwan.Giaotiep.Anhshortthongbao.2040_TATTP_LD233")</f>
        <v>saletructiep_Taiwan.Giaotiep.Anhshortthongbao.2040_TATTP_LD233</v>
      </c>
      <c r="T365" s="107" t="str">
        <f>IFERROR(__xludf.DUMMYFUNCTION("""COMPUTED_VALUE"""),"https://patadovietnam.edu.vn/hlg_tattp_gt/?utm_source=Facebook&amp;utm_medium=MES&amp;utm_term=NEW_Taiwan_2040_none_100325&amp;utm_content=saletructiep_Taiwan.Giaotiep.Anhshortthongbao.2040_TATTP_LD233&amp;utm_campaign=Taiwan.Giaotiep.Anhshortthongbao_LH3645_MES_HuyLG_10"&amp;"0325")</f>
        <v>https://patadovietnam.edu.vn/hlg_tattp_gt/?utm_source=Facebook&amp;utm_medium=MES&amp;utm_term=NEW_Taiwan_2040_none_100325&amp;utm_content=saletructiep_Taiwan.Giaotiep.Anhshortthongbao.2040_TATTP_LD233&amp;utm_campaign=Taiwan.Giaotiep.Anhshortthongbao_LH3645_MES_HuyLG_100325</v>
      </c>
      <c r="U365" s="110" t="s">
        <v>5440</v>
      </c>
    </row>
    <row r="366">
      <c r="A366" s="72">
        <v>45727.0</v>
      </c>
      <c r="B366" s="60" t="s">
        <v>4887</v>
      </c>
      <c r="C366" s="67" t="str">
        <f>IFERROR(__xludf.DUMMYFUNCTION("""COMPUTED_VALUE"""),"LD233")</f>
        <v>LD233</v>
      </c>
      <c r="D366" s="55" t="s">
        <v>42</v>
      </c>
      <c r="E366" s="55" t="s">
        <v>69</v>
      </c>
      <c r="F366" s="55" t="s">
        <v>133</v>
      </c>
      <c r="G366" s="55">
        <v>2040.0</v>
      </c>
      <c r="H366" s="55" t="s">
        <v>1131</v>
      </c>
      <c r="I366" s="55" t="s">
        <v>5441</v>
      </c>
      <c r="J366" s="55" t="s">
        <v>5442</v>
      </c>
      <c r="K366" s="55" t="s">
        <v>61</v>
      </c>
      <c r="L366" s="55" t="s">
        <v>5437</v>
      </c>
      <c r="M366" s="55" t="s">
        <v>78</v>
      </c>
      <c r="N366" s="55" t="s">
        <v>69</v>
      </c>
      <c r="O366" s="55" t="s">
        <v>910</v>
      </c>
      <c r="P366" s="55" t="s">
        <v>110</v>
      </c>
      <c r="Q366" s="67" t="str">
        <f>IFERROR(__xludf.DUMMYFUNCTION("""COMPUTED_VALUE"""),"Japan.Giaotiep.Anhshortthongbao_LH3645_CVS_HuyLG_110325")</f>
        <v>Japan.Giaotiep.Anhshortthongbao_LH3645_CVS_HuyLG_110325</v>
      </c>
      <c r="R366" s="67" t="str">
        <f>IFERROR(__xludf.DUMMYFUNCTION("""COMPUTED_VALUE"""),"NEW_Japan_2040_none_110325")</f>
        <v>NEW_Japan_2040_none_110325</v>
      </c>
      <c r="S366" s="67" t="str">
        <f>IFERROR(__xludf.DUMMYFUNCTION("""COMPUTED_VALUE"""),"saletructiep_Japan.Giaotiep.Anhshortthongbao.2040_TATTP_LD233")</f>
        <v>saletructiep_Japan.Giaotiep.Anhshortthongbao.2040_TATTP_LD233</v>
      </c>
      <c r="T366" s="120" t="str">
        <f>IFERROR(__xludf.DUMMYFUNCTION("""COMPUTED_VALUE"""),"https://patadovietnam.edu.vn/hlg_tattp_gt/?utm_source=Facebook&amp;utm_medium=CVS&amp;utm_term=NEW_Japan_2040_none_110325&amp;utm_content=saletructiep_Japan.Giaotiep.Anhshortthongbao.2040_TATTP_LD233&amp;utm_campaign=Japan.Giaotiep.Anhshortthongbao_LH3645_CVS_HuyLG_11032"&amp;"5")</f>
        <v>https://patadovietnam.edu.vn/hlg_tattp_gt/?utm_source=Facebook&amp;utm_medium=CVS&amp;utm_term=NEW_Japan_2040_none_110325&amp;utm_content=saletructiep_Japan.Giaotiep.Anhshortthongbao.2040_TATTP_LD233&amp;utm_campaign=Japan.Giaotiep.Anhshortthongbao_LH3645_CVS_HuyLG_110325</v>
      </c>
      <c r="U366" s="110" t="s">
        <v>5444</v>
      </c>
    </row>
    <row r="367">
      <c r="A367" s="72">
        <v>45730.0</v>
      </c>
      <c r="B367" s="60" t="s">
        <v>4887</v>
      </c>
      <c r="C367" s="67" t="str">
        <f>IFERROR(__xludf.DUMMYFUNCTION("""COMPUTED_VALUE"""),"LD233")</f>
        <v>LD233</v>
      </c>
      <c r="D367" s="55" t="s">
        <v>42</v>
      </c>
      <c r="E367" s="55" t="s">
        <v>79</v>
      </c>
      <c r="F367" s="55" t="s">
        <v>674</v>
      </c>
      <c r="G367" s="55">
        <v>2040.0</v>
      </c>
      <c r="H367" s="55" t="s">
        <v>1131</v>
      </c>
      <c r="I367" s="55" t="s">
        <v>5249</v>
      </c>
      <c r="J367" s="55" t="s">
        <v>5250</v>
      </c>
      <c r="K367" s="55" t="s">
        <v>61</v>
      </c>
      <c r="L367" s="55" t="s">
        <v>5396</v>
      </c>
      <c r="M367" s="55" t="s">
        <v>78</v>
      </c>
      <c r="N367" s="55" t="s">
        <v>79</v>
      </c>
      <c r="O367" s="55" t="s">
        <v>910</v>
      </c>
      <c r="P367" s="55" t="s">
        <v>110</v>
      </c>
      <c r="Q367" s="67" t="str">
        <f>IFERROR(__xludf.DUMMYFUNCTION("""COMPUTED_VALUE"""),"Europe.Giaotiep.M396C322_HG4601_MES_HuyLG_140325")</f>
        <v>Europe.Giaotiep.M396C322_HG4601_MES_HuyLG_140325</v>
      </c>
      <c r="R367" s="67" t="str">
        <f>IFERROR(__xludf.DUMMYFUNCTION("""COMPUTED_VALUE"""),"NEW_Europe_2040_none_140325")</f>
        <v>NEW_Europe_2040_none_140325</v>
      </c>
      <c r="S367" s="67" t="str">
        <f>IFERROR(__xludf.DUMMYFUNCTION("""COMPUTED_VALUE"""),"saletructiep_Europe.Giaotiep.M396C322.2040_TATTP_LD233")</f>
        <v>saletructiep_Europe.Giaotiep.M396C322.2040_TATTP_LD233</v>
      </c>
      <c r="T367" s="107" t="str">
        <f>IFERROR(__xludf.DUMMYFUNCTION("""COMPUTED_VALUE"""),"https://patadovietnam.edu.vn/hlg_tattp_gt/?utm_source=Facebook&amp;utm_medium=MES&amp;utm_term=NEW_Europe_2040_none_140325&amp;utm_content=saletructiep_Europe.Giaotiep.M396C322.2040_TATTP_LD233&amp;utm_campaign=Europe.Giaotiep.M396C322_HG4601_MES_HuyLG_140325")</f>
        <v>https://patadovietnam.edu.vn/hlg_tattp_gt/?utm_source=Facebook&amp;utm_medium=MES&amp;utm_term=NEW_Europe_2040_none_140325&amp;utm_content=saletructiep_Europe.Giaotiep.M396C322.2040_TATTP_LD233&amp;utm_campaign=Europe.Giaotiep.M396C322_HG4601_MES_HuyLG_140325</v>
      </c>
      <c r="U367" s="110" t="s">
        <v>5447</v>
      </c>
    </row>
    <row r="368">
      <c r="A368" s="72">
        <v>45730.0</v>
      </c>
      <c r="B368" s="60" t="s">
        <v>4785</v>
      </c>
      <c r="C368" s="67" t="str">
        <f>IFERROR(__xludf.DUMMYFUNCTION("""COMPUTED_VALUE"""),"LD229")</f>
        <v>LD229</v>
      </c>
      <c r="D368" s="55" t="s">
        <v>42</v>
      </c>
      <c r="E368" s="55" t="s">
        <v>79</v>
      </c>
      <c r="F368" s="55" t="s">
        <v>674</v>
      </c>
      <c r="G368" s="55">
        <v>2040.0</v>
      </c>
      <c r="H368" s="55" t="s">
        <v>1131</v>
      </c>
      <c r="I368" s="55" t="s">
        <v>5449</v>
      </c>
      <c r="J368" s="55" t="s">
        <v>5450</v>
      </c>
      <c r="K368" s="55" t="s">
        <v>61</v>
      </c>
      <c r="L368" s="55" t="s">
        <v>5437</v>
      </c>
      <c r="M368" s="55" t="s">
        <v>78</v>
      </c>
      <c r="N368" s="55" t="s">
        <v>79</v>
      </c>
      <c r="O368" s="55" t="s">
        <v>415</v>
      </c>
      <c r="P368" s="55" t="s">
        <v>110</v>
      </c>
      <c r="Q368" s="67" t="str">
        <f>IFERROR(__xludf.DUMMYFUNCTION("""COMPUTED_VALUE"""),"Europe.Giaotiep.Anhshortthongbao_LH3645_MES_HuyLG_140325")</f>
        <v>Europe.Giaotiep.Anhshortthongbao_LH3645_MES_HuyLG_140325</v>
      </c>
      <c r="R368" s="67" t="str">
        <f>IFERROR(__xludf.DUMMYFUNCTION("""COMPUTED_VALUE"""),"NEW_Europe_2040_none_140325")</f>
        <v>NEW_Europe_2040_none_140325</v>
      </c>
      <c r="S368" s="67" t="str">
        <f>IFERROR(__xludf.DUMMYFUNCTION("""COMPUTED_VALUE"""),"saletructiep_Europe.Giaotiep.Anhshortthongbao.2040_TATTPVN_LD229")</f>
        <v>saletructiep_Europe.Giaotiep.Anhshortthongbao.2040_TATTPVN_LD229</v>
      </c>
      <c r="T368" s="107" t="str">
        <f>IFERROR(__xludf.DUMMYFUNCTION("""COMPUTED_VALUE"""),"https://patadovietnam.edu.vn/hlg_tattpvn_gt/?utm_source=Facebook&amp;utm_medium=MES&amp;utm_term=NEW_Europe_2040_none_140325&amp;utm_content=saletructiep_Europe.Giaotiep.Anhshortthongbao.2040_TATTPVN_LD229&amp;utm_campaign=Europe.Giaotiep.Anhshortthongbao_LH3645_MES_HuyL"&amp;"G_140325")</f>
        <v>https://patadovietnam.edu.vn/hlg_tattpvn_gt/?utm_source=Facebook&amp;utm_medium=MES&amp;utm_term=NEW_Europe_2040_none_140325&amp;utm_content=saletructiep_Europe.Giaotiep.Anhshortthongbao.2040_TATTPVN_LD229&amp;utm_campaign=Europe.Giaotiep.Anhshortthongbao_LH3645_MES_HuyLG_140325</v>
      </c>
      <c r="U368" s="110" t="s">
        <v>5462</v>
      </c>
    </row>
    <row r="369">
      <c r="A369" s="72">
        <v>45741.0</v>
      </c>
      <c r="B369" s="60" t="s">
        <v>4785</v>
      </c>
      <c r="C369" s="67" t="str">
        <f>IFERROR(__xludf.DUMMYFUNCTION("""COMPUTED_VALUE"""),"LD229")</f>
        <v>LD229</v>
      </c>
      <c r="D369" s="55" t="s">
        <v>42</v>
      </c>
      <c r="E369" s="55" t="s">
        <v>79</v>
      </c>
      <c r="F369" s="55" t="s">
        <v>164</v>
      </c>
      <c r="G369" s="55">
        <v>2040.0</v>
      </c>
      <c r="H369" s="55" t="s">
        <v>1131</v>
      </c>
      <c r="I369" s="55" t="s">
        <v>3452</v>
      </c>
      <c r="J369" s="55" t="s">
        <v>5465</v>
      </c>
      <c r="K369" s="55" t="s">
        <v>61</v>
      </c>
      <c r="L369" s="55" t="s">
        <v>5437</v>
      </c>
      <c r="M369" s="55" t="s">
        <v>78</v>
      </c>
      <c r="N369" s="55" t="s">
        <v>79</v>
      </c>
      <c r="O369" s="55" t="s">
        <v>415</v>
      </c>
      <c r="P369" s="55" t="s">
        <v>110</v>
      </c>
      <c r="Q369" s="67" t="str">
        <f>IFERROR(__xludf.DUMMYFUNCTION("""COMPUTED_VALUE"""),"Taiwan.Giaotiep.Anhthongbao12_LH3645_MES_HuyLG_250325")</f>
        <v>Taiwan.Giaotiep.Anhthongbao12_LH3645_MES_HuyLG_250325</v>
      </c>
      <c r="R369" s="67" t="str">
        <f>IFERROR(__xludf.DUMMYFUNCTION("""COMPUTED_VALUE"""),"NEW_Taiwan_2040_none_250325")</f>
        <v>NEW_Taiwan_2040_none_250325</v>
      </c>
      <c r="S369" s="67" t="str">
        <f>IFERROR(__xludf.DUMMYFUNCTION("""COMPUTED_VALUE"""),"saletructiep_Taiwan.Giaotiep.Anhthongbao12.2040_TATTPVN_LD229")</f>
        <v>saletructiep_Taiwan.Giaotiep.Anhthongbao12.2040_TATTPVN_LD229</v>
      </c>
      <c r="T369" s="107" t="str">
        <f>IFERROR(__xludf.DUMMYFUNCTION("""COMPUTED_VALUE"""),"https://patadovietnam.edu.vn/hlg_tattpvn_gt/?utm_source=Facebook&amp;utm_medium=MES&amp;utm_term=NEW_Taiwan_2040_none_250325&amp;utm_content=saletructiep_Taiwan.Giaotiep.Anhthongbao12.2040_TATTPVN_LD229&amp;utm_campaign=Taiwan.Giaotiep.Anhthongbao12_LH3645_MES_HuyLG_2503"&amp;"25")</f>
        <v>https://patadovietnam.edu.vn/hlg_tattpvn_gt/?utm_source=Facebook&amp;utm_medium=MES&amp;utm_term=NEW_Taiwan_2040_none_250325&amp;utm_content=saletructiep_Taiwan.Giaotiep.Anhthongbao12.2040_TATTPVN_LD229&amp;utm_campaign=Taiwan.Giaotiep.Anhthongbao12_LH3645_MES_HuyLG_250325</v>
      </c>
      <c r="U369" s="110" t="s">
        <v>5470</v>
      </c>
    </row>
    <row r="370">
      <c r="A370" s="72">
        <v>45783.0</v>
      </c>
      <c r="B370" s="60" t="s">
        <v>4887</v>
      </c>
      <c r="C370" s="67" t="str">
        <f>IFERROR(__xludf.DUMMYFUNCTION("""COMPUTED_VALUE"""),"LD233")</f>
        <v>LD233</v>
      </c>
      <c r="D370" s="55" t="s">
        <v>42</v>
      </c>
      <c r="E370" s="55" t="s">
        <v>69</v>
      </c>
      <c r="F370" s="55" t="s">
        <v>133</v>
      </c>
      <c r="G370" s="55">
        <v>2040.0</v>
      </c>
      <c r="H370" s="55" t="s">
        <v>1131</v>
      </c>
      <c r="I370" s="55" t="s">
        <v>5475</v>
      </c>
      <c r="J370" s="55" t="s">
        <v>5476</v>
      </c>
      <c r="K370" s="55" t="s">
        <v>61</v>
      </c>
      <c r="L370" s="55" t="s">
        <v>5396</v>
      </c>
      <c r="M370" s="55" t="s">
        <v>78</v>
      </c>
      <c r="N370" s="55" t="s">
        <v>69</v>
      </c>
      <c r="O370" s="55" t="s">
        <v>910</v>
      </c>
      <c r="P370" s="55" t="s">
        <v>110</v>
      </c>
      <c r="Q370" s="67" t="str">
        <f>IFERROR(__xludf.DUMMYFUNCTION("""COMPUTED_VALUE"""),"Japan.Giaotiep.M396C322_HG4601_CVS_HuyLG_060525")</f>
        <v>Japan.Giaotiep.M396C322_HG4601_CVS_HuyLG_060525</v>
      </c>
      <c r="R370" s="67" t="str">
        <f>IFERROR(__xludf.DUMMYFUNCTION("""COMPUTED_VALUE"""),"NEW_Japan_2040_none_060525")</f>
        <v>NEW_Japan_2040_none_060525</v>
      </c>
      <c r="S370" s="67" t="str">
        <f>IFERROR(__xludf.DUMMYFUNCTION("""COMPUTED_VALUE"""),"saletructiep_Japan.Giaotiep.M396C322.2040_TATTP_LD233")</f>
        <v>saletructiep_Japan.Giaotiep.M396C322.2040_TATTP_LD233</v>
      </c>
      <c r="T370" s="107" t="str">
        <f>IFERROR(__xludf.DUMMYFUNCTION("""COMPUTED_VALUE"""),"https://patadovietnam.edu.vn/hlg_tattp_gt/?utm_source=Facebook&amp;utm_medium=CVS&amp;utm_term=NEW_Japan_2040_none_060525&amp;utm_content=saletructiep_Japan.Giaotiep.M396C322.2040_TATTP_LD233&amp;utm_campaign=Japan.Giaotiep.M396C322_HG4601_CVS_HuyLG_060525")</f>
        <v>https://patadovietnam.edu.vn/hlg_tattp_gt/?utm_source=Facebook&amp;utm_medium=CVS&amp;utm_term=NEW_Japan_2040_none_060525&amp;utm_content=saletructiep_Japan.Giaotiep.M396C322.2040_TATTP_LD233&amp;utm_campaign=Japan.Giaotiep.M396C322_HG4601_CVS_HuyLG_060525</v>
      </c>
      <c r="U370" s="110" t="s">
        <v>5481</v>
      </c>
    </row>
    <row r="371">
      <c r="A371" s="72">
        <v>45783.0</v>
      </c>
      <c r="B371" s="60" t="s">
        <v>4887</v>
      </c>
      <c r="C371" s="67" t="str">
        <f>IFERROR(__xludf.DUMMYFUNCTION("""COMPUTED_VALUE"""),"LD233")</f>
        <v>LD233</v>
      </c>
      <c r="D371" s="55" t="s">
        <v>42</v>
      </c>
      <c r="E371" s="55" t="s">
        <v>79</v>
      </c>
      <c r="F371" s="55" t="s">
        <v>107</v>
      </c>
      <c r="G371" s="55">
        <v>2040.0</v>
      </c>
      <c r="H371" s="55" t="s">
        <v>1131</v>
      </c>
      <c r="I371" s="55" t="s">
        <v>5484</v>
      </c>
      <c r="J371" s="55" t="s">
        <v>5485</v>
      </c>
      <c r="K371" s="55" t="s">
        <v>61</v>
      </c>
      <c r="L371" s="55" t="s">
        <v>5437</v>
      </c>
      <c r="M371" s="55" t="s">
        <v>78</v>
      </c>
      <c r="N371" s="55" t="s">
        <v>79</v>
      </c>
      <c r="O371" s="55" t="s">
        <v>910</v>
      </c>
      <c r="P371" s="55" t="s">
        <v>110</v>
      </c>
      <c r="Q371" s="67" t="str">
        <f>IFERROR(__xludf.DUMMYFUNCTION("""COMPUTED_VALUE"""),"UnitedStates.Giaotiep.M436C353_LH3645_MES_HuyLG_060525")</f>
        <v>UnitedStates.Giaotiep.M436C353_LH3645_MES_HuyLG_060525</v>
      </c>
      <c r="R371" s="67" t="str">
        <f>IFERROR(__xludf.DUMMYFUNCTION("""COMPUTED_VALUE"""),"NEW_UnitedStates_2040_none_060525")</f>
        <v>NEW_UnitedStates_2040_none_060525</v>
      </c>
      <c r="S371" s="67" t="str">
        <f>IFERROR(__xludf.DUMMYFUNCTION("""COMPUTED_VALUE"""),"saletructiep_UnitedStates.Giaotiep.M436C353.2040_TATTP_LD233")</f>
        <v>saletructiep_UnitedStates.Giaotiep.M436C353.2040_TATTP_LD233</v>
      </c>
      <c r="T371" s="107" t="str">
        <f>IFERROR(__xludf.DUMMYFUNCTION("""COMPUTED_VALUE"""),"https://patadovietnam.edu.vn/hlg_tattp_gt/?utm_source=Facebook&amp;utm_medium=MES&amp;utm_term=NEW_UnitedStates_2040_none_060525&amp;utm_content=saletructiep_UnitedStates.Giaotiep.M436C353.2040_TATTP_LD233&amp;utm_campaign=UnitedStates.Giaotiep.M436C353_LH3645_MES_HuyLG_"&amp;"060525")</f>
        <v>https://patadovietnam.edu.vn/hlg_tattp_gt/?utm_source=Facebook&amp;utm_medium=MES&amp;utm_term=NEW_UnitedStates_2040_none_060525&amp;utm_content=saletructiep_UnitedStates.Giaotiep.M436C353.2040_TATTP_LD233&amp;utm_campaign=UnitedStates.Giaotiep.M436C353_LH3645_MES_HuyLG_060525</v>
      </c>
      <c r="U371" s="110" t="s">
        <v>5489</v>
      </c>
    </row>
    <row r="372">
      <c r="A372" s="72">
        <v>45783.0</v>
      </c>
      <c r="B372" s="60" t="s">
        <v>4760</v>
      </c>
      <c r="C372" s="67" t="str">
        <f>IFERROR(__xludf.DUMMYFUNCTION("""COMPUTED_VALUE"""),"LD226")</f>
        <v>LD226</v>
      </c>
      <c r="D372" s="55" t="s">
        <v>42</v>
      </c>
      <c r="E372" s="55" t="s">
        <v>79</v>
      </c>
      <c r="F372" s="55" t="s">
        <v>133</v>
      </c>
      <c r="G372" s="55">
        <v>2040.0</v>
      </c>
      <c r="H372" s="55" t="s">
        <v>1131</v>
      </c>
      <c r="I372" s="55" t="s">
        <v>5491</v>
      </c>
      <c r="J372" s="55" t="s">
        <v>5491</v>
      </c>
      <c r="K372" s="55" t="s">
        <v>61</v>
      </c>
      <c r="L372" s="55" t="s">
        <v>5396</v>
      </c>
      <c r="M372" s="55" t="s">
        <v>78</v>
      </c>
      <c r="N372" s="55" t="s">
        <v>79</v>
      </c>
      <c r="O372" s="55" t="s">
        <v>3271</v>
      </c>
      <c r="P372" s="55" t="s">
        <v>110</v>
      </c>
      <c r="Q372" s="67" t="str">
        <f>IFERROR(__xludf.DUMMYFUNCTION("""COMPUTED_VALUE"""),"Japan.Giaotiep.M434C349_HG4601_MES_HuyLG_060525")</f>
        <v>Japan.Giaotiep.M434C349_HG4601_MES_HuyLG_060525</v>
      </c>
      <c r="R372" s="67" t="str">
        <f>IFERROR(__xludf.DUMMYFUNCTION("""COMPUTED_VALUE"""),"NEW_Japan_2040_none_060525")</f>
        <v>NEW_Japan_2040_none_060525</v>
      </c>
      <c r="S372" s="67" t="str">
        <f>IFERROR(__xludf.DUMMYFUNCTION("""COMPUTED_VALUE"""),"saletructiep_Japan.Giaotiep.M434C349_PGPGTTA_LD226")</f>
        <v>saletructiep_Japan.Giaotiep.M434C349_PGPGTTA_LD226</v>
      </c>
      <c r="T372" s="107" t="str">
        <f>IFERROR(__xludf.DUMMYFUNCTION("""COMPUTED_VALUE"""),"https://patadovietnam.edu.vn/hlg_pgpgtta_gt/?utm_source=Facebook&amp;utm_medium=MES&amp;utm_term=NEW_Japan_2040_none_060525&amp;utm_content=saletructiep_Japan.Giaotiep.M434C349_PGPGTTA_LD226&amp;utm_campaign=Japan.Giaotiep.M434C349_HG4601_MES_HuyLG_060525")</f>
        <v>https://patadovietnam.edu.vn/hlg_pgpgtta_gt/?utm_source=Facebook&amp;utm_medium=MES&amp;utm_term=NEW_Japan_2040_none_060525&amp;utm_content=saletructiep_Japan.Giaotiep.M434C349_PGPGTTA_LD226&amp;utm_campaign=Japan.Giaotiep.M434C349_HG4601_MES_HuyLG_060525</v>
      </c>
      <c r="U372" s="110" t="s">
        <v>5497</v>
      </c>
    </row>
    <row r="373">
      <c r="A373" s="72">
        <v>45812.0</v>
      </c>
      <c r="B373" s="60" t="s">
        <v>4887</v>
      </c>
      <c r="C373" s="67" t="str">
        <f>IFERROR(__xludf.DUMMYFUNCTION("""COMPUTED_VALUE"""),"LD233")</f>
        <v>LD233</v>
      </c>
      <c r="D373" s="55" t="s">
        <v>42</v>
      </c>
      <c r="E373" s="55" t="s">
        <v>79</v>
      </c>
      <c r="F373" s="55" t="s">
        <v>539</v>
      </c>
      <c r="G373" s="55">
        <v>2040.0</v>
      </c>
      <c r="H373" s="55" t="s">
        <v>1131</v>
      </c>
      <c r="I373" s="55" t="s">
        <v>5499</v>
      </c>
      <c r="J373" s="55" t="s">
        <v>5500</v>
      </c>
      <c r="K373" s="55" t="s">
        <v>61</v>
      </c>
      <c r="L373" s="55" t="s">
        <v>5396</v>
      </c>
      <c r="M373" s="55" t="s">
        <v>78</v>
      </c>
      <c r="N373" s="55" t="s">
        <v>79</v>
      </c>
      <c r="O373" s="55" t="s">
        <v>4350</v>
      </c>
      <c r="P373" s="55" t="s">
        <v>110</v>
      </c>
      <c r="Q373" s="67" t="str">
        <f>IFERROR(__xludf.DUMMYFUNCTION("""COMPUTED_VALUE"""),"ALL.Career.M464C374_HG4601_MES_HuyLG_040625")</f>
        <v>ALL.Career.M464C374_HG4601_MES_HuyLG_040625</v>
      </c>
      <c r="R373" s="67" t="str">
        <f>IFERROR(__xludf.DUMMYFUNCTION("""COMPUTED_VALUE"""),"NEW_ALL_2040_none_040625")</f>
        <v>NEW_ALL_2040_none_040625</v>
      </c>
      <c r="S373" s="67" t="str">
        <f>IFERROR(__xludf.DUMMYFUNCTION("""COMPUTED_VALUE"""),"saletructiep_ALL.Career.M464C374.2040_PTATDNDL_LD233")</f>
        <v>saletructiep_ALL.Career.M464C374.2040_PTATDNDL_LD233</v>
      </c>
      <c r="T373" s="107" t="str">
        <f>IFERROR(__xludf.DUMMYFUNCTION("""COMPUTED_VALUE"""),"https://patadovietnam.edu.vn/hlg_tattp_gt/?utm_source=Facebook&amp;utm_medium=MES&amp;utm_term=NEW_ALL_2040_none_040625&amp;utm_content=saletructiep_ALL.Career.M464C374.2040_PTATDNDL_LD233&amp;utm_campaign=ALL.Career.M464C374_HG4601_MES_HuyLG_040625")</f>
        <v>https://patadovietnam.edu.vn/hlg_tattp_gt/?utm_source=Facebook&amp;utm_medium=MES&amp;utm_term=NEW_ALL_2040_none_040625&amp;utm_content=saletructiep_ALL.Career.M464C374.2040_PTATDNDL_LD233&amp;utm_campaign=ALL.Career.M464C374_HG4601_MES_HuyLG_040625</v>
      </c>
      <c r="U373" s="118"/>
    </row>
    <row r="374">
      <c r="A374" s="72">
        <v>45812.0</v>
      </c>
      <c r="B374" s="60" t="s">
        <v>4887</v>
      </c>
      <c r="C374" s="67" t="str">
        <f>IFERROR(__xludf.DUMMYFUNCTION("""COMPUTED_VALUE"""),"LD233")</f>
        <v>LD233</v>
      </c>
      <c r="D374" s="55" t="s">
        <v>42</v>
      </c>
      <c r="E374" s="55" t="s">
        <v>79</v>
      </c>
      <c r="F374" s="55" t="s">
        <v>539</v>
      </c>
      <c r="G374" s="55">
        <v>2040.0</v>
      </c>
      <c r="H374" s="55" t="s">
        <v>1131</v>
      </c>
      <c r="I374" s="55" t="s">
        <v>5505</v>
      </c>
      <c r="J374" s="55" t="s">
        <v>5506</v>
      </c>
      <c r="K374" s="55" t="s">
        <v>61</v>
      </c>
      <c r="L374" s="55" t="s">
        <v>5396</v>
      </c>
      <c r="M374" s="55" t="s">
        <v>78</v>
      </c>
      <c r="N374" s="55" t="s">
        <v>79</v>
      </c>
      <c r="O374" s="55" t="s">
        <v>4350</v>
      </c>
      <c r="P374" s="55" t="s">
        <v>110</v>
      </c>
      <c r="Q374" s="67" t="str">
        <f>IFERROR(__xludf.DUMMYFUNCTION("""COMPUTED_VALUE"""),"ALL.Career.M465C375_HG4601_MES_HuyLG_040625")</f>
        <v>ALL.Career.M465C375_HG4601_MES_HuyLG_040625</v>
      </c>
      <c r="R374" s="67" t="str">
        <f>IFERROR(__xludf.DUMMYFUNCTION("""COMPUTED_VALUE"""),"NEW_ALL_2040_none_040625")</f>
        <v>NEW_ALL_2040_none_040625</v>
      </c>
      <c r="S374" s="67" t="str">
        <f>IFERROR(__xludf.DUMMYFUNCTION("""COMPUTED_VALUE"""),"saletructiep_ALL.Career.M465C375.2040_PTATDNDL_LD233")</f>
        <v>saletructiep_ALL.Career.M465C375.2040_PTATDNDL_LD233</v>
      </c>
      <c r="T374" s="107" t="str">
        <f>IFERROR(__xludf.DUMMYFUNCTION("""COMPUTED_VALUE"""),"https://patadovietnam.edu.vn/hlg_tattp_gt/?utm_source=Facebook&amp;utm_medium=MES&amp;utm_term=NEW_ALL_2040_none_040625&amp;utm_content=saletructiep_ALL.Career.M465C375.2040_PTATDNDL_LD233&amp;utm_campaign=ALL.Career.M465C375_HG4601_MES_HuyLG_040625")</f>
        <v>https://patadovietnam.edu.vn/hlg_tattp_gt/?utm_source=Facebook&amp;utm_medium=MES&amp;utm_term=NEW_ALL_2040_none_040625&amp;utm_content=saletructiep_ALL.Career.M465C375.2040_PTATDNDL_LD233&amp;utm_campaign=ALL.Career.M465C375_HG4601_MES_HuyLG_040625</v>
      </c>
      <c r="U374" s="118"/>
    </row>
    <row r="375">
      <c r="A375" s="72">
        <v>45812.0</v>
      </c>
      <c r="B375" s="60" t="s">
        <v>4887</v>
      </c>
      <c r="C375" s="67" t="str">
        <f>IFERROR(__xludf.DUMMYFUNCTION("""COMPUTED_VALUE"""),"LD233")</f>
        <v>LD233</v>
      </c>
      <c r="D375" s="55" t="s">
        <v>42</v>
      </c>
      <c r="E375" s="55" t="s">
        <v>79</v>
      </c>
      <c r="F375" s="55" t="s">
        <v>129</v>
      </c>
      <c r="G375" s="55">
        <v>2040.0</v>
      </c>
      <c r="H375" s="55" t="s">
        <v>1131</v>
      </c>
      <c r="I375" s="55" t="s">
        <v>5513</v>
      </c>
      <c r="J375" s="55" t="s">
        <v>5514</v>
      </c>
      <c r="K375" s="55" t="s">
        <v>61</v>
      </c>
      <c r="L375" s="55" t="s">
        <v>5437</v>
      </c>
      <c r="M375" s="55" t="s">
        <v>2789</v>
      </c>
      <c r="N375" s="55" t="s">
        <v>79</v>
      </c>
      <c r="O375" s="55" t="s">
        <v>4350</v>
      </c>
      <c r="P375" s="55" t="s">
        <v>110</v>
      </c>
      <c r="Q375" s="67" t="str">
        <f>IFERROR(__xludf.DUMMYFUNCTION("""COMPUTED_VALUE"""),"Australia.Career.M466C376_LH3645_MES_HuyLG_040625")</f>
        <v>Australia.Career.M466C376_LH3645_MES_HuyLG_040625</v>
      </c>
      <c r="R375" s="67" t="str">
        <f>IFERROR(__xludf.DUMMYFUNCTION("""COMPUTED_VALUE"""),"NEW_Australia_2040_none_040625")</f>
        <v>NEW_Australia_2040_none_040625</v>
      </c>
      <c r="S375" s="67" t="str">
        <f>IFERROR(__xludf.DUMMYFUNCTION("""COMPUTED_VALUE"""),"Storytelling_Australia.Career.M466C376.2040_PTATDNDL_LD233")</f>
        <v>Storytelling_Australia.Career.M466C376.2040_PTATDNDL_LD233</v>
      </c>
      <c r="T375" s="107" t="str">
        <f>IFERROR(__xludf.DUMMYFUNCTION("""COMPUTED_VALUE"""),"https://patadovietnam.edu.vn/hlg_tattp_gt/?utm_source=Facebook&amp;utm_medium=MES&amp;utm_term=NEW_Australia_2040_none_040625&amp;utm_content=Storytelling_Australia.Career.M466C376.2040_PTATDNDL_LD233&amp;utm_campaign=Australia.Career.M466C376_LH3645_MES_HuyLG_040625")</f>
        <v>https://patadovietnam.edu.vn/hlg_tattp_gt/?utm_source=Facebook&amp;utm_medium=MES&amp;utm_term=NEW_Australia_2040_none_040625&amp;utm_content=Storytelling_Australia.Career.M466C376.2040_PTATDNDL_LD233&amp;utm_campaign=Australia.Career.M466C376_LH3645_MES_HuyLG_040625</v>
      </c>
      <c r="U375" s="118"/>
    </row>
    <row r="376">
      <c r="A376" s="72">
        <v>45812.0</v>
      </c>
      <c r="B376" s="60" t="s">
        <v>4887</v>
      </c>
      <c r="C376" s="67" t="str">
        <f>IFERROR(__xludf.DUMMYFUNCTION("""COMPUTED_VALUE"""),"LD233")</f>
        <v>LD233</v>
      </c>
      <c r="D376" s="55" t="s">
        <v>42</v>
      </c>
      <c r="E376" s="55" t="s">
        <v>79</v>
      </c>
      <c r="F376" s="55" t="s">
        <v>164</v>
      </c>
      <c r="G376" s="55">
        <v>2040.0</v>
      </c>
      <c r="H376" s="55" t="s">
        <v>1131</v>
      </c>
      <c r="I376" s="55" t="s">
        <v>5521</v>
      </c>
      <c r="J376" s="55" t="s">
        <v>5522</v>
      </c>
      <c r="K376" s="55" t="s">
        <v>61</v>
      </c>
      <c r="L376" s="55" t="s">
        <v>5437</v>
      </c>
      <c r="M376" s="55" t="s">
        <v>78</v>
      </c>
      <c r="N376" s="55" t="s">
        <v>79</v>
      </c>
      <c r="O376" s="55" t="s">
        <v>4350</v>
      </c>
      <c r="P376" s="55" t="s">
        <v>110</v>
      </c>
      <c r="Q376" s="67" t="str">
        <f>IFERROR(__xludf.DUMMYFUNCTION("""COMPUTED_VALUE"""),"Taiwan.Career.M465C375_LH3645_MES_HuyLG_040625")</f>
        <v>Taiwan.Career.M465C375_LH3645_MES_HuyLG_040625</v>
      </c>
      <c r="R376" s="67" t="str">
        <f>IFERROR(__xludf.DUMMYFUNCTION("""COMPUTED_VALUE"""),"NEW_Taiwan_2040_none_040625")</f>
        <v>NEW_Taiwan_2040_none_040625</v>
      </c>
      <c r="S376" s="67" t="str">
        <f>IFERROR(__xludf.DUMMYFUNCTION("""COMPUTED_VALUE"""),"saletructiep_Taiwan.Career.M465C375.2040_PTATDNDL_LD233")</f>
        <v>saletructiep_Taiwan.Career.M465C375.2040_PTATDNDL_LD233</v>
      </c>
      <c r="T376" s="107" t="str">
        <f>IFERROR(__xludf.DUMMYFUNCTION("""COMPUTED_VALUE"""),"https://patadovietnam.edu.vn/hlg_tattp_gt/?utm_source=Facebook&amp;utm_medium=MES&amp;utm_term=NEW_Taiwan_2040_none_040625&amp;utm_content=saletructiep_Taiwan.Career.M465C375.2040_PTATDNDL_LD233&amp;utm_campaign=Taiwan.Career.M465C375_LH3645_MES_HuyLG_040625")</f>
        <v>https://patadovietnam.edu.vn/hlg_tattp_gt/?utm_source=Facebook&amp;utm_medium=MES&amp;utm_term=NEW_Taiwan_2040_none_040625&amp;utm_content=saletructiep_Taiwan.Career.M465C375.2040_PTATDNDL_LD233&amp;utm_campaign=Taiwan.Career.M465C375_LH3645_MES_HuyLG_040625</v>
      </c>
      <c r="U376" s="118"/>
    </row>
    <row r="377">
      <c r="A377" s="72">
        <v>45812.0</v>
      </c>
      <c r="B377" s="60" t="s">
        <v>4887</v>
      </c>
      <c r="C377" s="67" t="str">
        <f>IFERROR(__xludf.DUMMYFUNCTION("""COMPUTED_VALUE"""),"LD233")</f>
        <v>LD233</v>
      </c>
      <c r="D377" s="55" t="s">
        <v>42</v>
      </c>
      <c r="E377" s="55" t="s">
        <v>79</v>
      </c>
      <c r="F377" s="55" t="s">
        <v>199</v>
      </c>
      <c r="G377" s="55">
        <v>2040.0</v>
      </c>
      <c r="H377" s="55" t="s">
        <v>1131</v>
      </c>
      <c r="I377" s="55" t="s">
        <v>5529</v>
      </c>
      <c r="J377" s="55" t="s">
        <v>5530</v>
      </c>
      <c r="K377" s="55" t="s">
        <v>61</v>
      </c>
      <c r="L377" s="55" t="s">
        <v>5396</v>
      </c>
      <c r="M377" s="55" t="s">
        <v>78</v>
      </c>
      <c r="N377" s="55" t="s">
        <v>79</v>
      </c>
      <c r="O377" s="55" t="s">
        <v>4350</v>
      </c>
      <c r="P377" s="55" t="s">
        <v>110</v>
      </c>
      <c r="Q377" s="67" t="str">
        <f>IFERROR(__xludf.DUMMYFUNCTION("""COMPUTED_VALUE"""),"Vietnam.Career.M464C376_HG4601_MES_HuyLG_040625")</f>
        <v>Vietnam.Career.M464C376_HG4601_MES_HuyLG_040625</v>
      </c>
      <c r="R377" s="67" t="str">
        <f>IFERROR(__xludf.DUMMYFUNCTION("""COMPUTED_VALUE"""),"NEW_Vietnam_2040_none_040625")</f>
        <v>NEW_Vietnam_2040_none_040625</v>
      </c>
      <c r="S377" s="67" t="str">
        <f>IFERROR(__xludf.DUMMYFUNCTION("""COMPUTED_VALUE"""),"saletructiep_Vietnam.Career.M464C376.2040_PTATDNDL_LD233")</f>
        <v>saletructiep_Vietnam.Career.M464C376.2040_PTATDNDL_LD233</v>
      </c>
      <c r="T377" s="107" t="str">
        <f>IFERROR(__xludf.DUMMYFUNCTION("""COMPUTED_VALUE"""),"https://patadovietnam.edu.vn/hlg_tattp_gt/?utm_source=Facebook&amp;utm_medium=MES&amp;utm_term=NEW_Vietnam_2040_none_040625&amp;utm_content=saletructiep_Vietnam.Career.M464C376.2040_PTATDNDL_LD233&amp;utm_campaign=Vietnam.Career.M464C376_HG4601_MES_HuyLG_040625")</f>
        <v>https://patadovietnam.edu.vn/hlg_tattp_gt/?utm_source=Facebook&amp;utm_medium=MES&amp;utm_term=NEW_Vietnam_2040_none_040625&amp;utm_content=saletructiep_Vietnam.Career.M464C376.2040_PTATDNDL_LD233&amp;utm_campaign=Vietnam.Career.M464C376_HG4601_MES_HuyLG_040625</v>
      </c>
      <c r="U377" s="118"/>
    </row>
    <row r="378">
      <c r="A378" s="72">
        <v>45818.0</v>
      </c>
      <c r="B378" s="60" t="s">
        <v>5535</v>
      </c>
      <c r="C378" s="67" t="str">
        <f>IFERROR(__xludf.DUMMYFUNCTION("""COMPUTED_VALUE"""),"LD240")</f>
        <v>LD240</v>
      </c>
      <c r="D378" s="55" t="s">
        <v>42</v>
      </c>
      <c r="E378" s="55" t="s">
        <v>69</v>
      </c>
      <c r="F378" s="55" t="s">
        <v>674</v>
      </c>
      <c r="G378" s="55">
        <v>2040.0</v>
      </c>
      <c r="H378" s="55" t="s">
        <v>1131</v>
      </c>
      <c r="I378" s="55" t="s">
        <v>5540</v>
      </c>
      <c r="J378" s="55" t="s">
        <v>5541</v>
      </c>
      <c r="K378" s="55" t="s">
        <v>61</v>
      </c>
      <c r="L378" s="143" t="s">
        <v>317</v>
      </c>
      <c r="M378" s="55" t="s">
        <v>78</v>
      </c>
      <c r="N378" s="55" t="s">
        <v>69</v>
      </c>
      <c r="O378" s="55" t="s">
        <v>4350</v>
      </c>
      <c r="P378" s="55" t="s">
        <v>110</v>
      </c>
      <c r="Q378" s="67" t="str">
        <f>IFERROR(__xludf.DUMMYFUNCTION("""COMPUTED_VALUE"""),"Europe.Career.M465C375_XuBen.5018_CVS_HuyLG_100625")</f>
        <v>Europe.Career.M465C375_XuBen.5018_CVS_HuyLG_100625</v>
      </c>
      <c r="R378" s="67" t="str">
        <f>IFERROR(__xludf.DUMMYFUNCTION("""COMPUTED_VALUE"""),"NEW_Europe_2040_none_100625")</f>
        <v>NEW_Europe_2040_none_100625</v>
      </c>
      <c r="S378" s="67" t="str">
        <f>IFERROR(__xludf.DUMMYFUNCTION("""COMPUTED_VALUE"""),"saletructiep_Europe.Career.M465C375.2040_PTATDNDL_LD240")</f>
        <v>saletructiep_Europe.Career.M465C375.2040_PTATDNDL_LD240</v>
      </c>
      <c r="T378" s="107" t="str">
        <f>IFERROR(__xludf.DUMMYFUNCTION("""COMPUTED_VALUE"""),"https://patadovietnam.edu.vn/career_hlg/?utm_source=Facebook&amp;utm_medium=CVS&amp;utm_term=NEW_Europe_2040_none_100625&amp;utm_content=saletructiep_Europe.Career.M465C375.2040_PTATDNDL_LD240&amp;utm_campaign=Europe.Career.M465C375_XuBen.5018_CVS_HuyLG_100625")</f>
        <v>https://patadovietnam.edu.vn/career_hlg/?utm_source=Facebook&amp;utm_medium=CVS&amp;utm_term=NEW_Europe_2040_none_100625&amp;utm_content=saletructiep_Europe.Career.M465C375.2040_PTATDNDL_LD240&amp;utm_campaign=Europe.Career.M465C375_XuBen.5018_CVS_HuyLG_100625</v>
      </c>
      <c r="U378" s="110" t="s">
        <v>5546</v>
      </c>
    </row>
    <row r="379">
      <c r="A379" s="72">
        <v>45818.0</v>
      </c>
      <c r="B379" s="60" t="s">
        <v>5535</v>
      </c>
      <c r="C379" s="67" t="str">
        <f>IFERROR(__xludf.DUMMYFUNCTION("""COMPUTED_VALUE"""),"LD240")</f>
        <v>LD240</v>
      </c>
      <c r="D379" s="55" t="s">
        <v>42</v>
      </c>
      <c r="E379" s="55" t="s">
        <v>69</v>
      </c>
      <c r="F379" s="55" t="s">
        <v>107</v>
      </c>
      <c r="G379" s="55">
        <v>2040.0</v>
      </c>
      <c r="H379" s="55" t="s">
        <v>1131</v>
      </c>
      <c r="I379" s="55" t="s">
        <v>5550</v>
      </c>
      <c r="J379" s="55" t="s">
        <v>5551</v>
      </c>
      <c r="K379" s="55" t="s">
        <v>61</v>
      </c>
      <c r="L379" s="143" t="s">
        <v>317</v>
      </c>
      <c r="M379" s="55" t="s">
        <v>78</v>
      </c>
      <c r="N379" s="55" t="s">
        <v>69</v>
      </c>
      <c r="O379" s="55" t="s">
        <v>4350</v>
      </c>
      <c r="P379" s="55" t="s">
        <v>110</v>
      </c>
      <c r="Q379" s="67" t="str">
        <f>IFERROR(__xludf.DUMMYFUNCTION("""COMPUTED_VALUE"""),"UnitedStates.Career.M464C374_XuBen.5018_CVS_HuyLG_100625")</f>
        <v>UnitedStates.Career.M464C374_XuBen.5018_CVS_HuyLG_100625</v>
      </c>
      <c r="R379" s="67" t="str">
        <f>IFERROR(__xludf.DUMMYFUNCTION("""COMPUTED_VALUE"""),"NEW_UnitedStates_2040_none_100625")</f>
        <v>NEW_UnitedStates_2040_none_100625</v>
      </c>
      <c r="S379" s="67" t="str">
        <f>IFERROR(__xludf.DUMMYFUNCTION("""COMPUTED_VALUE"""),"saletructiep_UnitedStates.Career.M464C374.2045_PTATDNDL_LD240")</f>
        <v>saletructiep_UnitedStates.Career.M464C374.2045_PTATDNDL_LD240</v>
      </c>
      <c r="T379" s="107" t="str">
        <f>IFERROR(__xludf.DUMMYFUNCTION("""COMPUTED_VALUE"""),"https://patadovietnam.edu.vn/career_hlg/?utm_source=Facebook&amp;utm_medium=CVS&amp;utm_term=NEW_UnitedStates_2040_none_100625&amp;utm_content=saletructiep_UnitedStates.Career.M464C374.2045_PTATDNDL_LD240&amp;utm_campaign=UnitedStates.Career.M464C374_XuBen.5018_CVS_HuyLG"&amp;"_100625")</f>
        <v>https://patadovietnam.edu.vn/career_hlg/?utm_source=Facebook&amp;utm_medium=CVS&amp;utm_term=NEW_UnitedStates_2040_none_100625&amp;utm_content=saletructiep_UnitedStates.Career.M464C374.2045_PTATDNDL_LD240&amp;utm_campaign=UnitedStates.Career.M464C374_XuBen.5018_CVS_HuyLG_100625</v>
      </c>
      <c r="U379" s="110" t="s">
        <v>5555</v>
      </c>
    </row>
    <row r="380">
      <c r="A380" s="72">
        <v>45818.0</v>
      </c>
      <c r="B380" s="60" t="s">
        <v>5535</v>
      </c>
      <c r="C380" s="67" t="str">
        <f>IFERROR(__xludf.DUMMYFUNCTION("""COMPUTED_VALUE"""),"LD240")</f>
        <v>LD240</v>
      </c>
      <c r="D380" s="55" t="s">
        <v>42</v>
      </c>
      <c r="E380" s="55" t="s">
        <v>69</v>
      </c>
      <c r="F380" s="55" t="s">
        <v>133</v>
      </c>
      <c r="G380" s="55">
        <v>2040.0</v>
      </c>
      <c r="H380" s="55" t="s">
        <v>1131</v>
      </c>
      <c r="I380" s="55" t="s">
        <v>5558</v>
      </c>
      <c r="J380" s="55" t="s">
        <v>5559</v>
      </c>
      <c r="K380" s="55" t="s">
        <v>61</v>
      </c>
      <c r="L380" s="55" t="s">
        <v>5396</v>
      </c>
      <c r="M380" s="55" t="s">
        <v>78</v>
      </c>
      <c r="N380" s="55" t="s">
        <v>69</v>
      </c>
      <c r="O380" s="55" t="s">
        <v>4350</v>
      </c>
      <c r="P380" s="55" t="s">
        <v>110</v>
      </c>
      <c r="Q380" s="67" t="str">
        <f>IFERROR(__xludf.DUMMYFUNCTION("""COMPUTED_VALUE"""),"Japan.Career.M464_HG4601_CVS_HuyLG_100625")</f>
        <v>Japan.Career.M464_HG4601_CVS_HuyLG_100625</v>
      </c>
      <c r="R380" s="67" t="str">
        <f>IFERROR(__xludf.DUMMYFUNCTION("""COMPUTED_VALUE"""),"NEW_Japan_2040_none_100625")</f>
        <v>NEW_Japan_2040_none_100625</v>
      </c>
      <c r="S380" s="67" t="str">
        <f>IFERROR(__xludf.DUMMYFUNCTION("""COMPUTED_VALUE"""),"saletructiep_Japan.Career.M464.2040_PTATDNDL_LD240")</f>
        <v>saletructiep_Japan.Career.M464.2040_PTATDNDL_LD240</v>
      </c>
      <c r="T380" s="107" t="str">
        <f>IFERROR(__xludf.DUMMYFUNCTION("""COMPUTED_VALUE"""),"https://patadovietnam.edu.vn/career_hlg/?utm_source=Facebook&amp;utm_medium=CVS&amp;utm_term=NEW_Japan_2040_none_100625&amp;utm_content=saletructiep_Japan.Career.M464.2040_PTATDNDL_LD240&amp;utm_campaign=Japan.Career.M464_HG4601_CVS_HuyLG_100625")</f>
        <v>https://patadovietnam.edu.vn/career_hlg/?utm_source=Facebook&amp;utm_medium=CVS&amp;utm_term=NEW_Japan_2040_none_100625&amp;utm_content=saletructiep_Japan.Career.M464.2040_PTATDNDL_LD240&amp;utm_campaign=Japan.Career.M464_HG4601_CVS_HuyLG_100625</v>
      </c>
      <c r="U380" s="110" t="s">
        <v>5565</v>
      </c>
    </row>
    <row r="381">
      <c r="A381" s="72">
        <v>45820.0</v>
      </c>
      <c r="B381" s="60" t="s">
        <v>1120</v>
      </c>
      <c r="C381" s="67" t="str">
        <f>IFERROR(__xludf.DUMMYFUNCTION("""COMPUTED_VALUE"""),"LD125")</f>
        <v>LD125</v>
      </c>
      <c r="D381" s="55" t="s">
        <v>42</v>
      </c>
      <c r="E381" s="55" t="s">
        <v>69</v>
      </c>
      <c r="F381" s="55" t="s">
        <v>133</v>
      </c>
      <c r="G381" s="55">
        <v>2040.0</v>
      </c>
      <c r="H381" s="55" t="s">
        <v>1131</v>
      </c>
      <c r="I381" s="55" t="s">
        <v>5568</v>
      </c>
      <c r="J381" s="55" t="s">
        <v>5569</v>
      </c>
      <c r="K381" s="55" t="s">
        <v>61</v>
      </c>
      <c r="L381" s="143" t="s">
        <v>317</v>
      </c>
      <c r="M381" s="55" t="s">
        <v>78</v>
      </c>
      <c r="N381" s="55" t="s">
        <v>69</v>
      </c>
      <c r="O381" s="55" t="s">
        <v>910</v>
      </c>
      <c r="P381" s="55" t="s">
        <v>110</v>
      </c>
      <c r="Q381" s="67" t="str">
        <f>IFERROR(__xludf.DUMMYFUNCTION("""COMPUTED_VALUE"""),"Japan.Giaotiep.M173_XuBen.5018_CVS_HuyLG_120625")</f>
        <v>Japan.Giaotiep.M173_XuBen.5018_CVS_HuyLG_120625</v>
      </c>
      <c r="R381" s="67" t="str">
        <f>IFERROR(__xludf.DUMMYFUNCTION("""COMPUTED_VALUE"""),"NEW_Japan_2040_none_120625")</f>
        <v>NEW_Japan_2040_none_120625</v>
      </c>
      <c r="S381" s="67" t="str">
        <f>IFERROR(__xludf.DUMMYFUNCTION("""COMPUTED_VALUE"""),"saletructiep_Japan.Giaotiep.M173.2040_TATTP_LD125")</f>
        <v>saletructiep_Japan.Giaotiep.M173.2040_TATTP_LD125</v>
      </c>
      <c r="T381" s="107" t="str">
        <f>IFERROR(__xludf.DUMMYFUNCTION("""COMPUTED_VALUE"""),"https://patadovietnam.edu.vn/japan_hlg/?utm_source=Facebook&amp;utm_medium=CVS&amp;utm_term=NEW_Japan_2040_none_120625&amp;utm_content=saletructiep_Japan.Giaotiep.M173.2040_TATTP_LD125&amp;utm_campaign=Japan.Giaotiep.M173_XuBen.5018_CVS_HuyLG_120625")</f>
        <v>https://patadovietnam.edu.vn/japan_hlg/?utm_source=Facebook&amp;utm_medium=CVS&amp;utm_term=NEW_Japan_2040_none_120625&amp;utm_content=saletructiep_Japan.Giaotiep.M173.2040_TATTP_LD125&amp;utm_campaign=Japan.Giaotiep.M173_XuBen.5018_CVS_HuyLG_120625</v>
      </c>
      <c r="U381" s="110" t="s">
        <v>5575</v>
      </c>
    </row>
    <row r="382">
      <c r="A382" s="72">
        <v>45820.0</v>
      </c>
      <c r="B382" s="60" t="s">
        <v>4887</v>
      </c>
      <c r="C382" s="67" t="str">
        <f>IFERROR(__xludf.DUMMYFUNCTION("""COMPUTED_VALUE"""),"LD233")</f>
        <v>LD233</v>
      </c>
      <c r="D382" s="55" t="s">
        <v>42</v>
      </c>
      <c r="E382" s="55" t="s">
        <v>79</v>
      </c>
      <c r="F382" s="55" t="s">
        <v>182</v>
      </c>
      <c r="G382" s="55">
        <v>2040.0</v>
      </c>
      <c r="H382" s="55" t="s">
        <v>1131</v>
      </c>
      <c r="I382" s="55" t="s">
        <v>5578</v>
      </c>
      <c r="J382" s="55" t="s">
        <v>5579</v>
      </c>
      <c r="K382" s="55" t="s">
        <v>61</v>
      </c>
      <c r="L382" s="143" t="s">
        <v>317</v>
      </c>
      <c r="M382" s="55" t="s">
        <v>78</v>
      </c>
      <c r="N382" s="55" t="s">
        <v>79</v>
      </c>
      <c r="O382" s="55" t="s">
        <v>910</v>
      </c>
      <c r="P382" s="55" t="s">
        <v>110</v>
      </c>
      <c r="Q382" s="178" t="str">
        <f>IFERROR(__xludf.DUMMYFUNCTION("""COMPUTED_VALUE"""),"Malaysia.Giaotiep.M50_XuBen.5018_MES_HuyLG_120625")</f>
        <v>Malaysia.Giaotiep.M50_XuBen.5018_MES_HuyLG_120625</v>
      </c>
      <c r="R382" s="178" t="str">
        <f>IFERROR(__xludf.DUMMYFUNCTION("""COMPUTED_VALUE"""),"NEW_Malaysia_2040_none_120625")</f>
        <v>NEW_Malaysia_2040_none_120625</v>
      </c>
      <c r="S382" s="178" t="str">
        <f>IFERROR(__xludf.DUMMYFUNCTION("""COMPUTED_VALUE"""),"saletructiep_Malaysia.Giaotiep.M50.2040_TATTP_LD233")</f>
        <v>saletructiep_Malaysia.Giaotiep.M50.2040_TATTP_LD233</v>
      </c>
      <c r="T382" s="179" t="str">
        <f>IFERROR(__xludf.DUMMYFUNCTION("""COMPUTED_VALUE"""),"https://patadovietnam.edu.vn/hlg_tattp_gt/?utm_source=Facebook&amp;utm_medium=MES&amp;utm_term=NEW_Malaysia_2040_none_120625&amp;utm_content=saletructiep_Malaysia.Giaotiep.M50.2040_TATTP_LD233&amp;utm_campaign=Malaysia.Giaotiep.M50_XuBen.5018_MES_HuyLG_120625")</f>
        <v>https://patadovietnam.edu.vn/hlg_tattp_gt/?utm_source=Facebook&amp;utm_medium=MES&amp;utm_term=NEW_Malaysia_2040_none_120625&amp;utm_content=saletructiep_Malaysia.Giaotiep.M50.2040_TATTP_LD233&amp;utm_campaign=Malaysia.Giaotiep.M50_XuBen.5018_MES_HuyLG_120625</v>
      </c>
      <c r="U382" s="180" t="s">
        <v>5584</v>
      </c>
    </row>
    <row r="383">
      <c r="A383" s="72">
        <v>45821.0</v>
      </c>
      <c r="B383" s="60" t="s">
        <v>5535</v>
      </c>
      <c r="C383" s="67" t="str">
        <f>IFERROR(__xludf.DUMMYFUNCTION("""COMPUTED_VALUE"""),"LD240")</f>
        <v>LD240</v>
      </c>
      <c r="D383" s="55" t="s">
        <v>42</v>
      </c>
      <c r="E383" s="55" t="s">
        <v>79</v>
      </c>
      <c r="F383" s="55" t="s">
        <v>199</v>
      </c>
      <c r="G383" s="55">
        <v>2040.0</v>
      </c>
      <c r="H383" s="55" t="s">
        <v>1131</v>
      </c>
      <c r="I383" s="55" t="s">
        <v>5529</v>
      </c>
      <c r="J383" s="55" t="s">
        <v>5530</v>
      </c>
      <c r="K383" s="55" t="s">
        <v>61</v>
      </c>
      <c r="L383" s="55" t="s">
        <v>5396</v>
      </c>
      <c r="M383" s="55" t="s">
        <v>78</v>
      </c>
      <c r="N383" s="55" t="s">
        <v>79</v>
      </c>
      <c r="O383" s="55" t="s">
        <v>4350</v>
      </c>
      <c r="P383" s="55" t="s">
        <v>110</v>
      </c>
      <c r="Q383" s="67" t="str">
        <f>IFERROR(__xludf.DUMMYFUNCTION("""COMPUTED_VALUE"""),"Vietnam.Career.M464C376_HG4601_MES_HuyLG_130625")</f>
        <v>Vietnam.Career.M464C376_HG4601_MES_HuyLG_130625</v>
      </c>
      <c r="R383" s="67" t="str">
        <f>IFERROR(__xludf.DUMMYFUNCTION("""COMPUTED_VALUE"""),"NEW_Vietnam_2040_none_130625")</f>
        <v>NEW_Vietnam_2040_none_130625</v>
      </c>
      <c r="S383" s="67" t="str">
        <f>IFERROR(__xludf.DUMMYFUNCTION("""COMPUTED_VALUE"""),"saletructiep_Vietnam.Career.M464C376.2040_PTATDNDL_LD240")</f>
        <v>saletructiep_Vietnam.Career.M464C376.2040_PTATDNDL_LD240</v>
      </c>
      <c r="T383" s="107" t="str">
        <f>IFERROR(__xludf.DUMMYFUNCTION("""COMPUTED_VALUE"""),"https://patadovietnam.edu.vn/career_hlg/?utm_source=Facebook&amp;utm_medium=MES&amp;utm_term=NEW_Vietnam_2040_none_130625&amp;utm_content=saletructiep_Vietnam.Career.M464C376.2040_PTATDNDL_LD240&amp;utm_campaign=Vietnam.Career.M464C376_HG4601_MES_HuyLG_130625")</f>
        <v>https://patadovietnam.edu.vn/career_hlg/?utm_source=Facebook&amp;utm_medium=MES&amp;utm_term=NEW_Vietnam_2040_none_130625&amp;utm_content=saletructiep_Vietnam.Career.M464C376.2040_PTATDNDL_LD240&amp;utm_campaign=Vietnam.Career.M464C376_HG4601_MES_HuyLG_130625</v>
      </c>
      <c r="U383" s="110" t="s">
        <v>5591</v>
      </c>
    </row>
    <row r="384">
      <c r="A384" s="72">
        <v>45846.0</v>
      </c>
      <c r="B384" s="60" t="s">
        <v>4785</v>
      </c>
      <c r="C384" s="67" t="str">
        <f>IFERROR(__xludf.DUMMYFUNCTION("""COMPUTED_VALUE"""),"LD229")</f>
        <v>LD229</v>
      </c>
      <c r="D384" s="55" t="s">
        <v>42</v>
      </c>
      <c r="E384" s="55" t="s">
        <v>69</v>
      </c>
      <c r="F384" s="55" t="s">
        <v>674</v>
      </c>
      <c r="G384" s="55">
        <v>2040.0</v>
      </c>
      <c r="H384" s="55" t="s">
        <v>1131</v>
      </c>
      <c r="I384" s="55" t="s">
        <v>5595</v>
      </c>
      <c r="J384" s="55" t="s">
        <v>5596</v>
      </c>
      <c r="K384" s="55" t="s">
        <v>61</v>
      </c>
      <c r="L384" s="143" t="s">
        <v>317</v>
      </c>
      <c r="M384" s="55" t="s">
        <v>78</v>
      </c>
      <c r="N384" s="55" t="s">
        <v>69</v>
      </c>
      <c r="O384" s="55" t="s">
        <v>415</v>
      </c>
      <c r="P384" s="55" t="s">
        <v>110</v>
      </c>
      <c r="Q384" s="67" t="str">
        <f>IFERROR(__xludf.DUMMYFUNCTION("""COMPUTED_VALUE"""),"Europe.Giaotiep.M480_XuBen.5018_CVS_HuyLG_080725")</f>
        <v>Europe.Giaotiep.M480_XuBen.5018_CVS_HuyLG_080725</v>
      </c>
      <c r="R384" s="67" t="str">
        <f>IFERROR(__xludf.DUMMYFUNCTION("""COMPUTED_VALUE"""),"NEW_Europe_2040_none_080725")</f>
        <v>NEW_Europe_2040_none_080725</v>
      </c>
      <c r="S384" s="67" t="str">
        <f>IFERROR(__xludf.DUMMYFUNCTION("""COMPUTED_VALUE"""),"saletructiep_Europe.Giaotiep.M480.2040_TATTPVN_LD229")</f>
        <v>saletructiep_Europe.Giaotiep.M480.2040_TATTPVN_LD229</v>
      </c>
      <c r="T384" s="107" t="str">
        <f>IFERROR(__xludf.DUMMYFUNCTION("""COMPUTED_VALUE"""),"https://patadovietnam.edu.vn/hlg_tattpvn_gt/?utm_source=Facebook&amp;utm_medium=CVS&amp;utm_term=NEW_Europe_2040_none_080725&amp;utm_content=saletructiep_Europe.Giaotiep.M480.2040_TATTPVN_LD229&amp;utm_campaign=Europe.Giaotiep.M480_XuBen.5018_CVS_HuyLG_080725")</f>
        <v>https://patadovietnam.edu.vn/hlg_tattpvn_gt/?utm_source=Facebook&amp;utm_medium=CVS&amp;utm_term=NEW_Europe_2040_none_080725&amp;utm_content=saletructiep_Europe.Giaotiep.M480.2040_TATTPVN_LD229&amp;utm_campaign=Europe.Giaotiep.M480_XuBen.5018_CVS_HuyLG_080725</v>
      </c>
      <c r="U384" s="110" t="s">
        <v>5600</v>
      </c>
    </row>
    <row r="385">
      <c r="A385" s="72">
        <v>45848.0</v>
      </c>
      <c r="B385" s="60" t="s">
        <v>4887</v>
      </c>
      <c r="C385" s="67" t="str">
        <f>IFERROR(__xludf.DUMMYFUNCTION("""COMPUTED_VALUE"""),"LD233")</f>
        <v>LD233</v>
      </c>
      <c r="D385" s="55" t="s">
        <v>42</v>
      </c>
      <c r="E385" s="55" t="s">
        <v>69</v>
      </c>
      <c r="F385" s="55" t="s">
        <v>133</v>
      </c>
      <c r="G385" s="55">
        <v>2040.0</v>
      </c>
      <c r="H385" s="55" t="s">
        <v>1131</v>
      </c>
      <c r="I385" s="55" t="s">
        <v>5606</v>
      </c>
      <c r="J385" s="55" t="s">
        <v>5607</v>
      </c>
      <c r="K385" s="55" t="s">
        <v>61</v>
      </c>
      <c r="L385" s="143" t="s">
        <v>317</v>
      </c>
      <c r="M385" s="55" t="s">
        <v>78</v>
      </c>
      <c r="N385" s="55" t="s">
        <v>69</v>
      </c>
      <c r="O385" s="55" t="s">
        <v>910</v>
      </c>
      <c r="P385" s="55" t="s">
        <v>110</v>
      </c>
      <c r="Q385" s="67" t="str">
        <f>IFERROR(__xludf.DUMMYFUNCTION("""COMPUTED_VALUE"""),"Japan.Giaotiep.M496_XuBen.5018_CVS_HuyLG_100725")</f>
        <v>Japan.Giaotiep.M496_XuBen.5018_CVS_HuyLG_100725</v>
      </c>
      <c r="R385" s="67" t="str">
        <f>IFERROR(__xludf.DUMMYFUNCTION("""COMPUTED_VALUE"""),"NEW_Japan_2040_none_100725")</f>
        <v>NEW_Japan_2040_none_100725</v>
      </c>
      <c r="S385" s="67" t="str">
        <f>IFERROR(__xludf.DUMMYFUNCTION("""COMPUTED_VALUE"""),"saletructiep_Japan.Giaotiep.M496.2040_TATTP_LD233")</f>
        <v>saletructiep_Japan.Giaotiep.M496.2040_TATTP_LD233</v>
      </c>
      <c r="T385" s="107" t="str">
        <f>IFERROR(__xludf.DUMMYFUNCTION("""COMPUTED_VALUE"""),"https://patadovietnam.edu.vn/hlg_tattp_gt/?utm_source=Facebook&amp;utm_medium=CVS&amp;utm_term=NEW_Japan_2040_none_100725&amp;utm_content=saletructiep_Japan.Giaotiep.M496.2040_TATTP_LD233&amp;utm_campaign=Japan.Giaotiep.M496_XuBen.5018_CVS_HuyLG_100725")</f>
        <v>https://patadovietnam.edu.vn/hlg_tattp_gt/?utm_source=Facebook&amp;utm_medium=CVS&amp;utm_term=NEW_Japan_2040_none_100725&amp;utm_content=saletructiep_Japan.Giaotiep.M496.2040_TATTP_LD233&amp;utm_campaign=Japan.Giaotiep.M496_XuBen.5018_CVS_HuyLG_100725</v>
      </c>
      <c r="U385" s="110" t="s">
        <v>5609</v>
      </c>
    </row>
    <row r="386">
      <c r="A386" s="72">
        <v>45848.0</v>
      </c>
      <c r="B386" s="60" t="s">
        <v>4887</v>
      </c>
      <c r="C386" s="67" t="str">
        <f>IFERROR(__xludf.DUMMYFUNCTION("""COMPUTED_VALUE"""),"LD233")</f>
        <v>LD233</v>
      </c>
      <c r="D386" s="55" t="s">
        <v>42</v>
      </c>
      <c r="E386" s="55" t="s">
        <v>69</v>
      </c>
      <c r="F386" s="55" t="s">
        <v>107</v>
      </c>
      <c r="G386" s="55">
        <v>2040.0</v>
      </c>
      <c r="H386" s="55" t="s">
        <v>1131</v>
      </c>
      <c r="I386" s="55" t="s">
        <v>5613</v>
      </c>
      <c r="J386" s="55" t="s">
        <v>5614</v>
      </c>
      <c r="K386" s="55" t="s">
        <v>61</v>
      </c>
      <c r="L386" s="143" t="s">
        <v>317</v>
      </c>
      <c r="M386" s="55" t="s">
        <v>78</v>
      </c>
      <c r="N386" s="55" t="s">
        <v>69</v>
      </c>
      <c r="O386" s="55" t="s">
        <v>910</v>
      </c>
      <c r="P386" s="55" t="s">
        <v>110</v>
      </c>
      <c r="Q386" s="67" t="str">
        <f>IFERROR(__xludf.DUMMYFUNCTION("""COMPUTED_VALUE"""),"UnitedStates.Giaotiep.M496_XuBen.5018_CVS_HuyLG_100725")</f>
        <v>UnitedStates.Giaotiep.M496_XuBen.5018_CVS_HuyLG_100725</v>
      </c>
      <c r="R386" s="67" t="str">
        <f>IFERROR(__xludf.DUMMYFUNCTION("""COMPUTED_VALUE"""),"NEW_UnitedStates_2040_none_100725")</f>
        <v>NEW_UnitedStates_2040_none_100725</v>
      </c>
      <c r="S386" s="67" t="str">
        <f>IFERROR(__xludf.DUMMYFUNCTION("""COMPUTED_VALUE"""),"saletructiep_UnitedStates.Giaotiep.M496.2040_TATTP_LD233")</f>
        <v>saletructiep_UnitedStates.Giaotiep.M496.2040_TATTP_LD233</v>
      </c>
      <c r="T386" s="107" t="str">
        <f>IFERROR(__xludf.DUMMYFUNCTION("""COMPUTED_VALUE"""),"https://patadovietnam.edu.vn/hlg_tattp_gt/?utm_source=Facebook&amp;utm_medium=CVS&amp;utm_term=NEW_UnitedStates_2040_none_100725&amp;utm_content=saletructiep_UnitedStates.Giaotiep.M496.2040_TATTP_LD233&amp;utm_campaign=UnitedStates.Giaotiep.M496_XuBen.5018_CVS_HuyLG_1007"&amp;"25")</f>
        <v>https://patadovietnam.edu.vn/hlg_tattp_gt/?utm_source=Facebook&amp;utm_medium=CVS&amp;utm_term=NEW_UnitedStates_2040_none_100725&amp;utm_content=saletructiep_UnitedStates.Giaotiep.M496.2040_TATTP_LD233&amp;utm_campaign=UnitedStates.Giaotiep.M496_XuBen.5018_CVS_HuyLG_100725</v>
      </c>
      <c r="U386" s="110" t="s">
        <v>5618</v>
      </c>
    </row>
    <row r="387">
      <c r="A387" s="72">
        <v>45859.0</v>
      </c>
      <c r="B387" s="75" t="s">
        <v>5622</v>
      </c>
      <c r="C387" s="67" t="str">
        <f>IFERROR(__xludf.DUMMYFUNCTION("""COMPUTED_VALUE"""),"LD245")</f>
        <v>LD245</v>
      </c>
      <c r="D387" s="55" t="s">
        <v>42</v>
      </c>
      <c r="E387" s="55" t="s">
        <v>69</v>
      </c>
      <c r="F387" s="55" t="s">
        <v>674</v>
      </c>
      <c r="G387" s="55">
        <v>2040.0</v>
      </c>
      <c r="H387" s="55" t="s">
        <v>1131</v>
      </c>
      <c r="I387" s="55" t="s">
        <v>5625</v>
      </c>
      <c r="J387" s="55" t="s">
        <v>5625</v>
      </c>
      <c r="K387" s="55" t="s">
        <v>61</v>
      </c>
      <c r="L387" s="143" t="s">
        <v>317</v>
      </c>
      <c r="M387" s="55" t="s">
        <v>78</v>
      </c>
      <c r="N387" s="55" t="s">
        <v>69</v>
      </c>
      <c r="O387" s="55" t="s">
        <v>910</v>
      </c>
      <c r="P387" s="55" t="s">
        <v>110</v>
      </c>
      <c r="Q387" s="67" t="str">
        <f>IFERROR(__xludf.DUMMYFUNCTION("""COMPUTED_VALUE"""),"Europe.Giaotiep.M496_XuBen.5018_CVS_HuyLG_210725")</f>
        <v>Europe.Giaotiep.M496_XuBen.5018_CVS_HuyLG_210725</v>
      </c>
      <c r="R387" s="67" t="str">
        <f>IFERROR(__xludf.DUMMYFUNCTION("""COMPUTED_VALUE"""),"NEW_Europe_2040_none_210725")</f>
        <v>NEW_Europe_2040_none_210725</v>
      </c>
      <c r="S387" s="67" t="str">
        <f>IFERROR(__xludf.DUMMYFUNCTION("""COMPUTED_VALUE"""),"saletructiep_Europe.Giaotiep.M496_TATTP_LD245")</f>
        <v>saletructiep_Europe.Giaotiep.M496_TATTP_LD245</v>
      </c>
      <c r="T387" s="107" t="str">
        <f>IFERROR(__xludf.DUMMYFUNCTION("""COMPUTED_VALUE"""),"https://patadovietnam.edu.vn/hlg1907/?utm_source=Facebook&amp;utm_medium=CVS&amp;utm_term=NEW_Europe_2040_none_210725&amp;utm_content=saletructiep_Europe.Giaotiep.M496_TATTP_LD245&amp;utm_campaign=Europe.Giaotiep.M496_XuBen.5018_CVS_HuyLG_210725")</f>
        <v>https://patadovietnam.edu.vn/hlg1907/?utm_source=Facebook&amp;utm_medium=CVS&amp;utm_term=NEW_Europe_2040_none_210725&amp;utm_content=saletructiep_Europe.Giaotiep.M496_TATTP_LD245&amp;utm_campaign=Europe.Giaotiep.M496_XuBen.5018_CVS_HuyLG_210725</v>
      </c>
      <c r="U387" s="110" t="s">
        <v>5630</v>
      </c>
    </row>
    <row r="388">
      <c r="A388" s="72">
        <v>45859.0</v>
      </c>
      <c r="B388" s="60" t="s">
        <v>5622</v>
      </c>
      <c r="C388" s="67" t="str">
        <f>IFERROR(__xludf.DUMMYFUNCTION("""COMPUTED_VALUE"""),"LD245")</f>
        <v>LD245</v>
      </c>
      <c r="D388" s="55" t="s">
        <v>42</v>
      </c>
      <c r="E388" s="55" t="s">
        <v>69</v>
      </c>
      <c r="F388" s="55" t="s">
        <v>133</v>
      </c>
      <c r="G388" s="55">
        <v>1840.0</v>
      </c>
      <c r="H388" s="55" t="s">
        <v>1131</v>
      </c>
      <c r="I388" s="55" t="s">
        <v>5606</v>
      </c>
      <c r="J388" s="55" t="s">
        <v>5634</v>
      </c>
      <c r="K388" s="55" t="s">
        <v>61</v>
      </c>
      <c r="L388" s="143" t="s">
        <v>317</v>
      </c>
      <c r="M388" s="55" t="s">
        <v>78</v>
      </c>
      <c r="N388" s="55" t="s">
        <v>69</v>
      </c>
      <c r="O388" s="55" t="s">
        <v>910</v>
      </c>
      <c r="P388" s="55" t="s">
        <v>110</v>
      </c>
      <c r="Q388" s="67" t="str">
        <f>IFERROR(__xludf.DUMMYFUNCTION("""COMPUTED_VALUE"""),"Japan.Giaotiep.M496_XuBen.5018_CVS_HuyLG_210725")</f>
        <v>Japan.Giaotiep.M496_XuBen.5018_CVS_HuyLG_210725</v>
      </c>
      <c r="R388" s="67" t="str">
        <f>IFERROR(__xludf.DUMMYFUNCTION("""COMPUTED_VALUE"""),"NEW_Japan_1840_none_210725")</f>
        <v>NEW_Japan_1840_none_210725</v>
      </c>
      <c r="S388" s="67" t="str">
        <f>IFERROR(__xludf.DUMMYFUNCTION("""COMPUTED_VALUE"""),"saletructiep_Japan.Giaotiep.M496.1840_TATTP_LD245")</f>
        <v>saletructiep_Japan.Giaotiep.M496.1840_TATTP_LD245</v>
      </c>
      <c r="T388" s="107" t="str">
        <f>IFERROR(__xludf.DUMMYFUNCTION("""COMPUTED_VALUE"""),"https://patadovietnam.edu.vn/hlg1907/?utm_source=Facebook&amp;utm_medium=CVS&amp;utm_term=NEW_Japan_1840_none_210725&amp;utm_content=saletructiep_Japan.Giaotiep.M496.1840_TATTP_LD245&amp;utm_campaign=Japan.Giaotiep.M496_XuBen.5018_CVS_HuyLG_210725")</f>
        <v>https://patadovietnam.edu.vn/hlg1907/?utm_source=Facebook&amp;utm_medium=CVS&amp;utm_term=NEW_Japan_1840_none_210725&amp;utm_content=saletructiep_Japan.Giaotiep.M496.1840_TATTP_LD245&amp;utm_campaign=Japan.Giaotiep.M496_XuBen.5018_CVS_HuyLG_210725</v>
      </c>
      <c r="U388" s="110" t="s">
        <v>5638</v>
      </c>
    </row>
    <row r="389">
      <c r="A389" s="72">
        <v>45859.0</v>
      </c>
      <c r="B389" s="60" t="s">
        <v>5639</v>
      </c>
      <c r="C389" s="67" t="str">
        <f>IFERROR(__xludf.DUMMYFUNCTION("""COMPUTED_VALUE"""),"LD244")</f>
        <v>LD244</v>
      </c>
      <c r="D389" s="55" t="s">
        <v>42</v>
      </c>
      <c r="E389" s="55" t="s">
        <v>69</v>
      </c>
      <c r="F389" s="55" t="s">
        <v>133</v>
      </c>
      <c r="G389" s="55">
        <v>1840.0</v>
      </c>
      <c r="H389" s="55" t="s">
        <v>1131</v>
      </c>
      <c r="I389" s="55" t="s">
        <v>5441</v>
      </c>
      <c r="J389" s="55" t="s">
        <v>5641</v>
      </c>
      <c r="K389" s="55" t="s">
        <v>61</v>
      </c>
      <c r="L389" s="143" t="s">
        <v>317</v>
      </c>
      <c r="M389" s="55" t="s">
        <v>78</v>
      </c>
      <c r="N389" s="55" t="s">
        <v>69</v>
      </c>
      <c r="O389" s="55" t="s">
        <v>910</v>
      </c>
      <c r="P389" s="55" t="s">
        <v>110</v>
      </c>
      <c r="Q389" s="67" t="str">
        <f>IFERROR(__xludf.DUMMYFUNCTION("""COMPUTED_VALUE"""),"Japan.Giaotiep.Anhshortthongbao_XuBen.5018_CVS_HuyLG_210725")</f>
        <v>Japan.Giaotiep.Anhshortthongbao_XuBen.5018_CVS_HuyLG_210725</v>
      </c>
      <c r="R389" s="67" t="str">
        <f>IFERROR(__xludf.DUMMYFUNCTION("""COMPUTED_VALUE"""),"NEW_Japan_1840_none_210725")</f>
        <v>NEW_Japan_1840_none_210725</v>
      </c>
      <c r="S389" s="67" t="str">
        <f>IFERROR(__xludf.DUMMYFUNCTION("""COMPUTED_VALUE"""),"saletructiep_Japan.Giaotiep.Anhshortthongbao.1840_TATTP_LD244")</f>
        <v>saletructiep_Japan.Giaotiep.Anhshortthongbao.1840_TATTP_LD244</v>
      </c>
      <c r="T389" s="107" t="str">
        <f>IFERROR(__xludf.DUMMYFUNCTION("""COMPUTED_VALUE"""),"https://patadovietnam.edu.vn/hlg1807/?utm_source=Facebook&amp;utm_medium=CVS&amp;utm_term=NEW_Japan_1840_none_210725&amp;utm_content=saletructiep_Japan.Giaotiep.Anhshortthongbao.1840_TATTP_LD244&amp;utm_campaign=Japan.Giaotiep.Anhshortthongbao_XuBen.5018_CVS_HuyLG_210725")</f>
        <v>https://patadovietnam.edu.vn/hlg1807/?utm_source=Facebook&amp;utm_medium=CVS&amp;utm_term=NEW_Japan_1840_none_210725&amp;utm_content=saletructiep_Japan.Giaotiep.Anhshortthongbao.1840_TATTP_LD244&amp;utm_campaign=Japan.Giaotiep.Anhshortthongbao_XuBen.5018_CVS_HuyLG_210725</v>
      </c>
      <c r="U389" s="110" t="s">
        <v>5646</v>
      </c>
    </row>
    <row r="390">
      <c r="A390" s="72">
        <v>45859.0</v>
      </c>
      <c r="B390" s="60" t="s">
        <v>5639</v>
      </c>
      <c r="C390" s="67" t="str">
        <f>IFERROR(__xludf.DUMMYFUNCTION("""COMPUTED_VALUE"""),"LD244")</f>
        <v>LD244</v>
      </c>
      <c r="D390" s="55" t="s">
        <v>42</v>
      </c>
      <c r="E390" s="55" t="s">
        <v>69</v>
      </c>
      <c r="F390" s="55" t="s">
        <v>107</v>
      </c>
      <c r="G390" s="55">
        <v>1840.0</v>
      </c>
      <c r="H390" s="55" t="s">
        <v>1131</v>
      </c>
      <c r="I390" s="55" t="s">
        <v>3682</v>
      </c>
      <c r="J390" s="55" t="s">
        <v>5652</v>
      </c>
      <c r="K390" s="55" t="s">
        <v>61</v>
      </c>
      <c r="L390" s="143" t="s">
        <v>317</v>
      </c>
      <c r="M390" s="55" t="s">
        <v>78</v>
      </c>
      <c r="N390" s="55" t="s">
        <v>69</v>
      </c>
      <c r="O390" s="55" t="s">
        <v>910</v>
      </c>
      <c r="P390" s="55" t="s">
        <v>110</v>
      </c>
      <c r="Q390" s="67" t="str">
        <f>IFERROR(__xludf.DUMMYFUNCTION("""COMPUTED_VALUE"""),"UnitedStates.Giaotiep.Anhshortthongbao_XuBen.5018_CVS_HuyLG_210725")</f>
        <v>UnitedStates.Giaotiep.Anhshortthongbao_XuBen.5018_CVS_HuyLG_210725</v>
      </c>
      <c r="R390" s="67" t="str">
        <f>IFERROR(__xludf.DUMMYFUNCTION("""COMPUTED_VALUE"""),"NEW_UnitedStates_1840_none_210725")</f>
        <v>NEW_UnitedStates_1840_none_210725</v>
      </c>
      <c r="S390" s="67" t="str">
        <f>IFERROR(__xludf.DUMMYFUNCTION("""COMPUTED_VALUE"""),"saletructiep_UnitedStates.Giaotiep.Anhshortthongbao.1840_TATTP_LD244")</f>
        <v>saletructiep_UnitedStates.Giaotiep.Anhshortthongbao.1840_TATTP_LD244</v>
      </c>
      <c r="T390" s="107" t="str">
        <f>IFERROR(__xludf.DUMMYFUNCTION("""COMPUTED_VALUE"""),"https://patadovietnam.edu.vn/hlg1807/?utm_source=Facebook&amp;utm_medium=CVS&amp;utm_term=NEW_UnitedStates_1840_none_210725&amp;utm_content=saletructiep_UnitedStates.Giaotiep.Anhshortthongbao.1840_TATTP_LD244&amp;utm_campaign=UnitedStates.Giaotiep.Anhshortthongbao_XuBen."&amp;"5018_CVS_HuyLG_210725")</f>
        <v>https://patadovietnam.edu.vn/hlg1807/?utm_source=Facebook&amp;utm_medium=CVS&amp;utm_term=NEW_UnitedStates_1840_none_210725&amp;utm_content=saletructiep_UnitedStates.Giaotiep.Anhshortthongbao.1840_TATTP_LD244&amp;utm_campaign=UnitedStates.Giaotiep.Anhshortthongbao_XuBen.5018_CVS_HuyLG_210725</v>
      </c>
      <c r="U390" s="110" t="s">
        <v>5655</v>
      </c>
    </row>
    <row r="391">
      <c r="A391" s="72">
        <v>45873.0</v>
      </c>
      <c r="B391" s="60" t="s">
        <v>5639</v>
      </c>
      <c r="C391" s="67" t="str">
        <f>IFERROR(__xludf.DUMMYFUNCTION("""COMPUTED_VALUE"""),"LD244")</f>
        <v>LD244</v>
      </c>
      <c r="D391" s="55" t="s">
        <v>42</v>
      </c>
      <c r="E391" s="55" t="s">
        <v>69</v>
      </c>
      <c r="F391" s="55" t="s">
        <v>133</v>
      </c>
      <c r="G391" s="55">
        <v>1840.0</v>
      </c>
      <c r="H391" s="55" t="s">
        <v>1131</v>
      </c>
      <c r="I391" s="55" t="s">
        <v>5441</v>
      </c>
      <c r="J391" s="55" t="s">
        <v>5641</v>
      </c>
      <c r="K391" s="55" t="s">
        <v>61</v>
      </c>
      <c r="L391" s="143" t="s">
        <v>317</v>
      </c>
      <c r="M391" s="55" t="s">
        <v>78</v>
      </c>
      <c r="N391" s="55" t="s">
        <v>69</v>
      </c>
      <c r="O391" s="55" t="s">
        <v>910</v>
      </c>
      <c r="P391" s="55" t="s">
        <v>110</v>
      </c>
      <c r="Q391" s="67" t="str">
        <f>IFERROR(__xludf.DUMMYFUNCTION("""COMPUTED_VALUE"""),"Japan.Giaotiep.Anhshortthongbao_XuBen.5018_CVS_HuyLG_040825")</f>
        <v>Japan.Giaotiep.Anhshortthongbao_XuBen.5018_CVS_HuyLG_040825</v>
      </c>
      <c r="R391" s="67" t="str">
        <f>IFERROR(__xludf.DUMMYFUNCTION("""COMPUTED_VALUE"""),"NEW_Japan_1840_none_040825")</f>
        <v>NEW_Japan_1840_none_040825</v>
      </c>
      <c r="S391" s="67" t="str">
        <f>IFERROR(__xludf.DUMMYFUNCTION("""COMPUTED_VALUE"""),"saletructiep_Japan.Giaotiep.Anhshortthongbao.1840_TATTP_LD244")</f>
        <v>saletructiep_Japan.Giaotiep.Anhshortthongbao.1840_TATTP_LD244</v>
      </c>
      <c r="T391" s="107" t="str">
        <f>IFERROR(__xludf.DUMMYFUNCTION("""COMPUTED_VALUE"""),"https://patadovietnam.edu.vn/hlg1807/?utm_source=Facebook&amp;utm_medium=CVS&amp;utm_term=NEW_Japan_1840_none_040825&amp;utm_content=saletructiep_Japan.Giaotiep.Anhshortthongbao.1840_TATTP_LD244&amp;utm_campaign=Japan.Giaotiep.Anhshortthongbao_XuBen.5018_CVS_HuyLG_040825")</f>
        <v>https://patadovietnam.edu.vn/hlg1807/?utm_source=Facebook&amp;utm_medium=CVS&amp;utm_term=NEW_Japan_1840_none_040825&amp;utm_content=saletructiep_Japan.Giaotiep.Anhshortthongbao.1840_TATTP_LD244&amp;utm_campaign=Japan.Giaotiep.Anhshortthongbao_XuBen.5018_CVS_HuyLG_040825</v>
      </c>
      <c r="U391" s="110" t="s">
        <v>5444</v>
      </c>
    </row>
    <row r="392">
      <c r="A392" s="72">
        <v>45873.0</v>
      </c>
      <c r="B392" s="60" t="s">
        <v>5622</v>
      </c>
      <c r="C392" s="67" t="str">
        <f>IFERROR(__xludf.DUMMYFUNCTION("""COMPUTED_VALUE"""),"LD245")</f>
        <v>LD245</v>
      </c>
      <c r="D392" s="55" t="s">
        <v>42</v>
      </c>
      <c r="E392" s="55" t="s">
        <v>69</v>
      </c>
      <c r="F392" s="55" t="s">
        <v>107</v>
      </c>
      <c r="G392" s="55">
        <v>1840.0</v>
      </c>
      <c r="H392" s="55" t="s">
        <v>1131</v>
      </c>
      <c r="I392" s="55" t="s">
        <v>3682</v>
      </c>
      <c r="J392" s="55" t="s">
        <v>5652</v>
      </c>
      <c r="K392" s="55" t="s">
        <v>61</v>
      </c>
      <c r="L392" s="143" t="s">
        <v>317</v>
      </c>
      <c r="M392" s="55" t="s">
        <v>78</v>
      </c>
      <c r="N392" s="55" t="s">
        <v>69</v>
      </c>
      <c r="O392" s="55" t="s">
        <v>910</v>
      </c>
      <c r="P392" s="55" t="s">
        <v>110</v>
      </c>
      <c r="Q392" s="67" t="str">
        <f>IFERROR(__xludf.DUMMYFUNCTION("""COMPUTED_VALUE"""),"UnitedStates.Giaotiep.Anhshortthongbao_XuBen.5018_CVS_HuyLG_040825")</f>
        <v>UnitedStates.Giaotiep.Anhshortthongbao_XuBen.5018_CVS_HuyLG_040825</v>
      </c>
      <c r="R392" s="67" t="str">
        <f>IFERROR(__xludf.DUMMYFUNCTION("""COMPUTED_VALUE"""),"NEW_UnitedStates_1840_none_040825")</f>
        <v>NEW_UnitedStates_1840_none_040825</v>
      </c>
      <c r="S392" s="67" t="str">
        <f>IFERROR(__xludf.DUMMYFUNCTION("""COMPUTED_VALUE"""),"saletructiep_UnitedStates.Giaotiep.Anhshortthongbao.1840_TATTP_LD245")</f>
        <v>saletructiep_UnitedStates.Giaotiep.Anhshortthongbao.1840_TATTP_LD245</v>
      </c>
      <c r="T392" s="107" t="str">
        <f>IFERROR(__xludf.DUMMYFUNCTION("""COMPUTED_VALUE"""),"https://patadovietnam.edu.vn/hlg1907/?utm_source=Facebook&amp;utm_medium=CVS&amp;utm_term=NEW_UnitedStates_1840_none_040825&amp;utm_content=saletructiep_UnitedStates.Giaotiep.Anhshortthongbao.1840_TATTP_LD245&amp;utm_campaign=UnitedStates.Giaotiep.Anhshortthongbao_XuBen."&amp;"5018_CVS_HuyLG_040825")</f>
        <v>https://patadovietnam.edu.vn/hlg1907/?utm_source=Facebook&amp;utm_medium=CVS&amp;utm_term=NEW_UnitedStates_1840_none_040825&amp;utm_content=saletructiep_UnitedStates.Giaotiep.Anhshortthongbao.1840_TATTP_LD245&amp;utm_campaign=UnitedStates.Giaotiep.Anhshortthongbao_XuBen.5018_CVS_HuyLG_040825</v>
      </c>
      <c r="U392" s="110" t="s">
        <v>5668</v>
      </c>
    </row>
    <row r="393">
      <c r="A393" s="72">
        <v>45884.0</v>
      </c>
      <c r="B393" s="60" t="s">
        <v>5622</v>
      </c>
      <c r="C393" s="67" t="str">
        <f>IFERROR(__xludf.DUMMYFUNCTION("""COMPUTED_VALUE"""),"LD245")</f>
        <v>LD245</v>
      </c>
      <c r="D393" s="55" t="s">
        <v>42</v>
      </c>
      <c r="E393" s="55" t="s">
        <v>79</v>
      </c>
      <c r="F393" s="55" t="s">
        <v>164</v>
      </c>
      <c r="G393" s="55">
        <v>1840.0</v>
      </c>
      <c r="H393" s="55" t="s">
        <v>1131</v>
      </c>
      <c r="I393" s="55" t="s">
        <v>5670</v>
      </c>
      <c r="J393" s="55" t="s">
        <v>5671</v>
      </c>
      <c r="K393" s="55" t="s">
        <v>61</v>
      </c>
      <c r="L393" s="143" t="s">
        <v>317</v>
      </c>
      <c r="M393" s="55" t="s">
        <v>78</v>
      </c>
      <c r="N393" s="55" t="s">
        <v>79</v>
      </c>
      <c r="O393" s="55" t="s">
        <v>910</v>
      </c>
      <c r="P393" s="55" t="s">
        <v>110</v>
      </c>
      <c r="Q393" s="67" t="str">
        <f>IFERROR(__xludf.DUMMYFUNCTION("""COMPUTED_VALUE"""),"Taiwan.giaotiep.M511_XuBen.5018_MES_HuyLG_150825")</f>
        <v>Taiwan.giaotiep.M511_XuBen.5018_MES_HuyLG_150825</v>
      </c>
      <c r="R393" s="67" t="str">
        <f>IFERROR(__xludf.DUMMYFUNCTION("""COMPUTED_VALUE"""),"NEW_Taiwan_1840_none_150825")</f>
        <v>NEW_Taiwan_1840_none_150825</v>
      </c>
      <c r="S393" s="67" t="str">
        <f>IFERROR(__xludf.DUMMYFUNCTION("""COMPUTED_VALUE"""),"saletructiep_Taiwan.giaotiep.M511.2040_TATTP_LD245")</f>
        <v>saletructiep_Taiwan.giaotiep.M511.2040_TATTP_LD245</v>
      </c>
      <c r="T393" s="107" t="str">
        <f>IFERROR(__xludf.DUMMYFUNCTION("""COMPUTED_VALUE"""),"https://patadovietnam.edu.vn/hlg1907/?utm_source=Facebook&amp;utm_medium=MES&amp;utm_term=NEW_Taiwan_1840_none_150825&amp;utm_content=saletructiep_Taiwan.giaotiep.M511.2040_TATTP_LD245&amp;utm_campaign=Taiwan.giaotiep.M511_XuBen.5018_MES_HuyLG_150825")</f>
        <v>https://patadovietnam.edu.vn/hlg1907/?utm_source=Facebook&amp;utm_medium=MES&amp;utm_term=NEW_Taiwan_1840_none_150825&amp;utm_content=saletructiep_Taiwan.giaotiep.M511.2040_TATTP_LD245&amp;utm_campaign=Taiwan.giaotiep.M511_XuBen.5018_MES_HuyLG_150825</v>
      </c>
      <c r="U393" s="110" t="s">
        <v>5677</v>
      </c>
    </row>
    <row r="394">
      <c r="A394" s="72">
        <v>45884.0</v>
      </c>
      <c r="B394" s="60" t="s">
        <v>5622</v>
      </c>
      <c r="C394" s="67" t="str">
        <f>IFERROR(__xludf.DUMMYFUNCTION("""COMPUTED_VALUE"""),"LD245")</f>
        <v>LD245</v>
      </c>
      <c r="D394" s="55" t="s">
        <v>42</v>
      </c>
      <c r="E394" s="55" t="s">
        <v>69</v>
      </c>
      <c r="F394" s="55" t="s">
        <v>258</v>
      </c>
      <c r="G394" s="55">
        <v>1840.0</v>
      </c>
      <c r="H394" s="55" t="s">
        <v>1131</v>
      </c>
      <c r="I394" s="55" t="s">
        <v>5679</v>
      </c>
      <c r="J394" s="55" t="s">
        <v>5680</v>
      </c>
      <c r="K394" s="55" t="s">
        <v>61</v>
      </c>
      <c r="L394" s="143" t="s">
        <v>317</v>
      </c>
      <c r="M394" s="55" t="s">
        <v>78</v>
      </c>
      <c r="N394" s="55" t="s">
        <v>69</v>
      </c>
      <c r="O394" s="55" t="s">
        <v>910</v>
      </c>
      <c r="P394" s="55" t="s">
        <v>110</v>
      </c>
      <c r="Q394" s="67" t="str">
        <f>IFERROR(__xludf.DUMMYFUNCTION("""COMPUTED_VALUE"""),"Germany.giaotiep.M496_XuBen.5018_CVS_HuyLG_150825")</f>
        <v>Germany.giaotiep.M496_XuBen.5018_CVS_HuyLG_150825</v>
      </c>
      <c r="R394" s="67" t="str">
        <f>IFERROR(__xludf.DUMMYFUNCTION("""COMPUTED_VALUE"""),"NEW_Germany_1840_none_150825")</f>
        <v>NEW_Germany_1840_none_150825</v>
      </c>
      <c r="S394" s="67" t="str">
        <f>IFERROR(__xludf.DUMMYFUNCTION("""COMPUTED_VALUE"""),"saletructiep_Germany.giaotiep.M496.2040_TATTP_LD245")</f>
        <v>saletructiep_Germany.giaotiep.M496.2040_TATTP_LD245</v>
      </c>
      <c r="T394" s="107" t="str">
        <f>IFERROR(__xludf.DUMMYFUNCTION("""COMPUTED_VALUE"""),"https://patadovietnam.edu.vn/hlg1907/?utm_source=Facebook&amp;utm_medium=CVS&amp;utm_term=NEW_Germany_1840_none_150825&amp;utm_content=saletructiep_Germany.giaotiep.M496.2040_TATTP_LD245&amp;utm_campaign=Germany.giaotiep.M496_XuBen.5018_CVS_HuyLG_150825")</f>
        <v>https://patadovietnam.edu.vn/hlg1907/?utm_source=Facebook&amp;utm_medium=CVS&amp;utm_term=NEW_Germany_1840_none_150825&amp;utm_content=saletructiep_Germany.giaotiep.M496.2040_TATTP_LD245&amp;utm_campaign=Germany.giaotiep.M496_XuBen.5018_CVS_HuyLG_150825</v>
      </c>
      <c r="U394" s="110" t="s">
        <v>5686</v>
      </c>
    </row>
    <row r="395">
      <c r="A395" s="72">
        <v>45884.0</v>
      </c>
      <c r="B395" s="60" t="s">
        <v>5622</v>
      </c>
      <c r="C395" s="67" t="str">
        <f>IFERROR(__xludf.DUMMYFUNCTION("""COMPUTED_VALUE"""),"LD245")</f>
        <v>LD245</v>
      </c>
      <c r="D395" s="55" t="s">
        <v>42</v>
      </c>
      <c r="E395" s="55" t="s">
        <v>79</v>
      </c>
      <c r="F395" s="55" t="s">
        <v>272</v>
      </c>
      <c r="G395" s="55">
        <v>1840.0</v>
      </c>
      <c r="H395" s="55" t="s">
        <v>1131</v>
      </c>
      <c r="I395" s="55" t="s">
        <v>5689</v>
      </c>
      <c r="J395" s="55" t="s">
        <v>5690</v>
      </c>
      <c r="K395" s="55" t="s">
        <v>61</v>
      </c>
      <c r="L395" s="55" t="s">
        <v>5437</v>
      </c>
      <c r="M395" s="55" t="s">
        <v>78</v>
      </c>
      <c r="N395" s="55" t="s">
        <v>79</v>
      </c>
      <c r="O395" s="55" t="s">
        <v>910</v>
      </c>
      <c r="P395" s="55" t="s">
        <v>110</v>
      </c>
      <c r="Q395" s="67" t="str">
        <f>IFERROR(__xludf.DUMMYFUNCTION("""COMPUTED_VALUE"""),"France.giaotiep.M496_LH3645_MES_HuyLG_150825")</f>
        <v>France.giaotiep.M496_LH3645_MES_HuyLG_150825</v>
      </c>
      <c r="R395" s="67" t="str">
        <f>IFERROR(__xludf.DUMMYFUNCTION("""COMPUTED_VALUE"""),"NEW_France_1840_none_150825")</f>
        <v>NEW_France_1840_none_150825</v>
      </c>
      <c r="S395" s="67" t="str">
        <f>IFERROR(__xludf.DUMMYFUNCTION("""COMPUTED_VALUE"""),"saletructiep_France.giaotiep.M496.2040_TATTP_LD245")</f>
        <v>saletructiep_France.giaotiep.M496.2040_TATTP_LD245</v>
      </c>
      <c r="T395" s="107" t="str">
        <f>IFERROR(__xludf.DUMMYFUNCTION("""COMPUTED_VALUE"""),"https://patadovietnam.edu.vn/hlg1907/?utm_source=Facebook&amp;utm_medium=MES&amp;utm_term=NEW_France_1840_none_150825&amp;utm_content=saletructiep_France.giaotiep.M496.2040_TATTP_LD245&amp;utm_campaign=France.giaotiep.M496_LH3645_MES_HuyLG_150825")</f>
        <v>https://patadovietnam.edu.vn/hlg1907/?utm_source=Facebook&amp;utm_medium=MES&amp;utm_term=NEW_France_1840_none_150825&amp;utm_content=saletructiep_France.giaotiep.M496.2040_TATTP_LD245&amp;utm_campaign=France.giaotiep.M496_LH3645_MES_HuyLG_150825</v>
      </c>
      <c r="U395" s="110" t="s">
        <v>5697</v>
      </c>
    </row>
    <row r="396">
      <c r="A396" s="72">
        <v>45884.0</v>
      </c>
      <c r="B396" s="60" t="s">
        <v>5622</v>
      </c>
      <c r="C396" s="67" t="str">
        <f>IFERROR(__xludf.DUMMYFUNCTION("""COMPUTED_VALUE"""),"LD245")</f>
        <v>LD245</v>
      </c>
      <c r="D396" s="55" t="s">
        <v>42</v>
      </c>
      <c r="E396" s="55" t="s">
        <v>79</v>
      </c>
      <c r="F396" s="55" t="s">
        <v>164</v>
      </c>
      <c r="G396" s="55">
        <v>1840.0</v>
      </c>
      <c r="H396" s="55" t="s">
        <v>1131</v>
      </c>
      <c r="I396" s="55" t="s">
        <v>5702</v>
      </c>
      <c r="J396" s="55" t="s">
        <v>5703</v>
      </c>
      <c r="K396" s="55" t="s">
        <v>61</v>
      </c>
      <c r="L396" s="143" t="s">
        <v>317</v>
      </c>
      <c r="M396" s="55" t="s">
        <v>78</v>
      </c>
      <c r="N396" s="55" t="s">
        <v>79</v>
      </c>
      <c r="O396" s="55" t="s">
        <v>415</v>
      </c>
      <c r="P396" s="55" t="s">
        <v>110</v>
      </c>
      <c r="Q396" s="67" t="str">
        <f>IFERROR(__xludf.DUMMYFUNCTION("""COMPUTED_VALUE"""),"Taiwan.giaotiep.M496_XuBen.5018_MES_HuyLG_150825")</f>
        <v>Taiwan.giaotiep.M496_XuBen.5018_MES_HuyLG_150825</v>
      </c>
      <c r="R396" s="67" t="str">
        <f>IFERROR(__xludf.DUMMYFUNCTION("""COMPUTED_VALUE"""),"NEW_Taiwan_1840_none_150825")</f>
        <v>NEW_Taiwan_1840_none_150825</v>
      </c>
      <c r="S396" s="67" t="str">
        <f>IFERROR(__xludf.DUMMYFUNCTION("""COMPUTED_VALUE"""),"saletructiep_Taiwan.giaotiep.M496.2040_TATTPVN_LD245")</f>
        <v>saletructiep_Taiwan.giaotiep.M496.2040_TATTPVN_LD245</v>
      </c>
      <c r="T396" s="107" t="str">
        <f>IFERROR(__xludf.DUMMYFUNCTION("""COMPUTED_VALUE"""),"https://patadovietnam.edu.vn/hlg1907/?utm_source=Facebook&amp;utm_medium=MES&amp;utm_term=NEW_Taiwan_1840_none_150825&amp;utm_content=saletructiep_Taiwan.giaotiep.M496.2040_TATTPVN_LD245&amp;utm_campaign=Taiwan.giaotiep.M496_XuBen.5018_MES_HuyLG_150825")</f>
        <v>https://patadovietnam.edu.vn/hlg1907/?utm_source=Facebook&amp;utm_medium=MES&amp;utm_term=NEW_Taiwan_1840_none_150825&amp;utm_content=saletructiep_Taiwan.giaotiep.M496.2040_TATTPVN_LD245&amp;utm_campaign=Taiwan.giaotiep.M496_XuBen.5018_MES_HuyLG_150825</v>
      </c>
      <c r="U396" s="110" t="s">
        <v>5710</v>
      </c>
    </row>
    <row r="397">
      <c r="A397" s="72">
        <v>45890.0</v>
      </c>
      <c r="B397" s="133" t="s">
        <v>5729</v>
      </c>
      <c r="C397" s="67" t="str">
        <f>IFERROR(__xludf.DUMMYFUNCTION("""COMPUTED_VALUE"""),"LD247")</f>
        <v>LD247</v>
      </c>
      <c r="D397" s="55" t="s">
        <v>42</v>
      </c>
      <c r="E397" s="55" t="s">
        <v>69</v>
      </c>
      <c r="F397" s="55" t="s">
        <v>674</v>
      </c>
      <c r="G397" s="55">
        <v>1840.0</v>
      </c>
      <c r="H397" s="55" t="s">
        <v>1131</v>
      </c>
      <c r="I397" s="55" t="s">
        <v>5730</v>
      </c>
      <c r="J397" s="55" t="s">
        <v>5731</v>
      </c>
      <c r="K397" s="55" t="s">
        <v>61</v>
      </c>
      <c r="L397" s="143" t="s">
        <v>317</v>
      </c>
      <c r="M397" s="55" t="s">
        <v>78</v>
      </c>
      <c r="N397" s="55" t="s">
        <v>69</v>
      </c>
      <c r="O397" s="55" t="s">
        <v>910</v>
      </c>
      <c r="P397" s="55" t="s">
        <v>110</v>
      </c>
      <c r="Q397" s="67" t="str">
        <f>IFERROR(__xludf.DUMMYFUNCTION("""COMPUTED_VALUE"""),"Europe.Giaotiep.M511_XuBen.5018_CVS_HuyLG_210825")</f>
        <v>Europe.Giaotiep.M511_XuBen.5018_CVS_HuyLG_210825</v>
      </c>
      <c r="R397" s="67" t="str">
        <f>IFERROR(__xludf.DUMMYFUNCTION("""COMPUTED_VALUE"""),"NEW_Europe_1840_none_210825")</f>
        <v>NEW_Europe_1840_none_210825</v>
      </c>
      <c r="S397" s="67" t="str">
        <f>IFERROR(__xludf.DUMMYFUNCTION("""COMPUTED_VALUE"""),"saletructiep_Europe.Giaotiep.M511.2040_TATTP_LD247")</f>
        <v>saletructiep_Europe.Giaotiep.M511.2040_TATTP_LD247</v>
      </c>
      <c r="T397" s="107" t="str">
        <f>IFERROR(__xludf.DUMMYFUNCTION("""COMPUTED_VALUE"""),"https://patadovietnam.edu.vn/hlg1908/?utm_source=Facebook&amp;utm_medium=CVS&amp;utm_term=NEW_Europe_1840_none_210825&amp;utm_content=saletructiep_Europe.Giaotiep.M511.2040_TATTP_LD247&amp;utm_campaign=Europe.Giaotiep.M511_XuBen.5018_CVS_HuyLG_210825")</f>
        <v>https://patadovietnam.edu.vn/hlg1908/?utm_source=Facebook&amp;utm_medium=CVS&amp;utm_term=NEW_Europe_1840_none_210825&amp;utm_content=saletructiep_Europe.Giaotiep.M511.2040_TATTP_LD247&amp;utm_campaign=Europe.Giaotiep.M511_XuBen.5018_CVS_HuyLG_210825</v>
      </c>
      <c r="U397" s="110" t="s">
        <v>5738</v>
      </c>
    </row>
    <row r="398">
      <c r="A398" s="72">
        <v>45890.0</v>
      </c>
      <c r="B398" s="133" t="s">
        <v>5729</v>
      </c>
      <c r="C398" s="67" t="str">
        <f>IFERROR(__xludf.DUMMYFUNCTION("""COMPUTED_VALUE"""),"LD247")</f>
        <v>LD247</v>
      </c>
      <c r="D398" s="55" t="s">
        <v>42</v>
      </c>
      <c r="E398" s="55" t="s">
        <v>79</v>
      </c>
      <c r="F398" s="55" t="s">
        <v>133</v>
      </c>
      <c r="G398" s="55">
        <v>1840.0</v>
      </c>
      <c r="H398" s="55" t="s">
        <v>1131</v>
      </c>
      <c r="I398" s="55" t="s">
        <v>5741</v>
      </c>
      <c r="J398" s="55" t="s">
        <v>5742</v>
      </c>
      <c r="K398" s="55" t="s">
        <v>61</v>
      </c>
      <c r="L398" s="143" t="s">
        <v>317</v>
      </c>
      <c r="M398" s="55" t="s">
        <v>78</v>
      </c>
      <c r="N398" s="55" t="s">
        <v>79</v>
      </c>
      <c r="O398" s="55" t="s">
        <v>910</v>
      </c>
      <c r="P398" s="55" t="s">
        <v>110</v>
      </c>
      <c r="Q398" s="67" t="str">
        <f>IFERROR(__xludf.DUMMYFUNCTION("""COMPUTED_VALUE"""),"Japan.Giaotiep.M64_XuBen.5018_MES_HuyLG_210825")</f>
        <v>Japan.Giaotiep.M64_XuBen.5018_MES_HuyLG_210825</v>
      </c>
      <c r="R398" s="67" t="str">
        <f>IFERROR(__xludf.DUMMYFUNCTION("""COMPUTED_VALUE"""),"NEW_Japan_1840_none_210825")</f>
        <v>NEW_Japan_1840_none_210825</v>
      </c>
      <c r="S398" s="67" t="str">
        <f>IFERROR(__xludf.DUMMYFUNCTION("""COMPUTED_VALUE"""),"saletructiep_Japan.Giaotiep.M64.2040_TATTP_LD247")</f>
        <v>saletructiep_Japan.Giaotiep.M64.2040_TATTP_LD247</v>
      </c>
      <c r="T398" s="107" t="str">
        <f>IFERROR(__xludf.DUMMYFUNCTION("""COMPUTED_VALUE"""),"https://patadovietnam.edu.vn/hlg1908/?utm_source=Facebook&amp;utm_medium=MES&amp;utm_term=NEW_Japan_1840_none_210825&amp;utm_content=saletructiep_Japan.Giaotiep.M64.2040_TATTP_LD247&amp;utm_campaign=Japan.Giaotiep.M64_XuBen.5018_MES_HuyLG_210825")</f>
        <v>https://patadovietnam.edu.vn/hlg1908/?utm_source=Facebook&amp;utm_medium=MES&amp;utm_term=NEW_Japan_1840_none_210825&amp;utm_content=saletructiep_Japan.Giaotiep.M64.2040_TATTP_LD247&amp;utm_campaign=Japan.Giaotiep.M64_XuBen.5018_MES_HuyLG_210825</v>
      </c>
      <c r="U398" s="110" t="s">
        <v>5748</v>
      </c>
    </row>
    <row r="399">
      <c r="A399" s="72">
        <v>45918.0</v>
      </c>
      <c r="B399" s="75" t="s">
        <v>5752</v>
      </c>
      <c r="C399" s="67" t="str">
        <f>IFERROR(__xludf.DUMMYFUNCTION("""COMPUTED_VALUE"""),"LD249")</f>
        <v>LD249</v>
      </c>
      <c r="D399" s="55" t="s">
        <v>42</v>
      </c>
      <c r="E399" s="55" t="s">
        <v>69</v>
      </c>
      <c r="F399" s="55" t="s">
        <v>133</v>
      </c>
      <c r="G399" s="55">
        <v>1840.0</v>
      </c>
      <c r="H399" s="55" t="s">
        <v>1131</v>
      </c>
      <c r="I399" s="55" t="s">
        <v>5756</v>
      </c>
      <c r="J399" s="55" t="s">
        <v>5757</v>
      </c>
      <c r="K399" s="55" t="s">
        <v>61</v>
      </c>
      <c r="L399" s="143" t="s">
        <v>317</v>
      </c>
      <c r="M399" s="55" t="s">
        <v>78</v>
      </c>
      <c r="N399" s="55" t="s">
        <v>69</v>
      </c>
      <c r="O399" s="55" t="s">
        <v>910</v>
      </c>
      <c r="P399" s="55" t="s">
        <v>110</v>
      </c>
      <c r="Q399" s="67" t="str">
        <f>IFERROR(__xludf.DUMMYFUNCTION("""COMPUTED_VALUE"""),"Japan.Giaotiep.M520_XuBen.5018_CVS_HuyLG_180925")</f>
        <v>Japan.Giaotiep.M520_XuBen.5018_CVS_HuyLG_180925</v>
      </c>
      <c r="R399" s="67" t="str">
        <f>IFERROR(__xludf.DUMMYFUNCTION("""COMPUTED_VALUE"""),"NEW_Japan_1840_none_180925")</f>
        <v>NEW_Japan_1840_none_180925</v>
      </c>
      <c r="S399" s="67" t="str">
        <f>IFERROR(__xludf.DUMMYFUNCTION("""COMPUTED_VALUE"""),"saletructiep_Japan.Giaotiep.M520.2040_TATTP_LD249")</f>
        <v>saletructiep_Japan.Giaotiep.M520.2040_TATTP_LD249</v>
      </c>
      <c r="T399" s="107" t="str">
        <f>IFERROR(__xludf.DUMMYFUNCTION("""COMPUTED_VALUE"""),"https://patadovietnam.edu.vn/hlg1709/?utm_source=Facebook&amp;utm_medium=CVS&amp;utm_term=NEW_Japan_1840_none_180925&amp;utm_content=saletructiep_Japan.Giaotiep.M520.2040_TATTP_LD249&amp;utm_campaign=Japan.Giaotiep.M520_XuBen.5018_CVS_HuyLG_180925")</f>
        <v>https://patadovietnam.edu.vn/hlg1709/?utm_source=Facebook&amp;utm_medium=CVS&amp;utm_term=NEW_Japan_1840_none_180925&amp;utm_content=saletructiep_Japan.Giaotiep.M520.2040_TATTP_LD249&amp;utm_campaign=Japan.Giaotiep.M520_XuBen.5018_CVS_HuyLG_180925</v>
      </c>
      <c r="U399" s="110" t="s">
        <v>5763</v>
      </c>
    </row>
    <row r="400">
      <c r="A400" s="72">
        <v>45918.0</v>
      </c>
      <c r="B400" s="75" t="s">
        <v>5752</v>
      </c>
      <c r="C400" s="67" t="str">
        <f>IFERROR(__xludf.DUMMYFUNCTION("""COMPUTED_VALUE"""),"LD249")</f>
        <v>LD249</v>
      </c>
      <c r="D400" s="55" t="s">
        <v>42</v>
      </c>
      <c r="E400" s="55" t="s">
        <v>69</v>
      </c>
      <c r="F400" s="55" t="s">
        <v>674</v>
      </c>
      <c r="G400" s="55">
        <v>1840.0</v>
      </c>
      <c r="H400" s="55" t="s">
        <v>1131</v>
      </c>
      <c r="I400" s="55" t="s">
        <v>5765</v>
      </c>
      <c r="J400" s="55" t="s">
        <v>5766</v>
      </c>
      <c r="K400" s="55" t="s">
        <v>61</v>
      </c>
      <c r="L400" s="143" t="s">
        <v>317</v>
      </c>
      <c r="M400" s="55" t="s">
        <v>78</v>
      </c>
      <c r="N400" s="55" t="s">
        <v>69</v>
      </c>
      <c r="O400" s="55" t="s">
        <v>910</v>
      </c>
      <c r="P400" s="55" t="s">
        <v>110</v>
      </c>
      <c r="Q400" s="67" t="str">
        <f>IFERROR(__xludf.DUMMYFUNCTION("""COMPUTED_VALUE"""),"Europe.Giaotiep.M520_XuBen.5018_CVS_HuyLG_180925")</f>
        <v>Europe.Giaotiep.M520_XuBen.5018_CVS_HuyLG_180925</v>
      </c>
      <c r="R400" s="67" t="str">
        <f>IFERROR(__xludf.DUMMYFUNCTION("""COMPUTED_VALUE"""),"NEW_Europe_1840_none_180925")</f>
        <v>NEW_Europe_1840_none_180925</v>
      </c>
      <c r="S400" s="67" t="str">
        <f>IFERROR(__xludf.DUMMYFUNCTION("""COMPUTED_VALUE"""),"saletructiep_Europe.Giaotiep.M520.2040_TATTP_LD249")</f>
        <v>saletructiep_Europe.Giaotiep.M520.2040_TATTP_LD249</v>
      </c>
      <c r="T400" s="107" t="str">
        <f>IFERROR(__xludf.DUMMYFUNCTION("""COMPUTED_VALUE"""),"https://patadovietnam.edu.vn/hlg1709/?utm_source=Facebook&amp;utm_medium=CVS&amp;utm_term=NEW_Europe_1840_none_180925&amp;utm_content=saletructiep_Europe.Giaotiep.M520.2040_TATTP_LD249&amp;utm_campaign=Europe.Giaotiep.M520_XuBen.5018_CVS_HuyLG_180925")</f>
        <v>https://patadovietnam.edu.vn/hlg1709/?utm_source=Facebook&amp;utm_medium=CVS&amp;utm_term=NEW_Europe_1840_none_180925&amp;utm_content=saletructiep_Europe.Giaotiep.M520.2040_TATTP_LD249&amp;utm_campaign=Europe.Giaotiep.M520_XuBen.5018_CVS_HuyLG_180925</v>
      </c>
      <c r="U400" s="110" t="s">
        <v>5771</v>
      </c>
    </row>
    <row r="401">
      <c r="A401" s="72">
        <v>45918.0</v>
      </c>
      <c r="B401" s="75" t="s">
        <v>5752</v>
      </c>
      <c r="C401" s="67" t="str">
        <f>IFERROR(__xludf.DUMMYFUNCTION("""COMPUTED_VALUE"""),"LD249")</f>
        <v>LD249</v>
      </c>
      <c r="D401" s="55" t="s">
        <v>42</v>
      </c>
      <c r="E401" s="55" t="s">
        <v>69</v>
      </c>
      <c r="F401" s="55" t="s">
        <v>107</v>
      </c>
      <c r="G401" s="55">
        <v>1840.0</v>
      </c>
      <c r="H401" s="55" t="s">
        <v>1131</v>
      </c>
      <c r="I401" s="55" t="s">
        <v>5776</v>
      </c>
      <c r="J401" s="55" t="s">
        <v>5777</v>
      </c>
      <c r="K401" s="55" t="s">
        <v>61</v>
      </c>
      <c r="L401" s="143" t="s">
        <v>317</v>
      </c>
      <c r="M401" s="55" t="s">
        <v>78</v>
      </c>
      <c r="N401" s="55" t="s">
        <v>69</v>
      </c>
      <c r="O401" s="55" t="s">
        <v>910</v>
      </c>
      <c r="P401" s="55" t="s">
        <v>110</v>
      </c>
      <c r="Q401" s="67" t="str">
        <f>IFERROR(__xludf.DUMMYFUNCTION("""COMPUTED_VALUE"""),"UnitedStates.Giaotiep.M520_XuBen.5018_CVS_HuyLG_180925")</f>
        <v>UnitedStates.Giaotiep.M520_XuBen.5018_CVS_HuyLG_180925</v>
      </c>
      <c r="R401" s="67" t="str">
        <f>IFERROR(__xludf.DUMMYFUNCTION("""COMPUTED_VALUE"""),"NEW_UnitedStates_1840_none_180925")</f>
        <v>NEW_UnitedStates_1840_none_180925</v>
      </c>
      <c r="S401" s="67" t="str">
        <f>IFERROR(__xludf.DUMMYFUNCTION("""COMPUTED_VALUE"""),"saletructiep_UnitedStates.Giaotiep.M520.2040_TATTP_LD249")</f>
        <v>saletructiep_UnitedStates.Giaotiep.M520.2040_TATTP_LD249</v>
      </c>
      <c r="T401" s="107" t="str">
        <f>IFERROR(__xludf.DUMMYFUNCTION("""COMPUTED_VALUE"""),"https://patadovietnam.edu.vn/hlg1709/?utm_source=Facebook&amp;utm_medium=CVS&amp;utm_term=NEW_UnitedStates_1840_none_180925&amp;utm_content=saletructiep_UnitedStates.Giaotiep.M520.2040_TATTP_LD249&amp;utm_campaign=UnitedStates.Giaotiep.M520_XuBen.5018_CVS_HuyLG_180925")</f>
        <v>https://patadovietnam.edu.vn/hlg1709/?utm_source=Facebook&amp;utm_medium=CVS&amp;utm_term=NEW_UnitedStates_1840_none_180925&amp;utm_content=saletructiep_UnitedStates.Giaotiep.M520.2040_TATTP_LD249&amp;utm_campaign=UnitedStates.Giaotiep.M520_XuBen.5018_CVS_HuyLG_180925</v>
      </c>
      <c r="U401" s="110" t="s">
        <v>5781</v>
      </c>
    </row>
    <row r="402">
      <c r="A402" s="72">
        <v>45980.0</v>
      </c>
      <c r="B402" s="133" t="s">
        <v>5729</v>
      </c>
      <c r="C402" s="67" t="str">
        <f>IFERROR(__xludf.DUMMYFUNCTION("""COMPUTED_VALUE"""),"LD247")</f>
        <v>LD247</v>
      </c>
      <c r="D402" s="55" t="s">
        <v>42</v>
      </c>
      <c r="E402" s="55" t="s">
        <v>79</v>
      </c>
      <c r="F402" s="55" t="s">
        <v>674</v>
      </c>
      <c r="G402" s="55">
        <v>1840.0</v>
      </c>
      <c r="H402" s="55" t="s">
        <v>1131</v>
      </c>
      <c r="I402" s="55" t="s">
        <v>5785</v>
      </c>
      <c r="J402" s="55" t="s">
        <v>5786</v>
      </c>
      <c r="K402" s="55" t="s">
        <v>61</v>
      </c>
      <c r="L402" s="143" t="s">
        <v>317</v>
      </c>
      <c r="M402" s="55" t="s">
        <v>78</v>
      </c>
      <c r="N402" s="55" t="s">
        <v>79</v>
      </c>
      <c r="O402" s="55" t="s">
        <v>415</v>
      </c>
      <c r="P402" s="55" t="s">
        <v>110</v>
      </c>
      <c r="Q402" s="67" t="str">
        <f>IFERROR(__xludf.DUMMYFUNCTION("""COMPUTED_VALUE"""),"Europe.Giaotiep.M581_XuBen.5018_MES_HuyLG_191125")</f>
        <v>Europe.Giaotiep.M581_XuBen.5018_MES_HuyLG_191125</v>
      </c>
      <c r="R402" s="67" t="str">
        <f>IFERROR(__xludf.DUMMYFUNCTION("""COMPUTED_VALUE"""),"NEW_Europe_1840_none_191125")</f>
        <v>NEW_Europe_1840_none_191125</v>
      </c>
      <c r="S402" s="67" t="str">
        <f>IFERROR(__xludf.DUMMYFUNCTION("""COMPUTED_VALUE"""),"saletructiep_Europe.Giaotiep.M581.2040_TATTPVN_LD247")</f>
        <v>saletructiep_Europe.Giaotiep.M581.2040_TATTPVN_LD247</v>
      </c>
      <c r="T402" s="107" t="str">
        <f>IFERROR(__xludf.DUMMYFUNCTION("""COMPUTED_VALUE"""),"https://patadovietnam.edu.vn/hlg1908/?utm_source=Facebook&amp;utm_medium=MES&amp;utm_term=NEW_Europe_1840_none_191125&amp;utm_content=saletructiep_Europe.Giaotiep.M581.2040_TATTPVN_LD247&amp;utm_campaign=Europe.Giaotiep.M581_XuBen.5018_MES_HuyLG_191125")</f>
        <v>https://patadovietnam.edu.vn/hlg1908/?utm_source=Facebook&amp;utm_medium=MES&amp;utm_term=NEW_Europe_1840_none_191125&amp;utm_content=saletructiep_Europe.Giaotiep.M581.2040_TATTPVN_LD247&amp;utm_campaign=Europe.Giaotiep.M581_XuBen.5018_MES_HuyLG_191125</v>
      </c>
      <c r="U402" s="110" t="s">
        <v>5790</v>
      </c>
    </row>
    <row r="403">
      <c r="A403" s="72">
        <v>45980.0</v>
      </c>
      <c r="B403" s="133" t="s">
        <v>5729</v>
      </c>
      <c r="C403" s="67" t="str">
        <f>IFERROR(__xludf.DUMMYFUNCTION("""COMPUTED_VALUE"""),"LD247")</f>
        <v>LD247</v>
      </c>
      <c r="D403" s="55" t="s">
        <v>42</v>
      </c>
      <c r="E403" s="55" t="s">
        <v>79</v>
      </c>
      <c r="F403" s="55" t="s">
        <v>129</v>
      </c>
      <c r="G403" s="55">
        <v>1840.0</v>
      </c>
      <c r="H403" s="55" t="s">
        <v>1131</v>
      </c>
      <c r="I403" s="55" t="s">
        <v>5795</v>
      </c>
      <c r="J403" s="55" t="s">
        <v>5796</v>
      </c>
      <c r="K403" s="55" t="s">
        <v>61</v>
      </c>
      <c r="L403" s="143" t="s">
        <v>317</v>
      </c>
      <c r="M403" s="55" t="s">
        <v>78</v>
      </c>
      <c r="N403" s="55" t="s">
        <v>79</v>
      </c>
      <c r="O403" s="55" t="s">
        <v>415</v>
      </c>
      <c r="P403" s="55" t="s">
        <v>110</v>
      </c>
      <c r="Q403" s="67" t="str">
        <f>IFERROR(__xludf.DUMMYFUNCTION("""COMPUTED_VALUE"""),"Australia.Giaotiep.M581_XuBen.5018_MES_HuyLG_191125")</f>
        <v>Australia.Giaotiep.M581_XuBen.5018_MES_HuyLG_191125</v>
      </c>
      <c r="R403" s="67" t="str">
        <f>IFERROR(__xludf.DUMMYFUNCTION("""COMPUTED_VALUE"""),"NEW_Australia_1840_none_191125")</f>
        <v>NEW_Australia_1840_none_191125</v>
      </c>
      <c r="S403" s="67" t="str">
        <f>IFERROR(__xludf.DUMMYFUNCTION("""COMPUTED_VALUE"""),"saletructiep_Australia.Giaotiep.M581.2040_TATTPVN_LD247")</f>
        <v>saletructiep_Australia.Giaotiep.M581.2040_TATTPVN_LD247</v>
      </c>
      <c r="T403" s="107" t="str">
        <f>IFERROR(__xludf.DUMMYFUNCTION("""COMPUTED_VALUE"""),"https://patadovietnam.edu.vn/hlg1908/?utm_source=Facebook&amp;utm_medium=MES&amp;utm_term=NEW_Australia_1840_none_191125&amp;utm_content=saletructiep_Australia.Giaotiep.M581.2040_TATTPVN_LD247&amp;utm_campaign=Australia.Giaotiep.M581_XuBen.5018_MES_HuyLG_191125")</f>
        <v>https://patadovietnam.edu.vn/hlg1908/?utm_source=Facebook&amp;utm_medium=MES&amp;utm_term=NEW_Australia_1840_none_191125&amp;utm_content=saletructiep_Australia.Giaotiep.M581.2040_TATTPVN_LD247&amp;utm_campaign=Australia.Giaotiep.M581_XuBen.5018_MES_HuyLG_191125</v>
      </c>
      <c r="U403" s="110" t="s">
        <v>5802</v>
      </c>
    </row>
    <row r="404">
      <c r="A404" s="72">
        <v>45980.0</v>
      </c>
      <c r="B404" s="133" t="s">
        <v>5729</v>
      </c>
      <c r="C404" s="67" t="str">
        <f>IFERROR(__xludf.DUMMYFUNCTION("""COMPUTED_VALUE"""),"LD247")</f>
        <v>LD247</v>
      </c>
      <c r="D404" s="55" t="s">
        <v>42</v>
      </c>
      <c r="E404" s="55" t="s">
        <v>79</v>
      </c>
      <c r="F404" s="55" t="s">
        <v>133</v>
      </c>
      <c r="G404" s="55">
        <v>1840.0</v>
      </c>
      <c r="H404" s="55" t="s">
        <v>1131</v>
      </c>
      <c r="I404" s="55" t="s">
        <v>5808</v>
      </c>
      <c r="J404" s="55" t="s">
        <v>5808</v>
      </c>
      <c r="K404" s="55" t="s">
        <v>61</v>
      </c>
      <c r="L404" s="143" t="s">
        <v>317</v>
      </c>
      <c r="M404" s="55" t="s">
        <v>78</v>
      </c>
      <c r="N404" s="55" t="s">
        <v>79</v>
      </c>
      <c r="O404" s="55" t="s">
        <v>415</v>
      </c>
      <c r="P404" s="55" t="s">
        <v>110</v>
      </c>
      <c r="Q404" s="67" t="str">
        <f>IFERROR(__xludf.DUMMYFUNCTION("""COMPUTED_VALUE"""),"Japan.Giaotiep.M561.C423_XuBen.5018_MES_HuyLG_191125")</f>
        <v>Japan.Giaotiep.M561.C423_XuBen.5018_MES_HuyLG_191125</v>
      </c>
      <c r="R404" s="67" t="str">
        <f>IFERROR(__xludf.DUMMYFUNCTION("""COMPUTED_VALUE"""),"NEW_Japan_1840_none_191125")</f>
        <v>NEW_Japan_1840_none_191125</v>
      </c>
      <c r="S404" s="67" t="str">
        <f>IFERROR(__xludf.DUMMYFUNCTION("""COMPUTED_VALUE"""),"saletructiep_Japan.Giaotiep.M561.C423_TATTPVN_LD247")</f>
        <v>saletructiep_Japan.Giaotiep.M561.C423_TATTPVN_LD247</v>
      </c>
      <c r="T404" s="107" t="str">
        <f>IFERROR(__xludf.DUMMYFUNCTION("""COMPUTED_VALUE"""),"https://patadovietnam.edu.vn/hlg1908/?utm_source=Facebook&amp;utm_medium=MES&amp;utm_term=NEW_Japan_1840_none_191125&amp;utm_content=saletructiep_Japan.Giaotiep.M561.C423_TATTPVN_LD247&amp;utm_campaign=Japan.Giaotiep.M561.C423_XuBen.5018_MES_HuyLG_191125")</f>
        <v>https://patadovietnam.edu.vn/hlg1908/?utm_source=Facebook&amp;utm_medium=MES&amp;utm_term=NEW_Japan_1840_none_191125&amp;utm_content=saletructiep_Japan.Giaotiep.M561.C423_TATTPVN_LD247&amp;utm_campaign=Japan.Giaotiep.M561.C423_XuBen.5018_MES_HuyLG_191125</v>
      </c>
      <c r="U404" s="110" t="s">
        <v>5815</v>
      </c>
    </row>
    <row r="405">
      <c r="A405" s="72">
        <v>45980.0</v>
      </c>
      <c r="B405" s="133" t="s">
        <v>5729</v>
      </c>
      <c r="C405" s="67" t="str">
        <f>IFERROR(__xludf.DUMMYFUNCTION("""COMPUTED_VALUE"""),"LD247")</f>
        <v>LD247</v>
      </c>
      <c r="D405" s="55" t="s">
        <v>42</v>
      </c>
      <c r="E405" s="55" t="s">
        <v>79</v>
      </c>
      <c r="F405" s="55" t="s">
        <v>625</v>
      </c>
      <c r="G405" s="55">
        <v>1840.0</v>
      </c>
      <c r="H405" s="55" t="s">
        <v>1131</v>
      </c>
      <c r="I405" s="55" t="s">
        <v>5819</v>
      </c>
      <c r="J405" s="55" t="s">
        <v>5819</v>
      </c>
      <c r="K405" s="55" t="s">
        <v>61</v>
      </c>
      <c r="L405" s="143" t="s">
        <v>317</v>
      </c>
      <c r="M405" s="55" t="s">
        <v>78</v>
      </c>
      <c r="N405" s="55" t="s">
        <v>79</v>
      </c>
      <c r="O405" s="55" t="s">
        <v>415</v>
      </c>
      <c r="P405" s="55" t="s">
        <v>110</v>
      </c>
      <c r="Q405" s="67" t="str">
        <f>IFERROR(__xludf.DUMMYFUNCTION("""COMPUTED_VALUE"""),"KoreaSouth.Giaotiep.M559.C423_XuBen.5018_MES_HuyLG_191125")</f>
        <v>KoreaSouth.Giaotiep.M559.C423_XuBen.5018_MES_HuyLG_191125</v>
      </c>
      <c r="R405" s="67" t="str">
        <f>IFERROR(__xludf.DUMMYFUNCTION("""COMPUTED_VALUE"""),"NEW_KoreaSouth_1840_none_191125")</f>
        <v>NEW_KoreaSouth_1840_none_191125</v>
      </c>
      <c r="S405" s="67" t="str">
        <f>IFERROR(__xludf.DUMMYFUNCTION("""COMPUTED_VALUE"""),"saletructiep_KoreaSouth.Giaotiep.M559.C423_TATTPVN_LD247")</f>
        <v>saletructiep_KoreaSouth.Giaotiep.M559.C423_TATTPVN_LD247</v>
      </c>
      <c r="T405" s="120" t="str">
        <f>IFERROR(__xludf.DUMMYFUNCTION("""COMPUTED_VALUE"""),"https://patadovietnam.edu.vn/hlg1908/?utm_source=Facebook&amp;utm_medium=MES&amp;utm_term=NEW_KoreaSouth_1840_none_191125&amp;utm_content=saletructiep_KoreaSouth.Giaotiep.M559.C423_TATTPVN_LD247&amp;utm_campaign=KoreaSouth.Giaotiep.M559.C423_XuBen.5018_MES_HuyLG_191125")</f>
        <v>https://patadovietnam.edu.vn/hlg1908/?utm_source=Facebook&amp;utm_medium=MES&amp;utm_term=NEW_KoreaSouth_1840_none_191125&amp;utm_content=saletructiep_KoreaSouth.Giaotiep.M559.C423_TATTPVN_LD247&amp;utm_campaign=KoreaSouth.Giaotiep.M559.C423_XuBen.5018_MES_HuyLG_191125</v>
      </c>
      <c r="U405" s="110" t="s">
        <v>5823</v>
      </c>
    </row>
    <row r="406">
      <c r="A406" s="72">
        <v>45992.0</v>
      </c>
      <c r="B406" s="75" t="s">
        <v>5752</v>
      </c>
      <c r="C406" s="67" t="str">
        <f>IFERROR(__xludf.DUMMYFUNCTION("""COMPUTED_VALUE"""),"LD249")</f>
        <v>LD249</v>
      </c>
      <c r="D406" s="55" t="s">
        <v>42</v>
      </c>
      <c r="E406" s="55" t="s">
        <v>79</v>
      </c>
      <c r="F406" s="55" t="s">
        <v>107</v>
      </c>
      <c r="G406" s="55">
        <v>1840.0</v>
      </c>
      <c r="H406" s="55" t="s">
        <v>1131</v>
      </c>
      <c r="I406" s="55" t="s">
        <v>5828</v>
      </c>
      <c r="J406" s="55" t="s">
        <v>5829</v>
      </c>
      <c r="K406" s="55" t="s">
        <v>61</v>
      </c>
      <c r="L406" s="143" t="s">
        <v>317</v>
      </c>
      <c r="M406" s="55" t="s">
        <v>78</v>
      </c>
      <c r="N406" s="55" t="s">
        <v>79</v>
      </c>
      <c r="O406" s="55" t="s">
        <v>3271</v>
      </c>
      <c r="P406" s="55" t="s">
        <v>110</v>
      </c>
      <c r="Q406" s="67" t="str">
        <f>IFERROR(__xludf.DUMMYFUNCTION("""COMPUTED_VALUE"""),"UnitedStates.Giaotiep.M561.C423_XuBen.5018_MES_HuyLG_011225")</f>
        <v>UnitedStates.Giaotiep.M561.C423_XuBen.5018_MES_HuyLG_011225</v>
      </c>
      <c r="R406" s="67" t="str">
        <f>IFERROR(__xludf.DUMMYFUNCTION("""COMPUTED_VALUE"""),"NEW_UnitedStates_1840_none_011225")</f>
        <v>NEW_UnitedStates_1840_none_011225</v>
      </c>
      <c r="S406" s="67" t="str">
        <f>IFERROR(__xludf.DUMMYFUNCTION("""COMPUTED_VALUE"""),"saletructiep_UnitedStates.Giaotiep.M561.C423.2040_PGPGTTA_LD249")</f>
        <v>saletructiep_UnitedStates.Giaotiep.M561.C423.2040_PGPGTTA_LD249</v>
      </c>
      <c r="T406" s="107" t="str">
        <f>IFERROR(__xludf.DUMMYFUNCTION("""COMPUTED_VALUE"""),"https://patadovietnam.edu.vn/hlg1709/?utm_source=Facebook&amp;utm_medium=MES&amp;utm_term=NEW_UnitedStates_1840_none_011225&amp;utm_content=saletructiep_UnitedStates.Giaotiep.M561.C423.2040_PGPGTTA_LD249&amp;utm_campaign=UnitedStates.Giaotiep.M561.C423_XuBen.5018_MES_Huy"&amp;"LG_011225")</f>
        <v>https://patadovietnam.edu.vn/hlg1709/?utm_source=Facebook&amp;utm_medium=MES&amp;utm_term=NEW_UnitedStates_1840_none_011225&amp;utm_content=saletructiep_UnitedStates.Giaotiep.M561.C423.2040_PGPGTTA_LD249&amp;utm_campaign=UnitedStates.Giaotiep.M561.C423_XuBen.5018_MES_HuyLG_011225</v>
      </c>
      <c r="U406" s="110" t="s">
        <v>5832</v>
      </c>
    </row>
    <row r="407">
      <c r="A407" s="72">
        <v>45992.0</v>
      </c>
      <c r="B407" s="75" t="s">
        <v>5752</v>
      </c>
      <c r="C407" s="67" t="str">
        <f>IFERROR(__xludf.DUMMYFUNCTION("""COMPUTED_VALUE"""),"LD249")</f>
        <v>LD249</v>
      </c>
      <c r="D407" s="55" t="s">
        <v>42</v>
      </c>
      <c r="E407" s="55" t="s">
        <v>79</v>
      </c>
      <c r="F407" s="55" t="s">
        <v>129</v>
      </c>
      <c r="G407" s="55">
        <v>1840.0</v>
      </c>
      <c r="H407" s="55" t="s">
        <v>1131</v>
      </c>
      <c r="I407" s="55" t="s">
        <v>5858</v>
      </c>
      <c r="J407" s="55" t="s">
        <v>5858</v>
      </c>
      <c r="K407" s="55" t="s">
        <v>61</v>
      </c>
      <c r="L407" s="143" t="s">
        <v>317</v>
      </c>
      <c r="M407" s="55" t="s">
        <v>78</v>
      </c>
      <c r="N407" s="55" t="s">
        <v>79</v>
      </c>
      <c r="O407" s="55" t="s">
        <v>910</v>
      </c>
      <c r="P407" s="55" t="s">
        <v>110</v>
      </c>
      <c r="Q407" s="67" t="str">
        <f>IFERROR(__xludf.DUMMYFUNCTION("""COMPUTED_VALUE"""),"Australia.Giaotiep.M559.C423_XuBen.5018_MES_HuyLG_011225")</f>
        <v>Australia.Giaotiep.M559.C423_XuBen.5018_MES_HuyLG_011225</v>
      </c>
      <c r="R407" s="67" t="str">
        <f>IFERROR(__xludf.DUMMYFUNCTION("""COMPUTED_VALUE"""),"NEW_Australia_1840_none_011225")</f>
        <v>NEW_Australia_1840_none_011225</v>
      </c>
      <c r="S407" s="67" t="str">
        <f>IFERROR(__xludf.DUMMYFUNCTION("""COMPUTED_VALUE"""),"saletructiep_Australia.Giaotiep.M559.C423_TATTP_LD249")</f>
        <v>saletructiep_Australia.Giaotiep.M559.C423_TATTP_LD249</v>
      </c>
      <c r="T407" s="107" t="str">
        <f>IFERROR(__xludf.DUMMYFUNCTION("""COMPUTED_VALUE"""),"https://patadovietnam.edu.vn/hlg1709/?utm_source=Facebook&amp;utm_medium=MES&amp;utm_term=NEW_Australia_1840_none_011225&amp;utm_content=saletructiep_Australia.Giaotiep.M559.C423_TATTP_LD249&amp;utm_campaign=Australia.Giaotiep.M559.C423_XuBen.5018_MES_HuyLG_011225")</f>
        <v>https://patadovietnam.edu.vn/hlg1709/?utm_source=Facebook&amp;utm_medium=MES&amp;utm_term=NEW_Australia_1840_none_011225&amp;utm_content=saletructiep_Australia.Giaotiep.M559.C423_TATTP_LD249&amp;utm_campaign=Australia.Giaotiep.M559.C423_XuBen.5018_MES_HuyLG_011225</v>
      </c>
      <c r="U407" s="110" t="s">
        <v>5865</v>
      </c>
    </row>
    <row r="408">
      <c r="A408" s="72">
        <v>45992.0</v>
      </c>
      <c r="B408" s="75" t="s">
        <v>5752</v>
      </c>
      <c r="C408" s="67" t="str">
        <f>IFERROR(__xludf.DUMMYFUNCTION("""COMPUTED_VALUE"""),"LD249")</f>
        <v>LD249</v>
      </c>
      <c r="D408" s="55" t="s">
        <v>42</v>
      </c>
      <c r="E408" s="55" t="s">
        <v>79</v>
      </c>
      <c r="F408" s="55" t="s">
        <v>133</v>
      </c>
      <c r="G408" s="55">
        <v>1840.0</v>
      </c>
      <c r="H408" s="55" t="s">
        <v>1131</v>
      </c>
      <c r="I408" s="55" t="s">
        <v>5869</v>
      </c>
      <c r="J408" s="55" t="s">
        <v>5869</v>
      </c>
      <c r="K408" s="55" t="s">
        <v>61</v>
      </c>
      <c r="L408" s="143" t="s">
        <v>317</v>
      </c>
      <c r="M408" s="55" t="s">
        <v>78</v>
      </c>
      <c r="N408" s="55" t="s">
        <v>79</v>
      </c>
      <c r="O408" s="55" t="s">
        <v>910</v>
      </c>
      <c r="P408" s="55" t="s">
        <v>110</v>
      </c>
      <c r="Q408" s="67" t="str">
        <f>IFERROR(__xludf.DUMMYFUNCTION("""COMPUTED_VALUE"""),"Japan.Giaotiep.M559.C423_XuBen.5018_MES_HuyLG_011225")</f>
        <v>Japan.Giaotiep.M559.C423_XuBen.5018_MES_HuyLG_011225</v>
      </c>
      <c r="R408" s="67" t="str">
        <f>IFERROR(__xludf.DUMMYFUNCTION("""COMPUTED_VALUE"""),"NEW_Japan_1840_none_011225")</f>
        <v>NEW_Japan_1840_none_011225</v>
      </c>
      <c r="S408" s="67" t="str">
        <f>IFERROR(__xludf.DUMMYFUNCTION("""COMPUTED_VALUE"""),"saletructiep_Japan.Giaotiep.M559.C423_TATTP_LD249")</f>
        <v>saletructiep_Japan.Giaotiep.M559.C423_TATTP_LD249</v>
      </c>
      <c r="T408" s="107" t="str">
        <f>IFERROR(__xludf.DUMMYFUNCTION("""COMPUTED_VALUE"""),"https://patadovietnam.edu.vn/hlg1709/?utm_source=Facebook&amp;utm_medium=MES&amp;utm_term=NEW_Japan_1840_none_011225&amp;utm_content=saletructiep_Japan.Giaotiep.M559.C423_TATTP_LD249&amp;utm_campaign=Japan.Giaotiep.M559.C423_XuBen.5018_MES_HuyLG_011225")</f>
        <v>https://patadovietnam.edu.vn/hlg1709/?utm_source=Facebook&amp;utm_medium=MES&amp;utm_term=NEW_Japan_1840_none_011225&amp;utm_content=saletructiep_Japan.Giaotiep.M559.C423_TATTP_LD249&amp;utm_campaign=Japan.Giaotiep.M559.C423_XuBen.5018_MES_HuyLG_011225</v>
      </c>
      <c r="U408" s="110" t="s">
        <v>5873</v>
      </c>
    </row>
    <row r="409">
      <c r="A409" s="72">
        <v>45992.0</v>
      </c>
      <c r="B409" s="75" t="s">
        <v>5752</v>
      </c>
      <c r="C409" s="67" t="str">
        <f>IFERROR(__xludf.DUMMYFUNCTION("""COMPUTED_VALUE"""),"LD249")</f>
        <v>LD249</v>
      </c>
      <c r="D409" s="55" t="s">
        <v>42</v>
      </c>
      <c r="E409" s="55" t="s">
        <v>79</v>
      </c>
      <c r="F409" s="55" t="s">
        <v>107</v>
      </c>
      <c r="G409" s="55">
        <v>1840.0</v>
      </c>
      <c r="H409" s="55" t="s">
        <v>1131</v>
      </c>
      <c r="I409" s="55" t="s">
        <v>5879</v>
      </c>
      <c r="J409" s="55" t="s">
        <v>5879</v>
      </c>
      <c r="K409" s="55" t="s">
        <v>61</v>
      </c>
      <c r="L409" s="143" t="s">
        <v>317</v>
      </c>
      <c r="M409" s="55" t="s">
        <v>78</v>
      </c>
      <c r="N409" s="55" t="s">
        <v>79</v>
      </c>
      <c r="O409" s="55" t="s">
        <v>910</v>
      </c>
      <c r="P409" s="55" t="s">
        <v>110</v>
      </c>
      <c r="Q409" s="67" t="str">
        <f>IFERROR(__xludf.DUMMYFUNCTION("""COMPUTED_VALUE"""),"UnitedStates.Giaotiep.M581_XuBen.5018_MES_HuyLG_011225")</f>
        <v>UnitedStates.Giaotiep.M581_XuBen.5018_MES_HuyLG_011225</v>
      </c>
      <c r="R409" s="67" t="str">
        <f>IFERROR(__xludf.DUMMYFUNCTION("""COMPUTED_VALUE"""),"NEW_UnitedStates_1840_none_011225")</f>
        <v>NEW_UnitedStates_1840_none_011225</v>
      </c>
      <c r="S409" s="67" t="str">
        <f>IFERROR(__xludf.DUMMYFUNCTION("""COMPUTED_VALUE"""),"saletructiep_UnitedStates.Giaotiep.M581_TATTP_LD249")</f>
        <v>saletructiep_UnitedStates.Giaotiep.M581_TATTP_LD249</v>
      </c>
      <c r="T409" s="107" t="str">
        <f>IFERROR(__xludf.DUMMYFUNCTION("""COMPUTED_VALUE"""),"https://patadovietnam.edu.vn/hlg1709/?utm_source=Facebook&amp;utm_medium=MES&amp;utm_term=NEW_UnitedStates_1840_none_011225&amp;utm_content=saletructiep_UnitedStates.Giaotiep.M581_TATTP_LD249&amp;utm_campaign=UnitedStates.Giaotiep.M581_XuBen.5018_MES_HuyLG_011225")</f>
        <v>https://patadovietnam.edu.vn/hlg1709/?utm_source=Facebook&amp;utm_medium=MES&amp;utm_term=NEW_UnitedStates_1840_none_011225&amp;utm_content=saletructiep_UnitedStates.Giaotiep.M581_TATTP_LD249&amp;utm_campaign=UnitedStates.Giaotiep.M581_XuBen.5018_MES_HuyLG_011225</v>
      </c>
      <c r="U409" s="110" t="s">
        <v>5884</v>
      </c>
    </row>
    <row r="410">
      <c r="A410" s="72">
        <v>45992.0</v>
      </c>
      <c r="B410" s="60" t="s">
        <v>4785</v>
      </c>
      <c r="C410" s="67" t="str">
        <f>IFERROR(__xludf.DUMMYFUNCTION("""COMPUTED_VALUE"""),"LD229")</f>
        <v>LD229</v>
      </c>
      <c r="D410" s="55" t="s">
        <v>42</v>
      </c>
      <c r="E410" s="55" t="s">
        <v>79</v>
      </c>
      <c r="F410" s="55" t="s">
        <v>539</v>
      </c>
      <c r="G410" s="55">
        <v>1840.0</v>
      </c>
      <c r="H410" s="55" t="s">
        <v>1131</v>
      </c>
      <c r="I410" s="55" t="s">
        <v>5887</v>
      </c>
      <c r="J410" s="55" t="s">
        <v>5888</v>
      </c>
      <c r="K410" s="55" t="s">
        <v>61</v>
      </c>
      <c r="L410" s="143" t="s">
        <v>317</v>
      </c>
      <c r="M410" s="55" t="s">
        <v>78</v>
      </c>
      <c r="N410" s="55" t="s">
        <v>79</v>
      </c>
      <c r="O410" s="55" t="s">
        <v>415</v>
      </c>
      <c r="P410" s="55" t="s">
        <v>110</v>
      </c>
      <c r="Q410" s="67" t="str">
        <f>IFERROR(__xludf.DUMMYFUNCTION("""COMPUTED_VALUE"""),"ALL.Giaotiep.M581_XuBen.5018_MES_HuyLG_011225")</f>
        <v>ALL.Giaotiep.M581_XuBen.5018_MES_HuyLG_011225</v>
      </c>
      <c r="R410" s="67" t="str">
        <f>IFERROR(__xludf.DUMMYFUNCTION("""COMPUTED_VALUE"""),"NEW_ALL_1840_none_011225")</f>
        <v>NEW_ALL_1840_none_011225</v>
      </c>
      <c r="S410" s="67" t="str">
        <f>IFERROR(__xludf.DUMMYFUNCTION("""COMPUTED_VALUE"""),"saletructiep_ALL.Giaotiep.M581.2040_TATTPVN_LD229")</f>
        <v>saletructiep_ALL.Giaotiep.M581.2040_TATTPVN_LD229</v>
      </c>
      <c r="T410" s="107" t="str">
        <f>IFERROR(__xludf.DUMMYFUNCTION("""COMPUTED_VALUE"""),"https://patadovietnam.edu.vn/hlg_tattpvn_gt/?utm_source=Facebook&amp;utm_medium=MES&amp;utm_term=NEW_ALL_1840_none_011225&amp;utm_content=saletructiep_ALL.Giaotiep.M581.2040_TATTPVN_LD229&amp;utm_campaign=ALL.Giaotiep.M581_XuBen.5018_MES_HuyLG_011225")</f>
        <v>https://patadovietnam.edu.vn/hlg_tattpvn_gt/?utm_source=Facebook&amp;utm_medium=MES&amp;utm_term=NEW_ALL_1840_none_011225&amp;utm_content=saletructiep_ALL.Giaotiep.M581.2040_TATTPVN_LD229&amp;utm_campaign=ALL.Giaotiep.M581_XuBen.5018_MES_HuyLG_011225</v>
      </c>
      <c r="U410" s="110" t="s">
        <v>5895</v>
      </c>
    </row>
    <row r="411">
      <c r="A411" s="72">
        <v>45994.0</v>
      </c>
      <c r="B411" s="60" t="s">
        <v>5898</v>
      </c>
      <c r="C411" s="67" t="str">
        <f>IFERROR(__xludf.DUMMYFUNCTION("""COMPUTED_VALUE"""),"LD271")</f>
        <v>LD271</v>
      </c>
      <c r="D411" s="55" t="s">
        <v>42</v>
      </c>
      <c r="E411" s="55" t="s">
        <v>69</v>
      </c>
      <c r="F411" s="55" t="s">
        <v>133</v>
      </c>
      <c r="G411" s="55">
        <v>1840.0</v>
      </c>
      <c r="H411" s="55" t="s">
        <v>1131</v>
      </c>
      <c r="I411" s="55" t="s">
        <v>5903</v>
      </c>
      <c r="J411" s="55" t="s">
        <v>5904</v>
      </c>
      <c r="K411" s="55" t="s">
        <v>61</v>
      </c>
      <c r="L411" s="143" t="s">
        <v>317</v>
      </c>
      <c r="M411" s="55" t="s">
        <v>78</v>
      </c>
      <c r="N411" s="55" t="s">
        <v>69</v>
      </c>
      <c r="O411" s="55" t="s">
        <v>3271</v>
      </c>
      <c r="P411" s="55" t="s">
        <v>110</v>
      </c>
      <c r="Q411" s="67" t="str">
        <f>IFERROR(__xludf.DUMMYFUNCTION("""COMPUTED_VALUE"""),"Japan.giaotiep.M584_XuBen.5018_CVS_HuyLG_031225")</f>
        <v>Japan.giaotiep.M584_XuBen.5018_CVS_HuyLG_031225</v>
      </c>
      <c r="R411" s="67" t="str">
        <f>IFERROR(__xludf.DUMMYFUNCTION("""COMPUTED_VALUE"""),"NEW_Japan_1840_none_031225")</f>
        <v>NEW_Japan_1840_none_031225</v>
      </c>
      <c r="S411" s="67" t="str">
        <f>IFERROR(__xludf.DUMMYFUNCTION("""COMPUTED_VALUE"""),"saletructiep_Japan.M584.1840.giaotiep_PGPGTTA_LD271")</f>
        <v>saletructiep_Japan.M584.1840.giaotiep_PGPGTTA_LD271</v>
      </c>
      <c r="T411" s="107" t="str">
        <f>IFERROR(__xludf.DUMMYFUNCTION("""COMPUTED_VALUE"""),"https://patado.edu.vn/japancvs/?utm_source=Facebook&amp;utm_medium=CVS&amp;utm_term=NEW_Japan_1840_none_031225&amp;utm_content=saletructiep_Japan.M584.1840.giaotiep_PGPGTTA_LD271&amp;utm_campaign=Japan.giaotiep.M584_XuBen.5018_CVS_HuyLG_031225")</f>
        <v>https://patado.edu.vn/japancvs/?utm_source=Facebook&amp;utm_medium=CVS&amp;utm_term=NEW_Japan_1840_none_031225&amp;utm_content=saletructiep_Japan.M584.1840.giaotiep_PGPGTTA_LD271&amp;utm_campaign=Japan.giaotiep.M584_XuBen.5018_CVS_HuyLG_031225</v>
      </c>
      <c r="U411" s="110" t="s">
        <v>5911</v>
      </c>
    </row>
    <row r="412">
      <c r="A412" s="72">
        <v>45994.0</v>
      </c>
      <c r="B412" s="60" t="s">
        <v>712</v>
      </c>
      <c r="C412" s="67" t="str">
        <f>IFERROR(__xludf.DUMMYFUNCTION("""COMPUTED_VALUE"""),"LD109")</f>
        <v>LD109</v>
      </c>
      <c r="D412" s="55" t="s">
        <v>42</v>
      </c>
      <c r="E412" s="55" t="s">
        <v>69</v>
      </c>
      <c r="F412" s="55" t="s">
        <v>107</v>
      </c>
      <c r="G412" s="55">
        <v>1840.0</v>
      </c>
      <c r="H412" s="55" t="s">
        <v>1131</v>
      </c>
      <c r="I412" s="55" t="s">
        <v>5913</v>
      </c>
      <c r="J412" s="55" t="s">
        <v>5914</v>
      </c>
      <c r="K412" s="55" t="s">
        <v>61</v>
      </c>
      <c r="L412" s="143" t="s">
        <v>317</v>
      </c>
      <c r="M412" s="55" t="s">
        <v>78</v>
      </c>
      <c r="N412" s="55" t="s">
        <v>69</v>
      </c>
      <c r="O412" s="55" t="s">
        <v>3271</v>
      </c>
      <c r="P412" s="55" t="s">
        <v>110</v>
      </c>
      <c r="Q412" s="67" t="str">
        <f>IFERROR(__xludf.DUMMYFUNCTION("""COMPUTED_VALUE"""),"UnitedStates.giaotiep.M584_XuBen.5018_CVS_HuyLG_031225")</f>
        <v>UnitedStates.giaotiep.M584_XuBen.5018_CVS_HuyLG_031225</v>
      </c>
      <c r="R412" s="67" t="str">
        <f>IFERROR(__xludf.DUMMYFUNCTION("""COMPUTED_VALUE"""),"NEW_UnitedStates_1840_none_031225")</f>
        <v>NEW_UnitedStates_1840_none_031225</v>
      </c>
      <c r="S412" s="67" t="str">
        <f>IFERROR(__xludf.DUMMYFUNCTION("""COMPUTED_VALUE"""),"saletructiep_UnitedStates.M584.1840.giaotiep_PGPGTTA_LD109")</f>
        <v>saletructiep_UnitedStates.M584.1840.giaotiep_PGPGTTA_LD109</v>
      </c>
      <c r="T412" s="107" t="str">
        <f>IFERROR(__xludf.DUMMYFUNCTION("""COMPUTED_VALUE"""),"https://patadovietnam.edu.vn/hoaky_cvs/?utm_source=Facebook&amp;utm_medium=CVS&amp;utm_term=NEW_UnitedStates_1840_none_031225&amp;utm_content=saletructiep_UnitedStates.M584.1840.giaotiep_PGPGTTA_LD109&amp;utm_campaign=UnitedStates.giaotiep.M584_XuBen.5018_CVS_HuyLG_03122"&amp;"5")</f>
        <v>https://patadovietnam.edu.vn/hoaky_cvs/?utm_source=Facebook&amp;utm_medium=CVS&amp;utm_term=NEW_UnitedStates_1840_none_031225&amp;utm_content=saletructiep_UnitedStates.M584.1840.giaotiep_PGPGTTA_LD109&amp;utm_campaign=UnitedStates.giaotiep.M584_XuBen.5018_CVS_HuyLG_031225</v>
      </c>
      <c r="U412" s="110" t="s">
        <v>5919</v>
      </c>
    </row>
    <row r="413">
      <c r="A413" s="72">
        <v>45994.0</v>
      </c>
      <c r="B413" s="133" t="s">
        <v>5729</v>
      </c>
      <c r="C413" s="67" t="str">
        <f>IFERROR(__xludf.DUMMYFUNCTION("""COMPUTED_VALUE"""),"LD247")</f>
        <v>LD247</v>
      </c>
      <c r="D413" s="55" t="s">
        <v>42</v>
      </c>
      <c r="E413" s="55" t="s">
        <v>69</v>
      </c>
      <c r="F413" s="55" t="s">
        <v>674</v>
      </c>
      <c r="G413" s="55">
        <v>1840.0</v>
      </c>
      <c r="H413" s="55" t="s">
        <v>1131</v>
      </c>
      <c r="I413" s="55" t="s">
        <v>5923</v>
      </c>
      <c r="J413" s="55" t="s">
        <v>5924</v>
      </c>
      <c r="K413" s="55" t="s">
        <v>61</v>
      </c>
      <c r="L413" s="143" t="s">
        <v>317</v>
      </c>
      <c r="M413" s="55" t="s">
        <v>78</v>
      </c>
      <c r="N413" s="55" t="s">
        <v>69</v>
      </c>
      <c r="O413" s="55" t="s">
        <v>910</v>
      </c>
      <c r="P413" s="55" t="s">
        <v>110</v>
      </c>
      <c r="Q413" s="67" t="str">
        <f>IFERROR(__xludf.DUMMYFUNCTION("""COMPUTED_VALUE"""),"Europe.giaotiep.M584_XuBen.5018_CVS_HuyLG_031225")</f>
        <v>Europe.giaotiep.M584_XuBen.5018_CVS_HuyLG_031225</v>
      </c>
      <c r="R413" s="67" t="str">
        <f>IFERROR(__xludf.DUMMYFUNCTION("""COMPUTED_VALUE"""),"NEW_Europe_1840_none_031225")</f>
        <v>NEW_Europe_1840_none_031225</v>
      </c>
      <c r="S413" s="67" t="str">
        <f>IFERROR(__xludf.DUMMYFUNCTION("""COMPUTED_VALUE"""),"saletructiep_Europe.M584.1840.giaotiep_TATTP_LD247")</f>
        <v>saletructiep_Europe.M584.1840.giaotiep_TATTP_LD247</v>
      </c>
      <c r="T413" s="107" t="str">
        <f>IFERROR(__xludf.DUMMYFUNCTION("""COMPUTED_VALUE"""),"https://patadovietnam.edu.vn/hlg1908/?utm_source=Facebook&amp;utm_medium=CVS&amp;utm_term=NEW_Europe_1840_none_031225&amp;utm_content=saletructiep_Europe.M584.1840.giaotiep_TATTP_LD247&amp;utm_campaign=Europe.giaotiep.M584_XuBen.5018_CVS_HuyLG_031225")</f>
        <v>https://patadovietnam.edu.vn/hlg1908/?utm_source=Facebook&amp;utm_medium=CVS&amp;utm_term=NEW_Europe_1840_none_031225&amp;utm_content=saletructiep_Europe.M584.1840.giaotiep_TATTP_LD247&amp;utm_campaign=Europe.giaotiep.M584_XuBen.5018_CVS_HuyLG_031225</v>
      </c>
      <c r="U413" s="110" t="s">
        <v>5932</v>
      </c>
    </row>
    <row r="414">
      <c r="A414" s="72">
        <v>45994.0</v>
      </c>
      <c r="B414" s="133" t="s">
        <v>5935</v>
      </c>
      <c r="C414" s="67" t="str">
        <f>IFERROR(__xludf.DUMMYFUNCTION("""COMPUTED_VALUE"""),"LD273")</f>
        <v>LD273</v>
      </c>
      <c r="D414" s="55" t="s">
        <v>42</v>
      </c>
      <c r="E414" s="55" t="s">
        <v>69</v>
      </c>
      <c r="F414" s="55" t="s">
        <v>133</v>
      </c>
      <c r="G414" s="55">
        <v>1840.0</v>
      </c>
      <c r="H414" s="55" t="s">
        <v>1131</v>
      </c>
      <c r="I414" s="55" t="s">
        <v>5938</v>
      </c>
      <c r="J414" s="55" t="s">
        <v>5939</v>
      </c>
      <c r="K414" s="55" t="s">
        <v>61</v>
      </c>
      <c r="L414" s="143" t="s">
        <v>317</v>
      </c>
      <c r="M414" s="55" t="s">
        <v>78</v>
      </c>
      <c r="N414" s="55" t="s">
        <v>69</v>
      </c>
      <c r="O414" s="55" t="s">
        <v>910</v>
      </c>
      <c r="P414" s="55" t="s">
        <v>110</v>
      </c>
      <c r="Q414" s="67" t="str">
        <f>IFERROR(__xludf.DUMMYFUNCTION("""COMPUTED_VALUE"""),"Japan.giaotiep.M595_XuBen.5018_CVS_HuyLG_031225")</f>
        <v>Japan.giaotiep.M595_XuBen.5018_CVS_HuyLG_031225</v>
      </c>
      <c r="R414" s="67" t="str">
        <f>IFERROR(__xludf.DUMMYFUNCTION("""COMPUTED_VALUE"""),"NEW_Japan_1840_none_031225")</f>
        <v>NEW_Japan_1840_none_031225</v>
      </c>
      <c r="S414" s="67" t="str">
        <f>IFERROR(__xludf.DUMMYFUNCTION("""COMPUTED_VALUE"""),"saletructiep_Japan.M595.1840.giaotiep_TATTP_LD273")</f>
        <v>saletructiep_Japan.M595.1840.giaotiep_TATTP_LD273</v>
      </c>
      <c r="T414" s="107" t="str">
        <f>IFERROR(__xludf.DUMMYFUNCTION("""COMPUTED_VALUE"""),"https://patado.edu.vn/hlg1908/?utm_source=Facebook&amp;utm_medium=CVS&amp;utm_term=NEW_Japan_1840_none_031225&amp;utm_content=saletructiep_Japan.M595.1840.giaotiep_TATTP_LD273&amp;utm_campaign=Japan.giaotiep.M595_XuBen.5018_CVS_HuyLG_031225")</f>
        <v>https://patado.edu.vn/hlg1908/?utm_source=Facebook&amp;utm_medium=CVS&amp;utm_term=NEW_Japan_1840_none_031225&amp;utm_content=saletructiep_Japan.M595.1840.giaotiep_TATTP_LD273&amp;utm_campaign=Japan.giaotiep.M595_XuBen.5018_CVS_HuyLG_031225</v>
      </c>
      <c r="U414" s="110" t="s">
        <v>5947</v>
      </c>
    </row>
    <row r="415">
      <c r="A415" s="72">
        <v>45994.0</v>
      </c>
      <c r="B415" s="75" t="s">
        <v>5752</v>
      </c>
      <c r="C415" s="67" t="str">
        <f>IFERROR(__xludf.DUMMYFUNCTION("""COMPUTED_VALUE"""),"LD249")</f>
        <v>LD249</v>
      </c>
      <c r="D415" s="55" t="s">
        <v>42</v>
      </c>
      <c r="E415" s="55" t="s">
        <v>79</v>
      </c>
      <c r="F415" s="55" t="s">
        <v>539</v>
      </c>
      <c r="G415" s="55">
        <v>1840.0</v>
      </c>
      <c r="H415" s="55" t="s">
        <v>1131</v>
      </c>
      <c r="I415" s="55" t="s">
        <v>5952</v>
      </c>
      <c r="J415" s="55" t="s">
        <v>5953</v>
      </c>
      <c r="K415" s="55" t="s">
        <v>61</v>
      </c>
      <c r="L415" s="143" t="s">
        <v>317</v>
      </c>
      <c r="M415" s="55" t="s">
        <v>78</v>
      </c>
      <c r="N415" s="55" t="s">
        <v>79</v>
      </c>
      <c r="O415" s="55" t="s">
        <v>910</v>
      </c>
      <c r="P415" s="55" t="s">
        <v>110</v>
      </c>
      <c r="Q415" s="67" t="str">
        <f>IFERROR(__xludf.DUMMYFUNCTION("""COMPUTED_VALUE"""),"ALL.giaotiep.M595_XuBen.5018_MES_HuyLG_031225")</f>
        <v>ALL.giaotiep.M595_XuBen.5018_MES_HuyLG_031225</v>
      </c>
      <c r="R415" s="67" t="str">
        <f>IFERROR(__xludf.DUMMYFUNCTION("""COMPUTED_VALUE"""),"NEW_ALL_1840_none_031225")</f>
        <v>NEW_ALL_1840_none_031225</v>
      </c>
      <c r="S415" s="67" t="str">
        <f>IFERROR(__xludf.DUMMYFUNCTION("""COMPUTED_VALUE"""),"saletructiep_ALL.M595.1840.giaotiep_TATTP_LD249")</f>
        <v>saletructiep_ALL.M595.1840.giaotiep_TATTP_LD249</v>
      </c>
      <c r="T415" s="107" t="str">
        <f>IFERROR(__xludf.DUMMYFUNCTION("""COMPUTED_VALUE"""),"https://patadovietnam.edu.vn/hlg1709/?utm_source=Facebook&amp;utm_medium=MES&amp;utm_term=NEW_ALL_1840_none_031225&amp;utm_content=saletructiep_ALL.M595.1840.giaotiep_TATTP_LD249&amp;utm_campaign=ALL.giaotiep.M595_XuBen.5018_MES_HuyLG_031225")</f>
        <v>https://patadovietnam.edu.vn/hlg1709/?utm_source=Facebook&amp;utm_medium=MES&amp;utm_term=NEW_ALL_1840_none_031225&amp;utm_content=saletructiep_ALL.M595.1840.giaotiep_TATTP_LD249&amp;utm_campaign=ALL.giaotiep.M595_XuBen.5018_MES_HuyLG_031225</v>
      </c>
      <c r="U415" s="110" t="s">
        <v>5958</v>
      </c>
    </row>
    <row r="416">
      <c r="A416" s="72">
        <v>45994.0</v>
      </c>
      <c r="B416" s="133" t="s">
        <v>5729</v>
      </c>
      <c r="C416" s="67" t="str">
        <f>IFERROR(__xludf.DUMMYFUNCTION("""COMPUTED_VALUE"""),"LD247")</f>
        <v>LD247</v>
      </c>
      <c r="D416" s="55" t="s">
        <v>42</v>
      </c>
      <c r="E416" s="55" t="s">
        <v>79</v>
      </c>
      <c r="F416" s="55" t="s">
        <v>625</v>
      </c>
      <c r="G416" s="55">
        <v>1840.0</v>
      </c>
      <c r="H416" s="55" t="s">
        <v>1131</v>
      </c>
      <c r="I416" s="55" t="s">
        <v>5959</v>
      </c>
      <c r="J416" s="55" t="s">
        <v>5960</v>
      </c>
      <c r="K416" s="55" t="s">
        <v>61</v>
      </c>
      <c r="L416" s="143" t="s">
        <v>317</v>
      </c>
      <c r="M416" s="55" t="s">
        <v>78</v>
      </c>
      <c r="N416" s="55" t="s">
        <v>79</v>
      </c>
      <c r="O416" s="55" t="s">
        <v>415</v>
      </c>
      <c r="P416" s="55" t="s">
        <v>110</v>
      </c>
      <c r="Q416" s="67" t="str">
        <f>IFERROR(__xludf.DUMMYFUNCTION("""COMPUTED_VALUE"""),"KoreaSouth.giaotiep.M595_XuBen.5018_MES_HuyLG_031225")</f>
        <v>KoreaSouth.giaotiep.M595_XuBen.5018_MES_HuyLG_031225</v>
      </c>
      <c r="R416" s="67" t="str">
        <f>IFERROR(__xludf.DUMMYFUNCTION("""COMPUTED_VALUE"""),"NEW_KoreaSouth_1840_none_031225")</f>
        <v>NEW_KoreaSouth_1840_none_031225</v>
      </c>
      <c r="S416" s="67" t="str">
        <f>IFERROR(__xludf.DUMMYFUNCTION("""COMPUTED_VALUE"""),"saletructiep_KoreaSouth.M595.1840.giaotiep_TATTPVN_LD247")</f>
        <v>saletructiep_KoreaSouth.M595.1840.giaotiep_TATTPVN_LD247</v>
      </c>
      <c r="T416" s="107" t="str">
        <f>IFERROR(__xludf.DUMMYFUNCTION("""COMPUTED_VALUE"""),"https://patadovietnam.edu.vn/hlg1908/?utm_source=Facebook&amp;utm_medium=MES&amp;utm_term=NEW_KoreaSouth_1840_none_031225&amp;utm_content=saletructiep_KoreaSouth.M595.1840.giaotiep_TATTPVN_LD247&amp;utm_campaign=KoreaSouth.giaotiep.M595_XuBen.5018_MES_HuyLG_031225")</f>
        <v>https://patadovietnam.edu.vn/hlg1908/?utm_source=Facebook&amp;utm_medium=MES&amp;utm_term=NEW_KoreaSouth_1840_none_031225&amp;utm_content=saletructiep_KoreaSouth.M595.1840.giaotiep_TATTPVN_LD247&amp;utm_campaign=KoreaSouth.giaotiep.M595_XuBen.5018_MES_HuyLG_031225</v>
      </c>
      <c r="U416" s="110" t="s">
        <v>5978</v>
      </c>
    </row>
    <row r="417">
      <c r="A417" s="72">
        <v>45994.0</v>
      </c>
      <c r="B417" s="60" t="s">
        <v>3461</v>
      </c>
      <c r="C417" s="67" t="str">
        <f>IFERROR(__xludf.DUMMYFUNCTION("""COMPUTED_VALUE"""),"LD154")</f>
        <v>LD154</v>
      </c>
      <c r="D417" s="55" t="s">
        <v>42</v>
      </c>
      <c r="E417" s="55" t="s">
        <v>79</v>
      </c>
      <c r="F417" s="55" t="s">
        <v>674</v>
      </c>
      <c r="G417" s="55">
        <v>1840.0</v>
      </c>
      <c r="H417" s="55" t="s">
        <v>1131</v>
      </c>
      <c r="I417" s="55" t="s">
        <v>5979</v>
      </c>
      <c r="J417" s="55" t="s">
        <v>5980</v>
      </c>
      <c r="K417" s="55" t="s">
        <v>61</v>
      </c>
      <c r="L417" s="143" t="s">
        <v>317</v>
      </c>
      <c r="M417" s="55" t="s">
        <v>78</v>
      </c>
      <c r="N417" s="55" t="s">
        <v>79</v>
      </c>
      <c r="O417" s="55" t="s">
        <v>415</v>
      </c>
      <c r="P417" s="55" t="s">
        <v>110</v>
      </c>
      <c r="Q417" s="67" t="str">
        <f>IFERROR(__xludf.DUMMYFUNCTION("""COMPUTED_VALUE"""),"Europe.giaotiep.M595_XuBen.5018_MES_HuyLG_031225")</f>
        <v>Europe.giaotiep.M595_XuBen.5018_MES_HuyLG_031225</v>
      </c>
      <c r="R417" s="67" t="str">
        <f>IFERROR(__xludf.DUMMYFUNCTION("""COMPUTED_VALUE"""),"NEW_Europe_1840_none_031225")</f>
        <v>NEW_Europe_1840_none_031225</v>
      </c>
      <c r="S417" s="67" t="str">
        <f>IFERROR(__xludf.DUMMYFUNCTION("""COMPUTED_VALUE"""),"saletructiep_Europe.M595.1840.giaotiep_TATTPVN_LD154")</f>
        <v>saletructiep_Europe.M595.1840.giaotiep_TATTPVN_LD154</v>
      </c>
      <c r="T417" s="120" t="str">
        <f>IFERROR(__xludf.DUMMYFUNCTION("""COMPUTED_VALUE"""),"https://patadovietnam.edu.vn/eu_hlg/?utm_source=Facebook&amp;utm_medium=MES&amp;utm_term=NEW_Europe_1840_none_031225&amp;utm_content=saletructiep_Europe.M595.1840.giaotiep_TATTPVN_LD154&amp;utm_campaign=Europe.giaotiep.M595_XuBen.5018_MES_HuyLG_031225")</f>
        <v>https://patadovietnam.edu.vn/eu_hlg/?utm_source=Facebook&amp;utm_medium=MES&amp;utm_term=NEW_Europe_1840_none_031225&amp;utm_content=saletructiep_Europe.M595.1840.giaotiep_TATTPVN_LD154&amp;utm_campaign=Europe.giaotiep.M595_XuBen.5018_MES_HuyLG_031225</v>
      </c>
      <c r="U417" s="110" t="s">
        <v>5988</v>
      </c>
    </row>
    <row r="418">
      <c r="A418" s="72">
        <v>45994.0</v>
      </c>
      <c r="B418" s="133" t="s">
        <v>5729</v>
      </c>
      <c r="C418" s="67" t="str">
        <f>IFERROR(__xludf.DUMMYFUNCTION("""COMPUTED_VALUE"""),"LD247")</f>
        <v>LD247</v>
      </c>
      <c r="D418" s="55" t="s">
        <v>42</v>
      </c>
      <c r="E418" s="55" t="s">
        <v>79</v>
      </c>
      <c r="F418" s="55" t="s">
        <v>129</v>
      </c>
      <c r="G418" s="55">
        <v>1840.0</v>
      </c>
      <c r="H418" s="55" t="s">
        <v>1131</v>
      </c>
      <c r="I418" s="55" t="s">
        <v>5989</v>
      </c>
      <c r="J418" s="55" t="s">
        <v>5990</v>
      </c>
      <c r="K418" s="55" t="s">
        <v>61</v>
      </c>
      <c r="L418" s="143" t="s">
        <v>317</v>
      </c>
      <c r="M418" s="55" t="s">
        <v>78</v>
      </c>
      <c r="N418" s="55" t="s">
        <v>79</v>
      </c>
      <c r="O418" s="55" t="s">
        <v>3271</v>
      </c>
      <c r="P418" s="55" t="s">
        <v>110</v>
      </c>
      <c r="Q418" s="67" t="str">
        <f>IFERROR(__xludf.DUMMYFUNCTION("""COMPUTED_VALUE"""),"Australia.giaotiep.M595_XuBen.5018_MES_HuyLG_031225")</f>
        <v>Australia.giaotiep.M595_XuBen.5018_MES_HuyLG_031225</v>
      </c>
      <c r="R418" s="67" t="str">
        <f>IFERROR(__xludf.DUMMYFUNCTION("""COMPUTED_VALUE"""),"NEW_Australia_1840_none_031225")</f>
        <v>NEW_Australia_1840_none_031225</v>
      </c>
      <c r="S418" s="67" t="str">
        <f>IFERROR(__xludf.DUMMYFUNCTION("""COMPUTED_VALUE"""),"saletructiep_Australia.M595.1840.giaotiep_PGPGTTA_LD247")</f>
        <v>saletructiep_Australia.M595.1840.giaotiep_PGPGTTA_LD247</v>
      </c>
      <c r="T418" s="107" t="str">
        <f>IFERROR(__xludf.DUMMYFUNCTION("""COMPUTED_VALUE"""),"https://patadovietnam.edu.vn/hlg1908/?utm_source=Facebook&amp;utm_medium=MES&amp;utm_term=NEW_Australia_1840_none_031225&amp;utm_content=saletructiep_Australia.M595.1840.giaotiep_PGPGTTA_LD247&amp;utm_campaign=Australia.giaotiep.M595_XuBen.5018_MES_HuyLG_031225")</f>
        <v>https://patadovietnam.edu.vn/hlg1908/?utm_source=Facebook&amp;utm_medium=MES&amp;utm_term=NEW_Australia_1840_none_031225&amp;utm_content=saletructiep_Australia.M595.1840.giaotiep_PGPGTTA_LD247&amp;utm_campaign=Australia.giaotiep.M595_XuBen.5018_MES_HuyLG_031225</v>
      </c>
      <c r="U418" s="110" t="s">
        <v>5993</v>
      </c>
    </row>
    <row r="419">
      <c r="A419" s="72">
        <v>45996.0</v>
      </c>
      <c r="B419" s="133" t="s">
        <v>5729</v>
      </c>
      <c r="C419" s="67" t="str">
        <f>IFERROR(__xludf.DUMMYFUNCTION("""COMPUTED_VALUE"""),"LD247")</f>
        <v>LD247</v>
      </c>
      <c r="D419" s="55" t="s">
        <v>42</v>
      </c>
      <c r="E419" s="55" t="s">
        <v>79</v>
      </c>
      <c r="F419" s="55" t="s">
        <v>539</v>
      </c>
      <c r="G419" s="55">
        <v>1840.0</v>
      </c>
      <c r="H419" s="55" t="s">
        <v>1131</v>
      </c>
      <c r="I419" s="55" t="s">
        <v>5995</v>
      </c>
      <c r="J419" s="55" t="s">
        <v>5996</v>
      </c>
      <c r="K419" s="55" t="s">
        <v>61</v>
      </c>
      <c r="L419" s="55" t="s">
        <v>5396</v>
      </c>
      <c r="M419" s="55" t="s">
        <v>78</v>
      </c>
      <c r="N419" s="55" t="s">
        <v>79</v>
      </c>
      <c r="O419" s="55" t="s">
        <v>415</v>
      </c>
      <c r="P419" s="55" t="s">
        <v>110</v>
      </c>
      <c r="Q419" s="67" t="str">
        <f>IFERROR(__xludf.DUMMYFUNCTION("""COMPUTED_VALUE"""),"ALL.giaotiep.M597_HG4601_MES_HuyLG_051225")</f>
        <v>ALL.giaotiep.M597_HG4601_MES_HuyLG_051225</v>
      </c>
      <c r="R419" s="67" t="str">
        <f>IFERROR(__xludf.DUMMYFUNCTION("""COMPUTED_VALUE"""),"NEW_ALL_1840_none_051225")</f>
        <v>NEW_ALL_1840_none_051225</v>
      </c>
      <c r="S419" s="67" t="str">
        <f>IFERROR(__xludf.DUMMYFUNCTION("""COMPUTED_VALUE"""),"saletructiep_ALL.M597.1840.giaotiep_TATTPVN_LD247")</f>
        <v>saletructiep_ALL.M597.1840.giaotiep_TATTPVN_LD247</v>
      </c>
      <c r="T419" s="107" t="str">
        <f>IFERROR(__xludf.DUMMYFUNCTION("""COMPUTED_VALUE"""),"https://patadovietnam.edu.vn/hlg1908/?utm_source=Facebook&amp;utm_medium=MES&amp;utm_term=NEW_ALL_1840_none_051225&amp;utm_content=saletructiep_ALL.M597.1840.giaotiep_TATTPVN_LD247&amp;utm_campaign=ALL.giaotiep.M597_HG4601_MES_HuyLG_051225")</f>
        <v>https://patadovietnam.edu.vn/hlg1908/?utm_source=Facebook&amp;utm_medium=MES&amp;utm_term=NEW_ALL_1840_none_051225&amp;utm_content=saletructiep_ALL.M597.1840.giaotiep_TATTPVN_LD247&amp;utm_campaign=ALL.giaotiep.M597_HG4601_MES_HuyLG_051225</v>
      </c>
      <c r="U419" s="110" t="s">
        <v>6001</v>
      </c>
    </row>
    <row r="420">
      <c r="A420" s="72">
        <v>45996.0</v>
      </c>
      <c r="B420" s="133" t="s">
        <v>5729</v>
      </c>
      <c r="C420" s="67" t="str">
        <f>IFERROR(__xludf.DUMMYFUNCTION("""COMPUTED_VALUE"""),"LD247")</f>
        <v>LD247</v>
      </c>
      <c r="D420" s="55" t="s">
        <v>42</v>
      </c>
      <c r="E420" s="55" t="s">
        <v>79</v>
      </c>
      <c r="F420" s="55" t="s">
        <v>539</v>
      </c>
      <c r="G420" s="55">
        <v>1840.0</v>
      </c>
      <c r="H420" s="55" t="s">
        <v>1131</v>
      </c>
      <c r="I420" s="55" t="s">
        <v>6003</v>
      </c>
      <c r="J420" s="55" t="s">
        <v>6004</v>
      </c>
      <c r="K420" s="55" t="s">
        <v>61</v>
      </c>
      <c r="L420" s="55" t="s">
        <v>5396</v>
      </c>
      <c r="M420" s="55" t="s">
        <v>78</v>
      </c>
      <c r="N420" s="55" t="s">
        <v>79</v>
      </c>
      <c r="O420" s="55" t="s">
        <v>910</v>
      </c>
      <c r="P420" s="55" t="s">
        <v>110</v>
      </c>
      <c r="Q420" s="67" t="str">
        <f>IFERROR(__xludf.DUMMYFUNCTION("""COMPUTED_VALUE"""),"ALL.giaotiep.M598_HG4601_MES_HuyLG_051225")</f>
        <v>ALL.giaotiep.M598_HG4601_MES_HuyLG_051225</v>
      </c>
      <c r="R420" s="67" t="str">
        <f>IFERROR(__xludf.DUMMYFUNCTION("""COMPUTED_VALUE"""),"NEW_ALL_1840_none_051225")</f>
        <v>NEW_ALL_1840_none_051225</v>
      </c>
      <c r="S420" s="67" t="str">
        <f>IFERROR(__xludf.DUMMYFUNCTION("""COMPUTED_VALUE"""),"saletructiep_ALL.M598.1840.giaotiep_TATTP_LD247")</f>
        <v>saletructiep_ALL.M598.1840.giaotiep_TATTP_LD247</v>
      </c>
      <c r="T420" s="107" t="str">
        <f>IFERROR(__xludf.DUMMYFUNCTION("""COMPUTED_VALUE"""),"https://patadovietnam.edu.vn/hlg1908/?utm_source=Facebook&amp;utm_medium=MES&amp;utm_term=NEW_ALL_1840_none_051225&amp;utm_content=saletructiep_ALL.M598.1840.giaotiep_TATTP_LD247&amp;utm_campaign=ALL.giaotiep.M598_HG4601_MES_HuyLG_051225")</f>
        <v>https://patadovietnam.edu.vn/hlg1908/?utm_source=Facebook&amp;utm_medium=MES&amp;utm_term=NEW_ALL_1840_none_051225&amp;utm_content=saletructiep_ALL.M598.1840.giaotiep_TATTP_LD247&amp;utm_campaign=ALL.giaotiep.M598_HG4601_MES_HuyLG_051225</v>
      </c>
      <c r="U420" s="110" t="s">
        <v>6010</v>
      </c>
    </row>
    <row r="421">
      <c r="A421" s="72">
        <v>45996.0</v>
      </c>
      <c r="B421" s="60" t="s">
        <v>772</v>
      </c>
      <c r="C421" s="67" t="str">
        <f>IFERROR(__xludf.DUMMYFUNCTION("""COMPUTED_VALUE"""),"LD115")</f>
        <v>LD115</v>
      </c>
      <c r="D421" s="55" t="s">
        <v>42</v>
      </c>
      <c r="E421" s="55" t="s">
        <v>79</v>
      </c>
      <c r="F421" s="55" t="s">
        <v>133</v>
      </c>
      <c r="G421" s="55">
        <v>1840.0</v>
      </c>
      <c r="H421" s="55" t="s">
        <v>1131</v>
      </c>
      <c r="I421" s="55" t="s">
        <v>6013</v>
      </c>
      <c r="J421" s="55" t="s">
        <v>6015</v>
      </c>
      <c r="K421" s="55" t="s">
        <v>61</v>
      </c>
      <c r="L421" s="55" t="s">
        <v>5396</v>
      </c>
      <c r="M421" s="55" t="s">
        <v>78</v>
      </c>
      <c r="N421" s="55" t="s">
        <v>79</v>
      </c>
      <c r="O421" s="55" t="s">
        <v>910</v>
      </c>
      <c r="P421" s="55" t="s">
        <v>110</v>
      </c>
      <c r="Q421" s="67" t="str">
        <f>IFERROR(__xludf.DUMMYFUNCTION("""COMPUTED_VALUE"""),"Japan.giaotiep.M597_HG4601_MES_HuyLG_051225")</f>
        <v>Japan.giaotiep.M597_HG4601_MES_HuyLG_051225</v>
      </c>
      <c r="R421" s="67" t="str">
        <f>IFERROR(__xludf.DUMMYFUNCTION("""COMPUTED_VALUE"""),"NEW_Japan_1840_none_051225")</f>
        <v>NEW_Japan_1840_none_051225</v>
      </c>
      <c r="S421" s="67" t="str">
        <f>IFERROR(__xludf.DUMMYFUNCTION("""COMPUTED_VALUE"""),"saletructiep_Japan.M597.1840.giaotiep_TATTP_LD115")</f>
        <v>saletructiep_Japan.M597.1840.giaotiep_TATTP_LD115</v>
      </c>
      <c r="T421" s="107" t="str">
        <f>IFERROR(__xludf.DUMMYFUNCTION("""COMPUTED_VALUE"""),"https://patadovietnam.edu.vn/japancvs/?utm_source=Facebook&amp;utm_medium=MES&amp;utm_term=NEW_Japan_1840_none_051225&amp;utm_content=saletructiep_Japan.M597.1840.giaotiep_TATTP_LD115&amp;utm_campaign=Japan.giaotiep.M597_HG4601_MES_HuyLG_051225")</f>
        <v>https://patadovietnam.edu.vn/japancvs/?utm_source=Facebook&amp;utm_medium=MES&amp;utm_term=NEW_Japan_1840_none_051225&amp;utm_content=saletructiep_Japan.M597.1840.giaotiep_TATTP_LD115&amp;utm_campaign=Japan.giaotiep.M597_HG4601_MES_HuyLG_051225</v>
      </c>
      <c r="U421" s="110" t="s">
        <v>6028</v>
      </c>
    </row>
    <row r="422">
      <c r="A422" s="72">
        <v>45996.0</v>
      </c>
      <c r="B422" s="133" t="s">
        <v>5729</v>
      </c>
      <c r="C422" s="67" t="str">
        <f>IFERROR(__xludf.DUMMYFUNCTION("""COMPUTED_VALUE"""),"LD247")</f>
        <v>LD247</v>
      </c>
      <c r="D422" s="55" t="s">
        <v>42</v>
      </c>
      <c r="E422" s="55" t="s">
        <v>79</v>
      </c>
      <c r="F422" s="55" t="s">
        <v>258</v>
      </c>
      <c r="G422" s="55">
        <v>1840.0</v>
      </c>
      <c r="H422" s="55" t="s">
        <v>1131</v>
      </c>
      <c r="I422" s="55" t="s">
        <v>6033</v>
      </c>
      <c r="J422" s="55" t="s">
        <v>6034</v>
      </c>
      <c r="K422" s="55" t="s">
        <v>61</v>
      </c>
      <c r="L422" s="55" t="s">
        <v>5396</v>
      </c>
      <c r="M422" s="55" t="s">
        <v>78</v>
      </c>
      <c r="N422" s="55" t="s">
        <v>79</v>
      </c>
      <c r="O422" s="55" t="s">
        <v>415</v>
      </c>
      <c r="P422" s="55" t="s">
        <v>110</v>
      </c>
      <c r="Q422" s="67" t="str">
        <f>IFERROR(__xludf.DUMMYFUNCTION("""COMPUTED_VALUE"""),"Germany.giaotiep.M597_HG4601_MES_HuyLG_051225")</f>
        <v>Germany.giaotiep.M597_HG4601_MES_HuyLG_051225</v>
      </c>
      <c r="R422" s="67" t="str">
        <f>IFERROR(__xludf.DUMMYFUNCTION("""COMPUTED_VALUE"""),"NEW_Germany_1840_none_051225")</f>
        <v>NEW_Germany_1840_none_051225</v>
      </c>
      <c r="S422" s="67" t="str">
        <f>IFERROR(__xludf.DUMMYFUNCTION("""COMPUTED_VALUE"""),"saletructiep_Germany.M597.1840.giaotiep_TATTPVN_LD247")</f>
        <v>saletructiep_Germany.M597.1840.giaotiep_TATTPVN_LD247</v>
      </c>
      <c r="T422" s="107" t="str">
        <f>IFERROR(__xludf.DUMMYFUNCTION("""COMPUTED_VALUE"""),"https://patadovietnam.edu.vn/hlg1908/?utm_source=Facebook&amp;utm_medium=MES&amp;utm_term=NEW_Germany_1840_none_051225&amp;utm_content=saletructiep_Germany.M597.1840.giaotiep_TATTPVN_LD247&amp;utm_campaign=Germany.giaotiep.M597_HG4601_MES_HuyLG_051225")</f>
        <v>https://patadovietnam.edu.vn/hlg1908/?utm_source=Facebook&amp;utm_medium=MES&amp;utm_term=NEW_Germany_1840_none_051225&amp;utm_content=saletructiep_Germany.M597.1840.giaotiep_TATTPVN_LD247&amp;utm_campaign=Germany.giaotiep.M597_HG4601_MES_HuyLG_051225</v>
      </c>
      <c r="U422" s="110" t="s">
        <v>6036</v>
      </c>
    </row>
    <row r="423">
      <c r="A423" s="72">
        <v>45996.0</v>
      </c>
      <c r="B423" s="133" t="s">
        <v>5729</v>
      </c>
      <c r="C423" s="67" t="str">
        <f>IFERROR(__xludf.DUMMYFUNCTION("""COMPUTED_VALUE"""),"LD247")</f>
        <v>LD247</v>
      </c>
      <c r="D423" s="55" t="s">
        <v>42</v>
      </c>
      <c r="E423" s="55" t="s">
        <v>79</v>
      </c>
      <c r="F423" s="55" t="s">
        <v>164</v>
      </c>
      <c r="G423" s="55">
        <v>1840.0</v>
      </c>
      <c r="H423" s="55" t="s">
        <v>1131</v>
      </c>
      <c r="I423" s="55" t="s">
        <v>6040</v>
      </c>
      <c r="J423" s="55" t="s">
        <v>6041</v>
      </c>
      <c r="K423" s="55" t="s">
        <v>61</v>
      </c>
      <c r="L423" s="55" t="s">
        <v>5437</v>
      </c>
      <c r="M423" s="55" t="s">
        <v>78</v>
      </c>
      <c r="N423" s="55" t="s">
        <v>79</v>
      </c>
      <c r="O423" s="55" t="s">
        <v>415</v>
      </c>
      <c r="P423" s="55" t="s">
        <v>110</v>
      </c>
      <c r="Q423" s="67" t="str">
        <f>IFERROR(__xludf.DUMMYFUNCTION("""COMPUTED_VALUE"""),"Taiwan.giaotiep.M597_LH3645_MES_HuyLG_051225")</f>
        <v>Taiwan.giaotiep.M597_LH3645_MES_HuyLG_051225</v>
      </c>
      <c r="R423" s="67" t="str">
        <f>IFERROR(__xludf.DUMMYFUNCTION("""COMPUTED_VALUE"""),"NEW_Taiwan_1840_none_051225")</f>
        <v>NEW_Taiwan_1840_none_051225</v>
      </c>
      <c r="S423" s="67" t="str">
        <f>IFERROR(__xludf.DUMMYFUNCTION("""COMPUTED_VALUE"""),"saletructiep_Taiwan.M597.1840.giaotiep_TATTPVN_LD247")</f>
        <v>saletructiep_Taiwan.M597.1840.giaotiep_TATTPVN_LD247</v>
      </c>
      <c r="T423" s="107" t="str">
        <f>IFERROR(__xludf.DUMMYFUNCTION("""COMPUTED_VALUE"""),"https://patadovietnam.edu.vn/hlg1908/?utm_source=Facebook&amp;utm_medium=MES&amp;utm_term=NEW_Taiwan_1840_none_051225&amp;utm_content=saletructiep_Taiwan.M597.1840.giaotiep_TATTPVN_LD247&amp;utm_campaign=Taiwan.giaotiep.M597_LH3645_MES_HuyLG_051225")</f>
        <v>https://patadovietnam.edu.vn/hlg1908/?utm_source=Facebook&amp;utm_medium=MES&amp;utm_term=NEW_Taiwan_1840_none_051225&amp;utm_content=saletructiep_Taiwan.M597.1840.giaotiep_TATTPVN_LD247&amp;utm_campaign=Taiwan.giaotiep.M597_LH3645_MES_HuyLG_051225</v>
      </c>
      <c r="U423" s="110" t="s">
        <v>6046</v>
      </c>
    </row>
    <row r="424">
      <c r="A424" s="72">
        <v>45996.0</v>
      </c>
      <c r="B424" s="133" t="s">
        <v>5729</v>
      </c>
      <c r="C424" s="67" t="str">
        <f>IFERROR(__xludf.DUMMYFUNCTION("""COMPUTED_VALUE"""),"LD247")</f>
        <v>LD247</v>
      </c>
      <c r="D424" s="55" t="s">
        <v>42</v>
      </c>
      <c r="E424" s="55" t="s">
        <v>79</v>
      </c>
      <c r="F424" s="55" t="s">
        <v>625</v>
      </c>
      <c r="G424" s="55">
        <v>1840.0</v>
      </c>
      <c r="H424" s="55" t="s">
        <v>1131</v>
      </c>
      <c r="I424" s="55" t="s">
        <v>6049</v>
      </c>
      <c r="J424" s="55" t="s">
        <v>6050</v>
      </c>
      <c r="K424" s="55" t="s">
        <v>61</v>
      </c>
      <c r="L424" s="55" t="s">
        <v>5437</v>
      </c>
      <c r="M424" s="55" t="s">
        <v>78</v>
      </c>
      <c r="N424" s="55" t="s">
        <v>79</v>
      </c>
      <c r="O424" s="55" t="s">
        <v>415</v>
      </c>
      <c r="P424" s="55" t="s">
        <v>110</v>
      </c>
      <c r="Q424" s="67" t="str">
        <f>IFERROR(__xludf.DUMMYFUNCTION("""COMPUTED_VALUE"""),"KoreaSouth.giaotiep.M598_LH3645_MES_HuyLG_051225")</f>
        <v>KoreaSouth.giaotiep.M598_LH3645_MES_HuyLG_051225</v>
      </c>
      <c r="R424" s="67" t="str">
        <f>IFERROR(__xludf.DUMMYFUNCTION("""COMPUTED_VALUE"""),"NEW_KoreaSouth_1840_none_051225")</f>
        <v>NEW_KoreaSouth_1840_none_051225</v>
      </c>
      <c r="S424" s="67" t="str">
        <f>IFERROR(__xludf.DUMMYFUNCTION("""COMPUTED_VALUE"""),"saletructiep_KoreaSouth.M598.1840.giaotiep_TATTPVN_LD247")</f>
        <v>saletructiep_KoreaSouth.M598.1840.giaotiep_TATTPVN_LD247</v>
      </c>
      <c r="T424" s="107" t="str">
        <f>IFERROR(__xludf.DUMMYFUNCTION("""COMPUTED_VALUE"""),"https://patadovietnam.edu.vn/hlg1908/?utm_source=Facebook&amp;utm_medium=MES&amp;utm_term=NEW_KoreaSouth_1840_none_051225&amp;utm_content=saletructiep_KoreaSouth.M598.1840.giaotiep_TATTPVN_LD247&amp;utm_campaign=KoreaSouth.giaotiep.M598_LH3645_MES_HuyLG_051225")</f>
        <v>https://patadovietnam.edu.vn/hlg1908/?utm_source=Facebook&amp;utm_medium=MES&amp;utm_term=NEW_KoreaSouth_1840_none_051225&amp;utm_content=saletructiep_KoreaSouth.M598.1840.giaotiep_TATTPVN_LD247&amp;utm_campaign=KoreaSouth.giaotiep.M598_LH3645_MES_HuyLG_051225</v>
      </c>
      <c r="U424" s="110" t="s">
        <v>6053</v>
      </c>
    </row>
    <row r="425">
      <c r="A425" s="72">
        <v>46000.0</v>
      </c>
      <c r="B425" s="133" t="s">
        <v>5729</v>
      </c>
      <c r="C425" s="67" t="str">
        <f>IFERROR(__xludf.DUMMYFUNCTION("""COMPUTED_VALUE"""),"LD247")</f>
        <v>LD247</v>
      </c>
      <c r="D425" s="55" t="s">
        <v>42</v>
      </c>
      <c r="E425" s="55" t="s">
        <v>79</v>
      </c>
      <c r="F425" s="55" t="s">
        <v>539</v>
      </c>
      <c r="G425" s="55">
        <v>1840.0</v>
      </c>
      <c r="H425" s="55" t="s">
        <v>1131</v>
      </c>
      <c r="I425" s="55" t="s">
        <v>5995</v>
      </c>
      <c r="J425" s="55" t="s">
        <v>5996</v>
      </c>
      <c r="K425" s="55" t="s">
        <v>61</v>
      </c>
      <c r="L425" s="55" t="s">
        <v>5396</v>
      </c>
      <c r="M425" s="55" t="s">
        <v>78</v>
      </c>
      <c r="N425" s="55" t="s">
        <v>79</v>
      </c>
      <c r="O425" s="55" t="s">
        <v>910</v>
      </c>
      <c r="P425" s="55" t="s">
        <v>110</v>
      </c>
      <c r="Q425" s="67" t="str">
        <f>IFERROR(__xludf.DUMMYFUNCTION("""COMPUTED_VALUE"""),"ALL.giaotiep.M597_HG4601_MES_HuyLG_091225")</f>
        <v>ALL.giaotiep.M597_HG4601_MES_HuyLG_091225</v>
      </c>
      <c r="R425" s="67" t="str">
        <f>IFERROR(__xludf.DUMMYFUNCTION("""COMPUTED_VALUE"""),"NEW_ALL_1840_none_091225")</f>
        <v>NEW_ALL_1840_none_091225</v>
      </c>
      <c r="S425" s="67" t="str">
        <f>IFERROR(__xludf.DUMMYFUNCTION("""COMPUTED_VALUE"""),"saletructiep_ALL.M597.1840.giaotiep_TATTP_LD247")</f>
        <v>saletructiep_ALL.M597.1840.giaotiep_TATTP_LD247</v>
      </c>
      <c r="T425" s="107" t="str">
        <f>IFERROR(__xludf.DUMMYFUNCTION("""COMPUTED_VALUE"""),"https://patadovietnam.edu.vn/hlg1908/?utm_source=Facebook&amp;utm_medium=MES&amp;utm_term=NEW_ALL_1840_none_091225&amp;utm_content=saletructiep_ALL.M597.1840.giaotiep_TATTP_LD247&amp;utm_campaign=ALL.giaotiep.M597_HG4601_MES_HuyLG_091225")</f>
        <v>https://patadovietnam.edu.vn/hlg1908/?utm_source=Facebook&amp;utm_medium=MES&amp;utm_term=NEW_ALL_1840_none_091225&amp;utm_content=saletructiep_ALL.M597.1840.giaotiep_TATTP_LD247&amp;utm_campaign=ALL.giaotiep.M597_HG4601_MES_HuyLG_091225</v>
      </c>
      <c r="U425" s="110" t="s">
        <v>6060</v>
      </c>
    </row>
    <row r="426">
      <c r="A426" s="72">
        <v>46000.0</v>
      </c>
      <c r="B426" s="133" t="s">
        <v>5729</v>
      </c>
      <c r="C426" s="67" t="str">
        <f>IFERROR(__xludf.DUMMYFUNCTION("""COMPUTED_VALUE"""),"LD247")</f>
        <v>LD247</v>
      </c>
      <c r="D426" s="55" t="s">
        <v>42</v>
      </c>
      <c r="E426" s="55" t="s">
        <v>79</v>
      </c>
      <c r="F426" s="55" t="s">
        <v>164</v>
      </c>
      <c r="G426" s="55">
        <v>1840.0</v>
      </c>
      <c r="H426" s="55" t="s">
        <v>1131</v>
      </c>
      <c r="I426" s="55" t="s">
        <v>6064</v>
      </c>
      <c r="J426" s="55" t="s">
        <v>6065</v>
      </c>
      <c r="K426" s="55" t="s">
        <v>61</v>
      </c>
      <c r="L426" s="55" t="s">
        <v>5437</v>
      </c>
      <c r="M426" s="55" t="s">
        <v>78</v>
      </c>
      <c r="N426" s="55" t="s">
        <v>79</v>
      </c>
      <c r="O426" s="55" t="s">
        <v>415</v>
      </c>
      <c r="P426" s="55" t="s">
        <v>110</v>
      </c>
      <c r="Q426" s="67" t="str">
        <f>IFERROR(__xludf.DUMMYFUNCTION("""COMPUTED_VALUE"""),"Taiwan.giaotiep.M598_LH3645_MES_HuyLG_091225")</f>
        <v>Taiwan.giaotiep.M598_LH3645_MES_HuyLG_091225</v>
      </c>
      <c r="R426" s="67" t="str">
        <f>IFERROR(__xludf.DUMMYFUNCTION("""COMPUTED_VALUE"""),"NEW_Taiwan_1840_none_091225")</f>
        <v>NEW_Taiwan_1840_none_091225</v>
      </c>
      <c r="S426" s="67" t="str">
        <f>IFERROR(__xludf.DUMMYFUNCTION("""COMPUTED_VALUE"""),"saletructiep_Taiwan.M598.1840.giaotiep_TATTPVN_LD247")</f>
        <v>saletructiep_Taiwan.M598.1840.giaotiep_TATTPVN_LD247</v>
      </c>
      <c r="T426" s="107" t="str">
        <f>IFERROR(__xludf.DUMMYFUNCTION("""COMPUTED_VALUE"""),"https://patadovietnam.edu.vn/hlg1908/?utm_source=Facebook&amp;utm_medium=MES&amp;utm_term=NEW_Taiwan_1840_none_091225&amp;utm_content=saletructiep_Taiwan.M598.1840.giaotiep_TATTPVN_LD247&amp;utm_campaign=Taiwan.giaotiep.M598_LH3645_MES_HuyLG_091225")</f>
        <v>https://patadovietnam.edu.vn/hlg1908/?utm_source=Facebook&amp;utm_medium=MES&amp;utm_term=NEW_Taiwan_1840_none_091225&amp;utm_content=saletructiep_Taiwan.M598.1840.giaotiep_TATTPVN_LD247&amp;utm_campaign=Taiwan.giaotiep.M598_LH3645_MES_HuyLG_091225</v>
      </c>
      <c r="U426" s="110" t="s">
        <v>6074</v>
      </c>
    </row>
    <row r="427">
      <c r="A427" s="72">
        <v>46000.0</v>
      </c>
      <c r="B427" s="133" t="s">
        <v>5729</v>
      </c>
      <c r="C427" s="67" t="str">
        <f>IFERROR(__xludf.DUMMYFUNCTION("""COMPUTED_VALUE"""),"LD247")</f>
        <v>LD247</v>
      </c>
      <c r="D427" s="143" t="s">
        <v>42</v>
      </c>
      <c r="E427" s="86" t="s">
        <v>69</v>
      </c>
      <c r="F427" s="86" t="s">
        <v>258</v>
      </c>
      <c r="G427" s="211">
        <v>1840.0</v>
      </c>
      <c r="H427" s="86" t="s">
        <v>1131</v>
      </c>
      <c r="I427" s="86" t="s">
        <v>5679</v>
      </c>
      <c r="J427" s="55" t="s">
        <v>6076</v>
      </c>
      <c r="K427" s="86" t="s">
        <v>61</v>
      </c>
      <c r="L427" s="55" t="s">
        <v>5437</v>
      </c>
      <c r="M427" s="86" t="s">
        <v>78</v>
      </c>
      <c r="N427" s="86" t="s">
        <v>69</v>
      </c>
      <c r="O427" s="86" t="s">
        <v>910</v>
      </c>
      <c r="P427" s="86" t="s">
        <v>110</v>
      </c>
      <c r="Q427" s="67" t="str">
        <f>IFERROR(__xludf.DUMMYFUNCTION("""COMPUTED_VALUE"""),"Germany.giaotiep.M496_LH3645_CVS_HuyLG_091225")</f>
        <v>Germany.giaotiep.M496_LH3645_CVS_HuyLG_091225</v>
      </c>
      <c r="R427" s="67" t="str">
        <f>IFERROR(__xludf.DUMMYFUNCTION("""COMPUTED_VALUE"""),"NEW_Germany_1840_none_091225")</f>
        <v>NEW_Germany_1840_none_091225</v>
      </c>
      <c r="S427" s="67" t="str">
        <f>IFERROR(__xludf.DUMMYFUNCTION("""COMPUTED_VALUE"""),"saletructiep_Germany.M496.1840.giaotiep_TATTP_LD247")</f>
        <v>saletructiep_Germany.M496.1840.giaotiep_TATTP_LD247</v>
      </c>
      <c r="T427" s="107" t="str">
        <f>IFERROR(__xludf.DUMMYFUNCTION("""COMPUTED_VALUE"""),"https://patadovietnam.edu.vn/hlg1908/?utm_source=Facebook&amp;utm_medium=CVS&amp;utm_term=NEW_Germany_1840_none_091225&amp;utm_content=saletructiep_Germany.M496.1840.giaotiep_TATTP_LD247&amp;utm_campaign=Germany.giaotiep.M496_LH3645_CVS_HuyLG_091225")</f>
        <v>https://patadovietnam.edu.vn/hlg1908/?utm_source=Facebook&amp;utm_medium=CVS&amp;utm_term=NEW_Germany_1840_none_091225&amp;utm_content=saletructiep_Germany.M496.1840.giaotiep_TATTP_LD247&amp;utm_campaign=Germany.giaotiep.M496_LH3645_CVS_HuyLG_091225</v>
      </c>
      <c r="U427" s="110" t="s">
        <v>6080</v>
      </c>
    </row>
    <row r="428">
      <c r="A428" s="72">
        <v>46000.0</v>
      </c>
      <c r="B428" s="133" t="s">
        <v>5729</v>
      </c>
      <c r="C428" s="67" t="str">
        <f>IFERROR(__xludf.DUMMYFUNCTION("""COMPUTED_VALUE"""),"LD247")</f>
        <v>LD247</v>
      </c>
      <c r="D428" s="143" t="s">
        <v>42</v>
      </c>
      <c r="E428" s="55" t="s">
        <v>79</v>
      </c>
      <c r="F428" s="55" t="s">
        <v>674</v>
      </c>
      <c r="G428" s="211">
        <v>1840.0</v>
      </c>
      <c r="H428" s="86" t="s">
        <v>1131</v>
      </c>
      <c r="I428" s="55" t="s">
        <v>6082</v>
      </c>
      <c r="J428" s="55" t="s">
        <v>6083</v>
      </c>
      <c r="K428" s="86" t="s">
        <v>61</v>
      </c>
      <c r="L428" s="55" t="s">
        <v>5437</v>
      </c>
      <c r="M428" s="86" t="s">
        <v>78</v>
      </c>
      <c r="N428" s="55" t="s">
        <v>79</v>
      </c>
      <c r="O428" s="55" t="s">
        <v>415</v>
      </c>
      <c r="P428" s="86" t="s">
        <v>110</v>
      </c>
      <c r="Q428" s="67" t="str">
        <f>IFERROR(__xludf.DUMMYFUNCTION("""COMPUTED_VALUE"""),"Europe.giaotiep.M597_LH3645_MES_HuyLG_091225")</f>
        <v>Europe.giaotiep.M597_LH3645_MES_HuyLG_091225</v>
      </c>
      <c r="R428" s="67" t="str">
        <f>IFERROR(__xludf.DUMMYFUNCTION("""COMPUTED_VALUE"""),"NEW_Europe_1840_none_091225")</f>
        <v>NEW_Europe_1840_none_091225</v>
      </c>
      <c r="S428" s="67" t="str">
        <f>IFERROR(__xludf.DUMMYFUNCTION("""COMPUTED_VALUE"""),"saletructiep_Europe.M597.1840.giaotiep_TATTPVN_LD247")</f>
        <v>saletructiep_Europe.M597.1840.giaotiep_TATTPVN_LD247</v>
      </c>
      <c r="T428" s="107" t="str">
        <f>IFERROR(__xludf.DUMMYFUNCTION("""COMPUTED_VALUE"""),"https://patadovietnam.edu.vn/hlg1908/?utm_source=Facebook&amp;utm_medium=MES&amp;utm_term=NEW_Europe_1840_none_091225&amp;utm_content=saletructiep_Europe.M597.1840.giaotiep_TATTPVN_LD247&amp;utm_campaign=Europe.giaotiep.M597_LH3645_MES_HuyLG_091225")</f>
        <v>https://patadovietnam.edu.vn/hlg1908/?utm_source=Facebook&amp;utm_medium=MES&amp;utm_term=NEW_Europe_1840_none_091225&amp;utm_content=saletructiep_Europe.M597.1840.giaotiep_TATTPVN_LD247&amp;utm_campaign=Europe.giaotiep.M597_LH3645_MES_HuyLG_091225</v>
      </c>
      <c r="U428" s="110" t="s">
        <v>6090</v>
      </c>
    </row>
    <row r="429">
      <c r="A429" s="72">
        <v>46003.0</v>
      </c>
      <c r="B429" s="133" t="s">
        <v>6093</v>
      </c>
      <c r="C429" s="67" t="str">
        <f>IFERROR(__xludf.DUMMYFUNCTION("""COMPUTED_VALUE"""),"LD274")</f>
        <v>LD274</v>
      </c>
      <c r="D429" s="143" t="s">
        <v>42</v>
      </c>
      <c r="E429" s="55" t="s">
        <v>79</v>
      </c>
      <c r="F429" s="55" t="s">
        <v>129</v>
      </c>
      <c r="G429" s="55">
        <v>1840.0</v>
      </c>
      <c r="H429" s="55" t="s">
        <v>1131</v>
      </c>
      <c r="I429" s="55" t="s">
        <v>6095</v>
      </c>
      <c r="J429" s="55" t="s">
        <v>6096</v>
      </c>
      <c r="K429" s="55" t="s">
        <v>61</v>
      </c>
      <c r="L429" s="143" t="s">
        <v>317</v>
      </c>
      <c r="M429" s="55" t="s">
        <v>78</v>
      </c>
      <c r="N429" s="55" t="s">
        <v>79</v>
      </c>
      <c r="O429" s="55" t="s">
        <v>415</v>
      </c>
      <c r="P429" s="55" t="s">
        <v>110</v>
      </c>
      <c r="Q429" s="67" t="str">
        <f>IFERROR(__xludf.DUMMYFUNCTION("""COMPUTED_VALUE"""),"Australia.giaotiep.M300_XuBen.5018_MES_HuyLG_121225")</f>
        <v>Australia.giaotiep.M300_XuBen.5018_MES_HuyLG_121225</v>
      </c>
      <c r="R429" s="67" t="str">
        <f>IFERROR(__xludf.DUMMYFUNCTION("""COMPUTED_VALUE"""),"NEW_Australia_1840_none_121225")</f>
        <v>NEW_Australia_1840_none_121225</v>
      </c>
      <c r="S429" s="67" t="str">
        <f>IFERROR(__xludf.DUMMYFUNCTION("""COMPUTED_VALUE"""),"saletructiep_Australia.M300.1840.giaotiep_TATTPVN_LD274")</f>
        <v>saletructiep_Australia.M300.1840.giaotiep_TATTPVN_LD274</v>
      </c>
      <c r="T429" s="107" t="str">
        <f>IFERROR(__xludf.DUMMYFUNCTION("""COMPUTED_VALUE"""),"https://patado.edu.vn/hlg_pgpgtta_gt/?utm_source=Facebook&amp;utm_medium=MES&amp;utm_term=NEW_Australia_1840_none_121225&amp;utm_content=saletructiep_Australia.M300.1840.giaotiep_TATTPVN_LD274&amp;utm_campaign=Australia.giaotiep.M300_XuBen.5018_MES_HuyLG_121225")</f>
        <v>https://patado.edu.vn/hlg_pgpgtta_gt/?utm_source=Facebook&amp;utm_medium=MES&amp;utm_term=NEW_Australia_1840_none_121225&amp;utm_content=saletructiep_Australia.M300.1840.giaotiep_TATTPVN_LD274&amp;utm_campaign=Australia.giaotiep.M300_XuBen.5018_MES_HuyLG_121225</v>
      </c>
      <c r="U429" s="110" t="s">
        <v>6102</v>
      </c>
    </row>
    <row r="430">
      <c r="A430" s="72">
        <v>46003.0</v>
      </c>
      <c r="B430" s="133" t="s">
        <v>5729</v>
      </c>
      <c r="C430" s="67" t="str">
        <f>IFERROR(__xludf.DUMMYFUNCTION("""COMPUTED_VALUE"""),"LD247")</f>
        <v>LD247</v>
      </c>
      <c r="D430" s="143" t="s">
        <v>42</v>
      </c>
      <c r="E430" s="55" t="s">
        <v>79</v>
      </c>
      <c r="F430" s="55" t="s">
        <v>129</v>
      </c>
      <c r="G430" s="55">
        <v>1840.0</v>
      </c>
      <c r="H430" s="55" t="s">
        <v>1131</v>
      </c>
      <c r="I430" s="55" t="s">
        <v>6104</v>
      </c>
      <c r="J430" s="55" t="s">
        <v>6105</v>
      </c>
      <c r="K430" s="55" t="s">
        <v>61</v>
      </c>
      <c r="L430" s="143" t="s">
        <v>317</v>
      </c>
      <c r="M430" s="55" t="s">
        <v>78</v>
      </c>
      <c r="N430" s="55" t="s">
        <v>79</v>
      </c>
      <c r="O430" s="55" t="s">
        <v>3271</v>
      </c>
      <c r="P430" s="55" t="s">
        <v>110</v>
      </c>
      <c r="Q430" s="67" t="str">
        <f>IFERROR(__xludf.DUMMYFUNCTION("""COMPUTED_VALUE"""),"Australia.giaotiep.M597_XuBen.5018_MES_HuyLG_121225")</f>
        <v>Australia.giaotiep.M597_XuBen.5018_MES_HuyLG_121225</v>
      </c>
      <c r="R430" s="67" t="str">
        <f>IFERROR(__xludf.DUMMYFUNCTION("""COMPUTED_VALUE"""),"NEW_Australia_1840_none_121225")</f>
        <v>NEW_Australia_1840_none_121225</v>
      </c>
      <c r="S430" s="67" t="str">
        <f>IFERROR(__xludf.DUMMYFUNCTION("""COMPUTED_VALUE"""),"saletructiep_Australia.M597.1840.giaotiep_PGPGTTA_LD247")</f>
        <v>saletructiep_Australia.M597.1840.giaotiep_PGPGTTA_LD247</v>
      </c>
      <c r="T430" s="107" t="str">
        <f>IFERROR(__xludf.DUMMYFUNCTION("""COMPUTED_VALUE"""),"https://patadovietnam.edu.vn/hlg1908/?utm_source=Facebook&amp;utm_medium=MES&amp;utm_term=NEW_Australia_1840_none_121225&amp;utm_content=saletructiep_Australia.M597.1840.giaotiep_PGPGTTA_LD247&amp;utm_campaign=Australia.giaotiep.M597_XuBen.5018_MES_HuyLG_121225")</f>
        <v>https://patadovietnam.edu.vn/hlg1908/?utm_source=Facebook&amp;utm_medium=MES&amp;utm_term=NEW_Australia_1840_none_121225&amp;utm_content=saletructiep_Australia.M597.1840.giaotiep_PGPGTTA_LD247&amp;utm_campaign=Australia.giaotiep.M597_XuBen.5018_MES_HuyLG_121225</v>
      </c>
      <c r="U430" s="110" t="s">
        <v>6109</v>
      </c>
    </row>
    <row r="431">
      <c r="A431" s="72">
        <v>46003.0</v>
      </c>
      <c r="B431" s="133" t="s">
        <v>5729</v>
      </c>
      <c r="C431" s="67" t="str">
        <f>IFERROR(__xludf.DUMMYFUNCTION("""COMPUTED_VALUE"""),"LD247")</f>
        <v>LD247</v>
      </c>
      <c r="D431" s="143" t="s">
        <v>42</v>
      </c>
      <c r="E431" s="55" t="s">
        <v>79</v>
      </c>
      <c r="F431" s="55" t="s">
        <v>107</v>
      </c>
      <c r="G431" s="55">
        <v>1840.0</v>
      </c>
      <c r="H431" s="55" t="s">
        <v>1131</v>
      </c>
      <c r="I431" s="55" t="s">
        <v>6128</v>
      </c>
      <c r="J431" s="55" t="s">
        <v>6129</v>
      </c>
      <c r="K431" s="55" t="s">
        <v>61</v>
      </c>
      <c r="L431" s="143" t="s">
        <v>317</v>
      </c>
      <c r="M431" s="55" t="s">
        <v>78</v>
      </c>
      <c r="N431" s="55" t="s">
        <v>79</v>
      </c>
      <c r="O431" s="55" t="s">
        <v>910</v>
      </c>
      <c r="P431" s="55" t="s">
        <v>110</v>
      </c>
      <c r="Q431" s="67" t="str">
        <f>IFERROR(__xludf.DUMMYFUNCTION("""COMPUTED_VALUE"""),"UnitedStates.giaotiep.M594_XuBen.5018_MES_HuyLG_121225")</f>
        <v>UnitedStates.giaotiep.M594_XuBen.5018_MES_HuyLG_121225</v>
      </c>
      <c r="R431" s="67" t="str">
        <f>IFERROR(__xludf.DUMMYFUNCTION("""COMPUTED_VALUE"""),"NEW_UnitedStates_1840_none_121225")</f>
        <v>NEW_UnitedStates_1840_none_121225</v>
      </c>
      <c r="S431" s="67" t="str">
        <f>IFERROR(__xludf.DUMMYFUNCTION("""COMPUTED_VALUE"""),"saletructiep_UnitedStates.M594.1840.giaotiep_TATTP_LD247")</f>
        <v>saletructiep_UnitedStates.M594.1840.giaotiep_TATTP_LD247</v>
      </c>
      <c r="T431" s="107" t="str">
        <f>IFERROR(__xludf.DUMMYFUNCTION("""COMPUTED_VALUE"""),"https://patadovietnam.edu.vn/hlg1908/?utm_source=Facebook&amp;utm_medium=MES&amp;utm_term=NEW_UnitedStates_1840_none_121225&amp;utm_content=saletructiep_UnitedStates.M594.1840.giaotiep_TATTP_LD247&amp;utm_campaign=UnitedStates.giaotiep.M594_XuBen.5018_MES_HuyLG_121225")</f>
        <v>https://patadovietnam.edu.vn/hlg1908/?utm_source=Facebook&amp;utm_medium=MES&amp;utm_term=NEW_UnitedStates_1840_none_121225&amp;utm_content=saletructiep_UnitedStates.M594.1840.giaotiep_TATTP_LD247&amp;utm_campaign=UnitedStates.giaotiep.M594_XuBen.5018_MES_HuyLG_121225</v>
      </c>
      <c r="U431" s="110" t="s">
        <v>6131</v>
      </c>
    </row>
    <row r="432">
      <c r="A432" s="72">
        <v>46003.0</v>
      </c>
      <c r="B432" s="133" t="s">
        <v>5729</v>
      </c>
      <c r="C432" s="67" t="str">
        <f>IFERROR(__xludf.DUMMYFUNCTION("""COMPUTED_VALUE"""),"LD247")</f>
        <v>LD247</v>
      </c>
      <c r="D432" s="143" t="s">
        <v>42</v>
      </c>
      <c r="E432" s="55" t="s">
        <v>79</v>
      </c>
      <c r="F432" s="55" t="s">
        <v>539</v>
      </c>
      <c r="G432" s="55">
        <v>1840.0</v>
      </c>
      <c r="H432" s="55" t="s">
        <v>1131</v>
      </c>
      <c r="I432" s="55" t="s">
        <v>6134</v>
      </c>
      <c r="J432" s="55" t="s">
        <v>6135</v>
      </c>
      <c r="K432" s="55" t="s">
        <v>61</v>
      </c>
      <c r="L432" s="143" t="s">
        <v>317</v>
      </c>
      <c r="M432" s="55" t="s">
        <v>78</v>
      </c>
      <c r="N432" s="55" t="s">
        <v>79</v>
      </c>
      <c r="O432" s="55" t="s">
        <v>415</v>
      </c>
      <c r="P432" s="55" t="s">
        <v>110</v>
      </c>
      <c r="Q432" s="67" t="str">
        <f>IFERROR(__xludf.DUMMYFUNCTION("""COMPUTED_VALUE"""),"ALL.giaotiep.M594_XuBen.5018_MES_HuyLG_121225")</f>
        <v>ALL.giaotiep.M594_XuBen.5018_MES_HuyLG_121225</v>
      </c>
      <c r="R432" s="67" t="str">
        <f>IFERROR(__xludf.DUMMYFUNCTION("""COMPUTED_VALUE"""),"NEW_ALL_1840_none_121225")</f>
        <v>NEW_ALL_1840_none_121225</v>
      </c>
      <c r="S432" s="67" t="str">
        <f>IFERROR(__xludf.DUMMYFUNCTION("""COMPUTED_VALUE"""),"saletructiep_ALL.M594.1840.giaotiep_TATTPVN_LD247")</f>
        <v>saletructiep_ALL.M594.1840.giaotiep_TATTPVN_LD247</v>
      </c>
      <c r="T432" s="107" t="str">
        <f>IFERROR(__xludf.DUMMYFUNCTION("""COMPUTED_VALUE"""),"https://patadovietnam.edu.vn/hlg1908/?utm_source=Facebook&amp;utm_medium=MES&amp;utm_term=NEW_ALL_1840_none_121225&amp;utm_content=saletructiep_ALL.M594.1840.giaotiep_TATTPVN_LD247&amp;utm_campaign=ALL.giaotiep.M594_XuBen.5018_MES_HuyLG_121225")</f>
        <v>https://patadovietnam.edu.vn/hlg1908/?utm_source=Facebook&amp;utm_medium=MES&amp;utm_term=NEW_ALL_1840_none_121225&amp;utm_content=saletructiep_ALL.M594.1840.giaotiep_TATTPVN_LD247&amp;utm_campaign=ALL.giaotiep.M594_XuBen.5018_MES_HuyLG_121225</v>
      </c>
      <c r="U432" s="110" t="s">
        <v>6139</v>
      </c>
    </row>
    <row r="433">
      <c r="A433" s="72">
        <v>46003.0</v>
      </c>
      <c r="B433" s="133" t="s">
        <v>5729</v>
      </c>
      <c r="C433" s="67" t="str">
        <f>IFERROR(__xludf.DUMMYFUNCTION("""COMPUTED_VALUE"""),"LD247")</f>
        <v>LD247</v>
      </c>
      <c r="D433" s="143" t="s">
        <v>42</v>
      </c>
      <c r="E433" s="87" t="s">
        <v>79</v>
      </c>
      <c r="F433" s="55" t="s">
        <v>625</v>
      </c>
      <c r="G433" s="55">
        <v>1840.0</v>
      </c>
      <c r="H433" s="55" t="s">
        <v>1131</v>
      </c>
      <c r="I433" s="55" t="s">
        <v>6140</v>
      </c>
      <c r="J433" s="55" t="s">
        <v>6141</v>
      </c>
      <c r="K433" s="55" t="s">
        <v>61</v>
      </c>
      <c r="L433" s="55" t="s">
        <v>5437</v>
      </c>
      <c r="M433" s="55" t="s">
        <v>78</v>
      </c>
      <c r="N433" s="55" t="s">
        <v>79</v>
      </c>
      <c r="O433" s="55" t="s">
        <v>910</v>
      </c>
      <c r="P433" s="55" t="s">
        <v>110</v>
      </c>
      <c r="Q433" s="67" t="str">
        <f>IFERROR(__xludf.DUMMYFUNCTION("""COMPUTED_VALUE"""),"KoreaSouth.giaotiep.M594_LH3645_MES_HuyLG_121225")</f>
        <v>KoreaSouth.giaotiep.M594_LH3645_MES_HuyLG_121225</v>
      </c>
      <c r="R433" s="67" t="str">
        <f>IFERROR(__xludf.DUMMYFUNCTION("""COMPUTED_VALUE"""),"NEW_KoreaSouth_1840_none_121225")</f>
        <v>NEW_KoreaSouth_1840_none_121225</v>
      </c>
      <c r="S433" s="67" t="str">
        <f>IFERROR(__xludf.DUMMYFUNCTION("""COMPUTED_VALUE"""),"saletructiep_KoreaSouth.M594.1840.giaotiep_TATTP_LD247")</f>
        <v>saletructiep_KoreaSouth.M594.1840.giaotiep_TATTP_LD247</v>
      </c>
      <c r="T433" s="107" t="str">
        <f>IFERROR(__xludf.DUMMYFUNCTION("""COMPUTED_VALUE"""),"https://patadovietnam.edu.vn/hlg1908/?utm_source=Facebook&amp;utm_medium=MES&amp;utm_term=NEW_KoreaSouth_1840_none_121225&amp;utm_content=saletructiep_KoreaSouth.M594.1840.giaotiep_TATTP_LD247&amp;utm_campaign=KoreaSouth.giaotiep.M594_LH3645_MES_HuyLG_121225")</f>
        <v>https://patadovietnam.edu.vn/hlg1908/?utm_source=Facebook&amp;utm_medium=MES&amp;utm_term=NEW_KoreaSouth_1840_none_121225&amp;utm_content=saletructiep_KoreaSouth.M594.1840.giaotiep_TATTP_LD247&amp;utm_campaign=KoreaSouth.giaotiep.M594_LH3645_MES_HuyLG_121225</v>
      </c>
      <c r="U433" s="110" t="s">
        <v>6144</v>
      </c>
    </row>
    <row r="434">
      <c r="A434" s="72">
        <v>46007.0</v>
      </c>
      <c r="B434" s="60" t="s">
        <v>4785</v>
      </c>
      <c r="C434" s="67" t="str">
        <f>IFERROR(__xludf.DUMMYFUNCTION("""COMPUTED_VALUE"""),"LD229")</f>
        <v>LD229</v>
      </c>
      <c r="D434" s="143" t="s">
        <v>42</v>
      </c>
      <c r="E434" s="87" t="s">
        <v>79</v>
      </c>
      <c r="F434" s="55" t="s">
        <v>674</v>
      </c>
      <c r="G434" s="55">
        <v>1840.0</v>
      </c>
      <c r="H434" s="55" t="s">
        <v>1131</v>
      </c>
      <c r="I434" s="55" t="s">
        <v>6147</v>
      </c>
      <c r="J434" s="55" t="s">
        <v>6148</v>
      </c>
      <c r="K434" s="55" t="s">
        <v>61</v>
      </c>
      <c r="L434" s="143" t="s">
        <v>317</v>
      </c>
      <c r="M434" s="55" t="s">
        <v>78</v>
      </c>
      <c r="N434" s="55" t="s">
        <v>79</v>
      </c>
      <c r="O434" s="55" t="s">
        <v>415</v>
      </c>
      <c r="P434" s="55" t="s">
        <v>110</v>
      </c>
      <c r="Q434" s="67" t="str">
        <f>IFERROR(__xludf.DUMMYFUNCTION("""COMPUTED_VALUE"""),"Europe.giaotiep.M580_XuBen.5018_MES_HuyLG_161225")</f>
        <v>Europe.giaotiep.M580_XuBen.5018_MES_HuyLG_161225</v>
      </c>
      <c r="R434" s="67" t="str">
        <f>IFERROR(__xludf.DUMMYFUNCTION("""COMPUTED_VALUE"""),"NEW_Europe_1840_none_161225")</f>
        <v>NEW_Europe_1840_none_161225</v>
      </c>
      <c r="S434" s="67" t="str">
        <f>IFERROR(__xludf.DUMMYFUNCTION("""COMPUTED_VALUE"""),"saletructiep_Europe.M580.1840.giaotiep_TATTPVN_LD229")</f>
        <v>saletructiep_Europe.M580.1840.giaotiep_TATTPVN_LD229</v>
      </c>
      <c r="T434" s="120" t="str">
        <f>IFERROR(__xludf.DUMMYFUNCTION("""COMPUTED_VALUE"""),"https://patadovietnam.edu.vn/hlg_tattpvn_gt/?utm_source=Facebook&amp;utm_medium=MES&amp;utm_term=NEW_Europe_1840_none_161225&amp;utm_content=saletructiep_Europe.M580.1840.giaotiep_TATTPVN_LD229&amp;utm_campaign=Europe.giaotiep.M580_XuBen.5018_MES_HuyLG_161225")</f>
        <v>https://patadovietnam.edu.vn/hlg_tattpvn_gt/?utm_source=Facebook&amp;utm_medium=MES&amp;utm_term=NEW_Europe_1840_none_161225&amp;utm_content=saletructiep_Europe.M580.1840.giaotiep_TATTPVN_LD229&amp;utm_campaign=Europe.giaotiep.M580_XuBen.5018_MES_HuyLG_161225</v>
      </c>
      <c r="U434" s="110" t="s">
        <v>6150</v>
      </c>
    </row>
    <row r="435">
      <c r="A435" s="72">
        <v>46007.0</v>
      </c>
      <c r="B435" s="60" t="s">
        <v>4785</v>
      </c>
      <c r="C435" s="67" t="str">
        <f>IFERROR(__xludf.DUMMYFUNCTION("""COMPUTED_VALUE"""),"LD229")</f>
        <v>LD229</v>
      </c>
      <c r="D435" s="55" t="s">
        <v>42</v>
      </c>
      <c r="E435" s="87" t="s">
        <v>79</v>
      </c>
      <c r="F435" s="55" t="s">
        <v>133</v>
      </c>
      <c r="G435" s="55">
        <v>1840.0</v>
      </c>
      <c r="H435" s="55" t="s">
        <v>1131</v>
      </c>
      <c r="I435" s="55" t="s">
        <v>6153</v>
      </c>
      <c r="J435" s="55" t="s">
        <v>6154</v>
      </c>
      <c r="K435" s="55" t="s">
        <v>61</v>
      </c>
      <c r="L435" s="143" t="s">
        <v>317</v>
      </c>
      <c r="M435" s="55" t="s">
        <v>78</v>
      </c>
      <c r="N435" s="55" t="s">
        <v>79</v>
      </c>
      <c r="O435" s="55" t="s">
        <v>3271</v>
      </c>
      <c r="P435" s="55" t="s">
        <v>110</v>
      </c>
      <c r="Q435" s="67" t="str">
        <f>IFERROR(__xludf.DUMMYFUNCTION("""COMPUTED_VALUE"""),"Japan.giaotiep.M580_XuBen.5018_MES_HuyLG_161225")</f>
        <v>Japan.giaotiep.M580_XuBen.5018_MES_HuyLG_161225</v>
      </c>
      <c r="R435" s="67" t="str">
        <f>IFERROR(__xludf.DUMMYFUNCTION("""COMPUTED_VALUE"""),"NEW_Japan_1840_none_161225")</f>
        <v>NEW_Japan_1840_none_161225</v>
      </c>
      <c r="S435" s="67" t="str">
        <f>IFERROR(__xludf.DUMMYFUNCTION("""COMPUTED_VALUE"""),"saletructiep_Japan.M580.1840.giaotiep_PGPGTTA_LD229")</f>
        <v>saletructiep_Japan.M580.1840.giaotiep_PGPGTTA_LD229</v>
      </c>
      <c r="T435" s="120" t="str">
        <f>IFERROR(__xludf.DUMMYFUNCTION("""COMPUTED_VALUE"""),"https://patadovietnam.edu.vn/hlg_tattpvn_gt/?utm_source=Facebook&amp;utm_medium=MES&amp;utm_term=NEW_Japan_1840_none_161225&amp;utm_content=saletructiep_Japan.M580.1840.giaotiep_PGPGTTA_LD229&amp;utm_campaign=Japan.giaotiep.M580_XuBen.5018_MES_HuyLG_161225")</f>
        <v>https://patadovietnam.edu.vn/hlg_tattpvn_gt/?utm_source=Facebook&amp;utm_medium=MES&amp;utm_term=NEW_Japan_1840_none_161225&amp;utm_content=saletructiep_Japan.M580.1840.giaotiep_PGPGTTA_LD229&amp;utm_campaign=Japan.giaotiep.M580_XuBen.5018_MES_HuyLG_161225</v>
      </c>
      <c r="U435" s="110" t="s">
        <v>6155</v>
      </c>
    </row>
    <row r="436">
      <c r="A436" s="72">
        <v>46007.0</v>
      </c>
      <c r="B436" s="60" t="s">
        <v>4760</v>
      </c>
      <c r="C436" s="67" t="str">
        <f>IFERROR(__xludf.DUMMYFUNCTION("""COMPUTED_VALUE"""),"LD226")</f>
        <v>LD226</v>
      </c>
      <c r="D436" s="55" t="s">
        <v>42</v>
      </c>
      <c r="E436" s="87" t="s">
        <v>79</v>
      </c>
      <c r="F436" s="55" t="s">
        <v>625</v>
      </c>
      <c r="G436" s="55">
        <v>1840.0</v>
      </c>
      <c r="H436" s="55" t="s">
        <v>1131</v>
      </c>
      <c r="I436" s="55" t="s">
        <v>6159</v>
      </c>
      <c r="J436" s="55" t="s">
        <v>6160</v>
      </c>
      <c r="K436" s="55" t="s">
        <v>61</v>
      </c>
      <c r="L436" s="143" t="s">
        <v>317</v>
      </c>
      <c r="M436" s="55" t="s">
        <v>78</v>
      </c>
      <c r="N436" s="55" t="s">
        <v>79</v>
      </c>
      <c r="O436" s="55" t="s">
        <v>3271</v>
      </c>
      <c r="P436" s="55" t="s">
        <v>110</v>
      </c>
      <c r="Q436" s="67" t="str">
        <f>IFERROR(__xludf.DUMMYFUNCTION("""COMPUTED_VALUE"""),"KoreaSouth.giaotiep.M580_XuBen.5018_MES_HuyLG_161225")</f>
        <v>KoreaSouth.giaotiep.M580_XuBen.5018_MES_HuyLG_161225</v>
      </c>
      <c r="R436" s="67" t="str">
        <f>IFERROR(__xludf.DUMMYFUNCTION("""COMPUTED_VALUE"""),"NEW_KoreaSouth_1840_none_161225")</f>
        <v>NEW_KoreaSouth_1840_none_161225</v>
      </c>
      <c r="S436" s="67" t="str">
        <f>IFERROR(__xludf.DUMMYFUNCTION("""COMPUTED_VALUE"""),"saletructiep_KoreaSouth.M580.1840.giaotiep_PGPGTTA_LD226")</f>
        <v>saletructiep_KoreaSouth.M580.1840.giaotiep_PGPGTTA_LD226</v>
      </c>
      <c r="T436" s="120" t="str">
        <f>IFERROR(__xludf.DUMMYFUNCTION("""COMPUTED_VALUE"""),"https://patadovietnam.edu.vn/hlg_pgpgtta_gt/?utm_source=Facebook&amp;utm_medium=MES&amp;utm_term=NEW_KoreaSouth_1840_none_161225&amp;utm_content=saletructiep_KoreaSouth.M580.1840.giaotiep_PGPGTTA_LD226&amp;utm_campaign=KoreaSouth.giaotiep.M580_XuBen.5018_MES_HuyLG_161225")</f>
        <v>https://patadovietnam.edu.vn/hlg_pgpgtta_gt/?utm_source=Facebook&amp;utm_medium=MES&amp;utm_term=NEW_KoreaSouth_1840_none_161225&amp;utm_content=saletructiep_KoreaSouth.M580.1840.giaotiep_PGPGTTA_LD226&amp;utm_campaign=KoreaSouth.giaotiep.M580_XuBen.5018_MES_HuyLG_161225</v>
      </c>
      <c r="U436" s="110" t="s">
        <v>5423</v>
      </c>
    </row>
    <row r="437">
      <c r="A437" s="72">
        <v>46007.0</v>
      </c>
      <c r="B437" s="60" t="s">
        <v>4760</v>
      </c>
      <c r="C437" s="67" t="str">
        <f>IFERROR(__xludf.DUMMYFUNCTION("""COMPUTED_VALUE"""),"LD226")</f>
        <v>LD226</v>
      </c>
      <c r="D437" s="55" t="s">
        <v>42</v>
      </c>
      <c r="E437" s="87" t="s">
        <v>79</v>
      </c>
      <c r="F437" s="55" t="s">
        <v>107</v>
      </c>
      <c r="G437" s="55">
        <v>1840.0</v>
      </c>
      <c r="H437" s="55" t="s">
        <v>1131</v>
      </c>
      <c r="I437" s="55" t="s">
        <v>6164</v>
      </c>
      <c r="J437" s="55" t="s">
        <v>6165</v>
      </c>
      <c r="K437" s="55" t="s">
        <v>61</v>
      </c>
      <c r="L437" s="55" t="s">
        <v>5437</v>
      </c>
      <c r="M437" s="55" t="s">
        <v>78</v>
      </c>
      <c r="N437" s="55" t="s">
        <v>79</v>
      </c>
      <c r="O437" s="55" t="s">
        <v>3271</v>
      </c>
      <c r="P437" s="55" t="s">
        <v>110</v>
      </c>
      <c r="Q437" s="67" t="str">
        <f>IFERROR(__xludf.DUMMYFUNCTION("""COMPUTED_VALUE"""),"UnitedStates.Giaotiep.M561_LH3645_MES_HuyLG_161225")</f>
        <v>UnitedStates.Giaotiep.M561_LH3645_MES_HuyLG_161225</v>
      </c>
      <c r="R437" s="67" t="str">
        <f>IFERROR(__xludf.DUMMYFUNCTION("""COMPUTED_VALUE"""),"NEW_UnitedStates_1840_none_161225")</f>
        <v>NEW_UnitedStates_1840_none_161225</v>
      </c>
      <c r="S437" s="67" t="str">
        <f>IFERROR(__xludf.DUMMYFUNCTION("""COMPUTED_VALUE"""),"saletructiep_UnitedStates.M561.1840.giaotiep_PGPGTTA_LD226")</f>
        <v>saletructiep_UnitedStates.M561.1840.giaotiep_PGPGTTA_LD226</v>
      </c>
      <c r="T437" s="107" t="str">
        <f>IFERROR(__xludf.DUMMYFUNCTION("""COMPUTED_VALUE"""),"https://patadovietnam.edu.vn/hlg_pgpgtta_gt/?utm_source=Facebook&amp;utm_medium=MES&amp;utm_term=NEW_UnitedStates_1840_none_161225&amp;utm_content=saletructiep_UnitedStates.M561.1840.giaotiep_PGPGTTA_LD226&amp;utm_campaign=UnitedStates.Giaotiep.M561_LH3645_MES_HuyLG_1612"&amp;"25")</f>
        <v>https://patadovietnam.edu.vn/hlg_pgpgtta_gt/?utm_source=Facebook&amp;utm_medium=MES&amp;utm_term=NEW_UnitedStates_1840_none_161225&amp;utm_content=saletructiep_UnitedStates.M561.1840.giaotiep_PGPGTTA_LD226&amp;utm_campaign=UnitedStates.Giaotiep.M561_LH3645_MES_HuyLG_161225</v>
      </c>
      <c r="U437" s="110" t="s">
        <v>6167</v>
      </c>
    </row>
    <row r="438">
      <c r="A438" s="72">
        <v>46008.0</v>
      </c>
      <c r="B438" s="60" t="s">
        <v>6093</v>
      </c>
      <c r="C438" s="67" t="str">
        <f>IFERROR(__xludf.DUMMYFUNCTION("""COMPUTED_VALUE"""),"LD274")</f>
        <v>LD274</v>
      </c>
      <c r="D438" s="55" t="s">
        <v>42</v>
      </c>
      <c r="E438" s="87" t="s">
        <v>79</v>
      </c>
      <c r="F438" s="55" t="s">
        <v>674</v>
      </c>
      <c r="G438" s="55">
        <v>1840.0</v>
      </c>
      <c r="H438" s="55" t="s">
        <v>1131</v>
      </c>
      <c r="I438" s="55" t="s">
        <v>6170</v>
      </c>
      <c r="J438" s="55" t="s">
        <v>6171</v>
      </c>
      <c r="K438" s="55" t="s">
        <v>61</v>
      </c>
      <c r="L438" s="143" t="s">
        <v>317</v>
      </c>
      <c r="M438" s="55" t="s">
        <v>78</v>
      </c>
      <c r="N438" s="55" t="s">
        <v>79</v>
      </c>
      <c r="O438" s="55" t="s">
        <v>3271</v>
      </c>
      <c r="P438" s="55" t="s">
        <v>110</v>
      </c>
      <c r="Q438" s="67" t="str">
        <f>IFERROR(__xludf.DUMMYFUNCTION("""COMPUTED_VALUE"""),"Europe.giaotiep.M605_XuBen.5018_MES_HuyLG_171225")</f>
        <v>Europe.giaotiep.M605_XuBen.5018_MES_HuyLG_171225</v>
      </c>
      <c r="R438" s="67" t="str">
        <f>IFERROR(__xludf.DUMMYFUNCTION("""COMPUTED_VALUE"""),"NEW_Europe_1840_none_171225")</f>
        <v>NEW_Europe_1840_none_171225</v>
      </c>
      <c r="S438" s="67" t="str">
        <f>IFERROR(__xludf.DUMMYFUNCTION("""COMPUTED_VALUE"""),"saletructiep_Europe.M605.1840.giaotiep_PGPGTTA_LD274")</f>
        <v>saletructiep_Europe.M605.1840.giaotiep_PGPGTTA_LD274</v>
      </c>
      <c r="T438" s="107" t="str">
        <f>IFERROR(__xludf.DUMMYFUNCTION("""COMPUTED_VALUE"""),"https://patado.edu.vn/hlg_pgpgtta_gt/?utm_source=Facebook&amp;utm_medium=MES&amp;utm_term=NEW_Europe_1840_none_171225&amp;utm_content=saletructiep_Europe.M605.1840.giaotiep_PGPGTTA_LD274&amp;utm_campaign=Europe.giaotiep.M605_XuBen.5018_MES_HuyLG_171225")</f>
        <v>https://patado.edu.vn/hlg_pgpgtta_gt/?utm_source=Facebook&amp;utm_medium=MES&amp;utm_term=NEW_Europe_1840_none_171225&amp;utm_content=saletructiep_Europe.M605.1840.giaotiep_PGPGTTA_LD274&amp;utm_campaign=Europe.giaotiep.M605_XuBen.5018_MES_HuyLG_171225</v>
      </c>
      <c r="U438" s="110" t="s">
        <v>6172</v>
      </c>
    </row>
    <row r="439">
      <c r="A439" s="72">
        <v>46008.0</v>
      </c>
      <c r="B439" s="60" t="s">
        <v>4785</v>
      </c>
      <c r="C439" s="67" t="str">
        <f>IFERROR(__xludf.DUMMYFUNCTION("""COMPUTED_VALUE"""),"LD229")</f>
        <v>LD229</v>
      </c>
      <c r="D439" s="55" t="s">
        <v>42</v>
      </c>
      <c r="E439" s="87" t="s">
        <v>79</v>
      </c>
      <c r="F439" s="55" t="s">
        <v>674</v>
      </c>
      <c r="G439" s="55">
        <v>1840.0</v>
      </c>
      <c r="H439" s="55" t="s">
        <v>1131</v>
      </c>
      <c r="I439" s="55" t="s">
        <v>6174</v>
      </c>
      <c r="J439" s="55" t="s">
        <v>6175</v>
      </c>
      <c r="K439" s="55" t="s">
        <v>61</v>
      </c>
      <c r="L439" s="55" t="s">
        <v>5396</v>
      </c>
      <c r="M439" s="55" t="s">
        <v>78</v>
      </c>
      <c r="N439" s="55" t="s">
        <v>79</v>
      </c>
      <c r="O439" s="55" t="s">
        <v>415</v>
      </c>
      <c r="P439" s="55" t="s">
        <v>110</v>
      </c>
      <c r="Q439" s="67" t="str">
        <f>IFERROR(__xludf.DUMMYFUNCTION("""COMPUTED_VALUE"""),"Europe.giaotiep.M594_HG4601_MES_HuyLG_171225")</f>
        <v>Europe.giaotiep.M594_HG4601_MES_HuyLG_171225</v>
      </c>
      <c r="R439" s="67" t="str">
        <f>IFERROR(__xludf.DUMMYFUNCTION("""COMPUTED_VALUE"""),"NEW_Europe_1840_none_171225")</f>
        <v>NEW_Europe_1840_none_171225</v>
      </c>
      <c r="S439" s="67" t="str">
        <f>IFERROR(__xludf.DUMMYFUNCTION("""COMPUTED_VALUE"""),"saletructiep_Europe.M594.1840.giaotiep_TATTPVN_LD229")</f>
        <v>saletructiep_Europe.M594.1840.giaotiep_TATTPVN_LD229</v>
      </c>
      <c r="T439" s="107" t="str">
        <f>IFERROR(__xludf.DUMMYFUNCTION("""COMPUTED_VALUE"""),"https://patadovietnam.edu.vn/hlg_tattpvn_gt/?utm_source=Facebook&amp;utm_medium=MES&amp;utm_term=NEW_Europe_1840_none_171225&amp;utm_content=saletructiep_Europe.M594.1840.giaotiep_TATTPVN_LD229&amp;utm_campaign=Europe.giaotiep.M594_HG4601_MES_HuyLG_171225")</f>
        <v>https://patadovietnam.edu.vn/hlg_tattpvn_gt/?utm_source=Facebook&amp;utm_medium=MES&amp;utm_term=NEW_Europe_1840_none_171225&amp;utm_content=saletructiep_Europe.M594.1840.giaotiep_TATTPVN_LD229&amp;utm_campaign=Europe.giaotiep.M594_HG4601_MES_HuyLG_171225</v>
      </c>
      <c r="U439" s="110" t="s">
        <v>6181</v>
      </c>
    </row>
    <row r="440">
      <c r="A440" s="72">
        <v>46008.0</v>
      </c>
      <c r="B440" s="60" t="s">
        <v>4785</v>
      </c>
      <c r="C440" s="67" t="str">
        <f>IFERROR(__xludf.DUMMYFUNCTION("""COMPUTED_VALUE"""),"LD229")</f>
        <v>LD229</v>
      </c>
      <c r="D440" s="55" t="s">
        <v>42</v>
      </c>
      <c r="E440" s="87" t="s">
        <v>79</v>
      </c>
      <c r="F440" s="55" t="s">
        <v>174</v>
      </c>
      <c r="G440" s="55">
        <v>1840.0</v>
      </c>
      <c r="H440" s="55" t="s">
        <v>1131</v>
      </c>
      <c r="I440" s="55" t="s">
        <v>6183</v>
      </c>
      <c r="J440" s="55" t="s">
        <v>6184</v>
      </c>
      <c r="K440" s="55" t="s">
        <v>61</v>
      </c>
      <c r="L440" s="55" t="s">
        <v>5396</v>
      </c>
      <c r="M440" s="55" t="s">
        <v>78</v>
      </c>
      <c r="N440" s="55" t="s">
        <v>79</v>
      </c>
      <c r="O440" s="55" t="s">
        <v>415</v>
      </c>
      <c r="P440" s="55" t="s">
        <v>110</v>
      </c>
      <c r="Q440" s="67" t="str">
        <f>IFERROR(__xludf.DUMMYFUNCTION("""COMPUTED_VALUE"""),"Philippines.giaotiep.M594_HG4601_MES_HuyLG_171225")</f>
        <v>Philippines.giaotiep.M594_HG4601_MES_HuyLG_171225</v>
      </c>
      <c r="R440" s="67" t="str">
        <f>IFERROR(__xludf.DUMMYFUNCTION("""COMPUTED_VALUE"""),"NEW_Philippines_1840_none_171225")</f>
        <v>NEW_Philippines_1840_none_171225</v>
      </c>
      <c r="S440" s="67" t="str">
        <f>IFERROR(__xludf.DUMMYFUNCTION("""COMPUTED_VALUE"""),"saletructiep_Philippines.M594.1840.giaotiep_TATTPVN_LD229")</f>
        <v>saletructiep_Philippines.M594.1840.giaotiep_TATTPVN_LD229</v>
      </c>
      <c r="T440" s="107" t="str">
        <f>IFERROR(__xludf.DUMMYFUNCTION("""COMPUTED_VALUE"""),"https://patadovietnam.edu.vn/hlg_tattpvn_gt/?utm_source=Facebook&amp;utm_medium=MES&amp;utm_term=NEW_Philippines_1840_none_171225&amp;utm_content=saletructiep_Philippines.M594.1840.giaotiep_TATTPVN_LD229&amp;utm_campaign=Philippines.giaotiep.M594_HG4601_MES_HuyLG_171225")</f>
        <v>https://patadovietnam.edu.vn/hlg_tattpvn_gt/?utm_source=Facebook&amp;utm_medium=MES&amp;utm_term=NEW_Philippines_1840_none_171225&amp;utm_content=saletructiep_Philippines.M594.1840.giaotiep_TATTPVN_LD229&amp;utm_campaign=Philippines.giaotiep.M594_HG4601_MES_HuyLG_171225</v>
      </c>
      <c r="U440" s="110" t="s">
        <v>6189</v>
      </c>
    </row>
    <row r="441">
      <c r="A441" s="72">
        <v>46008.0</v>
      </c>
      <c r="B441" s="60" t="s">
        <v>4887</v>
      </c>
      <c r="C441" s="67" t="str">
        <f>IFERROR(__xludf.DUMMYFUNCTION("""COMPUTED_VALUE"""),"LD233")</f>
        <v>LD233</v>
      </c>
      <c r="D441" s="55" t="s">
        <v>42</v>
      </c>
      <c r="E441" s="87" t="s">
        <v>79</v>
      </c>
      <c r="F441" s="55" t="s">
        <v>488</v>
      </c>
      <c r="G441" s="55">
        <v>1840.0</v>
      </c>
      <c r="H441" s="55" t="s">
        <v>1131</v>
      </c>
      <c r="I441" s="55" t="s">
        <v>6192</v>
      </c>
      <c r="J441" s="55" t="s">
        <v>6193</v>
      </c>
      <c r="K441" s="55" t="s">
        <v>61</v>
      </c>
      <c r="L441" s="55" t="s">
        <v>5396</v>
      </c>
      <c r="M441" s="55" t="s">
        <v>78</v>
      </c>
      <c r="N441" s="55" t="s">
        <v>79</v>
      </c>
      <c r="O441" s="55" t="s">
        <v>910</v>
      </c>
      <c r="P441" s="55" t="s">
        <v>110</v>
      </c>
      <c r="Q441" s="67" t="str">
        <f>IFERROR(__xludf.DUMMYFUNCTION("""COMPUTED_VALUE"""),"Thailand.giaotiep.M594_HG4601_MES_HuyLG_171225")</f>
        <v>Thailand.giaotiep.M594_HG4601_MES_HuyLG_171225</v>
      </c>
      <c r="R441" s="67" t="str">
        <f>IFERROR(__xludf.DUMMYFUNCTION("""COMPUTED_VALUE"""),"NEW_Thailand_1840_none_171225")</f>
        <v>NEW_Thailand_1840_none_171225</v>
      </c>
      <c r="S441" s="67" t="str">
        <f>IFERROR(__xludf.DUMMYFUNCTION("""COMPUTED_VALUE"""),"saletructiep_Thailand.M594.1840.giaotiep_TATTP_LD233")</f>
        <v>saletructiep_Thailand.M594.1840.giaotiep_TATTP_LD233</v>
      </c>
      <c r="T441" s="107" t="str">
        <f>IFERROR(__xludf.DUMMYFUNCTION("""COMPUTED_VALUE"""),"https://patadovietnam.edu.vn/hlg_tattp_gt/?utm_source=Facebook&amp;utm_medium=MES&amp;utm_term=NEW_Thailand_1840_none_171225&amp;utm_content=saletructiep_Thailand.M594.1840.giaotiep_TATTP_LD233&amp;utm_campaign=Thailand.giaotiep.M594_HG4601_MES_HuyLG_171225")</f>
        <v>https://patadovietnam.edu.vn/hlg_tattp_gt/?utm_source=Facebook&amp;utm_medium=MES&amp;utm_term=NEW_Thailand_1840_none_171225&amp;utm_content=saletructiep_Thailand.M594.1840.giaotiep_TATTP_LD233&amp;utm_campaign=Thailand.giaotiep.M594_HG4601_MES_HuyLG_171225</v>
      </c>
      <c r="U441" s="110" t="s">
        <v>6198</v>
      </c>
    </row>
    <row r="442">
      <c r="A442" s="72">
        <v>46010.0</v>
      </c>
      <c r="B442" s="60" t="s">
        <v>4760</v>
      </c>
      <c r="C442" s="67" t="str">
        <f>IFERROR(__xludf.DUMMYFUNCTION("""COMPUTED_VALUE"""),"LD226")</f>
        <v>LD226</v>
      </c>
      <c r="D442" s="55" t="s">
        <v>42</v>
      </c>
      <c r="E442" s="87" t="s">
        <v>79</v>
      </c>
      <c r="F442" s="55" t="s">
        <v>107</v>
      </c>
      <c r="G442" s="55">
        <v>1840.0</v>
      </c>
      <c r="H442" s="55" t="s">
        <v>1131</v>
      </c>
      <c r="I442" s="55" t="s">
        <v>6202</v>
      </c>
      <c r="J442" s="55" t="s">
        <v>6203</v>
      </c>
      <c r="K442" s="55" t="s">
        <v>61</v>
      </c>
      <c r="L442" s="143" t="s">
        <v>317</v>
      </c>
      <c r="M442" s="55" t="s">
        <v>78</v>
      </c>
      <c r="N442" s="55" t="s">
        <v>79</v>
      </c>
      <c r="O442" s="55" t="s">
        <v>3271</v>
      </c>
      <c r="P442" s="55" t="s">
        <v>110</v>
      </c>
      <c r="Q442" s="67" t="str">
        <f>IFERROR(__xludf.DUMMYFUNCTION("""COMPUTED_VALUE"""),"UnitedStates.giaotiep.M603_XuBen.5018_MES_HuyLG_191225")</f>
        <v>UnitedStates.giaotiep.M603_XuBen.5018_MES_HuyLG_191225</v>
      </c>
      <c r="R442" s="67" t="str">
        <f>IFERROR(__xludf.DUMMYFUNCTION("""COMPUTED_VALUE"""),"NEW_UnitedStates_1840_none_191225")</f>
        <v>NEW_UnitedStates_1840_none_191225</v>
      </c>
      <c r="S442" s="67" t="str">
        <f>IFERROR(__xludf.DUMMYFUNCTION("""COMPUTED_VALUE"""),"saletructiep_UnitedStates.M603.1840.giaotiep_PGPGTTA_LD226")</f>
        <v>saletructiep_UnitedStates.M603.1840.giaotiep_PGPGTTA_LD226</v>
      </c>
      <c r="T442" s="107" t="str">
        <f>IFERROR(__xludf.DUMMYFUNCTION("""COMPUTED_VALUE"""),"https://patadovietnam.edu.vn/hlg_pgpgtta_gt/?utm_source=Facebook&amp;utm_medium=MES&amp;utm_term=NEW_UnitedStates_1840_none_191225&amp;utm_content=saletructiep_UnitedStates.M603.1840.giaotiep_PGPGTTA_LD226&amp;utm_campaign=UnitedStates.giaotiep.M603_XuBen.5018_MES_HuyLG_"&amp;"191225")</f>
        <v>https://patadovietnam.edu.vn/hlg_pgpgtta_gt/?utm_source=Facebook&amp;utm_medium=MES&amp;utm_term=NEW_UnitedStates_1840_none_191225&amp;utm_content=saletructiep_UnitedStates.M603.1840.giaotiep_PGPGTTA_LD226&amp;utm_campaign=UnitedStates.giaotiep.M603_XuBen.5018_MES_HuyLG_191225</v>
      </c>
      <c r="U442" s="110" t="s">
        <v>6207</v>
      </c>
    </row>
    <row r="443">
      <c r="A443" s="72">
        <v>46010.0</v>
      </c>
      <c r="B443" s="60" t="s">
        <v>4760</v>
      </c>
      <c r="C443" s="67" t="str">
        <f>IFERROR(__xludf.DUMMYFUNCTION("""COMPUTED_VALUE"""),"LD226")</f>
        <v>LD226</v>
      </c>
      <c r="D443" s="55" t="s">
        <v>42</v>
      </c>
      <c r="E443" s="87" t="s">
        <v>79</v>
      </c>
      <c r="F443" s="55" t="s">
        <v>133</v>
      </c>
      <c r="G443" s="55">
        <v>1840.0</v>
      </c>
      <c r="H443" s="55" t="s">
        <v>1131</v>
      </c>
      <c r="I443" s="55" t="s">
        <v>6211</v>
      </c>
      <c r="J443" s="55" t="s">
        <v>6212</v>
      </c>
      <c r="K443" s="55" t="s">
        <v>61</v>
      </c>
      <c r="L443" s="143" t="s">
        <v>317</v>
      </c>
      <c r="M443" s="55" t="s">
        <v>78</v>
      </c>
      <c r="N443" s="55" t="s">
        <v>79</v>
      </c>
      <c r="O443" s="55" t="s">
        <v>3271</v>
      </c>
      <c r="P443" s="55" t="s">
        <v>110</v>
      </c>
      <c r="Q443" s="67" t="str">
        <f>IFERROR(__xludf.DUMMYFUNCTION("""COMPUTED_VALUE"""),"Japan.giaotiep.M603_XuBen.5018_MES_HuyLG_191225")</f>
        <v>Japan.giaotiep.M603_XuBen.5018_MES_HuyLG_191225</v>
      </c>
      <c r="R443" s="67" t="str">
        <f>IFERROR(__xludf.DUMMYFUNCTION("""COMPUTED_VALUE"""),"NEW_Japan_1840_none_191225")</f>
        <v>NEW_Japan_1840_none_191225</v>
      </c>
      <c r="S443" s="67" t="str">
        <f>IFERROR(__xludf.DUMMYFUNCTION("""COMPUTED_VALUE"""),"saletructiep_Japan.M603.1840.giaotiep_PGPGTTA_LD226")</f>
        <v>saletructiep_Japan.M603.1840.giaotiep_PGPGTTA_LD226</v>
      </c>
      <c r="T443" s="120" t="str">
        <f>IFERROR(__xludf.DUMMYFUNCTION("""COMPUTED_VALUE"""),"https://patadovietnam.edu.vn/hlg_pgpgtta_gt/?utm_source=Facebook&amp;utm_medium=MES&amp;utm_term=NEW_Japan_1840_none_191225&amp;utm_content=saletructiep_Japan.M603.1840.giaotiep_PGPGTTA_LD226&amp;utm_campaign=Japan.giaotiep.M603_XuBen.5018_MES_HuyLG_191225")</f>
        <v>https://patadovietnam.edu.vn/hlg_pgpgtta_gt/?utm_source=Facebook&amp;utm_medium=MES&amp;utm_term=NEW_Japan_1840_none_191225&amp;utm_content=saletructiep_Japan.M603.1840.giaotiep_PGPGTTA_LD226&amp;utm_campaign=Japan.giaotiep.M603_XuBen.5018_MES_HuyLG_191225</v>
      </c>
      <c r="U443" s="110" t="s">
        <v>6216</v>
      </c>
    </row>
    <row r="444">
      <c r="A444" s="72">
        <v>46010.0</v>
      </c>
      <c r="B444" s="234" t="s">
        <v>4760</v>
      </c>
      <c r="C444" s="58" t="str">
        <f>IFERROR(__xludf.DUMMYFUNCTION("""COMPUTED_VALUE"""),"LD226")</f>
        <v>LD226</v>
      </c>
      <c r="D444" s="86" t="s">
        <v>42</v>
      </c>
      <c r="E444" s="86" t="s">
        <v>79</v>
      </c>
      <c r="F444" s="55" t="s">
        <v>674</v>
      </c>
      <c r="G444" s="211">
        <v>1840.0</v>
      </c>
      <c r="H444" s="86" t="s">
        <v>1131</v>
      </c>
      <c r="I444" s="87" t="s">
        <v>6219</v>
      </c>
      <c r="J444" s="87" t="s">
        <v>6220</v>
      </c>
      <c r="K444" s="86" t="s">
        <v>61</v>
      </c>
      <c r="L444" s="86" t="s">
        <v>317</v>
      </c>
      <c r="M444" s="86" t="s">
        <v>78</v>
      </c>
      <c r="N444" s="86" t="s">
        <v>79</v>
      </c>
      <c r="O444" s="86" t="s">
        <v>3271</v>
      </c>
      <c r="P444" s="86" t="s">
        <v>110</v>
      </c>
      <c r="Q444" s="67" t="str">
        <f>IFERROR(__xludf.DUMMYFUNCTION("""COMPUTED_VALUE"""),"Europe.giaotiep.M603_XuBen.5018_MES_HuyLG_191225")</f>
        <v>Europe.giaotiep.M603_XuBen.5018_MES_HuyLG_191225</v>
      </c>
      <c r="R444" s="67" t="str">
        <f>IFERROR(__xludf.DUMMYFUNCTION("""COMPUTED_VALUE"""),"NEW_Europe_1840_none_191225")</f>
        <v>NEW_Europe_1840_none_191225</v>
      </c>
      <c r="S444" s="67" t="str">
        <f>IFERROR(__xludf.DUMMYFUNCTION("""COMPUTED_VALUE"""),"saletructiep_Europe.M603.1840.giaotiep_PGPGTTA_LD226")</f>
        <v>saletructiep_Europe.M603.1840.giaotiep_PGPGTTA_LD226</v>
      </c>
      <c r="T444" s="107" t="str">
        <f>IFERROR(__xludf.DUMMYFUNCTION("""COMPUTED_VALUE"""),"https://patadovietnam.edu.vn/hlg_pgpgtta_gt/?utm_source=Facebook&amp;utm_medium=MES&amp;utm_term=NEW_Europe_1840_none_191225&amp;utm_content=saletructiep_Europe.M603.1840.giaotiep_PGPGTTA_LD226&amp;utm_campaign=Europe.giaotiep.M603_XuBen.5018_MES_HuyLG_191225")</f>
        <v>https://patadovietnam.edu.vn/hlg_pgpgtta_gt/?utm_source=Facebook&amp;utm_medium=MES&amp;utm_term=NEW_Europe_1840_none_191225&amp;utm_content=saletructiep_Europe.M603.1840.giaotiep_PGPGTTA_LD226&amp;utm_campaign=Europe.giaotiep.M603_XuBen.5018_MES_HuyLG_191225</v>
      </c>
      <c r="U444" s="110" t="s">
        <v>6225</v>
      </c>
    </row>
    <row r="445">
      <c r="A445" s="72">
        <v>46010.0</v>
      </c>
      <c r="B445" s="234" t="s">
        <v>4760</v>
      </c>
      <c r="C445" s="58" t="str">
        <f>IFERROR(__xludf.DUMMYFUNCTION("""COMPUTED_VALUE"""),"LD226")</f>
        <v>LD226</v>
      </c>
      <c r="D445" s="86" t="s">
        <v>42</v>
      </c>
      <c r="E445" s="86" t="s">
        <v>79</v>
      </c>
      <c r="F445" s="55" t="s">
        <v>129</v>
      </c>
      <c r="G445" s="211">
        <v>1840.0</v>
      </c>
      <c r="H445" s="86" t="s">
        <v>1131</v>
      </c>
      <c r="I445" s="87" t="s">
        <v>6228</v>
      </c>
      <c r="J445" s="87" t="s">
        <v>6229</v>
      </c>
      <c r="K445" s="86" t="s">
        <v>61</v>
      </c>
      <c r="L445" s="87" t="s">
        <v>5437</v>
      </c>
      <c r="M445" s="86" t="s">
        <v>78</v>
      </c>
      <c r="N445" s="86" t="s">
        <v>79</v>
      </c>
      <c r="O445" s="86" t="s">
        <v>3271</v>
      </c>
      <c r="P445" s="86" t="s">
        <v>110</v>
      </c>
      <c r="Q445" s="67" t="str">
        <f>IFERROR(__xludf.DUMMYFUNCTION("""COMPUTED_VALUE"""),"Australia.giaotiep.M603_LH3645_MES_HuyLG_191225")</f>
        <v>Australia.giaotiep.M603_LH3645_MES_HuyLG_191225</v>
      </c>
      <c r="R445" s="67" t="str">
        <f>IFERROR(__xludf.DUMMYFUNCTION("""COMPUTED_VALUE"""),"NEW_Australia_1840_none_191225")</f>
        <v>NEW_Australia_1840_none_191225</v>
      </c>
      <c r="S445" s="67" t="str">
        <f>IFERROR(__xludf.DUMMYFUNCTION("""COMPUTED_VALUE"""),"saletructiep_Australia.M603.1840.giaotiep_PGPGTTA_LD226")</f>
        <v>saletructiep_Australia.M603.1840.giaotiep_PGPGTTA_LD226</v>
      </c>
      <c r="T445" s="107" t="str">
        <f>IFERROR(__xludf.DUMMYFUNCTION("""COMPUTED_VALUE"""),"https://patadovietnam.edu.vn/hlg_pgpgtta_gt/?utm_source=Facebook&amp;utm_medium=MES&amp;utm_term=NEW_Australia_1840_none_191225&amp;utm_content=saletructiep_Australia.M603.1840.giaotiep_PGPGTTA_LD226&amp;utm_campaign=Australia.giaotiep.M603_LH3645_MES_HuyLG_191225")</f>
        <v>https://patadovietnam.edu.vn/hlg_pgpgtta_gt/?utm_source=Facebook&amp;utm_medium=MES&amp;utm_term=NEW_Australia_1840_none_191225&amp;utm_content=saletructiep_Australia.M603.1840.giaotiep_PGPGTTA_LD226&amp;utm_campaign=Australia.giaotiep.M603_LH3645_MES_HuyLG_191225</v>
      </c>
      <c r="U445" s="110" t="s">
        <v>6235</v>
      </c>
    </row>
    <row r="446">
      <c r="A446" s="72">
        <v>46010.0</v>
      </c>
      <c r="B446" s="234" t="s">
        <v>4760</v>
      </c>
      <c r="C446" s="58" t="str">
        <f>IFERROR(__xludf.DUMMYFUNCTION("""COMPUTED_VALUE"""),"LD226")</f>
        <v>LD226</v>
      </c>
      <c r="D446" s="86" t="s">
        <v>42</v>
      </c>
      <c r="E446" s="86" t="s">
        <v>79</v>
      </c>
      <c r="F446" s="55" t="s">
        <v>625</v>
      </c>
      <c r="G446" s="211">
        <v>1840.0</v>
      </c>
      <c r="H446" s="86" t="s">
        <v>1131</v>
      </c>
      <c r="I446" s="87" t="s">
        <v>6236</v>
      </c>
      <c r="J446" s="87" t="s">
        <v>6237</v>
      </c>
      <c r="K446" s="86" t="s">
        <v>61</v>
      </c>
      <c r="L446" s="87" t="s">
        <v>5437</v>
      </c>
      <c r="M446" s="86" t="s">
        <v>78</v>
      </c>
      <c r="N446" s="86" t="s">
        <v>79</v>
      </c>
      <c r="O446" s="55" t="s">
        <v>415</v>
      </c>
      <c r="P446" s="86" t="s">
        <v>110</v>
      </c>
      <c r="Q446" s="67" t="str">
        <f>IFERROR(__xludf.DUMMYFUNCTION("""COMPUTED_VALUE"""),"KoreaSouth.giaotiep.M603_LH3645_MES_HuyLG_191225")</f>
        <v>KoreaSouth.giaotiep.M603_LH3645_MES_HuyLG_191225</v>
      </c>
      <c r="R446" s="67" t="str">
        <f>IFERROR(__xludf.DUMMYFUNCTION("""COMPUTED_VALUE"""),"NEW_KoreaSouth_1840_none_191225")</f>
        <v>NEW_KoreaSouth_1840_none_191225</v>
      </c>
      <c r="S446" s="67" t="str">
        <f>IFERROR(__xludf.DUMMYFUNCTION("""COMPUTED_VALUE"""),"saletructiep_KoreaSouth.M603.1840.giaotiep_TATTPVN_LD226")</f>
        <v>saletructiep_KoreaSouth.M603.1840.giaotiep_TATTPVN_LD226</v>
      </c>
      <c r="T446" s="107" t="str">
        <f>IFERROR(__xludf.DUMMYFUNCTION("""COMPUTED_VALUE"""),"https://patadovietnam.edu.vn/hlg_pgpgtta_gt/?utm_source=Facebook&amp;utm_medium=MES&amp;utm_term=NEW_KoreaSouth_1840_none_191225&amp;utm_content=saletructiep_KoreaSouth.M603.1840.giaotiep_TATTPVN_LD226&amp;utm_campaign=KoreaSouth.giaotiep.M603_LH3645_MES_HuyLG_191225")</f>
        <v>https://patadovietnam.edu.vn/hlg_pgpgtta_gt/?utm_source=Facebook&amp;utm_medium=MES&amp;utm_term=NEW_KoreaSouth_1840_none_191225&amp;utm_content=saletructiep_KoreaSouth.M603.1840.giaotiep_TATTPVN_LD226&amp;utm_campaign=KoreaSouth.giaotiep.M603_LH3645_MES_HuyLG_191225</v>
      </c>
      <c r="U446" s="110" t="s">
        <v>6243</v>
      </c>
    </row>
    <row r="447">
      <c r="A447" s="72">
        <v>46014.0</v>
      </c>
      <c r="B447" s="60" t="s">
        <v>3977</v>
      </c>
      <c r="C447" s="67" t="str">
        <f>IFERROR(__xludf.DUMMYFUNCTION("""COMPUTED_VALUE"""),"LD279")</f>
        <v>LD279</v>
      </c>
      <c r="D447" s="55" t="s">
        <v>42</v>
      </c>
      <c r="E447" s="87" t="s">
        <v>79</v>
      </c>
      <c r="F447" s="55" t="s">
        <v>133</v>
      </c>
      <c r="G447" s="55">
        <v>1840.0</v>
      </c>
      <c r="H447" s="55" t="s">
        <v>1131</v>
      </c>
      <c r="I447" s="55" t="s">
        <v>6244</v>
      </c>
      <c r="J447" s="55" t="s">
        <v>6245</v>
      </c>
      <c r="K447" s="55" t="s">
        <v>61</v>
      </c>
      <c r="L447" s="55" t="s">
        <v>5396</v>
      </c>
      <c r="M447" s="55" t="s">
        <v>78</v>
      </c>
      <c r="N447" s="55" t="s">
        <v>79</v>
      </c>
      <c r="O447" s="55" t="s">
        <v>910</v>
      </c>
      <c r="P447" s="55" t="s">
        <v>110</v>
      </c>
      <c r="Q447" s="67" t="str">
        <f>IFERROR(__xludf.DUMMYFUNCTION("""COMPUTED_VALUE"""),"Japan.giaotiep.M605_HG4601_MES_HuyLG_231225")</f>
        <v>Japan.giaotiep.M605_HG4601_MES_HuyLG_231225</v>
      </c>
      <c r="R447" s="67" t="str">
        <f>IFERROR(__xludf.DUMMYFUNCTION("""COMPUTED_VALUE"""),"NEW_Japan_1840_none_231225")</f>
        <v>NEW_Japan_1840_none_231225</v>
      </c>
      <c r="S447" s="67" t="str">
        <f>IFERROR(__xludf.DUMMYFUNCTION("""COMPUTED_VALUE"""),"saletructiep_Japan.M605.1840.giaotiep_TATTP_LD279")</f>
        <v>saletructiep_Japan.M605.1840.giaotiep_TATTP_LD279</v>
      </c>
      <c r="T447" s="107" t="str">
        <f>IFERROR(__xludf.DUMMYFUNCTION("""COMPUTED_VALUE"""),"https://patado.edu.vn/hlg_tattp_gt/?utm_source=Facebook&amp;utm_medium=MES&amp;utm_term=NEW_Japan_1840_none_231225&amp;utm_content=saletructiep_Japan.M605.1840.giaotiep_TATTP_LD279&amp;utm_campaign=Japan.giaotiep.M605_HG4601_MES_HuyLG_231225")</f>
        <v>https://patado.edu.vn/hlg_tattp_gt/?utm_source=Facebook&amp;utm_medium=MES&amp;utm_term=NEW_Japan_1840_none_231225&amp;utm_content=saletructiep_Japan.M605.1840.giaotiep_TATTP_LD279&amp;utm_campaign=Japan.giaotiep.M605_HG4601_MES_HuyLG_231225</v>
      </c>
      <c r="U447" s="110" t="s">
        <v>6249</v>
      </c>
    </row>
    <row r="448">
      <c r="A448" s="72">
        <v>46014.0</v>
      </c>
      <c r="B448" s="60" t="s">
        <v>6093</v>
      </c>
      <c r="C448" s="67" t="str">
        <f>IFERROR(__xludf.DUMMYFUNCTION("""COMPUTED_VALUE"""),"LD274")</f>
        <v>LD274</v>
      </c>
      <c r="D448" s="55" t="s">
        <v>42</v>
      </c>
      <c r="E448" s="87" t="s">
        <v>79</v>
      </c>
      <c r="F448" s="55" t="s">
        <v>107</v>
      </c>
      <c r="G448" s="55">
        <v>1840.0</v>
      </c>
      <c r="H448" s="55" t="s">
        <v>1131</v>
      </c>
      <c r="I448" s="55" t="s">
        <v>6250</v>
      </c>
      <c r="J448" s="55" t="s">
        <v>6251</v>
      </c>
      <c r="K448" s="55" t="s">
        <v>61</v>
      </c>
      <c r="L448" s="55" t="s">
        <v>5396</v>
      </c>
      <c r="M448" s="55" t="s">
        <v>78</v>
      </c>
      <c r="N448" s="55" t="s">
        <v>79</v>
      </c>
      <c r="O448" s="55" t="s">
        <v>910</v>
      </c>
      <c r="P448" s="55" t="s">
        <v>110</v>
      </c>
      <c r="Q448" s="67" t="str">
        <f>IFERROR(__xludf.DUMMYFUNCTION("""COMPUTED_VALUE"""),"UnitedStates.giaotiep.M605_HG4601_MES_HuyLG_231225")</f>
        <v>UnitedStates.giaotiep.M605_HG4601_MES_HuyLG_231225</v>
      </c>
      <c r="R448" s="67" t="str">
        <f>IFERROR(__xludf.DUMMYFUNCTION("""COMPUTED_VALUE"""),"NEW_UnitedStates_1840_none_231225")</f>
        <v>NEW_UnitedStates_1840_none_231225</v>
      </c>
      <c r="S448" s="67" t="str">
        <f>IFERROR(__xludf.DUMMYFUNCTION("""COMPUTED_VALUE"""),"saletructiep_UnitedStates.M605.1840.giaotiep_TATTP_LD274")</f>
        <v>saletructiep_UnitedStates.M605.1840.giaotiep_TATTP_LD274</v>
      </c>
      <c r="T448" s="107" t="str">
        <f>IFERROR(__xludf.DUMMYFUNCTION("""COMPUTED_VALUE"""),"https://patado.edu.vn/hlg_pgpgtta_gt/?utm_source=Facebook&amp;utm_medium=MES&amp;utm_term=NEW_UnitedStates_1840_none_231225&amp;utm_content=saletructiep_UnitedStates.M605.1840.giaotiep_TATTP_LD274&amp;utm_campaign=UnitedStates.giaotiep.M605_HG4601_MES_HuyLG_231225")</f>
        <v>https://patado.edu.vn/hlg_pgpgtta_gt/?utm_source=Facebook&amp;utm_medium=MES&amp;utm_term=NEW_UnitedStates_1840_none_231225&amp;utm_content=saletructiep_UnitedStates.M605.1840.giaotiep_TATTP_LD274&amp;utm_campaign=UnitedStates.giaotiep.M605_HG4601_MES_HuyLG_231225</v>
      </c>
      <c r="U448" s="110" t="s">
        <v>6253</v>
      </c>
    </row>
    <row r="449">
      <c r="A449" s="72">
        <v>46014.0</v>
      </c>
      <c r="B449" s="60" t="s">
        <v>5729</v>
      </c>
      <c r="C449" s="67" t="str">
        <f>IFERROR(__xludf.DUMMYFUNCTION("""COMPUTED_VALUE"""),"LD247")</f>
        <v>LD247</v>
      </c>
      <c r="D449" s="55" t="s">
        <v>42</v>
      </c>
      <c r="E449" s="87" t="s">
        <v>79</v>
      </c>
      <c r="F449" s="55" t="s">
        <v>129</v>
      </c>
      <c r="G449" s="55">
        <v>1840.0</v>
      </c>
      <c r="H449" s="55" t="s">
        <v>1131</v>
      </c>
      <c r="I449" s="55" t="s">
        <v>6256</v>
      </c>
      <c r="J449" s="55" t="s">
        <v>6257</v>
      </c>
      <c r="K449" s="55" t="s">
        <v>61</v>
      </c>
      <c r="L449" s="55" t="s">
        <v>5396</v>
      </c>
      <c r="M449" s="55" t="s">
        <v>78</v>
      </c>
      <c r="N449" s="55" t="s">
        <v>79</v>
      </c>
      <c r="O449" s="55" t="s">
        <v>415</v>
      </c>
      <c r="P449" s="55" t="s">
        <v>110</v>
      </c>
      <c r="Q449" s="67" t="str">
        <f>IFERROR(__xludf.DUMMYFUNCTION("""COMPUTED_VALUE"""),"Australia.giaotiep.M605_HG4601_MES_HuyLG_231225")</f>
        <v>Australia.giaotiep.M605_HG4601_MES_HuyLG_231225</v>
      </c>
      <c r="R449" s="67" t="str">
        <f>IFERROR(__xludf.DUMMYFUNCTION("""COMPUTED_VALUE"""),"NEW_Australia_1840_none_231225")</f>
        <v>NEW_Australia_1840_none_231225</v>
      </c>
      <c r="S449" s="67" t="str">
        <f>IFERROR(__xludf.DUMMYFUNCTION("""COMPUTED_VALUE"""),"saletructiep_Australia.M605.1840.giaotiep_TATTPVN_LD247")</f>
        <v>saletructiep_Australia.M605.1840.giaotiep_TATTPVN_LD247</v>
      </c>
      <c r="T449" s="107" t="str">
        <f>IFERROR(__xludf.DUMMYFUNCTION("""COMPUTED_VALUE"""),"https://patadovietnam.edu.vn/hlg1908/?utm_source=Facebook&amp;utm_medium=MES&amp;utm_term=NEW_Australia_1840_none_231225&amp;utm_content=saletructiep_Australia.M605.1840.giaotiep_TATTPVN_LD247&amp;utm_campaign=Australia.giaotiep.M605_HG4601_MES_HuyLG_231225")</f>
        <v>https://patadovietnam.edu.vn/hlg1908/?utm_source=Facebook&amp;utm_medium=MES&amp;utm_term=NEW_Australia_1840_none_231225&amp;utm_content=saletructiep_Australia.M605.1840.giaotiep_TATTPVN_LD247&amp;utm_campaign=Australia.giaotiep.M605_HG4601_MES_HuyLG_231225</v>
      </c>
      <c r="U449" s="110" t="s">
        <v>6259</v>
      </c>
    </row>
    <row r="450">
      <c r="A450" s="72">
        <v>46038.0</v>
      </c>
      <c r="B450" s="60" t="s">
        <v>5729</v>
      </c>
      <c r="C450" s="67" t="str">
        <f>IFERROR(__xludf.DUMMYFUNCTION("""COMPUTED_VALUE"""),"LD247")</f>
        <v>LD247</v>
      </c>
      <c r="D450" s="55" t="s">
        <v>42</v>
      </c>
      <c r="E450" s="87" t="s">
        <v>79</v>
      </c>
      <c r="F450" s="55" t="s">
        <v>107</v>
      </c>
      <c r="G450" s="55">
        <v>1840.0</v>
      </c>
      <c r="H450" s="55" t="s">
        <v>1131</v>
      </c>
      <c r="I450" s="55" t="s">
        <v>6261</v>
      </c>
      <c r="J450" s="55" t="s">
        <v>6262</v>
      </c>
      <c r="K450" s="55" t="s">
        <v>61</v>
      </c>
      <c r="L450" s="87" t="s">
        <v>5437</v>
      </c>
      <c r="M450" s="55" t="s">
        <v>78</v>
      </c>
      <c r="N450" s="55" t="s">
        <v>79</v>
      </c>
      <c r="O450" s="55" t="s">
        <v>415</v>
      </c>
      <c r="P450" s="55" t="s">
        <v>110</v>
      </c>
      <c r="Q450" s="67" t="str">
        <f>IFERROR(__xludf.DUMMYFUNCTION("""COMPUTED_VALUE"""),"UnitedStates.giaotiep.M600_LH3645_MES_HuyLG_160126")</f>
        <v>UnitedStates.giaotiep.M600_LH3645_MES_HuyLG_160126</v>
      </c>
      <c r="R450" s="67" t="str">
        <f>IFERROR(__xludf.DUMMYFUNCTION("""COMPUTED_VALUE"""),"NEW_UnitedStates_1840_none_160126")</f>
        <v>NEW_UnitedStates_1840_none_160126</v>
      </c>
      <c r="S450" s="67" t="str">
        <f>IFERROR(__xludf.DUMMYFUNCTION("""COMPUTED_VALUE"""),"saletructiep_UnitedStates.M600.1840.giaotiep_TATTPVN_LD247")</f>
        <v>saletructiep_UnitedStates.M600.1840.giaotiep_TATTPVN_LD247</v>
      </c>
      <c r="T450" s="107" t="str">
        <f>IFERROR(__xludf.DUMMYFUNCTION("""COMPUTED_VALUE"""),"https://patadovietnam.edu.vn/hlg1908/?utm_source=Facebook&amp;utm_medium=MES&amp;utm_term=NEW_UnitedStates_1840_none_160126&amp;utm_content=saletructiep_UnitedStates.M600.1840.giaotiep_TATTPVN_LD247&amp;utm_campaign=UnitedStates.giaotiep.M600_LH3645_MES_HuyLG_160126")</f>
        <v>https://patadovietnam.edu.vn/hlg1908/?utm_source=Facebook&amp;utm_medium=MES&amp;utm_term=NEW_UnitedStates_1840_none_160126&amp;utm_content=saletructiep_UnitedStates.M600.1840.giaotiep_TATTPVN_LD247&amp;utm_campaign=UnitedStates.giaotiep.M600_LH3645_MES_HuyLG_160126</v>
      </c>
      <c r="U450" s="110" t="s">
        <v>6266</v>
      </c>
    </row>
    <row r="451">
      <c r="A451" s="72">
        <v>46038.0</v>
      </c>
      <c r="B451" s="60" t="s">
        <v>5729</v>
      </c>
      <c r="C451" s="67" t="str">
        <f>IFERROR(__xludf.DUMMYFUNCTION("""COMPUTED_VALUE"""),"LD247")</f>
        <v>LD247</v>
      </c>
      <c r="D451" s="55" t="s">
        <v>42</v>
      </c>
      <c r="E451" s="87" t="s">
        <v>79</v>
      </c>
      <c r="F451" s="55" t="s">
        <v>674</v>
      </c>
      <c r="G451" s="55">
        <v>1840.0</v>
      </c>
      <c r="H451" s="55" t="s">
        <v>1131</v>
      </c>
      <c r="I451" s="55" t="s">
        <v>2396</v>
      </c>
      <c r="J451" s="55" t="s">
        <v>6268</v>
      </c>
      <c r="K451" s="55" t="s">
        <v>61</v>
      </c>
      <c r="L451" s="87" t="s">
        <v>5437</v>
      </c>
      <c r="M451" s="55" t="s">
        <v>78</v>
      </c>
      <c r="N451" s="55" t="s">
        <v>79</v>
      </c>
      <c r="O451" s="86" t="s">
        <v>3271</v>
      </c>
      <c r="P451" s="55" t="s">
        <v>110</v>
      </c>
      <c r="Q451" s="67" t="str">
        <f>IFERROR(__xludf.DUMMYFUNCTION("""COMPUTED_VALUE"""),"Europe.giaotiep.M600_LH3645_MES_HuyLG_160126")</f>
        <v>Europe.giaotiep.M600_LH3645_MES_HuyLG_160126</v>
      </c>
      <c r="R451" s="67" t="str">
        <f>IFERROR(__xludf.DUMMYFUNCTION("""COMPUTED_VALUE"""),"NEW_Europe_1840_none_160126")</f>
        <v>NEW_Europe_1840_none_160126</v>
      </c>
      <c r="S451" s="67" t="str">
        <f>IFERROR(__xludf.DUMMYFUNCTION("""COMPUTED_VALUE"""),"saletructiep_Europe.M600.1840.giaotiep_PGPGTTA_LD247")</f>
        <v>saletructiep_Europe.M600.1840.giaotiep_PGPGTTA_LD247</v>
      </c>
      <c r="T451" s="107" t="str">
        <f>IFERROR(__xludf.DUMMYFUNCTION("""COMPUTED_VALUE"""),"https://patadovietnam.edu.vn/hlg1908/?utm_source=Facebook&amp;utm_medium=MES&amp;utm_term=NEW_Europe_1840_none_160126&amp;utm_content=saletructiep_Europe.M600.1840.giaotiep_PGPGTTA_LD247&amp;utm_campaign=Europe.giaotiep.M600_LH3645_MES_HuyLG_160126")</f>
        <v>https://patadovietnam.edu.vn/hlg1908/?utm_source=Facebook&amp;utm_medium=MES&amp;utm_term=NEW_Europe_1840_none_160126&amp;utm_content=saletructiep_Europe.M600.1840.giaotiep_PGPGTTA_LD247&amp;utm_campaign=Europe.giaotiep.M600_LH3645_MES_HuyLG_160126</v>
      </c>
      <c r="U451" s="110" t="s">
        <v>6273</v>
      </c>
    </row>
    <row r="452">
      <c r="A452" s="72">
        <v>46038.0</v>
      </c>
      <c r="B452" s="60" t="s">
        <v>5935</v>
      </c>
      <c r="C452" s="67" t="str">
        <f>IFERROR(__xludf.DUMMYFUNCTION("""COMPUTED_VALUE"""),"LD273")</f>
        <v>LD273</v>
      </c>
      <c r="D452" s="55" t="s">
        <v>42</v>
      </c>
      <c r="E452" s="55" t="s">
        <v>69</v>
      </c>
      <c r="F452" s="55" t="s">
        <v>133</v>
      </c>
      <c r="G452" s="55">
        <v>1840.0</v>
      </c>
      <c r="H452" s="55" t="s">
        <v>1131</v>
      </c>
      <c r="I452" s="55" t="s">
        <v>6274</v>
      </c>
      <c r="J452" s="55" t="s">
        <v>6275</v>
      </c>
      <c r="K452" s="55" t="s">
        <v>61</v>
      </c>
      <c r="L452" s="86" t="s">
        <v>317</v>
      </c>
      <c r="M452" s="55" t="s">
        <v>78</v>
      </c>
      <c r="N452" s="55" t="s">
        <v>69</v>
      </c>
      <c r="O452" s="86" t="s">
        <v>3271</v>
      </c>
      <c r="P452" s="55" t="s">
        <v>110</v>
      </c>
      <c r="Q452" s="67" t="str">
        <f>IFERROR(__xludf.DUMMYFUNCTION("""COMPUTED_VALUE"""),"Japan.giaotiep.M397_XuBen.5018_CVS_HuyLG_160126")</f>
        <v>Japan.giaotiep.M397_XuBen.5018_CVS_HuyLG_160126</v>
      </c>
      <c r="R452" s="67" t="str">
        <f>IFERROR(__xludf.DUMMYFUNCTION("""COMPUTED_VALUE"""),"NEW_Japan_1840_none_160126")</f>
        <v>NEW_Japan_1840_none_160126</v>
      </c>
      <c r="S452" s="67" t="str">
        <f>IFERROR(__xludf.DUMMYFUNCTION("""COMPUTED_VALUE"""),"saletructiep_Japan.M397.1840.giaotiep_PGPGTTA_LD273")</f>
        <v>saletructiep_Japan.M397.1840.giaotiep_PGPGTTA_LD273</v>
      </c>
      <c r="T452" s="107" t="str">
        <f>IFERROR(__xludf.DUMMYFUNCTION("""COMPUTED_VALUE"""),"https://patado.edu.vn/hlg1908/?utm_source=Facebook&amp;utm_medium=CVS&amp;utm_term=NEW_Japan_1840_none_160126&amp;utm_content=saletructiep_Japan.M397.1840.giaotiep_PGPGTTA_LD273&amp;utm_campaign=Japan.giaotiep.M397_XuBen.5018_CVS_HuyLG_160126")</f>
        <v>https://patado.edu.vn/hlg1908/?utm_source=Facebook&amp;utm_medium=CVS&amp;utm_term=NEW_Japan_1840_none_160126&amp;utm_content=saletructiep_Japan.M397.1840.giaotiep_PGPGTTA_LD273&amp;utm_campaign=Japan.giaotiep.M397_XuBen.5018_CVS_HuyLG_160126</v>
      </c>
      <c r="U452" s="110" t="s">
        <v>6280</v>
      </c>
    </row>
    <row r="453">
      <c r="A453" s="72">
        <v>46054.0</v>
      </c>
      <c r="B453" s="60" t="s">
        <v>4887</v>
      </c>
      <c r="C453" s="67" t="str">
        <f>IFERROR(__xludf.DUMMYFUNCTION("""COMPUTED_VALUE"""),"LD233")</f>
        <v>LD233</v>
      </c>
      <c r="D453" s="55" t="s">
        <v>42</v>
      </c>
      <c r="E453" s="87" t="s">
        <v>79</v>
      </c>
      <c r="F453" s="55" t="s">
        <v>129</v>
      </c>
      <c r="G453" s="55">
        <v>1840.0</v>
      </c>
      <c r="H453" s="55" t="s">
        <v>1131</v>
      </c>
      <c r="I453" s="55" t="s">
        <v>6281</v>
      </c>
      <c r="J453" s="55" t="s">
        <v>6282</v>
      </c>
      <c r="K453" s="55" t="s">
        <v>61</v>
      </c>
      <c r="L453" s="87" t="s">
        <v>5437</v>
      </c>
      <c r="M453" s="55" t="s">
        <v>78</v>
      </c>
      <c r="N453" s="55" t="s">
        <v>79</v>
      </c>
      <c r="O453" s="86" t="s">
        <v>3271</v>
      </c>
      <c r="P453" s="55" t="s">
        <v>110</v>
      </c>
      <c r="Q453" s="67" t="str">
        <f>IFERROR(__xludf.DUMMYFUNCTION("""COMPUTED_VALUE"""),"Australia.giaotiep.M600_LH3645_MES_HuyLG_010226")</f>
        <v>Australia.giaotiep.M600_LH3645_MES_HuyLG_010226</v>
      </c>
      <c r="R453" s="67" t="str">
        <f>IFERROR(__xludf.DUMMYFUNCTION("""COMPUTED_VALUE"""),"NEW_Australia_1840_none_010226")</f>
        <v>NEW_Australia_1840_none_010226</v>
      </c>
      <c r="S453" s="67" t="str">
        <f>IFERROR(__xludf.DUMMYFUNCTION("""COMPUTED_VALUE"""),"saletructiep_Australia.M600.1840.giaotiep_PGPGTTA_LD233")</f>
        <v>saletructiep_Australia.M600.1840.giaotiep_PGPGTTA_LD233</v>
      </c>
      <c r="T453" s="107" t="str">
        <f>IFERROR(__xludf.DUMMYFUNCTION("""COMPUTED_VALUE"""),"https://patadovietnam.edu.vn/hlg_tattp_gt/?utm_source=Facebook&amp;utm_medium=MES&amp;utm_term=NEW_Australia_1840_none_010226&amp;utm_content=saletructiep_Australia.M600.1840.giaotiep_PGPGTTA_LD233&amp;utm_campaign=Australia.giaotiep.M600_LH3645_MES_HuyLG_010226")</f>
        <v>https://patadovietnam.edu.vn/hlg_tattp_gt/?utm_source=Facebook&amp;utm_medium=MES&amp;utm_term=NEW_Australia_1840_none_010226&amp;utm_content=saletructiep_Australia.M600.1840.giaotiep_PGPGTTA_LD233&amp;utm_campaign=Australia.giaotiep.M600_LH3645_MES_HuyLG_010226</v>
      </c>
      <c r="U453" s="110" t="s">
        <v>6288</v>
      </c>
    </row>
    <row r="454">
      <c r="A454" s="72">
        <v>46055.0</v>
      </c>
      <c r="B454" s="60" t="s">
        <v>4760</v>
      </c>
      <c r="C454" s="67" t="str">
        <f>IFERROR(__xludf.DUMMYFUNCTION("""COMPUTED_VALUE"""),"LD226")</f>
        <v>LD226</v>
      </c>
      <c r="D454" s="55" t="s">
        <v>42</v>
      </c>
      <c r="E454" s="87" t="s">
        <v>79</v>
      </c>
      <c r="F454" s="55" t="s">
        <v>674</v>
      </c>
      <c r="G454" s="55">
        <v>1840.0</v>
      </c>
      <c r="H454" s="55" t="s">
        <v>1131</v>
      </c>
      <c r="I454" s="55" t="s">
        <v>2396</v>
      </c>
      <c r="J454" s="55" t="s">
        <v>6268</v>
      </c>
      <c r="K454" s="55" t="s">
        <v>61</v>
      </c>
      <c r="L454" s="86" t="s">
        <v>317</v>
      </c>
      <c r="M454" s="55" t="s">
        <v>78</v>
      </c>
      <c r="N454" s="55" t="s">
        <v>79</v>
      </c>
      <c r="O454" s="86" t="s">
        <v>3271</v>
      </c>
      <c r="P454" s="55" t="s">
        <v>110</v>
      </c>
      <c r="Q454" s="67" t="str">
        <f>IFERROR(__xludf.DUMMYFUNCTION("""COMPUTED_VALUE"""),"Europe.giaotiep.M600_XuBen.5018_MES_HuyLG_020226")</f>
        <v>Europe.giaotiep.M600_XuBen.5018_MES_HuyLG_020226</v>
      </c>
      <c r="R454" s="67" t="str">
        <f>IFERROR(__xludf.DUMMYFUNCTION("""COMPUTED_VALUE"""),"NEW_Europe_1840_none_020226")</f>
        <v>NEW_Europe_1840_none_020226</v>
      </c>
      <c r="S454" s="67" t="str">
        <f>IFERROR(__xludf.DUMMYFUNCTION("""COMPUTED_VALUE"""),"saletructiep_Europe.M600.1840.giaotiep_PGPGTTA_LD226")</f>
        <v>saletructiep_Europe.M600.1840.giaotiep_PGPGTTA_LD226</v>
      </c>
      <c r="T454" s="107" t="str">
        <f>IFERROR(__xludf.DUMMYFUNCTION("""COMPUTED_VALUE"""),"https://patadovietnam.edu.vn/hlg_pgpgtta_gt/?utm_source=Facebook&amp;utm_medium=MES&amp;utm_term=NEW_Europe_1840_none_020226&amp;utm_content=saletructiep_Europe.M600.1840.giaotiep_PGPGTTA_LD226&amp;utm_campaign=Europe.giaotiep.M600_XuBen.5018_MES_HuyLG_020226")</f>
        <v>https://patadovietnam.edu.vn/hlg_pgpgtta_gt/?utm_source=Facebook&amp;utm_medium=MES&amp;utm_term=NEW_Europe_1840_none_020226&amp;utm_content=saletructiep_Europe.M600.1840.giaotiep_PGPGTTA_LD226&amp;utm_campaign=Europe.giaotiep.M600_XuBen.5018_MES_HuyLG_020226</v>
      </c>
      <c r="U454" s="110" t="s">
        <v>6292</v>
      </c>
    </row>
    <row r="455">
      <c r="A455" s="72">
        <v>46078.0</v>
      </c>
      <c r="B455" s="60" t="s">
        <v>772</v>
      </c>
      <c r="C455" s="67" t="str">
        <f>IFERROR(__xludf.DUMMYFUNCTION("""COMPUTED_VALUE"""),"LD115")</f>
        <v>LD115</v>
      </c>
      <c r="D455" s="55" t="s">
        <v>42</v>
      </c>
      <c r="E455" s="55" t="s">
        <v>69</v>
      </c>
      <c r="F455" s="55" t="s">
        <v>133</v>
      </c>
      <c r="G455" s="55">
        <v>1840.0</v>
      </c>
      <c r="H455" s="55" t="s">
        <v>1131</v>
      </c>
      <c r="I455" s="55" t="s">
        <v>6295</v>
      </c>
      <c r="J455" s="55" t="s">
        <v>6296</v>
      </c>
      <c r="K455" s="55" t="s">
        <v>61</v>
      </c>
      <c r="L455" s="86" t="s">
        <v>317</v>
      </c>
      <c r="M455" s="55" t="s">
        <v>78</v>
      </c>
      <c r="N455" s="55" t="s">
        <v>69</v>
      </c>
      <c r="O455" s="55" t="s">
        <v>415</v>
      </c>
      <c r="P455" s="55" t="s">
        <v>110</v>
      </c>
      <c r="Q455" s="67" t="str">
        <f>IFERROR(__xludf.DUMMYFUNCTION("""COMPUTED_VALUE"""),"Japan.giaotiep.M615_XuBen.5018_CVS_HuyLG_250226")</f>
        <v>Japan.giaotiep.M615_XuBen.5018_CVS_HuyLG_250226</v>
      </c>
      <c r="R455" s="67" t="str">
        <f>IFERROR(__xludf.DUMMYFUNCTION("""COMPUTED_VALUE"""),"NEW_Japan_1840_none_250226")</f>
        <v>NEW_Japan_1840_none_250226</v>
      </c>
      <c r="S455" s="67" t="str">
        <f>IFERROR(__xludf.DUMMYFUNCTION("""COMPUTED_VALUE"""),"saletructiep_Japan.M615.1840.giaotiep_TATTPVN_LD115")</f>
        <v>saletructiep_Japan.M615.1840.giaotiep_TATTPVN_LD115</v>
      </c>
      <c r="T455" s="107" t="str">
        <f>IFERROR(__xludf.DUMMYFUNCTION("""COMPUTED_VALUE"""),"https://patadovietnam.edu.vn/japancvs/?utm_source=Facebook&amp;utm_medium=CVS&amp;utm_term=NEW_Japan_1840_none_250226&amp;utm_content=saletructiep_Japan.M615.1840.giaotiep_TATTPVN_LD115&amp;utm_campaign=Japan.giaotiep.M615_XuBen.5018_CVS_HuyLG_250226")</f>
        <v>https://patadovietnam.edu.vn/japancvs/?utm_source=Facebook&amp;utm_medium=CVS&amp;utm_term=NEW_Japan_1840_none_250226&amp;utm_content=saletructiep_Japan.M615.1840.giaotiep_TATTPVN_LD115&amp;utm_campaign=Japan.giaotiep.M615_XuBen.5018_CVS_HuyLG_250226</v>
      </c>
      <c r="U455" s="110" t="s">
        <v>6302</v>
      </c>
    </row>
    <row r="456">
      <c r="A456" s="72">
        <v>46078.0</v>
      </c>
      <c r="B456" s="60" t="s">
        <v>3977</v>
      </c>
      <c r="C456" s="67" t="str">
        <f>IFERROR(__xludf.DUMMYFUNCTION("""COMPUTED_VALUE"""),"LD279")</f>
        <v>LD279</v>
      </c>
      <c r="D456" s="55" t="s">
        <v>42</v>
      </c>
      <c r="E456" s="55" t="s">
        <v>69</v>
      </c>
      <c r="F456" s="55" t="s">
        <v>674</v>
      </c>
      <c r="G456" s="55">
        <v>1840.0</v>
      </c>
      <c r="H456" s="55" t="s">
        <v>1131</v>
      </c>
      <c r="I456" s="55" t="s">
        <v>6304</v>
      </c>
      <c r="J456" s="55" t="s">
        <v>6305</v>
      </c>
      <c r="K456" s="55" t="s">
        <v>61</v>
      </c>
      <c r="L456" s="86" t="s">
        <v>317</v>
      </c>
      <c r="M456" s="55" t="s">
        <v>78</v>
      </c>
      <c r="N456" s="55" t="s">
        <v>69</v>
      </c>
      <c r="O456" s="55" t="s">
        <v>415</v>
      </c>
      <c r="P456" s="55" t="s">
        <v>110</v>
      </c>
      <c r="Q456" s="67" t="str">
        <f>IFERROR(__xludf.DUMMYFUNCTION("""COMPUTED_VALUE"""),"Europe.giaotiep.M615_XuBen.5018_CVS_HuyLG_250226")</f>
        <v>Europe.giaotiep.M615_XuBen.5018_CVS_HuyLG_250226</v>
      </c>
      <c r="R456" s="67" t="str">
        <f>IFERROR(__xludf.DUMMYFUNCTION("""COMPUTED_VALUE"""),"NEW_Europe_1840_none_250226")</f>
        <v>NEW_Europe_1840_none_250226</v>
      </c>
      <c r="S456" s="67" t="str">
        <f>IFERROR(__xludf.DUMMYFUNCTION("""COMPUTED_VALUE"""),"saletructiep_Europe.M615.1840.giaotiep_TATTPVN_LD279")</f>
        <v>saletructiep_Europe.M615.1840.giaotiep_TATTPVN_LD279</v>
      </c>
      <c r="T456" s="107" t="str">
        <f>IFERROR(__xludf.DUMMYFUNCTION("""COMPUTED_VALUE"""),"https://patado.edu.vn/hlg_tattp_gt/?utm_source=Facebook&amp;utm_medium=CVS&amp;utm_term=NEW_Europe_1840_none_250226&amp;utm_content=saletructiep_Europe.M615.1840.giaotiep_TATTPVN_LD279&amp;utm_campaign=Europe.giaotiep.M615_XuBen.5018_CVS_HuyLG_250226")</f>
        <v>https://patado.edu.vn/hlg_tattp_gt/?utm_source=Facebook&amp;utm_medium=CVS&amp;utm_term=NEW_Europe_1840_none_250226&amp;utm_content=saletructiep_Europe.M615.1840.giaotiep_TATTPVN_LD279&amp;utm_campaign=Europe.giaotiep.M615_XuBen.5018_CVS_HuyLG_250226</v>
      </c>
      <c r="U456" s="110" t="s">
        <v>6308</v>
      </c>
    </row>
    <row r="457">
      <c r="A457" s="72">
        <v>46083.0</v>
      </c>
      <c r="B457" s="60" t="s">
        <v>6093</v>
      </c>
      <c r="C457" s="67" t="str">
        <f>IFERROR(__xludf.DUMMYFUNCTION("""COMPUTED_VALUE"""),"LD274")</f>
        <v>LD274</v>
      </c>
      <c r="D457" s="55" t="s">
        <v>42</v>
      </c>
      <c r="E457" s="87" t="s">
        <v>79</v>
      </c>
      <c r="F457" s="55" t="s">
        <v>674</v>
      </c>
      <c r="G457" s="55">
        <v>1840.0</v>
      </c>
      <c r="H457" s="55" t="s">
        <v>1131</v>
      </c>
      <c r="I457" s="55" t="s">
        <v>1608</v>
      </c>
      <c r="J457" s="55" t="s">
        <v>6312</v>
      </c>
      <c r="K457" s="55" t="s">
        <v>61</v>
      </c>
      <c r="L457" s="86" t="s">
        <v>317</v>
      </c>
      <c r="M457" s="55" t="s">
        <v>78</v>
      </c>
      <c r="N457" s="55" t="s">
        <v>79</v>
      </c>
      <c r="O457" s="55" t="s">
        <v>910</v>
      </c>
      <c r="P457" s="55" t="s">
        <v>110</v>
      </c>
      <c r="Q457" s="67" t="str">
        <f>IFERROR(__xludf.DUMMYFUNCTION("""COMPUTED_VALUE"""),"Europe.giaotiep.M626_XuBen.5018_MES_HuyLG_020326")</f>
        <v>Europe.giaotiep.M626_XuBen.5018_MES_HuyLG_020326</v>
      </c>
      <c r="R457" s="67" t="str">
        <f>IFERROR(__xludf.DUMMYFUNCTION("""COMPUTED_VALUE"""),"NEW_Europe_1840_none_020326")</f>
        <v>NEW_Europe_1840_none_020326</v>
      </c>
      <c r="S457" s="67" t="str">
        <f>IFERROR(__xludf.DUMMYFUNCTION("""COMPUTED_VALUE"""),"saletructiep_Europe.M626.1840.giaotiep_TATTP_LD274")</f>
        <v>saletructiep_Europe.M626.1840.giaotiep_TATTP_LD274</v>
      </c>
      <c r="T457" s="120" t="str">
        <f>IFERROR(__xludf.DUMMYFUNCTION("""COMPUTED_VALUE"""),"https://patado.edu.vn/hlg_pgpgtta_gt/?utm_source=Facebook&amp;utm_medium=MES&amp;utm_term=NEW_Europe_1840_none_020326&amp;utm_content=saletructiep_Europe.M626.1840.giaotiep_TATTP_LD274&amp;utm_campaign=Europe.giaotiep.M626_XuBen.5018_MES_HuyLG_020326")</f>
        <v>https://patado.edu.vn/hlg_pgpgtta_gt/?utm_source=Facebook&amp;utm_medium=MES&amp;utm_term=NEW_Europe_1840_none_020326&amp;utm_content=saletructiep_Europe.M626.1840.giaotiep_TATTP_LD274&amp;utm_campaign=Europe.giaotiep.M626_XuBen.5018_MES_HuyLG_020326</v>
      </c>
      <c r="U457" s="110" t="s">
        <v>6320</v>
      </c>
    </row>
    <row r="458">
      <c r="A458" s="72">
        <v>46083.0</v>
      </c>
      <c r="B458" s="60" t="s">
        <v>3461</v>
      </c>
      <c r="C458" s="67" t="str">
        <f>IFERROR(__xludf.DUMMYFUNCTION("""COMPUTED_VALUE"""),"LD154")</f>
        <v>LD154</v>
      </c>
      <c r="D458" s="55" t="s">
        <v>42</v>
      </c>
      <c r="E458" s="87" t="s">
        <v>79</v>
      </c>
      <c r="F458" s="55" t="s">
        <v>674</v>
      </c>
      <c r="G458" s="55">
        <v>1840.0</v>
      </c>
      <c r="H458" s="55" t="s">
        <v>1131</v>
      </c>
      <c r="I458" s="55" t="s">
        <v>6324</v>
      </c>
      <c r="J458" s="55" t="s">
        <v>6325</v>
      </c>
      <c r="K458" s="55" t="s">
        <v>61</v>
      </c>
      <c r="L458" s="87" t="s">
        <v>5437</v>
      </c>
      <c r="M458" s="55" t="s">
        <v>78</v>
      </c>
      <c r="N458" s="55" t="s">
        <v>79</v>
      </c>
      <c r="O458" s="86" t="s">
        <v>3271</v>
      </c>
      <c r="P458" s="55" t="s">
        <v>110</v>
      </c>
      <c r="Q458" s="67" t="str">
        <f>IFERROR(__xludf.DUMMYFUNCTION("""COMPUTED_VALUE"""),"Europe.giaotiep.M635_LH3645_MES_HuyLG_020326")</f>
        <v>Europe.giaotiep.M635_LH3645_MES_HuyLG_020326</v>
      </c>
      <c r="R458" s="67" t="str">
        <f>IFERROR(__xludf.DUMMYFUNCTION("""COMPUTED_VALUE"""),"NEW_Europe_1840_none_020326")</f>
        <v>NEW_Europe_1840_none_020326</v>
      </c>
      <c r="S458" s="67" t="str">
        <f>IFERROR(__xludf.DUMMYFUNCTION("""COMPUTED_VALUE"""),"saletructiep_Europe.M635.1840.giaotiep_PGPGTTA_LD154")</f>
        <v>saletructiep_Europe.M635.1840.giaotiep_PGPGTTA_LD154</v>
      </c>
      <c r="T458" s="107" t="str">
        <f>IFERROR(__xludf.DUMMYFUNCTION("""COMPUTED_VALUE"""),"https://patadovietnam.edu.vn/eu_hlg/?utm_source=Facebook&amp;utm_medium=MES&amp;utm_term=NEW_Europe_1840_none_020326&amp;utm_content=saletructiep_Europe.M635.1840.giaotiep_PGPGTTA_LD154&amp;utm_campaign=Europe.giaotiep.M635_LH3645_MES_HuyLG_020326")</f>
        <v>https://patadovietnam.edu.vn/eu_hlg/?utm_source=Facebook&amp;utm_medium=MES&amp;utm_term=NEW_Europe_1840_none_020326&amp;utm_content=saletructiep_Europe.M635.1840.giaotiep_PGPGTTA_LD154&amp;utm_campaign=Europe.giaotiep.M635_LH3645_MES_HuyLG_020326</v>
      </c>
      <c r="U458" s="110" t="s">
        <v>6333</v>
      </c>
    </row>
    <row r="459">
      <c r="A459" s="72">
        <v>46083.0</v>
      </c>
      <c r="B459" s="60" t="s">
        <v>4785</v>
      </c>
      <c r="C459" s="67" t="str">
        <f>IFERROR(__xludf.DUMMYFUNCTION("""COMPUTED_VALUE"""),"LD229")</f>
        <v>LD229</v>
      </c>
      <c r="D459" s="55" t="s">
        <v>42</v>
      </c>
      <c r="E459" s="87" t="s">
        <v>79</v>
      </c>
      <c r="F459" s="55" t="s">
        <v>539</v>
      </c>
      <c r="G459" s="55">
        <v>1840.0</v>
      </c>
      <c r="H459" s="55" t="s">
        <v>1131</v>
      </c>
      <c r="I459" s="55" t="s">
        <v>2077</v>
      </c>
      <c r="J459" s="55" t="s">
        <v>6336</v>
      </c>
      <c r="K459" s="55" t="s">
        <v>61</v>
      </c>
      <c r="L459" s="143" t="s">
        <v>317</v>
      </c>
      <c r="M459" s="55" t="s">
        <v>78</v>
      </c>
      <c r="N459" s="55" t="s">
        <v>79</v>
      </c>
      <c r="O459" s="55" t="s">
        <v>415</v>
      </c>
      <c r="P459" s="55" t="s">
        <v>110</v>
      </c>
      <c r="Q459" s="67" t="str">
        <f>IFERROR(__xludf.DUMMYFUNCTION("""COMPUTED_VALUE"""),"ALL.giaotiep.M637_XuBen.5018_MES_HuyLG_020326")</f>
        <v>ALL.giaotiep.M637_XuBen.5018_MES_HuyLG_020326</v>
      </c>
      <c r="R459" s="67" t="str">
        <f>IFERROR(__xludf.DUMMYFUNCTION("""COMPUTED_VALUE"""),"NEW_ALL_1840_none_020326")</f>
        <v>NEW_ALL_1840_none_020326</v>
      </c>
      <c r="S459" s="67" t="str">
        <f>IFERROR(__xludf.DUMMYFUNCTION("""COMPUTED_VALUE"""),"saletructiep_ALL.M637.1840.giaotiep_TATTPVN_LD229")</f>
        <v>saletructiep_ALL.M637.1840.giaotiep_TATTPVN_LD229</v>
      </c>
      <c r="T459" s="107" t="str">
        <f>IFERROR(__xludf.DUMMYFUNCTION("""COMPUTED_VALUE"""),"https://patadovietnam.edu.vn/hlg_tattpvn_gt/?utm_source=Facebook&amp;utm_medium=MES&amp;utm_term=NEW_ALL_1840_none_020326&amp;utm_content=saletructiep_ALL.M637.1840.giaotiep_TATTPVN_LD229&amp;utm_campaign=ALL.giaotiep.M637_XuBen.5018_MES_HuyLG_020326")</f>
        <v>https://patadovietnam.edu.vn/hlg_tattpvn_gt/?utm_source=Facebook&amp;utm_medium=MES&amp;utm_term=NEW_ALL_1840_none_020326&amp;utm_content=saletructiep_ALL.M637.1840.giaotiep_TATTPVN_LD229&amp;utm_campaign=ALL.giaotiep.M637_XuBen.5018_MES_HuyLG_020326</v>
      </c>
      <c r="U459" s="110" t="s">
        <v>6339</v>
      </c>
    </row>
    <row r="460">
      <c r="A460" s="72">
        <v>46104.0</v>
      </c>
      <c r="B460" s="60" t="s">
        <v>5898</v>
      </c>
      <c r="C460" s="67" t="str">
        <f>IFERROR(__xludf.DUMMYFUNCTION("""COMPUTED_VALUE"""),"LD271")</f>
        <v>LD271</v>
      </c>
      <c r="D460" s="55" t="s">
        <v>42</v>
      </c>
      <c r="E460" s="55" t="s">
        <v>69</v>
      </c>
      <c r="F460" s="55" t="s">
        <v>133</v>
      </c>
      <c r="G460" s="55">
        <v>1840.0</v>
      </c>
      <c r="H460" s="55" t="s">
        <v>1131</v>
      </c>
      <c r="I460" s="55" t="s">
        <v>1511</v>
      </c>
      <c r="J460" s="55" t="s">
        <v>6342</v>
      </c>
      <c r="K460" s="55" t="s">
        <v>61</v>
      </c>
      <c r="L460" s="143" t="s">
        <v>317</v>
      </c>
      <c r="M460" s="55" t="s">
        <v>78</v>
      </c>
      <c r="N460" s="55" t="s">
        <v>69</v>
      </c>
      <c r="O460" s="55" t="s">
        <v>415</v>
      </c>
      <c r="P460" s="55" t="s">
        <v>110</v>
      </c>
      <c r="Q460" s="67" t="str">
        <f>IFERROR(__xludf.DUMMYFUNCTION("""COMPUTED_VALUE"""),"Japan.giaotiep.M645_XuBen.5018_CVS_HuyLG_230326")</f>
        <v>Japan.giaotiep.M645_XuBen.5018_CVS_HuyLG_230326</v>
      </c>
      <c r="R460" s="67" t="str">
        <f>IFERROR(__xludf.DUMMYFUNCTION("""COMPUTED_VALUE"""),"NEW_Japan_1840_none_230326")</f>
        <v>NEW_Japan_1840_none_230326</v>
      </c>
      <c r="S460" s="67" t="str">
        <f>IFERROR(__xludf.DUMMYFUNCTION("""COMPUTED_VALUE"""),"saletructiep_Japan.M645.1840.giaotiep_TATTPVN_LD271")</f>
        <v>saletructiep_Japan.M645.1840.giaotiep_TATTPVN_LD271</v>
      </c>
      <c r="T460" s="107" t="str">
        <f>IFERROR(__xludf.DUMMYFUNCTION("""COMPUTED_VALUE"""),"https://patado.edu.vn/japancvs/?utm_source=Facebook&amp;utm_medium=CVS&amp;utm_term=NEW_Japan_1840_none_230326&amp;utm_content=saletructiep_Japan.M645.1840.giaotiep_TATTPVN_LD271&amp;utm_campaign=Japan.giaotiep.M645_XuBen.5018_CVS_HuyLG_230326")</f>
        <v>https://patado.edu.vn/japancvs/?utm_source=Facebook&amp;utm_medium=CVS&amp;utm_term=NEW_Japan_1840_none_230326&amp;utm_content=saletructiep_Japan.M645.1840.giaotiep_TATTPVN_LD271&amp;utm_campaign=Japan.giaotiep.M645_XuBen.5018_CVS_HuyLG_230326</v>
      </c>
      <c r="U460" s="110" t="s">
        <v>6346</v>
      </c>
    </row>
    <row r="461">
      <c r="A461" s="72">
        <v>46104.0</v>
      </c>
      <c r="B461" s="60" t="s">
        <v>6093</v>
      </c>
      <c r="C461" s="67" t="str">
        <f>IFERROR(__xludf.DUMMYFUNCTION("""COMPUTED_VALUE"""),"LD274")</f>
        <v>LD274</v>
      </c>
      <c r="D461" s="55" t="s">
        <v>42</v>
      </c>
      <c r="E461" s="55" t="s">
        <v>69</v>
      </c>
      <c r="F461" s="55" t="s">
        <v>674</v>
      </c>
      <c r="G461" s="55">
        <v>1840.0</v>
      </c>
      <c r="H461" s="55" t="s">
        <v>1131</v>
      </c>
      <c r="I461" s="55" t="s">
        <v>1519</v>
      </c>
      <c r="J461" s="55" t="s">
        <v>6348</v>
      </c>
      <c r="K461" s="55" t="s">
        <v>61</v>
      </c>
      <c r="L461" s="143" t="s">
        <v>317</v>
      </c>
      <c r="M461" s="55" t="s">
        <v>78</v>
      </c>
      <c r="N461" s="55" t="s">
        <v>69</v>
      </c>
      <c r="O461" s="55" t="s">
        <v>415</v>
      </c>
      <c r="P461" s="55" t="s">
        <v>110</v>
      </c>
      <c r="Q461" s="67" t="str">
        <f>IFERROR(__xludf.DUMMYFUNCTION("""COMPUTED_VALUE"""),"Europe.giaotiep.M645_XuBen.5018_CVS_HuyLG_230326")</f>
        <v>Europe.giaotiep.M645_XuBen.5018_CVS_HuyLG_230326</v>
      </c>
      <c r="R461" s="67" t="str">
        <f>IFERROR(__xludf.DUMMYFUNCTION("""COMPUTED_VALUE"""),"NEW_Europe_1840_none_230326")</f>
        <v>NEW_Europe_1840_none_230326</v>
      </c>
      <c r="S461" s="67" t="str">
        <f>IFERROR(__xludf.DUMMYFUNCTION("""COMPUTED_VALUE"""),"saletructiep_Europe.M645.1840.giaotiep_TATTPVN_LD274")</f>
        <v>saletructiep_Europe.M645.1840.giaotiep_TATTPVN_LD274</v>
      </c>
      <c r="T461" s="107" t="str">
        <f>IFERROR(__xludf.DUMMYFUNCTION("""COMPUTED_VALUE"""),"https://patado.edu.vn/hlg_pgpgtta_gt/?utm_source=Facebook&amp;utm_medium=CVS&amp;utm_term=NEW_Europe_1840_none_230326&amp;utm_content=saletructiep_Europe.M645.1840.giaotiep_TATTPVN_LD274&amp;utm_campaign=Europe.giaotiep.M645_XuBen.5018_CVS_HuyLG_230326")</f>
        <v>https://patado.edu.vn/hlg_pgpgtta_gt/?utm_source=Facebook&amp;utm_medium=CVS&amp;utm_term=NEW_Europe_1840_none_230326&amp;utm_content=saletructiep_Europe.M645.1840.giaotiep_TATTPVN_LD274&amp;utm_campaign=Europe.giaotiep.M645_XuBen.5018_CVS_HuyLG_230326</v>
      </c>
      <c r="U461" s="110" t="s">
        <v>6352</v>
      </c>
    </row>
    <row r="462">
      <c r="A462" s="72">
        <v>46114.0</v>
      </c>
      <c r="B462" s="60" t="s">
        <v>5935</v>
      </c>
      <c r="C462" s="67" t="str">
        <f>IFERROR(__xludf.DUMMYFUNCTION("""COMPUTED_VALUE"""),"LD273")</f>
        <v>LD273</v>
      </c>
      <c r="D462" s="55" t="s">
        <v>42</v>
      </c>
      <c r="E462" s="55" t="s">
        <v>69</v>
      </c>
      <c r="F462" s="55" t="s">
        <v>674</v>
      </c>
      <c r="G462" s="55">
        <v>1840.0</v>
      </c>
      <c r="H462" s="55" t="s">
        <v>1131</v>
      </c>
      <c r="I462" s="55" t="s">
        <v>6355</v>
      </c>
      <c r="J462" s="55" t="s">
        <v>6356</v>
      </c>
      <c r="K462" s="55" t="s">
        <v>61</v>
      </c>
      <c r="L462" s="143" t="s">
        <v>317</v>
      </c>
      <c r="M462" s="55" t="s">
        <v>78</v>
      </c>
      <c r="N462" s="55" t="s">
        <v>69</v>
      </c>
      <c r="O462" s="86" t="s">
        <v>3271</v>
      </c>
      <c r="P462" s="55" t="s">
        <v>110</v>
      </c>
      <c r="Q462" s="67" t="str">
        <f>IFERROR(__xludf.DUMMYFUNCTION("""COMPUTED_VALUE"""),"Europe.giaotiep.M652_XuBen.5018_CVS_HuyLG_020426")</f>
        <v>Europe.giaotiep.M652_XuBen.5018_CVS_HuyLG_020426</v>
      </c>
      <c r="R462" s="67" t="str">
        <f>IFERROR(__xludf.DUMMYFUNCTION("""COMPUTED_VALUE"""),"NEW_Europe_1840_none_020426")</f>
        <v>NEW_Europe_1840_none_020426</v>
      </c>
      <c r="S462" s="67" t="str">
        <f>IFERROR(__xludf.DUMMYFUNCTION("""COMPUTED_VALUE"""),"saletructiep_Europe.M652.1840.giaotiep_PGPGTTA_LD273")</f>
        <v>saletructiep_Europe.M652.1840.giaotiep_PGPGTTA_LD273</v>
      </c>
      <c r="T462" s="107" t="str">
        <f>IFERROR(__xludf.DUMMYFUNCTION("""COMPUTED_VALUE"""),"https://patado.edu.vn/hlg1908/?utm_source=Facebook&amp;utm_medium=CVS&amp;utm_term=NEW_Europe_1840_none_020426&amp;utm_content=saletructiep_Europe.M652.1840.giaotiep_PGPGTTA_LD273&amp;utm_campaign=Europe.giaotiep.M652_XuBen.5018_CVS_HuyLG_020426")</f>
        <v>https://patado.edu.vn/hlg1908/?utm_source=Facebook&amp;utm_medium=CVS&amp;utm_term=NEW_Europe_1840_none_020426&amp;utm_content=saletructiep_Europe.M652.1840.giaotiep_PGPGTTA_LD273&amp;utm_campaign=Europe.giaotiep.M652_XuBen.5018_CVS_HuyLG_020426</v>
      </c>
      <c r="U462" s="110" t="s">
        <v>6360</v>
      </c>
    </row>
    <row r="463">
      <c r="A463" s="72">
        <v>46114.0</v>
      </c>
      <c r="B463" s="60" t="s">
        <v>3977</v>
      </c>
      <c r="C463" s="67" t="str">
        <f>IFERROR(__xludf.DUMMYFUNCTION("""COMPUTED_VALUE"""),"LD279")</f>
        <v>LD279</v>
      </c>
      <c r="D463" s="55" t="s">
        <v>42</v>
      </c>
      <c r="E463" s="87" t="s">
        <v>79</v>
      </c>
      <c r="F463" s="55" t="s">
        <v>107</v>
      </c>
      <c r="G463" s="55">
        <v>1840.0</v>
      </c>
      <c r="H463" s="55" t="s">
        <v>1131</v>
      </c>
      <c r="I463" s="55" t="s">
        <v>1633</v>
      </c>
      <c r="J463" s="55" t="s">
        <v>6363</v>
      </c>
      <c r="K463" s="55" t="s">
        <v>61</v>
      </c>
      <c r="L463" s="55" t="s">
        <v>5396</v>
      </c>
      <c r="M463" s="55" t="s">
        <v>78</v>
      </c>
      <c r="N463" s="55" t="s">
        <v>79</v>
      </c>
      <c r="O463" s="86" t="s">
        <v>3271</v>
      </c>
      <c r="P463" s="55" t="s">
        <v>110</v>
      </c>
      <c r="Q463" s="67" t="str">
        <f>IFERROR(__xludf.DUMMYFUNCTION("""COMPUTED_VALUE"""),"UnitedStates.giaotiep.M645_HG4601_MES_HuyLG_020426")</f>
        <v>UnitedStates.giaotiep.M645_HG4601_MES_HuyLG_020426</v>
      </c>
      <c r="R463" s="67" t="str">
        <f>IFERROR(__xludf.DUMMYFUNCTION("""COMPUTED_VALUE"""),"NEW_UnitedStates_1840_none_020426")</f>
        <v>NEW_UnitedStates_1840_none_020426</v>
      </c>
      <c r="S463" s="67" t="str">
        <f>IFERROR(__xludf.DUMMYFUNCTION("""COMPUTED_VALUE"""),"saletructiep_UnitedStates.M645.1840.giaotiep_PGPGTTA_LD279")</f>
        <v>saletructiep_UnitedStates.M645.1840.giaotiep_PGPGTTA_LD279</v>
      </c>
      <c r="T463" s="107" t="str">
        <f>IFERROR(__xludf.DUMMYFUNCTION("""COMPUTED_VALUE"""),"https://patado.edu.vn/hlg_tattp_gt/?utm_source=Facebook&amp;utm_medium=MES&amp;utm_term=NEW_UnitedStates_1840_none_020426&amp;utm_content=saletructiep_UnitedStates.M645.1840.giaotiep_PGPGTTA_LD279&amp;utm_campaign=UnitedStates.giaotiep.M645_HG4601_MES_HuyLG_020426")</f>
        <v>https://patado.edu.vn/hlg_tattp_gt/?utm_source=Facebook&amp;utm_medium=MES&amp;utm_term=NEW_UnitedStates_1840_none_020426&amp;utm_content=saletructiep_UnitedStates.M645.1840.giaotiep_PGPGTTA_LD279&amp;utm_campaign=UnitedStates.giaotiep.M645_HG4601_MES_HuyLG_020426</v>
      </c>
      <c r="U463" s="110" t="s">
        <v>6367</v>
      </c>
    </row>
    <row r="464">
      <c r="A464" s="72">
        <v>46114.0</v>
      </c>
      <c r="B464" s="60" t="s">
        <v>5729</v>
      </c>
      <c r="C464" s="67" t="str">
        <f>IFERROR(__xludf.DUMMYFUNCTION("""COMPUTED_VALUE"""),"LD247")</f>
        <v>LD247</v>
      </c>
      <c r="D464" s="55" t="s">
        <v>42</v>
      </c>
      <c r="E464" s="87" t="s">
        <v>79</v>
      </c>
      <c r="F464" s="55" t="s">
        <v>625</v>
      </c>
      <c r="G464" s="55">
        <v>1840.0</v>
      </c>
      <c r="H464" s="55" t="s">
        <v>1131</v>
      </c>
      <c r="I464" s="55" t="s">
        <v>1590</v>
      </c>
      <c r="J464" s="55" t="s">
        <v>6370</v>
      </c>
      <c r="K464" s="55" t="s">
        <v>61</v>
      </c>
      <c r="L464" s="87" t="s">
        <v>5437</v>
      </c>
      <c r="M464" s="55" t="s">
        <v>78</v>
      </c>
      <c r="N464" s="55" t="s">
        <v>79</v>
      </c>
      <c r="O464" s="55" t="s">
        <v>910</v>
      </c>
      <c r="P464" s="55" t="s">
        <v>110</v>
      </c>
      <c r="Q464" s="67" t="str">
        <f>IFERROR(__xludf.DUMMYFUNCTION("""COMPUTED_VALUE"""),"KoreaSouth.giaotiep.M645_LH3645_MES_HuyLG_020426")</f>
        <v>KoreaSouth.giaotiep.M645_LH3645_MES_HuyLG_020426</v>
      </c>
      <c r="R464" s="67" t="str">
        <f>IFERROR(__xludf.DUMMYFUNCTION("""COMPUTED_VALUE"""),"NEW_KoreaSouth_1840_none_020426")</f>
        <v>NEW_KoreaSouth_1840_none_020426</v>
      </c>
      <c r="S464" s="67" t="str">
        <f>IFERROR(__xludf.DUMMYFUNCTION("""COMPUTED_VALUE"""),"saletructiep_KoreaSouth.M645.1840.giaotiep_TATTP_LD247")</f>
        <v>saletructiep_KoreaSouth.M645.1840.giaotiep_TATTP_LD247</v>
      </c>
      <c r="T464" s="107" t="str">
        <f>IFERROR(__xludf.DUMMYFUNCTION("""COMPUTED_VALUE"""),"https://patadovietnam.edu.vn/hlg1908/?utm_source=Facebook&amp;utm_medium=MES&amp;utm_term=NEW_KoreaSouth_1840_none_020426&amp;utm_content=saletructiep_KoreaSouth.M645.1840.giaotiep_TATTP_LD247&amp;utm_campaign=KoreaSouth.giaotiep.M645_LH3645_MES_HuyLG_020426")</f>
        <v>https://patadovietnam.edu.vn/hlg1908/?utm_source=Facebook&amp;utm_medium=MES&amp;utm_term=NEW_KoreaSouth_1840_none_020426&amp;utm_content=saletructiep_KoreaSouth.M645.1840.giaotiep_TATTP_LD247&amp;utm_campaign=KoreaSouth.giaotiep.M645_LH3645_MES_HuyLG_020426</v>
      </c>
      <c r="U464" s="110" t="s">
        <v>6376</v>
      </c>
    </row>
    <row r="465">
      <c r="A465" s="72">
        <v>46114.0</v>
      </c>
      <c r="B465" s="60" t="s">
        <v>5729</v>
      </c>
      <c r="C465" s="67" t="str">
        <f>IFERROR(__xludf.DUMMYFUNCTION("""COMPUTED_VALUE"""),"LD247")</f>
        <v>LD247</v>
      </c>
      <c r="D465" s="55" t="s">
        <v>42</v>
      </c>
      <c r="E465" s="87" t="s">
        <v>79</v>
      </c>
      <c r="F465" s="55" t="s">
        <v>164</v>
      </c>
      <c r="G465" s="55">
        <v>1840.0</v>
      </c>
      <c r="H465" s="55" t="s">
        <v>1131</v>
      </c>
      <c r="I465" s="55" t="s">
        <v>6377</v>
      </c>
      <c r="J465" s="55" t="s">
        <v>6378</v>
      </c>
      <c r="K465" s="55" t="s">
        <v>61</v>
      </c>
      <c r="L465" s="55" t="s">
        <v>5437</v>
      </c>
      <c r="M465" s="55" t="s">
        <v>78</v>
      </c>
      <c r="N465" s="55" t="s">
        <v>79</v>
      </c>
      <c r="O465" s="55" t="s">
        <v>910</v>
      </c>
      <c r="P465" s="55" t="s">
        <v>110</v>
      </c>
      <c r="Q465" s="67" t="str">
        <f>IFERROR(__xludf.DUMMYFUNCTION("""COMPUTED_VALUE"""),"Taiwan.giaotiep.M652_LH3645_MES_HuyLG_020426")</f>
        <v>Taiwan.giaotiep.M652_LH3645_MES_HuyLG_020426</v>
      </c>
      <c r="R465" s="67" t="str">
        <f>IFERROR(__xludf.DUMMYFUNCTION("""COMPUTED_VALUE"""),"NEW_Taiwan_1840_none_020426")</f>
        <v>NEW_Taiwan_1840_none_020426</v>
      </c>
      <c r="S465" s="67" t="str">
        <f>IFERROR(__xludf.DUMMYFUNCTION("""COMPUTED_VALUE"""),"saletructiep_Taiwan.M652.1840.giaotiep_TATTP_LD247")</f>
        <v>saletructiep_Taiwan.M652.1840.giaotiep_TATTP_LD247</v>
      </c>
      <c r="T465" s="107" t="str">
        <f>IFERROR(__xludf.DUMMYFUNCTION("""COMPUTED_VALUE"""),"https://patadovietnam.edu.vn/hlg1908/?utm_source=Facebook&amp;utm_medium=MES&amp;utm_term=NEW_Taiwan_1840_none_020426&amp;utm_content=saletructiep_Taiwan.M652.1840.giaotiep_TATTP_LD247&amp;utm_campaign=Taiwan.giaotiep.M652_LH3645_MES_HuyLG_020426")</f>
        <v>https://patadovietnam.edu.vn/hlg1908/?utm_source=Facebook&amp;utm_medium=MES&amp;utm_term=NEW_Taiwan_1840_none_020426&amp;utm_content=saletructiep_Taiwan.M652.1840.giaotiep_TATTP_LD247&amp;utm_campaign=Taiwan.giaotiep.M652_LH3645_MES_HuyLG_020426</v>
      </c>
      <c r="U465" s="110" t="s">
        <v>6385</v>
      </c>
    </row>
    <row r="466">
      <c r="A466" s="72">
        <v>46125.0</v>
      </c>
      <c r="B466" s="60" t="s">
        <v>5898</v>
      </c>
      <c r="C466" s="67" t="str">
        <f>IFERROR(__xludf.DUMMYFUNCTION("""COMPUTED_VALUE"""),"LD271")</f>
        <v>LD271</v>
      </c>
      <c r="D466" s="55" t="s">
        <v>42</v>
      </c>
      <c r="E466" s="55" t="s">
        <v>69</v>
      </c>
      <c r="F466" s="55" t="s">
        <v>133</v>
      </c>
      <c r="G466" s="55">
        <v>1840.0</v>
      </c>
      <c r="H466" s="55" t="s">
        <v>1131</v>
      </c>
      <c r="I466" s="55" t="s">
        <v>1511</v>
      </c>
      <c r="J466" s="55" t="s">
        <v>6342</v>
      </c>
      <c r="K466" s="55" t="s">
        <v>61</v>
      </c>
      <c r="L466" s="143" t="s">
        <v>317</v>
      </c>
      <c r="M466" s="55" t="s">
        <v>78</v>
      </c>
      <c r="N466" s="55" t="s">
        <v>69</v>
      </c>
      <c r="O466" s="55" t="s">
        <v>415</v>
      </c>
      <c r="P466" s="55" t="s">
        <v>110</v>
      </c>
      <c r="Q466" s="67" t="str">
        <f>IFERROR(__xludf.DUMMYFUNCTION("""COMPUTED_VALUE"""),"Japan.giaotiep.M645_XuBen.5018_CVS_HuyLG_130426")</f>
        <v>Japan.giaotiep.M645_XuBen.5018_CVS_HuyLG_130426</v>
      </c>
      <c r="R466" s="67" t="str">
        <f>IFERROR(__xludf.DUMMYFUNCTION("""COMPUTED_VALUE"""),"NEW_Japan_1840_none_130426")</f>
        <v>NEW_Japan_1840_none_130426</v>
      </c>
      <c r="S466" s="67" t="str">
        <f>IFERROR(__xludf.DUMMYFUNCTION("""COMPUTED_VALUE"""),"saletructiep_Japan.M645.1840.giaotiep_TATTPVN_LD271")</f>
        <v>saletructiep_Japan.M645.1840.giaotiep_TATTPVN_LD271</v>
      </c>
      <c r="T466" s="107" t="str">
        <f>IFERROR(__xludf.DUMMYFUNCTION("""COMPUTED_VALUE"""),"https://patado.edu.vn/japancvs/?utm_source=Facebook&amp;utm_medium=CVS&amp;utm_term=NEW_Japan_1840_none_130426&amp;utm_content=saletructiep_Japan.M645.1840.giaotiep_TATTPVN_LD271&amp;utm_campaign=Japan.giaotiep.M645_XuBen.5018_CVS_HuyLG_130426")</f>
        <v>https://patado.edu.vn/japancvs/?utm_source=Facebook&amp;utm_medium=CVS&amp;utm_term=NEW_Japan_1840_none_130426&amp;utm_content=saletructiep_Japan.M645.1840.giaotiep_TATTPVN_LD271&amp;utm_campaign=Japan.giaotiep.M645_XuBen.5018_CVS_HuyLG_130426</v>
      </c>
      <c r="U466" s="110" t="s">
        <v>6391</v>
      </c>
    </row>
    <row r="467">
      <c r="A467" s="72">
        <v>46125.0</v>
      </c>
      <c r="B467" s="60" t="s">
        <v>5898</v>
      </c>
      <c r="C467" s="67" t="str">
        <f>IFERROR(__xludf.DUMMYFUNCTION("""COMPUTED_VALUE"""),"LD271")</f>
        <v>LD271</v>
      </c>
      <c r="D467" s="55" t="s">
        <v>42</v>
      </c>
      <c r="E467" s="55" t="s">
        <v>69</v>
      </c>
      <c r="F467" s="55" t="s">
        <v>133</v>
      </c>
      <c r="G467" s="55">
        <v>1840.0</v>
      </c>
      <c r="H467" s="55" t="s">
        <v>1131</v>
      </c>
      <c r="I467" s="55" t="s">
        <v>6394</v>
      </c>
      <c r="J467" s="55" t="s">
        <v>6396</v>
      </c>
      <c r="K467" s="55" t="s">
        <v>61</v>
      </c>
      <c r="L467" s="143" t="s">
        <v>317</v>
      </c>
      <c r="M467" s="55" t="s">
        <v>78</v>
      </c>
      <c r="N467" s="55" t="s">
        <v>69</v>
      </c>
      <c r="O467" s="55" t="s">
        <v>910</v>
      </c>
      <c r="P467" s="55" t="s">
        <v>110</v>
      </c>
      <c r="Q467" s="67" t="str">
        <f>IFERROR(__xludf.DUMMYFUNCTION("""COMPUTED_VALUE"""),"Japan.giaotiep.M37_XuBen.5018_CVS_HuyLG_130426")</f>
        <v>Japan.giaotiep.M37_XuBen.5018_CVS_HuyLG_130426</v>
      </c>
      <c r="R467" s="67" t="str">
        <f>IFERROR(__xludf.DUMMYFUNCTION("""COMPUTED_VALUE"""),"NEW_Japan_1840_none_130426")</f>
        <v>NEW_Japan_1840_none_130426</v>
      </c>
      <c r="S467" s="67" t="str">
        <f>IFERROR(__xludf.DUMMYFUNCTION("""COMPUTED_VALUE"""),"saletructiep_Japan.M37.1840.giaotiep_TATTP_LD271")</f>
        <v>saletructiep_Japan.M37.1840.giaotiep_TATTP_LD271</v>
      </c>
      <c r="T467" s="107" t="str">
        <f>IFERROR(__xludf.DUMMYFUNCTION("""COMPUTED_VALUE"""),"https://patado.edu.vn/japancvs/?utm_source=Facebook&amp;utm_medium=CVS&amp;utm_term=NEW_Japan_1840_none_130426&amp;utm_content=saletructiep_Japan.M37.1840.giaotiep_TATTP_LD271&amp;utm_campaign=Japan.giaotiep.M37_XuBen.5018_CVS_HuyLG_130426")</f>
        <v>https://patado.edu.vn/japancvs/?utm_source=Facebook&amp;utm_medium=CVS&amp;utm_term=NEW_Japan_1840_none_130426&amp;utm_content=saletructiep_Japan.M37.1840.giaotiep_TATTP_LD271&amp;utm_campaign=Japan.giaotiep.M37_XuBen.5018_CVS_HuyLG_130426</v>
      </c>
      <c r="U467" s="110" t="s">
        <v>6399</v>
      </c>
    </row>
    <row r="468">
      <c r="A468" s="72">
        <v>46125.0</v>
      </c>
      <c r="B468" s="161" t="s">
        <v>6402</v>
      </c>
      <c r="C468" s="67" t="str">
        <f>IFERROR(__xludf.DUMMYFUNCTION("""COMPUTED_VALUE"""),"LD272")</f>
        <v>LD272</v>
      </c>
      <c r="D468" s="55" t="s">
        <v>42</v>
      </c>
      <c r="E468" s="55" t="s">
        <v>69</v>
      </c>
      <c r="F468" s="55" t="s">
        <v>133</v>
      </c>
      <c r="G468" s="55">
        <v>1840.0</v>
      </c>
      <c r="H468" s="55" t="s">
        <v>1131</v>
      </c>
      <c r="I468" s="55" t="s">
        <v>6274</v>
      </c>
      <c r="J468" s="55" t="s">
        <v>6275</v>
      </c>
      <c r="K468" s="55" t="s">
        <v>61</v>
      </c>
      <c r="L468" s="86" t="s">
        <v>317</v>
      </c>
      <c r="M468" s="55" t="s">
        <v>78</v>
      </c>
      <c r="N468" s="55" t="s">
        <v>69</v>
      </c>
      <c r="O468" s="86" t="s">
        <v>3271</v>
      </c>
      <c r="P468" s="55" t="s">
        <v>110</v>
      </c>
      <c r="Q468" s="67" t="str">
        <f>IFERROR(__xludf.DUMMYFUNCTION("""COMPUTED_VALUE"""),"Japan.giaotiep.M397_XuBen.5018_CVS_HuyLG_130426")</f>
        <v>Japan.giaotiep.M397_XuBen.5018_CVS_HuyLG_130426</v>
      </c>
      <c r="R468" s="67" t="str">
        <f>IFERROR(__xludf.DUMMYFUNCTION("""COMPUTED_VALUE"""),"NEW_Japan_1840_none_130426")</f>
        <v>NEW_Japan_1840_none_130426</v>
      </c>
      <c r="S468" s="67" t="str">
        <f>IFERROR(__xludf.DUMMYFUNCTION("""COMPUTED_VALUE"""),"saletructiep_Japan.M397.1840.giaotiep_PGPGTTA_LD272")</f>
        <v>saletructiep_Japan.M397.1840.giaotiep_PGPGTTA_LD272</v>
      </c>
      <c r="T468" s="107" t="str">
        <f>IFERROR(__xludf.DUMMYFUNCTION("""COMPUTED_VALUE"""),"http://patado.edu.vn/japan_hlg/?utm_source=Facebook&amp;utm_medium=CVS&amp;utm_term=NEW_Japan_1840_none_130426&amp;utm_content=saletructiep_Japan.M397.1840.giaotiep_PGPGTTA_LD272&amp;utm_campaign=Japan.giaotiep.M397_XuBen.5018_CVS_HuyLG_130426")</f>
        <v>http://patado.edu.vn/japan_hlg/?utm_source=Facebook&amp;utm_medium=CVS&amp;utm_term=NEW_Japan_1840_none_130426&amp;utm_content=saletructiep_Japan.M397.1840.giaotiep_PGPGTTA_LD272&amp;utm_campaign=Japan.giaotiep.M397_XuBen.5018_CVS_HuyLG_130426</v>
      </c>
      <c r="U468" s="110" t="s">
        <v>6408</v>
      </c>
    </row>
    <row r="469">
      <c r="A469" s="72">
        <v>46125.0</v>
      </c>
      <c r="B469" s="60" t="s">
        <v>5935</v>
      </c>
      <c r="C469" s="67" t="str">
        <f>IFERROR(__xludf.DUMMYFUNCTION("""COMPUTED_VALUE"""),"LD273")</f>
        <v>LD273</v>
      </c>
      <c r="D469" s="55" t="s">
        <v>42</v>
      </c>
      <c r="E469" s="87" t="s">
        <v>79</v>
      </c>
      <c r="F469" s="55" t="s">
        <v>539</v>
      </c>
      <c r="G469" s="55">
        <v>1840.0</v>
      </c>
      <c r="H469" s="55" t="s">
        <v>1131</v>
      </c>
      <c r="I469" s="55" t="s">
        <v>1638</v>
      </c>
      <c r="J469" s="55" t="s">
        <v>6411</v>
      </c>
      <c r="K469" s="55" t="s">
        <v>61</v>
      </c>
      <c r="L469" s="86" t="s">
        <v>317</v>
      </c>
      <c r="M469" s="55" t="s">
        <v>78</v>
      </c>
      <c r="N469" s="55" t="s">
        <v>79</v>
      </c>
      <c r="O469" s="86" t="s">
        <v>3271</v>
      </c>
      <c r="P469" s="55" t="s">
        <v>110</v>
      </c>
      <c r="Q469" s="67" t="str">
        <f>IFERROR(__xludf.DUMMYFUNCTION("""COMPUTED_VALUE"""),"ALL.giaotiep.M645_XuBen.5018_MES_HuyLG_130426")</f>
        <v>ALL.giaotiep.M645_XuBen.5018_MES_HuyLG_130426</v>
      </c>
      <c r="R469" s="67" t="str">
        <f>IFERROR(__xludf.DUMMYFUNCTION("""COMPUTED_VALUE"""),"NEW_ALL_1840_none_130426")</f>
        <v>NEW_ALL_1840_none_130426</v>
      </c>
      <c r="S469" s="67" t="str">
        <f>IFERROR(__xludf.DUMMYFUNCTION("""COMPUTED_VALUE"""),"saletructiep_ALL.M645.1840.giaotiep_PGPGTTA_LD273")</f>
        <v>saletructiep_ALL.M645.1840.giaotiep_PGPGTTA_LD273</v>
      </c>
      <c r="T469" s="107" t="str">
        <f>IFERROR(__xludf.DUMMYFUNCTION("""COMPUTED_VALUE"""),"https://patado.edu.vn/hlg1908/?utm_source=Facebook&amp;utm_medium=MES&amp;utm_term=NEW_ALL_1840_none_130426&amp;utm_content=saletructiep_ALL.M645.1840.giaotiep_PGPGTTA_LD273&amp;utm_campaign=ALL.giaotiep.M645_XuBen.5018_MES_HuyLG_130426")</f>
        <v>https://patado.edu.vn/hlg1908/?utm_source=Facebook&amp;utm_medium=MES&amp;utm_term=NEW_ALL_1840_none_130426&amp;utm_content=saletructiep_ALL.M645.1840.giaotiep_PGPGTTA_LD273&amp;utm_campaign=ALL.giaotiep.M645_XuBen.5018_MES_HuyLG_130426</v>
      </c>
      <c r="U469" s="110" t="s">
        <v>6413</v>
      </c>
    </row>
    <row r="470">
      <c r="A470" s="72">
        <v>46125.0</v>
      </c>
      <c r="B470" s="75" t="s">
        <v>6093</v>
      </c>
      <c r="C470" s="67" t="str">
        <f>IFERROR(__xludf.DUMMYFUNCTION("""COMPUTED_VALUE"""),"LD274")</f>
        <v>LD274</v>
      </c>
      <c r="D470" s="55" t="s">
        <v>42</v>
      </c>
      <c r="E470" s="55" t="s">
        <v>69</v>
      </c>
      <c r="F470" s="55" t="s">
        <v>674</v>
      </c>
      <c r="G470" s="55">
        <v>1840.0</v>
      </c>
      <c r="H470" s="55" t="s">
        <v>1131</v>
      </c>
      <c r="I470" s="55" t="s">
        <v>1519</v>
      </c>
      <c r="J470" s="55" t="s">
        <v>6348</v>
      </c>
      <c r="K470" s="55" t="s">
        <v>61</v>
      </c>
      <c r="L470" s="143" t="s">
        <v>317</v>
      </c>
      <c r="M470" s="55" t="s">
        <v>78</v>
      </c>
      <c r="N470" s="55" t="s">
        <v>69</v>
      </c>
      <c r="O470" s="86" t="s">
        <v>3271</v>
      </c>
      <c r="P470" s="55" t="s">
        <v>110</v>
      </c>
      <c r="Q470" s="67" t="str">
        <f>IFERROR(__xludf.DUMMYFUNCTION("""COMPUTED_VALUE"""),"Europe.giaotiep.M645_XuBen.5018_CVS_HuyLG_130426")</f>
        <v>Europe.giaotiep.M645_XuBen.5018_CVS_HuyLG_130426</v>
      </c>
      <c r="R470" s="67" t="str">
        <f>IFERROR(__xludf.DUMMYFUNCTION("""COMPUTED_VALUE"""),"NEW_Europe_1840_none_130426")</f>
        <v>NEW_Europe_1840_none_130426</v>
      </c>
      <c r="S470" s="67" t="str">
        <f>IFERROR(__xludf.DUMMYFUNCTION("""COMPUTED_VALUE"""),"saletructiep_Europe.M645.1840.giaotiep_PGPGTTA_LD274")</f>
        <v>saletructiep_Europe.M645.1840.giaotiep_PGPGTTA_LD274</v>
      </c>
      <c r="T470" s="107" t="str">
        <f>IFERROR(__xludf.DUMMYFUNCTION("""COMPUTED_VALUE"""),"https://patado.edu.vn/hlg_pgpgtta_gt/?utm_source=Facebook&amp;utm_medium=CVS&amp;utm_term=NEW_Europe_1840_none_130426&amp;utm_content=saletructiep_Europe.M645.1840.giaotiep_PGPGTTA_LD274&amp;utm_campaign=Europe.giaotiep.M645_XuBen.5018_CVS_HuyLG_130426")</f>
        <v>https://patado.edu.vn/hlg_pgpgtta_gt/?utm_source=Facebook&amp;utm_medium=CVS&amp;utm_term=NEW_Europe_1840_none_130426&amp;utm_content=saletructiep_Europe.M645.1840.giaotiep_PGPGTTA_LD274&amp;utm_campaign=Europe.giaotiep.M645_XuBen.5018_CVS_HuyLG_130426</v>
      </c>
      <c r="U470" s="110" t="s">
        <v>6421</v>
      </c>
    </row>
    <row r="471">
      <c r="A471" s="72">
        <v>46129.0</v>
      </c>
      <c r="B471" s="60" t="s">
        <v>5935</v>
      </c>
      <c r="C471" s="67" t="str">
        <f>IFERROR(__xludf.DUMMYFUNCTION("""COMPUTED_VALUE"""),"LD273")</f>
        <v>LD273</v>
      </c>
      <c r="D471" s="55" t="s">
        <v>42</v>
      </c>
      <c r="E471" s="87" t="s">
        <v>79</v>
      </c>
      <c r="F471" s="55" t="s">
        <v>539</v>
      </c>
      <c r="G471" s="55">
        <v>1840.0</v>
      </c>
      <c r="H471" s="55" t="s">
        <v>1131</v>
      </c>
      <c r="I471" s="55" t="s">
        <v>2179</v>
      </c>
      <c r="J471" s="55" t="s">
        <v>6426</v>
      </c>
      <c r="K471" s="55" t="s">
        <v>61</v>
      </c>
      <c r="L471" s="86" t="s">
        <v>317</v>
      </c>
      <c r="M471" s="55" t="s">
        <v>78</v>
      </c>
      <c r="N471" s="55" t="s">
        <v>79</v>
      </c>
      <c r="O471" s="55" t="s">
        <v>415</v>
      </c>
      <c r="P471" s="55" t="s">
        <v>110</v>
      </c>
      <c r="Q471" s="67" t="str">
        <f>IFERROR(__xludf.DUMMYFUNCTION("""COMPUTED_VALUE"""),"ALL.giaotiep.M647_XuBen.5018_MES_HuyLG_170426")</f>
        <v>ALL.giaotiep.M647_XuBen.5018_MES_HuyLG_170426</v>
      </c>
      <c r="R471" s="67" t="str">
        <f>IFERROR(__xludf.DUMMYFUNCTION("""COMPUTED_VALUE"""),"NEW_ALL_1840_none_170426")</f>
        <v>NEW_ALL_1840_none_170426</v>
      </c>
      <c r="S471" s="67" t="str">
        <f>IFERROR(__xludf.DUMMYFUNCTION("""COMPUTED_VALUE"""),"saletructiep_ALL.M647.1840.giaotiep_TATTPVN_LD273")</f>
        <v>saletructiep_ALL.M647.1840.giaotiep_TATTPVN_LD273</v>
      </c>
      <c r="T471" s="107" t="str">
        <f>IFERROR(__xludf.DUMMYFUNCTION("""COMPUTED_VALUE"""),"https://patado.edu.vn/hlg1908/?utm_source=Facebook&amp;utm_medium=MES&amp;utm_term=NEW_ALL_1840_none_170426&amp;utm_content=saletructiep_ALL.M647.1840.giaotiep_TATTPVN_LD273&amp;utm_campaign=ALL.giaotiep.M647_XuBen.5018_MES_HuyLG_170426")</f>
        <v>https://patado.edu.vn/hlg1908/?utm_source=Facebook&amp;utm_medium=MES&amp;utm_term=NEW_ALL_1840_none_170426&amp;utm_content=saletructiep_ALL.M647.1840.giaotiep_TATTPVN_LD273&amp;utm_campaign=ALL.giaotiep.M647_XuBen.5018_MES_HuyLG_170426</v>
      </c>
      <c r="U471" s="110" t="s">
        <v>6432</v>
      </c>
    </row>
    <row r="472">
      <c r="A472" s="72">
        <v>46129.0</v>
      </c>
      <c r="B472" s="75" t="s">
        <v>6093</v>
      </c>
      <c r="C472" s="67" t="str">
        <f>IFERROR(__xludf.DUMMYFUNCTION("""COMPUTED_VALUE"""),"LD274")</f>
        <v>LD274</v>
      </c>
      <c r="D472" s="55" t="s">
        <v>42</v>
      </c>
      <c r="E472" s="87" t="s">
        <v>79</v>
      </c>
      <c r="F472" s="55" t="s">
        <v>539</v>
      </c>
      <c r="G472" s="55">
        <v>1840.0</v>
      </c>
      <c r="H472" s="55" t="s">
        <v>1131</v>
      </c>
      <c r="I472" s="55" t="s">
        <v>6436</v>
      </c>
      <c r="J472" s="55" t="s">
        <v>6437</v>
      </c>
      <c r="K472" s="55" t="s">
        <v>61</v>
      </c>
      <c r="L472" s="55" t="s">
        <v>5396</v>
      </c>
      <c r="M472" s="55" t="s">
        <v>78</v>
      </c>
      <c r="N472" s="55" t="s">
        <v>79</v>
      </c>
      <c r="O472" s="55" t="s">
        <v>910</v>
      </c>
      <c r="P472" s="55" t="s">
        <v>110</v>
      </c>
      <c r="Q472" s="67" t="str">
        <f>IFERROR(__xludf.DUMMYFUNCTION("""COMPUTED_VALUE"""),"ALL.giaotiep.M655_HG4601_MES_HuyLG_170426")</f>
        <v>ALL.giaotiep.M655_HG4601_MES_HuyLG_170426</v>
      </c>
      <c r="R472" s="67" t="str">
        <f>IFERROR(__xludf.DUMMYFUNCTION("""COMPUTED_VALUE"""),"NEW_ALL_1840_none_170426")</f>
        <v>NEW_ALL_1840_none_170426</v>
      </c>
      <c r="S472" s="67" t="str">
        <f>IFERROR(__xludf.DUMMYFUNCTION("""COMPUTED_VALUE"""),"saletructiep_ALL.M655.1840.giaotiep_TATTP_LD274")</f>
        <v>saletructiep_ALL.M655.1840.giaotiep_TATTP_LD274</v>
      </c>
      <c r="T472" s="107" t="str">
        <f>IFERROR(__xludf.DUMMYFUNCTION("""COMPUTED_VALUE"""),"https://patado.edu.vn/hlg_pgpgtta_gt/?utm_source=Facebook&amp;utm_medium=MES&amp;utm_term=NEW_ALL_1840_none_170426&amp;utm_content=saletructiep_ALL.M655.1840.giaotiep_TATTP_LD274&amp;utm_campaign=ALL.giaotiep.M655_HG4601_MES_HuyLG_170426")</f>
        <v>https://patado.edu.vn/hlg_pgpgtta_gt/?utm_source=Facebook&amp;utm_medium=MES&amp;utm_term=NEW_ALL_1840_none_170426&amp;utm_content=saletructiep_ALL.M655.1840.giaotiep_TATTP_LD274&amp;utm_campaign=ALL.giaotiep.M655_HG4601_MES_HuyLG_170426</v>
      </c>
      <c r="U472" s="110" t="s">
        <v>6443</v>
      </c>
    </row>
    <row r="473">
      <c r="A473" s="72">
        <v>46129.0</v>
      </c>
      <c r="B473" s="60" t="s">
        <v>5935</v>
      </c>
      <c r="C473" s="67" t="str">
        <f>IFERROR(__xludf.DUMMYFUNCTION("""COMPUTED_VALUE"""),"LD273")</f>
        <v>LD273</v>
      </c>
      <c r="D473" s="55" t="s">
        <v>42</v>
      </c>
      <c r="E473" s="87" t="s">
        <v>79</v>
      </c>
      <c r="F473" s="55" t="s">
        <v>107</v>
      </c>
      <c r="G473" s="55">
        <v>1840.0</v>
      </c>
      <c r="H473" s="55" t="s">
        <v>1131</v>
      </c>
      <c r="I473" s="55" t="s">
        <v>6446</v>
      </c>
      <c r="J473" s="55" t="s">
        <v>6447</v>
      </c>
      <c r="K473" s="55" t="s">
        <v>61</v>
      </c>
      <c r="L473" s="55" t="s">
        <v>5396</v>
      </c>
      <c r="M473" s="55" t="s">
        <v>78</v>
      </c>
      <c r="N473" s="55" t="s">
        <v>79</v>
      </c>
      <c r="O473" s="55" t="s">
        <v>415</v>
      </c>
      <c r="P473" s="55" t="s">
        <v>110</v>
      </c>
      <c r="Q473" s="67" t="str">
        <f>IFERROR(__xludf.DUMMYFUNCTION("""COMPUTED_VALUE"""),"UnitedStates.giaotiep.M581_HG4601_MES_HuyLG_170426")</f>
        <v>UnitedStates.giaotiep.M581_HG4601_MES_HuyLG_170426</v>
      </c>
      <c r="R473" s="67" t="str">
        <f>IFERROR(__xludf.DUMMYFUNCTION("""COMPUTED_VALUE"""),"NEW_UnitedStates_1840_none_170426")</f>
        <v>NEW_UnitedStates_1840_none_170426</v>
      </c>
      <c r="S473" s="67" t="str">
        <f>IFERROR(__xludf.DUMMYFUNCTION("""COMPUTED_VALUE"""),"saletructiep_UnitedStates.M581.1840.giaotiep_TATTPVN_LD273")</f>
        <v>saletructiep_UnitedStates.M581.1840.giaotiep_TATTPVN_LD273</v>
      </c>
      <c r="T473" s="107" t="str">
        <f>IFERROR(__xludf.DUMMYFUNCTION("""COMPUTED_VALUE"""),"https://patado.edu.vn/hlg1908/?utm_source=Facebook&amp;utm_medium=MES&amp;utm_term=NEW_UnitedStates_1840_none_170426&amp;utm_content=saletructiep_UnitedStates.M581.1840.giaotiep_TATTPVN_LD273&amp;utm_campaign=UnitedStates.giaotiep.M581_HG4601_MES_HuyLG_170426")</f>
        <v>https://patado.edu.vn/hlg1908/?utm_source=Facebook&amp;utm_medium=MES&amp;utm_term=NEW_UnitedStates_1840_none_170426&amp;utm_content=saletructiep_UnitedStates.M581.1840.giaotiep_TATTPVN_LD273&amp;utm_campaign=UnitedStates.giaotiep.M581_HG4601_MES_HuyLG_170426</v>
      </c>
      <c r="U473" s="110" t="s">
        <v>6454</v>
      </c>
    </row>
    <row r="474">
      <c r="A474" s="72">
        <v>46147.0</v>
      </c>
      <c r="B474" s="60" t="s">
        <v>3977</v>
      </c>
      <c r="C474" s="67" t="str">
        <f>IFERROR(__xludf.DUMMYFUNCTION("""COMPUTED_VALUE"""),"LD279")</f>
        <v>LD279</v>
      </c>
      <c r="D474" s="55" t="s">
        <v>42</v>
      </c>
      <c r="E474" s="87" t="s">
        <v>79</v>
      </c>
      <c r="F474" s="55" t="s">
        <v>674</v>
      </c>
      <c r="G474" s="55">
        <v>1840.0</v>
      </c>
      <c r="H474" s="55" t="s">
        <v>1131</v>
      </c>
      <c r="I474" s="55" t="s">
        <v>6457</v>
      </c>
      <c r="J474" s="55" t="s">
        <v>6458</v>
      </c>
      <c r="K474" s="55" t="s">
        <v>61</v>
      </c>
      <c r="L474" s="86" t="s">
        <v>317</v>
      </c>
      <c r="M474" s="55" t="s">
        <v>78</v>
      </c>
      <c r="N474" s="55" t="s">
        <v>79</v>
      </c>
      <c r="O474" s="55" t="s">
        <v>910</v>
      </c>
      <c r="P474" s="55" t="s">
        <v>110</v>
      </c>
      <c r="Q474" s="67" t="str">
        <f>IFERROR(__xludf.DUMMYFUNCTION("""COMPUTED_VALUE"""),"Europe.giaotiep.M642_XuBen.5018_MES_HuyLG_050526")</f>
        <v>Europe.giaotiep.M642_XuBen.5018_MES_HuyLG_050526</v>
      </c>
      <c r="R474" s="67" t="str">
        <f>IFERROR(__xludf.DUMMYFUNCTION("""COMPUTED_VALUE"""),"NEW_Europe_1840_none_050526")</f>
        <v>NEW_Europe_1840_none_050526</v>
      </c>
      <c r="S474" s="67" t="str">
        <f>IFERROR(__xludf.DUMMYFUNCTION("""COMPUTED_VALUE"""),"saletructiep_Europe.M642.1840.giaotiep_TATTP_LD279")</f>
        <v>saletructiep_Europe.M642.1840.giaotiep_TATTP_LD279</v>
      </c>
      <c r="T474" s="107" t="str">
        <f>IFERROR(__xludf.DUMMYFUNCTION("""COMPUTED_VALUE"""),"https://patado.edu.vn/hlg_tattp_gt/?utm_source=Facebook&amp;utm_medium=MES&amp;utm_term=NEW_Europe_1840_none_050526&amp;utm_content=saletructiep_Europe.M642.1840.giaotiep_TATTP_LD279&amp;utm_campaign=Europe.giaotiep.M642_XuBen.5018_MES_HuyLG_050526")</f>
        <v>https://patado.edu.vn/hlg_tattp_gt/?utm_source=Facebook&amp;utm_medium=MES&amp;utm_term=NEW_Europe_1840_none_050526&amp;utm_content=saletructiep_Europe.M642.1840.giaotiep_TATTP_LD279&amp;utm_campaign=Europe.giaotiep.M642_XuBen.5018_MES_HuyLG_050526</v>
      </c>
      <c r="U474" s="110" t="s">
        <v>6463</v>
      </c>
    </row>
    <row r="475">
      <c r="A475" s="72">
        <v>46147.0</v>
      </c>
      <c r="B475" s="60" t="s">
        <v>3977</v>
      </c>
      <c r="C475" s="67" t="str">
        <f>IFERROR(__xludf.DUMMYFUNCTION("""COMPUTED_VALUE"""),"LD279")</f>
        <v>LD279</v>
      </c>
      <c r="D475" s="55" t="s">
        <v>42</v>
      </c>
      <c r="E475" s="87" t="s">
        <v>79</v>
      </c>
      <c r="F475" s="55" t="s">
        <v>164</v>
      </c>
      <c r="G475" s="55">
        <v>1840.0</v>
      </c>
      <c r="H475" s="55" t="s">
        <v>1131</v>
      </c>
      <c r="I475" s="55" t="s">
        <v>6464</v>
      </c>
      <c r="J475" s="55" t="s">
        <v>6466</v>
      </c>
      <c r="K475" s="55" t="s">
        <v>61</v>
      </c>
      <c r="L475" s="86" t="s">
        <v>317</v>
      </c>
      <c r="M475" s="55" t="s">
        <v>78</v>
      </c>
      <c r="N475" s="55" t="s">
        <v>79</v>
      </c>
      <c r="O475" s="55" t="s">
        <v>910</v>
      </c>
      <c r="P475" s="55" t="s">
        <v>110</v>
      </c>
      <c r="Q475" s="67" t="str">
        <f>IFERROR(__xludf.DUMMYFUNCTION("""COMPUTED_VALUE"""),"Taiwan.giaotiep.M642_XuBen.5018_MES_HuyLG_050526")</f>
        <v>Taiwan.giaotiep.M642_XuBen.5018_MES_HuyLG_050526</v>
      </c>
      <c r="R475" s="67" t="str">
        <f>IFERROR(__xludf.DUMMYFUNCTION("""COMPUTED_VALUE"""),"NEW_Taiwan_1840_none_050526")</f>
        <v>NEW_Taiwan_1840_none_050526</v>
      </c>
      <c r="S475" s="67" t="str">
        <f>IFERROR(__xludf.DUMMYFUNCTION("""COMPUTED_VALUE"""),"saletructiep_Taiwan.M642.1840.giaotiep_TATTP_LD279")</f>
        <v>saletructiep_Taiwan.M642.1840.giaotiep_TATTP_LD279</v>
      </c>
      <c r="T475" s="107" t="str">
        <f>IFERROR(__xludf.DUMMYFUNCTION("""COMPUTED_VALUE"""),"https://patado.edu.vn/hlg_tattp_gt/?utm_source=Facebook&amp;utm_medium=MES&amp;utm_term=NEW_Taiwan_1840_none_050526&amp;utm_content=saletructiep_Taiwan.M642.1840.giaotiep_TATTP_LD279&amp;utm_campaign=Taiwan.giaotiep.M642_XuBen.5018_MES_HuyLG_050526")</f>
        <v>https://patado.edu.vn/hlg_tattp_gt/?utm_source=Facebook&amp;utm_medium=MES&amp;utm_term=NEW_Taiwan_1840_none_050526&amp;utm_content=saletructiep_Taiwan.M642.1840.giaotiep_TATTP_LD279&amp;utm_campaign=Taiwan.giaotiep.M642_XuBen.5018_MES_HuyLG_050526</v>
      </c>
      <c r="U475" s="110" t="s">
        <v>6470</v>
      </c>
    </row>
    <row r="476">
      <c r="A476" s="72">
        <v>46147.0</v>
      </c>
      <c r="B476" s="60" t="s">
        <v>3977</v>
      </c>
      <c r="C476" s="67" t="str">
        <f>IFERROR(__xludf.DUMMYFUNCTION("""COMPUTED_VALUE"""),"LD279")</f>
        <v>LD279</v>
      </c>
      <c r="D476" s="55" t="s">
        <v>42</v>
      </c>
      <c r="E476" s="87" t="s">
        <v>79</v>
      </c>
      <c r="F476" s="55" t="s">
        <v>625</v>
      </c>
      <c r="G476" s="55">
        <v>1840.0</v>
      </c>
      <c r="H476" s="55" t="s">
        <v>1131</v>
      </c>
      <c r="I476" s="55" t="s">
        <v>6475</v>
      </c>
      <c r="J476" s="55" t="s">
        <v>6476</v>
      </c>
      <c r="K476" s="55" t="s">
        <v>61</v>
      </c>
      <c r="L476" s="86" t="s">
        <v>317</v>
      </c>
      <c r="M476" s="55" t="s">
        <v>78</v>
      </c>
      <c r="N476" s="55" t="s">
        <v>79</v>
      </c>
      <c r="O476" s="55" t="s">
        <v>910</v>
      </c>
      <c r="P476" s="55" t="s">
        <v>110</v>
      </c>
      <c r="Q476" s="67" t="str">
        <f>IFERROR(__xludf.DUMMYFUNCTION("""COMPUTED_VALUE"""),"KoreaSouth.giaotiep.M642_XuBen.5018_MES_HuyLG_050526")</f>
        <v>KoreaSouth.giaotiep.M642_XuBen.5018_MES_HuyLG_050526</v>
      </c>
      <c r="R476" s="67" t="str">
        <f>IFERROR(__xludf.DUMMYFUNCTION("""COMPUTED_VALUE"""),"NEW_KoreaSouth_1840_none_050526")</f>
        <v>NEW_KoreaSouth_1840_none_050526</v>
      </c>
      <c r="S476" s="67" t="str">
        <f>IFERROR(__xludf.DUMMYFUNCTION("""COMPUTED_VALUE"""),"saletructiep_KoreaSouth.M642.1840.giaotiep_TATTP_LD279")</f>
        <v>saletructiep_KoreaSouth.M642.1840.giaotiep_TATTP_LD279</v>
      </c>
      <c r="T476" s="107" t="str">
        <f>IFERROR(__xludf.DUMMYFUNCTION("""COMPUTED_VALUE"""),"https://patado.edu.vn/hlg_tattp_gt/?utm_source=Facebook&amp;utm_medium=MES&amp;utm_term=NEW_KoreaSouth_1840_none_050526&amp;utm_content=saletructiep_KoreaSouth.M642.1840.giaotiep_TATTP_LD279&amp;utm_campaign=KoreaSouth.giaotiep.M642_XuBen.5018_MES_HuyLG_050526")</f>
        <v>https://patado.edu.vn/hlg_tattp_gt/?utm_source=Facebook&amp;utm_medium=MES&amp;utm_term=NEW_KoreaSouth_1840_none_050526&amp;utm_content=saletructiep_KoreaSouth.M642.1840.giaotiep_TATTP_LD279&amp;utm_campaign=KoreaSouth.giaotiep.M642_XuBen.5018_MES_HuyLG_050526</v>
      </c>
      <c r="U476" s="110" t="s">
        <v>6479</v>
      </c>
    </row>
    <row r="477">
      <c r="A477" s="72">
        <v>46147.0</v>
      </c>
      <c r="B477" s="60" t="s">
        <v>3977</v>
      </c>
      <c r="C477" s="67" t="str">
        <f>IFERROR(__xludf.DUMMYFUNCTION("""COMPUTED_VALUE"""),"LD279")</f>
        <v>LD279</v>
      </c>
      <c r="D477" s="55" t="s">
        <v>42</v>
      </c>
      <c r="E477" s="87" t="s">
        <v>79</v>
      </c>
      <c r="F477" s="55" t="s">
        <v>107</v>
      </c>
      <c r="G477" s="55">
        <v>1840.0</v>
      </c>
      <c r="H477" s="55" t="s">
        <v>1131</v>
      </c>
      <c r="I477" s="55" t="s">
        <v>6480</v>
      </c>
      <c r="J477" s="55" t="s">
        <v>6481</v>
      </c>
      <c r="K477" s="55" t="s">
        <v>61</v>
      </c>
      <c r="L477" s="55" t="s">
        <v>5396</v>
      </c>
      <c r="M477" s="55" t="s">
        <v>78</v>
      </c>
      <c r="N477" s="55" t="s">
        <v>79</v>
      </c>
      <c r="O477" s="55" t="s">
        <v>910</v>
      </c>
      <c r="P477" s="55" t="s">
        <v>110</v>
      </c>
      <c r="Q477" s="67" t="str">
        <f>IFERROR(__xludf.DUMMYFUNCTION("""COMPUTED_VALUE"""),"UnitedStates.giaotiep.M642_HG4601_MES_HuyLG_050526")</f>
        <v>UnitedStates.giaotiep.M642_HG4601_MES_HuyLG_050526</v>
      </c>
      <c r="R477" s="67" t="str">
        <f>IFERROR(__xludf.DUMMYFUNCTION("""COMPUTED_VALUE"""),"NEW_UnitedStates_1840_none_050526")</f>
        <v>NEW_UnitedStates_1840_none_050526</v>
      </c>
      <c r="S477" s="67" t="str">
        <f>IFERROR(__xludf.DUMMYFUNCTION("""COMPUTED_VALUE"""),"saletructiep_UnitedStates.M642.1840.giaotiep_TATTP_LD279")</f>
        <v>saletructiep_UnitedStates.M642.1840.giaotiep_TATTP_LD279</v>
      </c>
      <c r="T477" s="107" t="str">
        <f>IFERROR(__xludf.DUMMYFUNCTION("""COMPUTED_VALUE"""),"https://patado.edu.vn/hlg_tattp_gt/?utm_source=Facebook&amp;utm_medium=MES&amp;utm_term=NEW_UnitedStates_1840_none_050526&amp;utm_content=saletructiep_UnitedStates.M642.1840.giaotiep_TATTP_LD279&amp;utm_campaign=UnitedStates.giaotiep.M642_HG4601_MES_HuyLG_050526")</f>
        <v>https://patado.edu.vn/hlg_tattp_gt/?utm_source=Facebook&amp;utm_medium=MES&amp;utm_term=NEW_UnitedStates_1840_none_050526&amp;utm_content=saletructiep_UnitedStates.M642.1840.giaotiep_TATTP_LD279&amp;utm_campaign=UnitedStates.giaotiep.M642_HG4601_MES_HuyLG_050526</v>
      </c>
      <c r="U477" s="110" t="s">
        <v>6483</v>
      </c>
    </row>
    <row r="478">
      <c r="A478" s="72">
        <v>46147.0</v>
      </c>
      <c r="B478" s="60" t="s">
        <v>3977</v>
      </c>
      <c r="C478" s="67" t="str">
        <f>IFERROR(__xludf.DUMMYFUNCTION("""COMPUTED_VALUE"""),"LD279")</f>
        <v>LD279</v>
      </c>
      <c r="D478" s="55" t="s">
        <v>42</v>
      </c>
      <c r="E478" s="87" t="s">
        <v>79</v>
      </c>
      <c r="F478" s="55" t="s">
        <v>6485</v>
      </c>
      <c r="G478" s="55">
        <v>1840.0</v>
      </c>
      <c r="H478" s="55" t="s">
        <v>1131</v>
      </c>
      <c r="I478" s="55" t="s">
        <v>6487</v>
      </c>
      <c r="J478" s="55" t="s">
        <v>6488</v>
      </c>
      <c r="K478" s="55" t="s">
        <v>61</v>
      </c>
      <c r="L478" s="55" t="s">
        <v>5396</v>
      </c>
      <c r="M478" s="55" t="s">
        <v>78</v>
      </c>
      <c r="N478" s="55" t="s">
        <v>79</v>
      </c>
      <c r="O478" s="55" t="s">
        <v>910</v>
      </c>
      <c r="P478" s="55" t="s">
        <v>110</v>
      </c>
      <c r="Q478" s="67" t="str">
        <f>IFERROR(__xludf.DUMMYFUNCTION("""COMPUTED_VALUE"""),"SoutheastAsia.giaotiep.M642_HG4601_MES_HuyLG_050526")</f>
        <v>SoutheastAsia.giaotiep.M642_HG4601_MES_HuyLG_050526</v>
      </c>
      <c r="R478" s="67" t="str">
        <f>IFERROR(__xludf.DUMMYFUNCTION("""COMPUTED_VALUE"""),"NEW_SoutheastAsia_1840_none_050526")</f>
        <v>NEW_SoutheastAsia_1840_none_050526</v>
      </c>
      <c r="S478" s="67" t="str">
        <f>IFERROR(__xludf.DUMMYFUNCTION("""COMPUTED_VALUE"""),"saletructiep_SoutheastAsia.M642.1840.giaotiep_TATTP_LD279")</f>
        <v>saletructiep_SoutheastAsia.M642.1840.giaotiep_TATTP_LD279</v>
      </c>
      <c r="T478" s="107" t="str">
        <f>IFERROR(__xludf.DUMMYFUNCTION("""COMPUTED_VALUE"""),"https://patado.edu.vn/hlg_tattp_gt/?utm_source=Facebook&amp;utm_medium=MES&amp;utm_term=NEW_SoutheastAsia_1840_none_050526&amp;utm_content=saletructiep_SoutheastAsia.M642.1840.giaotiep_TATTP_LD279&amp;utm_campaign=SoutheastAsia.giaotiep.M642_HG4601_MES_HuyLG_050526")</f>
        <v>https://patado.edu.vn/hlg_tattp_gt/?utm_source=Facebook&amp;utm_medium=MES&amp;utm_term=NEW_SoutheastAsia_1840_none_050526&amp;utm_content=saletructiep_SoutheastAsia.M642.1840.giaotiep_TATTP_LD279&amp;utm_campaign=SoutheastAsia.giaotiep.M642_HG4601_MES_HuyLG_050526</v>
      </c>
      <c r="U478" s="110" t="s">
        <v>6492</v>
      </c>
    </row>
    <row r="479">
      <c r="A479" s="72">
        <v>46150.0</v>
      </c>
      <c r="B479" s="60" t="s">
        <v>3977</v>
      </c>
      <c r="C479" s="67" t="str">
        <f>IFERROR(__xludf.DUMMYFUNCTION("""COMPUTED_VALUE"""),"LD279")</f>
        <v>LD279</v>
      </c>
      <c r="D479" s="55" t="s">
        <v>42</v>
      </c>
      <c r="E479" s="87" t="s">
        <v>79</v>
      </c>
      <c r="F479" s="55" t="s">
        <v>182</v>
      </c>
      <c r="G479" s="55">
        <v>1840.0</v>
      </c>
      <c r="H479" s="55" t="s">
        <v>1131</v>
      </c>
      <c r="I479" s="55" t="s">
        <v>6496</v>
      </c>
      <c r="J479" s="55" t="s">
        <v>6497</v>
      </c>
      <c r="K479" s="55" t="s">
        <v>61</v>
      </c>
      <c r="L479" s="86" t="s">
        <v>317</v>
      </c>
      <c r="M479" s="55" t="s">
        <v>78</v>
      </c>
      <c r="N479" s="55" t="s">
        <v>79</v>
      </c>
      <c r="O479" s="55" t="s">
        <v>415</v>
      </c>
      <c r="P479" s="55" t="s">
        <v>110</v>
      </c>
      <c r="Q479" s="67" t="str">
        <f>IFERROR(__xludf.DUMMYFUNCTION("""COMPUTED_VALUE"""),"Malaysia.giaotiep.M397_XuBen.5018_MES_HuyLG_080526")</f>
        <v>Malaysia.giaotiep.M397_XuBen.5018_MES_HuyLG_080526</v>
      </c>
      <c r="R479" s="67" t="str">
        <f>IFERROR(__xludf.DUMMYFUNCTION("""COMPUTED_VALUE"""),"NEW_Malaysia_1840_none_080526")</f>
        <v>NEW_Malaysia_1840_none_080526</v>
      </c>
      <c r="S479" s="67" t="str">
        <f>IFERROR(__xludf.DUMMYFUNCTION("""COMPUTED_VALUE"""),"saletructiep_Malaysia.M397.1840.giaotiep_TATTPVN_LD279")</f>
        <v>saletructiep_Malaysia.M397.1840.giaotiep_TATTPVN_LD279</v>
      </c>
      <c r="T479" s="107" t="str">
        <f>IFERROR(__xludf.DUMMYFUNCTION("""COMPUTED_VALUE"""),"https://patado.edu.vn/hlg_tattp_gt/?utm_source=Facebook&amp;utm_medium=MES&amp;utm_term=NEW_Malaysia_1840_none_080526&amp;utm_content=saletructiep_Malaysia.M397.1840.giaotiep_TATTPVN_LD279&amp;utm_campaign=Malaysia.giaotiep.M397_XuBen.5018_MES_HuyLG_080526")</f>
        <v>https://patado.edu.vn/hlg_tattp_gt/?utm_source=Facebook&amp;utm_medium=MES&amp;utm_term=NEW_Malaysia_1840_none_080526&amp;utm_content=saletructiep_Malaysia.M397.1840.giaotiep_TATTPVN_LD279&amp;utm_campaign=Malaysia.giaotiep.M397_XuBen.5018_MES_HuyLG_080526</v>
      </c>
      <c r="U479" s="110" t="s">
        <v>6499</v>
      </c>
    </row>
    <row r="480">
      <c r="A480" s="72">
        <v>46150.0</v>
      </c>
      <c r="B480" s="60" t="s">
        <v>3977</v>
      </c>
      <c r="C480" s="67" t="str">
        <f>IFERROR(__xludf.DUMMYFUNCTION("""COMPUTED_VALUE"""),"LD279")</f>
        <v>LD279</v>
      </c>
      <c r="D480" s="55" t="s">
        <v>42</v>
      </c>
      <c r="E480" s="55" t="s">
        <v>69</v>
      </c>
      <c r="F480" s="55" t="s">
        <v>133</v>
      </c>
      <c r="G480" s="55">
        <v>1840.0</v>
      </c>
      <c r="H480" s="55" t="s">
        <v>1131</v>
      </c>
      <c r="I480" s="55" t="s">
        <v>6503</v>
      </c>
      <c r="J480" s="55" t="s">
        <v>6504</v>
      </c>
      <c r="K480" s="55" t="s">
        <v>61</v>
      </c>
      <c r="L480" s="86" t="s">
        <v>317</v>
      </c>
      <c r="M480" s="55" t="s">
        <v>78</v>
      </c>
      <c r="N480" s="55" t="s">
        <v>69</v>
      </c>
      <c r="O480" s="55" t="s">
        <v>415</v>
      </c>
      <c r="P480" s="55" t="s">
        <v>110</v>
      </c>
      <c r="Q480" s="67" t="str">
        <f>IFERROR(__xludf.DUMMYFUNCTION("""COMPUTED_VALUE"""),"Japan.giaotiep.M642xM397_XuBen.5018_CVS_HuyLG_080526")</f>
        <v>Japan.giaotiep.M642xM397_XuBen.5018_CVS_HuyLG_080526</v>
      </c>
      <c r="R480" s="67" t="str">
        <f>IFERROR(__xludf.DUMMYFUNCTION("""COMPUTED_VALUE"""),"NEW_Japan_1840_none_080526")</f>
        <v>NEW_Japan_1840_none_080526</v>
      </c>
      <c r="S480" s="67" t="str">
        <f>IFERROR(__xludf.DUMMYFUNCTION("""COMPUTED_VALUE"""),"saletructiep_Japan.M642xM397.1840.giaotiep_TATTPVN_LD279")</f>
        <v>saletructiep_Japan.M642xM397.1840.giaotiep_TATTPVN_LD279</v>
      </c>
      <c r="T480" s="107" t="str">
        <f>IFERROR(__xludf.DUMMYFUNCTION("""COMPUTED_VALUE"""),"https://patado.edu.vn/hlg_tattp_gt/?utm_source=Facebook&amp;utm_medium=CVS&amp;utm_term=NEW_Japan_1840_none_080526&amp;utm_content=saletructiep_Japan.M642xM397.1840.giaotiep_TATTPVN_LD279&amp;utm_campaign=Japan.giaotiep.M642xM397_XuBen.5018_CVS_HuyLG_080526")</f>
        <v>https://patado.edu.vn/hlg_tattp_gt/?utm_source=Facebook&amp;utm_medium=CVS&amp;utm_term=NEW_Japan_1840_none_080526&amp;utm_content=saletructiep_Japan.M642xM397.1840.giaotiep_TATTPVN_LD279&amp;utm_campaign=Japan.giaotiep.M642xM397_XuBen.5018_CVS_HuyLG_080526</v>
      </c>
      <c r="U480" s="111" t="s">
        <v>6507</v>
      </c>
    </row>
    <row r="481">
      <c r="A481" s="72">
        <v>46175.0</v>
      </c>
      <c r="B481" s="60" t="s">
        <v>3977</v>
      </c>
      <c r="C481" s="67" t="str">
        <f>IFERROR(__xludf.DUMMYFUNCTION("""COMPUTED_VALUE"""),"LD279")</f>
        <v>LD279</v>
      </c>
      <c r="D481" s="55" t="s">
        <v>42</v>
      </c>
      <c r="E481" s="55" t="s">
        <v>69</v>
      </c>
      <c r="F481" s="55" t="s">
        <v>133</v>
      </c>
      <c r="G481" s="55">
        <v>1840.0</v>
      </c>
      <c r="H481" s="55" t="s">
        <v>1131</v>
      </c>
      <c r="I481" s="55" t="s">
        <v>6512</v>
      </c>
      <c r="J481" s="55" t="s">
        <v>6513</v>
      </c>
      <c r="K481" s="55" t="s">
        <v>61</v>
      </c>
      <c r="L481" s="86" t="s">
        <v>317</v>
      </c>
      <c r="M481" s="55" t="s">
        <v>78</v>
      </c>
      <c r="N481" s="55" t="s">
        <v>69</v>
      </c>
      <c r="O481" s="55" t="s">
        <v>910</v>
      </c>
      <c r="P481" s="55" t="s">
        <v>110</v>
      </c>
      <c r="Q481" s="67" t="str">
        <f>IFERROR(__xludf.DUMMYFUNCTION("""COMPUTED_VALUE"""),"Japan.giaotiep.M698xM695_XuBen.5018_CVS_HuyLG_020626")</f>
        <v>Japan.giaotiep.M698xM695_XuBen.5018_CVS_HuyLG_020626</v>
      </c>
      <c r="R481" s="67" t="str">
        <f>IFERROR(__xludf.DUMMYFUNCTION("""COMPUTED_VALUE"""),"NEW_Japan_1840_none_020626")</f>
        <v>NEW_Japan_1840_none_020626</v>
      </c>
      <c r="S481" s="67" t="str">
        <f>IFERROR(__xludf.DUMMYFUNCTION("""COMPUTED_VALUE"""),"saletructiep_Japan.M698xM695.1840.giaotiep_TATTP_LD279")</f>
        <v>saletructiep_Japan.M698xM695.1840.giaotiep_TATTP_LD279</v>
      </c>
      <c r="T481" s="107" t="str">
        <f>IFERROR(__xludf.DUMMYFUNCTION("""COMPUTED_VALUE"""),"https://patado.edu.vn/hlg_tattp_gt/?utm_source=Facebook&amp;utm_medium=CVS&amp;utm_term=NEW_Japan_1840_none_020626&amp;utm_content=saletructiep_Japan.M698xM695.1840.giaotiep_TATTP_LD279&amp;utm_campaign=Japan.giaotiep.M698xM695_XuBen.5018_CVS_HuyLG_020626")</f>
        <v>https://patado.edu.vn/hlg_tattp_gt/?utm_source=Facebook&amp;utm_medium=CVS&amp;utm_term=NEW_Japan_1840_none_020626&amp;utm_content=saletructiep_Japan.M698xM695.1840.giaotiep_TATTP_LD279&amp;utm_campaign=Japan.giaotiep.M698xM695_XuBen.5018_CVS_HuyLG_020626</v>
      </c>
      <c r="U481" s="110" t="s">
        <v>6517</v>
      </c>
    </row>
    <row r="482">
      <c r="A482" s="72">
        <v>46175.0</v>
      </c>
      <c r="B482" s="60" t="s">
        <v>3977</v>
      </c>
      <c r="C482" s="67" t="str">
        <f>IFERROR(__xludf.DUMMYFUNCTION("""COMPUTED_VALUE"""),"LD279")</f>
        <v>LD279</v>
      </c>
      <c r="D482" s="55" t="s">
        <v>42</v>
      </c>
      <c r="E482" s="87" t="s">
        <v>79</v>
      </c>
      <c r="F482" s="55" t="s">
        <v>674</v>
      </c>
      <c r="G482" s="55">
        <v>1840.0</v>
      </c>
      <c r="H482" s="55" t="s">
        <v>1131</v>
      </c>
      <c r="I482" s="55" t="s">
        <v>6518</v>
      </c>
      <c r="J482" s="55" t="s">
        <v>6519</v>
      </c>
      <c r="K482" s="55" t="s">
        <v>61</v>
      </c>
      <c r="L482" s="86" t="s">
        <v>317</v>
      </c>
      <c r="M482" s="55" t="s">
        <v>78</v>
      </c>
      <c r="N482" s="55" t="s">
        <v>79</v>
      </c>
      <c r="O482" s="55" t="s">
        <v>910</v>
      </c>
      <c r="P482" s="55" t="s">
        <v>110</v>
      </c>
      <c r="Q482" s="67" t="str">
        <f>IFERROR(__xludf.DUMMYFUNCTION("""COMPUTED_VALUE"""),"Europe.giaotiep.M698_XuBen.5018_MES_HuyLG_020626")</f>
        <v>Europe.giaotiep.M698_XuBen.5018_MES_HuyLG_020626</v>
      </c>
      <c r="R482" s="67" t="str">
        <f>IFERROR(__xludf.DUMMYFUNCTION("""COMPUTED_VALUE"""),"NEW_Europe_1840_none_020626")</f>
        <v>NEW_Europe_1840_none_020626</v>
      </c>
      <c r="S482" s="67" t="str">
        <f>IFERROR(__xludf.DUMMYFUNCTION("""COMPUTED_VALUE"""),"saletructiep_Europe.M698.1840.giaotiep_TATTP_LD279")</f>
        <v>saletructiep_Europe.M698.1840.giaotiep_TATTP_LD279</v>
      </c>
      <c r="T482" s="107" t="str">
        <f>IFERROR(__xludf.DUMMYFUNCTION("""COMPUTED_VALUE"""),"https://patado.edu.vn/hlg_tattp_gt/?utm_source=Facebook&amp;utm_medium=MES&amp;utm_term=NEW_Europe_1840_none_020626&amp;utm_content=saletructiep_Europe.M698.1840.giaotiep_TATTP_LD279&amp;utm_campaign=Europe.giaotiep.M698_XuBen.5018_MES_HuyLG_020626")</f>
        <v>https://patado.edu.vn/hlg_tattp_gt/?utm_source=Facebook&amp;utm_medium=MES&amp;utm_term=NEW_Europe_1840_none_020626&amp;utm_content=saletructiep_Europe.M698.1840.giaotiep_TATTP_LD279&amp;utm_campaign=Europe.giaotiep.M698_XuBen.5018_MES_HuyLG_020626</v>
      </c>
      <c r="U482" s="110" t="s">
        <v>6522</v>
      </c>
    </row>
    <row r="483">
      <c r="A483" s="72">
        <v>46300.0</v>
      </c>
      <c r="B483" s="60" t="s">
        <v>3977</v>
      </c>
      <c r="C483" s="67" t="str">
        <f>IFERROR(__xludf.DUMMYFUNCTION("""COMPUTED_VALUE"""),"LD279")</f>
        <v>LD279</v>
      </c>
      <c r="D483" s="55" t="s">
        <v>42</v>
      </c>
      <c r="E483" s="55" t="s">
        <v>69</v>
      </c>
      <c r="F483" s="55" t="s">
        <v>674</v>
      </c>
      <c r="G483" s="55">
        <v>1840.0</v>
      </c>
      <c r="H483" s="55" t="s">
        <v>1131</v>
      </c>
      <c r="I483" s="55" t="s">
        <v>2477</v>
      </c>
      <c r="J483" s="55" t="s">
        <v>6523</v>
      </c>
      <c r="K483" s="55" t="s">
        <v>61</v>
      </c>
      <c r="L483" s="55" t="s">
        <v>5396</v>
      </c>
      <c r="M483" s="55" t="s">
        <v>78</v>
      </c>
      <c r="N483" s="55" t="s">
        <v>69</v>
      </c>
      <c r="O483" s="55" t="s">
        <v>910</v>
      </c>
      <c r="P483" s="55" t="s">
        <v>110</v>
      </c>
      <c r="Q483" s="67" t="str">
        <f>IFERROR(__xludf.DUMMYFUNCTION("""COMPUTED_VALUE"""),"Europe.giaotiep.M632_HG4601_CVS_HuyLG_051026")</f>
        <v>Europe.giaotiep.M632_HG4601_CVS_HuyLG_051026</v>
      </c>
      <c r="R483" s="67" t="str">
        <f>IFERROR(__xludf.DUMMYFUNCTION("""COMPUTED_VALUE"""),"NEW_Europe_1840_none_051026")</f>
        <v>NEW_Europe_1840_none_051026</v>
      </c>
      <c r="S483" s="67" t="str">
        <f>IFERROR(__xludf.DUMMYFUNCTION("""COMPUTED_VALUE"""),"saletructiep_Europe.M632.1840.giaotiep_TATTP_LD279")</f>
        <v>saletructiep_Europe.M632.1840.giaotiep_TATTP_LD279</v>
      </c>
      <c r="T483" s="107" t="str">
        <f>IFERROR(__xludf.DUMMYFUNCTION("""COMPUTED_VALUE"""),"https://patado.edu.vn/hlg_tattp_gt/?utm_source=Facebook&amp;utm_medium=CVS&amp;utm_term=NEW_Europe_1840_none_051026&amp;utm_content=saletructiep_Europe.M632.1840.giaotiep_TATTP_LD279&amp;utm_campaign=Europe.giaotiep.M632_HG4601_CVS_HuyLG_051026")</f>
        <v>https://patado.edu.vn/hlg_tattp_gt/?utm_source=Facebook&amp;utm_medium=CVS&amp;utm_term=NEW_Europe_1840_none_051026&amp;utm_content=saletructiep_Europe.M632.1840.giaotiep_TATTP_LD279&amp;utm_campaign=Europe.giaotiep.M632_HG4601_CVS_HuyLG_051026</v>
      </c>
      <c r="U483" s="110" t="s">
        <v>6526</v>
      </c>
    </row>
    <row r="484">
      <c r="A484" s="72">
        <v>46300.0</v>
      </c>
      <c r="B484" s="60" t="s">
        <v>3977</v>
      </c>
      <c r="C484" s="67" t="str">
        <f>IFERROR(__xludf.DUMMYFUNCTION("""COMPUTED_VALUE"""),"LD279")</f>
        <v>LD279</v>
      </c>
      <c r="D484" s="55" t="s">
        <v>42</v>
      </c>
      <c r="E484" s="55" t="s">
        <v>69</v>
      </c>
      <c r="F484" s="55" t="s">
        <v>107</v>
      </c>
      <c r="G484" s="55">
        <v>1840.0</v>
      </c>
      <c r="H484" s="55" t="s">
        <v>1131</v>
      </c>
      <c r="I484" s="55" t="s">
        <v>6527</v>
      </c>
      <c r="J484" s="55" t="s">
        <v>6528</v>
      </c>
      <c r="K484" s="55" t="s">
        <v>61</v>
      </c>
      <c r="L484" s="55" t="s">
        <v>5396</v>
      </c>
      <c r="M484" s="55" t="s">
        <v>78</v>
      </c>
      <c r="N484" s="55" t="s">
        <v>69</v>
      </c>
      <c r="O484" s="55" t="s">
        <v>910</v>
      </c>
      <c r="P484" s="55" t="s">
        <v>110</v>
      </c>
      <c r="Q484" s="67" t="str">
        <f>IFERROR(__xludf.DUMMYFUNCTION("""COMPUTED_VALUE"""),"UnitedStates.giaotiep.M632_HG4601_CVS_HuyLG_051026")</f>
        <v>UnitedStates.giaotiep.M632_HG4601_CVS_HuyLG_051026</v>
      </c>
      <c r="R484" s="67" t="str">
        <f>IFERROR(__xludf.DUMMYFUNCTION("""COMPUTED_VALUE"""),"NEW_UnitedStates_1840_none_051026")</f>
        <v>NEW_UnitedStates_1840_none_051026</v>
      </c>
      <c r="S484" s="67" t="str">
        <f>IFERROR(__xludf.DUMMYFUNCTION("""COMPUTED_VALUE"""),"saletructiep_UnitedStates.M632.1840.giaotiep_TATTP_LD279")</f>
        <v>saletructiep_UnitedStates.M632.1840.giaotiep_TATTP_LD279</v>
      </c>
      <c r="T484" s="107" t="str">
        <f>IFERROR(__xludf.DUMMYFUNCTION("""COMPUTED_VALUE"""),"https://patado.edu.vn/hlg_tattp_gt/?utm_source=Facebook&amp;utm_medium=CVS&amp;utm_term=NEW_UnitedStates_1840_none_051026&amp;utm_content=saletructiep_UnitedStates.M632.1840.giaotiep_TATTP_LD279&amp;utm_campaign=UnitedStates.giaotiep.M632_HG4601_CVS_HuyLG_051026")</f>
        <v>https://patado.edu.vn/hlg_tattp_gt/?utm_source=Facebook&amp;utm_medium=CVS&amp;utm_term=NEW_UnitedStates_1840_none_051026&amp;utm_content=saletructiep_UnitedStates.M632.1840.giaotiep_TATTP_LD279&amp;utm_campaign=UnitedStates.giaotiep.M632_HG4601_CVS_HuyLG_051026</v>
      </c>
      <c r="U484" s="110" t="s">
        <v>6531</v>
      </c>
    </row>
    <row r="485">
      <c r="A485" s="72">
        <v>46302.0</v>
      </c>
      <c r="B485" s="60" t="s">
        <v>5898</v>
      </c>
      <c r="C485" s="67" t="str">
        <f>IFERROR(__xludf.DUMMYFUNCTION("""COMPUTED_VALUE"""),"LD271")</f>
        <v>LD271</v>
      </c>
      <c r="D485" s="55" t="s">
        <v>42</v>
      </c>
      <c r="E485" s="55" t="s">
        <v>69</v>
      </c>
      <c r="F485" s="55" t="s">
        <v>133</v>
      </c>
      <c r="G485" s="55">
        <v>1840.0</v>
      </c>
      <c r="H485" s="55" t="s">
        <v>1131</v>
      </c>
      <c r="I485" s="55" t="s">
        <v>6394</v>
      </c>
      <c r="J485" s="55" t="s">
        <v>6396</v>
      </c>
      <c r="K485" s="55" t="s">
        <v>61</v>
      </c>
      <c r="L485" s="86" t="s">
        <v>317</v>
      </c>
      <c r="M485" s="55" t="s">
        <v>78</v>
      </c>
      <c r="N485" s="55" t="s">
        <v>69</v>
      </c>
      <c r="O485" s="55" t="s">
        <v>415</v>
      </c>
      <c r="P485" s="55" t="s">
        <v>110</v>
      </c>
      <c r="Q485" s="67" t="str">
        <f>IFERROR(__xludf.DUMMYFUNCTION("""COMPUTED_VALUE"""),"Japan.giaotiep.M37_XuBen.5018_CVS_HuyLG_071026")</f>
        <v>Japan.giaotiep.M37_XuBen.5018_CVS_HuyLG_071026</v>
      </c>
      <c r="R485" s="67" t="str">
        <f>IFERROR(__xludf.DUMMYFUNCTION("""COMPUTED_VALUE"""),"NEW_Japan_1840_none_071026")</f>
        <v>NEW_Japan_1840_none_071026</v>
      </c>
      <c r="S485" s="67" t="str">
        <f>IFERROR(__xludf.DUMMYFUNCTION("""COMPUTED_VALUE"""),"saletructiep_Japan.M37.1840.giaotiep_TATTPVN_LD271")</f>
        <v>saletructiep_Japan.M37.1840.giaotiep_TATTPVN_LD271</v>
      </c>
      <c r="T485" s="107" t="str">
        <f>IFERROR(__xludf.DUMMYFUNCTION("""COMPUTED_VALUE"""),"https://patado.edu.vn/japancvs/?utm_source=Facebook&amp;utm_medium=CVS&amp;utm_term=NEW_Japan_1840_none_071026&amp;utm_content=saletructiep_Japan.M37.1840.giaotiep_TATTPVN_LD271&amp;utm_campaign=Japan.giaotiep.M37_XuBen.5018_CVS_HuyLG_071026")</f>
        <v>https://patado.edu.vn/japancvs/?utm_source=Facebook&amp;utm_medium=CVS&amp;utm_term=NEW_Japan_1840_none_071026&amp;utm_content=saletructiep_Japan.M37.1840.giaotiep_TATTPVN_LD271&amp;utm_campaign=Japan.giaotiep.M37_XuBen.5018_CVS_HuyLG_071026</v>
      </c>
      <c r="U485" s="110" t="s">
        <v>6534</v>
      </c>
    </row>
    <row r="486">
      <c r="A486" s="72">
        <v>46302.0</v>
      </c>
      <c r="B486" s="60" t="s">
        <v>3977</v>
      </c>
      <c r="C486" s="67" t="str">
        <f>IFERROR(__xludf.DUMMYFUNCTION("""COMPUTED_VALUE"""),"LD279")</f>
        <v>LD279</v>
      </c>
      <c r="D486" s="55" t="s">
        <v>42</v>
      </c>
      <c r="E486" s="55" t="s">
        <v>69</v>
      </c>
      <c r="F486" s="55" t="s">
        <v>133</v>
      </c>
      <c r="G486" s="55">
        <v>1840.0</v>
      </c>
      <c r="H486" s="55" t="s">
        <v>1131</v>
      </c>
      <c r="I486" s="55" t="s">
        <v>6535</v>
      </c>
      <c r="J486" s="55" t="s">
        <v>6536</v>
      </c>
      <c r="K486" s="55" t="s">
        <v>61</v>
      </c>
      <c r="L486" s="86" t="s">
        <v>317</v>
      </c>
      <c r="M486" s="55" t="s">
        <v>78</v>
      </c>
      <c r="N486" s="55" t="s">
        <v>69</v>
      </c>
      <c r="O486" s="55" t="s">
        <v>910</v>
      </c>
      <c r="P486" s="55" t="s">
        <v>110</v>
      </c>
      <c r="Q486" s="67" t="str">
        <f>IFERROR(__xludf.DUMMYFUNCTION("""COMPUTED_VALUE"""),"Japan.giaotiep.M632_XuBen.5018_CVS_HuyLG_071026")</f>
        <v>Japan.giaotiep.M632_XuBen.5018_CVS_HuyLG_071026</v>
      </c>
      <c r="R486" s="67" t="str">
        <f>IFERROR(__xludf.DUMMYFUNCTION("""COMPUTED_VALUE"""),"NEW_Japan_1840_none_071026")</f>
        <v>NEW_Japan_1840_none_071026</v>
      </c>
      <c r="S486" s="67" t="str">
        <f>IFERROR(__xludf.DUMMYFUNCTION("""COMPUTED_VALUE"""),"saletructiep_Japan.M632.1840.giaotiep_TATTP_LD279")</f>
        <v>saletructiep_Japan.M632.1840.giaotiep_TATTP_LD279</v>
      </c>
      <c r="T486" s="107" t="str">
        <f>IFERROR(__xludf.DUMMYFUNCTION("""COMPUTED_VALUE"""),"https://patado.edu.vn/hlg_tattp_gt/?utm_source=Facebook&amp;utm_medium=CVS&amp;utm_term=NEW_Japan_1840_none_071026&amp;utm_content=saletructiep_Japan.M632.1840.giaotiep_TATTP_LD279&amp;utm_campaign=Japan.giaotiep.M632_XuBen.5018_CVS_HuyLG_071026")</f>
        <v>https://patado.edu.vn/hlg_tattp_gt/?utm_source=Facebook&amp;utm_medium=CVS&amp;utm_term=NEW_Japan_1840_none_071026&amp;utm_content=saletructiep_Japan.M632.1840.giaotiep_TATTP_LD279&amp;utm_campaign=Japan.giaotiep.M632_XuBen.5018_CVS_HuyLG_071026</v>
      </c>
      <c r="U486" s="110" t="s">
        <v>6538</v>
      </c>
    </row>
    <row r="487">
      <c r="A487" s="72">
        <v>46302.0</v>
      </c>
      <c r="B487" s="60" t="s">
        <v>3977</v>
      </c>
      <c r="C487" s="67" t="str">
        <f>IFERROR(__xludf.DUMMYFUNCTION("""COMPUTED_VALUE"""),"LD279")</f>
        <v>LD279</v>
      </c>
      <c r="D487" s="55" t="s">
        <v>42</v>
      </c>
      <c r="E487" s="87" t="s">
        <v>79</v>
      </c>
      <c r="F487" s="55" t="s">
        <v>625</v>
      </c>
      <c r="G487" s="55">
        <v>1840.0</v>
      </c>
      <c r="H487" s="55" t="s">
        <v>1131</v>
      </c>
      <c r="I487" s="55" t="s">
        <v>6539</v>
      </c>
      <c r="J487" s="55" t="s">
        <v>6540</v>
      </c>
      <c r="K487" s="55" t="s">
        <v>61</v>
      </c>
      <c r="L487" s="55" t="s">
        <v>5396</v>
      </c>
      <c r="M487" s="55" t="s">
        <v>78</v>
      </c>
      <c r="N487" s="55" t="s">
        <v>79</v>
      </c>
      <c r="O487" s="55" t="s">
        <v>910</v>
      </c>
      <c r="P487" s="55" t="s">
        <v>110</v>
      </c>
      <c r="Q487" s="67" t="str">
        <f>IFERROR(__xludf.DUMMYFUNCTION("""COMPUTED_VALUE"""),"KoreaSouth.giaotiep.M632_HG4601_MES_HuyLG_071026")</f>
        <v>KoreaSouth.giaotiep.M632_HG4601_MES_HuyLG_071026</v>
      </c>
      <c r="R487" s="67" t="str">
        <f>IFERROR(__xludf.DUMMYFUNCTION("""COMPUTED_VALUE"""),"NEW_KoreaSouth_1840_none_071026")</f>
        <v>NEW_KoreaSouth_1840_none_071026</v>
      </c>
      <c r="S487" s="67" t="str">
        <f>IFERROR(__xludf.DUMMYFUNCTION("""COMPUTED_VALUE"""),"saletructiep_KoreaSouth.M632.1840.giaotiep_TATTP_LD279")</f>
        <v>saletructiep_KoreaSouth.M632.1840.giaotiep_TATTP_LD279</v>
      </c>
      <c r="T487" s="107" t="str">
        <f>IFERROR(__xludf.DUMMYFUNCTION("""COMPUTED_VALUE"""),"https://patado.edu.vn/hlg_tattp_gt/?utm_source=Facebook&amp;utm_medium=MES&amp;utm_term=NEW_KoreaSouth_1840_none_071026&amp;utm_content=saletructiep_KoreaSouth.M632.1840.giaotiep_TATTP_LD279&amp;utm_campaign=KoreaSouth.giaotiep.M632_HG4601_MES_HuyLG_071026")</f>
        <v>https://patado.edu.vn/hlg_tattp_gt/?utm_source=Facebook&amp;utm_medium=MES&amp;utm_term=NEW_KoreaSouth_1840_none_071026&amp;utm_content=saletructiep_KoreaSouth.M632.1840.giaotiep_TATTP_LD279&amp;utm_campaign=KoreaSouth.giaotiep.M632_HG4601_MES_HuyLG_071026</v>
      </c>
      <c r="U487" s="110" t="s">
        <v>6543</v>
      </c>
    </row>
    <row r="488">
      <c r="A488" s="72">
        <v>46302.0</v>
      </c>
      <c r="B488" s="60" t="s">
        <v>5898</v>
      </c>
      <c r="C488" s="67" t="str">
        <f>IFERROR(__xludf.DUMMYFUNCTION("""COMPUTED_VALUE"""),"LD271")</f>
        <v>LD271</v>
      </c>
      <c r="D488" s="55" t="s">
        <v>42</v>
      </c>
      <c r="E488" s="55" t="s">
        <v>69</v>
      </c>
      <c r="F488" s="55" t="s">
        <v>133</v>
      </c>
      <c r="G488" s="55">
        <v>1840.0</v>
      </c>
      <c r="H488" s="55" t="s">
        <v>1131</v>
      </c>
      <c r="I488" s="55" t="s">
        <v>6544</v>
      </c>
      <c r="J488" s="55" t="s">
        <v>6545</v>
      </c>
      <c r="K488" s="55" t="s">
        <v>61</v>
      </c>
      <c r="L488" s="55" t="s">
        <v>5396</v>
      </c>
      <c r="M488" s="55" t="s">
        <v>78</v>
      </c>
      <c r="N488" s="55" t="s">
        <v>69</v>
      </c>
      <c r="O488" s="55" t="s">
        <v>415</v>
      </c>
      <c r="P488" s="55" t="s">
        <v>110</v>
      </c>
      <c r="Q488" s="67" t="str">
        <f>IFERROR(__xludf.DUMMYFUNCTION("""COMPUTED_VALUE"""),"Japan.giaotiep.M783_HG4601_CVS_HuyLG_071026")</f>
        <v>Japan.giaotiep.M783_HG4601_CVS_HuyLG_071026</v>
      </c>
      <c r="R488" s="67" t="str">
        <f>IFERROR(__xludf.DUMMYFUNCTION("""COMPUTED_VALUE"""),"NEW_Japan_1840_none_071026")</f>
        <v>NEW_Japan_1840_none_071026</v>
      </c>
      <c r="S488" s="67" t="str">
        <f>IFERROR(__xludf.DUMMYFUNCTION("""COMPUTED_VALUE"""),"saletructiep_Japan.M783.1840.giaotiep_TATTPVN_LD271")</f>
        <v>saletructiep_Japan.M783.1840.giaotiep_TATTPVN_LD271</v>
      </c>
      <c r="T488" s="107" t="str">
        <f>IFERROR(__xludf.DUMMYFUNCTION("""COMPUTED_VALUE"""),"https://patado.edu.vn/japancvs/?utm_source=Facebook&amp;utm_medium=CVS&amp;utm_term=NEW_Japan_1840_none_071026&amp;utm_content=saletructiep_Japan.M783.1840.giaotiep_TATTPVN_LD271&amp;utm_campaign=Japan.giaotiep.M783_HG4601_CVS_HuyLG_071026")</f>
        <v>https://patado.edu.vn/japancvs/?utm_source=Facebook&amp;utm_medium=CVS&amp;utm_term=NEW_Japan_1840_none_071026&amp;utm_content=saletructiep_Japan.M783.1840.giaotiep_TATTPVN_LD271&amp;utm_campaign=Japan.giaotiep.M783_HG4601_CVS_HuyLG_071026</v>
      </c>
      <c r="U488" s="118"/>
    </row>
    <row r="489">
      <c r="A489" s="72">
        <v>46310.0</v>
      </c>
      <c r="B489" s="60" t="s">
        <v>5898</v>
      </c>
      <c r="C489" s="67" t="str">
        <f>IFERROR(__xludf.DUMMYFUNCTION("""COMPUTED_VALUE"""),"LD271")</f>
        <v>LD271</v>
      </c>
      <c r="D489" s="55" t="s">
        <v>42</v>
      </c>
      <c r="E489" s="55" t="s">
        <v>69</v>
      </c>
      <c r="F489" s="55" t="s">
        <v>133</v>
      </c>
      <c r="G489" s="55">
        <v>1840.0</v>
      </c>
      <c r="H489" s="55" t="s">
        <v>1131</v>
      </c>
      <c r="I489" s="55" t="s">
        <v>6548</v>
      </c>
      <c r="J489" s="55" t="s">
        <v>6549</v>
      </c>
      <c r="K489" s="55" t="s">
        <v>61</v>
      </c>
      <c r="L489" s="55" t="s">
        <v>5396</v>
      </c>
      <c r="M489" s="55" t="s">
        <v>78</v>
      </c>
      <c r="N489" s="55" t="s">
        <v>69</v>
      </c>
      <c r="O489" s="55" t="s">
        <v>415</v>
      </c>
      <c r="P489" s="55" t="s">
        <v>110</v>
      </c>
      <c r="Q489" s="84" t="str">
        <f>IFERROR(__xludf.DUMMYFUNCTION("""COMPUTED_VALUE"""),"Japan.giaotiep.M779_HG4601_CVS_HuyLG_151026")</f>
        <v>Japan.giaotiep.M779_HG4601_CVS_HuyLG_151026</v>
      </c>
      <c r="R489" s="67" t="str">
        <f>IFERROR(__xludf.DUMMYFUNCTION("""COMPUTED_VALUE"""),"NEW_Japan_1840_none_151026")</f>
        <v>NEW_Japan_1840_none_151026</v>
      </c>
      <c r="S489" s="67" t="str">
        <f>IFERROR(__xludf.DUMMYFUNCTION("""COMPUTED_VALUE"""),"saletructiep_Japan.M779.1840.giaotiep_TATTPVN_LD271")</f>
        <v>saletructiep_Japan.M779.1840.giaotiep_TATTPVN_LD271</v>
      </c>
      <c r="T489" s="107" t="str">
        <f>IFERROR(__xludf.DUMMYFUNCTION("""COMPUTED_VALUE"""),"https://patado.edu.vn/japancvs/?utm_source=Facebook&amp;utm_medium=CVS&amp;utm_term=NEW_Japan_1840_none_151026&amp;utm_content=saletructiep_Japan.M779.1840.giaotiep_TATTPVN_LD271&amp;utm_campaign=Japan.giaotiep.M779_HG4601_CVS_HuyLG_151026")</f>
        <v>https://patado.edu.vn/japancvs/?utm_source=Facebook&amp;utm_medium=CVS&amp;utm_term=NEW_Japan_1840_none_151026&amp;utm_content=saletructiep_Japan.M779.1840.giaotiep_TATTPVN_LD271&amp;utm_campaign=Japan.giaotiep.M779_HG4601_CVS_HuyLG_151026</v>
      </c>
      <c r="U489" s="118"/>
    </row>
    <row r="490">
      <c r="A490" s="72">
        <v>46310.0</v>
      </c>
      <c r="B490" s="60" t="s">
        <v>3977</v>
      </c>
      <c r="C490" s="67" t="str">
        <f>IFERROR(__xludf.DUMMYFUNCTION("""COMPUTED_VALUE"""),"LD279")</f>
        <v>LD279</v>
      </c>
      <c r="D490" s="55" t="s">
        <v>42</v>
      </c>
      <c r="E490" s="87" t="s">
        <v>79</v>
      </c>
      <c r="F490" s="55" t="s">
        <v>133</v>
      </c>
      <c r="G490" s="55">
        <v>1840.0</v>
      </c>
      <c r="H490" s="55" t="s">
        <v>1131</v>
      </c>
      <c r="I490" s="55" t="s">
        <v>6552</v>
      </c>
      <c r="J490" s="55" t="s">
        <v>6553</v>
      </c>
      <c r="K490" s="55" t="s">
        <v>61</v>
      </c>
      <c r="L490" s="55" t="s">
        <v>5396</v>
      </c>
      <c r="M490" s="55" t="s">
        <v>78</v>
      </c>
      <c r="N490" s="55" t="s">
        <v>79</v>
      </c>
      <c r="O490" s="86" t="s">
        <v>3271</v>
      </c>
      <c r="P490" s="55" t="s">
        <v>110</v>
      </c>
      <c r="Q490" s="67" t="str">
        <f>IFERROR(__xludf.DUMMYFUNCTION("""COMPUTED_VALUE"""),"Japan.giaotiep.M800_HG4601_MES_HuyLG_151026")</f>
        <v>Japan.giaotiep.M800_HG4601_MES_HuyLG_151026</v>
      </c>
      <c r="R490" s="67" t="str">
        <f>IFERROR(__xludf.DUMMYFUNCTION("""COMPUTED_VALUE"""),"NEW_Japan_1840_none_151026")</f>
        <v>NEW_Japan_1840_none_151026</v>
      </c>
      <c r="S490" s="67" t="str">
        <f>IFERROR(__xludf.DUMMYFUNCTION("""COMPUTED_VALUE"""),"saletructiep_Japan.M800.1840.giaotiep_PGPGTTA_LD279")</f>
        <v>saletructiep_Japan.M800.1840.giaotiep_PGPGTTA_LD279</v>
      </c>
      <c r="T490" s="107" t="str">
        <f>IFERROR(__xludf.DUMMYFUNCTION("""COMPUTED_VALUE"""),"https://patado.edu.vn/hlg_tattp_gt/?utm_source=Facebook&amp;utm_medium=MES&amp;utm_term=NEW_Japan_1840_none_151026&amp;utm_content=saletructiep_Japan.M800.1840.giaotiep_PGPGTTA_LD279&amp;utm_campaign=Japan.giaotiep.M800_HG4601_MES_HuyLG_151026")</f>
        <v>https://patado.edu.vn/hlg_tattp_gt/?utm_source=Facebook&amp;utm_medium=MES&amp;utm_term=NEW_Japan_1840_none_151026&amp;utm_content=saletructiep_Japan.M800.1840.giaotiep_PGPGTTA_LD279&amp;utm_campaign=Japan.giaotiep.M800_HG4601_MES_HuyLG_151026</v>
      </c>
      <c r="U490" s="118"/>
    </row>
    <row r="491">
      <c r="A491" s="72">
        <v>46310.0</v>
      </c>
      <c r="B491" s="60" t="s">
        <v>5935</v>
      </c>
      <c r="C491" s="67" t="str">
        <f>IFERROR(__xludf.DUMMYFUNCTION("""COMPUTED_VALUE"""),"LD273")</f>
        <v>LD273</v>
      </c>
      <c r="D491" s="55" t="s">
        <v>42</v>
      </c>
      <c r="E491" s="87" t="s">
        <v>79</v>
      </c>
      <c r="F491" s="55" t="s">
        <v>625</v>
      </c>
      <c r="G491" s="55">
        <v>1840.0</v>
      </c>
      <c r="H491" s="55" t="s">
        <v>1131</v>
      </c>
      <c r="I491" s="55" t="s">
        <v>6555</v>
      </c>
      <c r="J491" s="55" t="s">
        <v>6556</v>
      </c>
      <c r="K491" s="55" t="s">
        <v>61</v>
      </c>
      <c r="L491" s="55" t="s">
        <v>5396</v>
      </c>
      <c r="M491" s="55" t="s">
        <v>78</v>
      </c>
      <c r="N491" s="55" t="s">
        <v>79</v>
      </c>
      <c r="O491" s="55" t="s">
        <v>415</v>
      </c>
      <c r="P491" s="55" t="s">
        <v>110</v>
      </c>
      <c r="Q491" s="67" t="str">
        <f>IFERROR(__xludf.DUMMYFUNCTION("""COMPUTED_VALUE"""),"KoreaSouth.giaotiep.M800_HG4601_MES_HuyLG_151026")</f>
        <v>KoreaSouth.giaotiep.M800_HG4601_MES_HuyLG_151026</v>
      </c>
      <c r="R491" s="67" t="str">
        <f>IFERROR(__xludf.DUMMYFUNCTION("""COMPUTED_VALUE"""),"NEW_KoreaSouth_1840_none_151026")</f>
        <v>NEW_KoreaSouth_1840_none_151026</v>
      </c>
      <c r="S491" s="67" t="str">
        <f>IFERROR(__xludf.DUMMYFUNCTION("""COMPUTED_VALUE"""),"saletructiep_KoreaSouth.M800.1840.giaotiep_TATTPVN_LD273")</f>
        <v>saletructiep_KoreaSouth.M800.1840.giaotiep_TATTPVN_LD273</v>
      </c>
      <c r="T491" s="107" t="str">
        <f>IFERROR(__xludf.DUMMYFUNCTION("""COMPUTED_VALUE"""),"https://patado.edu.vn/hlg1908/?utm_source=Facebook&amp;utm_medium=MES&amp;utm_term=NEW_KoreaSouth_1840_none_151026&amp;utm_content=saletructiep_KoreaSouth.M800.1840.giaotiep_TATTPVN_LD273&amp;utm_campaign=KoreaSouth.giaotiep.M800_HG4601_MES_HuyLG_151026")</f>
        <v>https://patado.edu.vn/hlg1908/?utm_source=Facebook&amp;utm_medium=MES&amp;utm_term=NEW_KoreaSouth_1840_none_151026&amp;utm_content=saletructiep_KoreaSouth.M800.1840.giaotiep_TATTPVN_LD273&amp;utm_campaign=KoreaSouth.giaotiep.M800_HG4601_MES_HuyLG_151026</v>
      </c>
      <c r="U491" s="118"/>
    </row>
    <row r="492">
      <c r="A492" s="72"/>
      <c r="B492" s="54"/>
      <c r="C492" s="67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67"/>
      <c r="R492" s="67"/>
      <c r="S492" s="67"/>
      <c r="T492" s="67"/>
      <c r="U492" s="118"/>
    </row>
    <row r="493">
      <c r="A493" s="72"/>
      <c r="B493" s="54"/>
      <c r="C493" s="67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67"/>
      <c r="R493" s="67"/>
      <c r="S493" s="67"/>
      <c r="T493" s="67"/>
      <c r="U493" s="118"/>
    </row>
    <row r="494">
      <c r="A494" s="72"/>
      <c r="B494" s="54"/>
      <c r="C494" s="67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67"/>
      <c r="R494" s="67"/>
      <c r="S494" s="67"/>
      <c r="T494" s="67"/>
      <c r="U494" s="118"/>
    </row>
    <row r="495">
      <c r="A495" s="72"/>
      <c r="B495" s="54"/>
      <c r="C495" s="67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67"/>
      <c r="R495" s="67"/>
      <c r="S495" s="67"/>
      <c r="T495" s="67"/>
      <c r="U495" s="118"/>
    </row>
    <row r="496">
      <c r="A496" s="72"/>
      <c r="B496" s="54"/>
      <c r="C496" s="67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67"/>
      <c r="R496" s="67"/>
      <c r="S496" s="67"/>
      <c r="T496" s="67"/>
      <c r="U496" s="118"/>
    </row>
    <row r="497">
      <c r="A497" s="72"/>
      <c r="B497" s="54"/>
      <c r="C497" s="67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67"/>
      <c r="R497" s="67"/>
      <c r="S497" s="67"/>
      <c r="T497" s="67"/>
      <c r="U497" s="118"/>
    </row>
    <row r="498">
      <c r="A498" s="72"/>
      <c r="B498" s="54"/>
      <c r="C498" s="67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67"/>
      <c r="R498" s="67"/>
      <c r="S498" s="67"/>
      <c r="T498" s="67"/>
      <c r="U498" s="118"/>
    </row>
    <row r="499">
      <c r="A499" s="72"/>
      <c r="B499" s="54"/>
      <c r="C499" s="67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67"/>
      <c r="R499" s="67"/>
      <c r="S499" s="67"/>
      <c r="T499" s="67"/>
      <c r="U499" s="118"/>
    </row>
    <row r="500">
      <c r="A500" s="72"/>
      <c r="B500" s="54"/>
      <c r="C500" s="67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67"/>
      <c r="R500" s="67"/>
      <c r="S500" s="67"/>
      <c r="T500" s="67"/>
      <c r="U500" s="118"/>
    </row>
    <row r="501">
      <c r="A501" s="72"/>
      <c r="B501" s="54"/>
      <c r="C501" s="67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67"/>
      <c r="R501" s="67"/>
      <c r="S501" s="67"/>
      <c r="T501" s="67"/>
      <c r="U501" s="118"/>
    </row>
    <row r="502">
      <c r="A502" s="72"/>
      <c r="B502" s="54"/>
      <c r="C502" s="67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67"/>
      <c r="R502" s="67"/>
      <c r="S502" s="67"/>
      <c r="T502" s="67"/>
      <c r="U502" s="118"/>
    </row>
    <row r="503">
      <c r="A503" s="72"/>
      <c r="B503" s="54"/>
      <c r="C503" s="67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67"/>
      <c r="R503" s="67"/>
      <c r="S503" s="67"/>
      <c r="T503" s="67"/>
      <c r="U503" s="118"/>
    </row>
    <row r="504">
      <c r="A504" s="72"/>
      <c r="B504" s="54"/>
      <c r="C504" s="67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67"/>
      <c r="R504" s="67"/>
      <c r="S504" s="67"/>
      <c r="T504" s="67"/>
      <c r="U504" s="118"/>
    </row>
    <row r="505">
      <c r="A505" s="72"/>
      <c r="B505" s="54"/>
      <c r="C505" s="67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67"/>
      <c r="R505" s="67"/>
      <c r="S505" s="67"/>
      <c r="T505" s="67"/>
      <c r="U505" s="118"/>
    </row>
    <row r="506">
      <c r="A506" s="72"/>
      <c r="B506" s="54"/>
      <c r="C506" s="67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67"/>
      <c r="R506" s="67"/>
      <c r="S506" s="67"/>
      <c r="T506" s="67"/>
      <c r="U506" s="118"/>
    </row>
    <row r="507">
      <c r="A507" s="72"/>
      <c r="B507" s="54"/>
      <c r="C507" s="67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67"/>
      <c r="R507" s="67"/>
      <c r="S507" s="67"/>
      <c r="T507" s="67"/>
      <c r="U507" s="118"/>
    </row>
    <row r="508">
      <c r="A508" s="72"/>
      <c r="B508" s="54"/>
      <c r="C508" s="67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67"/>
      <c r="R508" s="67"/>
      <c r="S508" s="67"/>
      <c r="T508" s="67"/>
      <c r="U508" s="118"/>
    </row>
    <row r="509">
      <c r="A509" s="72"/>
      <c r="B509" s="54"/>
      <c r="C509" s="67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67"/>
      <c r="R509" s="67"/>
      <c r="S509" s="67"/>
      <c r="T509" s="67"/>
      <c r="U509" s="118"/>
    </row>
    <row r="510">
      <c r="A510" s="72"/>
      <c r="B510" s="54"/>
      <c r="C510" s="67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67"/>
      <c r="R510" s="67"/>
      <c r="S510" s="67"/>
      <c r="T510" s="67"/>
      <c r="U510" s="118"/>
    </row>
    <row r="511">
      <c r="A511" s="72"/>
      <c r="B511" s="54"/>
      <c r="C511" s="67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67"/>
      <c r="R511" s="67"/>
      <c r="S511" s="67"/>
      <c r="T511" s="67"/>
      <c r="U511" s="118"/>
    </row>
    <row r="512">
      <c r="A512" s="72"/>
      <c r="B512" s="54"/>
      <c r="C512" s="67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67"/>
      <c r="R512" s="67"/>
      <c r="S512" s="67"/>
      <c r="T512" s="67"/>
      <c r="U512" s="118"/>
    </row>
    <row r="513">
      <c r="A513" s="72"/>
      <c r="B513" s="54"/>
      <c r="C513" s="67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67"/>
      <c r="R513" s="67"/>
      <c r="S513" s="67"/>
      <c r="T513" s="67"/>
      <c r="U513" s="118"/>
    </row>
    <row r="514">
      <c r="A514" s="72"/>
      <c r="B514" s="54"/>
      <c r="C514" s="67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67"/>
      <c r="R514" s="67"/>
      <c r="S514" s="67"/>
      <c r="T514" s="67"/>
      <c r="U514" s="118"/>
    </row>
    <row r="515">
      <c r="A515" s="72"/>
      <c r="B515" s="54"/>
      <c r="C515" s="67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67"/>
      <c r="R515" s="67"/>
      <c r="S515" s="67"/>
      <c r="T515" s="67"/>
      <c r="U515" s="118"/>
    </row>
    <row r="516">
      <c r="A516" s="72"/>
      <c r="B516" s="54"/>
      <c r="C516" s="67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67"/>
      <c r="R516" s="67"/>
      <c r="S516" s="67"/>
      <c r="T516" s="67"/>
      <c r="U516" s="118"/>
    </row>
    <row r="517">
      <c r="A517" s="72"/>
      <c r="B517" s="54"/>
      <c r="C517" s="67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67"/>
      <c r="R517" s="67"/>
      <c r="S517" s="67"/>
      <c r="T517" s="67"/>
      <c r="U517" s="118"/>
    </row>
    <row r="518">
      <c r="A518" s="72"/>
      <c r="B518" s="54"/>
      <c r="C518" s="67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67"/>
      <c r="R518" s="67"/>
      <c r="S518" s="67"/>
      <c r="T518" s="67"/>
      <c r="U518" s="118"/>
    </row>
    <row r="519">
      <c r="A519" s="72"/>
      <c r="B519" s="54"/>
      <c r="C519" s="67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67"/>
      <c r="R519" s="67"/>
      <c r="S519" s="67"/>
      <c r="T519" s="67"/>
      <c r="U519" s="118"/>
    </row>
    <row r="520">
      <c r="A520" s="72"/>
      <c r="B520" s="54"/>
      <c r="C520" s="67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67"/>
      <c r="R520" s="67"/>
      <c r="S520" s="67"/>
      <c r="T520" s="67"/>
      <c r="U520" s="118"/>
    </row>
    <row r="521">
      <c r="A521" s="72"/>
      <c r="B521" s="54"/>
      <c r="C521" s="67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67"/>
      <c r="R521" s="67"/>
      <c r="S521" s="67"/>
      <c r="T521" s="67"/>
      <c r="U521" s="118"/>
    </row>
    <row r="522">
      <c r="A522" s="72"/>
      <c r="B522" s="54"/>
      <c r="C522" s="67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67"/>
      <c r="R522" s="67"/>
      <c r="S522" s="67"/>
      <c r="T522" s="67"/>
      <c r="U522" s="118"/>
    </row>
    <row r="523">
      <c r="A523" s="72"/>
      <c r="B523" s="54"/>
      <c r="C523" s="67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67"/>
      <c r="R523" s="67"/>
      <c r="S523" s="67"/>
      <c r="T523" s="67"/>
      <c r="U523" s="118"/>
    </row>
    <row r="524">
      <c r="A524" s="72"/>
      <c r="B524" s="54"/>
      <c r="C524" s="67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67"/>
      <c r="R524" s="67"/>
      <c r="S524" s="67"/>
      <c r="T524" s="67"/>
      <c r="U524" s="118"/>
    </row>
    <row r="525">
      <c r="A525" s="72"/>
      <c r="B525" s="54"/>
      <c r="C525" s="67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67"/>
      <c r="R525" s="67"/>
      <c r="S525" s="67"/>
      <c r="T525" s="67"/>
      <c r="U525" s="118"/>
    </row>
    <row r="526">
      <c r="A526" s="72"/>
      <c r="B526" s="54"/>
      <c r="C526" s="67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67"/>
      <c r="R526" s="67"/>
      <c r="S526" s="67"/>
      <c r="T526" s="67"/>
      <c r="U526" s="118"/>
    </row>
    <row r="527">
      <c r="A527" s="72"/>
      <c r="B527" s="54"/>
      <c r="C527" s="67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67"/>
      <c r="R527" s="67"/>
      <c r="S527" s="67"/>
      <c r="T527" s="67"/>
      <c r="U527" s="118"/>
    </row>
    <row r="528">
      <c r="A528" s="72"/>
      <c r="B528" s="54"/>
      <c r="C528" s="67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67"/>
      <c r="R528" s="67"/>
      <c r="S528" s="67"/>
      <c r="T528" s="67"/>
      <c r="U528" s="118"/>
    </row>
    <row r="529">
      <c r="A529" s="72"/>
      <c r="B529" s="54"/>
      <c r="C529" s="67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67"/>
      <c r="R529" s="67"/>
      <c r="S529" s="67"/>
      <c r="T529" s="67"/>
      <c r="U529" s="118"/>
    </row>
    <row r="530">
      <c r="A530" s="72"/>
      <c r="B530" s="54"/>
      <c r="C530" s="67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67"/>
      <c r="R530" s="67"/>
      <c r="S530" s="67"/>
      <c r="T530" s="67"/>
      <c r="U530" s="118"/>
    </row>
    <row r="531">
      <c r="A531" s="72"/>
      <c r="B531" s="54"/>
      <c r="C531" s="67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67"/>
      <c r="R531" s="67"/>
      <c r="S531" s="67"/>
      <c r="T531" s="67"/>
      <c r="U531" s="118"/>
    </row>
    <row r="532">
      <c r="A532" s="72"/>
      <c r="B532" s="54"/>
      <c r="C532" s="67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67"/>
      <c r="R532" s="67"/>
      <c r="S532" s="67"/>
      <c r="T532" s="67"/>
      <c r="U532" s="118"/>
    </row>
    <row r="533">
      <c r="A533" s="72"/>
      <c r="B533" s="54"/>
      <c r="C533" s="67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67"/>
      <c r="R533" s="67"/>
      <c r="S533" s="67"/>
      <c r="T533" s="67"/>
      <c r="U533" s="118"/>
    </row>
    <row r="534">
      <c r="A534" s="72"/>
      <c r="B534" s="54"/>
      <c r="C534" s="67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67"/>
      <c r="R534" s="67"/>
      <c r="S534" s="67"/>
      <c r="T534" s="67"/>
      <c r="U534" s="118"/>
    </row>
    <row r="535">
      <c r="A535" s="72"/>
      <c r="B535" s="54"/>
      <c r="C535" s="67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67"/>
      <c r="R535" s="67"/>
      <c r="S535" s="67"/>
      <c r="T535" s="67"/>
      <c r="U535" s="118"/>
    </row>
    <row r="536">
      <c r="A536" s="72"/>
      <c r="B536" s="54"/>
      <c r="C536" s="67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67"/>
      <c r="R536" s="67"/>
      <c r="S536" s="67"/>
      <c r="T536" s="67"/>
      <c r="U536" s="118"/>
    </row>
    <row r="537">
      <c r="A537" s="72"/>
      <c r="B537" s="54"/>
      <c r="C537" s="67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67"/>
      <c r="R537" s="67"/>
      <c r="S537" s="67"/>
      <c r="T537" s="67"/>
      <c r="U537" s="118"/>
    </row>
    <row r="538">
      <c r="A538" s="72"/>
      <c r="B538" s="54"/>
      <c r="C538" s="67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67"/>
      <c r="R538" s="67"/>
      <c r="S538" s="67"/>
      <c r="T538" s="67"/>
      <c r="U538" s="118"/>
    </row>
    <row r="539">
      <c r="A539" s="72"/>
      <c r="B539" s="54"/>
      <c r="C539" s="67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67"/>
      <c r="R539" s="67"/>
      <c r="S539" s="67"/>
      <c r="T539" s="67"/>
      <c r="U539" s="118"/>
    </row>
    <row r="540">
      <c r="A540" s="72"/>
      <c r="B540" s="54"/>
      <c r="C540" s="67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67"/>
      <c r="R540" s="67"/>
      <c r="S540" s="67"/>
      <c r="T540" s="67"/>
      <c r="U540" s="118"/>
    </row>
    <row r="541">
      <c r="A541" s="72"/>
      <c r="B541" s="54"/>
      <c r="C541" s="67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67"/>
      <c r="R541" s="67"/>
      <c r="S541" s="67"/>
      <c r="T541" s="67"/>
      <c r="U541" s="118"/>
    </row>
    <row r="542">
      <c r="A542" s="72"/>
      <c r="B542" s="54"/>
      <c r="C542" s="67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67"/>
      <c r="R542" s="67"/>
      <c r="S542" s="67"/>
      <c r="T542" s="67"/>
      <c r="U542" s="118"/>
    </row>
    <row r="543">
      <c r="A543" s="72"/>
      <c r="B543" s="54"/>
      <c r="C543" s="67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67"/>
      <c r="R543" s="67"/>
      <c r="S543" s="67"/>
      <c r="T543" s="67"/>
      <c r="U543" s="118"/>
    </row>
    <row r="544">
      <c r="A544" s="72"/>
      <c r="B544" s="54"/>
      <c r="C544" s="67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67"/>
      <c r="R544" s="67"/>
      <c r="S544" s="67"/>
      <c r="T544" s="67"/>
      <c r="U544" s="118"/>
    </row>
    <row r="545">
      <c r="A545" s="72"/>
      <c r="B545" s="54"/>
      <c r="C545" s="67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67"/>
      <c r="R545" s="67"/>
      <c r="S545" s="67"/>
      <c r="T545" s="67"/>
      <c r="U545" s="118"/>
    </row>
    <row r="546">
      <c r="A546" s="72"/>
      <c r="B546" s="54"/>
      <c r="C546" s="67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67"/>
      <c r="R546" s="67"/>
      <c r="S546" s="67"/>
      <c r="T546" s="67"/>
      <c r="U546" s="118"/>
    </row>
    <row r="547">
      <c r="A547" s="72"/>
      <c r="B547" s="54"/>
      <c r="C547" s="67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67"/>
      <c r="R547" s="67"/>
      <c r="S547" s="67"/>
      <c r="T547" s="67"/>
      <c r="U547" s="118"/>
    </row>
    <row r="548">
      <c r="A548" s="72"/>
      <c r="B548" s="54"/>
      <c r="C548" s="67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67"/>
      <c r="R548" s="67"/>
      <c r="S548" s="67"/>
      <c r="T548" s="67"/>
      <c r="U548" s="118"/>
    </row>
    <row r="549">
      <c r="A549" s="72"/>
      <c r="B549" s="54"/>
      <c r="C549" s="67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67"/>
      <c r="R549" s="67"/>
      <c r="S549" s="67"/>
      <c r="T549" s="67"/>
      <c r="U549" s="118"/>
    </row>
    <row r="550">
      <c r="A550" s="72"/>
      <c r="B550" s="54"/>
      <c r="C550" s="67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67"/>
      <c r="R550" s="67"/>
      <c r="S550" s="67"/>
      <c r="T550" s="67"/>
      <c r="U550" s="118"/>
    </row>
    <row r="551">
      <c r="A551" s="72"/>
      <c r="B551" s="54"/>
      <c r="C551" s="67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67"/>
      <c r="R551" s="67"/>
      <c r="S551" s="67"/>
      <c r="T551" s="67"/>
      <c r="U551" s="118"/>
    </row>
    <row r="552">
      <c r="A552" s="72"/>
      <c r="B552" s="54"/>
      <c r="C552" s="67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67"/>
      <c r="R552" s="67"/>
      <c r="S552" s="67"/>
      <c r="T552" s="67"/>
      <c r="U552" s="118"/>
    </row>
    <row r="553">
      <c r="A553" s="72"/>
      <c r="B553" s="54"/>
      <c r="C553" s="67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67"/>
      <c r="R553" s="67"/>
      <c r="S553" s="67"/>
      <c r="T553" s="67"/>
      <c r="U553" s="118"/>
    </row>
    <row r="554">
      <c r="A554" s="72"/>
      <c r="B554" s="54"/>
      <c r="C554" s="67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67"/>
      <c r="R554" s="67"/>
      <c r="S554" s="67"/>
      <c r="T554" s="67"/>
      <c r="U554" s="118"/>
    </row>
    <row r="555">
      <c r="A555" s="72"/>
      <c r="B555" s="54"/>
      <c r="C555" s="67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67"/>
      <c r="R555" s="67"/>
      <c r="S555" s="67"/>
      <c r="T555" s="67"/>
      <c r="U555" s="118"/>
    </row>
    <row r="556">
      <c r="A556" s="72"/>
      <c r="B556" s="54"/>
      <c r="C556" s="67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67"/>
      <c r="R556" s="67"/>
      <c r="S556" s="67"/>
      <c r="T556" s="67"/>
      <c r="U556" s="118"/>
    </row>
    <row r="557">
      <c r="A557" s="72"/>
      <c r="B557" s="54"/>
      <c r="C557" s="67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67"/>
      <c r="R557" s="67"/>
      <c r="S557" s="67"/>
      <c r="T557" s="67"/>
      <c r="U557" s="118"/>
    </row>
    <row r="558">
      <c r="A558" s="72"/>
      <c r="B558" s="54"/>
      <c r="C558" s="67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67"/>
      <c r="R558" s="67"/>
      <c r="S558" s="67"/>
      <c r="T558" s="67"/>
      <c r="U558" s="118"/>
    </row>
    <row r="559">
      <c r="A559" s="72"/>
      <c r="B559" s="54"/>
      <c r="C559" s="67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67"/>
      <c r="R559" s="67"/>
      <c r="S559" s="67"/>
      <c r="T559" s="67"/>
      <c r="U559" s="118"/>
    </row>
    <row r="560">
      <c r="A560" s="72"/>
      <c r="B560" s="54"/>
      <c r="C560" s="67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67"/>
      <c r="R560" s="67"/>
      <c r="S560" s="67"/>
      <c r="T560" s="67"/>
      <c r="U560" s="118"/>
    </row>
    <row r="561">
      <c r="A561" s="72"/>
      <c r="B561" s="54"/>
      <c r="C561" s="67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67"/>
      <c r="R561" s="67"/>
      <c r="S561" s="67"/>
      <c r="T561" s="67"/>
      <c r="U561" s="118"/>
    </row>
    <row r="562">
      <c r="A562" s="72"/>
      <c r="B562" s="54"/>
      <c r="C562" s="67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67"/>
      <c r="R562" s="67"/>
      <c r="S562" s="67"/>
      <c r="T562" s="67"/>
      <c r="U562" s="118"/>
    </row>
    <row r="563">
      <c r="A563" s="72"/>
      <c r="B563" s="54"/>
      <c r="C563" s="67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67"/>
      <c r="R563" s="67"/>
      <c r="S563" s="67"/>
      <c r="T563" s="67"/>
      <c r="U563" s="118"/>
    </row>
    <row r="564">
      <c r="A564" s="72"/>
      <c r="B564" s="54"/>
      <c r="C564" s="67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67"/>
      <c r="R564" s="67"/>
      <c r="S564" s="67"/>
      <c r="T564" s="67"/>
      <c r="U564" s="118"/>
    </row>
    <row r="565">
      <c r="A565" s="72"/>
      <c r="B565" s="54"/>
      <c r="C565" s="67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67"/>
      <c r="R565" s="67"/>
      <c r="S565" s="67"/>
      <c r="T565" s="67"/>
      <c r="U565" s="118"/>
    </row>
    <row r="566">
      <c r="A566" s="72"/>
      <c r="B566" s="54"/>
      <c r="C566" s="67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67"/>
      <c r="R566" s="67"/>
      <c r="S566" s="67"/>
      <c r="T566" s="67"/>
      <c r="U566" s="118"/>
    </row>
    <row r="567">
      <c r="A567" s="72"/>
      <c r="B567" s="54"/>
      <c r="C567" s="67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67"/>
      <c r="R567" s="67"/>
      <c r="S567" s="67"/>
      <c r="T567" s="67"/>
      <c r="U567" s="118"/>
    </row>
    <row r="568">
      <c r="A568" s="72"/>
      <c r="B568" s="54"/>
      <c r="C568" s="67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67"/>
      <c r="R568" s="67"/>
      <c r="S568" s="67"/>
      <c r="T568" s="67"/>
      <c r="U568" s="118"/>
    </row>
    <row r="569">
      <c r="A569" s="72"/>
      <c r="B569" s="54"/>
      <c r="C569" s="67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67"/>
      <c r="R569" s="67"/>
      <c r="S569" s="67"/>
      <c r="T569" s="67"/>
      <c r="U569" s="118"/>
    </row>
    <row r="570">
      <c r="A570" s="72"/>
      <c r="B570" s="54"/>
      <c r="C570" s="67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67"/>
      <c r="R570" s="67"/>
      <c r="S570" s="67"/>
      <c r="T570" s="67"/>
      <c r="U570" s="118"/>
    </row>
    <row r="571">
      <c r="A571" s="72"/>
      <c r="B571" s="54"/>
      <c r="C571" s="67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67"/>
      <c r="R571" s="67"/>
      <c r="S571" s="67"/>
      <c r="T571" s="67"/>
      <c r="U571" s="118"/>
    </row>
    <row r="572">
      <c r="A572" s="72"/>
      <c r="B572" s="54"/>
      <c r="C572" s="67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67"/>
      <c r="R572" s="67"/>
      <c r="S572" s="67"/>
      <c r="T572" s="67"/>
      <c r="U572" s="118"/>
    </row>
    <row r="573">
      <c r="A573" s="72"/>
      <c r="B573" s="54"/>
      <c r="C573" s="67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67"/>
      <c r="R573" s="67"/>
      <c r="S573" s="67"/>
      <c r="T573" s="67"/>
      <c r="U573" s="118"/>
    </row>
    <row r="574">
      <c r="A574" s="72"/>
      <c r="B574" s="54"/>
      <c r="C574" s="67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67"/>
      <c r="R574" s="67"/>
      <c r="S574" s="67"/>
      <c r="T574" s="67"/>
      <c r="U574" s="118"/>
    </row>
    <row r="575">
      <c r="A575" s="72"/>
      <c r="B575" s="54"/>
      <c r="C575" s="67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67"/>
      <c r="R575" s="67"/>
      <c r="S575" s="67"/>
      <c r="T575" s="67"/>
      <c r="U575" s="118"/>
    </row>
    <row r="576">
      <c r="A576" s="72"/>
      <c r="B576" s="54"/>
      <c r="C576" s="67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67"/>
      <c r="R576" s="67"/>
      <c r="S576" s="67"/>
      <c r="T576" s="67"/>
      <c r="U576" s="118"/>
    </row>
    <row r="577">
      <c r="A577" s="72"/>
      <c r="B577" s="54"/>
      <c r="C577" s="67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67"/>
      <c r="R577" s="67"/>
      <c r="S577" s="67"/>
      <c r="T577" s="67"/>
      <c r="U577" s="118"/>
    </row>
    <row r="578">
      <c r="A578" s="72"/>
      <c r="B578" s="54"/>
      <c r="C578" s="67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67"/>
      <c r="R578" s="67"/>
      <c r="S578" s="67"/>
      <c r="T578" s="67"/>
      <c r="U578" s="118"/>
    </row>
    <row r="579">
      <c r="A579" s="72"/>
      <c r="B579" s="54"/>
      <c r="C579" s="67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67"/>
      <c r="R579" s="67"/>
      <c r="S579" s="67"/>
      <c r="T579" s="67"/>
      <c r="U579" s="118"/>
    </row>
    <row r="580">
      <c r="A580" s="72"/>
      <c r="B580" s="54"/>
      <c r="C580" s="67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67"/>
      <c r="R580" s="67"/>
      <c r="S580" s="67"/>
      <c r="T580" s="67"/>
      <c r="U580" s="118"/>
    </row>
    <row r="581">
      <c r="A581" s="72"/>
      <c r="B581" s="54"/>
      <c r="C581" s="67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67"/>
      <c r="R581" s="67"/>
      <c r="S581" s="67"/>
      <c r="T581" s="67"/>
      <c r="U581" s="118"/>
    </row>
    <row r="582">
      <c r="A582" s="72"/>
      <c r="B582" s="54"/>
      <c r="C582" s="67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67"/>
      <c r="R582" s="67"/>
      <c r="S582" s="67"/>
      <c r="T582" s="67"/>
      <c r="U582" s="118"/>
    </row>
    <row r="583">
      <c r="A583" s="72"/>
      <c r="B583" s="54"/>
      <c r="C583" s="67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67"/>
      <c r="R583" s="67"/>
      <c r="S583" s="67"/>
      <c r="T583" s="67"/>
      <c r="U583" s="118"/>
    </row>
    <row r="584">
      <c r="A584" s="72"/>
      <c r="B584" s="54"/>
      <c r="C584" s="67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67"/>
      <c r="R584" s="67"/>
      <c r="S584" s="67"/>
      <c r="T584" s="67"/>
      <c r="U584" s="118"/>
    </row>
    <row r="585">
      <c r="A585" s="72"/>
      <c r="B585" s="54"/>
      <c r="C585" s="67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67"/>
      <c r="R585" s="67"/>
      <c r="S585" s="67"/>
      <c r="T585" s="67"/>
      <c r="U585" s="118"/>
    </row>
    <row r="586">
      <c r="A586" s="72"/>
      <c r="B586" s="54"/>
      <c r="C586" s="67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67"/>
      <c r="R586" s="67"/>
      <c r="S586" s="67"/>
      <c r="T586" s="67"/>
      <c r="U586" s="118"/>
    </row>
    <row r="587">
      <c r="A587" s="72"/>
      <c r="B587" s="54"/>
      <c r="C587" s="67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67"/>
      <c r="R587" s="67"/>
      <c r="S587" s="67"/>
      <c r="T587" s="67"/>
      <c r="U587" s="118"/>
    </row>
    <row r="588">
      <c r="A588" s="72"/>
      <c r="B588" s="54"/>
      <c r="C588" s="67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67"/>
      <c r="R588" s="67"/>
      <c r="S588" s="67"/>
      <c r="T588" s="67"/>
      <c r="U588" s="118"/>
    </row>
    <row r="589">
      <c r="A589" s="72"/>
      <c r="B589" s="54"/>
      <c r="C589" s="67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67"/>
      <c r="R589" s="67"/>
      <c r="S589" s="67"/>
      <c r="T589" s="67"/>
      <c r="U589" s="118"/>
    </row>
    <row r="590">
      <c r="A590" s="72"/>
      <c r="B590" s="54"/>
      <c r="C590" s="67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67"/>
      <c r="R590" s="67"/>
      <c r="S590" s="67"/>
      <c r="T590" s="67"/>
      <c r="U590" s="118"/>
    </row>
    <row r="591">
      <c r="A591" s="72"/>
      <c r="B591" s="54"/>
      <c r="C591" s="67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67"/>
      <c r="R591" s="67"/>
      <c r="S591" s="67"/>
      <c r="T591" s="67"/>
      <c r="U591" s="118"/>
    </row>
    <row r="592">
      <c r="A592" s="72"/>
      <c r="B592" s="54"/>
      <c r="C592" s="67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67"/>
      <c r="R592" s="67"/>
      <c r="S592" s="67"/>
      <c r="T592" s="67"/>
      <c r="U592" s="118"/>
    </row>
    <row r="593">
      <c r="A593" s="72"/>
      <c r="B593" s="54"/>
      <c r="C593" s="67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67"/>
      <c r="R593" s="67"/>
      <c r="S593" s="67"/>
      <c r="T593" s="67"/>
      <c r="U593" s="118"/>
    </row>
    <row r="594">
      <c r="A594" s="72"/>
      <c r="B594" s="54"/>
      <c r="C594" s="67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67"/>
      <c r="R594" s="67"/>
      <c r="S594" s="67"/>
      <c r="T594" s="67"/>
      <c r="U594" s="118"/>
    </row>
    <row r="595">
      <c r="A595" s="72"/>
      <c r="B595" s="54"/>
      <c r="C595" s="67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67"/>
      <c r="R595" s="67"/>
      <c r="S595" s="67"/>
      <c r="T595" s="67"/>
      <c r="U595" s="118"/>
    </row>
    <row r="596">
      <c r="A596" s="72"/>
      <c r="B596" s="54"/>
      <c r="C596" s="67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67"/>
      <c r="R596" s="67"/>
      <c r="S596" s="67"/>
      <c r="T596" s="67"/>
      <c r="U596" s="118"/>
    </row>
    <row r="597">
      <c r="A597" s="72"/>
      <c r="B597" s="54"/>
      <c r="C597" s="67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67"/>
      <c r="R597" s="67"/>
      <c r="S597" s="67"/>
      <c r="T597" s="67"/>
      <c r="U597" s="118"/>
    </row>
    <row r="598">
      <c r="A598" s="72"/>
      <c r="B598" s="54"/>
      <c r="C598" s="67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67"/>
      <c r="R598" s="67"/>
      <c r="S598" s="67"/>
      <c r="T598" s="67"/>
      <c r="U598" s="118"/>
    </row>
    <row r="599">
      <c r="A599" s="72"/>
      <c r="B599" s="54"/>
      <c r="C599" s="67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67"/>
      <c r="R599" s="67"/>
      <c r="S599" s="67"/>
      <c r="T599" s="67"/>
      <c r="U599" s="118"/>
    </row>
    <row r="600">
      <c r="A600" s="72"/>
      <c r="B600" s="54"/>
      <c r="C600" s="67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67"/>
      <c r="R600" s="67"/>
      <c r="S600" s="67"/>
      <c r="T600" s="67"/>
      <c r="U600" s="118"/>
    </row>
    <row r="601">
      <c r="A601" s="72"/>
      <c r="B601" s="54"/>
      <c r="C601" s="67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67"/>
      <c r="R601" s="67"/>
      <c r="S601" s="67"/>
      <c r="T601" s="67"/>
      <c r="U601" s="118"/>
    </row>
    <row r="602">
      <c r="A602" s="72"/>
      <c r="B602" s="54"/>
      <c r="C602" s="67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67"/>
      <c r="R602" s="67"/>
      <c r="S602" s="67"/>
      <c r="T602" s="67"/>
      <c r="U602" s="118"/>
    </row>
    <row r="603">
      <c r="A603" s="72"/>
      <c r="B603" s="54"/>
      <c r="C603" s="67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67"/>
      <c r="R603" s="67"/>
      <c r="S603" s="67"/>
      <c r="T603" s="67"/>
      <c r="U603" s="118"/>
    </row>
    <row r="604">
      <c r="A604" s="72"/>
      <c r="B604" s="54"/>
      <c r="C604" s="67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67"/>
      <c r="R604" s="67"/>
      <c r="S604" s="67"/>
      <c r="T604" s="67"/>
      <c r="U604" s="118"/>
    </row>
    <row r="605">
      <c r="A605" s="72"/>
      <c r="B605" s="54"/>
      <c r="C605" s="67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67"/>
      <c r="R605" s="67"/>
      <c r="S605" s="67"/>
      <c r="T605" s="67"/>
      <c r="U605" s="118"/>
    </row>
    <row r="606">
      <c r="A606" s="72"/>
      <c r="B606" s="54"/>
      <c r="C606" s="67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67"/>
      <c r="R606" s="67"/>
      <c r="S606" s="67"/>
      <c r="T606" s="67"/>
      <c r="U606" s="118"/>
    </row>
    <row r="607">
      <c r="A607" s="72"/>
      <c r="B607" s="54"/>
      <c r="C607" s="67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67"/>
      <c r="R607" s="67"/>
      <c r="S607" s="67"/>
      <c r="T607" s="67"/>
      <c r="U607" s="118"/>
    </row>
    <row r="608">
      <c r="A608" s="72"/>
      <c r="B608" s="54"/>
      <c r="C608" s="67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67"/>
      <c r="R608" s="67"/>
      <c r="S608" s="67"/>
      <c r="T608" s="67"/>
      <c r="U608" s="118"/>
    </row>
    <row r="609">
      <c r="A609" s="72"/>
      <c r="B609" s="54"/>
      <c r="C609" s="67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67"/>
      <c r="R609" s="67"/>
      <c r="S609" s="67"/>
      <c r="T609" s="67"/>
      <c r="U609" s="118"/>
    </row>
    <row r="610">
      <c r="A610" s="72"/>
      <c r="B610" s="54"/>
      <c r="C610" s="67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67"/>
      <c r="R610" s="67"/>
      <c r="S610" s="67"/>
      <c r="T610" s="67"/>
      <c r="U610" s="118"/>
    </row>
    <row r="611">
      <c r="A611" s="72"/>
      <c r="B611" s="54"/>
      <c r="C611" s="67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67"/>
      <c r="R611" s="67"/>
      <c r="S611" s="67"/>
      <c r="T611" s="67"/>
      <c r="U611" s="118"/>
    </row>
    <row r="612">
      <c r="A612" s="72"/>
      <c r="B612" s="54"/>
      <c r="C612" s="67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67"/>
      <c r="R612" s="67"/>
      <c r="S612" s="67"/>
      <c r="T612" s="67"/>
      <c r="U612" s="118"/>
    </row>
    <row r="613">
      <c r="A613" s="72"/>
      <c r="B613" s="54"/>
      <c r="C613" s="67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67"/>
      <c r="R613" s="67"/>
      <c r="S613" s="67"/>
      <c r="T613" s="67"/>
      <c r="U613" s="118"/>
    </row>
    <row r="614">
      <c r="A614" s="72"/>
      <c r="B614" s="54"/>
      <c r="C614" s="67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67"/>
      <c r="R614" s="67"/>
      <c r="S614" s="67"/>
      <c r="T614" s="67"/>
      <c r="U614" s="118"/>
    </row>
    <row r="615">
      <c r="A615" s="72"/>
      <c r="B615" s="54"/>
      <c r="C615" s="67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67"/>
      <c r="R615" s="67"/>
      <c r="S615" s="67"/>
      <c r="T615" s="67"/>
      <c r="U615" s="118"/>
    </row>
    <row r="616">
      <c r="A616" s="72"/>
      <c r="B616" s="54"/>
      <c r="C616" s="67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67"/>
      <c r="R616" s="67"/>
      <c r="S616" s="67"/>
      <c r="T616" s="67"/>
      <c r="U616" s="118"/>
    </row>
    <row r="617">
      <c r="A617" s="72"/>
      <c r="B617" s="54"/>
      <c r="C617" s="67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67"/>
      <c r="R617" s="67"/>
      <c r="S617" s="67"/>
      <c r="T617" s="67"/>
      <c r="U617" s="118"/>
    </row>
    <row r="618">
      <c r="A618" s="72"/>
      <c r="B618" s="54"/>
      <c r="C618" s="67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67"/>
      <c r="R618" s="67"/>
      <c r="S618" s="67"/>
      <c r="T618" s="67"/>
      <c r="U618" s="118"/>
    </row>
    <row r="619">
      <c r="A619" s="72"/>
      <c r="B619" s="54"/>
      <c r="C619" s="67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67"/>
      <c r="R619" s="67"/>
      <c r="S619" s="67"/>
      <c r="T619" s="67"/>
      <c r="U619" s="118"/>
    </row>
    <row r="620">
      <c r="A620" s="72"/>
      <c r="B620" s="54"/>
      <c r="C620" s="67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67"/>
      <c r="R620" s="67"/>
      <c r="S620" s="67"/>
      <c r="T620" s="67"/>
      <c r="U620" s="118"/>
    </row>
    <row r="621">
      <c r="A621" s="72"/>
      <c r="B621" s="54"/>
      <c r="C621" s="67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67"/>
      <c r="R621" s="67"/>
      <c r="S621" s="67"/>
      <c r="T621" s="67"/>
      <c r="U621" s="118"/>
    </row>
    <row r="622">
      <c r="A622" s="72"/>
      <c r="B622" s="54"/>
      <c r="C622" s="67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67"/>
      <c r="R622" s="67"/>
      <c r="S622" s="67"/>
      <c r="T622" s="67"/>
      <c r="U622" s="118"/>
    </row>
    <row r="623">
      <c r="A623" s="72"/>
      <c r="B623" s="54"/>
      <c r="C623" s="67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67"/>
      <c r="R623" s="67"/>
      <c r="S623" s="67"/>
      <c r="T623" s="67"/>
      <c r="U623" s="118"/>
    </row>
    <row r="624">
      <c r="A624" s="72"/>
      <c r="B624" s="54"/>
      <c r="C624" s="67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67"/>
      <c r="R624" s="67"/>
      <c r="S624" s="67"/>
      <c r="T624" s="67"/>
      <c r="U624" s="118"/>
    </row>
    <row r="625">
      <c r="A625" s="72"/>
      <c r="B625" s="54"/>
      <c r="C625" s="67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67"/>
      <c r="R625" s="67"/>
      <c r="S625" s="67"/>
      <c r="T625" s="67"/>
      <c r="U625" s="118"/>
    </row>
    <row r="626">
      <c r="A626" s="72"/>
      <c r="B626" s="54"/>
      <c r="C626" s="67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67"/>
      <c r="R626" s="67"/>
      <c r="S626" s="67"/>
      <c r="T626" s="67"/>
      <c r="U626" s="118"/>
    </row>
    <row r="627">
      <c r="A627" s="72"/>
      <c r="B627" s="54"/>
      <c r="C627" s="67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67"/>
      <c r="R627" s="67"/>
      <c r="S627" s="67"/>
      <c r="T627" s="67"/>
      <c r="U627" s="118"/>
    </row>
    <row r="628">
      <c r="A628" s="72"/>
      <c r="B628" s="54"/>
      <c r="C628" s="67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67"/>
      <c r="R628" s="67"/>
      <c r="S628" s="67"/>
      <c r="T628" s="67"/>
      <c r="U628" s="118"/>
    </row>
    <row r="629">
      <c r="A629" s="72"/>
      <c r="B629" s="54"/>
      <c r="C629" s="67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67"/>
      <c r="R629" s="67"/>
      <c r="S629" s="67"/>
      <c r="T629" s="67"/>
      <c r="U629" s="118"/>
    </row>
    <row r="630">
      <c r="A630" s="72"/>
      <c r="B630" s="54"/>
      <c r="C630" s="67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67"/>
      <c r="R630" s="67"/>
      <c r="S630" s="67"/>
      <c r="T630" s="67"/>
      <c r="U630" s="118"/>
    </row>
    <row r="631">
      <c r="A631" s="72"/>
      <c r="B631" s="54"/>
      <c r="C631" s="67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67"/>
      <c r="R631" s="67"/>
      <c r="S631" s="67"/>
      <c r="T631" s="67"/>
      <c r="U631" s="118"/>
    </row>
    <row r="632">
      <c r="A632" s="72"/>
      <c r="B632" s="54"/>
      <c r="C632" s="67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67"/>
      <c r="R632" s="67"/>
      <c r="S632" s="67"/>
      <c r="T632" s="67"/>
      <c r="U632" s="118"/>
    </row>
    <row r="633">
      <c r="A633" s="72"/>
      <c r="B633" s="54"/>
      <c r="C633" s="67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67"/>
      <c r="R633" s="67"/>
      <c r="S633" s="67"/>
      <c r="T633" s="67"/>
      <c r="U633" s="118"/>
    </row>
    <row r="634">
      <c r="A634" s="72"/>
      <c r="B634" s="54"/>
      <c r="C634" s="67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67"/>
      <c r="R634" s="67"/>
      <c r="S634" s="67"/>
      <c r="T634" s="67"/>
      <c r="U634" s="118"/>
    </row>
    <row r="635">
      <c r="A635" s="72"/>
      <c r="B635" s="54"/>
      <c r="C635" s="67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67"/>
      <c r="R635" s="67"/>
      <c r="S635" s="67"/>
      <c r="T635" s="67"/>
      <c r="U635" s="118"/>
    </row>
    <row r="636">
      <c r="A636" s="72"/>
      <c r="B636" s="54"/>
      <c r="C636" s="67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67"/>
      <c r="R636" s="67"/>
      <c r="S636" s="67"/>
      <c r="T636" s="67"/>
      <c r="U636" s="118"/>
    </row>
    <row r="637">
      <c r="A637" s="72"/>
      <c r="B637" s="54"/>
      <c r="C637" s="67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67"/>
      <c r="R637" s="67"/>
      <c r="S637" s="67"/>
      <c r="T637" s="67"/>
      <c r="U637" s="118"/>
    </row>
    <row r="638">
      <c r="A638" s="72"/>
      <c r="B638" s="54"/>
      <c r="C638" s="67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67"/>
      <c r="R638" s="67"/>
      <c r="S638" s="67"/>
      <c r="T638" s="67"/>
      <c r="U638" s="118"/>
    </row>
    <row r="639">
      <c r="A639" s="72"/>
      <c r="B639" s="54"/>
      <c r="C639" s="67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67"/>
      <c r="R639" s="67"/>
      <c r="S639" s="67"/>
      <c r="T639" s="67"/>
      <c r="U639" s="118"/>
    </row>
    <row r="640">
      <c r="A640" s="72"/>
      <c r="B640" s="54"/>
      <c r="C640" s="67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67"/>
      <c r="R640" s="67"/>
      <c r="S640" s="67"/>
      <c r="T640" s="67"/>
      <c r="U640" s="118"/>
    </row>
    <row r="641">
      <c r="A641" s="72"/>
      <c r="B641" s="54"/>
      <c r="C641" s="67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67"/>
      <c r="R641" s="67"/>
      <c r="S641" s="67"/>
      <c r="T641" s="67"/>
      <c r="U641" s="118"/>
    </row>
    <row r="642">
      <c r="A642" s="72"/>
      <c r="B642" s="54"/>
      <c r="C642" s="67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67"/>
      <c r="R642" s="67"/>
      <c r="S642" s="67"/>
      <c r="T642" s="67"/>
      <c r="U642" s="118"/>
    </row>
    <row r="643">
      <c r="A643" s="72"/>
      <c r="B643" s="54"/>
      <c r="C643" s="67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67"/>
      <c r="R643" s="67"/>
      <c r="S643" s="67"/>
      <c r="T643" s="67"/>
      <c r="U643" s="118"/>
    </row>
    <row r="644">
      <c r="A644" s="72"/>
      <c r="B644" s="54"/>
      <c r="C644" s="67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67"/>
      <c r="R644" s="67"/>
      <c r="S644" s="67"/>
      <c r="T644" s="67"/>
      <c r="U644" s="118"/>
    </row>
    <row r="645">
      <c r="A645" s="72"/>
      <c r="B645" s="54"/>
      <c r="C645" s="67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67"/>
      <c r="R645" s="67"/>
      <c r="S645" s="67"/>
      <c r="T645" s="67"/>
      <c r="U645" s="118"/>
    </row>
    <row r="646">
      <c r="A646" s="72"/>
      <c r="B646" s="54"/>
      <c r="C646" s="67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67"/>
      <c r="R646" s="67"/>
      <c r="S646" s="67"/>
      <c r="T646" s="67"/>
      <c r="U646" s="118"/>
    </row>
    <row r="647">
      <c r="A647" s="72"/>
      <c r="B647" s="54"/>
      <c r="C647" s="67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67"/>
      <c r="R647" s="67"/>
      <c r="S647" s="67"/>
      <c r="T647" s="67"/>
      <c r="U647" s="118"/>
    </row>
    <row r="648">
      <c r="A648" s="72"/>
      <c r="B648" s="54"/>
      <c r="C648" s="67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67"/>
      <c r="R648" s="67"/>
      <c r="S648" s="67"/>
      <c r="T648" s="67"/>
      <c r="U648" s="118"/>
    </row>
    <row r="649">
      <c r="A649" s="72"/>
      <c r="B649" s="54"/>
      <c r="C649" s="67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67"/>
      <c r="R649" s="67"/>
      <c r="S649" s="67"/>
      <c r="T649" s="67"/>
      <c r="U649" s="118"/>
    </row>
    <row r="650">
      <c r="A650" s="72"/>
      <c r="B650" s="54"/>
      <c r="C650" s="67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67"/>
      <c r="R650" s="67"/>
      <c r="S650" s="67"/>
      <c r="T650" s="67"/>
      <c r="U650" s="118"/>
    </row>
    <row r="651">
      <c r="A651" s="72"/>
      <c r="B651" s="54"/>
      <c r="C651" s="67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67"/>
      <c r="R651" s="67"/>
      <c r="S651" s="67"/>
      <c r="T651" s="67"/>
      <c r="U651" s="118"/>
    </row>
    <row r="652">
      <c r="A652" s="72"/>
      <c r="B652" s="54"/>
      <c r="C652" s="67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67"/>
      <c r="R652" s="67"/>
      <c r="S652" s="67"/>
      <c r="T652" s="67"/>
      <c r="U652" s="118"/>
    </row>
    <row r="653">
      <c r="A653" s="72"/>
      <c r="B653" s="54"/>
      <c r="C653" s="67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67"/>
      <c r="R653" s="67"/>
      <c r="S653" s="67"/>
      <c r="T653" s="67"/>
      <c r="U653" s="118"/>
    </row>
    <row r="654">
      <c r="A654" s="72"/>
      <c r="B654" s="54"/>
      <c r="C654" s="67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67"/>
      <c r="R654" s="67"/>
      <c r="S654" s="67"/>
      <c r="T654" s="67"/>
      <c r="U654" s="118"/>
    </row>
    <row r="655">
      <c r="A655" s="72"/>
      <c r="B655" s="54"/>
      <c r="C655" s="67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67"/>
      <c r="R655" s="67"/>
      <c r="S655" s="67"/>
      <c r="T655" s="67"/>
      <c r="U655" s="118"/>
    </row>
    <row r="656">
      <c r="A656" s="72"/>
      <c r="B656" s="54"/>
      <c r="C656" s="67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67"/>
      <c r="R656" s="67"/>
      <c r="S656" s="67"/>
      <c r="T656" s="67"/>
      <c r="U656" s="118"/>
    </row>
    <row r="657">
      <c r="A657" s="72"/>
      <c r="B657" s="54"/>
      <c r="C657" s="67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67"/>
      <c r="R657" s="67"/>
      <c r="S657" s="67"/>
      <c r="T657" s="67"/>
      <c r="U657" s="118"/>
    </row>
    <row r="658">
      <c r="A658" s="72"/>
      <c r="B658" s="54"/>
      <c r="C658" s="67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67"/>
      <c r="R658" s="67"/>
      <c r="S658" s="67"/>
      <c r="T658" s="67"/>
      <c r="U658" s="118"/>
    </row>
    <row r="659">
      <c r="A659" s="72"/>
      <c r="B659" s="54"/>
      <c r="C659" s="67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67"/>
      <c r="R659" s="67"/>
      <c r="S659" s="67"/>
      <c r="T659" s="67"/>
      <c r="U659" s="118"/>
    </row>
    <row r="660">
      <c r="A660" s="72"/>
      <c r="B660" s="54"/>
      <c r="C660" s="67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67"/>
      <c r="R660" s="67"/>
      <c r="S660" s="67"/>
      <c r="T660" s="67"/>
      <c r="U660" s="118"/>
    </row>
    <row r="661">
      <c r="A661" s="72"/>
      <c r="B661" s="54"/>
      <c r="C661" s="67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67"/>
      <c r="R661" s="67"/>
      <c r="S661" s="67"/>
      <c r="T661" s="67"/>
      <c r="U661" s="118"/>
    </row>
    <row r="662">
      <c r="A662" s="72"/>
      <c r="B662" s="54"/>
      <c r="C662" s="67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67"/>
      <c r="R662" s="67"/>
      <c r="S662" s="67"/>
      <c r="T662" s="67"/>
      <c r="U662" s="118"/>
    </row>
    <row r="663">
      <c r="A663" s="72"/>
      <c r="B663" s="54"/>
      <c r="C663" s="67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67"/>
      <c r="R663" s="67"/>
      <c r="S663" s="67"/>
      <c r="T663" s="67"/>
      <c r="U663" s="118"/>
    </row>
    <row r="664">
      <c r="A664" s="72"/>
      <c r="B664" s="54"/>
      <c r="C664" s="67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67"/>
      <c r="R664" s="67"/>
      <c r="S664" s="67"/>
      <c r="T664" s="67"/>
      <c r="U664" s="118"/>
    </row>
    <row r="665">
      <c r="A665" s="72"/>
      <c r="B665" s="54"/>
      <c r="C665" s="67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67"/>
      <c r="R665" s="67"/>
      <c r="S665" s="67"/>
      <c r="T665" s="67"/>
      <c r="U665" s="118"/>
    </row>
    <row r="666">
      <c r="A666" s="72"/>
      <c r="B666" s="54"/>
      <c r="C666" s="67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67"/>
      <c r="R666" s="67"/>
      <c r="S666" s="67"/>
      <c r="T666" s="67"/>
      <c r="U666" s="118"/>
    </row>
    <row r="667">
      <c r="A667" s="72"/>
      <c r="B667" s="54"/>
      <c r="C667" s="67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67"/>
      <c r="R667" s="67"/>
      <c r="S667" s="67"/>
      <c r="T667" s="67"/>
      <c r="U667" s="118"/>
    </row>
    <row r="668">
      <c r="A668" s="72"/>
      <c r="B668" s="54"/>
      <c r="C668" s="67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67"/>
      <c r="R668" s="67"/>
      <c r="S668" s="67"/>
      <c r="T668" s="67"/>
      <c r="U668" s="118"/>
    </row>
    <row r="669">
      <c r="A669" s="72"/>
      <c r="B669" s="54"/>
      <c r="C669" s="67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67"/>
      <c r="R669" s="67"/>
      <c r="S669" s="67"/>
      <c r="T669" s="67"/>
      <c r="U669" s="118"/>
    </row>
    <row r="670">
      <c r="A670" s="72"/>
      <c r="B670" s="54"/>
      <c r="C670" s="67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67"/>
      <c r="R670" s="67"/>
      <c r="S670" s="67"/>
      <c r="T670" s="67"/>
      <c r="U670" s="118"/>
    </row>
    <row r="671">
      <c r="A671" s="72"/>
      <c r="B671" s="54"/>
      <c r="C671" s="67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67"/>
      <c r="R671" s="67"/>
      <c r="S671" s="67"/>
      <c r="T671" s="67"/>
      <c r="U671" s="118"/>
    </row>
    <row r="672">
      <c r="A672" s="72"/>
      <c r="B672" s="54"/>
      <c r="C672" s="67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67"/>
      <c r="R672" s="67"/>
      <c r="S672" s="67"/>
      <c r="T672" s="67"/>
      <c r="U672" s="118"/>
    </row>
    <row r="673">
      <c r="A673" s="72"/>
      <c r="B673" s="54"/>
      <c r="C673" s="67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67"/>
      <c r="R673" s="67"/>
      <c r="S673" s="67"/>
      <c r="T673" s="67"/>
      <c r="U673" s="118"/>
    </row>
    <row r="674">
      <c r="A674" s="72"/>
      <c r="B674" s="54"/>
      <c r="C674" s="67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67"/>
      <c r="R674" s="67"/>
      <c r="S674" s="67"/>
      <c r="T674" s="67"/>
      <c r="U674" s="118"/>
    </row>
    <row r="675">
      <c r="A675" s="72"/>
      <c r="B675" s="54"/>
      <c r="C675" s="67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67"/>
      <c r="R675" s="67"/>
      <c r="S675" s="67"/>
      <c r="T675" s="67"/>
      <c r="U675" s="118"/>
    </row>
    <row r="676">
      <c r="A676" s="72"/>
      <c r="B676" s="54"/>
      <c r="C676" s="67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67"/>
      <c r="R676" s="67"/>
      <c r="S676" s="67"/>
      <c r="T676" s="67"/>
      <c r="U676" s="118"/>
    </row>
    <row r="677">
      <c r="A677" s="72"/>
      <c r="B677" s="54"/>
      <c r="C677" s="67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67"/>
      <c r="R677" s="67"/>
      <c r="S677" s="67"/>
      <c r="T677" s="67"/>
      <c r="U677" s="118"/>
    </row>
    <row r="678">
      <c r="A678" s="72"/>
      <c r="B678" s="54"/>
      <c r="C678" s="67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67"/>
      <c r="R678" s="67"/>
      <c r="S678" s="67"/>
      <c r="T678" s="67"/>
      <c r="U678" s="118"/>
    </row>
    <row r="679">
      <c r="A679" s="72"/>
      <c r="B679" s="54"/>
      <c r="C679" s="67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67"/>
      <c r="R679" s="67"/>
      <c r="S679" s="67"/>
      <c r="T679" s="67"/>
      <c r="U679" s="118"/>
    </row>
    <row r="680">
      <c r="A680" s="72"/>
      <c r="B680" s="54"/>
      <c r="C680" s="67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67"/>
      <c r="R680" s="67"/>
      <c r="S680" s="67"/>
      <c r="T680" s="67"/>
      <c r="U680" s="118"/>
    </row>
    <row r="681">
      <c r="A681" s="72"/>
      <c r="B681" s="54"/>
      <c r="C681" s="67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67"/>
      <c r="R681" s="67"/>
      <c r="S681" s="67"/>
      <c r="T681" s="67"/>
      <c r="U681" s="118"/>
    </row>
    <row r="682">
      <c r="A682" s="72"/>
      <c r="B682" s="54"/>
      <c r="C682" s="67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67"/>
      <c r="R682" s="67"/>
      <c r="S682" s="67"/>
      <c r="T682" s="67"/>
      <c r="U682" s="118"/>
    </row>
    <row r="683">
      <c r="A683" s="72"/>
      <c r="B683" s="54"/>
      <c r="C683" s="67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67"/>
      <c r="R683" s="67"/>
      <c r="S683" s="67"/>
      <c r="T683" s="67"/>
      <c r="U683" s="118"/>
    </row>
    <row r="684">
      <c r="A684" s="72"/>
      <c r="B684" s="54"/>
      <c r="C684" s="67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67"/>
      <c r="R684" s="67"/>
      <c r="S684" s="67"/>
      <c r="T684" s="67"/>
      <c r="U684" s="118"/>
    </row>
    <row r="685">
      <c r="A685" s="72"/>
      <c r="B685" s="54"/>
      <c r="C685" s="67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67"/>
      <c r="R685" s="67"/>
      <c r="S685" s="67"/>
      <c r="T685" s="67"/>
      <c r="U685" s="118"/>
    </row>
    <row r="686">
      <c r="A686" s="72"/>
      <c r="B686" s="54"/>
      <c r="C686" s="67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67"/>
      <c r="R686" s="67"/>
      <c r="S686" s="67"/>
      <c r="T686" s="67"/>
      <c r="U686" s="118"/>
    </row>
    <row r="687">
      <c r="A687" s="72"/>
      <c r="B687" s="54"/>
      <c r="C687" s="67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67"/>
      <c r="R687" s="67"/>
      <c r="S687" s="67"/>
      <c r="T687" s="67"/>
      <c r="U687" s="118"/>
    </row>
    <row r="688">
      <c r="A688" s="72"/>
      <c r="B688" s="54"/>
      <c r="C688" s="67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67"/>
      <c r="R688" s="67"/>
      <c r="S688" s="67"/>
      <c r="T688" s="67"/>
      <c r="U688" s="118"/>
    </row>
    <row r="689">
      <c r="A689" s="72"/>
      <c r="B689" s="54"/>
      <c r="C689" s="67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67"/>
      <c r="R689" s="67"/>
      <c r="S689" s="67"/>
      <c r="T689" s="67"/>
      <c r="U689" s="118"/>
    </row>
    <row r="690">
      <c r="A690" s="72"/>
      <c r="B690" s="54"/>
      <c r="C690" s="67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67"/>
      <c r="R690" s="67"/>
      <c r="S690" s="67"/>
      <c r="T690" s="67"/>
      <c r="U690" s="118"/>
    </row>
    <row r="691">
      <c r="A691" s="72"/>
      <c r="B691" s="54"/>
      <c r="C691" s="67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67"/>
      <c r="R691" s="67"/>
      <c r="S691" s="67"/>
      <c r="T691" s="67"/>
      <c r="U691" s="118"/>
    </row>
    <row r="692">
      <c r="A692" s="72"/>
      <c r="B692" s="54"/>
      <c r="C692" s="67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67"/>
      <c r="R692" s="67"/>
      <c r="S692" s="67"/>
      <c r="T692" s="67"/>
      <c r="U692" s="118"/>
    </row>
    <row r="693">
      <c r="A693" s="72"/>
      <c r="B693" s="54"/>
      <c r="C693" s="67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67"/>
      <c r="R693" s="67"/>
      <c r="S693" s="67"/>
      <c r="T693" s="67"/>
      <c r="U693" s="118"/>
    </row>
    <row r="694">
      <c r="A694" s="72"/>
      <c r="B694" s="54"/>
      <c r="C694" s="67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67"/>
      <c r="R694" s="67"/>
      <c r="S694" s="67"/>
      <c r="T694" s="67"/>
      <c r="U694" s="118"/>
    </row>
    <row r="695">
      <c r="A695" s="72"/>
      <c r="B695" s="54"/>
      <c r="C695" s="67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67"/>
      <c r="R695" s="67"/>
      <c r="S695" s="67"/>
      <c r="T695" s="67"/>
      <c r="U695" s="118"/>
    </row>
    <row r="696">
      <c r="A696" s="72"/>
      <c r="B696" s="54"/>
      <c r="C696" s="67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67"/>
      <c r="R696" s="67"/>
      <c r="S696" s="67"/>
      <c r="T696" s="67"/>
      <c r="U696" s="118"/>
    </row>
    <row r="697">
      <c r="A697" s="72"/>
      <c r="B697" s="54"/>
      <c r="C697" s="67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67"/>
      <c r="R697" s="67"/>
      <c r="S697" s="67"/>
      <c r="T697" s="67"/>
      <c r="U697" s="118"/>
    </row>
    <row r="698">
      <c r="A698" s="72"/>
      <c r="B698" s="54"/>
      <c r="C698" s="67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67"/>
      <c r="R698" s="67"/>
      <c r="S698" s="67"/>
      <c r="T698" s="67"/>
      <c r="U698" s="118"/>
    </row>
    <row r="699">
      <c r="A699" s="72"/>
      <c r="B699" s="54"/>
      <c r="C699" s="67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67"/>
      <c r="R699" s="67"/>
      <c r="S699" s="67"/>
      <c r="T699" s="67"/>
      <c r="U699" s="118"/>
    </row>
    <row r="700">
      <c r="A700" s="72"/>
      <c r="B700" s="54"/>
      <c r="C700" s="67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67"/>
      <c r="R700" s="67"/>
      <c r="S700" s="67"/>
      <c r="T700" s="67"/>
      <c r="U700" s="118"/>
    </row>
    <row r="701">
      <c r="A701" s="72"/>
      <c r="B701" s="54"/>
      <c r="C701" s="67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67"/>
      <c r="R701" s="67"/>
      <c r="S701" s="67"/>
      <c r="T701" s="67"/>
      <c r="U701" s="118"/>
    </row>
    <row r="702">
      <c r="A702" s="72"/>
      <c r="B702" s="54"/>
      <c r="C702" s="67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67"/>
      <c r="R702" s="67"/>
      <c r="S702" s="67"/>
      <c r="T702" s="67"/>
      <c r="U702" s="118"/>
    </row>
    <row r="703">
      <c r="A703" s="72"/>
      <c r="B703" s="54"/>
      <c r="C703" s="67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67"/>
      <c r="R703" s="67"/>
      <c r="S703" s="67"/>
      <c r="T703" s="67"/>
      <c r="U703" s="118"/>
    </row>
    <row r="704">
      <c r="A704" s="72"/>
      <c r="B704" s="54"/>
      <c r="C704" s="67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67"/>
      <c r="R704" s="67"/>
      <c r="S704" s="67"/>
      <c r="T704" s="67"/>
      <c r="U704" s="118"/>
    </row>
    <row r="705">
      <c r="A705" s="72"/>
      <c r="B705" s="54"/>
      <c r="C705" s="67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67"/>
      <c r="R705" s="67"/>
      <c r="S705" s="67"/>
      <c r="T705" s="67"/>
      <c r="U705" s="118"/>
    </row>
    <row r="706">
      <c r="A706" s="72"/>
      <c r="B706" s="54"/>
      <c r="C706" s="67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67"/>
      <c r="R706" s="67"/>
      <c r="S706" s="67"/>
      <c r="T706" s="67"/>
      <c r="U706" s="118"/>
    </row>
    <row r="707">
      <c r="A707" s="72"/>
      <c r="B707" s="54"/>
      <c r="C707" s="67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67"/>
      <c r="R707" s="67"/>
      <c r="S707" s="67"/>
      <c r="T707" s="67"/>
      <c r="U707" s="118"/>
    </row>
    <row r="708">
      <c r="A708" s="72"/>
      <c r="B708" s="54"/>
      <c r="C708" s="67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67"/>
      <c r="R708" s="67"/>
      <c r="S708" s="67"/>
      <c r="T708" s="67"/>
      <c r="U708" s="118"/>
    </row>
    <row r="709">
      <c r="A709" s="72"/>
      <c r="B709" s="54"/>
      <c r="C709" s="67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67"/>
      <c r="R709" s="67"/>
      <c r="S709" s="67"/>
      <c r="T709" s="67"/>
      <c r="U709" s="118"/>
    </row>
    <row r="710">
      <c r="A710" s="72"/>
      <c r="B710" s="54"/>
      <c r="C710" s="67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67"/>
      <c r="R710" s="67"/>
      <c r="S710" s="67"/>
      <c r="T710" s="67"/>
      <c r="U710" s="118"/>
    </row>
    <row r="711">
      <c r="A711" s="72"/>
      <c r="B711" s="54"/>
      <c r="C711" s="67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67"/>
      <c r="R711" s="67"/>
      <c r="S711" s="67"/>
      <c r="T711" s="67"/>
      <c r="U711" s="118"/>
    </row>
    <row r="712">
      <c r="A712" s="72"/>
      <c r="B712" s="54"/>
      <c r="C712" s="67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67"/>
      <c r="R712" s="67"/>
      <c r="S712" s="67"/>
      <c r="T712" s="67"/>
      <c r="U712" s="118"/>
    </row>
    <row r="713">
      <c r="A713" s="72"/>
      <c r="B713" s="54"/>
      <c r="C713" s="67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67"/>
      <c r="R713" s="67"/>
      <c r="S713" s="67"/>
      <c r="T713" s="67"/>
      <c r="U713" s="118"/>
    </row>
    <row r="714">
      <c r="A714" s="72"/>
      <c r="B714" s="54"/>
      <c r="C714" s="67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67"/>
      <c r="R714" s="67"/>
      <c r="S714" s="67"/>
      <c r="T714" s="67"/>
      <c r="U714" s="118"/>
    </row>
    <row r="715">
      <c r="A715" s="72"/>
      <c r="B715" s="54"/>
      <c r="C715" s="67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67"/>
      <c r="R715" s="67"/>
      <c r="S715" s="67"/>
      <c r="T715" s="67"/>
      <c r="U715" s="118"/>
    </row>
    <row r="716">
      <c r="A716" s="72"/>
      <c r="B716" s="54"/>
      <c r="C716" s="67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67"/>
      <c r="R716" s="67"/>
      <c r="S716" s="67"/>
      <c r="T716" s="67"/>
      <c r="U716" s="118"/>
    </row>
    <row r="717">
      <c r="A717" s="72"/>
      <c r="B717" s="54"/>
      <c r="C717" s="67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67"/>
      <c r="R717" s="67"/>
      <c r="S717" s="67"/>
      <c r="T717" s="67"/>
      <c r="U717" s="118"/>
    </row>
    <row r="718">
      <c r="A718" s="72"/>
      <c r="B718" s="54"/>
      <c r="C718" s="67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67"/>
      <c r="R718" s="67"/>
      <c r="S718" s="67"/>
      <c r="T718" s="67"/>
      <c r="U718" s="118"/>
    </row>
    <row r="719">
      <c r="A719" s="72"/>
      <c r="B719" s="54"/>
      <c r="C719" s="67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67"/>
      <c r="R719" s="67"/>
      <c r="S719" s="67"/>
      <c r="T719" s="67"/>
      <c r="U719" s="118"/>
    </row>
    <row r="720">
      <c r="A720" s="72"/>
      <c r="B720" s="54"/>
      <c r="C720" s="67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67"/>
      <c r="R720" s="67"/>
      <c r="S720" s="67"/>
      <c r="T720" s="67"/>
      <c r="U720" s="118"/>
    </row>
    <row r="721">
      <c r="A721" s="72"/>
      <c r="B721" s="54"/>
      <c r="C721" s="67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67"/>
      <c r="R721" s="67"/>
      <c r="S721" s="67"/>
      <c r="T721" s="67"/>
      <c r="U721" s="118"/>
    </row>
    <row r="722">
      <c r="A722" s="72"/>
      <c r="B722" s="54"/>
      <c r="C722" s="67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67"/>
      <c r="R722" s="67"/>
      <c r="S722" s="67"/>
      <c r="T722" s="67"/>
      <c r="U722" s="118"/>
    </row>
    <row r="723">
      <c r="A723" s="72"/>
      <c r="B723" s="54"/>
      <c r="C723" s="67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67"/>
      <c r="R723" s="67"/>
      <c r="S723" s="67"/>
      <c r="T723" s="67"/>
      <c r="U723" s="118"/>
    </row>
    <row r="724">
      <c r="A724" s="72"/>
      <c r="B724" s="54"/>
      <c r="C724" s="67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67"/>
      <c r="R724" s="67"/>
      <c r="S724" s="67"/>
      <c r="T724" s="67"/>
      <c r="U724" s="118"/>
    </row>
    <row r="725">
      <c r="A725" s="72"/>
      <c r="B725" s="54"/>
      <c r="C725" s="67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67"/>
      <c r="R725" s="67"/>
      <c r="S725" s="67"/>
      <c r="T725" s="67"/>
      <c r="U725" s="118"/>
    </row>
    <row r="726">
      <c r="A726" s="72"/>
      <c r="B726" s="54"/>
      <c r="C726" s="67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67"/>
      <c r="R726" s="67"/>
      <c r="S726" s="67"/>
      <c r="T726" s="67"/>
      <c r="U726" s="118"/>
    </row>
    <row r="727">
      <c r="A727" s="72"/>
      <c r="B727" s="54"/>
      <c r="C727" s="67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67"/>
      <c r="R727" s="67"/>
      <c r="S727" s="67"/>
      <c r="T727" s="67"/>
      <c r="U727" s="118"/>
    </row>
    <row r="728">
      <c r="A728" s="72"/>
      <c r="B728" s="54"/>
      <c r="C728" s="67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67"/>
      <c r="R728" s="67"/>
      <c r="S728" s="67"/>
      <c r="T728" s="67"/>
      <c r="U728" s="118"/>
    </row>
    <row r="729">
      <c r="A729" s="72"/>
      <c r="B729" s="54"/>
      <c r="C729" s="67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67"/>
      <c r="R729" s="67"/>
      <c r="S729" s="67"/>
      <c r="T729" s="67"/>
      <c r="U729" s="118"/>
    </row>
    <row r="730">
      <c r="A730" s="72"/>
      <c r="B730" s="54"/>
      <c r="C730" s="67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67"/>
      <c r="R730" s="67"/>
      <c r="S730" s="67"/>
      <c r="T730" s="67"/>
      <c r="U730" s="118"/>
    </row>
    <row r="731">
      <c r="A731" s="72"/>
      <c r="B731" s="54"/>
      <c r="C731" s="67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67"/>
      <c r="R731" s="67"/>
      <c r="S731" s="67"/>
      <c r="T731" s="67"/>
      <c r="U731" s="118"/>
    </row>
    <row r="732">
      <c r="A732" s="72"/>
      <c r="B732" s="54"/>
      <c r="C732" s="67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67"/>
      <c r="R732" s="67"/>
      <c r="S732" s="67"/>
      <c r="T732" s="67"/>
      <c r="U732" s="118"/>
    </row>
    <row r="733">
      <c r="A733" s="72"/>
      <c r="B733" s="54"/>
      <c r="C733" s="67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67"/>
      <c r="R733" s="67"/>
      <c r="S733" s="67"/>
      <c r="T733" s="67"/>
      <c r="U733" s="118"/>
    </row>
    <row r="734">
      <c r="A734" s="72"/>
      <c r="B734" s="54"/>
      <c r="C734" s="67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67"/>
      <c r="R734" s="67"/>
      <c r="S734" s="67"/>
      <c r="T734" s="67"/>
      <c r="U734" s="118"/>
    </row>
    <row r="735">
      <c r="A735" s="72"/>
      <c r="B735" s="54"/>
      <c r="C735" s="67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67"/>
      <c r="R735" s="67"/>
      <c r="S735" s="67"/>
      <c r="T735" s="67"/>
      <c r="U735" s="118"/>
    </row>
    <row r="736">
      <c r="A736" s="72"/>
      <c r="B736" s="54"/>
      <c r="C736" s="67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67"/>
      <c r="R736" s="67"/>
      <c r="S736" s="67"/>
      <c r="T736" s="67"/>
      <c r="U736" s="118"/>
    </row>
    <row r="737">
      <c r="A737" s="72"/>
      <c r="B737" s="54"/>
      <c r="C737" s="67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67"/>
      <c r="R737" s="67"/>
      <c r="S737" s="67"/>
      <c r="T737" s="67"/>
      <c r="U737" s="118"/>
    </row>
    <row r="738">
      <c r="A738" s="72"/>
      <c r="B738" s="54"/>
      <c r="C738" s="67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67"/>
      <c r="R738" s="67"/>
      <c r="S738" s="67"/>
      <c r="T738" s="67"/>
      <c r="U738" s="118"/>
    </row>
    <row r="739">
      <c r="A739" s="72"/>
      <c r="B739" s="54"/>
      <c r="C739" s="67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67"/>
      <c r="R739" s="67"/>
      <c r="S739" s="67"/>
      <c r="T739" s="67"/>
      <c r="U739" s="118"/>
    </row>
    <row r="740">
      <c r="A740" s="72"/>
      <c r="B740" s="54"/>
      <c r="C740" s="67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67"/>
      <c r="R740" s="67"/>
      <c r="S740" s="67"/>
      <c r="T740" s="67"/>
      <c r="U740" s="118"/>
    </row>
    <row r="741">
      <c r="A741" s="72"/>
      <c r="B741" s="54"/>
      <c r="C741" s="67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67"/>
      <c r="R741" s="67"/>
      <c r="S741" s="67"/>
      <c r="T741" s="67"/>
      <c r="U741" s="118"/>
    </row>
    <row r="742">
      <c r="A742" s="72"/>
      <c r="B742" s="54"/>
      <c r="C742" s="67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67"/>
      <c r="R742" s="67"/>
      <c r="S742" s="67"/>
      <c r="T742" s="67"/>
      <c r="U742" s="118"/>
    </row>
    <row r="743">
      <c r="A743" s="72"/>
      <c r="B743" s="54"/>
      <c r="C743" s="67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67"/>
      <c r="R743" s="67"/>
      <c r="S743" s="67"/>
      <c r="T743" s="67"/>
      <c r="U743" s="118"/>
    </row>
    <row r="744">
      <c r="A744" s="72"/>
      <c r="B744" s="54"/>
      <c r="C744" s="67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67"/>
      <c r="R744" s="67"/>
      <c r="S744" s="67"/>
      <c r="T744" s="67"/>
      <c r="U744" s="118"/>
    </row>
    <row r="745">
      <c r="A745" s="72"/>
      <c r="B745" s="54"/>
      <c r="C745" s="67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67"/>
      <c r="R745" s="67"/>
      <c r="S745" s="67"/>
      <c r="T745" s="67"/>
      <c r="U745" s="118"/>
    </row>
    <row r="746">
      <c r="A746" s="72"/>
      <c r="B746" s="54"/>
      <c r="C746" s="67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67"/>
      <c r="R746" s="67"/>
      <c r="S746" s="67"/>
      <c r="T746" s="67"/>
      <c r="U746" s="118"/>
    </row>
    <row r="747">
      <c r="A747" s="72"/>
      <c r="B747" s="54"/>
      <c r="C747" s="67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67"/>
      <c r="R747" s="67"/>
      <c r="S747" s="67"/>
      <c r="T747" s="67"/>
      <c r="U747" s="118"/>
    </row>
    <row r="748">
      <c r="A748" s="72"/>
      <c r="B748" s="54"/>
      <c r="C748" s="67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67"/>
      <c r="R748" s="67"/>
      <c r="S748" s="67"/>
      <c r="T748" s="67"/>
      <c r="U748" s="118"/>
    </row>
    <row r="749">
      <c r="A749" s="72"/>
      <c r="B749" s="54"/>
      <c r="C749" s="67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67"/>
      <c r="R749" s="67"/>
      <c r="S749" s="67"/>
      <c r="T749" s="67"/>
      <c r="U749" s="118"/>
    </row>
    <row r="750">
      <c r="A750" s="72"/>
      <c r="B750" s="54"/>
      <c r="C750" s="67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67"/>
      <c r="R750" s="67"/>
      <c r="S750" s="67"/>
      <c r="T750" s="67"/>
      <c r="U750" s="118"/>
    </row>
    <row r="751">
      <c r="A751" s="72"/>
      <c r="B751" s="54"/>
      <c r="C751" s="67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67"/>
      <c r="R751" s="67"/>
      <c r="S751" s="67"/>
      <c r="T751" s="67"/>
      <c r="U751" s="118"/>
    </row>
    <row r="752">
      <c r="A752" s="72"/>
      <c r="B752" s="54"/>
      <c r="C752" s="67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67"/>
      <c r="R752" s="67"/>
      <c r="S752" s="67"/>
      <c r="T752" s="67"/>
      <c r="U752" s="118"/>
    </row>
    <row r="753">
      <c r="A753" s="72"/>
      <c r="B753" s="54"/>
      <c r="C753" s="67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67"/>
      <c r="R753" s="67"/>
      <c r="S753" s="67"/>
      <c r="T753" s="67"/>
      <c r="U753" s="118"/>
    </row>
    <row r="754">
      <c r="A754" s="72"/>
      <c r="B754" s="54"/>
      <c r="C754" s="67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67"/>
      <c r="R754" s="67"/>
      <c r="S754" s="67"/>
      <c r="T754" s="67"/>
      <c r="U754" s="118"/>
    </row>
    <row r="755">
      <c r="A755" s="72"/>
      <c r="B755" s="54"/>
      <c r="C755" s="67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67"/>
      <c r="R755" s="67"/>
      <c r="S755" s="67"/>
      <c r="T755" s="67"/>
      <c r="U755" s="118"/>
    </row>
    <row r="756">
      <c r="A756" s="72"/>
      <c r="B756" s="54"/>
      <c r="C756" s="67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67"/>
      <c r="R756" s="67"/>
      <c r="S756" s="67"/>
      <c r="T756" s="67"/>
      <c r="U756" s="118"/>
    </row>
    <row r="757">
      <c r="A757" s="72"/>
      <c r="B757" s="54"/>
      <c r="C757" s="67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67"/>
      <c r="R757" s="67"/>
      <c r="S757" s="67"/>
      <c r="T757" s="67"/>
      <c r="U757" s="118"/>
    </row>
    <row r="758">
      <c r="A758" s="72"/>
      <c r="B758" s="54"/>
      <c r="C758" s="67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67"/>
      <c r="R758" s="67"/>
      <c r="S758" s="67"/>
      <c r="T758" s="67"/>
      <c r="U758" s="118"/>
    </row>
    <row r="759">
      <c r="A759" s="72"/>
      <c r="B759" s="54"/>
      <c r="C759" s="67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67"/>
      <c r="R759" s="67"/>
      <c r="S759" s="67"/>
      <c r="T759" s="67"/>
      <c r="U759" s="118"/>
    </row>
    <row r="760">
      <c r="A760" s="72"/>
      <c r="B760" s="54"/>
      <c r="C760" s="67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67"/>
      <c r="R760" s="67"/>
      <c r="S760" s="67"/>
      <c r="T760" s="67"/>
      <c r="U760" s="118"/>
    </row>
    <row r="761">
      <c r="A761" s="72"/>
      <c r="B761" s="54"/>
      <c r="C761" s="67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67"/>
      <c r="R761" s="67"/>
      <c r="S761" s="67"/>
      <c r="T761" s="67"/>
      <c r="U761" s="118"/>
    </row>
    <row r="762">
      <c r="A762" s="72"/>
      <c r="B762" s="54"/>
      <c r="C762" s="67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67"/>
      <c r="R762" s="67"/>
      <c r="S762" s="67"/>
      <c r="T762" s="67"/>
      <c r="U762" s="118"/>
    </row>
    <row r="763">
      <c r="A763" s="72"/>
      <c r="B763" s="54"/>
      <c r="C763" s="67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67"/>
      <c r="R763" s="67"/>
      <c r="S763" s="67"/>
      <c r="T763" s="67"/>
      <c r="U763" s="118"/>
    </row>
    <row r="764">
      <c r="A764" s="72"/>
      <c r="B764" s="54"/>
      <c r="C764" s="67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67"/>
      <c r="R764" s="67"/>
      <c r="S764" s="67"/>
      <c r="T764" s="67"/>
      <c r="U764" s="118"/>
    </row>
    <row r="765">
      <c r="A765" s="72"/>
      <c r="B765" s="54"/>
      <c r="C765" s="67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67"/>
      <c r="R765" s="67"/>
      <c r="S765" s="67"/>
      <c r="T765" s="67"/>
      <c r="U765" s="118"/>
    </row>
    <row r="766">
      <c r="A766" s="72"/>
      <c r="B766" s="54"/>
      <c r="C766" s="67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67"/>
      <c r="R766" s="67"/>
      <c r="S766" s="67"/>
      <c r="T766" s="67"/>
      <c r="U766" s="118"/>
    </row>
    <row r="767">
      <c r="A767" s="72"/>
      <c r="B767" s="54"/>
      <c r="C767" s="67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67"/>
      <c r="R767" s="67"/>
      <c r="S767" s="67"/>
      <c r="T767" s="67"/>
      <c r="U767" s="118"/>
    </row>
    <row r="768">
      <c r="A768" s="72"/>
      <c r="B768" s="54"/>
      <c r="C768" s="67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67"/>
      <c r="R768" s="67"/>
      <c r="S768" s="67"/>
      <c r="T768" s="67"/>
      <c r="U768" s="118"/>
    </row>
    <row r="769">
      <c r="A769" s="72"/>
      <c r="B769" s="54"/>
      <c r="C769" s="67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67"/>
      <c r="R769" s="67"/>
      <c r="S769" s="67"/>
      <c r="T769" s="67"/>
      <c r="U769" s="118"/>
    </row>
    <row r="770">
      <c r="A770" s="72"/>
      <c r="B770" s="54"/>
      <c r="C770" s="67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67"/>
      <c r="R770" s="67"/>
      <c r="S770" s="67"/>
      <c r="T770" s="67"/>
      <c r="U770" s="118"/>
    </row>
    <row r="771">
      <c r="A771" s="72"/>
      <c r="B771" s="54"/>
      <c r="C771" s="67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67"/>
      <c r="R771" s="67"/>
      <c r="S771" s="67"/>
      <c r="T771" s="67"/>
      <c r="U771" s="118"/>
    </row>
    <row r="772">
      <c r="A772" s="72"/>
      <c r="B772" s="54"/>
      <c r="C772" s="67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67"/>
      <c r="R772" s="67"/>
      <c r="S772" s="67"/>
      <c r="T772" s="67"/>
      <c r="U772" s="118"/>
    </row>
    <row r="773">
      <c r="A773" s="72"/>
      <c r="B773" s="54"/>
      <c r="C773" s="67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67"/>
      <c r="R773" s="67"/>
      <c r="S773" s="67"/>
      <c r="T773" s="67"/>
      <c r="U773" s="118"/>
    </row>
    <row r="774">
      <c r="A774" s="72"/>
      <c r="B774" s="54"/>
      <c r="C774" s="67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67"/>
      <c r="R774" s="67"/>
      <c r="S774" s="67"/>
      <c r="T774" s="67"/>
      <c r="U774" s="118"/>
    </row>
    <row r="775">
      <c r="A775" s="72"/>
      <c r="B775" s="54"/>
      <c r="C775" s="67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67"/>
      <c r="R775" s="67"/>
      <c r="S775" s="67"/>
      <c r="T775" s="67"/>
      <c r="U775" s="118"/>
    </row>
    <row r="776">
      <c r="A776" s="72"/>
      <c r="B776" s="54"/>
      <c r="C776" s="67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67"/>
      <c r="R776" s="67"/>
      <c r="S776" s="67"/>
      <c r="T776" s="67"/>
      <c r="U776" s="118"/>
    </row>
    <row r="777">
      <c r="A777" s="72"/>
      <c r="B777" s="54"/>
      <c r="C777" s="67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67"/>
      <c r="R777" s="67"/>
      <c r="S777" s="67"/>
      <c r="T777" s="67"/>
      <c r="U777" s="118"/>
    </row>
    <row r="778">
      <c r="A778" s="72"/>
      <c r="B778" s="54"/>
      <c r="C778" s="67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67"/>
      <c r="R778" s="67"/>
      <c r="S778" s="67"/>
      <c r="T778" s="67"/>
      <c r="U778" s="118"/>
    </row>
    <row r="779">
      <c r="A779" s="72"/>
      <c r="B779" s="54"/>
      <c r="C779" s="67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67"/>
      <c r="R779" s="67"/>
      <c r="S779" s="67"/>
      <c r="T779" s="67"/>
      <c r="U779" s="118"/>
    </row>
    <row r="780">
      <c r="A780" s="72"/>
      <c r="B780" s="54"/>
      <c r="C780" s="67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67"/>
      <c r="R780" s="67"/>
      <c r="S780" s="67"/>
      <c r="T780" s="67"/>
      <c r="U780" s="118"/>
    </row>
    <row r="781">
      <c r="A781" s="72"/>
      <c r="B781" s="54"/>
      <c r="C781" s="67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67"/>
      <c r="R781" s="67"/>
      <c r="S781" s="67"/>
      <c r="T781" s="67"/>
      <c r="U781" s="118"/>
    </row>
    <row r="782">
      <c r="A782" s="72"/>
      <c r="B782" s="54"/>
      <c r="C782" s="67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67"/>
      <c r="R782" s="67"/>
      <c r="S782" s="67"/>
      <c r="T782" s="67"/>
      <c r="U782" s="118"/>
    </row>
    <row r="783">
      <c r="A783" s="72"/>
      <c r="B783" s="54"/>
      <c r="C783" s="67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67"/>
      <c r="R783" s="67"/>
      <c r="S783" s="67"/>
      <c r="T783" s="67"/>
      <c r="U783" s="118"/>
    </row>
    <row r="784">
      <c r="A784" s="72"/>
      <c r="B784" s="54"/>
      <c r="C784" s="67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67"/>
      <c r="R784" s="67"/>
      <c r="S784" s="67"/>
      <c r="T784" s="67"/>
      <c r="U784" s="118"/>
    </row>
    <row r="785">
      <c r="A785" s="72"/>
      <c r="B785" s="54"/>
      <c r="C785" s="67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67"/>
      <c r="R785" s="67"/>
      <c r="S785" s="67"/>
      <c r="T785" s="67"/>
      <c r="U785" s="118"/>
    </row>
    <row r="786">
      <c r="A786" s="72"/>
      <c r="B786" s="54"/>
      <c r="C786" s="67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67"/>
      <c r="R786" s="67"/>
      <c r="S786" s="67"/>
      <c r="T786" s="67"/>
      <c r="U786" s="118"/>
    </row>
    <row r="787">
      <c r="A787" s="72"/>
      <c r="B787" s="54"/>
      <c r="C787" s="67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67"/>
      <c r="R787" s="67"/>
      <c r="S787" s="67"/>
      <c r="T787" s="67"/>
      <c r="U787" s="118"/>
    </row>
    <row r="788">
      <c r="A788" s="72"/>
      <c r="B788" s="54"/>
      <c r="C788" s="67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67"/>
      <c r="R788" s="67"/>
      <c r="S788" s="67"/>
      <c r="T788" s="67"/>
      <c r="U788" s="118"/>
    </row>
    <row r="789">
      <c r="A789" s="72"/>
      <c r="B789" s="54"/>
      <c r="C789" s="67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67"/>
      <c r="R789" s="67"/>
      <c r="S789" s="67"/>
      <c r="T789" s="67"/>
      <c r="U789" s="118"/>
    </row>
    <row r="790">
      <c r="A790" s="72"/>
      <c r="B790" s="54"/>
      <c r="C790" s="67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67"/>
      <c r="R790" s="67"/>
      <c r="S790" s="67"/>
      <c r="T790" s="67"/>
      <c r="U790" s="118"/>
    </row>
    <row r="791">
      <c r="A791" s="72"/>
      <c r="B791" s="54"/>
      <c r="C791" s="67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67"/>
      <c r="R791" s="67"/>
      <c r="S791" s="67"/>
      <c r="T791" s="67"/>
      <c r="U791" s="118"/>
    </row>
    <row r="792">
      <c r="A792" s="72"/>
      <c r="B792" s="54"/>
      <c r="C792" s="67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67"/>
      <c r="R792" s="67"/>
      <c r="S792" s="67"/>
      <c r="T792" s="67"/>
      <c r="U792" s="118"/>
    </row>
    <row r="793">
      <c r="A793" s="72"/>
      <c r="B793" s="54"/>
      <c r="C793" s="67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67"/>
      <c r="R793" s="67"/>
      <c r="S793" s="67"/>
      <c r="T793" s="67"/>
      <c r="U793" s="118"/>
    </row>
    <row r="794">
      <c r="A794" s="72"/>
      <c r="B794" s="54"/>
      <c r="C794" s="67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67"/>
      <c r="R794" s="67"/>
      <c r="S794" s="67"/>
      <c r="T794" s="67"/>
      <c r="U794" s="118"/>
    </row>
    <row r="795">
      <c r="A795" s="72"/>
      <c r="B795" s="54"/>
      <c r="C795" s="67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67"/>
      <c r="R795" s="67"/>
      <c r="S795" s="67"/>
      <c r="T795" s="67"/>
      <c r="U795" s="118"/>
    </row>
    <row r="796">
      <c r="A796" s="72"/>
      <c r="B796" s="54"/>
      <c r="C796" s="67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67"/>
      <c r="R796" s="67"/>
      <c r="S796" s="67"/>
      <c r="T796" s="67"/>
      <c r="U796" s="118"/>
    </row>
    <row r="797">
      <c r="A797" s="72"/>
      <c r="B797" s="54"/>
      <c r="C797" s="67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67"/>
      <c r="R797" s="67"/>
      <c r="S797" s="67"/>
      <c r="T797" s="67"/>
      <c r="U797" s="118"/>
    </row>
    <row r="798">
      <c r="A798" s="72"/>
      <c r="B798" s="54"/>
      <c r="C798" s="67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67"/>
      <c r="R798" s="67"/>
      <c r="S798" s="67"/>
      <c r="T798" s="67"/>
      <c r="U798" s="118"/>
    </row>
    <row r="799">
      <c r="A799" s="72"/>
      <c r="B799" s="54"/>
      <c r="C799" s="67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67"/>
      <c r="R799" s="67"/>
      <c r="S799" s="67"/>
      <c r="T799" s="67"/>
      <c r="U799" s="118"/>
    </row>
    <row r="800">
      <c r="A800" s="72"/>
      <c r="B800" s="54"/>
      <c r="C800" s="67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67"/>
      <c r="R800" s="67"/>
      <c r="S800" s="67"/>
      <c r="T800" s="67"/>
      <c r="U800" s="118"/>
    </row>
    <row r="801">
      <c r="A801" s="72"/>
      <c r="B801" s="54"/>
      <c r="C801" s="67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67"/>
      <c r="R801" s="67"/>
      <c r="S801" s="67"/>
      <c r="T801" s="67"/>
      <c r="U801" s="118"/>
    </row>
    <row r="802">
      <c r="A802" s="72"/>
      <c r="B802" s="54"/>
      <c r="C802" s="67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67"/>
      <c r="R802" s="67"/>
      <c r="S802" s="67"/>
      <c r="T802" s="67"/>
      <c r="U802" s="118"/>
    </row>
    <row r="803">
      <c r="A803" s="72"/>
      <c r="B803" s="54"/>
      <c r="C803" s="67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67"/>
      <c r="R803" s="67"/>
      <c r="S803" s="67"/>
      <c r="T803" s="67"/>
      <c r="U803" s="118"/>
    </row>
    <row r="804">
      <c r="A804" s="72"/>
      <c r="B804" s="54"/>
      <c r="C804" s="67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67"/>
      <c r="R804" s="67"/>
      <c r="S804" s="67"/>
      <c r="T804" s="67"/>
      <c r="U804" s="118"/>
    </row>
    <row r="805">
      <c r="A805" s="72"/>
      <c r="B805" s="54"/>
      <c r="C805" s="67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67"/>
      <c r="R805" s="67"/>
      <c r="S805" s="67"/>
      <c r="T805" s="67"/>
      <c r="U805" s="118"/>
    </row>
    <row r="806">
      <c r="A806" s="72"/>
      <c r="B806" s="54"/>
      <c r="C806" s="67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67"/>
      <c r="R806" s="67"/>
      <c r="S806" s="67"/>
      <c r="T806" s="67"/>
      <c r="U806" s="118"/>
    </row>
    <row r="807">
      <c r="A807" s="72"/>
      <c r="B807" s="54"/>
      <c r="C807" s="67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67"/>
      <c r="R807" s="67"/>
      <c r="S807" s="67"/>
      <c r="T807" s="67"/>
      <c r="U807" s="118"/>
    </row>
    <row r="808">
      <c r="A808" s="72"/>
      <c r="B808" s="54"/>
      <c r="C808" s="67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67"/>
      <c r="R808" s="67"/>
      <c r="S808" s="67"/>
      <c r="T808" s="67"/>
      <c r="U808" s="118"/>
    </row>
    <row r="809">
      <c r="A809" s="72"/>
      <c r="B809" s="54"/>
      <c r="C809" s="67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67"/>
      <c r="R809" s="67"/>
      <c r="S809" s="67"/>
      <c r="T809" s="67"/>
      <c r="U809" s="118"/>
    </row>
    <row r="810">
      <c r="A810" s="72"/>
      <c r="B810" s="54"/>
      <c r="C810" s="67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67"/>
      <c r="R810" s="67"/>
      <c r="S810" s="67"/>
      <c r="T810" s="67"/>
      <c r="U810" s="118"/>
    </row>
    <row r="811">
      <c r="A811" s="72"/>
      <c r="B811" s="54"/>
      <c r="C811" s="67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67"/>
      <c r="R811" s="67"/>
      <c r="S811" s="67"/>
      <c r="T811" s="67"/>
      <c r="U811" s="118"/>
    </row>
    <row r="812">
      <c r="A812" s="72"/>
      <c r="B812" s="54"/>
      <c r="C812" s="67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67"/>
      <c r="R812" s="67"/>
      <c r="S812" s="67"/>
      <c r="T812" s="67"/>
      <c r="U812" s="118"/>
    </row>
    <row r="813">
      <c r="A813" s="72"/>
      <c r="B813" s="54"/>
      <c r="C813" s="67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67"/>
      <c r="R813" s="67"/>
      <c r="S813" s="67"/>
      <c r="T813" s="67"/>
      <c r="U813" s="118"/>
    </row>
    <row r="814">
      <c r="A814" s="72"/>
      <c r="B814" s="54"/>
      <c r="C814" s="67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67"/>
      <c r="R814" s="67"/>
      <c r="S814" s="67"/>
      <c r="T814" s="67"/>
      <c r="U814" s="118"/>
    </row>
    <row r="815">
      <c r="A815" s="72"/>
      <c r="B815" s="54"/>
      <c r="C815" s="67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67"/>
      <c r="R815" s="67"/>
      <c r="S815" s="67"/>
      <c r="T815" s="67"/>
      <c r="U815" s="118"/>
    </row>
    <row r="816">
      <c r="A816" s="72"/>
      <c r="B816" s="54"/>
      <c r="C816" s="67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67"/>
      <c r="R816" s="67"/>
      <c r="S816" s="67"/>
      <c r="T816" s="67"/>
      <c r="U816" s="118"/>
    </row>
    <row r="817">
      <c r="A817" s="72"/>
      <c r="B817" s="54"/>
      <c r="C817" s="67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67"/>
      <c r="R817" s="67"/>
      <c r="S817" s="67"/>
      <c r="T817" s="67"/>
      <c r="U817" s="118"/>
    </row>
    <row r="818">
      <c r="A818" s="72"/>
      <c r="B818" s="54"/>
      <c r="C818" s="67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67"/>
      <c r="R818" s="67"/>
      <c r="S818" s="67"/>
      <c r="T818" s="67"/>
      <c r="U818" s="118"/>
    </row>
    <row r="819">
      <c r="A819" s="72"/>
      <c r="B819" s="54"/>
      <c r="C819" s="67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67"/>
      <c r="R819" s="67"/>
      <c r="S819" s="67"/>
      <c r="T819" s="67"/>
      <c r="U819" s="118"/>
    </row>
    <row r="820">
      <c r="A820" s="72"/>
      <c r="B820" s="54"/>
      <c r="C820" s="67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67"/>
      <c r="R820" s="67"/>
      <c r="S820" s="67"/>
      <c r="T820" s="67"/>
      <c r="U820" s="118"/>
    </row>
    <row r="821">
      <c r="A821" s="72"/>
      <c r="B821" s="54"/>
      <c r="C821" s="67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67"/>
      <c r="R821" s="67"/>
      <c r="S821" s="67"/>
      <c r="T821" s="67"/>
      <c r="U821" s="118"/>
    </row>
    <row r="822">
      <c r="A822" s="72"/>
      <c r="B822" s="54"/>
      <c r="C822" s="67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67"/>
      <c r="R822" s="67"/>
      <c r="S822" s="67"/>
      <c r="T822" s="67"/>
      <c r="U822" s="118"/>
    </row>
    <row r="823">
      <c r="A823" s="72"/>
      <c r="B823" s="54"/>
      <c r="C823" s="67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67"/>
      <c r="R823" s="67"/>
      <c r="S823" s="67"/>
      <c r="T823" s="67"/>
      <c r="U823" s="118"/>
    </row>
    <row r="824">
      <c r="A824" s="72"/>
      <c r="B824" s="54"/>
      <c r="C824" s="67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67"/>
      <c r="R824" s="67"/>
      <c r="S824" s="67"/>
      <c r="T824" s="67"/>
      <c r="U824" s="118"/>
    </row>
    <row r="825">
      <c r="A825" s="72"/>
      <c r="B825" s="54"/>
      <c r="C825" s="67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67"/>
      <c r="R825" s="67"/>
      <c r="S825" s="67"/>
      <c r="T825" s="67"/>
      <c r="U825" s="118"/>
    </row>
    <row r="826">
      <c r="A826" s="72"/>
      <c r="B826" s="54"/>
      <c r="C826" s="67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67"/>
      <c r="R826" s="67"/>
      <c r="S826" s="67"/>
      <c r="T826" s="67"/>
      <c r="U826" s="118"/>
    </row>
    <row r="827">
      <c r="A827" s="72"/>
      <c r="B827" s="54"/>
      <c r="C827" s="67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67"/>
      <c r="R827" s="67"/>
      <c r="S827" s="67"/>
      <c r="T827" s="67"/>
      <c r="U827" s="118"/>
    </row>
    <row r="828">
      <c r="A828" s="72"/>
      <c r="B828" s="54"/>
      <c r="C828" s="67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67"/>
      <c r="R828" s="67"/>
      <c r="S828" s="67"/>
      <c r="T828" s="67"/>
      <c r="U828" s="118"/>
    </row>
    <row r="829">
      <c r="A829" s="72"/>
      <c r="B829" s="54"/>
      <c r="C829" s="67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67"/>
      <c r="R829" s="67"/>
      <c r="S829" s="67"/>
      <c r="T829" s="67"/>
      <c r="U829" s="118"/>
    </row>
    <row r="830">
      <c r="A830" s="72"/>
      <c r="B830" s="54"/>
      <c r="C830" s="67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67"/>
      <c r="R830" s="67"/>
      <c r="S830" s="67"/>
      <c r="T830" s="67"/>
      <c r="U830" s="118"/>
    </row>
    <row r="831">
      <c r="A831" s="72"/>
      <c r="B831" s="54"/>
      <c r="C831" s="67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67"/>
      <c r="R831" s="67"/>
      <c r="S831" s="67"/>
      <c r="T831" s="67"/>
      <c r="U831" s="118"/>
    </row>
    <row r="832">
      <c r="A832" s="72"/>
      <c r="B832" s="54"/>
      <c r="C832" s="67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67"/>
      <c r="R832" s="67"/>
      <c r="S832" s="67"/>
      <c r="T832" s="67"/>
      <c r="U832" s="118"/>
    </row>
    <row r="833">
      <c r="A833" s="72"/>
      <c r="B833" s="54"/>
      <c r="C833" s="67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67"/>
      <c r="R833" s="67"/>
      <c r="S833" s="67"/>
      <c r="T833" s="67"/>
      <c r="U833" s="118"/>
    </row>
    <row r="834">
      <c r="A834" s="72"/>
      <c r="B834" s="54"/>
      <c r="C834" s="67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67"/>
      <c r="R834" s="67"/>
      <c r="S834" s="67"/>
      <c r="T834" s="67"/>
      <c r="U834" s="118"/>
    </row>
    <row r="835">
      <c r="A835" s="72"/>
      <c r="B835" s="54"/>
      <c r="C835" s="67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67"/>
      <c r="R835" s="67"/>
      <c r="S835" s="67"/>
      <c r="T835" s="67"/>
      <c r="U835" s="118"/>
    </row>
    <row r="836">
      <c r="A836" s="72"/>
      <c r="B836" s="54"/>
      <c r="C836" s="67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67"/>
      <c r="R836" s="67"/>
      <c r="S836" s="67"/>
      <c r="T836" s="67"/>
      <c r="U836" s="118"/>
    </row>
    <row r="837">
      <c r="A837" s="72"/>
      <c r="B837" s="54"/>
      <c r="C837" s="67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67"/>
      <c r="R837" s="67"/>
      <c r="S837" s="67"/>
      <c r="T837" s="67"/>
      <c r="U837" s="118"/>
    </row>
    <row r="838">
      <c r="A838" s="72"/>
      <c r="B838" s="54"/>
      <c r="C838" s="67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67"/>
      <c r="R838" s="67"/>
      <c r="S838" s="67"/>
      <c r="T838" s="67"/>
      <c r="U838" s="118"/>
    </row>
    <row r="839">
      <c r="A839" s="72"/>
      <c r="B839" s="54"/>
      <c r="C839" s="67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67"/>
      <c r="R839" s="67"/>
      <c r="S839" s="67"/>
      <c r="T839" s="67"/>
      <c r="U839" s="118"/>
    </row>
    <row r="840">
      <c r="A840" s="72"/>
      <c r="B840" s="54"/>
      <c r="C840" s="67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67"/>
      <c r="R840" s="67"/>
      <c r="S840" s="67"/>
      <c r="T840" s="67"/>
      <c r="U840" s="118"/>
    </row>
    <row r="841">
      <c r="A841" s="72"/>
      <c r="B841" s="54"/>
      <c r="C841" s="67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67"/>
      <c r="R841" s="67"/>
      <c r="S841" s="67"/>
      <c r="T841" s="67"/>
      <c r="U841" s="118"/>
    </row>
    <row r="842">
      <c r="A842" s="72"/>
      <c r="B842" s="54"/>
      <c r="C842" s="67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67"/>
      <c r="R842" s="67"/>
      <c r="S842" s="67"/>
      <c r="T842" s="67"/>
      <c r="U842" s="118"/>
    </row>
    <row r="843">
      <c r="A843" s="72"/>
      <c r="B843" s="54"/>
      <c r="C843" s="67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67"/>
      <c r="R843" s="67"/>
      <c r="S843" s="67"/>
      <c r="T843" s="67"/>
      <c r="U843" s="118"/>
    </row>
    <row r="844">
      <c r="A844" s="72"/>
      <c r="B844" s="54"/>
      <c r="C844" s="67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67"/>
      <c r="R844" s="67"/>
      <c r="S844" s="67"/>
      <c r="T844" s="67"/>
      <c r="U844" s="118"/>
    </row>
    <row r="845">
      <c r="A845" s="72"/>
      <c r="B845" s="54"/>
      <c r="C845" s="67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67"/>
      <c r="R845" s="67"/>
      <c r="S845" s="67"/>
      <c r="T845" s="67"/>
      <c r="U845" s="118"/>
    </row>
    <row r="846">
      <c r="A846" s="72"/>
      <c r="B846" s="54"/>
      <c r="C846" s="67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67"/>
      <c r="R846" s="67"/>
      <c r="S846" s="67"/>
      <c r="T846" s="67"/>
      <c r="U846" s="118"/>
    </row>
    <row r="847">
      <c r="A847" s="72"/>
      <c r="B847" s="54"/>
      <c r="C847" s="67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67"/>
      <c r="R847" s="67"/>
      <c r="S847" s="67"/>
      <c r="T847" s="67"/>
      <c r="U847" s="118"/>
    </row>
    <row r="848">
      <c r="A848" s="72"/>
      <c r="B848" s="54"/>
      <c r="C848" s="67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67"/>
      <c r="R848" s="67"/>
      <c r="S848" s="67"/>
      <c r="T848" s="67"/>
      <c r="U848" s="118"/>
    </row>
    <row r="849">
      <c r="A849" s="72"/>
      <c r="B849" s="54"/>
      <c r="C849" s="67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67"/>
      <c r="R849" s="67"/>
      <c r="S849" s="67"/>
      <c r="T849" s="67"/>
      <c r="U849" s="118"/>
    </row>
    <row r="850">
      <c r="A850" s="72"/>
      <c r="B850" s="54"/>
      <c r="C850" s="67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67"/>
      <c r="R850" s="67"/>
      <c r="S850" s="67"/>
      <c r="T850" s="67"/>
      <c r="U850" s="118"/>
    </row>
    <row r="851">
      <c r="A851" s="72"/>
      <c r="B851" s="54"/>
      <c r="C851" s="67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67"/>
      <c r="R851" s="67"/>
      <c r="S851" s="67"/>
      <c r="T851" s="67"/>
      <c r="U851" s="118"/>
    </row>
    <row r="852">
      <c r="A852" s="72"/>
      <c r="B852" s="54"/>
      <c r="C852" s="67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67"/>
      <c r="R852" s="67"/>
      <c r="S852" s="67"/>
      <c r="T852" s="67"/>
      <c r="U852" s="118"/>
    </row>
    <row r="853">
      <c r="A853" s="72"/>
      <c r="B853" s="54"/>
      <c r="C853" s="67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67"/>
      <c r="R853" s="67"/>
      <c r="S853" s="67"/>
      <c r="T853" s="67"/>
      <c r="U853" s="118"/>
    </row>
    <row r="854">
      <c r="A854" s="72"/>
      <c r="B854" s="54"/>
      <c r="C854" s="67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67"/>
      <c r="R854" s="67"/>
      <c r="S854" s="67"/>
      <c r="T854" s="67"/>
      <c r="U854" s="118"/>
    </row>
    <row r="855">
      <c r="A855" s="72"/>
      <c r="B855" s="54"/>
      <c r="C855" s="67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67"/>
      <c r="R855" s="67"/>
      <c r="S855" s="67"/>
      <c r="T855" s="67"/>
      <c r="U855" s="118"/>
    </row>
    <row r="856">
      <c r="A856" s="72"/>
      <c r="B856" s="54"/>
      <c r="C856" s="67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67"/>
      <c r="R856" s="67"/>
      <c r="S856" s="67"/>
      <c r="T856" s="67"/>
      <c r="U856" s="118"/>
    </row>
    <row r="857">
      <c r="A857" s="72"/>
      <c r="B857" s="54"/>
      <c r="C857" s="67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67"/>
      <c r="R857" s="67"/>
      <c r="S857" s="67"/>
      <c r="T857" s="67"/>
      <c r="U857" s="118"/>
    </row>
    <row r="858">
      <c r="A858" s="72"/>
      <c r="B858" s="54"/>
      <c r="C858" s="67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67"/>
      <c r="R858" s="67"/>
      <c r="S858" s="67"/>
      <c r="T858" s="67"/>
      <c r="U858" s="118"/>
    </row>
    <row r="859">
      <c r="A859" s="72"/>
      <c r="B859" s="54"/>
      <c r="C859" s="67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67"/>
      <c r="R859" s="67"/>
      <c r="S859" s="67"/>
      <c r="T859" s="67"/>
      <c r="U859" s="118"/>
    </row>
    <row r="860">
      <c r="A860" s="72"/>
      <c r="B860" s="54"/>
      <c r="C860" s="67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67"/>
      <c r="R860" s="67"/>
      <c r="S860" s="67"/>
      <c r="T860" s="67"/>
      <c r="U860" s="118"/>
    </row>
    <row r="861">
      <c r="A861" s="72"/>
      <c r="B861" s="54"/>
      <c r="C861" s="67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67"/>
      <c r="R861" s="67"/>
      <c r="S861" s="67"/>
      <c r="T861" s="67"/>
      <c r="U861" s="118"/>
    </row>
    <row r="862">
      <c r="A862" s="72"/>
      <c r="B862" s="54"/>
      <c r="C862" s="67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67"/>
      <c r="R862" s="67"/>
      <c r="S862" s="67"/>
      <c r="T862" s="67"/>
      <c r="U862" s="118"/>
    </row>
    <row r="863">
      <c r="A863" s="72"/>
      <c r="B863" s="54"/>
      <c r="C863" s="67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67"/>
      <c r="R863" s="67"/>
      <c r="S863" s="67"/>
      <c r="T863" s="67"/>
      <c r="U863" s="118"/>
    </row>
    <row r="864">
      <c r="A864" s="72"/>
      <c r="B864" s="54"/>
      <c r="C864" s="67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67"/>
      <c r="R864" s="67"/>
      <c r="S864" s="67"/>
      <c r="T864" s="67"/>
      <c r="U864" s="118"/>
    </row>
    <row r="865">
      <c r="A865" s="72"/>
      <c r="B865" s="54"/>
      <c r="C865" s="67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67"/>
      <c r="R865" s="67"/>
      <c r="S865" s="67"/>
      <c r="T865" s="67"/>
      <c r="U865" s="118"/>
    </row>
    <row r="866">
      <c r="A866" s="72"/>
      <c r="B866" s="54"/>
      <c r="C866" s="67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67"/>
      <c r="R866" s="67"/>
      <c r="S866" s="67"/>
      <c r="T866" s="67"/>
      <c r="U866" s="118"/>
    </row>
    <row r="867">
      <c r="A867" s="72"/>
      <c r="B867" s="54"/>
      <c r="C867" s="67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67"/>
      <c r="R867" s="67"/>
      <c r="S867" s="67"/>
      <c r="T867" s="67"/>
      <c r="U867" s="118"/>
    </row>
    <row r="868">
      <c r="A868" s="72"/>
      <c r="B868" s="54"/>
      <c r="C868" s="67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67"/>
      <c r="R868" s="67"/>
      <c r="S868" s="67"/>
      <c r="T868" s="67"/>
      <c r="U868" s="118"/>
    </row>
    <row r="869">
      <c r="A869" s="72"/>
      <c r="B869" s="54"/>
      <c r="C869" s="67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67"/>
      <c r="R869" s="67"/>
      <c r="S869" s="67"/>
      <c r="T869" s="67"/>
      <c r="U869" s="118"/>
    </row>
    <row r="870">
      <c r="A870" s="72"/>
      <c r="B870" s="54"/>
      <c r="C870" s="67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67"/>
      <c r="R870" s="67"/>
      <c r="S870" s="67"/>
      <c r="T870" s="67"/>
      <c r="U870" s="118"/>
    </row>
    <row r="871">
      <c r="A871" s="72"/>
      <c r="B871" s="54"/>
      <c r="C871" s="67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67"/>
      <c r="R871" s="67"/>
      <c r="S871" s="67"/>
      <c r="T871" s="67"/>
      <c r="U871" s="118"/>
    </row>
    <row r="872">
      <c r="A872" s="72"/>
      <c r="B872" s="54"/>
      <c r="C872" s="67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67"/>
      <c r="R872" s="67"/>
      <c r="S872" s="67"/>
      <c r="T872" s="67"/>
      <c r="U872" s="118"/>
    </row>
    <row r="873">
      <c r="A873" s="72"/>
      <c r="B873" s="54"/>
      <c r="C873" s="67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67"/>
      <c r="R873" s="67"/>
      <c r="S873" s="67"/>
      <c r="T873" s="67"/>
      <c r="U873" s="118"/>
    </row>
    <row r="874">
      <c r="A874" s="72"/>
      <c r="B874" s="54"/>
      <c r="C874" s="67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67"/>
      <c r="R874" s="67"/>
      <c r="S874" s="67"/>
      <c r="T874" s="67"/>
      <c r="U874" s="118"/>
    </row>
    <row r="875">
      <c r="A875" s="72"/>
      <c r="B875" s="54"/>
      <c r="C875" s="67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67"/>
      <c r="R875" s="67"/>
      <c r="S875" s="67"/>
      <c r="T875" s="67"/>
      <c r="U875" s="118"/>
    </row>
    <row r="876">
      <c r="A876" s="72"/>
      <c r="B876" s="54"/>
      <c r="C876" s="67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67"/>
      <c r="R876" s="67"/>
      <c r="S876" s="67"/>
      <c r="T876" s="67"/>
      <c r="U876" s="118"/>
    </row>
    <row r="877">
      <c r="A877" s="72"/>
      <c r="B877" s="54"/>
      <c r="C877" s="67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67"/>
      <c r="R877" s="67"/>
      <c r="S877" s="67"/>
      <c r="T877" s="67"/>
      <c r="U877" s="118"/>
    </row>
    <row r="878">
      <c r="A878" s="72"/>
      <c r="B878" s="54"/>
      <c r="C878" s="67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67"/>
      <c r="R878" s="67"/>
      <c r="S878" s="67"/>
      <c r="T878" s="67"/>
      <c r="U878" s="118"/>
    </row>
    <row r="879">
      <c r="A879" s="72"/>
      <c r="B879" s="54"/>
      <c r="C879" s="67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67"/>
      <c r="R879" s="67"/>
      <c r="S879" s="67"/>
      <c r="T879" s="67"/>
      <c r="U879" s="118"/>
    </row>
    <row r="880">
      <c r="A880" s="72"/>
      <c r="B880" s="54"/>
      <c r="C880" s="67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67"/>
      <c r="R880" s="67"/>
      <c r="S880" s="67"/>
      <c r="T880" s="67"/>
      <c r="U880" s="118"/>
    </row>
    <row r="881">
      <c r="A881" s="72"/>
      <c r="B881" s="54"/>
      <c r="C881" s="67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67"/>
      <c r="R881" s="67"/>
      <c r="S881" s="67"/>
      <c r="T881" s="67"/>
      <c r="U881" s="118"/>
    </row>
    <row r="882">
      <c r="A882" s="72"/>
      <c r="B882" s="54"/>
      <c r="C882" s="67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67"/>
      <c r="R882" s="67"/>
      <c r="S882" s="67"/>
      <c r="T882" s="67"/>
      <c r="U882" s="118"/>
    </row>
    <row r="883">
      <c r="A883" s="72"/>
      <c r="B883" s="54"/>
      <c r="C883" s="67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67"/>
      <c r="R883" s="67"/>
      <c r="S883" s="67"/>
      <c r="T883" s="67"/>
      <c r="U883" s="118"/>
    </row>
    <row r="884">
      <c r="A884" s="72"/>
      <c r="B884" s="54"/>
      <c r="C884" s="67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67"/>
      <c r="R884" s="67"/>
      <c r="S884" s="67"/>
      <c r="T884" s="67"/>
      <c r="U884" s="118"/>
    </row>
    <row r="885">
      <c r="A885" s="72"/>
      <c r="B885" s="54"/>
      <c r="C885" s="67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67"/>
      <c r="R885" s="67"/>
      <c r="S885" s="67"/>
      <c r="T885" s="67"/>
      <c r="U885" s="118"/>
    </row>
    <row r="886">
      <c r="A886" s="72"/>
      <c r="B886" s="54"/>
      <c r="C886" s="67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67"/>
      <c r="R886" s="67"/>
      <c r="S886" s="67"/>
      <c r="T886" s="67"/>
      <c r="U886" s="118"/>
    </row>
    <row r="887">
      <c r="A887" s="72"/>
      <c r="B887" s="54"/>
      <c r="C887" s="67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67"/>
      <c r="R887" s="67"/>
      <c r="S887" s="67"/>
      <c r="T887" s="67"/>
      <c r="U887" s="118"/>
    </row>
    <row r="888">
      <c r="A888" s="72"/>
      <c r="B888" s="54"/>
      <c r="C888" s="67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67"/>
      <c r="R888" s="67"/>
      <c r="S888" s="67"/>
      <c r="T888" s="67"/>
      <c r="U888" s="118"/>
    </row>
    <row r="889">
      <c r="A889" s="72"/>
      <c r="B889" s="54"/>
      <c r="C889" s="67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67"/>
      <c r="R889" s="67"/>
      <c r="S889" s="67"/>
      <c r="T889" s="67"/>
      <c r="U889" s="118"/>
    </row>
    <row r="890">
      <c r="A890" s="72"/>
      <c r="B890" s="54"/>
      <c r="C890" s="67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67"/>
      <c r="R890" s="67"/>
      <c r="S890" s="67"/>
      <c r="T890" s="67"/>
      <c r="U890" s="118"/>
    </row>
    <row r="891">
      <c r="A891" s="72"/>
      <c r="B891" s="54"/>
      <c r="C891" s="67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67"/>
      <c r="R891" s="67"/>
      <c r="S891" s="67"/>
      <c r="T891" s="67"/>
      <c r="U891" s="118"/>
    </row>
    <row r="892">
      <c r="A892" s="72"/>
      <c r="B892" s="54"/>
      <c r="C892" s="67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67"/>
      <c r="R892" s="67"/>
      <c r="S892" s="67"/>
      <c r="T892" s="67"/>
      <c r="U892" s="118"/>
    </row>
    <row r="893">
      <c r="A893" s="72"/>
      <c r="B893" s="54"/>
      <c r="C893" s="67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67"/>
      <c r="R893" s="67"/>
      <c r="S893" s="67"/>
      <c r="T893" s="67"/>
      <c r="U893" s="118"/>
    </row>
    <row r="894">
      <c r="A894" s="72"/>
      <c r="B894" s="54"/>
      <c r="C894" s="67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67"/>
      <c r="R894" s="67"/>
      <c r="S894" s="67"/>
      <c r="T894" s="67"/>
      <c r="U894" s="118"/>
    </row>
    <row r="895">
      <c r="A895" s="72"/>
      <c r="B895" s="54"/>
      <c r="C895" s="67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67"/>
      <c r="R895" s="67"/>
      <c r="S895" s="67"/>
      <c r="T895" s="67"/>
      <c r="U895" s="118"/>
    </row>
    <row r="896">
      <c r="A896" s="72"/>
      <c r="B896" s="54"/>
      <c r="C896" s="67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67"/>
      <c r="R896" s="67"/>
      <c r="S896" s="67"/>
      <c r="T896" s="67"/>
      <c r="U896" s="118"/>
    </row>
    <row r="897">
      <c r="A897" s="72"/>
      <c r="B897" s="54"/>
      <c r="C897" s="67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67"/>
      <c r="R897" s="67"/>
      <c r="S897" s="67"/>
      <c r="T897" s="67"/>
      <c r="U897" s="118"/>
    </row>
    <row r="898">
      <c r="A898" s="72"/>
      <c r="B898" s="54"/>
      <c r="C898" s="67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67"/>
      <c r="R898" s="67"/>
      <c r="S898" s="67"/>
      <c r="T898" s="67"/>
      <c r="U898" s="118"/>
    </row>
    <row r="899">
      <c r="A899" s="72"/>
      <c r="B899" s="54"/>
      <c r="C899" s="67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67"/>
      <c r="R899" s="67"/>
      <c r="S899" s="67"/>
      <c r="T899" s="67"/>
      <c r="U899" s="118"/>
    </row>
    <row r="900">
      <c r="A900" s="72"/>
      <c r="B900" s="54"/>
      <c r="C900" s="67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67"/>
      <c r="R900" s="67"/>
      <c r="S900" s="67"/>
      <c r="T900" s="67"/>
      <c r="U900" s="118"/>
    </row>
    <row r="901">
      <c r="A901" s="72"/>
      <c r="B901" s="54"/>
      <c r="C901" s="67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67"/>
      <c r="R901" s="67"/>
      <c r="S901" s="67"/>
      <c r="T901" s="67"/>
      <c r="U901" s="118"/>
    </row>
    <row r="902">
      <c r="A902" s="72"/>
      <c r="B902" s="54"/>
      <c r="C902" s="67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67"/>
      <c r="R902" s="67"/>
      <c r="S902" s="67"/>
      <c r="T902" s="67"/>
      <c r="U902" s="118"/>
    </row>
    <row r="903">
      <c r="A903" s="72"/>
      <c r="B903" s="54"/>
      <c r="C903" s="67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67"/>
      <c r="R903" s="67"/>
      <c r="S903" s="67"/>
      <c r="T903" s="67"/>
      <c r="U903" s="118"/>
    </row>
    <row r="904">
      <c r="A904" s="72"/>
      <c r="B904" s="54"/>
      <c r="C904" s="67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67"/>
      <c r="R904" s="67"/>
      <c r="S904" s="67"/>
      <c r="T904" s="67"/>
      <c r="U904" s="118"/>
    </row>
    <row r="905">
      <c r="A905" s="72"/>
      <c r="B905" s="54"/>
      <c r="C905" s="67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67"/>
      <c r="R905" s="67"/>
      <c r="S905" s="67"/>
      <c r="T905" s="67"/>
      <c r="U905" s="118"/>
    </row>
    <row r="906">
      <c r="A906" s="72"/>
      <c r="B906" s="54"/>
      <c r="C906" s="67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67"/>
      <c r="R906" s="67"/>
      <c r="S906" s="67"/>
      <c r="T906" s="67"/>
      <c r="U906" s="118"/>
    </row>
    <row r="907">
      <c r="A907" s="72"/>
      <c r="B907" s="54"/>
      <c r="C907" s="67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67"/>
      <c r="R907" s="67"/>
      <c r="S907" s="67"/>
      <c r="T907" s="67"/>
      <c r="U907" s="118"/>
    </row>
    <row r="908">
      <c r="A908" s="72"/>
      <c r="B908" s="54"/>
      <c r="C908" s="67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67"/>
      <c r="R908" s="67"/>
      <c r="S908" s="67"/>
      <c r="T908" s="67"/>
      <c r="U908" s="118"/>
    </row>
    <row r="909">
      <c r="A909" s="72"/>
      <c r="B909" s="54"/>
      <c r="C909" s="67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67"/>
      <c r="R909" s="67"/>
      <c r="S909" s="67"/>
      <c r="T909" s="67"/>
      <c r="U909" s="118"/>
    </row>
    <row r="910">
      <c r="A910" s="72"/>
      <c r="B910" s="54"/>
      <c r="C910" s="67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67"/>
      <c r="R910" s="67"/>
      <c r="S910" s="67"/>
      <c r="T910" s="67"/>
      <c r="U910" s="118"/>
    </row>
    <row r="911">
      <c r="A911" s="72"/>
      <c r="B911" s="54"/>
      <c r="C911" s="67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67"/>
      <c r="R911" s="67"/>
      <c r="S911" s="67"/>
      <c r="T911" s="67"/>
      <c r="U911" s="118"/>
    </row>
    <row r="912">
      <c r="A912" s="72"/>
      <c r="B912" s="54"/>
      <c r="C912" s="67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67"/>
      <c r="R912" s="67"/>
      <c r="S912" s="67"/>
      <c r="T912" s="67"/>
      <c r="U912" s="118"/>
    </row>
    <row r="913">
      <c r="A913" s="72"/>
      <c r="B913" s="54"/>
      <c r="C913" s="67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67"/>
      <c r="R913" s="67"/>
      <c r="S913" s="67"/>
      <c r="T913" s="67"/>
      <c r="U913" s="118"/>
    </row>
    <row r="914">
      <c r="A914" s="72"/>
      <c r="B914" s="54"/>
      <c r="C914" s="67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67"/>
      <c r="R914" s="67"/>
      <c r="S914" s="67"/>
      <c r="T914" s="67"/>
      <c r="U914" s="118"/>
    </row>
    <row r="915">
      <c r="A915" s="72"/>
      <c r="B915" s="54"/>
      <c r="C915" s="67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67"/>
      <c r="R915" s="67"/>
      <c r="S915" s="67"/>
      <c r="T915" s="67"/>
      <c r="U915" s="118"/>
    </row>
    <row r="916">
      <c r="A916" s="72"/>
      <c r="B916" s="54"/>
      <c r="C916" s="67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67"/>
      <c r="R916" s="67"/>
      <c r="S916" s="67"/>
      <c r="T916" s="67"/>
      <c r="U916" s="118"/>
    </row>
    <row r="917">
      <c r="A917" s="72"/>
      <c r="B917" s="54"/>
      <c r="C917" s="67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67"/>
      <c r="R917" s="67"/>
      <c r="S917" s="67"/>
      <c r="T917" s="67"/>
      <c r="U917" s="118"/>
    </row>
    <row r="918">
      <c r="A918" s="72"/>
      <c r="B918" s="54"/>
      <c r="C918" s="67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67"/>
      <c r="R918" s="67"/>
      <c r="S918" s="67"/>
      <c r="T918" s="67"/>
      <c r="U918" s="118"/>
    </row>
    <row r="919">
      <c r="A919" s="72"/>
      <c r="B919" s="54"/>
      <c r="C919" s="67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67"/>
      <c r="R919" s="67"/>
      <c r="S919" s="67"/>
      <c r="T919" s="67"/>
      <c r="U919" s="118"/>
    </row>
    <row r="920">
      <c r="A920" s="72"/>
      <c r="B920" s="54"/>
      <c r="C920" s="67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67"/>
      <c r="R920" s="67"/>
      <c r="S920" s="67"/>
      <c r="T920" s="67"/>
      <c r="U920" s="118"/>
    </row>
    <row r="921">
      <c r="A921" s="72"/>
      <c r="B921" s="54"/>
      <c r="C921" s="67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67"/>
      <c r="R921" s="67"/>
      <c r="S921" s="67"/>
      <c r="T921" s="67"/>
      <c r="U921" s="118"/>
    </row>
    <row r="922">
      <c r="A922" s="72"/>
      <c r="B922" s="54"/>
      <c r="C922" s="67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67"/>
      <c r="R922" s="67"/>
      <c r="S922" s="67"/>
      <c r="T922" s="67"/>
      <c r="U922" s="118"/>
    </row>
    <row r="923">
      <c r="A923" s="72"/>
      <c r="B923" s="54"/>
      <c r="C923" s="67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67"/>
      <c r="R923" s="67"/>
      <c r="S923" s="67"/>
      <c r="T923" s="67"/>
      <c r="U923" s="118"/>
    </row>
    <row r="924">
      <c r="A924" s="72"/>
      <c r="B924" s="54"/>
      <c r="C924" s="67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67"/>
      <c r="R924" s="67"/>
      <c r="S924" s="67"/>
      <c r="T924" s="67"/>
      <c r="U924" s="118"/>
    </row>
    <row r="925">
      <c r="A925" s="72"/>
      <c r="B925" s="54"/>
      <c r="C925" s="67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67"/>
      <c r="R925" s="67"/>
      <c r="S925" s="67"/>
      <c r="T925" s="67"/>
      <c r="U925" s="118"/>
    </row>
    <row r="926">
      <c r="A926" s="72"/>
      <c r="B926" s="54"/>
      <c r="C926" s="67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67"/>
      <c r="R926" s="67"/>
      <c r="S926" s="67"/>
      <c r="T926" s="67"/>
      <c r="U926" s="118"/>
    </row>
    <row r="927">
      <c r="A927" s="72"/>
      <c r="B927" s="54"/>
      <c r="C927" s="67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67"/>
      <c r="R927" s="67"/>
      <c r="S927" s="67"/>
      <c r="T927" s="67"/>
      <c r="U927" s="118"/>
    </row>
    <row r="928">
      <c r="A928" s="72"/>
      <c r="B928" s="54"/>
      <c r="C928" s="67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67"/>
      <c r="R928" s="67"/>
      <c r="S928" s="67"/>
      <c r="T928" s="67"/>
      <c r="U928" s="118"/>
    </row>
    <row r="929">
      <c r="A929" s="72"/>
      <c r="B929" s="54"/>
      <c r="C929" s="67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67"/>
      <c r="R929" s="67"/>
      <c r="S929" s="67"/>
      <c r="T929" s="67"/>
      <c r="U929" s="118"/>
    </row>
    <row r="930">
      <c r="A930" s="72"/>
      <c r="B930" s="54"/>
      <c r="C930" s="67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67"/>
      <c r="R930" s="67"/>
      <c r="S930" s="67"/>
      <c r="T930" s="67"/>
      <c r="U930" s="118"/>
    </row>
    <row r="931">
      <c r="A931" s="72"/>
      <c r="B931" s="54"/>
      <c r="C931" s="67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67"/>
      <c r="R931" s="67"/>
      <c r="S931" s="67"/>
      <c r="T931" s="67"/>
      <c r="U931" s="118"/>
    </row>
    <row r="932">
      <c r="A932" s="72"/>
      <c r="B932" s="54"/>
      <c r="C932" s="67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67"/>
      <c r="R932" s="67"/>
      <c r="S932" s="67"/>
      <c r="T932" s="67"/>
      <c r="U932" s="118"/>
    </row>
    <row r="933">
      <c r="A933" s="72"/>
      <c r="B933" s="54"/>
      <c r="C933" s="67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67"/>
      <c r="R933" s="67"/>
      <c r="S933" s="67"/>
      <c r="T933" s="67"/>
      <c r="U933" s="118"/>
    </row>
    <row r="934">
      <c r="A934" s="72"/>
      <c r="B934" s="54"/>
      <c r="C934" s="67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67"/>
      <c r="R934" s="67"/>
      <c r="S934" s="67"/>
      <c r="T934" s="67"/>
      <c r="U934" s="118"/>
    </row>
    <row r="935">
      <c r="A935" s="72"/>
      <c r="B935" s="54"/>
      <c r="C935" s="67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67"/>
      <c r="R935" s="67"/>
      <c r="S935" s="67"/>
      <c r="T935" s="67"/>
      <c r="U935" s="118"/>
    </row>
    <row r="936">
      <c r="A936" s="72"/>
      <c r="B936" s="54"/>
      <c r="C936" s="67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67"/>
      <c r="R936" s="67"/>
      <c r="S936" s="67"/>
      <c r="T936" s="67"/>
      <c r="U936" s="118"/>
    </row>
    <row r="937">
      <c r="A937" s="72"/>
      <c r="B937" s="54"/>
      <c r="C937" s="67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67"/>
      <c r="R937" s="67"/>
      <c r="S937" s="67"/>
      <c r="T937" s="67"/>
      <c r="U937" s="118"/>
    </row>
    <row r="938">
      <c r="A938" s="72"/>
      <c r="B938" s="54"/>
      <c r="C938" s="67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67"/>
      <c r="R938" s="67"/>
      <c r="S938" s="67"/>
      <c r="T938" s="67"/>
      <c r="U938" s="118"/>
    </row>
    <row r="939">
      <c r="A939" s="72"/>
      <c r="B939" s="54"/>
      <c r="C939" s="67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67"/>
      <c r="R939" s="67"/>
      <c r="S939" s="67"/>
      <c r="T939" s="67"/>
      <c r="U939" s="118"/>
    </row>
    <row r="940">
      <c r="A940" s="72"/>
      <c r="B940" s="54"/>
      <c r="C940" s="67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67"/>
      <c r="R940" s="67"/>
      <c r="S940" s="67"/>
      <c r="T940" s="67"/>
      <c r="U940" s="118"/>
    </row>
    <row r="941">
      <c r="A941" s="72"/>
      <c r="B941" s="54"/>
      <c r="C941" s="67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67"/>
      <c r="R941" s="67"/>
      <c r="S941" s="67"/>
      <c r="T941" s="67"/>
      <c r="U941" s="118"/>
    </row>
    <row r="942">
      <c r="A942" s="72"/>
      <c r="B942" s="54"/>
      <c r="C942" s="67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67"/>
      <c r="R942" s="67"/>
      <c r="S942" s="67"/>
      <c r="T942" s="67"/>
      <c r="U942" s="118"/>
    </row>
    <row r="943">
      <c r="A943" s="72"/>
      <c r="B943" s="54"/>
      <c r="C943" s="67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67"/>
      <c r="R943" s="67"/>
      <c r="S943" s="67"/>
      <c r="T943" s="67"/>
      <c r="U943" s="118"/>
    </row>
    <row r="944">
      <c r="A944" s="72"/>
      <c r="B944" s="54"/>
      <c r="C944" s="67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67"/>
      <c r="R944" s="67"/>
      <c r="S944" s="67"/>
      <c r="T944" s="67"/>
      <c r="U944" s="118"/>
    </row>
    <row r="945">
      <c r="A945" s="72"/>
      <c r="B945" s="54"/>
      <c r="C945" s="67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67"/>
      <c r="R945" s="67"/>
      <c r="S945" s="67"/>
      <c r="T945" s="67"/>
      <c r="U945" s="118"/>
    </row>
    <row r="946">
      <c r="A946" s="72"/>
      <c r="B946" s="54"/>
      <c r="C946" s="67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67"/>
      <c r="R946" s="67"/>
      <c r="S946" s="67"/>
      <c r="T946" s="67"/>
      <c r="U946" s="118"/>
    </row>
    <row r="947">
      <c r="A947" s="72"/>
      <c r="B947" s="54"/>
      <c r="C947" s="67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67"/>
      <c r="R947" s="67"/>
      <c r="S947" s="67"/>
      <c r="T947" s="67"/>
      <c r="U947" s="118"/>
    </row>
    <row r="948">
      <c r="A948" s="72"/>
      <c r="B948" s="54"/>
      <c r="C948" s="67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67"/>
      <c r="R948" s="67"/>
      <c r="S948" s="67"/>
      <c r="T948" s="67"/>
      <c r="U948" s="118"/>
    </row>
    <row r="949">
      <c r="A949" s="72"/>
      <c r="B949" s="54"/>
      <c r="C949" s="67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67"/>
      <c r="R949" s="67"/>
      <c r="S949" s="67"/>
      <c r="T949" s="67"/>
      <c r="U949" s="118"/>
    </row>
    <row r="950">
      <c r="A950" s="72"/>
      <c r="B950" s="54"/>
      <c r="C950" s="67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67"/>
      <c r="R950" s="67"/>
      <c r="S950" s="67"/>
      <c r="T950" s="67"/>
      <c r="U950" s="118"/>
    </row>
    <row r="951">
      <c r="A951" s="72"/>
      <c r="B951" s="54"/>
      <c r="C951" s="67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67"/>
      <c r="R951" s="67"/>
      <c r="S951" s="67"/>
      <c r="T951" s="67"/>
      <c r="U951" s="118"/>
    </row>
    <row r="952">
      <c r="A952" s="72"/>
      <c r="B952" s="54"/>
      <c r="C952" s="67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67"/>
      <c r="R952" s="67"/>
      <c r="S952" s="67"/>
      <c r="T952" s="67"/>
      <c r="U952" s="118"/>
    </row>
    <row r="953">
      <c r="A953" s="72"/>
      <c r="B953" s="54"/>
      <c r="C953" s="67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67"/>
      <c r="R953" s="67"/>
      <c r="S953" s="67"/>
      <c r="T953" s="67"/>
      <c r="U953" s="118"/>
    </row>
    <row r="954">
      <c r="A954" s="72"/>
      <c r="B954" s="54"/>
      <c r="C954" s="67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67"/>
      <c r="R954" s="67"/>
      <c r="S954" s="67"/>
      <c r="T954" s="67"/>
      <c r="U954" s="118"/>
    </row>
    <row r="955">
      <c r="A955" s="72"/>
      <c r="B955" s="54"/>
      <c r="C955" s="67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67"/>
      <c r="R955" s="67"/>
      <c r="S955" s="67"/>
      <c r="T955" s="67"/>
      <c r="U955" s="118"/>
    </row>
    <row r="956">
      <c r="A956" s="72"/>
      <c r="B956" s="54"/>
      <c r="C956" s="67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67"/>
      <c r="R956" s="67"/>
      <c r="S956" s="67"/>
      <c r="T956" s="67"/>
      <c r="U956" s="118"/>
    </row>
    <row r="957">
      <c r="A957" s="72"/>
      <c r="B957" s="54"/>
      <c r="C957" s="67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67"/>
      <c r="R957" s="67"/>
      <c r="S957" s="67"/>
      <c r="T957" s="67"/>
      <c r="U957" s="118"/>
    </row>
    <row r="958">
      <c r="A958" s="72"/>
      <c r="B958" s="54"/>
      <c r="C958" s="67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67"/>
      <c r="R958" s="67"/>
      <c r="S958" s="67"/>
      <c r="T958" s="67"/>
      <c r="U958" s="118"/>
    </row>
    <row r="959">
      <c r="A959" s="72"/>
      <c r="B959" s="54"/>
      <c r="C959" s="67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67"/>
      <c r="R959" s="67"/>
      <c r="S959" s="67"/>
      <c r="T959" s="67"/>
      <c r="U959" s="118"/>
    </row>
    <row r="960">
      <c r="A960" s="72"/>
      <c r="B960" s="54"/>
      <c r="C960" s="67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67"/>
      <c r="R960" s="67"/>
      <c r="S960" s="67"/>
      <c r="T960" s="67"/>
      <c r="U960" s="118"/>
    </row>
    <row r="961">
      <c r="A961" s="72"/>
      <c r="B961" s="54"/>
      <c r="C961" s="67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67"/>
      <c r="R961" s="67"/>
      <c r="S961" s="67"/>
      <c r="T961" s="67"/>
      <c r="U961" s="118"/>
    </row>
    <row r="962">
      <c r="A962" s="72"/>
      <c r="B962" s="54"/>
      <c r="C962" s="67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67"/>
      <c r="R962" s="67"/>
      <c r="S962" s="67"/>
      <c r="T962" s="67"/>
      <c r="U962" s="118"/>
    </row>
    <row r="963">
      <c r="A963" s="72"/>
      <c r="B963" s="54"/>
      <c r="C963" s="67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67"/>
      <c r="R963" s="67"/>
      <c r="S963" s="67"/>
      <c r="T963" s="67"/>
      <c r="U963" s="118"/>
    </row>
    <row r="964">
      <c r="A964" s="72"/>
      <c r="B964" s="54"/>
      <c r="C964" s="67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67"/>
      <c r="R964" s="67"/>
      <c r="S964" s="67"/>
      <c r="T964" s="67"/>
      <c r="U964" s="118"/>
    </row>
    <row r="965">
      <c r="A965" s="72"/>
      <c r="B965" s="54"/>
      <c r="C965" s="67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67"/>
      <c r="R965" s="67"/>
      <c r="S965" s="67"/>
      <c r="T965" s="67"/>
      <c r="U965" s="118"/>
    </row>
    <row r="966">
      <c r="A966" s="72"/>
      <c r="B966" s="54"/>
      <c r="C966" s="67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67"/>
      <c r="R966" s="67"/>
      <c r="S966" s="67"/>
      <c r="T966" s="67"/>
      <c r="U966" s="118"/>
    </row>
    <row r="967">
      <c r="A967" s="72"/>
      <c r="B967" s="54"/>
      <c r="C967" s="67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67"/>
      <c r="R967" s="67"/>
      <c r="S967" s="67"/>
      <c r="T967" s="67"/>
      <c r="U967" s="118"/>
    </row>
    <row r="968">
      <c r="A968" s="72"/>
      <c r="B968" s="54"/>
      <c r="C968" s="67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67"/>
      <c r="R968" s="67"/>
      <c r="S968" s="67"/>
      <c r="T968" s="67"/>
      <c r="U968" s="118"/>
    </row>
    <row r="969">
      <c r="A969" s="72"/>
      <c r="B969" s="54"/>
      <c r="C969" s="67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67"/>
      <c r="R969" s="67"/>
      <c r="S969" s="67"/>
      <c r="T969" s="67"/>
      <c r="U969" s="118"/>
    </row>
    <row r="970">
      <c r="A970" s="72"/>
      <c r="B970" s="54"/>
      <c r="C970" s="67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67"/>
      <c r="R970" s="67"/>
      <c r="S970" s="67"/>
      <c r="T970" s="67"/>
      <c r="U970" s="118"/>
    </row>
    <row r="971">
      <c r="A971" s="72"/>
      <c r="B971" s="54"/>
      <c r="C971" s="67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67"/>
      <c r="R971" s="67"/>
      <c r="S971" s="67"/>
      <c r="T971" s="67"/>
      <c r="U971" s="118"/>
    </row>
    <row r="972">
      <c r="A972" s="72"/>
      <c r="B972" s="54"/>
      <c r="C972" s="67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67"/>
      <c r="R972" s="67"/>
      <c r="S972" s="67"/>
      <c r="T972" s="67"/>
      <c r="U972" s="118"/>
    </row>
    <row r="973">
      <c r="A973" s="72"/>
      <c r="B973" s="54"/>
      <c r="C973" s="67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67"/>
      <c r="R973" s="67"/>
      <c r="S973" s="67"/>
      <c r="T973" s="67"/>
      <c r="U973" s="118"/>
    </row>
    <row r="974">
      <c r="A974" s="72"/>
      <c r="B974" s="54"/>
      <c r="C974" s="67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67"/>
      <c r="R974" s="67"/>
      <c r="S974" s="67"/>
      <c r="T974" s="67"/>
      <c r="U974" s="118"/>
    </row>
    <row r="975">
      <c r="A975" s="72"/>
      <c r="B975" s="54"/>
      <c r="C975" s="67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67"/>
      <c r="R975" s="67"/>
      <c r="S975" s="67"/>
      <c r="T975" s="67"/>
      <c r="U975" s="118"/>
    </row>
    <row r="976">
      <c r="A976" s="72"/>
      <c r="B976" s="54"/>
      <c r="C976" s="67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67"/>
      <c r="R976" s="67"/>
      <c r="S976" s="67"/>
      <c r="T976" s="67"/>
      <c r="U976" s="118"/>
    </row>
    <row r="977">
      <c r="A977" s="72"/>
      <c r="B977" s="54"/>
      <c r="C977" s="67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67"/>
      <c r="R977" s="67"/>
      <c r="S977" s="67"/>
      <c r="T977" s="67"/>
      <c r="U977" s="118"/>
    </row>
    <row r="978">
      <c r="A978" s="72"/>
      <c r="B978" s="54"/>
      <c r="C978" s="67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67"/>
      <c r="R978" s="67"/>
      <c r="S978" s="67"/>
      <c r="T978" s="67"/>
      <c r="U978" s="118"/>
    </row>
    <row r="979">
      <c r="A979" s="72"/>
      <c r="B979" s="54"/>
      <c r="C979" s="67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67"/>
      <c r="R979" s="67"/>
      <c r="S979" s="67"/>
      <c r="T979" s="67"/>
      <c r="U979" s="118"/>
    </row>
    <row r="980">
      <c r="A980" s="72"/>
      <c r="B980" s="54"/>
      <c r="C980" s="67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67"/>
      <c r="R980" s="67"/>
      <c r="S980" s="67"/>
      <c r="T980" s="67"/>
      <c r="U980" s="118"/>
    </row>
  </sheetData>
  <customSheetViews>
    <customSheetView guid="{24EFF1FC-519A-4255-99C0-8464DF1D4EED}" filter="1" showAutoFilter="1">
      <autoFilter ref="$A$1:$U$980"/>
    </customSheetView>
    <customSheetView guid="{B9FC2153-85FE-4597-B01F-2D8A49A1D991}" filter="1" showAutoFilter="1">
      <autoFilter ref="$A$1:$U$980"/>
    </customSheetView>
  </customSheetViews>
  <dataValidations>
    <dataValidation type="list" allowBlank="1" showErrorMessage="1" sqref="D9:D980">
      <formula1>Data!$C$2:$C980</formula1>
    </dataValidation>
    <dataValidation type="list" allowBlank="1" showErrorMessage="1" sqref="N301 E9:E980">
      <formula1>Data!$D$2:$D980</formula1>
    </dataValidation>
    <dataValidation type="list" allowBlank="1" showErrorMessage="1" sqref="N9:N300 N302:N980">
      <formula1>Data!$K$3:$K980</formula1>
    </dataValidation>
    <dataValidation type="list" allowBlank="1" showErrorMessage="1" sqref="B9:B36 B39:B40 B43:B44 B46 B49:B51 B53:B54 B66:B68 B75:B105 B108:B109 B116 B119:B120 B133 B135:B136 B138 B143:B146 B148 B150:B259 B261:B264 B266:B270 B272:B280 B282:B283 B292:B396 B399:B401 B403:B980">
      <formula1>Data!$A$2:$A980</formula1>
    </dataValidation>
    <dataValidation type="list" allowBlank="1" showErrorMessage="1" sqref="O9:O980">
      <formula1>Data!$O$2:$O980</formula1>
    </dataValidation>
    <dataValidation type="list" allowBlank="1" showErrorMessage="1" sqref="M9:M980">
      <formula1>Data!$P$2:$P980</formula1>
    </dataValidation>
    <dataValidation type="custom" allowBlank="1" showDropDown="1" sqref="A9:A980">
      <formula1>OR(NOT(ISERROR(DATEVALUE(A9))), AND(ISNUMBER(A9), LEFT(CELL("format", A9))="D"))</formula1>
    </dataValidation>
    <dataValidation type="list" allowBlank="1" showErrorMessage="1" sqref="L9:L980">
      <formula1>Data!$I$2:$I980</formula1>
    </dataValidation>
    <dataValidation type="list" allowBlank="1" showErrorMessage="1" sqref="F9:F980">
      <formula1>Data!$F$2:$F980</formula1>
    </dataValidation>
    <dataValidation type="list" allowBlank="1" showErrorMessage="1" sqref="H9:H980">
      <formula1>Data!$H$2:$H980</formula1>
    </dataValidation>
    <dataValidation type="list" allowBlank="1" showErrorMessage="1" sqref="P9:P980">
      <formula1>Data!$M$2:$M980</formula1>
    </dataValidation>
  </dataValidations>
  <hyperlinks>
    <hyperlink r:id="rId1" ref="C3"/>
    <hyperlink r:id="rId2" ref="B9"/>
    <hyperlink r:id="rId3" ref="B10"/>
    <hyperlink r:id="rId4" ref="T10"/>
    <hyperlink r:id="rId5" ref="B11"/>
    <hyperlink r:id="rId6" ref="T11"/>
    <hyperlink r:id="rId7" ref="B12"/>
    <hyperlink r:id="rId8" ref="T12"/>
    <hyperlink r:id="rId9" ref="B13"/>
    <hyperlink r:id="rId10" ref="T13"/>
    <hyperlink r:id="rId11" ref="B14"/>
    <hyperlink r:id="rId12" ref="T14"/>
    <hyperlink r:id="rId13" ref="B15"/>
    <hyperlink r:id="rId14" ref="T15"/>
    <hyperlink r:id="rId15" ref="B16"/>
    <hyperlink r:id="rId16" ref="T16"/>
    <hyperlink r:id="rId17" ref="B17"/>
    <hyperlink r:id="rId18" ref="T17"/>
    <hyperlink r:id="rId19" ref="B18"/>
    <hyperlink r:id="rId20" ref="T18"/>
    <hyperlink r:id="rId21" ref="B19"/>
    <hyperlink r:id="rId22" ref="T19"/>
    <hyperlink r:id="rId23" ref="B20"/>
    <hyperlink r:id="rId24" ref="T20"/>
    <hyperlink r:id="rId25" ref="B21"/>
    <hyperlink r:id="rId26" ref="T21"/>
    <hyperlink r:id="rId27" ref="B22"/>
    <hyperlink r:id="rId28" ref="T22"/>
    <hyperlink r:id="rId29" ref="B23"/>
    <hyperlink r:id="rId30" ref="T23"/>
    <hyperlink r:id="rId31" ref="B24"/>
    <hyperlink r:id="rId32" ref="T24"/>
    <hyperlink r:id="rId33" ref="B25"/>
    <hyperlink r:id="rId34" ref="T25"/>
    <hyperlink r:id="rId35" ref="B26"/>
    <hyperlink r:id="rId36" ref="T26"/>
    <hyperlink r:id="rId37" ref="B27"/>
    <hyperlink r:id="rId38" ref="T27"/>
    <hyperlink r:id="rId39" ref="B28"/>
    <hyperlink r:id="rId40" ref="T28"/>
    <hyperlink r:id="rId41" ref="B29"/>
    <hyperlink r:id="rId42" ref="T29"/>
    <hyperlink r:id="rId43" ref="B30"/>
    <hyperlink r:id="rId44" ref="T30"/>
    <hyperlink r:id="rId45" ref="B31"/>
    <hyperlink r:id="rId46" ref="T31"/>
    <hyperlink r:id="rId47" ref="B32"/>
    <hyperlink r:id="rId48" ref="T32"/>
    <hyperlink r:id="rId49" ref="B33"/>
    <hyperlink r:id="rId50" ref="T33"/>
    <hyperlink r:id="rId51" ref="B34"/>
    <hyperlink r:id="rId52" ref="T34"/>
    <hyperlink r:id="rId53" ref="B35"/>
    <hyperlink r:id="rId54" ref="T35"/>
    <hyperlink r:id="rId55" ref="B36"/>
    <hyperlink r:id="rId56" ref="T36"/>
    <hyperlink r:id="rId57" ref="B37"/>
    <hyperlink r:id="rId58" ref="T37"/>
    <hyperlink r:id="rId59" ref="B38"/>
    <hyperlink r:id="rId60" ref="T38"/>
    <hyperlink r:id="rId61" ref="B39"/>
    <hyperlink r:id="rId62" ref="T39"/>
    <hyperlink r:id="rId63" ref="B40"/>
    <hyperlink r:id="rId64" ref="T40"/>
    <hyperlink r:id="rId65" ref="B41"/>
    <hyperlink r:id="rId66" ref="T41"/>
    <hyperlink r:id="rId67" ref="B42"/>
    <hyperlink r:id="rId68" ref="T42"/>
    <hyperlink r:id="rId69" ref="B43"/>
    <hyperlink r:id="rId70" ref="T43"/>
    <hyperlink r:id="rId71" ref="B44"/>
    <hyperlink r:id="rId72" ref="T44"/>
    <hyperlink r:id="rId73" ref="B45"/>
    <hyperlink r:id="rId74" ref="T45"/>
    <hyperlink r:id="rId75" ref="B46"/>
    <hyperlink r:id="rId76" ref="T46"/>
    <hyperlink r:id="rId77" ref="B47"/>
    <hyperlink r:id="rId78" ref="T47"/>
    <hyperlink r:id="rId79" ref="B48"/>
    <hyperlink r:id="rId80" ref="T48"/>
    <hyperlink r:id="rId81" ref="B49"/>
    <hyperlink r:id="rId82" ref="T49"/>
    <hyperlink r:id="rId83" ref="B50"/>
    <hyperlink r:id="rId84" ref="T50"/>
    <hyperlink r:id="rId85" ref="B51"/>
    <hyperlink r:id="rId86" ref="T51"/>
    <hyperlink r:id="rId87" ref="B52"/>
    <hyperlink r:id="rId88" ref="T52"/>
    <hyperlink r:id="rId89" ref="B53"/>
    <hyperlink r:id="rId90" ref="T53"/>
    <hyperlink r:id="rId91" ref="B54"/>
    <hyperlink r:id="rId92" ref="T54"/>
    <hyperlink r:id="rId93" ref="B55"/>
    <hyperlink r:id="rId94" ref="T55"/>
    <hyperlink r:id="rId95" ref="B56"/>
    <hyperlink r:id="rId96" ref="T56"/>
    <hyperlink r:id="rId97" ref="B57"/>
    <hyperlink r:id="rId98" ref="T57"/>
    <hyperlink r:id="rId99" ref="B58"/>
    <hyperlink r:id="rId100" ref="T58"/>
    <hyperlink r:id="rId101" ref="B59"/>
    <hyperlink r:id="rId102" ref="T59"/>
    <hyperlink r:id="rId103" ref="B60"/>
    <hyperlink r:id="rId104" ref="T60"/>
    <hyperlink r:id="rId105" ref="B61"/>
    <hyperlink r:id="rId106" ref="T61"/>
    <hyperlink r:id="rId107" ref="B62"/>
    <hyperlink r:id="rId108" ref="T62"/>
    <hyperlink r:id="rId109" ref="B63"/>
    <hyperlink r:id="rId110" ref="T63"/>
    <hyperlink r:id="rId111" ref="B64"/>
    <hyperlink r:id="rId112" ref="T64"/>
    <hyperlink r:id="rId113" ref="B65"/>
    <hyperlink r:id="rId114" ref="T65"/>
    <hyperlink r:id="rId115" ref="B66"/>
    <hyperlink r:id="rId116" ref="T66"/>
    <hyperlink r:id="rId117" ref="B67"/>
    <hyperlink r:id="rId118" ref="T67"/>
    <hyperlink r:id="rId119" ref="B68"/>
    <hyperlink r:id="rId120" ref="T68"/>
    <hyperlink r:id="rId121" ref="B69"/>
    <hyperlink r:id="rId122" ref="T69"/>
    <hyperlink r:id="rId123" ref="B70"/>
    <hyperlink r:id="rId124" ref="T70"/>
    <hyperlink r:id="rId125" ref="B71"/>
    <hyperlink r:id="rId126" ref="T71"/>
    <hyperlink r:id="rId127" ref="B72"/>
    <hyperlink r:id="rId128" ref="T72"/>
    <hyperlink r:id="rId129" ref="B73"/>
    <hyperlink r:id="rId130" ref="T73"/>
    <hyperlink r:id="rId131" ref="B74"/>
    <hyperlink r:id="rId132" ref="T74"/>
    <hyperlink r:id="rId133" ref="B75"/>
    <hyperlink r:id="rId134" ref="T75"/>
    <hyperlink r:id="rId135" ref="B76"/>
    <hyperlink r:id="rId136" ref="T76"/>
    <hyperlink r:id="rId137" ref="B77"/>
    <hyperlink r:id="rId138" ref="T77"/>
    <hyperlink r:id="rId139" ref="B78"/>
    <hyperlink r:id="rId140" ref="T78"/>
    <hyperlink r:id="rId141" ref="B79"/>
    <hyperlink r:id="rId142" ref="T79"/>
    <hyperlink r:id="rId143" ref="B80"/>
    <hyperlink r:id="rId144" ref="T80"/>
    <hyperlink r:id="rId145" ref="B81"/>
    <hyperlink r:id="rId146" ref="T81"/>
    <hyperlink r:id="rId147" ref="B82"/>
    <hyperlink r:id="rId148" ref="T82"/>
    <hyperlink r:id="rId149" ref="B83"/>
    <hyperlink r:id="rId150" ref="T83"/>
    <hyperlink r:id="rId151" ref="B84"/>
    <hyperlink r:id="rId152" ref="T84"/>
    <hyperlink r:id="rId153" ref="B85"/>
    <hyperlink r:id="rId154" ref="T85"/>
    <hyperlink r:id="rId155" ref="B86"/>
    <hyperlink r:id="rId156" ref="T86"/>
    <hyperlink r:id="rId157" ref="B87"/>
    <hyperlink r:id="rId158" ref="T87"/>
    <hyperlink r:id="rId159" ref="B88"/>
    <hyperlink r:id="rId160" ref="T88"/>
    <hyperlink r:id="rId161" ref="B89"/>
    <hyperlink r:id="rId162" ref="T89"/>
    <hyperlink r:id="rId163" ref="B90"/>
    <hyperlink r:id="rId164" ref="T90"/>
    <hyperlink r:id="rId165" ref="B91"/>
    <hyperlink r:id="rId166" ref="T91"/>
    <hyperlink r:id="rId167" ref="B92"/>
    <hyperlink r:id="rId168" ref="T92"/>
    <hyperlink r:id="rId169" ref="B93"/>
    <hyperlink r:id="rId170" ref="T93"/>
    <hyperlink r:id="rId171" ref="B94"/>
    <hyperlink r:id="rId172" ref="T94"/>
    <hyperlink r:id="rId173" ref="B95"/>
    <hyperlink r:id="rId174" ref="T95"/>
    <hyperlink r:id="rId175" ref="B96"/>
    <hyperlink r:id="rId176" ref="T96"/>
    <hyperlink r:id="rId177" ref="B97"/>
    <hyperlink r:id="rId178" ref="T97"/>
    <hyperlink r:id="rId179" ref="B98"/>
    <hyperlink r:id="rId180" ref="T98"/>
    <hyperlink r:id="rId181" ref="B99"/>
    <hyperlink r:id="rId182" ref="T99"/>
    <hyperlink r:id="rId183" ref="B100"/>
    <hyperlink r:id="rId184" ref="T100"/>
    <hyperlink r:id="rId185" ref="B101"/>
    <hyperlink r:id="rId186" ref="T101"/>
    <hyperlink r:id="rId187" ref="B102"/>
    <hyperlink r:id="rId188" ref="T102"/>
    <hyperlink r:id="rId189" ref="B103"/>
    <hyperlink r:id="rId190" ref="T103"/>
    <hyperlink r:id="rId191" ref="B104"/>
    <hyperlink r:id="rId192" ref="T104"/>
    <hyperlink r:id="rId193" ref="B105"/>
    <hyperlink r:id="rId194" ref="T105"/>
    <hyperlink r:id="rId195" ref="B106"/>
    <hyperlink r:id="rId196" ref="T106"/>
    <hyperlink r:id="rId197" ref="B107"/>
    <hyperlink r:id="rId198" ref="T107"/>
    <hyperlink r:id="rId199" ref="B108"/>
    <hyperlink r:id="rId200" ref="T108"/>
    <hyperlink r:id="rId201" ref="B109"/>
    <hyperlink r:id="rId202" ref="T109"/>
    <hyperlink r:id="rId203" ref="B110"/>
    <hyperlink r:id="rId204" ref="T110"/>
    <hyperlink r:id="rId205" ref="B111"/>
    <hyperlink r:id="rId206" ref="T111"/>
    <hyperlink r:id="rId207" ref="B112"/>
    <hyperlink r:id="rId208" ref="T112"/>
    <hyperlink r:id="rId209" ref="B113"/>
    <hyperlink r:id="rId210" ref="T113"/>
    <hyperlink r:id="rId211" ref="B114"/>
    <hyperlink r:id="rId212" ref="T114"/>
    <hyperlink r:id="rId213" ref="B115"/>
    <hyperlink r:id="rId214" ref="T115"/>
    <hyperlink r:id="rId215" ref="B116"/>
    <hyperlink r:id="rId216" ref="T116"/>
    <hyperlink r:id="rId217" ref="B117"/>
    <hyperlink r:id="rId218" ref="T117"/>
    <hyperlink r:id="rId219" ref="B118"/>
    <hyperlink r:id="rId220" ref="T118"/>
    <hyperlink r:id="rId221" ref="B119"/>
    <hyperlink r:id="rId222" ref="T119"/>
    <hyperlink r:id="rId223" ref="B120"/>
    <hyperlink r:id="rId224" ref="T120"/>
    <hyperlink r:id="rId225" ref="B121"/>
    <hyperlink r:id="rId226" ref="T121"/>
    <hyperlink r:id="rId227" ref="B122"/>
    <hyperlink r:id="rId228" ref="T122"/>
    <hyperlink r:id="rId229" ref="B123"/>
    <hyperlink r:id="rId230" ref="T123"/>
    <hyperlink r:id="rId231" ref="B124"/>
    <hyperlink r:id="rId232" ref="T124"/>
    <hyperlink r:id="rId233" ref="B125"/>
    <hyperlink r:id="rId234" ref="T125"/>
    <hyperlink r:id="rId235" ref="B126"/>
    <hyperlink r:id="rId236" ref="T126"/>
    <hyperlink r:id="rId237" ref="B127"/>
    <hyperlink r:id="rId238" ref="T127"/>
    <hyperlink r:id="rId239" ref="B128"/>
    <hyperlink r:id="rId240" ref="T128"/>
    <hyperlink r:id="rId241" ref="B129"/>
    <hyperlink r:id="rId242" ref="T129"/>
    <hyperlink r:id="rId243" ref="B130"/>
    <hyperlink r:id="rId244" ref="T130"/>
    <hyperlink r:id="rId245" ref="B131"/>
    <hyperlink r:id="rId246" ref="T131"/>
    <hyperlink r:id="rId247" ref="B132"/>
    <hyperlink r:id="rId248" ref="T132"/>
    <hyperlink r:id="rId249" ref="B133"/>
    <hyperlink r:id="rId250" ref="T133"/>
    <hyperlink r:id="rId251" ref="B134"/>
    <hyperlink r:id="rId252" ref="T134"/>
    <hyperlink r:id="rId253" ref="B135"/>
    <hyperlink r:id="rId254" ref="T135"/>
    <hyperlink r:id="rId255" ref="B136"/>
    <hyperlink r:id="rId256" ref="T136"/>
    <hyperlink r:id="rId257" ref="B137"/>
    <hyperlink r:id="rId258" ref="T137"/>
    <hyperlink r:id="rId259" ref="B138"/>
    <hyperlink r:id="rId260" ref="T138"/>
    <hyperlink r:id="rId261" ref="B139"/>
    <hyperlink r:id="rId262" ref="T139"/>
    <hyperlink r:id="rId263" ref="B140"/>
    <hyperlink r:id="rId264" ref="T140"/>
    <hyperlink r:id="rId265" ref="B141"/>
    <hyperlink r:id="rId266" ref="T141"/>
    <hyperlink r:id="rId267" ref="B142"/>
    <hyperlink r:id="rId268" ref="T142"/>
    <hyperlink r:id="rId269" ref="B143"/>
    <hyperlink r:id="rId270" ref="T143"/>
    <hyperlink r:id="rId271" ref="B144"/>
    <hyperlink r:id="rId272" ref="T144"/>
    <hyperlink r:id="rId273" ref="B145"/>
    <hyperlink r:id="rId274" ref="T145"/>
    <hyperlink r:id="rId275" ref="B146"/>
    <hyperlink r:id="rId276" ref="T146"/>
    <hyperlink r:id="rId277" ref="B147"/>
    <hyperlink r:id="rId278" ref="T147"/>
    <hyperlink r:id="rId279" ref="B148"/>
    <hyperlink r:id="rId280" ref="T148"/>
    <hyperlink r:id="rId281" ref="B149"/>
    <hyperlink r:id="rId282" ref="T149"/>
    <hyperlink r:id="rId283" ref="B150"/>
    <hyperlink r:id="rId284" ref="T150"/>
    <hyperlink r:id="rId285" ref="B151"/>
    <hyperlink r:id="rId286" ref="T151"/>
    <hyperlink r:id="rId287" ref="B152"/>
    <hyperlink r:id="rId288" ref="T152"/>
    <hyperlink r:id="rId289" ref="B153"/>
    <hyperlink r:id="rId290" ref="T153"/>
    <hyperlink r:id="rId291" ref="B154"/>
    <hyperlink r:id="rId292" ref="T154"/>
    <hyperlink r:id="rId293" ref="B155"/>
    <hyperlink r:id="rId294" ref="T155"/>
    <hyperlink r:id="rId295" ref="B156"/>
    <hyperlink r:id="rId296" ref="T156"/>
    <hyperlink r:id="rId297" ref="B157"/>
    <hyperlink r:id="rId298" ref="T157"/>
    <hyperlink r:id="rId299" ref="B158"/>
    <hyperlink r:id="rId300" ref="T158"/>
    <hyperlink r:id="rId301" ref="B159"/>
    <hyperlink r:id="rId302" ref="T159"/>
    <hyperlink r:id="rId303" ref="B160"/>
    <hyperlink r:id="rId304" ref="T160"/>
    <hyperlink r:id="rId305" ref="B161"/>
    <hyperlink r:id="rId306" ref="T161"/>
    <hyperlink r:id="rId307" ref="B162"/>
    <hyperlink r:id="rId308" ref="T162"/>
    <hyperlink r:id="rId309" ref="B163"/>
    <hyperlink r:id="rId310" ref="T163"/>
    <hyperlink r:id="rId311" ref="B164"/>
    <hyperlink r:id="rId312" ref="T164"/>
    <hyperlink r:id="rId313" ref="B165"/>
    <hyperlink r:id="rId314" ref="T165"/>
    <hyperlink r:id="rId315" ref="B166"/>
    <hyperlink r:id="rId316" ref="T166"/>
    <hyperlink r:id="rId317" ref="B167"/>
    <hyperlink r:id="rId318" ref="T167"/>
    <hyperlink r:id="rId319" ref="B168"/>
    <hyperlink r:id="rId320" ref="T168"/>
    <hyperlink r:id="rId321" ref="B169"/>
    <hyperlink r:id="rId322" ref="T169"/>
    <hyperlink r:id="rId323" ref="B170"/>
    <hyperlink r:id="rId324" ref="T170"/>
    <hyperlink r:id="rId325" ref="B171"/>
    <hyperlink r:id="rId326" ref="T171"/>
    <hyperlink r:id="rId327" ref="B172"/>
    <hyperlink r:id="rId328" ref="T172"/>
    <hyperlink r:id="rId329" ref="B173"/>
    <hyperlink r:id="rId330" ref="T173"/>
    <hyperlink r:id="rId331" ref="B174"/>
    <hyperlink r:id="rId332" ref="T174"/>
    <hyperlink r:id="rId333" ref="B175"/>
    <hyperlink r:id="rId334" ref="T175"/>
    <hyperlink r:id="rId335" ref="B176"/>
    <hyperlink r:id="rId336" ref="T176"/>
    <hyperlink r:id="rId337" ref="B177"/>
    <hyperlink r:id="rId338" ref="T177"/>
    <hyperlink r:id="rId339" ref="B178"/>
    <hyperlink r:id="rId340" ref="T178"/>
    <hyperlink r:id="rId341" ref="B179"/>
    <hyperlink r:id="rId342" ref="T179"/>
    <hyperlink r:id="rId343" ref="B180"/>
    <hyperlink r:id="rId344" ref="T180"/>
    <hyperlink r:id="rId345" ref="B181"/>
    <hyperlink r:id="rId346" ref="T181"/>
    <hyperlink r:id="rId347" ref="B182"/>
    <hyperlink r:id="rId348" ref="T182"/>
    <hyperlink r:id="rId349" ref="B183"/>
    <hyperlink r:id="rId350" ref="T183"/>
    <hyperlink r:id="rId351" ref="B184"/>
    <hyperlink r:id="rId352" ref="T184"/>
    <hyperlink r:id="rId353" ref="B185"/>
    <hyperlink r:id="rId354" ref="T185"/>
    <hyperlink r:id="rId355" ref="B186"/>
    <hyperlink r:id="rId356" ref="T186"/>
    <hyperlink r:id="rId357" ref="B187"/>
    <hyperlink r:id="rId358" ref="T187"/>
    <hyperlink r:id="rId359" ref="B188"/>
    <hyperlink r:id="rId360" ref="T188"/>
    <hyperlink r:id="rId361" ref="U188"/>
    <hyperlink r:id="rId362" ref="B189"/>
    <hyperlink r:id="rId363" ref="T189"/>
    <hyperlink r:id="rId364" ref="U189"/>
    <hyperlink r:id="rId365" ref="B190"/>
    <hyperlink r:id="rId366" ref="T190"/>
    <hyperlink r:id="rId367" ref="U190"/>
    <hyperlink r:id="rId368" ref="B191"/>
    <hyperlink r:id="rId369" ref="T191"/>
    <hyperlink r:id="rId370" ref="U191"/>
    <hyperlink r:id="rId371" ref="B192"/>
    <hyperlink r:id="rId372" ref="T192"/>
    <hyperlink r:id="rId373" ref="B193"/>
    <hyperlink r:id="rId374" ref="T193"/>
    <hyperlink r:id="rId375" ref="B194"/>
    <hyperlink r:id="rId376" ref="T194"/>
    <hyperlink r:id="rId377" ref="U194"/>
    <hyperlink r:id="rId378" ref="B195"/>
    <hyperlink r:id="rId379" ref="T195"/>
    <hyperlink r:id="rId380" ref="B196"/>
    <hyperlink r:id="rId381" ref="T196"/>
    <hyperlink r:id="rId382" ref="B197"/>
    <hyperlink r:id="rId383" ref="T197"/>
    <hyperlink r:id="rId384" ref="U197"/>
    <hyperlink r:id="rId385" ref="B198"/>
    <hyperlink r:id="rId386" ref="T198"/>
    <hyperlink r:id="rId387" ref="B199"/>
    <hyperlink r:id="rId388" ref="T199"/>
    <hyperlink r:id="rId389" ref="B200"/>
    <hyperlink r:id="rId390" ref="T200"/>
    <hyperlink r:id="rId391" ref="U200"/>
    <hyperlink r:id="rId392" ref="B201"/>
    <hyperlink r:id="rId393" ref="T201"/>
    <hyperlink r:id="rId394" ref="B202"/>
    <hyperlink r:id="rId395" ref="T202"/>
    <hyperlink r:id="rId396" ref="B203"/>
    <hyperlink r:id="rId397" ref="T203"/>
    <hyperlink r:id="rId398" ref="U203"/>
    <hyperlink r:id="rId399" ref="B204"/>
    <hyperlink r:id="rId400" ref="T204"/>
    <hyperlink r:id="rId401" ref="B205"/>
    <hyperlink r:id="rId402" ref="T205"/>
    <hyperlink r:id="rId403" ref="U205"/>
    <hyperlink r:id="rId404" ref="B206"/>
    <hyperlink r:id="rId405" ref="T206"/>
    <hyperlink r:id="rId406" ref="U206"/>
    <hyperlink r:id="rId407" ref="B207"/>
    <hyperlink r:id="rId408" ref="T207"/>
    <hyperlink r:id="rId409" ref="B208"/>
    <hyperlink r:id="rId410" ref="T208"/>
    <hyperlink r:id="rId411" ref="B209"/>
    <hyperlink r:id="rId412" ref="T209"/>
    <hyperlink r:id="rId413" ref="U209"/>
    <hyperlink r:id="rId414" ref="B210"/>
    <hyperlink r:id="rId415" ref="T210"/>
    <hyperlink r:id="rId416" ref="U210"/>
    <hyperlink r:id="rId417" ref="B211"/>
    <hyperlink r:id="rId418" ref="T211"/>
    <hyperlink r:id="rId419" ref="B212"/>
    <hyperlink r:id="rId420" ref="T212"/>
    <hyperlink r:id="rId421" ref="U212"/>
    <hyperlink r:id="rId422" ref="B213"/>
    <hyperlink r:id="rId423" ref="T213"/>
    <hyperlink r:id="rId424" ref="U213"/>
    <hyperlink r:id="rId425" ref="B214"/>
    <hyperlink r:id="rId426" ref="T214"/>
    <hyperlink r:id="rId427" ref="U214"/>
    <hyperlink r:id="rId428" ref="B215"/>
    <hyperlink r:id="rId429" ref="T215"/>
    <hyperlink r:id="rId430" ref="U215"/>
    <hyperlink r:id="rId431" ref="B216"/>
    <hyperlink r:id="rId432" ref="T216"/>
    <hyperlink r:id="rId433" ref="U216"/>
    <hyperlink r:id="rId434" ref="B217"/>
    <hyperlink r:id="rId435" ref="T217"/>
    <hyperlink r:id="rId436" ref="U217"/>
    <hyperlink r:id="rId437" ref="B218"/>
    <hyperlink r:id="rId438" ref="T218"/>
    <hyperlink r:id="rId439" ref="U218"/>
    <hyperlink r:id="rId440" ref="B219"/>
    <hyperlink r:id="rId441" ref="T219"/>
    <hyperlink r:id="rId442" ref="U219"/>
    <hyperlink r:id="rId443" ref="B220"/>
    <hyperlink r:id="rId444" ref="T220"/>
    <hyperlink r:id="rId445" ref="U220"/>
    <hyperlink r:id="rId446" ref="B221"/>
    <hyperlink r:id="rId447" ref="T221"/>
    <hyperlink r:id="rId448" ref="U221"/>
    <hyperlink r:id="rId449" ref="B222"/>
    <hyperlink r:id="rId450" ref="T222"/>
    <hyperlink r:id="rId451" ref="U222"/>
    <hyperlink r:id="rId452" ref="B223"/>
    <hyperlink r:id="rId453" ref="T223"/>
    <hyperlink r:id="rId454" ref="U223"/>
    <hyperlink r:id="rId455" ref="B224"/>
    <hyperlink r:id="rId456" ref="T224"/>
    <hyperlink r:id="rId457" ref="B225"/>
    <hyperlink r:id="rId458" ref="T225"/>
    <hyperlink r:id="rId459" ref="U225"/>
    <hyperlink r:id="rId460" ref="B226"/>
    <hyperlink r:id="rId461" ref="T226"/>
    <hyperlink r:id="rId462" ref="U226"/>
    <hyperlink r:id="rId463" ref="B227"/>
    <hyperlink r:id="rId464" ref="T227"/>
    <hyperlink r:id="rId465" ref="U227"/>
    <hyperlink r:id="rId466" ref="B228"/>
    <hyperlink r:id="rId467" ref="T228"/>
    <hyperlink r:id="rId468" ref="U228"/>
    <hyperlink r:id="rId469" ref="B229"/>
    <hyperlink r:id="rId470" ref="T229"/>
    <hyperlink r:id="rId471" ref="U229"/>
    <hyperlink r:id="rId472" ref="B230"/>
    <hyperlink r:id="rId473" ref="T230"/>
    <hyperlink r:id="rId474" ref="U230"/>
    <hyperlink r:id="rId475" ref="B231"/>
    <hyperlink r:id="rId476" ref="T231"/>
    <hyperlink r:id="rId477" ref="U231"/>
    <hyperlink r:id="rId478" ref="B232"/>
    <hyperlink r:id="rId479" ref="T232"/>
    <hyperlink r:id="rId480" ref="U232"/>
    <hyperlink r:id="rId481" ref="B233"/>
    <hyperlink r:id="rId482" ref="T233"/>
    <hyperlink r:id="rId483" ref="B234"/>
    <hyperlink r:id="rId484" ref="T234"/>
    <hyperlink r:id="rId485" ref="U234"/>
    <hyperlink r:id="rId486" ref="B235"/>
    <hyperlink r:id="rId487" ref="T235"/>
    <hyperlink r:id="rId488" ref="U235"/>
    <hyperlink r:id="rId489" ref="B236"/>
    <hyperlink r:id="rId490" ref="T236"/>
    <hyperlink r:id="rId491" ref="U236"/>
    <hyperlink r:id="rId492" ref="B237"/>
    <hyperlink r:id="rId493" ref="T237"/>
    <hyperlink r:id="rId494" ref="U237"/>
    <hyperlink r:id="rId495" ref="B238"/>
    <hyperlink r:id="rId496" ref="T238"/>
    <hyperlink r:id="rId497" ref="U238"/>
    <hyperlink r:id="rId498" ref="B239"/>
    <hyperlink r:id="rId499" ref="T239"/>
    <hyperlink r:id="rId500" ref="U239"/>
    <hyperlink r:id="rId501" ref="B240"/>
    <hyperlink r:id="rId502" ref="T240"/>
    <hyperlink r:id="rId503" ref="U240"/>
    <hyperlink r:id="rId504" ref="B241"/>
    <hyperlink r:id="rId505" ref="T241"/>
    <hyperlink r:id="rId506" ref="U241"/>
    <hyperlink r:id="rId507" ref="B242"/>
    <hyperlink r:id="rId508" ref="T242"/>
    <hyperlink r:id="rId509" ref="U242"/>
    <hyperlink r:id="rId510" ref="B243"/>
    <hyperlink r:id="rId511" ref="T243"/>
    <hyperlink r:id="rId512" ref="U243"/>
    <hyperlink r:id="rId513" ref="B244"/>
    <hyperlink r:id="rId514" ref="T244"/>
    <hyperlink r:id="rId515" ref="U244"/>
    <hyperlink r:id="rId516" ref="B245"/>
    <hyperlink r:id="rId517" ref="T245"/>
    <hyperlink r:id="rId518" ref="U245"/>
    <hyperlink r:id="rId519" ref="B246"/>
    <hyperlink r:id="rId520" ref="T246"/>
    <hyperlink r:id="rId521" ref="B247"/>
    <hyperlink r:id="rId522" ref="T247"/>
    <hyperlink r:id="rId523" ref="U247"/>
    <hyperlink r:id="rId524" ref="B248"/>
    <hyperlink r:id="rId525" ref="T248"/>
    <hyperlink r:id="rId526" ref="U248"/>
    <hyperlink r:id="rId527" ref="B249"/>
    <hyperlink r:id="rId528" ref="T249"/>
    <hyperlink r:id="rId529" ref="U249"/>
    <hyperlink r:id="rId530" ref="B250"/>
    <hyperlink r:id="rId531" ref="T250"/>
    <hyperlink r:id="rId532" ref="B251"/>
    <hyperlink r:id="rId533" ref="T251"/>
    <hyperlink r:id="rId534" ref="U251"/>
    <hyperlink r:id="rId535" ref="B252"/>
    <hyperlink r:id="rId536" ref="T252"/>
    <hyperlink r:id="rId537" ref="B253"/>
    <hyperlink r:id="rId538" ref="T253"/>
    <hyperlink r:id="rId539" ref="U253"/>
    <hyperlink r:id="rId540" ref="B254"/>
    <hyperlink r:id="rId541" ref="T254"/>
    <hyperlink r:id="rId542" ref="U254"/>
    <hyperlink r:id="rId543" ref="B255"/>
    <hyperlink r:id="rId544" ref="T255"/>
    <hyperlink r:id="rId545" ref="U255"/>
    <hyperlink r:id="rId546" ref="B256"/>
    <hyperlink r:id="rId547" ref="T256"/>
    <hyperlink r:id="rId548" ref="U256"/>
    <hyperlink r:id="rId549" ref="B257"/>
    <hyperlink r:id="rId550" ref="T257"/>
    <hyperlink r:id="rId551" ref="U257"/>
    <hyperlink r:id="rId552" ref="B258"/>
    <hyperlink r:id="rId553" ref="T258"/>
    <hyperlink r:id="rId554" ref="B259"/>
    <hyperlink r:id="rId555" ref="T259"/>
    <hyperlink r:id="rId556" ref="U259"/>
    <hyperlink r:id="rId557" ref="B260"/>
    <hyperlink r:id="rId558" ref="T260"/>
    <hyperlink r:id="rId559" ref="U260"/>
    <hyperlink r:id="rId560" ref="B261"/>
    <hyperlink r:id="rId561" ref="T261"/>
    <hyperlink r:id="rId562" ref="U261"/>
    <hyperlink r:id="rId563" ref="B262"/>
    <hyperlink r:id="rId564" ref="T262"/>
    <hyperlink r:id="rId565" ref="U262"/>
    <hyperlink r:id="rId566" ref="B263"/>
    <hyperlink r:id="rId567" ref="T263"/>
    <hyperlink r:id="rId568" ref="U263"/>
    <hyperlink r:id="rId569" ref="B264"/>
    <hyperlink r:id="rId570" ref="T264"/>
    <hyperlink r:id="rId571" ref="U264"/>
    <hyperlink r:id="rId572" ref="B265"/>
    <hyperlink r:id="rId573" ref="T265"/>
    <hyperlink r:id="rId574" ref="U265"/>
    <hyperlink r:id="rId575" ref="B266"/>
    <hyperlink r:id="rId576" ref="T266"/>
    <hyperlink r:id="rId577" ref="U266"/>
    <hyperlink r:id="rId578" ref="B267"/>
    <hyperlink r:id="rId579" ref="T267"/>
    <hyperlink r:id="rId580" ref="B268"/>
    <hyperlink r:id="rId581" ref="T268"/>
    <hyperlink r:id="rId582" ref="U268"/>
    <hyperlink r:id="rId583" ref="B269"/>
    <hyperlink r:id="rId584" ref="T269"/>
    <hyperlink r:id="rId585" ref="U269"/>
    <hyperlink r:id="rId586" ref="B270"/>
    <hyperlink r:id="rId587" ref="T270"/>
    <hyperlink r:id="rId588" ref="U270"/>
    <hyperlink r:id="rId589" ref="B271"/>
    <hyperlink r:id="rId590" ref="T271"/>
    <hyperlink r:id="rId591" ref="U271"/>
    <hyperlink r:id="rId592" ref="B272"/>
    <hyperlink r:id="rId593" ref="T272"/>
    <hyperlink r:id="rId594" ref="U272"/>
    <hyperlink r:id="rId595" ref="B273"/>
    <hyperlink r:id="rId596" ref="T273"/>
    <hyperlink r:id="rId597" ref="U273"/>
    <hyperlink r:id="rId598" ref="B274"/>
    <hyperlink r:id="rId599" ref="T274"/>
    <hyperlink r:id="rId600" ref="U274"/>
    <hyperlink r:id="rId601" ref="B275"/>
    <hyperlink r:id="rId602" ref="T275"/>
    <hyperlink r:id="rId603" ref="U275"/>
    <hyperlink r:id="rId604" ref="B276"/>
    <hyperlink r:id="rId605" ref="T276"/>
    <hyperlink r:id="rId606" ref="U276"/>
    <hyperlink r:id="rId607" ref="B277"/>
    <hyperlink r:id="rId608" ref="T277"/>
    <hyperlink r:id="rId609" ref="U277"/>
    <hyperlink r:id="rId610" ref="B278"/>
    <hyperlink r:id="rId611" ref="T278"/>
    <hyperlink r:id="rId612" ref="U278"/>
    <hyperlink r:id="rId613" ref="B279"/>
    <hyperlink r:id="rId614" ref="T279"/>
    <hyperlink r:id="rId615" ref="U279"/>
    <hyperlink r:id="rId616" ref="B280"/>
    <hyperlink r:id="rId617" ref="T280"/>
    <hyperlink r:id="rId618" ref="U280"/>
    <hyperlink r:id="rId619" ref="B281"/>
    <hyperlink r:id="rId620" ref="T281"/>
    <hyperlink r:id="rId621" ref="U281"/>
    <hyperlink r:id="rId622" ref="B282"/>
    <hyperlink r:id="rId623" ref="T282"/>
    <hyperlink r:id="rId624" ref="U282"/>
    <hyperlink r:id="rId625" ref="B283"/>
    <hyperlink r:id="rId626" ref="T283"/>
    <hyperlink r:id="rId627" ref="U283"/>
    <hyperlink r:id="rId628" ref="B284"/>
    <hyperlink r:id="rId629" ref="T284"/>
    <hyperlink r:id="rId630" ref="U284"/>
    <hyperlink r:id="rId631" ref="B285"/>
    <hyperlink r:id="rId632" ref="T285"/>
    <hyperlink r:id="rId633" ref="U285"/>
    <hyperlink r:id="rId634" ref="B286"/>
    <hyperlink r:id="rId635" ref="T286"/>
    <hyperlink r:id="rId636" ref="U286"/>
    <hyperlink r:id="rId637" ref="B287"/>
    <hyperlink r:id="rId638" ref="T287"/>
    <hyperlink r:id="rId639" ref="U287"/>
    <hyperlink r:id="rId640" ref="B288"/>
    <hyperlink r:id="rId641" ref="T288"/>
    <hyperlink r:id="rId642" ref="U288"/>
    <hyperlink r:id="rId643" ref="B289"/>
    <hyperlink r:id="rId644" ref="T289"/>
    <hyperlink r:id="rId645" ref="U289"/>
    <hyperlink r:id="rId646" ref="B290"/>
    <hyperlink r:id="rId647" ref="T290"/>
    <hyperlink r:id="rId648" ref="U290"/>
    <hyperlink r:id="rId649" ref="B291"/>
    <hyperlink r:id="rId650" ref="T291"/>
    <hyperlink r:id="rId651" ref="U291"/>
    <hyperlink r:id="rId652" ref="B292"/>
    <hyperlink r:id="rId653" ref="T292"/>
    <hyperlink r:id="rId654" ref="U292"/>
    <hyperlink r:id="rId655" ref="B293"/>
    <hyperlink r:id="rId656" ref="T293"/>
    <hyperlink r:id="rId657" ref="U293"/>
    <hyperlink r:id="rId658" ref="B294"/>
    <hyperlink r:id="rId659" ref="T294"/>
    <hyperlink r:id="rId660" ref="U294"/>
    <hyperlink r:id="rId661" ref="B295"/>
    <hyperlink r:id="rId662" ref="T295"/>
    <hyperlink r:id="rId663" ref="U295"/>
    <hyperlink r:id="rId664" ref="B296"/>
    <hyperlink r:id="rId665" ref="T296"/>
    <hyperlink r:id="rId666" ref="U296"/>
    <hyperlink r:id="rId667" ref="B297"/>
    <hyperlink r:id="rId668" ref="T297"/>
    <hyperlink r:id="rId669" ref="U297"/>
    <hyperlink r:id="rId670" ref="B298"/>
    <hyperlink r:id="rId671" ref="T298"/>
    <hyperlink r:id="rId672" ref="U298"/>
    <hyperlink r:id="rId673" ref="B299"/>
    <hyperlink r:id="rId674" ref="T299"/>
    <hyperlink r:id="rId675" ref="B300"/>
    <hyperlink r:id="rId676" ref="T300"/>
    <hyperlink r:id="rId677" ref="U300"/>
    <hyperlink r:id="rId678" ref="B301"/>
    <hyperlink r:id="rId679" ref="T301"/>
    <hyperlink r:id="rId680" ref="U301"/>
    <hyperlink r:id="rId681" ref="B302"/>
    <hyperlink r:id="rId682" ref="T302"/>
    <hyperlink r:id="rId683" ref="U302"/>
    <hyperlink r:id="rId684" ref="B303"/>
    <hyperlink r:id="rId685" ref="T303"/>
    <hyperlink r:id="rId686" ref="U303"/>
    <hyperlink r:id="rId687" ref="B304"/>
    <hyperlink r:id="rId688" ref="T304"/>
    <hyperlink r:id="rId689" ref="U304"/>
    <hyperlink r:id="rId690" ref="B305"/>
    <hyperlink r:id="rId691" ref="T305"/>
    <hyperlink r:id="rId692" ref="U305"/>
    <hyperlink r:id="rId693" ref="B306"/>
    <hyperlink r:id="rId694" ref="T306"/>
    <hyperlink r:id="rId695" ref="U306"/>
    <hyperlink r:id="rId696" ref="B307"/>
    <hyperlink r:id="rId697" ref="T307"/>
    <hyperlink r:id="rId698" ref="U307"/>
    <hyperlink r:id="rId699" ref="B308"/>
    <hyperlink r:id="rId700" ref="T308"/>
    <hyperlink r:id="rId701" ref="U308"/>
    <hyperlink r:id="rId702" ref="B309"/>
    <hyperlink r:id="rId703" ref="T309"/>
    <hyperlink r:id="rId704" ref="U309"/>
    <hyperlink r:id="rId705" ref="B310"/>
    <hyperlink r:id="rId706" ref="T310"/>
    <hyperlink r:id="rId707" ref="U310"/>
    <hyperlink r:id="rId708" ref="B311"/>
    <hyperlink r:id="rId709" ref="T311"/>
    <hyperlink r:id="rId710" ref="U311"/>
    <hyperlink r:id="rId711" ref="B312"/>
    <hyperlink r:id="rId712" ref="T312"/>
    <hyperlink r:id="rId713" ref="U312"/>
    <hyperlink r:id="rId714" ref="B313"/>
    <hyperlink r:id="rId715" ref="T313"/>
    <hyperlink r:id="rId716" ref="U313"/>
    <hyperlink r:id="rId717" ref="B314"/>
    <hyperlink r:id="rId718" ref="T314"/>
    <hyperlink r:id="rId719" ref="U314"/>
    <hyperlink r:id="rId720" ref="B315"/>
    <hyperlink r:id="rId721" ref="T315"/>
    <hyperlink r:id="rId722" ref="U315"/>
    <hyperlink r:id="rId723" ref="B316"/>
    <hyperlink r:id="rId724" ref="T316"/>
    <hyperlink r:id="rId725" ref="U316"/>
    <hyperlink r:id="rId726" ref="B317"/>
    <hyperlink r:id="rId727" ref="T317"/>
    <hyperlink r:id="rId728" ref="U317"/>
    <hyperlink r:id="rId729" ref="B318"/>
    <hyperlink r:id="rId730" ref="T318"/>
    <hyperlink r:id="rId731" ref="U318"/>
    <hyperlink r:id="rId732" ref="B319"/>
    <hyperlink r:id="rId733" ref="T319"/>
    <hyperlink r:id="rId734" ref="U319"/>
    <hyperlink r:id="rId735" ref="B320"/>
    <hyperlink r:id="rId736" ref="T320"/>
    <hyperlink r:id="rId737" ref="U320"/>
    <hyperlink r:id="rId738" ref="B321"/>
    <hyperlink r:id="rId739" ref="T321"/>
    <hyperlink r:id="rId740" ref="U321"/>
    <hyperlink r:id="rId741" ref="B322"/>
    <hyperlink r:id="rId742" ref="T322"/>
    <hyperlink r:id="rId743" ref="U322"/>
    <hyperlink r:id="rId744" ref="B323"/>
    <hyperlink r:id="rId745" ref="T323"/>
    <hyperlink r:id="rId746" ref="U323"/>
    <hyperlink r:id="rId747" ref="B324"/>
    <hyperlink r:id="rId748" ref="T324"/>
    <hyperlink r:id="rId749" ref="U324"/>
    <hyperlink r:id="rId750" ref="B325"/>
    <hyperlink r:id="rId751" ref="T325"/>
    <hyperlink r:id="rId752" ref="U325"/>
    <hyperlink r:id="rId753" ref="B326"/>
    <hyperlink r:id="rId754" ref="T326"/>
    <hyperlink r:id="rId755" ref="U326"/>
    <hyperlink r:id="rId756" ref="B327"/>
    <hyperlink r:id="rId757" ref="T327"/>
    <hyperlink r:id="rId758" ref="U327"/>
    <hyperlink r:id="rId759" ref="B328"/>
    <hyperlink r:id="rId760" ref="T328"/>
    <hyperlink r:id="rId761" ref="U328"/>
    <hyperlink r:id="rId762" ref="B329"/>
    <hyperlink r:id="rId763" ref="T329"/>
    <hyperlink r:id="rId764" ref="U329"/>
    <hyperlink r:id="rId765" ref="B330"/>
    <hyperlink r:id="rId766" ref="T330"/>
    <hyperlink r:id="rId767" ref="U330"/>
    <hyperlink r:id="rId768" ref="B331"/>
    <hyperlink r:id="rId769" ref="T331"/>
    <hyperlink r:id="rId770" ref="U331"/>
    <hyperlink r:id="rId771" ref="B332"/>
    <hyperlink r:id="rId772" ref="T332"/>
    <hyperlink r:id="rId773" ref="U332"/>
    <hyperlink r:id="rId774" ref="B333"/>
    <hyperlink r:id="rId775" ref="T333"/>
    <hyperlink r:id="rId776" ref="U333"/>
    <hyperlink r:id="rId777" ref="B334"/>
    <hyperlink r:id="rId778" ref="T334"/>
    <hyperlink r:id="rId779" ref="U334"/>
    <hyperlink r:id="rId780" ref="B335"/>
    <hyperlink r:id="rId781" ref="T335"/>
    <hyperlink r:id="rId782" ref="U335"/>
    <hyperlink r:id="rId783" ref="B336"/>
    <hyperlink r:id="rId784" ref="T336"/>
    <hyperlink r:id="rId785" ref="U336"/>
    <hyperlink r:id="rId786" ref="B337"/>
    <hyperlink r:id="rId787" ref="T337"/>
    <hyperlink r:id="rId788" ref="U337"/>
    <hyperlink r:id="rId789" ref="B338"/>
    <hyperlink r:id="rId790" ref="T338"/>
    <hyperlink r:id="rId791" ref="U338"/>
    <hyperlink r:id="rId792" ref="B339"/>
    <hyperlink r:id="rId793" ref="T339"/>
    <hyperlink r:id="rId794" ref="U339"/>
    <hyperlink r:id="rId795" ref="B340"/>
    <hyperlink r:id="rId796" ref="T340"/>
    <hyperlink r:id="rId797" ref="U340"/>
    <hyperlink r:id="rId798" ref="B341"/>
    <hyperlink r:id="rId799" ref="T341"/>
    <hyperlink r:id="rId800" ref="U341"/>
    <hyperlink r:id="rId801" ref="B342"/>
    <hyperlink r:id="rId802" ref="T342"/>
    <hyperlink r:id="rId803" ref="U342"/>
    <hyperlink r:id="rId804" ref="B343"/>
    <hyperlink r:id="rId805" ref="T343"/>
    <hyperlink r:id="rId806" ref="U343"/>
    <hyperlink r:id="rId807" ref="B344"/>
    <hyperlink r:id="rId808" ref="T344"/>
    <hyperlink r:id="rId809" ref="U344"/>
    <hyperlink r:id="rId810" ref="B345"/>
    <hyperlink r:id="rId811" ref="T345"/>
    <hyperlink r:id="rId812" ref="B346"/>
    <hyperlink r:id="rId813" ref="T346"/>
    <hyperlink r:id="rId814" ref="U346"/>
    <hyperlink r:id="rId815" ref="B347"/>
    <hyperlink r:id="rId816" ref="T347"/>
    <hyperlink r:id="rId817" ref="U347"/>
    <hyperlink r:id="rId818" ref="B348"/>
    <hyperlink r:id="rId819" ref="T348"/>
    <hyperlink r:id="rId820" ref="U348"/>
    <hyperlink r:id="rId821" ref="B349"/>
    <hyperlink r:id="rId822" ref="T349"/>
    <hyperlink r:id="rId823" ref="U349"/>
    <hyperlink r:id="rId824" ref="B350"/>
    <hyperlink r:id="rId825" ref="T350"/>
    <hyperlink r:id="rId826" ref="U350"/>
    <hyperlink r:id="rId827" ref="B351"/>
    <hyperlink r:id="rId828" ref="T351"/>
    <hyperlink r:id="rId829" ref="U351"/>
    <hyperlink r:id="rId830" ref="B352"/>
    <hyperlink r:id="rId831" ref="T352"/>
    <hyperlink r:id="rId832" ref="U352"/>
    <hyperlink r:id="rId833" ref="B353"/>
    <hyperlink r:id="rId834" ref="T353"/>
    <hyperlink r:id="rId835" ref="U353"/>
    <hyperlink r:id="rId836" ref="B354"/>
    <hyperlink r:id="rId837" ref="T354"/>
    <hyperlink r:id="rId838" ref="U354"/>
    <hyperlink r:id="rId839" ref="B355"/>
    <hyperlink r:id="rId840" ref="T355"/>
    <hyperlink r:id="rId841" ref="U355"/>
    <hyperlink r:id="rId842" ref="B356"/>
    <hyperlink r:id="rId843" ref="T356"/>
    <hyperlink r:id="rId844" ref="U356"/>
    <hyperlink r:id="rId845" ref="B357"/>
    <hyperlink r:id="rId846" ref="T357"/>
    <hyperlink r:id="rId847" ref="U357"/>
    <hyperlink r:id="rId848" ref="B358"/>
    <hyperlink r:id="rId849" ref="T358"/>
    <hyperlink r:id="rId850" ref="U358"/>
    <hyperlink r:id="rId851" ref="B359"/>
    <hyperlink r:id="rId852" ref="T359"/>
    <hyperlink r:id="rId853" ref="B360"/>
    <hyperlink r:id="rId854" ref="T360"/>
    <hyperlink r:id="rId855" ref="U360"/>
    <hyperlink r:id="rId856" ref="B361"/>
    <hyperlink r:id="rId857" ref="T361"/>
    <hyperlink r:id="rId858" ref="U361"/>
    <hyperlink r:id="rId859" ref="B362"/>
    <hyperlink r:id="rId860" ref="T362"/>
    <hyperlink r:id="rId861" ref="U362"/>
    <hyperlink r:id="rId862" ref="B363"/>
    <hyperlink r:id="rId863" ref="T363"/>
    <hyperlink r:id="rId864" ref="U363"/>
    <hyperlink r:id="rId865" ref="B364"/>
    <hyperlink r:id="rId866" ref="T364"/>
    <hyperlink r:id="rId867" ref="U364"/>
    <hyperlink r:id="rId868" ref="B365"/>
    <hyperlink r:id="rId869" ref="T365"/>
    <hyperlink r:id="rId870" ref="U365"/>
    <hyperlink r:id="rId871" ref="B366"/>
    <hyperlink r:id="rId872" ref="T366"/>
    <hyperlink r:id="rId873" ref="U366"/>
    <hyperlink r:id="rId874" ref="B367"/>
    <hyperlink r:id="rId875" ref="T367"/>
    <hyperlink r:id="rId876" ref="U367"/>
    <hyperlink r:id="rId877" ref="B368"/>
    <hyperlink r:id="rId878" ref="T368"/>
    <hyperlink r:id="rId879" ref="U368"/>
    <hyperlink r:id="rId880" ref="B369"/>
    <hyperlink r:id="rId881" ref="T369"/>
    <hyperlink r:id="rId882" ref="U369"/>
    <hyperlink r:id="rId883" ref="B370"/>
    <hyperlink r:id="rId884" ref="T370"/>
    <hyperlink r:id="rId885" ref="U370"/>
    <hyperlink r:id="rId886" ref="B371"/>
    <hyperlink r:id="rId887" ref="T371"/>
    <hyperlink r:id="rId888" ref="U371"/>
    <hyperlink r:id="rId889" ref="B372"/>
    <hyperlink r:id="rId890" ref="T372"/>
    <hyperlink r:id="rId891" ref="U372"/>
    <hyperlink r:id="rId892" ref="B373"/>
    <hyperlink r:id="rId893" ref="T373"/>
    <hyperlink r:id="rId894" ref="B374"/>
    <hyperlink r:id="rId895" ref="T374"/>
    <hyperlink r:id="rId896" ref="B375"/>
    <hyperlink r:id="rId897" ref="T375"/>
    <hyperlink r:id="rId898" ref="B376"/>
    <hyperlink r:id="rId899" ref="T376"/>
    <hyperlink r:id="rId900" ref="B377"/>
    <hyperlink r:id="rId901" ref="T377"/>
    <hyperlink r:id="rId902" ref="B378"/>
    <hyperlink r:id="rId903" ref="T378"/>
    <hyperlink r:id="rId904" ref="U378"/>
    <hyperlink r:id="rId905" ref="B379"/>
    <hyperlink r:id="rId906" ref="T379"/>
    <hyperlink r:id="rId907" ref="U379"/>
    <hyperlink r:id="rId908" ref="B380"/>
    <hyperlink r:id="rId909" ref="T380"/>
    <hyperlink r:id="rId910" ref="U380"/>
    <hyperlink r:id="rId911" ref="B381"/>
    <hyperlink r:id="rId912" ref="T381"/>
    <hyperlink r:id="rId913" ref="U381"/>
    <hyperlink r:id="rId914" ref="B382"/>
    <hyperlink r:id="rId915" ref="T382"/>
    <hyperlink r:id="rId916" ref="U382"/>
    <hyperlink r:id="rId917" ref="B383"/>
    <hyperlink r:id="rId918" ref="T383"/>
    <hyperlink r:id="rId919" ref="U383"/>
    <hyperlink r:id="rId920" ref="B384"/>
    <hyperlink r:id="rId921" ref="T384"/>
    <hyperlink r:id="rId922" ref="U384"/>
    <hyperlink r:id="rId923" ref="B385"/>
    <hyperlink r:id="rId924" ref="T385"/>
    <hyperlink r:id="rId925" ref="U385"/>
    <hyperlink r:id="rId926" ref="B386"/>
    <hyperlink r:id="rId927" ref="T386"/>
    <hyperlink r:id="rId928" ref="U386"/>
    <hyperlink r:id="rId929" ref="B387"/>
    <hyperlink r:id="rId930" ref="T387"/>
    <hyperlink r:id="rId931" ref="U387"/>
    <hyperlink r:id="rId932" ref="B388"/>
    <hyperlink r:id="rId933" ref="T388"/>
    <hyperlink r:id="rId934" ref="U388"/>
    <hyperlink r:id="rId935" ref="B389"/>
    <hyperlink r:id="rId936" ref="T389"/>
    <hyperlink r:id="rId937" ref="U389"/>
    <hyperlink r:id="rId938" ref="B390"/>
    <hyperlink r:id="rId939" ref="T390"/>
    <hyperlink r:id="rId940" ref="U390"/>
    <hyperlink r:id="rId941" ref="B391"/>
    <hyperlink r:id="rId942" ref="T391"/>
    <hyperlink r:id="rId943" ref="U391"/>
    <hyperlink r:id="rId944" ref="B392"/>
    <hyperlink r:id="rId945" ref="T392"/>
    <hyperlink r:id="rId946" ref="U392"/>
    <hyperlink r:id="rId947" ref="B393"/>
    <hyperlink r:id="rId948" ref="T393"/>
    <hyperlink r:id="rId949" ref="U393"/>
    <hyperlink r:id="rId950" ref="B394"/>
    <hyperlink r:id="rId951" ref="T394"/>
    <hyperlink r:id="rId952" ref="U394"/>
    <hyperlink r:id="rId953" ref="B395"/>
    <hyperlink r:id="rId954" ref="T395"/>
    <hyperlink r:id="rId955" ref="U395"/>
    <hyperlink r:id="rId956" ref="B396"/>
    <hyperlink r:id="rId957" ref="T396"/>
    <hyperlink r:id="rId958" ref="U396"/>
    <hyperlink r:id="rId959" ref="B397"/>
    <hyperlink r:id="rId960" ref="T397"/>
    <hyperlink r:id="rId961" ref="U397"/>
    <hyperlink r:id="rId962" ref="B398"/>
    <hyperlink r:id="rId963" ref="T398"/>
    <hyperlink r:id="rId964" ref="U398"/>
    <hyperlink r:id="rId965" ref="B399"/>
    <hyperlink r:id="rId966" ref="T399"/>
    <hyperlink r:id="rId967" ref="U399"/>
    <hyperlink r:id="rId968" ref="B400"/>
    <hyperlink r:id="rId969" ref="T400"/>
    <hyperlink r:id="rId970" ref="U400"/>
    <hyperlink r:id="rId971" ref="B401"/>
    <hyperlink r:id="rId972" ref="T401"/>
    <hyperlink r:id="rId973" ref="U401"/>
    <hyperlink r:id="rId974" ref="B402"/>
    <hyperlink r:id="rId975" ref="T402"/>
    <hyperlink r:id="rId976" ref="U402"/>
    <hyperlink r:id="rId977" ref="B403"/>
    <hyperlink r:id="rId978" ref="T403"/>
    <hyperlink r:id="rId979" ref="U403"/>
    <hyperlink r:id="rId980" ref="B404"/>
    <hyperlink r:id="rId981" ref="T404"/>
    <hyperlink r:id="rId982" ref="U404"/>
    <hyperlink r:id="rId983" ref="B405"/>
    <hyperlink r:id="rId984" ref="T405"/>
    <hyperlink r:id="rId985" ref="U405"/>
    <hyperlink r:id="rId986" ref="B406"/>
    <hyperlink r:id="rId987" ref="T406"/>
    <hyperlink r:id="rId988" ref="U406"/>
    <hyperlink r:id="rId989" ref="B407"/>
    <hyperlink r:id="rId990" ref="T407"/>
    <hyperlink r:id="rId991" ref="U407"/>
    <hyperlink r:id="rId992" ref="B408"/>
    <hyperlink r:id="rId993" ref="T408"/>
    <hyperlink r:id="rId994" ref="U408"/>
    <hyperlink r:id="rId995" ref="B409"/>
    <hyperlink r:id="rId996" ref="T409"/>
    <hyperlink r:id="rId997" ref="U409"/>
    <hyperlink r:id="rId998" ref="B410"/>
    <hyperlink r:id="rId999" ref="T410"/>
    <hyperlink r:id="rId1000" ref="U410"/>
    <hyperlink r:id="rId1001" ref="B411"/>
    <hyperlink r:id="rId1002" ref="T411"/>
    <hyperlink r:id="rId1003" ref="U411"/>
    <hyperlink r:id="rId1004" ref="B412"/>
    <hyperlink r:id="rId1005" ref="T412"/>
    <hyperlink r:id="rId1006" ref="U412"/>
    <hyperlink r:id="rId1007" ref="B413"/>
    <hyperlink r:id="rId1008" ref="T413"/>
    <hyperlink r:id="rId1009" ref="U413"/>
    <hyperlink r:id="rId1010" ref="B414"/>
    <hyperlink r:id="rId1011" ref="T414"/>
    <hyperlink r:id="rId1012" ref="U414"/>
    <hyperlink r:id="rId1013" ref="B415"/>
    <hyperlink r:id="rId1014" ref="T415"/>
    <hyperlink r:id="rId1015" ref="U415"/>
    <hyperlink r:id="rId1016" ref="B416"/>
    <hyperlink r:id="rId1017" ref="T416"/>
    <hyperlink r:id="rId1018" ref="U416"/>
    <hyperlink r:id="rId1019" ref="B417"/>
    <hyperlink r:id="rId1020" ref="T417"/>
    <hyperlink r:id="rId1021" ref="U417"/>
    <hyperlink r:id="rId1022" ref="B418"/>
    <hyperlink r:id="rId1023" ref="T418"/>
    <hyperlink r:id="rId1024" ref="U418"/>
    <hyperlink r:id="rId1025" ref="B419"/>
    <hyperlink r:id="rId1026" ref="T419"/>
    <hyperlink r:id="rId1027" ref="U419"/>
    <hyperlink r:id="rId1028" ref="B420"/>
    <hyperlink r:id="rId1029" ref="T420"/>
    <hyperlink r:id="rId1030" ref="U420"/>
    <hyperlink r:id="rId1031" ref="B421"/>
    <hyperlink r:id="rId1032" ref="T421"/>
    <hyperlink r:id="rId1033" ref="U421"/>
    <hyperlink r:id="rId1034" ref="B422"/>
    <hyperlink r:id="rId1035" ref="T422"/>
    <hyperlink r:id="rId1036" ref="U422"/>
    <hyperlink r:id="rId1037" ref="B423"/>
    <hyperlink r:id="rId1038" ref="T423"/>
    <hyperlink r:id="rId1039" ref="U423"/>
    <hyperlink r:id="rId1040" ref="B424"/>
    <hyperlink r:id="rId1041" ref="T424"/>
    <hyperlink r:id="rId1042" ref="U424"/>
    <hyperlink r:id="rId1043" ref="B425"/>
    <hyperlink r:id="rId1044" ref="T425"/>
    <hyperlink r:id="rId1045" ref="U425"/>
    <hyperlink r:id="rId1046" ref="B426"/>
    <hyperlink r:id="rId1047" ref="T426"/>
    <hyperlink r:id="rId1048" ref="U426"/>
    <hyperlink r:id="rId1049" ref="B427"/>
    <hyperlink r:id="rId1050" ref="T427"/>
    <hyperlink r:id="rId1051" ref="U427"/>
    <hyperlink r:id="rId1052" ref="B428"/>
    <hyperlink r:id="rId1053" ref="T428"/>
    <hyperlink r:id="rId1054" ref="U428"/>
    <hyperlink r:id="rId1055" ref="B429"/>
    <hyperlink r:id="rId1056" ref="T429"/>
    <hyperlink r:id="rId1057" ref="U429"/>
    <hyperlink r:id="rId1058" ref="B430"/>
    <hyperlink r:id="rId1059" ref="T430"/>
    <hyperlink r:id="rId1060" ref="U430"/>
    <hyperlink r:id="rId1061" ref="B431"/>
    <hyperlink r:id="rId1062" ref="T431"/>
    <hyperlink r:id="rId1063" ref="U431"/>
    <hyperlink r:id="rId1064" ref="B432"/>
    <hyperlink r:id="rId1065" ref="T432"/>
    <hyperlink r:id="rId1066" ref="U432"/>
    <hyperlink r:id="rId1067" ref="B433"/>
    <hyperlink r:id="rId1068" ref="T433"/>
    <hyperlink r:id="rId1069" ref="U433"/>
    <hyperlink r:id="rId1070" ref="B434"/>
    <hyperlink r:id="rId1071" ref="T434"/>
    <hyperlink r:id="rId1072" ref="U434"/>
    <hyperlink r:id="rId1073" ref="B435"/>
    <hyperlink r:id="rId1074" ref="T435"/>
    <hyperlink r:id="rId1075" ref="U435"/>
    <hyperlink r:id="rId1076" ref="B436"/>
    <hyperlink r:id="rId1077" ref="T436"/>
    <hyperlink r:id="rId1078" ref="U436"/>
    <hyperlink r:id="rId1079" ref="B437"/>
    <hyperlink r:id="rId1080" ref="T437"/>
    <hyperlink r:id="rId1081" ref="U437"/>
    <hyperlink r:id="rId1082" ref="B438"/>
    <hyperlink r:id="rId1083" ref="T438"/>
    <hyperlink r:id="rId1084" ref="U438"/>
    <hyperlink r:id="rId1085" ref="B439"/>
    <hyperlink r:id="rId1086" ref="T439"/>
    <hyperlink r:id="rId1087" ref="U439"/>
    <hyperlink r:id="rId1088" ref="B440"/>
    <hyperlink r:id="rId1089" ref="T440"/>
    <hyperlink r:id="rId1090" ref="U440"/>
    <hyperlink r:id="rId1091" ref="B441"/>
    <hyperlink r:id="rId1092" ref="T441"/>
    <hyperlink r:id="rId1093" ref="U441"/>
    <hyperlink r:id="rId1094" ref="B442"/>
    <hyperlink r:id="rId1095" ref="T442"/>
    <hyperlink r:id="rId1096" ref="U442"/>
    <hyperlink r:id="rId1097" ref="B443"/>
    <hyperlink r:id="rId1098" ref="T443"/>
    <hyperlink r:id="rId1099" ref="U443"/>
    <hyperlink r:id="rId1100" ref="B444"/>
    <hyperlink r:id="rId1101" ref="T444"/>
    <hyperlink r:id="rId1102" ref="U444"/>
    <hyperlink r:id="rId1103" ref="B445"/>
    <hyperlink r:id="rId1104" ref="T445"/>
    <hyperlink r:id="rId1105" ref="U445"/>
    <hyperlink r:id="rId1106" ref="B446"/>
    <hyperlink r:id="rId1107" ref="T446"/>
    <hyperlink r:id="rId1108" ref="U446"/>
    <hyperlink r:id="rId1109" ref="B447"/>
    <hyperlink r:id="rId1110" ref="T447"/>
    <hyperlink r:id="rId1111" ref="U447"/>
    <hyperlink r:id="rId1112" ref="B448"/>
    <hyperlink r:id="rId1113" ref="T448"/>
    <hyperlink r:id="rId1114" ref="U448"/>
    <hyperlink r:id="rId1115" ref="B449"/>
    <hyperlink r:id="rId1116" ref="T449"/>
    <hyperlink r:id="rId1117" ref="U449"/>
    <hyperlink r:id="rId1118" ref="B450"/>
    <hyperlink r:id="rId1119" ref="T450"/>
    <hyperlink r:id="rId1120" ref="U450"/>
    <hyperlink r:id="rId1121" ref="B451"/>
    <hyperlink r:id="rId1122" ref="T451"/>
    <hyperlink r:id="rId1123" ref="U451"/>
    <hyperlink r:id="rId1124" ref="B452"/>
    <hyperlink r:id="rId1125" ref="T452"/>
    <hyperlink r:id="rId1126" ref="U452"/>
    <hyperlink r:id="rId1127" ref="B453"/>
    <hyperlink r:id="rId1128" ref="T453"/>
    <hyperlink r:id="rId1129" ref="U453"/>
    <hyperlink r:id="rId1130" ref="B454"/>
    <hyperlink r:id="rId1131" ref="T454"/>
    <hyperlink r:id="rId1132" ref="U454"/>
    <hyperlink r:id="rId1133" ref="B455"/>
    <hyperlink r:id="rId1134" ref="T455"/>
    <hyperlink r:id="rId1135" ref="U455"/>
    <hyperlink r:id="rId1136" ref="B456"/>
    <hyperlink r:id="rId1137" ref="T456"/>
    <hyperlink r:id="rId1138" ref="U456"/>
    <hyperlink r:id="rId1139" ref="B457"/>
    <hyperlink r:id="rId1140" ref="T457"/>
    <hyperlink r:id="rId1141" ref="U457"/>
    <hyperlink r:id="rId1142" ref="B458"/>
    <hyperlink r:id="rId1143" ref="T458"/>
    <hyperlink r:id="rId1144" ref="U458"/>
    <hyperlink r:id="rId1145" ref="B459"/>
    <hyperlink r:id="rId1146" ref="T459"/>
    <hyperlink r:id="rId1147" ref="U459"/>
    <hyperlink r:id="rId1148" ref="B460"/>
    <hyperlink r:id="rId1149" ref="T460"/>
    <hyperlink r:id="rId1150" ref="U460"/>
    <hyperlink r:id="rId1151" ref="B461"/>
    <hyperlink r:id="rId1152" ref="T461"/>
    <hyperlink r:id="rId1153" ref="U461"/>
    <hyperlink r:id="rId1154" ref="B462"/>
    <hyperlink r:id="rId1155" ref="T462"/>
    <hyperlink r:id="rId1156" ref="U462"/>
    <hyperlink r:id="rId1157" ref="B463"/>
    <hyperlink r:id="rId1158" ref="T463"/>
    <hyperlink r:id="rId1159" ref="U463"/>
    <hyperlink r:id="rId1160" ref="B464"/>
    <hyperlink r:id="rId1161" ref="T464"/>
    <hyperlink r:id="rId1162" ref="U464"/>
    <hyperlink r:id="rId1163" ref="B465"/>
    <hyperlink r:id="rId1164" ref="T465"/>
    <hyperlink r:id="rId1165" ref="U465"/>
    <hyperlink r:id="rId1166" ref="B466"/>
    <hyperlink r:id="rId1167" ref="T466"/>
    <hyperlink r:id="rId1168" ref="U466"/>
    <hyperlink r:id="rId1169" ref="B467"/>
    <hyperlink r:id="rId1170" ref="T467"/>
    <hyperlink r:id="rId1171" ref="U467"/>
    <hyperlink r:id="rId1172" ref="B468"/>
    <hyperlink r:id="rId1173" ref="T468"/>
    <hyperlink r:id="rId1174" ref="U468"/>
    <hyperlink r:id="rId1175" ref="B469"/>
    <hyperlink r:id="rId1176" ref="T469"/>
    <hyperlink r:id="rId1177" ref="U469"/>
    <hyperlink r:id="rId1178" ref="B470"/>
    <hyperlink r:id="rId1179" ref="T470"/>
    <hyperlink r:id="rId1180" ref="U470"/>
    <hyperlink r:id="rId1181" ref="B471"/>
    <hyperlink r:id="rId1182" ref="T471"/>
    <hyperlink r:id="rId1183" ref="U471"/>
    <hyperlink r:id="rId1184" ref="B472"/>
    <hyperlink r:id="rId1185" ref="T472"/>
    <hyperlink r:id="rId1186" ref="U472"/>
    <hyperlink r:id="rId1187" ref="B473"/>
    <hyperlink r:id="rId1188" ref="T473"/>
    <hyperlink r:id="rId1189" ref="U473"/>
    <hyperlink r:id="rId1190" ref="B474"/>
    <hyperlink r:id="rId1191" ref="T474"/>
    <hyperlink r:id="rId1192" ref="U474"/>
    <hyperlink r:id="rId1193" ref="B475"/>
    <hyperlink r:id="rId1194" ref="T475"/>
    <hyperlink r:id="rId1195" ref="U475"/>
    <hyperlink r:id="rId1196" ref="B476"/>
    <hyperlink r:id="rId1197" ref="T476"/>
    <hyperlink r:id="rId1198" ref="U476"/>
    <hyperlink r:id="rId1199" ref="B477"/>
    <hyperlink r:id="rId1200" ref="T477"/>
    <hyperlink r:id="rId1201" ref="U477"/>
    <hyperlink r:id="rId1202" ref="B478"/>
    <hyperlink r:id="rId1203" ref="T478"/>
    <hyperlink r:id="rId1204" ref="U478"/>
    <hyperlink r:id="rId1205" ref="B479"/>
    <hyperlink r:id="rId1206" ref="T479"/>
    <hyperlink r:id="rId1207" ref="U479"/>
    <hyperlink r:id="rId1208" ref="B480"/>
    <hyperlink r:id="rId1209" ref="T480"/>
    <hyperlink r:id="rId1210" ref="U480"/>
    <hyperlink r:id="rId1211" ref="B481"/>
    <hyperlink r:id="rId1212" ref="T481"/>
    <hyperlink r:id="rId1213" ref="U481"/>
    <hyperlink r:id="rId1214" ref="B482"/>
    <hyperlink r:id="rId1215" ref="T482"/>
    <hyperlink r:id="rId1216" ref="U482"/>
    <hyperlink r:id="rId1217" ref="B483"/>
    <hyperlink r:id="rId1218" ref="T483"/>
    <hyperlink r:id="rId1219" ref="U483"/>
    <hyperlink r:id="rId1220" ref="B484"/>
    <hyperlink r:id="rId1221" ref="T484"/>
    <hyperlink r:id="rId1222" ref="U484"/>
    <hyperlink r:id="rId1223" ref="B485"/>
    <hyperlink r:id="rId1224" ref="T485"/>
    <hyperlink r:id="rId1225" ref="U485"/>
    <hyperlink r:id="rId1226" ref="B486"/>
    <hyperlink r:id="rId1227" ref="T486"/>
    <hyperlink r:id="rId1228" ref="U486"/>
    <hyperlink r:id="rId1229" ref="B487"/>
    <hyperlink r:id="rId1230" ref="T487"/>
    <hyperlink r:id="rId1231" ref="U487"/>
    <hyperlink r:id="rId1232" ref="B488"/>
    <hyperlink r:id="rId1233" ref="T488"/>
    <hyperlink r:id="rId1234" ref="B489"/>
    <hyperlink r:id="rId1235" ref="T489"/>
    <hyperlink r:id="rId1236" ref="B490"/>
    <hyperlink r:id="rId1237" ref="T490"/>
    <hyperlink r:id="rId1238" ref="B491"/>
    <hyperlink r:id="rId1239" ref="T491"/>
  </hyperlinks>
  <drawing r:id="rId124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2.63"/>
    <col customWidth="1" min="2" max="2" width="37.5"/>
    <col customWidth="1" min="5" max="5" width="13.88"/>
    <col customWidth="1" min="9" max="9" width="31.88"/>
    <col customWidth="1" min="17" max="17" width="34.5"/>
    <col customWidth="1" min="18" max="18" width="26.0"/>
    <col customWidth="1" min="20" max="20" width="25.63"/>
  </cols>
  <sheetData>
    <row r="1" hidden="1">
      <c r="A1" s="1"/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/>
      <c r="H1" s="5" t="s">
        <v>6</v>
      </c>
      <c r="I1" s="5" t="s">
        <v>7</v>
      </c>
      <c r="J1" s="5" t="s">
        <v>9</v>
      </c>
      <c r="K1" s="5"/>
      <c r="L1" s="7"/>
      <c r="M1" s="7"/>
      <c r="N1" s="7"/>
      <c r="O1" s="7"/>
      <c r="P1" s="7"/>
      <c r="Q1" s="7"/>
      <c r="R1" s="7"/>
      <c r="S1" s="7"/>
      <c r="T1" s="7"/>
      <c r="U1" s="97"/>
    </row>
    <row r="2" hidden="1">
      <c r="A2" s="1"/>
      <c r="B2" s="10" t="s">
        <v>12</v>
      </c>
      <c r="C2" s="10" t="s">
        <v>8</v>
      </c>
      <c r="D2" s="10" t="s">
        <v>10</v>
      </c>
      <c r="E2" s="10" t="s">
        <v>16</v>
      </c>
      <c r="F2" s="10" t="s">
        <v>17</v>
      </c>
      <c r="G2" s="10"/>
      <c r="H2" s="11" t="s">
        <v>15</v>
      </c>
      <c r="I2" s="10" t="s">
        <v>22</v>
      </c>
      <c r="J2" s="10" t="s">
        <v>1</v>
      </c>
      <c r="K2" s="10"/>
      <c r="L2" s="10" t="s">
        <v>2</v>
      </c>
      <c r="M2" s="10" t="s">
        <v>24</v>
      </c>
      <c r="N2" s="10" t="s">
        <v>4</v>
      </c>
      <c r="O2" s="12" t="s">
        <v>23</v>
      </c>
      <c r="P2" s="10" t="s">
        <v>5</v>
      </c>
      <c r="Q2" s="13" t="s">
        <v>29</v>
      </c>
      <c r="R2" s="13" t="s">
        <v>31</v>
      </c>
      <c r="S2" s="13" t="s">
        <v>15</v>
      </c>
      <c r="T2" s="14" t="s">
        <v>32</v>
      </c>
      <c r="U2" s="98"/>
    </row>
    <row r="3" hidden="1">
      <c r="A3" s="1"/>
      <c r="B3" s="16">
        <v>221118.0</v>
      </c>
      <c r="C3" s="20" t="s">
        <v>35</v>
      </c>
      <c r="D3" s="22"/>
      <c r="E3" s="22" t="s">
        <v>37</v>
      </c>
      <c r="F3" s="22" t="s">
        <v>39</v>
      </c>
      <c r="G3" s="22"/>
      <c r="H3" s="24" t="s">
        <v>40</v>
      </c>
      <c r="I3" s="22" t="s">
        <v>41</v>
      </c>
      <c r="J3" s="22" t="s">
        <v>42</v>
      </c>
      <c r="K3" s="22"/>
      <c r="L3" s="22" t="s">
        <v>43</v>
      </c>
      <c r="M3" s="22" t="s">
        <v>45</v>
      </c>
      <c r="N3" s="22" t="s">
        <v>46</v>
      </c>
      <c r="O3" s="22"/>
      <c r="P3" s="22" t="s">
        <v>47</v>
      </c>
      <c r="Q3" s="24" t="str">
        <f>J3</f>
        <v>Facebook</v>
      </c>
      <c r="R3" s="26" t="str">
        <f>L3</f>
        <v>FA</v>
      </c>
      <c r="S3" s="28" t="str">
        <f>CONCATENATE(E3,"_",N3,"_",L3,"_",M3,"_",B3,"_",P3)</f>
        <v>Rongfly_HN_FA_TAH_221118_Badt</v>
      </c>
      <c r="T3" s="28" t="str">
        <f>CONCATENATE(F3,"_",E3,B3,"_",P3)</f>
        <v>sinhvien1823_Rongfly221118_Badt</v>
      </c>
      <c r="U3" s="99"/>
    </row>
    <row r="4" hidden="1">
      <c r="A4" s="1"/>
      <c r="B4" s="7"/>
      <c r="C4" s="7"/>
      <c r="D4" s="17"/>
      <c r="E4" s="32" t="s">
        <v>48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97"/>
    </row>
    <row r="5" hidden="1">
      <c r="A5" s="1"/>
      <c r="B5" s="7"/>
      <c r="C5" s="7"/>
      <c r="D5" s="35"/>
      <c r="E5" s="32" t="s">
        <v>49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97"/>
    </row>
    <row r="6" hidden="1">
      <c r="A6" s="1"/>
      <c r="B6" s="7"/>
      <c r="C6" s="7"/>
      <c r="D6" s="36"/>
      <c r="E6" s="37" t="s">
        <v>50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97"/>
    </row>
    <row r="7">
      <c r="A7" s="6" t="s">
        <v>0</v>
      </c>
      <c r="B7" s="6" t="s">
        <v>8</v>
      </c>
      <c r="C7" s="39" t="s">
        <v>10</v>
      </c>
      <c r="D7" s="6" t="s">
        <v>1</v>
      </c>
      <c r="E7" s="6" t="s">
        <v>2</v>
      </c>
      <c r="F7" s="6" t="s">
        <v>4</v>
      </c>
      <c r="G7" s="9" t="s">
        <v>11</v>
      </c>
      <c r="H7" s="6" t="s">
        <v>13</v>
      </c>
      <c r="I7" s="6" t="s">
        <v>14</v>
      </c>
      <c r="J7" s="39" t="s">
        <v>15</v>
      </c>
      <c r="K7" s="42" t="s">
        <v>18</v>
      </c>
      <c r="L7" s="39" t="s">
        <v>19</v>
      </c>
      <c r="M7" s="39" t="s">
        <v>20</v>
      </c>
      <c r="N7" s="39" t="s">
        <v>21</v>
      </c>
      <c r="O7" s="42" t="s">
        <v>23</v>
      </c>
      <c r="P7" s="39" t="s">
        <v>25</v>
      </c>
      <c r="Q7" s="6" t="s">
        <v>26</v>
      </c>
      <c r="R7" s="6" t="s">
        <v>27</v>
      </c>
      <c r="S7" s="6" t="s">
        <v>54</v>
      </c>
      <c r="T7" s="39" t="s">
        <v>30</v>
      </c>
      <c r="U7" s="100" t="s">
        <v>1125</v>
      </c>
    </row>
    <row r="8">
      <c r="A8" s="45" t="s">
        <v>33</v>
      </c>
      <c r="B8" s="17" t="s">
        <v>34</v>
      </c>
      <c r="C8" s="46" t="s">
        <v>55</v>
      </c>
      <c r="D8" s="19" t="s">
        <v>36</v>
      </c>
      <c r="E8" s="21" t="s">
        <v>36</v>
      </c>
      <c r="F8" s="19" t="s">
        <v>36</v>
      </c>
      <c r="G8" s="47"/>
      <c r="H8" s="19" t="s">
        <v>36</v>
      </c>
      <c r="I8" s="25" t="s">
        <v>1126</v>
      </c>
      <c r="J8" s="25" t="s">
        <v>44</v>
      </c>
      <c r="K8" s="23" t="s">
        <v>38</v>
      </c>
      <c r="L8" s="19" t="s">
        <v>36</v>
      </c>
      <c r="M8" s="19" t="s">
        <v>36</v>
      </c>
      <c r="N8" s="19" t="s">
        <v>36</v>
      </c>
      <c r="O8" s="19" t="s">
        <v>36</v>
      </c>
      <c r="P8" s="19" t="s">
        <v>36</v>
      </c>
      <c r="Q8" s="47" t="s">
        <v>62</v>
      </c>
      <c r="R8" s="47" t="s">
        <v>63</v>
      </c>
      <c r="S8" s="48" t="s">
        <v>64</v>
      </c>
      <c r="T8" s="49" t="s">
        <v>67</v>
      </c>
      <c r="U8" s="101"/>
    </row>
    <row r="9">
      <c r="A9" s="50">
        <v>44183.0</v>
      </c>
      <c r="B9" s="43" t="s">
        <v>73</v>
      </c>
      <c r="C9" s="58" t="str">
        <f>IFERROR(__xludf.DUMMYFUNCTION("FILTER(VLOOKUP(B9:B765,Data!A:B,2,FALSE),B9:B765&lt;&gt;"""")"),"LD012")</f>
        <v>LD012</v>
      </c>
      <c r="D9" s="44" t="s">
        <v>42</v>
      </c>
      <c r="E9" s="44" t="s">
        <v>53</v>
      </c>
      <c r="F9" s="44" t="s">
        <v>60</v>
      </c>
      <c r="G9" s="44" t="s">
        <v>61</v>
      </c>
      <c r="H9" s="44" t="s">
        <v>1131</v>
      </c>
      <c r="I9" s="44" t="s">
        <v>1132</v>
      </c>
      <c r="J9" s="44" t="s">
        <v>88</v>
      </c>
      <c r="K9" s="44" t="s">
        <v>61</v>
      </c>
      <c r="L9" s="44">
        <v>95360.0</v>
      </c>
      <c r="M9" s="44" t="s">
        <v>116</v>
      </c>
      <c r="N9" s="44" t="s">
        <v>70</v>
      </c>
      <c r="O9" s="44" t="s">
        <v>70</v>
      </c>
      <c r="P9" s="44" t="s">
        <v>70</v>
      </c>
      <c r="Q9" s="58" t="str">
        <f>IFERROR(__xludf.DUMMYFUNCTION("FILTER(IF( A9:A765&lt;&gt;"""",IF(H9:H765&lt;&gt;"""",IF(I9:I765&lt;&gt;"""",IF(L9:L765&lt;&gt;"""",IF(N9:N765&lt;&gt;"""",I9:I765&amp;""_""&amp;L9:L765&amp;""_""&amp;N9:N765&amp;""_""&amp;H9:H765&amp;""_""&amp;TRIM(A9:A765),""!!!""),""!!!""),""!!!""),""!!!""),""!!!""),B9:B765&lt;&gt;"""")"),"Blog_95360_NON_HuyLG_181220")</f>
        <v>Blog_95360_NON_HuyLG_181220</v>
      </c>
      <c r="R9" s="58" t="str">
        <f>IFERROR(__xludf.DUMMYFUNCTION("FILTER(IF( A9:A765&lt;&gt;"""",IF(P9:P765&lt;&gt;"""",IF(F9:F765&lt;&gt;"""",IF(G9:G765&lt;&gt;"""",IF(K9:K765&lt;&gt;"""",P9:P765&amp;""_""&amp;F9:F765&amp;""_""&amp;G9:G765&amp;""_""&amp;K9:K765&amp;""_""&amp;TRIM(A9:A765),""!!!""),""!!!""),""!!!""),""!!!""),""!!!""),B9:B765&lt;&gt;"""")"),"NON_NONE_none_none_181220")</f>
        <v>NON_NONE_none_none_181220</v>
      </c>
      <c r="S9" s="58" t="str">
        <f>IFERROR(__xludf.DUMMYFUNCTION("FILTER(IF( M9:M765&lt;&gt;"""",IF(J9:J765&lt;&gt;"""",IF(O9:O765&lt;&gt;"""",IF(C9:C765&lt;&gt;"""",M9:M765&amp;""_""&amp;J9:J765&amp;""_""&amp;O9:O765&amp;""_""&amp;C9:C765,""!!!""),""!!!""),""!!!""),""!!!""),B9:B765&lt;&gt;"""")"),"khac_Content2_NON_LD012")</f>
        <v>khac_Content2_NON_LD012</v>
      </c>
      <c r="T9" s="103" t="str">
        <f>IFERROR(__xludf.DUMMYFUNCTION("FILTER(B9:B765&amp;if(right(B9:B765,1)=""/"",""?"",""/?"")&amp;""utm_source=""&amp;D9:D765&amp;""&amp;utm_medium=""&amp;E9:E765&amp;""&amp;utm_term=""&amp;R9:R765&amp;""&amp;utm_content=""&amp;S9:S765&amp;""&amp;utm_campaign=""&amp;Q9:Q765,B9:B765&lt;&gt;"""")"),"https://patadovietnam.edu.vn/blog/?utm_source=Facebook&amp;utm_medium=SEE&amp;utm_term=NON_NONE_none_none_181220&amp;utm_content=khac_Content2_NON_LD012&amp;utm_campaign=Blog_95360_NON_HuyLG_181220")</f>
        <v>https://patadovietnam.edu.vn/blog/?utm_source=Facebook&amp;utm_medium=SEE&amp;utm_term=NON_NONE_none_none_181220&amp;utm_content=khac_Content2_NON_LD012&amp;utm_campaign=Blog_95360_NON_HuyLG_181220</v>
      </c>
      <c r="U9" s="97"/>
    </row>
    <row r="10">
      <c r="A10" s="164">
        <v>44692.0</v>
      </c>
      <c r="B10" s="165" t="s">
        <v>3303</v>
      </c>
      <c r="C10" s="166" t="str">
        <f>IFERROR(__xludf.DUMMYFUNCTION("""COMPUTED_VALUE"""),"LD126")</f>
        <v>LD126</v>
      </c>
      <c r="D10" s="167" t="s">
        <v>42</v>
      </c>
      <c r="E10" s="167" t="s">
        <v>79</v>
      </c>
      <c r="F10" s="167" t="s">
        <v>614</v>
      </c>
      <c r="G10" s="168">
        <v>1840.0</v>
      </c>
      <c r="H10" s="167" t="s">
        <v>3306</v>
      </c>
      <c r="I10" s="167" t="s">
        <v>3307</v>
      </c>
      <c r="J10" s="167" t="s">
        <v>3308</v>
      </c>
      <c r="K10" s="167" t="s">
        <v>61</v>
      </c>
      <c r="L10" s="167">
        <v>95360.0</v>
      </c>
      <c r="M10" s="167" t="s">
        <v>78</v>
      </c>
      <c r="N10" s="167" t="s">
        <v>79</v>
      </c>
      <c r="O10" s="167" t="s">
        <v>218</v>
      </c>
      <c r="P10" s="167" t="s">
        <v>110</v>
      </c>
      <c r="Q10" s="67" t="str">
        <f>IFERROR(__xludf.DUMMYFUNCTION("""COMPUTED_VALUE"""),"Korea.Giaotiep.Anhsale10_95360_MES_DungNT_110522")</f>
        <v>Korea.Giaotiep.Anhsale10_95360_MES_DungNT_110522</v>
      </c>
      <c r="R10" s="166" t="str">
        <f>IFERROR(__xludf.DUMMYFUNCTION("""COMPUTED_VALUE"""),"NEW_Korea_1840_none_110522")</f>
        <v>NEW_Korea_1840_none_110522</v>
      </c>
      <c r="S10" s="166" t="str">
        <f>IFERROR(__xludf.DUMMYFUNCTION("""COMPUTED_VALUE"""),"saletructiep_Korea.Anhsale10.18-40_PTATTNDL_LD126")</f>
        <v>saletructiep_Korea.Anhsale10.18-40_PTATTNDL_LD126</v>
      </c>
      <c r="T10" s="169" t="str">
        <f>IFERROR(__xludf.DUMMYFUNCTION("""COMPUTED_VALUE"""),"https://patadovietnam.edu.vn/dungnt10_giaotiep/?utm_source=Facebook&amp;utm_medium=MES&amp;utm_term=NEW_Korea_1840_none_110522&amp;utm_content=saletructiep_Korea.Anhsale10.18-40_PTATTNDL_LD126&amp;utm_campaign=Korea.Giaotiep.Anhsale10_95360_MES_DungNT_110522")</f>
        <v>https://patadovietnam.edu.vn/dungnt10_giaotiep/?utm_source=Facebook&amp;utm_medium=MES&amp;utm_term=NEW_Korea_1840_none_110522&amp;utm_content=saletructiep_Korea.Anhsale10.18-40_PTATTNDL_LD126&amp;utm_campaign=Korea.Giaotiep.Anhsale10_95360_MES_DungNT_110522</v>
      </c>
      <c r="U10" s="170"/>
    </row>
    <row r="11">
      <c r="A11" s="64" t="s">
        <v>3314</v>
      </c>
      <c r="B11" s="165" t="s">
        <v>3303</v>
      </c>
      <c r="C11" s="67" t="str">
        <f>IFERROR(__xludf.DUMMYFUNCTION("""COMPUTED_VALUE"""),"LD126")</f>
        <v>LD126</v>
      </c>
      <c r="D11" s="55" t="s">
        <v>42</v>
      </c>
      <c r="E11" s="55" t="s">
        <v>79</v>
      </c>
      <c r="F11" s="55" t="s">
        <v>614</v>
      </c>
      <c r="G11" s="55">
        <v>1840.0</v>
      </c>
      <c r="H11" s="55" t="s">
        <v>3306</v>
      </c>
      <c r="I11" s="167" t="s">
        <v>3307</v>
      </c>
      <c r="J11" s="168" t="s">
        <v>3315</v>
      </c>
      <c r="K11" s="167" t="s">
        <v>61</v>
      </c>
      <c r="L11" s="55">
        <v>95360.0</v>
      </c>
      <c r="M11" s="55" t="s">
        <v>78</v>
      </c>
      <c r="N11" s="55" t="s">
        <v>79</v>
      </c>
      <c r="O11" s="55" t="s">
        <v>218</v>
      </c>
      <c r="P11" s="55" t="s">
        <v>110</v>
      </c>
      <c r="Q11" s="67" t="str">
        <f>IFERROR(__xludf.DUMMYFUNCTION("""COMPUTED_VALUE"""),"Korea.Giaotiep.Anhsale10_95360_MES_DungNT_081122")</f>
        <v>Korea.Giaotiep.Anhsale10_95360_MES_DungNT_081122</v>
      </c>
      <c r="R11" s="67" t="str">
        <f>IFERROR(__xludf.DUMMYFUNCTION("""COMPUTED_VALUE"""),"NEW_Korea_1840_none_081122")</f>
        <v>NEW_Korea_1840_none_081122</v>
      </c>
      <c r="S11" s="67" t="str">
        <f>IFERROR(__xludf.DUMMYFUNCTION("""COMPUTED_VALUE"""),"saletructiep_Korea.Anhsale10.1840.Giaotiep_PTATTNDL_LD126")</f>
        <v>saletructiep_Korea.Anhsale10.1840.Giaotiep_PTATTNDL_LD126</v>
      </c>
      <c r="T11" s="107" t="str">
        <f>IFERROR(__xludf.DUMMYFUNCTION("""COMPUTED_VALUE"""),"https://patadovietnam.edu.vn/dungnt10_giaotiep/?utm_source=Facebook&amp;utm_medium=MES&amp;utm_term=NEW_Korea_1840_none_081122&amp;utm_content=saletructiep_Korea.Anhsale10.1840.Giaotiep_PTATTNDL_LD126&amp;utm_campaign=Korea.Giaotiep.Anhsale10_95360_MES_DungNT_081122")</f>
        <v>https://patadovietnam.edu.vn/dungnt10_giaotiep/?utm_source=Facebook&amp;utm_medium=MES&amp;utm_term=NEW_Korea_1840_none_081122&amp;utm_content=saletructiep_Korea.Anhsale10.1840.Giaotiep_PTATTNDL_LD126&amp;utm_campaign=Korea.Giaotiep.Anhsale10_95360_MES_DungNT_081122</v>
      </c>
      <c r="U11" s="118"/>
    </row>
    <row r="12">
      <c r="A12" s="66">
        <v>91122.0</v>
      </c>
      <c r="B12" s="171" t="s">
        <v>3303</v>
      </c>
      <c r="C12" s="67" t="str">
        <f>IFERROR(__xludf.DUMMYFUNCTION("""COMPUTED_VALUE"""),"LD126")</f>
        <v>LD126</v>
      </c>
      <c r="D12" s="55" t="s">
        <v>42</v>
      </c>
      <c r="E12" s="55" t="s">
        <v>79</v>
      </c>
      <c r="F12" s="55" t="s">
        <v>133</v>
      </c>
      <c r="G12" s="55">
        <v>1840.0</v>
      </c>
      <c r="H12" s="55" t="s">
        <v>3306</v>
      </c>
      <c r="I12" s="55" t="s">
        <v>3319</v>
      </c>
      <c r="J12" s="168" t="s">
        <v>3321</v>
      </c>
      <c r="K12" s="167" t="s">
        <v>61</v>
      </c>
      <c r="L12" s="55">
        <v>95360.0</v>
      </c>
      <c r="M12" s="55" t="s">
        <v>78</v>
      </c>
      <c r="N12" s="55" t="s">
        <v>79</v>
      </c>
      <c r="O12" s="55" t="s">
        <v>218</v>
      </c>
      <c r="P12" s="55" t="s">
        <v>110</v>
      </c>
      <c r="Q12" s="67" t="str">
        <f>IFERROR(__xludf.DUMMYFUNCTION("""COMPUTED_VALUE"""),"Japan.Giaotiep.Anhsale10_95360_MES_DungNT_91122")</f>
        <v>Japan.Giaotiep.Anhsale10_95360_MES_DungNT_91122</v>
      </c>
      <c r="R12" s="67" t="str">
        <f>IFERROR(__xludf.DUMMYFUNCTION("""COMPUTED_VALUE"""),"NEW_Japan_1840_none_91122")</f>
        <v>NEW_Japan_1840_none_91122</v>
      </c>
      <c r="S12" s="67" t="str">
        <f>IFERROR(__xludf.DUMMYFUNCTION("""COMPUTED_VALUE"""),"saletructiep_Japan.Anhsale10.1840.Giaotiep_PTATTNDL_LD126")</f>
        <v>saletructiep_Japan.Anhsale10.1840.Giaotiep_PTATTNDL_LD126</v>
      </c>
      <c r="T12" s="107" t="str">
        <f>IFERROR(__xludf.DUMMYFUNCTION("""COMPUTED_VALUE"""),"https://patadovietnam.edu.vn/dungnt10_giaotiep/?utm_source=Facebook&amp;utm_medium=MES&amp;utm_term=NEW_Japan_1840_none_91122&amp;utm_content=saletructiep_Japan.Anhsale10.1840.Giaotiep_PTATTNDL_LD126&amp;utm_campaign=Japan.Giaotiep.Anhsale10_95360_MES_DungNT_91122")</f>
        <v>https://patadovietnam.edu.vn/dungnt10_giaotiep/?utm_source=Facebook&amp;utm_medium=MES&amp;utm_term=NEW_Japan_1840_none_91122&amp;utm_content=saletructiep_Japan.Anhsale10.1840.Giaotiep_PTATTNDL_LD126&amp;utm_campaign=Japan.Giaotiep.Anhsale10_95360_MES_DungNT_91122</v>
      </c>
      <c r="U12" s="118"/>
    </row>
    <row r="13">
      <c r="A13" s="64" t="s">
        <v>3323</v>
      </c>
      <c r="B13" s="60" t="s">
        <v>3324</v>
      </c>
      <c r="C13" s="67" t="str">
        <f>IFERROR(__xludf.DUMMYFUNCTION("""COMPUTED_VALUE"""),"LD127")</f>
        <v>LD127</v>
      </c>
      <c r="D13" s="55" t="s">
        <v>42</v>
      </c>
      <c r="E13" s="55" t="s">
        <v>79</v>
      </c>
      <c r="F13" s="55" t="s">
        <v>199</v>
      </c>
      <c r="G13" s="55">
        <v>1840.0</v>
      </c>
      <c r="H13" s="55" t="s">
        <v>3306</v>
      </c>
      <c r="I13" s="55" t="s">
        <v>3327</v>
      </c>
      <c r="J13" s="168" t="s">
        <v>3328</v>
      </c>
      <c r="K13" s="167" t="s">
        <v>61</v>
      </c>
      <c r="L13" s="55">
        <v>95360.0</v>
      </c>
      <c r="M13" s="55" t="s">
        <v>78</v>
      </c>
      <c r="N13" s="55" t="s">
        <v>79</v>
      </c>
      <c r="O13" s="55" t="s">
        <v>218</v>
      </c>
      <c r="P13" s="55" t="s">
        <v>110</v>
      </c>
      <c r="Q13" s="67" t="str">
        <f>IFERROR(__xludf.DUMMYFUNCTION("""COMPUTED_VALUE"""),"Vietnam.IELTS.Anhsale11_95360_MES_DungNT_091122")</f>
        <v>Vietnam.IELTS.Anhsale11_95360_MES_DungNT_091122</v>
      </c>
      <c r="R13" s="67" t="str">
        <f>IFERROR(__xludf.DUMMYFUNCTION("""COMPUTED_VALUE"""),"NEW_Vietnam_1840_none_091122")</f>
        <v>NEW_Vietnam_1840_none_091122</v>
      </c>
      <c r="S13" s="67" t="str">
        <f>IFERROR(__xludf.DUMMYFUNCTION("""COMPUTED_VALUE"""),"saletructiep_Vietnam.Anhsale11.1840.IELTS_PTATTNDL_LD127")</f>
        <v>saletructiep_Vietnam.Anhsale11.1840.IELTS_PTATTNDL_LD127</v>
      </c>
      <c r="T13" s="107" t="str">
        <f>IFERROR(__xludf.DUMMYFUNCTION("""COMPUTED_VALUE"""),"https://patadovietnam.edu.vn/dungnt10_ielts_cvs/?utm_source=Facebook&amp;utm_medium=MES&amp;utm_term=NEW_Vietnam_1840_none_091122&amp;utm_content=saletructiep_Vietnam.Anhsale11.1840.IELTS_PTATTNDL_LD127&amp;utm_campaign=Vietnam.IELTS.Anhsale11_95360_MES_DungNT_091122")</f>
        <v>https://patadovietnam.edu.vn/dungnt10_ielts_cvs/?utm_source=Facebook&amp;utm_medium=MES&amp;utm_term=NEW_Vietnam_1840_none_091122&amp;utm_content=saletructiep_Vietnam.Anhsale11.1840.IELTS_PTATTNDL_LD127&amp;utm_campaign=Vietnam.IELTS.Anhsale11_95360_MES_DungNT_091122</v>
      </c>
      <c r="U13" s="118"/>
    </row>
    <row r="14">
      <c r="A14" s="64" t="s">
        <v>3323</v>
      </c>
      <c r="B14" s="165" t="s">
        <v>3303</v>
      </c>
      <c r="C14" s="67" t="str">
        <f>IFERROR(__xludf.DUMMYFUNCTION("""COMPUTED_VALUE"""),"LD126")</f>
        <v>LD126</v>
      </c>
      <c r="D14" s="55" t="s">
        <v>42</v>
      </c>
      <c r="E14" s="55" t="s">
        <v>79</v>
      </c>
      <c r="F14" s="55" t="s">
        <v>199</v>
      </c>
      <c r="G14" s="55">
        <v>1845.0</v>
      </c>
      <c r="H14" s="55" t="s">
        <v>3306</v>
      </c>
      <c r="I14" s="55" t="s">
        <v>3335</v>
      </c>
      <c r="J14" s="168" t="s">
        <v>3336</v>
      </c>
      <c r="K14" s="167" t="s">
        <v>61</v>
      </c>
      <c r="L14" s="55">
        <v>95360.0</v>
      </c>
      <c r="M14" s="55" t="s">
        <v>78</v>
      </c>
      <c r="N14" s="55" t="s">
        <v>79</v>
      </c>
      <c r="O14" s="55" t="s">
        <v>218</v>
      </c>
      <c r="P14" s="55" t="s">
        <v>110</v>
      </c>
      <c r="Q14" s="67" t="str">
        <f>IFERROR(__xludf.DUMMYFUNCTION("""COMPUTED_VALUE"""),"Vietnam.Giaotiep.Anhsale12_95360_MES_DungNT_091122")</f>
        <v>Vietnam.Giaotiep.Anhsale12_95360_MES_DungNT_091122</v>
      </c>
      <c r="R14" s="67" t="str">
        <f>IFERROR(__xludf.DUMMYFUNCTION("""COMPUTED_VALUE"""),"NEW_Vietnam_1845_none_091122")</f>
        <v>NEW_Vietnam_1845_none_091122</v>
      </c>
      <c r="S14" s="67" t="str">
        <f>IFERROR(__xludf.DUMMYFUNCTION("""COMPUTED_VALUE"""),"saletructiep_Vietnam.Anhsale12.1845.Giaotiep_PTATTNDL_LD126")</f>
        <v>saletructiep_Vietnam.Anhsale12.1845.Giaotiep_PTATTNDL_LD126</v>
      </c>
      <c r="T14" s="107" t="str">
        <f>IFERROR(__xludf.DUMMYFUNCTION("""COMPUTED_VALUE"""),"https://patadovietnam.edu.vn/dungnt10_giaotiep/?utm_source=Facebook&amp;utm_medium=MES&amp;utm_term=NEW_Vietnam_1845_none_091122&amp;utm_content=saletructiep_Vietnam.Anhsale12.1845.Giaotiep_PTATTNDL_LD126&amp;utm_campaign=Vietnam.Giaotiep.Anhsale12_95360_MES_DungNT_09112"&amp;"2")</f>
        <v>https://patadovietnam.edu.vn/dungnt10_giaotiep/?utm_source=Facebook&amp;utm_medium=MES&amp;utm_term=NEW_Vietnam_1845_none_091122&amp;utm_content=saletructiep_Vietnam.Anhsale12.1845.Giaotiep_PTATTNDL_LD126&amp;utm_campaign=Vietnam.Giaotiep.Anhsale12_95360_MES_DungNT_091122</v>
      </c>
      <c r="U14" s="118"/>
    </row>
    <row r="15">
      <c r="A15" s="66">
        <v>221122.0</v>
      </c>
      <c r="B15" s="172" t="s">
        <v>3340</v>
      </c>
      <c r="C15" s="67" t="str">
        <f>IFERROR(__xludf.DUMMYFUNCTION("""COMPUTED_VALUE"""),"LD131")</f>
        <v>LD131</v>
      </c>
      <c r="D15" s="55" t="s">
        <v>42</v>
      </c>
      <c r="E15" s="55" t="s">
        <v>79</v>
      </c>
      <c r="F15" s="55" t="s">
        <v>164</v>
      </c>
      <c r="G15" s="55">
        <v>1840.0</v>
      </c>
      <c r="H15" s="55" t="s">
        <v>3306</v>
      </c>
      <c r="I15" s="55" t="s">
        <v>3342</v>
      </c>
      <c r="J15" s="168" t="s">
        <v>3343</v>
      </c>
      <c r="K15" s="167" t="s">
        <v>61</v>
      </c>
      <c r="L15" s="55">
        <v>95360.0</v>
      </c>
      <c r="M15" s="55" t="s">
        <v>78</v>
      </c>
      <c r="N15" s="55" t="s">
        <v>79</v>
      </c>
      <c r="O15" s="55" t="s">
        <v>218</v>
      </c>
      <c r="P15" s="55" t="s">
        <v>110</v>
      </c>
      <c r="Q15" s="67" t="str">
        <f>IFERROR(__xludf.DUMMYFUNCTION("""COMPUTED_VALUE"""),"Taiwan.Giaotiep.Anhsale13_95360_MES_DungNT_221122")</f>
        <v>Taiwan.Giaotiep.Anhsale13_95360_MES_DungNT_221122</v>
      </c>
      <c r="R15" s="67" t="str">
        <f>IFERROR(__xludf.DUMMYFUNCTION("""COMPUTED_VALUE"""),"NEW_Taiwan_1840_none_221122")</f>
        <v>NEW_Taiwan_1840_none_221122</v>
      </c>
      <c r="S15" s="67" t="str">
        <f>IFERROR(__xludf.DUMMYFUNCTION("""COMPUTED_VALUE"""),"saletructiep_Taiwan.Anhsale13.1840.Giaotiep_PTATTNDL_LD131")</f>
        <v>saletructiep_Taiwan.Anhsale13.1840.Giaotiep_PTATTNDL_LD131</v>
      </c>
      <c r="T15" s="107" t="str">
        <f>IFERROR(__xludf.DUMMYFUNCTION("""COMPUTED_VALUE"""),"http://ldp.page/dungnt3giaotiep/?utm_source=Facebook&amp;utm_medium=MES&amp;utm_term=NEW_Taiwan_1840_none_221122&amp;utm_content=saletructiep_Taiwan.Anhsale13.1840.Giaotiep_PTATTNDL_LD131&amp;utm_campaign=Taiwan.Giaotiep.Anhsale13_95360_MES_DungNT_221122")</f>
        <v>http://ldp.page/dungnt3giaotiep/?utm_source=Facebook&amp;utm_medium=MES&amp;utm_term=NEW_Taiwan_1840_none_221122&amp;utm_content=saletructiep_Taiwan.Anhsale13.1840.Giaotiep_PTATTNDL_LD131&amp;utm_campaign=Taiwan.Giaotiep.Anhsale13_95360_MES_DungNT_221122</v>
      </c>
      <c r="U15" s="118"/>
    </row>
    <row r="16">
      <c r="A16" s="66">
        <v>221122.0</v>
      </c>
      <c r="B16" s="75" t="s">
        <v>3346</v>
      </c>
      <c r="C16" s="67" t="str">
        <f>IFERROR(__xludf.DUMMYFUNCTION("""COMPUTED_VALUE"""),"LD129")</f>
        <v>LD129</v>
      </c>
      <c r="D16" s="55" t="s">
        <v>42</v>
      </c>
      <c r="E16" s="55" t="s">
        <v>79</v>
      </c>
      <c r="F16" s="55" t="s">
        <v>107</v>
      </c>
      <c r="G16" s="55">
        <v>3055.0</v>
      </c>
      <c r="H16" s="55" t="s">
        <v>3306</v>
      </c>
      <c r="I16" s="55" t="s">
        <v>3347</v>
      </c>
      <c r="J16" s="83" t="s">
        <v>3348</v>
      </c>
      <c r="K16" s="167" t="s">
        <v>61</v>
      </c>
      <c r="L16" s="55">
        <v>95360.0</v>
      </c>
      <c r="M16" s="55" t="s">
        <v>78</v>
      </c>
      <c r="N16" s="55" t="s">
        <v>79</v>
      </c>
      <c r="O16" s="55" t="s">
        <v>218</v>
      </c>
      <c r="P16" s="55" t="s">
        <v>110</v>
      </c>
      <c r="Q16" s="67" t="str">
        <f>IFERROR(__xludf.DUMMYFUNCTION("""COMPUTED_VALUE"""),"UnitedStates.Giaotiep.Anhsale14_95360_MES_DungNT_221122")</f>
        <v>UnitedStates.Giaotiep.Anhsale14_95360_MES_DungNT_221122</v>
      </c>
      <c r="R16" s="67" t="str">
        <f>IFERROR(__xludf.DUMMYFUNCTION("""COMPUTED_VALUE"""),"NEW_UnitedStates_3055_none_221122")</f>
        <v>NEW_UnitedStates_3055_none_221122</v>
      </c>
      <c r="S16" s="67" t="str">
        <f>IFERROR(__xludf.DUMMYFUNCTION("""COMPUTED_VALUE"""),"saletructiep_UnitedStates.Anhsale14.3055.Giaotiep_PTATTNDL_LD129")</f>
        <v>saletructiep_UnitedStates.Anhsale14.3055.Giaotiep_PTATTNDL_LD129</v>
      </c>
      <c r="T16" s="107" t="str">
        <f>IFERROR(__xludf.DUMMYFUNCTION("""COMPUTED_VALUE"""),"http://ldp.page/Us_dungnt/?utm_source=Facebook&amp;utm_medium=MES&amp;utm_term=NEW_UnitedStates_3055_none_221122&amp;utm_content=saletructiep_UnitedStates.Anhsale14.3055.Giaotiep_PTATTNDL_LD129&amp;utm_campaign=UnitedStates.Giaotiep.Anhsale14_95360_MES_DungNT_221122")</f>
        <v>http://ldp.page/Us_dungnt/?utm_source=Facebook&amp;utm_medium=MES&amp;utm_term=NEW_UnitedStates_3055_none_221122&amp;utm_content=saletructiep_UnitedStates.Anhsale14.3055.Giaotiep_PTATTNDL_LD129&amp;utm_campaign=UnitedStates.Giaotiep.Anhsale14_95360_MES_DungNT_221122</v>
      </c>
      <c r="U16" s="118"/>
    </row>
    <row r="17">
      <c r="A17" s="66">
        <v>221122.0</v>
      </c>
      <c r="B17" s="75" t="s">
        <v>3340</v>
      </c>
      <c r="C17" s="67" t="str">
        <f>IFERROR(__xludf.DUMMYFUNCTION("""COMPUTED_VALUE"""),"LD131")</f>
        <v>LD131</v>
      </c>
      <c r="D17" s="55" t="s">
        <v>42</v>
      </c>
      <c r="E17" s="55" t="s">
        <v>79</v>
      </c>
      <c r="F17" s="55" t="s">
        <v>614</v>
      </c>
      <c r="G17" s="55">
        <v>1840.0</v>
      </c>
      <c r="H17" s="55" t="s">
        <v>3306</v>
      </c>
      <c r="I17" s="167" t="s">
        <v>3307</v>
      </c>
      <c r="J17" s="168" t="s">
        <v>3315</v>
      </c>
      <c r="K17" s="167" t="s">
        <v>61</v>
      </c>
      <c r="L17" s="55">
        <v>95360.0</v>
      </c>
      <c r="M17" s="55" t="s">
        <v>78</v>
      </c>
      <c r="N17" s="55" t="s">
        <v>79</v>
      </c>
      <c r="O17" s="55" t="s">
        <v>218</v>
      </c>
      <c r="P17" s="55" t="s">
        <v>110</v>
      </c>
      <c r="Q17" s="67" t="str">
        <f>IFERROR(__xludf.DUMMYFUNCTION("""COMPUTED_VALUE"""),"Korea.Giaotiep.Anhsale10_95360_MES_DungNT_221122")</f>
        <v>Korea.Giaotiep.Anhsale10_95360_MES_DungNT_221122</v>
      </c>
      <c r="R17" s="67" t="str">
        <f>IFERROR(__xludf.DUMMYFUNCTION("""COMPUTED_VALUE"""),"NEW_Korea_1840_none_221122")</f>
        <v>NEW_Korea_1840_none_221122</v>
      </c>
      <c r="S17" s="67" t="str">
        <f>IFERROR(__xludf.DUMMYFUNCTION("""COMPUTED_VALUE"""),"saletructiep_Korea.Anhsale10.1840.Giaotiep_PTATTNDL_LD131")</f>
        <v>saletructiep_Korea.Anhsale10.1840.Giaotiep_PTATTNDL_LD131</v>
      </c>
      <c r="T17" s="107" t="str">
        <f>IFERROR(__xludf.DUMMYFUNCTION("""COMPUTED_VALUE"""),"http://ldp.page/dungnt3giaotiep/?utm_source=Facebook&amp;utm_medium=MES&amp;utm_term=NEW_Korea_1840_none_221122&amp;utm_content=saletructiep_Korea.Anhsale10.1840.Giaotiep_PTATTNDL_LD131&amp;utm_campaign=Korea.Giaotiep.Anhsale10_95360_MES_DungNT_221122")</f>
        <v>http://ldp.page/dungnt3giaotiep/?utm_source=Facebook&amp;utm_medium=MES&amp;utm_term=NEW_Korea_1840_none_221122&amp;utm_content=saletructiep_Korea.Anhsale10.1840.Giaotiep_PTATTNDL_LD131&amp;utm_campaign=Korea.Giaotiep.Anhsale10_95360_MES_DungNT_221122</v>
      </c>
      <c r="U17" s="118"/>
    </row>
    <row r="18">
      <c r="A18" s="66">
        <v>221122.0</v>
      </c>
      <c r="B18" s="75" t="s">
        <v>3340</v>
      </c>
      <c r="C18" s="67" t="str">
        <f>IFERROR(__xludf.DUMMYFUNCTION("""COMPUTED_VALUE"""),"LD131")</f>
        <v>LD131</v>
      </c>
      <c r="D18" s="55" t="s">
        <v>42</v>
      </c>
      <c r="E18" s="55" t="s">
        <v>79</v>
      </c>
      <c r="F18" s="55" t="s">
        <v>133</v>
      </c>
      <c r="G18" s="55">
        <v>1840.0</v>
      </c>
      <c r="H18" s="55" t="s">
        <v>3306</v>
      </c>
      <c r="I18" s="55" t="s">
        <v>3319</v>
      </c>
      <c r="J18" s="168" t="s">
        <v>3321</v>
      </c>
      <c r="K18" s="167" t="s">
        <v>61</v>
      </c>
      <c r="L18" s="55">
        <v>95360.0</v>
      </c>
      <c r="M18" s="55" t="s">
        <v>78</v>
      </c>
      <c r="N18" s="55" t="s">
        <v>79</v>
      </c>
      <c r="O18" s="55" t="s">
        <v>218</v>
      </c>
      <c r="P18" s="55" t="s">
        <v>110</v>
      </c>
      <c r="Q18" s="67" t="str">
        <f>IFERROR(__xludf.DUMMYFUNCTION("""COMPUTED_VALUE"""),"Japan.Giaotiep.Anhsale10_95360_MES_DungNT_221122")</f>
        <v>Japan.Giaotiep.Anhsale10_95360_MES_DungNT_221122</v>
      </c>
      <c r="R18" s="67" t="str">
        <f>IFERROR(__xludf.DUMMYFUNCTION("""COMPUTED_VALUE"""),"NEW_Japan_1840_none_221122")</f>
        <v>NEW_Japan_1840_none_221122</v>
      </c>
      <c r="S18" s="67" t="str">
        <f>IFERROR(__xludf.DUMMYFUNCTION("""COMPUTED_VALUE"""),"saletructiep_Japan.Anhsale10.1840.Giaotiep_PTATTNDL_LD131")</f>
        <v>saletructiep_Japan.Anhsale10.1840.Giaotiep_PTATTNDL_LD131</v>
      </c>
      <c r="T18" s="107" t="str">
        <f>IFERROR(__xludf.DUMMYFUNCTION("""COMPUTED_VALUE"""),"http://ldp.page/dungnt3giaotiep/?utm_source=Facebook&amp;utm_medium=MES&amp;utm_term=NEW_Japan_1840_none_221122&amp;utm_content=saletructiep_Japan.Anhsale10.1840.Giaotiep_PTATTNDL_LD131&amp;utm_campaign=Japan.Giaotiep.Anhsale10_95360_MES_DungNT_221122")</f>
        <v>http://ldp.page/dungnt3giaotiep/?utm_source=Facebook&amp;utm_medium=MES&amp;utm_term=NEW_Japan_1840_none_221122&amp;utm_content=saletructiep_Japan.Anhsale10.1840.Giaotiep_PTATTNDL_LD131&amp;utm_campaign=Japan.Giaotiep.Anhsale10_95360_MES_DungNT_221122</v>
      </c>
      <c r="U18" s="118"/>
    </row>
    <row r="19">
      <c r="A19" s="72">
        <v>44912.0</v>
      </c>
      <c r="B19" s="75" t="s">
        <v>3358</v>
      </c>
      <c r="C19" s="67" t="str">
        <f>IFERROR(__xludf.DUMMYFUNCTION("""COMPUTED_VALUE"""),"LD132")</f>
        <v>LD132</v>
      </c>
      <c r="D19" s="55" t="s">
        <v>42</v>
      </c>
      <c r="E19" s="55" t="s">
        <v>79</v>
      </c>
      <c r="F19" s="55" t="s">
        <v>625</v>
      </c>
      <c r="G19" s="55">
        <v>1840.0</v>
      </c>
      <c r="H19" s="55" t="s">
        <v>3306</v>
      </c>
      <c r="I19" s="55" t="s">
        <v>3361</v>
      </c>
      <c r="J19" s="168" t="s">
        <v>3362</v>
      </c>
      <c r="K19" s="167" t="s">
        <v>61</v>
      </c>
      <c r="L19" s="55">
        <v>95360.0</v>
      </c>
      <c r="M19" s="55" t="s">
        <v>78</v>
      </c>
      <c r="N19" s="55" t="s">
        <v>79</v>
      </c>
      <c r="O19" s="55" t="s">
        <v>218</v>
      </c>
      <c r="P19" s="55" t="s">
        <v>110</v>
      </c>
      <c r="Q19" s="67" t="str">
        <f>IFERROR(__xludf.DUMMYFUNCTION("""COMPUTED_VALUE"""),"KoreaSouth.Giaotiep.Anhsale10_95360_MES_DungNT_171222")</f>
        <v>KoreaSouth.Giaotiep.Anhsale10_95360_MES_DungNT_171222</v>
      </c>
      <c r="R19" s="67" t="str">
        <f>IFERROR(__xludf.DUMMYFUNCTION("""COMPUTED_VALUE"""),"NEW_KoreaSouth_1840_none_171222")</f>
        <v>NEW_KoreaSouth_1840_none_171222</v>
      </c>
      <c r="S19" s="67" t="str">
        <f>IFERROR(__xludf.DUMMYFUNCTION("""COMPUTED_VALUE"""),"saletructiep_KoreaSouth.Anhsale10.1840.Giaotiep_PTATTNDL_LD132")</f>
        <v>saletructiep_KoreaSouth.Anhsale10.1840.Giaotiep_PTATTNDL_LD132</v>
      </c>
      <c r="T19" s="107" t="str">
        <f>IFERROR(__xludf.DUMMYFUNCTION("""COMPUTED_VALUE"""),"https://patadovietnam.edu.vn/dungnt4giaotiep/?utm_source=Facebook&amp;utm_medium=MES&amp;utm_term=NEW_KoreaSouth_1840_none_171222&amp;utm_content=saletructiep_KoreaSouth.Anhsale10.1840.Giaotiep_PTATTNDL_LD132&amp;utm_campaign=KoreaSouth.Giaotiep.Anhsale10_95360_MES_DungN"&amp;"T_171222")</f>
        <v>https://patadovietnam.edu.vn/dungnt4giaotiep/?utm_source=Facebook&amp;utm_medium=MES&amp;utm_term=NEW_KoreaSouth_1840_none_171222&amp;utm_content=saletructiep_KoreaSouth.Anhsale10.1840.Giaotiep_PTATTNDL_LD132&amp;utm_campaign=KoreaSouth.Giaotiep.Anhsale10_95360_MES_DungNT_171222</v>
      </c>
      <c r="U19" s="118"/>
    </row>
    <row r="20">
      <c r="A20" s="72">
        <v>44912.0</v>
      </c>
      <c r="B20" s="75" t="s">
        <v>3340</v>
      </c>
      <c r="C20" s="67" t="str">
        <f>IFERROR(__xludf.DUMMYFUNCTION("""COMPUTED_VALUE"""),"LD131")</f>
        <v>LD131</v>
      </c>
      <c r="D20" s="55" t="s">
        <v>42</v>
      </c>
      <c r="E20" s="55" t="s">
        <v>79</v>
      </c>
      <c r="F20" s="55" t="s">
        <v>107</v>
      </c>
      <c r="G20" s="55">
        <v>3055.0</v>
      </c>
      <c r="H20" s="55" t="s">
        <v>3306</v>
      </c>
      <c r="I20" s="55" t="s">
        <v>3368</v>
      </c>
      <c r="J20" s="168" t="s">
        <v>3369</v>
      </c>
      <c r="K20" s="167" t="s">
        <v>61</v>
      </c>
      <c r="L20" s="55">
        <v>95360.0</v>
      </c>
      <c r="M20" s="55" t="s">
        <v>78</v>
      </c>
      <c r="N20" s="55" t="s">
        <v>79</v>
      </c>
      <c r="O20" s="55" t="s">
        <v>218</v>
      </c>
      <c r="P20" s="55" t="s">
        <v>110</v>
      </c>
      <c r="Q20" s="67" t="str">
        <f>IFERROR(__xludf.DUMMYFUNCTION("""COMPUTED_VALUE"""),"UnitedStates.Giaotiep.Anhsale10_95360_MES_DungNT_171222")</f>
        <v>UnitedStates.Giaotiep.Anhsale10_95360_MES_DungNT_171222</v>
      </c>
      <c r="R20" s="67" t="str">
        <f>IFERROR(__xludf.DUMMYFUNCTION("""COMPUTED_VALUE"""),"NEW_UnitedStates_3055_none_171222")</f>
        <v>NEW_UnitedStates_3055_none_171222</v>
      </c>
      <c r="S20" s="67" t="str">
        <f>IFERROR(__xludf.DUMMYFUNCTION("""COMPUTED_VALUE"""),"saletructiep_UnitedStates.Anhsale10.3055.Giaotiep_PTATTNDL_LD131")</f>
        <v>saletructiep_UnitedStates.Anhsale10.3055.Giaotiep_PTATTNDL_LD131</v>
      </c>
      <c r="T20" s="107" t="str">
        <f>IFERROR(__xludf.DUMMYFUNCTION("""COMPUTED_VALUE"""),"http://ldp.page/dungnt3giaotiep/?utm_source=Facebook&amp;utm_medium=MES&amp;utm_term=NEW_UnitedStates_3055_none_171222&amp;utm_content=saletructiep_UnitedStates.Anhsale10.3055.Giaotiep_PTATTNDL_LD131&amp;utm_campaign=UnitedStates.Giaotiep.Anhsale10_95360_MES_DungNT_17122"&amp;"2")</f>
        <v>http://ldp.page/dungnt3giaotiep/?utm_source=Facebook&amp;utm_medium=MES&amp;utm_term=NEW_UnitedStates_3055_none_171222&amp;utm_content=saletructiep_UnitedStates.Anhsale10.3055.Giaotiep_PTATTNDL_LD131&amp;utm_campaign=UnitedStates.Giaotiep.Anhsale10_95360_MES_DungNT_171222</v>
      </c>
      <c r="U20" s="118"/>
    </row>
    <row r="21">
      <c r="A21" s="72">
        <v>44912.0</v>
      </c>
      <c r="B21" s="75" t="s">
        <v>3340</v>
      </c>
      <c r="C21" s="67" t="str">
        <f>IFERROR(__xludf.DUMMYFUNCTION("""COMPUTED_VALUE"""),"LD131")</f>
        <v>LD131</v>
      </c>
      <c r="D21" s="55" t="s">
        <v>42</v>
      </c>
      <c r="E21" s="55" t="s">
        <v>79</v>
      </c>
      <c r="F21" s="55" t="s">
        <v>164</v>
      </c>
      <c r="G21" s="55">
        <v>1840.0</v>
      </c>
      <c r="H21" s="55" t="s">
        <v>3306</v>
      </c>
      <c r="I21" s="55" t="s">
        <v>3375</v>
      </c>
      <c r="J21" s="168" t="s">
        <v>3376</v>
      </c>
      <c r="K21" s="167" t="s">
        <v>61</v>
      </c>
      <c r="L21" s="55">
        <v>95360.0</v>
      </c>
      <c r="M21" s="55" t="s">
        <v>78</v>
      </c>
      <c r="N21" s="55" t="s">
        <v>79</v>
      </c>
      <c r="O21" s="55" t="s">
        <v>218</v>
      </c>
      <c r="P21" s="55" t="s">
        <v>110</v>
      </c>
      <c r="Q21" s="67" t="str">
        <f>IFERROR(__xludf.DUMMYFUNCTION("""COMPUTED_VALUE"""),"Taiwan.Giaotiep.Anhsale10_95360_MES_DungNT_171222")</f>
        <v>Taiwan.Giaotiep.Anhsale10_95360_MES_DungNT_171222</v>
      </c>
      <c r="R21" s="67" t="str">
        <f>IFERROR(__xludf.DUMMYFUNCTION("""COMPUTED_VALUE"""),"NEW_Taiwan_1840_none_171222")</f>
        <v>NEW_Taiwan_1840_none_171222</v>
      </c>
      <c r="S21" s="67" t="str">
        <f>IFERROR(__xludf.DUMMYFUNCTION("""COMPUTED_VALUE"""),"saletructiep_Taiwan.Anhsale10.1840.Giaotiep_PTATTNDL_LD131")</f>
        <v>saletructiep_Taiwan.Anhsale10.1840.Giaotiep_PTATTNDL_LD131</v>
      </c>
      <c r="T21" s="107" t="str">
        <f>IFERROR(__xludf.DUMMYFUNCTION("""COMPUTED_VALUE"""),"http://ldp.page/dungnt3giaotiep/?utm_source=Facebook&amp;utm_medium=MES&amp;utm_term=NEW_Taiwan_1840_none_171222&amp;utm_content=saletructiep_Taiwan.Anhsale10.1840.Giaotiep_PTATTNDL_LD131&amp;utm_campaign=Taiwan.Giaotiep.Anhsale10_95360_MES_DungNT_171222")</f>
        <v>http://ldp.page/dungnt3giaotiep/?utm_source=Facebook&amp;utm_medium=MES&amp;utm_term=NEW_Taiwan_1840_none_171222&amp;utm_content=saletructiep_Taiwan.Anhsale10.1840.Giaotiep_PTATTNDL_LD131&amp;utm_campaign=Taiwan.Giaotiep.Anhsale10_95360_MES_DungNT_171222</v>
      </c>
      <c r="U21" s="118"/>
    </row>
    <row r="22">
      <c r="A22" s="72">
        <v>44914.0</v>
      </c>
      <c r="B22" s="75" t="s">
        <v>3340</v>
      </c>
      <c r="C22" s="67" t="str">
        <f>IFERROR(__xludf.DUMMYFUNCTION("""COMPUTED_VALUE"""),"LD131")</f>
        <v>LD131</v>
      </c>
      <c r="D22" s="55" t="s">
        <v>42</v>
      </c>
      <c r="E22" s="55" t="s">
        <v>69</v>
      </c>
      <c r="F22" s="55" t="s">
        <v>461</v>
      </c>
      <c r="G22" s="55">
        <v>2055.0</v>
      </c>
      <c r="H22" s="55" t="s">
        <v>3306</v>
      </c>
      <c r="I22" s="55" t="s">
        <v>3382</v>
      </c>
      <c r="J22" s="168" t="s">
        <v>3383</v>
      </c>
      <c r="K22" s="167" t="s">
        <v>61</v>
      </c>
      <c r="L22" s="55">
        <v>95360.0</v>
      </c>
      <c r="M22" s="55" t="s">
        <v>78</v>
      </c>
      <c r="N22" s="55" t="s">
        <v>69</v>
      </c>
      <c r="O22" s="55" t="s">
        <v>218</v>
      </c>
      <c r="P22" s="55" t="s">
        <v>110</v>
      </c>
      <c r="Q22" s="67" t="str">
        <f>IFERROR(__xludf.DUMMYFUNCTION("""COMPUTED_VALUE"""),"CzechRepublic.Giaotiep.Anhsale10_95360_CVS_DungNT_191222")</f>
        <v>CzechRepublic.Giaotiep.Anhsale10_95360_CVS_DungNT_191222</v>
      </c>
      <c r="R22" s="67" t="str">
        <f>IFERROR(__xludf.DUMMYFUNCTION("""COMPUTED_VALUE"""),"NEW_CzechRepublic_2055_none_191222")</f>
        <v>NEW_CzechRepublic_2055_none_191222</v>
      </c>
      <c r="S22" s="67" t="str">
        <f>IFERROR(__xludf.DUMMYFUNCTION("""COMPUTED_VALUE"""),"saletructiep_CzechRepublic.Anhsale10.2055.Giaotiep_PTATTNDL_LD131")</f>
        <v>saletructiep_CzechRepublic.Anhsale10.2055.Giaotiep_PTATTNDL_LD131</v>
      </c>
      <c r="T22" s="107" t="str">
        <f>IFERROR(__xludf.DUMMYFUNCTION("""COMPUTED_VALUE"""),"http://ldp.page/dungnt3giaotiep/?utm_source=Facebook&amp;utm_medium=CVS&amp;utm_term=NEW_CzechRepublic_2055_none_191222&amp;utm_content=saletructiep_CzechRepublic.Anhsale10.2055.Giaotiep_PTATTNDL_LD131&amp;utm_campaign=CzechRepublic.Giaotiep.Anhsale10_95360_CVS_DungNT_19"&amp;"1222")</f>
        <v>http://ldp.page/dungnt3giaotiep/?utm_source=Facebook&amp;utm_medium=CVS&amp;utm_term=NEW_CzechRepublic_2055_none_191222&amp;utm_content=saletructiep_CzechRepublic.Anhsale10.2055.Giaotiep_PTATTNDL_LD131&amp;utm_campaign=CzechRepublic.Giaotiep.Anhsale10_95360_CVS_DungNT_191222</v>
      </c>
      <c r="U22" s="118"/>
    </row>
    <row r="23">
      <c r="A23" s="72">
        <v>44916.0</v>
      </c>
      <c r="B23" s="75" t="s">
        <v>3340</v>
      </c>
      <c r="C23" s="67" t="str">
        <f>IFERROR(__xludf.DUMMYFUNCTION("""COMPUTED_VALUE"""),"LD131")</f>
        <v>LD131</v>
      </c>
      <c r="D23" s="55" t="s">
        <v>42</v>
      </c>
      <c r="E23" s="55" t="s">
        <v>69</v>
      </c>
      <c r="F23" s="55" t="s">
        <v>461</v>
      </c>
      <c r="G23" s="55">
        <v>2055.0</v>
      </c>
      <c r="H23" s="55" t="s">
        <v>3306</v>
      </c>
      <c r="I23" s="55" t="s">
        <v>3382</v>
      </c>
      <c r="J23" s="168" t="s">
        <v>3383</v>
      </c>
      <c r="K23" s="167" t="s">
        <v>61</v>
      </c>
      <c r="L23" s="55">
        <v>95360.0</v>
      </c>
      <c r="M23" s="55" t="s">
        <v>78</v>
      </c>
      <c r="N23" s="55" t="s">
        <v>69</v>
      </c>
      <c r="O23" s="55" t="s">
        <v>218</v>
      </c>
      <c r="P23" s="55" t="s">
        <v>110</v>
      </c>
      <c r="Q23" s="67" t="str">
        <f>IFERROR(__xludf.DUMMYFUNCTION("""COMPUTED_VALUE"""),"CzechRepublic.Giaotiep.Anhsale10_95360_CVS_DungNT_211222")</f>
        <v>CzechRepublic.Giaotiep.Anhsale10_95360_CVS_DungNT_211222</v>
      </c>
      <c r="R23" s="67" t="str">
        <f>IFERROR(__xludf.DUMMYFUNCTION("""COMPUTED_VALUE"""),"NEW_CzechRepublic_2055_none_211222")</f>
        <v>NEW_CzechRepublic_2055_none_211222</v>
      </c>
      <c r="S23" s="67" t="str">
        <f>IFERROR(__xludf.DUMMYFUNCTION("""COMPUTED_VALUE"""),"saletructiep_CzechRepublic.Anhsale10.2055.Giaotiep_PTATTNDL_LD131")</f>
        <v>saletructiep_CzechRepublic.Anhsale10.2055.Giaotiep_PTATTNDL_LD131</v>
      </c>
      <c r="T23" s="107" t="str">
        <f>IFERROR(__xludf.DUMMYFUNCTION("""COMPUTED_VALUE"""),"http://ldp.page/dungnt3giaotiep/?utm_source=Facebook&amp;utm_medium=CVS&amp;utm_term=NEW_CzechRepublic_2055_none_211222&amp;utm_content=saletructiep_CzechRepublic.Anhsale10.2055.Giaotiep_PTATTNDL_LD131&amp;utm_campaign=CzechRepublic.Giaotiep.Anhsale10_95360_CVS_DungNT_21"&amp;"1222")</f>
        <v>http://ldp.page/dungnt3giaotiep/?utm_source=Facebook&amp;utm_medium=CVS&amp;utm_term=NEW_CzechRepublic_2055_none_211222&amp;utm_content=saletructiep_CzechRepublic.Anhsale10.2055.Giaotiep_PTATTNDL_LD131&amp;utm_campaign=CzechRepublic.Giaotiep.Anhsale10_95360_CVS_DungNT_211222</v>
      </c>
      <c r="U23" s="118"/>
    </row>
    <row r="24">
      <c r="A24" s="72">
        <v>44916.0</v>
      </c>
      <c r="B24" s="75" t="s">
        <v>3340</v>
      </c>
      <c r="C24" s="67" t="str">
        <f>IFERROR(__xludf.DUMMYFUNCTION("""COMPUTED_VALUE"""),"LD131")</f>
        <v>LD131</v>
      </c>
      <c r="D24" s="55" t="s">
        <v>42</v>
      </c>
      <c r="E24" s="55" t="s">
        <v>79</v>
      </c>
      <c r="F24" s="55" t="s">
        <v>625</v>
      </c>
      <c r="G24" s="55">
        <v>1840.0</v>
      </c>
      <c r="H24" s="55" t="s">
        <v>3306</v>
      </c>
      <c r="I24" s="55" t="s">
        <v>3361</v>
      </c>
      <c r="J24" s="168" t="s">
        <v>3362</v>
      </c>
      <c r="K24" s="167" t="s">
        <v>61</v>
      </c>
      <c r="L24" s="55">
        <v>95360.0</v>
      </c>
      <c r="M24" s="55" t="s">
        <v>78</v>
      </c>
      <c r="N24" s="55" t="s">
        <v>79</v>
      </c>
      <c r="O24" s="55" t="s">
        <v>218</v>
      </c>
      <c r="P24" s="55" t="s">
        <v>110</v>
      </c>
      <c r="Q24" s="67" t="str">
        <f>IFERROR(__xludf.DUMMYFUNCTION("""COMPUTED_VALUE"""),"KoreaSouth.Giaotiep.Anhsale10_95360_MES_DungNT_211222")</f>
        <v>KoreaSouth.Giaotiep.Anhsale10_95360_MES_DungNT_211222</v>
      </c>
      <c r="R24" s="67" t="str">
        <f>IFERROR(__xludf.DUMMYFUNCTION("""COMPUTED_VALUE"""),"NEW_KoreaSouth_1840_none_211222")</f>
        <v>NEW_KoreaSouth_1840_none_211222</v>
      </c>
      <c r="S24" s="67" t="str">
        <f>IFERROR(__xludf.DUMMYFUNCTION("""COMPUTED_VALUE"""),"saletructiep_KoreaSouth.Anhsale10.1840.Giaotiep_PTATTNDL_LD131")</f>
        <v>saletructiep_KoreaSouth.Anhsale10.1840.Giaotiep_PTATTNDL_LD131</v>
      </c>
      <c r="T24" s="107" t="str">
        <f>IFERROR(__xludf.DUMMYFUNCTION("""COMPUTED_VALUE"""),"http://ldp.page/dungnt3giaotiep/?utm_source=Facebook&amp;utm_medium=MES&amp;utm_term=NEW_KoreaSouth_1840_none_211222&amp;utm_content=saletructiep_KoreaSouth.Anhsale10.1840.Giaotiep_PTATTNDL_LD131&amp;utm_campaign=KoreaSouth.Giaotiep.Anhsale10_95360_MES_DungNT_211222")</f>
        <v>http://ldp.page/dungnt3giaotiep/?utm_source=Facebook&amp;utm_medium=MES&amp;utm_term=NEW_KoreaSouth_1840_none_211222&amp;utm_content=saletructiep_KoreaSouth.Anhsale10.1840.Giaotiep_PTATTNDL_LD131&amp;utm_campaign=KoreaSouth.Giaotiep.Anhsale10_95360_MES_DungNT_211222</v>
      </c>
      <c r="U24" s="118"/>
    </row>
    <row r="25">
      <c r="A25" s="72">
        <v>44916.0</v>
      </c>
      <c r="B25" s="75" t="s">
        <v>3358</v>
      </c>
      <c r="C25" s="67" t="str">
        <f>IFERROR(__xludf.DUMMYFUNCTION("""COMPUTED_VALUE"""),"LD132")</f>
        <v>LD132</v>
      </c>
      <c r="D25" s="55" t="s">
        <v>42</v>
      </c>
      <c r="E25" s="55" t="s">
        <v>79</v>
      </c>
      <c r="F25" s="55" t="s">
        <v>164</v>
      </c>
      <c r="G25" s="55">
        <v>1840.0</v>
      </c>
      <c r="H25" s="55" t="s">
        <v>3306</v>
      </c>
      <c r="I25" s="55" t="s">
        <v>3375</v>
      </c>
      <c r="J25" s="168" t="s">
        <v>3376</v>
      </c>
      <c r="K25" s="167" t="s">
        <v>61</v>
      </c>
      <c r="L25" s="55">
        <v>95360.0</v>
      </c>
      <c r="M25" s="55" t="s">
        <v>78</v>
      </c>
      <c r="N25" s="55" t="s">
        <v>79</v>
      </c>
      <c r="O25" s="55" t="s">
        <v>218</v>
      </c>
      <c r="P25" s="55" t="s">
        <v>110</v>
      </c>
      <c r="Q25" s="67" t="str">
        <f>IFERROR(__xludf.DUMMYFUNCTION("""COMPUTED_VALUE"""),"Taiwan.Giaotiep.Anhsale10_95360_MES_DungNT_211222")</f>
        <v>Taiwan.Giaotiep.Anhsale10_95360_MES_DungNT_211222</v>
      </c>
      <c r="R25" s="67" t="str">
        <f>IFERROR(__xludf.DUMMYFUNCTION("""COMPUTED_VALUE"""),"NEW_Taiwan_1840_none_211222")</f>
        <v>NEW_Taiwan_1840_none_211222</v>
      </c>
      <c r="S25" s="67" t="str">
        <f>IFERROR(__xludf.DUMMYFUNCTION("""COMPUTED_VALUE"""),"saletructiep_Taiwan.Anhsale10.1840.Giaotiep_PTATTNDL_LD132")</f>
        <v>saletructiep_Taiwan.Anhsale10.1840.Giaotiep_PTATTNDL_LD132</v>
      </c>
      <c r="T25" s="107" t="str">
        <f>IFERROR(__xludf.DUMMYFUNCTION("""COMPUTED_VALUE"""),"https://patadovietnam.edu.vn/dungnt4giaotiep/?utm_source=Facebook&amp;utm_medium=MES&amp;utm_term=NEW_Taiwan_1840_none_211222&amp;utm_content=saletructiep_Taiwan.Anhsale10.1840.Giaotiep_PTATTNDL_LD132&amp;utm_campaign=Taiwan.Giaotiep.Anhsale10_95360_MES_DungNT_211222")</f>
        <v>https://patadovietnam.edu.vn/dungnt4giaotiep/?utm_source=Facebook&amp;utm_medium=MES&amp;utm_term=NEW_Taiwan_1840_none_211222&amp;utm_content=saletructiep_Taiwan.Anhsale10.1840.Giaotiep_PTATTNDL_LD132&amp;utm_campaign=Taiwan.Giaotiep.Anhsale10_95360_MES_DungNT_211222</v>
      </c>
      <c r="U25" s="118"/>
    </row>
    <row r="26">
      <c r="A26" s="72">
        <v>44918.0</v>
      </c>
      <c r="B26" s="75" t="s">
        <v>3340</v>
      </c>
      <c r="C26" s="67" t="str">
        <f>IFERROR(__xludf.DUMMYFUNCTION("""COMPUTED_VALUE"""),"LD131")</f>
        <v>LD131</v>
      </c>
      <c r="D26" s="55" t="s">
        <v>42</v>
      </c>
      <c r="E26" s="55" t="s">
        <v>69</v>
      </c>
      <c r="F26" s="55" t="s">
        <v>461</v>
      </c>
      <c r="G26" s="55">
        <v>2055.0</v>
      </c>
      <c r="H26" s="55" t="s">
        <v>3306</v>
      </c>
      <c r="I26" s="55" t="s">
        <v>3382</v>
      </c>
      <c r="J26" s="168" t="s">
        <v>3383</v>
      </c>
      <c r="K26" s="167" t="s">
        <v>61</v>
      </c>
      <c r="L26" s="55">
        <v>95360.0</v>
      </c>
      <c r="M26" s="55" t="s">
        <v>78</v>
      </c>
      <c r="N26" s="55" t="s">
        <v>69</v>
      </c>
      <c r="O26" s="55" t="s">
        <v>218</v>
      </c>
      <c r="P26" s="55" t="s">
        <v>110</v>
      </c>
      <c r="Q26" s="67" t="str">
        <f>IFERROR(__xludf.DUMMYFUNCTION("""COMPUTED_VALUE"""),"CzechRepublic.Giaotiep.Anhsale10_95360_CVS_DungNT_231222")</f>
        <v>CzechRepublic.Giaotiep.Anhsale10_95360_CVS_DungNT_231222</v>
      </c>
      <c r="R26" s="67" t="str">
        <f>IFERROR(__xludf.DUMMYFUNCTION("""COMPUTED_VALUE"""),"NEW_CzechRepublic_2055_none_231222")</f>
        <v>NEW_CzechRepublic_2055_none_231222</v>
      </c>
      <c r="S26" s="67" t="str">
        <f>IFERROR(__xludf.DUMMYFUNCTION("""COMPUTED_VALUE"""),"saletructiep_CzechRepublic.Anhsale10.2055.Giaotiep_PTATTNDL_LD131")</f>
        <v>saletructiep_CzechRepublic.Anhsale10.2055.Giaotiep_PTATTNDL_LD131</v>
      </c>
      <c r="T26" s="107" t="str">
        <f>IFERROR(__xludf.DUMMYFUNCTION("""COMPUTED_VALUE"""),"http://ldp.page/dungnt3giaotiep/?utm_source=Facebook&amp;utm_medium=CVS&amp;utm_term=NEW_CzechRepublic_2055_none_231222&amp;utm_content=saletructiep_CzechRepublic.Anhsale10.2055.Giaotiep_PTATTNDL_LD131&amp;utm_campaign=CzechRepublic.Giaotiep.Anhsale10_95360_CVS_DungNT_23"&amp;"1222")</f>
        <v>http://ldp.page/dungnt3giaotiep/?utm_source=Facebook&amp;utm_medium=CVS&amp;utm_term=NEW_CzechRepublic_2055_none_231222&amp;utm_content=saletructiep_CzechRepublic.Anhsale10.2055.Giaotiep_PTATTNDL_LD131&amp;utm_campaign=CzechRepublic.Giaotiep.Anhsale10_95360_CVS_DungNT_231222</v>
      </c>
      <c r="U26" s="118"/>
    </row>
    <row r="27">
      <c r="A27" s="72">
        <v>44918.0</v>
      </c>
      <c r="B27" s="75" t="s">
        <v>3402</v>
      </c>
      <c r="C27" s="67" t="str">
        <f>IFERROR(__xludf.DUMMYFUNCTION("""COMPUTED_VALUE"""),"LD133")</f>
        <v>LD133</v>
      </c>
      <c r="D27" s="55" t="s">
        <v>42</v>
      </c>
      <c r="E27" s="55" t="s">
        <v>79</v>
      </c>
      <c r="F27" s="55" t="s">
        <v>107</v>
      </c>
      <c r="G27" s="55">
        <v>3055.0</v>
      </c>
      <c r="H27" s="55" t="s">
        <v>3306</v>
      </c>
      <c r="I27" s="55" t="s">
        <v>3368</v>
      </c>
      <c r="J27" s="168" t="s">
        <v>3369</v>
      </c>
      <c r="K27" s="167" t="s">
        <v>61</v>
      </c>
      <c r="L27" s="55">
        <v>95360.0</v>
      </c>
      <c r="M27" s="55" t="s">
        <v>78</v>
      </c>
      <c r="N27" s="55" t="s">
        <v>79</v>
      </c>
      <c r="O27" s="55" t="s">
        <v>218</v>
      </c>
      <c r="P27" s="55" t="s">
        <v>110</v>
      </c>
      <c r="Q27" s="67" t="str">
        <f>IFERROR(__xludf.DUMMYFUNCTION("""COMPUTED_VALUE"""),"UnitedStates.Giaotiep.Anhsale10_95360_MES_DungNT_231222")</f>
        <v>UnitedStates.Giaotiep.Anhsale10_95360_MES_DungNT_231222</v>
      </c>
      <c r="R27" s="67" t="str">
        <f>IFERROR(__xludf.DUMMYFUNCTION("""COMPUTED_VALUE"""),"NEW_UnitedStates_3055_none_231222")</f>
        <v>NEW_UnitedStates_3055_none_231222</v>
      </c>
      <c r="S27" s="67" t="str">
        <f>IFERROR(__xludf.DUMMYFUNCTION("""COMPUTED_VALUE"""),"saletructiep_UnitedStates.Anhsale10.3055.Giaotiep_PTATTNDL_LD133")</f>
        <v>saletructiep_UnitedStates.Anhsale10.3055.Giaotiep_PTATTNDL_LD133</v>
      </c>
      <c r="T27" s="107" t="str">
        <f>IFERROR(__xludf.DUMMYFUNCTION("""COMPUTED_VALUE"""),"http://ldp.page/637c3e4fe009dc0050223a84/?utm_source=Facebook&amp;utm_medium=MES&amp;utm_term=NEW_UnitedStates_3055_none_231222&amp;utm_content=saletructiep_UnitedStates.Anhsale10.3055.Giaotiep_PTATTNDL_LD133&amp;utm_campaign=UnitedStates.Giaotiep.Anhsale10_95360_MES_Dun"&amp;"gNT_231222")</f>
        <v>http://ldp.page/637c3e4fe009dc0050223a84/?utm_source=Facebook&amp;utm_medium=MES&amp;utm_term=NEW_UnitedStates_3055_none_231222&amp;utm_content=saletructiep_UnitedStates.Anhsale10.3055.Giaotiep_PTATTNDL_LD133&amp;utm_campaign=UnitedStates.Giaotiep.Anhsale10_95360_MES_DungNT_231222</v>
      </c>
      <c r="U27" s="118"/>
    </row>
    <row r="28">
      <c r="A28" s="72">
        <v>44918.0</v>
      </c>
      <c r="B28" s="75" t="s">
        <v>3358</v>
      </c>
      <c r="C28" s="67" t="str">
        <f>IFERROR(__xludf.DUMMYFUNCTION("""COMPUTED_VALUE"""),"LD132")</f>
        <v>LD132</v>
      </c>
      <c r="D28" s="55" t="s">
        <v>42</v>
      </c>
      <c r="E28" s="55" t="s">
        <v>79</v>
      </c>
      <c r="F28" s="55" t="s">
        <v>164</v>
      </c>
      <c r="G28" s="55">
        <v>1840.0</v>
      </c>
      <c r="H28" s="55" t="s">
        <v>3306</v>
      </c>
      <c r="I28" s="55" t="s">
        <v>3375</v>
      </c>
      <c r="J28" s="168" t="s">
        <v>3376</v>
      </c>
      <c r="K28" s="167" t="s">
        <v>61</v>
      </c>
      <c r="L28" s="55">
        <v>95360.0</v>
      </c>
      <c r="M28" s="55" t="s">
        <v>78</v>
      </c>
      <c r="N28" s="55" t="s">
        <v>79</v>
      </c>
      <c r="O28" s="55" t="s">
        <v>218</v>
      </c>
      <c r="P28" s="55" t="s">
        <v>110</v>
      </c>
      <c r="Q28" s="67" t="str">
        <f>IFERROR(__xludf.DUMMYFUNCTION("""COMPUTED_VALUE"""),"Taiwan.Giaotiep.Anhsale10_95360_MES_DungNT_231222")</f>
        <v>Taiwan.Giaotiep.Anhsale10_95360_MES_DungNT_231222</v>
      </c>
      <c r="R28" s="67" t="str">
        <f>IFERROR(__xludf.DUMMYFUNCTION("""COMPUTED_VALUE"""),"NEW_Taiwan_1840_none_231222")</f>
        <v>NEW_Taiwan_1840_none_231222</v>
      </c>
      <c r="S28" s="67" t="str">
        <f>IFERROR(__xludf.DUMMYFUNCTION("""COMPUTED_VALUE"""),"saletructiep_Taiwan.Anhsale10.1840.Giaotiep_PTATTNDL_LD132")</f>
        <v>saletructiep_Taiwan.Anhsale10.1840.Giaotiep_PTATTNDL_LD132</v>
      </c>
      <c r="T28" s="107" t="str">
        <f>IFERROR(__xludf.DUMMYFUNCTION("""COMPUTED_VALUE"""),"https://patadovietnam.edu.vn/dungnt4giaotiep/?utm_source=Facebook&amp;utm_medium=MES&amp;utm_term=NEW_Taiwan_1840_none_231222&amp;utm_content=saletructiep_Taiwan.Anhsale10.1840.Giaotiep_PTATTNDL_LD132&amp;utm_campaign=Taiwan.Giaotiep.Anhsale10_95360_MES_DungNT_231222")</f>
        <v>https://patadovietnam.edu.vn/dungnt4giaotiep/?utm_source=Facebook&amp;utm_medium=MES&amp;utm_term=NEW_Taiwan_1840_none_231222&amp;utm_content=saletructiep_Taiwan.Anhsale10.1840.Giaotiep_PTATTNDL_LD132&amp;utm_campaign=Taiwan.Giaotiep.Anhsale10_95360_MES_DungNT_231222</v>
      </c>
      <c r="U28" s="118"/>
    </row>
    <row r="29">
      <c r="A29" s="72">
        <v>44921.0</v>
      </c>
      <c r="B29" s="75" t="s">
        <v>3410</v>
      </c>
      <c r="C29" s="67" t="str">
        <f>IFERROR(__xludf.DUMMYFUNCTION("""COMPUTED_VALUE"""),"LD134")</f>
        <v>LD134</v>
      </c>
      <c r="D29" s="55" t="s">
        <v>42</v>
      </c>
      <c r="E29" s="55" t="s">
        <v>79</v>
      </c>
      <c r="F29" s="55" t="s">
        <v>625</v>
      </c>
      <c r="G29" s="55">
        <v>1840.0</v>
      </c>
      <c r="H29" s="55" t="s">
        <v>3306</v>
      </c>
      <c r="I29" s="55" t="s">
        <v>3361</v>
      </c>
      <c r="J29" s="168" t="s">
        <v>3362</v>
      </c>
      <c r="K29" s="167" t="s">
        <v>61</v>
      </c>
      <c r="L29" s="55">
        <v>95360.0</v>
      </c>
      <c r="M29" s="55" t="s">
        <v>78</v>
      </c>
      <c r="N29" s="55" t="s">
        <v>79</v>
      </c>
      <c r="O29" s="55" t="s">
        <v>218</v>
      </c>
      <c r="P29" s="55" t="s">
        <v>110</v>
      </c>
      <c r="Q29" s="67" t="str">
        <f>IFERROR(__xludf.DUMMYFUNCTION("""COMPUTED_VALUE"""),"KoreaSouth.Giaotiep.Anhsale10_95360_MES_DungNT_261222")</f>
        <v>KoreaSouth.Giaotiep.Anhsale10_95360_MES_DungNT_261222</v>
      </c>
      <c r="R29" s="67" t="str">
        <f>IFERROR(__xludf.DUMMYFUNCTION("""COMPUTED_VALUE"""),"NEW_KoreaSouth_1840_none_261222")</f>
        <v>NEW_KoreaSouth_1840_none_261222</v>
      </c>
      <c r="S29" s="67" t="str">
        <f>IFERROR(__xludf.DUMMYFUNCTION("""COMPUTED_VALUE"""),"saletructiep_KoreaSouth.Anhsale10.1840.Giaotiep_PTATTNDL_LD134")</f>
        <v>saletructiep_KoreaSouth.Anhsale10.1840.Giaotiep_PTATTNDL_LD134</v>
      </c>
      <c r="T29" s="107" t="str">
        <f>IFERROR(__xludf.DUMMYFUNCTION("""COMPUTED_VALUE"""),"http://ldp.to/9uYk9/?utm_source=Facebook&amp;utm_medium=MES&amp;utm_term=NEW_KoreaSouth_1840_none_261222&amp;utm_content=saletructiep_KoreaSouth.Anhsale10.1840.Giaotiep_PTATTNDL_LD134&amp;utm_campaign=KoreaSouth.Giaotiep.Anhsale10_95360_MES_DungNT_261222")</f>
        <v>http://ldp.to/9uYk9/?utm_source=Facebook&amp;utm_medium=MES&amp;utm_term=NEW_KoreaSouth_1840_none_261222&amp;utm_content=saletructiep_KoreaSouth.Anhsale10.1840.Giaotiep_PTATTNDL_LD134&amp;utm_campaign=KoreaSouth.Giaotiep.Anhsale10_95360_MES_DungNT_261222</v>
      </c>
      <c r="U29" s="118"/>
    </row>
    <row r="30">
      <c r="A30" s="72">
        <v>44921.0</v>
      </c>
      <c r="B30" s="75" t="s">
        <v>3416</v>
      </c>
      <c r="C30" s="67" t="str">
        <f>IFERROR(__xludf.DUMMYFUNCTION("""COMPUTED_VALUE"""),"LD135")</f>
        <v>LD135</v>
      </c>
      <c r="D30" s="55" t="s">
        <v>42</v>
      </c>
      <c r="E30" s="55" t="s">
        <v>79</v>
      </c>
      <c r="F30" s="55" t="s">
        <v>461</v>
      </c>
      <c r="G30" s="55">
        <v>2550.0</v>
      </c>
      <c r="H30" s="55" t="s">
        <v>3306</v>
      </c>
      <c r="I30" s="55" t="s">
        <v>3417</v>
      </c>
      <c r="J30" s="168" t="s">
        <v>3418</v>
      </c>
      <c r="K30" s="167" t="s">
        <v>61</v>
      </c>
      <c r="L30" s="55">
        <v>95360.0</v>
      </c>
      <c r="M30" s="55" t="s">
        <v>78</v>
      </c>
      <c r="N30" s="55" t="s">
        <v>79</v>
      </c>
      <c r="O30" s="55" t="s">
        <v>218</v>
      </c>
      <c r="P30" s="55" t="s">
        <v>110</v>
      </c>
      <c r="Q30" s="67" t="str">
        <f>IFERROR(__xludf.DUMMYFUNCTION("""COMPUTED_VALUE"""),"CzechRepublic.Kids.Anhsale10_95360_MES_DungNT_261222")</f>
        <v>CzechRepublic.Kids.Anhsale10_95360_MES_DungNT_261222</v>
      </c>
      <c r="R30" s="67" t="str">
        <f>IFERROR(__xludf.DUMMYFUNCTION("""COMPUTED_VALUE"""),"NEW_CzechRepublic_2550_none_261222")</f>
        <v>NEW_CzechRepublic_2550_none_261222</v>
      </c>
      <c r="S30" s="67" t="str">
        <f>IFERROR(__xludf.DUMMYFUNCTION("""COMPUTED_VALUE"""),"saletructiep_CzechRepublic.Anhsale10.2055.Kids_PTATTNDL_LD135")</f>
        <v>saletructiep_CzechRepublic.Anhsale10.2055.Kids_PTATTNDL_LD135</v>
      </c>
      <c r="T30" s="107" t="str">
        <f>IFERROR(__xludf.DUMMYFUNCTION("""COMPUTED_VALUE"""),"https://patadovietnam.edu.vn/tienganhforkids/?utm_source=Facebook&amp;utm_medium=MES&amp;utm_term=NEW_CzechRepublic_2550_none_261222&amp;utm_content=saletructiep_CzechRepublic.Anhsale10.2055.Kids_PTATTNDL_LD135&amp;utm_campaign=CzechRepublic.Kids.Anhsale10_95360_MES_Dung"&amp;"NT_261222")</f>
        <v>https://patadovietnam.edu.vn/tienganhforkids/?utm_source=Facebook&amp;utm_medium=MES&amp;utm_term=NEW_CzechRepublic_2550_none_261222&amp;utm_content=saletructiep_CzechRepublic.Anhsale10.2055.Kids_PTATTNDL_LD135&amp;utm_campaign=CzechRepublic.Kids.Anhsale10_95360_MES_DungNT_261222</v>
      </c>
      <c r="U30" s="118"/>
    </row>
    <row r="31">
      <c r="A31" s="72">
        <v>44922.0</v>
      </c>
      <c r="B31" s="75" t="s">
        <v>3424</v>
      </c>
      <c r="C31" s="67" t="str">
        <f>IFERROR(__xludf.DUMMYFUNCTION("""COMPUTED_VALUE"""),"LD136")</f>
        <v>LD136</v>
      </c>
      <c r="D31" s="55" t="s">
        <v>42</v>
      </c>
      <c r="E31" s="55" t="s">
        <v>79</v>
      </c>
      <c r="F31" s="55" t="s">
        <v>129</v>
      </c>
      <c r="G31" s="55">
        <v>2555.0</v>
      </c>
      <c r="H31" s="55" t="s">
        <v>3306</v>
      </c>
      <c r="I31" s="55" t="s">
        <v>3425</v>
      </c>
      <c r="J31" s="168" t="s">
        <v>3426</v>
      </c>
      <c r="K31" s="167" t="s">
        <v>61</v>
      </c>
      <c r="L31" s="55">
        <v>95360.0</v>
      </c>
      <c r="M31" s="55" t="s">
        <v>78</v>
      </c>
      <c r="N31" s="55" t="s">
        <v>79</v>
      </c>
      <c r="O31" s="55" t="s">
        <v>218</v>
      </c>
      <c r="P31" s="55" t="s">
        <v>110</v>
      </c>
      <c r="Q31" s="67" t="str">
        <f>IFERROR(__xludf.DUMMYFUNCTION("""COMPUTED_VALUE"""),"Australia.Giaotiep.Anhsale10_95360_MES_DungNT_271222")</f>
        <v>Australia.Giaotiep.Anhsale10_95360_MES_DungNT_271222</v>
      </c>
      <c r="R31" s="67" t="str">
        <f>IFERROR(__xludf.DUMMYFUNCTION("""COMPUTED_VALUE"""),"NEW_Australia_2555_none_271222")</f>
        <v>NEW_Australia_2555_none_271222</v>
      </c>
      <c r="S31" s="67" t="str">
        <f>IFERROR(__xludf.DUMMYFUNCTION("""COMPUTED_VALUE"""),"saletructiep_Australia.Anhsale10.2555.Giaotiep_PTATTNDL_LD136")</f>
        <v>saletructiep_Australia.Anhsale10.2555.Giaotiep_PTATTNDL_LD136</v>
      </c>
      <c r="T31" s="107" t="str">
        <f>IFERROR(__xludf.DUMMYFUNCTION("""COMPUTED_VALUE"""),"http://ldp.to/2Jf0m/?utm_source=Facebook&amp;utm_medium=MES&amp;utm_term=NEW_Australia_2555_none_271222&amp;utm_content=saletructiep_Australia.Anhsale10.2555.Giaotiep_PTATTNDL_LD136&amp;utm_campaign=Australia.Giaotiep.Anhsale10_95360_MES_DungNT_271222")</f>
        <v>http://ldp.to/2Jf0m/?utm_source=Facebook&amp;utm_medium=MES&amp;utm_term=NEW_Australia_2555_none_271222&amp;utm_content=saletructiep_Australia.Anhsale10.2555.Giaotiep_PTATTNDL_LD136&amp;utm_campaign=Australia.Giaotiep.Anhsale10_95360_MES_DungNT_271222</v>
      </c>
      <c r="U31" s="118"/>
    </row>
    <row r="32">
      <c r="A32" s="72">
        <v>44922.0</v>
      </c>
      <c r="B32" s="75" t="s">
        <v>3424</v>
      </c>
      <c r="C32" s="67" t="str">
        <f>IFERROR(__xludf.DUMMYFUNCTION("""COMPUTED_VALUE"""),"LD136")</f>
        <v>LD136</v>
      </c>
      <c r="D32" s="55" t="s">
        <v>42</v>
      </c>
      <c r="E32" s="55" t="s">
        <v>69</v>
      </c>
      <c r="F32" s="55" t="s">
        <v>274</v>
      </c>
      <c r="G32" s="55">
        <v>2555.0</v>
      </c>
      <c r="H32" s="55" t="s">
        <v>3306</v>
      </c>
      <c r="I32" s="55" t="s">
        <v>3432</v>
      </c>
      <c r="J32" s="168" t="s">
        <v>3433</v>
      </c>
      <c r="K32" s="167" t="s">
        <v>61</v>
      </c>
      <c r="L32" s="55">
        <v>95360.0</v>
      </c>
      <c r="M32" s="55" t="s">
        <v>78</v>
      </c>
      <c r="N32" s="55" t="s">
        <v>69</v>
      </c>
      <c r="O32" s="55" t="s">
        <v>218</v>
      </c>
      <c r="P32" s="55" t="s">
        <v>110</v>
      </c>
      <c r="Q32" s="67" t="str">
        <f>IFERROR(__xludf.DUMMYFUNCTION("""COMPUTED_VALUE"""),"UnitedKingdom.Giaotiep.Anhsale10_95360_CVS_DungNT_271222")</f>
        <v>UnitedKingdom.Giaotiep.Anhsale10_95360_CVS_DungNT_271222</v>
      </c>
      <c r="R32" s="67" t="str">
        <f>IFERROR(__xludf.DUMMYFUNCTION("""COMPUTED_VALUE"""),"NEW_UnitedKingdom_2555_none_271222")</f>
        <v>NEW_UnitedKingdom_2555_none_271222</v>
      </c>
      <c r="S32" s="67" t="str">
        <f>IFERROR(__xludf.DUMMYFUNCTION("""COMPUTED_VALUE"""),"saletructiep_UnitedKingdom.Anhsale10.2555.Giaotiep_PTATTNDL_LD136")</f>
        <v>saletructiep_UnitedKingdom.Anhsale10.2555.Giaotiep_PTATTNDL_LD136</v>
      </c>
      <c r="T32" s="107" t="str">
        <f>IFERROR(__xludf.DUMMYFUNCTION("""COMPUTED_VALUE"""),"http://ldp.to/2Jf0m/?utm_source=Facebook&amp;utm_medium=CVS&amp;utm_term=NEW_UnitedKingdom_2555_none_271222&amp;utm_content=saletructiep_UnitedKingdom.Anhsale10.2555.Giaotiep_PTATTNDL_LD136&amp;utm_campaign=UnitedKingdom.Giaotiep.Anhsale10_95360_CVS_DungNT_271222")</f>
        <v>http://ldp.to/2Jf0m/?utm_source=Facebook&amp;utm_medium=CVS&amp;utm_term=NEW_UnitedKingdom_2555_none_271222&amp;utm_content=saletructiep_UnitedKingdom.Anhsale10.2555.Giaotiep_PTATTNDL_LD136&amp;utm_campaign=UnitedKingdom.Giaotiep.Anhsale10_95360_CVS_DungNT_271222</v>
      </c>
      <c r="U32" s="118"/>
    </row>
    <row r="33">
      <c r="A33" s="72">
        <v>44923.0</v>
      </c>
      <c r="B33" s="75" t="s">
        <v>3435</v>
      </c>
      <c r="C33" s="67" t="str">
        <f>IFERROR(__xludf.DUMMYFUNCTION("""COMPUTED_VALUE"""),"LD137")</f>
        <v>LD137</v>
      </c>
      <c r="D33" s="55" t="s">
        <v>42</v>
      </c>
      <c r="E33" s="55" t="s">
        <v>69</v>
      </c>
      <c r="F33" s="55" t="s">
        <v>119</v>
      </c>
      <c r="G33" s="55">
        <v>2050.0</v>
      </c>
      <c r="H33" s="55" t="s">
        <v>3306</v>
      </c>
      <c r="I33" s="55" t="s">
        <v>3440</v>
      </c>
      <c r="J33" s="168" t="s">
        <v>3441</v>
      </c>
      <c r="K33" s="167" t="s">
        <v>61</v>
      </c>
      <c r="L33" s="55">
        <v>95360.0</v>
      </c>
      <c r="M33" s="55" t="s">
        <v>78</v>
      </c>
      <c r="N33" s="55" t="s">
        <v>69</v>
      </c>
      <c r="O33" s="55" t="s">
        <v>218</v>
      </c>
      <c r="P33" s="55" t="s">
        <v>110</v>
      </c>
      <c r="Q33" s="67" t="str">
        <f>IFERROR(__xludf.DUMMYFUNCTION("""COMPUTED_VALUE"""),"NewZealand.Giaotiep.Anhsale10_95360_CVS_DungNT_281222")</f>
        <v>NewZealand.Giaotiep.Anhsale10_95360_CVS_DungNT_281222</v>
      </c>
      <c r="R33" s="67" t="str">
        <f>IFERROR(__xludf.DUMMYFUNCTION("""COMPUTED_VALUE"""),"NEW_NewZealand_2050_none_281222")</f>
        <v>NEW_NewZealand_2050_none_281222</v>
      </c>
      <c r="S33" s="67" t="str">
        <f>IFERROR(__xludf.DUMMYFUNCTION("""COMPUTED_VALUE"""),"saletructiep_NewZealand.Anhsale10.2050.Giaotiep_PTATTNDL_LD137")</f>
        <v>saletructiep_NewZealand.Anhsale10.2050.Giaotiep_PTATTNDL_LD137</v>
      </c>
      <c r="T33" s="107" t="str">
        <f>IFERROR(__xludf.DUMMYFUNCTION("""COMPUTED_VALUE"""),"https://patadovietnam.edu.vn/tienganhnewzealandd/?utm_source=Facebook&amp;utm_medium=CVS&amp;utm_term=NEW_NewZealand_2050_none_281222&amp;utm_content=saletructiep_NewZealand.Anhsale10.2050.Giaotiep_PTATTNDL_LD137&amp;utm_campaign=NewZealand.Giaotiep.Anhsale10_95360_CVS_D"&amp;"ungNT_281222")</f>
        <v>https://patadovietnam.edu.vn/tienganhnewzealandd/?utm_source=Facebook&amp;utm_medium=CVS&amp;utm_term=NEW_NewZealand_2050_none_281222&amp;utm_content=saletructiep_NewZealand.Anhsale10.2050.Giaotiep_PTATTNDL_LD137&amp;utm_campaign=NewZealand.Giaotiep.Anhsale10_95360_CVS_DungNT_281222</v>
      </c>
      <c r="U33" s="118"/>
    </row>
    <row r="34">
      <c r="A34" s="72">
        <v>44923.0</v>
      </c>
      <c r="B34" s="112" t="s">
        <v>3443</v>
      </c>
      <c r="C34" s="67" t="str">
        <f>IFERROR(__xludf.DUMMYFUNCTION("""COMPUTED_VALUE"""),"LD142")</f>
        <v>LD142</v>
      </c>
      <c r="D34" s="55" t="s">
        <v>42</v>
      </c>
      <c r="E34" s="55" t="s">
        <v>79</v>
      </c>
      <c r="F34" s="55" t="s">
        <v>162</v>
      </c>
      <c r="G34" s="55">
        <v>1840.0</v>
      </c>
      <c r="H34" s="55" t="s">
        <v>3306</v>
      </c>
      <c r="I34" s="55" t="s">
        <v>3448</v>
      </c>
      <c r="J34" s="168" t="s">
        <v>3449</v>
      </c>
      <c r="K34" s="167" t="s">
        <v>61</v>
      </c>
      <c r="L34" s="55">
        <v>95360.0</v>
      </c>
      <c r="M34" s="55" t="s">
        <v>78</v>
      </c>
      <c r="N34" s="55" t="s">
        <v>79</v>
      </c>
      <c r="O34" s="55" t="s">
        <v>218</v>
      </c>
      <c r="P34" s="55" t="s">
        <v>110</v>
      </c>
      <c r="Q34" s="67" t="str">
        <f>IFERROR(__xludf.DUMMYFUNCTION("""COMPUTED_VALUE"""),"Singapore.Giaotiep.Anhsale10_95360_MES_DungNT_281222")</f>
        <v>Singapore.Giaotiep.Anhsale10_95360_MES_DungNT_281222</v>
      </c>
      <c r="R34" s="67" t="str">
        <f>IFERROR(__xludf.DUMMYFUNCTION("""COMPUTED_VALUE"""),"NEW_Singapore_1840_none_281222")</f>
        <v>NEW_Singapore_1840_none_281222</v>
      </c>
      <c r="S34" s="67" t="str">
        <f>IFERROR(__xludf.DUMMYFUNCTION("""COMPUTED_VALUE"""),"saletructiep_Singapore.Anhsale10.1840.Giaotiep_PTATTNDL_LD142")</f>
        <v>saletructiep_Singapore.Anhsale10.1840.Giaotiep_PTATTNDL_LD142</v>
      </c>
      <c r="T34" s="120" t="str">
        <f>IFERROR(__xludf.DUMMYFUNCTION("""COMPUTED_VALUE"""),"https://patadovietnam.edu.vn/giaotieppatado2123/?utm_source=Facebook&amp;utm_medium=MES&amp;utm_term=NEW_Singapore_1840_none_281222&amp;utm_content=saletructiep_Singapore.Anhsale10.1840.Giaotiep_PTATTNDL_LD142&amp;utm_campaign=Singapore.Giaotiep.Anhsale10_95360_MES_DungN"&amp;"T_281222")</f>
        <v>https://patadovietnam.edu.vn/giaotieppatado2123/?utm_source=Facebook&amp;utm_medium=MES&amp;utm_term=NEW_Singapore_1840_none_281222&amp;utm_content=saletructiep_Singapore.Anhsale10.1840.Giaotiep_PTATTNDL_LD142&amp;utm_campaign=Singapore.Giaotiep.Anhsale10_95360_MES_DungNT_281222</v>
      </c>
      <c r="U34" s="110" t="s">
        <v>3451</v>
      </c>
    </row>
    <row r="35">
      <c r="A35" s="72">
        <v>44924.0</v>
      </c>
      <c r="B35" s="112" t="s">
        <v>3454</v>
      </c>
      <c r="C35" s="67" t="str">
        <f>IFERROR(__xludf.DUMMYFUNCTION("""COMPUTED_VALUE"""),"LD138")</f>
        <v>LD138</v>
      </c>
      <c r="D35" s="55" t="s">
        <v>42</v>
      </c>
      <c r="E35" s="55" t="s">
        <v>69</v>
      </c>
      <c r="F35" s="55" t="s">
        <v>3457</v>
      </c>
      <c r="G35" s="55">
        <v>2050.0</v>
      </c>
      <c r="H35" s="55" t="s">
        <v>3306</v>
      </c>
      <c r="I35" s="55" t="s">
        <v>3458</v>
      </c>
      <c r="J35" s="168" t="s">
        <v>3459</v>
      </c>
      <c r="K35" s="167" t="s">
        <v>61</v>
      </c>
      <c r="L35" s="55">
        <v>95360.0</v>
      </c>
      <c r="M35" s="55" t="s">
        <v>78</v>
      </c>
      <c r="N35" s="55" t="s">
        <v>69</v>
      </c>
      <c r="O35" s="55" t="s">
        <v>218</v>
      </c>
      <c r="P35" s="55" t="s">
        <v>110</v>
      </c>
      <c r="Q35" s="67" t="str">
        <f>IFERROR(__xludf.DUMMYFUNCTION("""COMPUTED_VALUE"""),"Norway.Giaotiep.Anhsale10_95360_CVS_DungNT_291222")</f>
        <v>Norway.Giaotiep.Anhsale10_95360_CVS_DungNT_291222</v>
      </c>
      <c r="R35" s="67" t="str">
        <f>IFERROR(__xludf.DUMMYFUNCTION("""COMPUTED_VALUE"""),"NEW_Norway_2050_none_291222")</f>
        <v>NEW_Norway_2050_none_291222</v>
      </c>
      <c r="S35" s="67" t="str">
        <f>IFERROR(__xludf.DUMMYFUNCTION("""COMPUTED_VALUE"""),"saletructiep_Norway.Anhsale10.2050.Giaotiep_PTATTNDL_LD138")</f>
        <v>saletructiep_Norway.Anhsale10.2050.Giaotiep_PTATTNDL_LD138</v>
      </c>
      <c r="T35" s="120" t="str">
        <f>IFERROR(__xludf.DUMMYFUNCTION("""COMPUTED_VALUE"""),"https://patadovietnam.edu.vn/tienganhnauy/?utm_source=Facebook&amp;utm_medium=CVS&amp;utm_term=NEW_Norway_2050_none_291222&amp;utm_content=saletructiep_Norway.Anhsale10.2050.Giaotiep_PTATTNDL_LD138&amp;utm_campaign=Norway.Giaotiep.Anhsale10_95360_CVS_DungNT_291222")</f>
        <v>https://patadovietnam.edu.vn/tienganhnauy/?utm_source=Facebook&amp;utm_medium=CVS&amp;utm_term=NEW_Norway_2050_none_291222&amp;utm_content=saletructiep_Norway.Anhsale10.2050.Giaotiep_PTATTNDL_LD138&amp;utm_campaign=Norway.Giaotiep.Anhsale10_95360_CVS_DungNT_291222</v>
      </c>
      <c r="U35" s="118"/>
    </row>
    <row r="36">
      <c r="A36" s="72">
        <v>44924.0</v>
      </c>
      <c r="B36" s="112" t="s">
        <v>3464</v>
      </c>
      <c r="C36" s="67" t="str">
        <f>IFERROR(__xludf.DUMMYFUNCTION("""COMPUTED_VALUE"""),"LD139")</f>
        <v>LD139</v>
      </c>
      <c r="D36" s="55" t="s">
        <v>42</v>
      </c>
      <c r="E36" s="55" t="s">
        <v>69</v>
      </c>
      <c r="F36" s="55" t="s">
        <v>3465</v>
      </c>
      <c r="G36" s="55">
        <v>2050.0</v>
      </c>
      <c r="H36" s="55" t="s">
        <v>3306</v>
      </c>
      <c r="I36" s="55" t="s">
        <v>3466</v>
      </c>
      <c r="J36" s="168" t="s">
        <v>3467</v>
      </c>
      <c r="K36" s="167" t="s">
        <v>61</v>
      </c>
      <c r="L36" s="55">
        <v>95360.0</v>
      </c>
      <c r="M36" s="55" t="s">
        <v>78</v>
      </c>
      <c r="N36" s="55" t="s">
        <v>69</v>
      </c>
      <c r="O36" s="55" t="s">
        <v>218</v>
      </c>
      <c r="P36" s="55" t="s">
        <v>110</v>
      </c>
      <c r="Q36" s="67" t="str">
        <f>IFERROR(__xludf.DUMMYFUNCTION("""COMPUTED_VALUE"""),"Netherlands.Giaotiep.Anhsale10_95360_CVS_DungNT_291222")</f>
        <v>Netherlands.Giaotiep.Anhsale10_95360_CVS_DungNT_291222</v>
      </c>
      <c r="R36" s="67" t="str">
        <f>IFERROR(__xludf.DUMMYFUNCTION("""COMPUTED_VALUE"""),"NEW_Netherlands_2050_none_291222")</f>
        <v>NEW_Netherlands_2050_none_291222</v>
      </c>
      <c r="S36" s="67" t="str">
        <f>IFERROR(__xludf.DUMMYFUNCTION("""COMPUTED_VALUE"""),"saletructiep_Netherlands.Anhsale10.2050.Giaotiep_PTATTNDL_LD139")</f>
        <v>saletructiep_Netherlands.Anhsale10.2050.Giaotiep_PTATTNDL_LD139</v>
      </c>
      <c r="T36" s="107" t="str">
        <f>IFERROR(__xludf.DUMMYFUNCTION("""COMPUTED_VALUE"""),"https://patadovietnam.edu.vn/hoctienganhhalann/?utm_source=Facebook&amp;utm_medium=CVS&amp;utm_term=NEW_Netherlands_2050_none_291222&amp;utm_content=saletructiep_Netherlands.Anhsale10.2050.Giaotiep_PTATTNDL_LD139&amp;utm_campaign=Netherlands.Giaotiep.Anhsale10_95360_CVS_"&amp;"DungNT_291222")</f>
        <v>https://patadovietnam.edu.vn/hoctienganhhalann/?utm_source=Facebook&amp;utm_medium=CVS&amp;utm_term=NEW_Netherlands_2050_none_291222&amp;utm_content=saletructiep_Netherlands.Anhsale10.2050.Giaotiep_PTATTNDL_LD139&amp;utm_campaign=Netherlands.Giaotiep.Anhsale10_95360_CVS_DungNT_291222</v>
      </c>
      <c r="U36" s="110" t="s">
        <v>3472</v>
      </c>
    </row>
    <row r="37">
      <c r="A37" s="72">
        <v>44924.0</v>
      </c>
      <c r="B37" s="112" t="s">
        <v>3474</v>
      </c>
      <c r="C37" s="67" t="str">
        <f>IFERROR(__xludf.DUMMYFUNCTION("""COMPUTED_VALUE"""),"LD140")</f>
        <v>LD140</v>
      </c>
      <c r="D37" s="55" t="s">
        <v>42</v>
      </c>
      <c r="E37" s="55" t="s">
        <v>69</v>
      </c>
      <c r="F37" s="55" t="s">
        <v>1101</v>
      </c>
      <c r="G37" s="55">
        <v>2050.0</v>
      </c>
      <c r="H37" s="55" t="s">
        <v>3306</v>
      </c>
      <c r="I37" s="55" t="s">
        <v>3476</v>
      </c>
      <c r="J37" s="168" t="s">
        <v>3477</v>
      </c>
      <c r="K37" s="167" t="s">
        <v>61</v>
      </c>
      <c r="L37" s="55">
        <v>95360.0</v>
      </c>
      <c r="M37" s="55" t="s">
        <v>78</v>
      </c>
      <c r="N37" s="55" t="s">
        <v>69</v>
      </c>
      <c r="O37" s="55" t="s">
        <v>218</v>
      </c>
      <c r="P37" s="55" t="s">
        <v>110</v>
      </c>
      <c r="Q37" s="67" t="str">
        <f>IFERROR(__xludf.DUMMYFUNCTION("""COMPUTED_VALUE"""),"Sweden.Giaotiep.Anhsale10_95360_CVS_DungNT_291222")</f>
        <v>Sweden.Giaotiep.Anhsale10_95360_CVS_DungNT_291222</v>
      </c>
      <c r="R37" s="67" t="str">
        <f>IFERROR(__xludf.DUMMYFUNCTION("""COMPUTED_VALUE"""),"NEW_Sweden_2050_none_291222")</f>
        <v>NEW_Sweden_2050_none_291222</v>
      </c>
      <c r="S37" s="67" t="str">
        <f>IFERROR(__xludf.DUMMYFUNCTION("""COMPUTED_VALUE"""),"saletructiep_Sweden.Anhsale10.2050.Giaotiep_PTATTNDL_LD140")</f>
        <v>saletructiep_Sweden.Anhsale10.2050.Giaotiep_PTATTNDL_LD140</v>
      </c>
      <c r="T37" s="107" t="str">
        <f>IFERROR(__xludf.DUMMYFUNCTION("""COMPUTED_VALUE"""),"https://patadovietnam.edu.vn/tienganhthuydien/?utm_source=Facebook&amp;utm_medium=CVS&amp;utm_term=NEW_Sweden_2050_none_291222&amp;utm_content=saletructiep_Sweden.Anhsale10.2050.Giaotiep_PTATTNDL_LD140&amp;utm_campaign=Sweden.Giaotiep.Anhsale10_95360_CVS_DungNT_291222")</f>
        <v>https://patadovietnam.edu.vn/tienganhthuydien/?utm_source=Facebook&amp;utm_medium=CVS&amp;utm_term=NEW_Sweden_2050_none_291222&amp;utm_content=saletructiep_Sweden.Anhsale10.2050.Giaotiep_PTATTNDL_LD140&amp;utm_campaign=Sweden.Giaotiep.Anhsale10_95360_CVS_DungNT_291222</v>
      </c>
      <c r="U37" s="118"/>
    </row>
    <row r="38">
      <c r="A38" s="72">
        <v>44924.0</v>
      </c>
      <c r="B38" s="75" t="s">
        <v>3482</v>
      </c>
      <c r="C38" s="67" t="str">
        <f>IFERROR(__xludf.DUMMYFUNCTION("""COMPUTED_VALUE"""),"LD141")</f>
        <v>LD141</v>
      </c>
      <c r="D38" s="55" t="s">
        <v>42</v>
      </c>
      <c r="E38" s="55" t="s">
        <v>69</v>
      </c>
      <c r="F38" s="55" t="s">
        <v>1104</v>
      </c>
      <c r="G38" s="55">
        <v>2050.0</v>
      </c>
      <c r="H38" s="55" t="s">
        <v>3306</v>
      </c>
      <c r="I38" s="55" t="s">
        <v>3484</v>
      </c>
      <c r="J38" s="168" t="s">
        <v>3485</v>
      </c>
      <c r="K38" s="167" t="s">
        <v>61</v>
      </c>
      <c r="L38" s="55">
        <v>95360.0</v>
      </c>
      <c r="M38" s="55" t="s">
        <v>78</v>
      </c>
      <c r="N38" s="55" t="s">
        <v>69</v>
      </c>
      <c r="O38" s="55" t="s">
        <v>218</v>
      </c>
      <c r="P38" s="55" t="s">
        <v>110</v>
      </c>
      <c r="Q38" s="67" t="str">
        <f>IFERROR(__xludf.DUMMYFUNCTION("""COMPUTED_VALUE"""),"Denmark.Giaotiep.Anhsale10_95360_CVS_DungNT_291222")</f>
        <v>Denmark.Giaotiep.Anhsale10_95360_CVS_DungNT_291222</v>
      </c>
      <c r="R38" s="67" t="str">
        <f>IFERROR(__xludf.DUMMYFUNCTION("""COMPUTED_VALUE"""),"NEW_Denmark_2050_none_291222")</f>
        <v>NEW_Denmark_2050_none_291222</v>
      </c>
      <c r="S38" s="67" t="str">
        <f>IFERROR(__xludf.DUMMYFUNCTION("""COMPUTED_VALUE"""),"saletructiep_Denmark.Anhsale10.2050.Giaotiep_PTATTNDL_LD141")</f>
        <v>saletructiep_Denmark.Anhsale10.2050.Giaotiep_PTATTNDL_LD141</v>
      </c>
      <c r="T38" s="120" t="str">
        <f>IFERROR(__xludf.DUMMYFUNCTION("""COMPUTED_VALUE"""),"https://patadovietnam.edu.vn/tienganhdanmach/?utm_source=Facebook&amp;utm_medium=CVS&amp;utm_term=NEW_Denmark_2050_none_291222&amp;utm_content=saletructiep_Denmark.Anhsale10.2050.Giaotiep_PTATTNDL_LD141&amp;utm_campaign=Denmark.Giaotiep.Anhsale10_95360_CVS_DungNT_291222")</f>
        <v>https://patadovietnam.edu.vn/tienganhdanmach/?utm_source=Facebook&amp;utm_medium=CVS&amp;utm_term=NEW_Denmark_2050_none_291222&amp;utm_content=saletructiep_Denmark.Anhsale10.2050.Giaotiep_PTATTNDL_LD141&amp;utm_campaign=Denmark.Giaotiep.Anhsale10_95360_CVS_DungNT_291222</v>
      </c>
      <c r="U38" s="110" t="s">
        <v>3488</v>
      </c>
    </row>
    <row r="39">
      <c r="A39" s="72">
        <v>44924.0</v>
      </c>
      <c r="B39" s="75" t="s">
        <v>3416</v>
      </c>
      <c r="C39" s="67" t="str">
        <f>IFERROR(__xludf.DUMMYFUNCTION("""COMPUTED_VALUE"""),"LD135")</f>
        <v>LD135</v>
      </c>
      <c r="D39" s="55" t="s">
        <v>42</v>
      </c>
      <c r="E39" s="55" t="s">
        <v>79</v>
      </c>
      <c r="F39" s="55" t="s">
        <v>461</v>
      </c>
      <c r="G39" s="55">
        <v>2550.0</v>
      </c>
      <c r="H39" s="55" t="s">
        <v>3306</v>
      </c>
      <c r="I39" s="55" t="s">
        <v>3417</v>
      </c>
      <c r="J39" s="168" t="s">
        <v>3418</v>
      </c>
      <c r="K39" s="167" t="s">
        <v>61</v>
      </c>
      <c r="L39" s="55">
        <v>95360.0</v>
      </c>
      <c r="M39" s="55" t="s">
        <v>78</v>
      </c>
      <c r="N39" s="55" t="s">
        <v>79</v>
      </c>
      <c r="O39" s="55" t="s">
        <v>218</v>
      </c>
      <c r="P39" s="55" t="s">
        <v>110</v>
      </c>
      <c r="Q39" s="67" t="str">
        <f>IFERROR(__xludf.DUMMYFUNCTION("""COMPUTED_VALUE"""),"CzechRepublic.Kids.Anhsale10_95360_MES_DungNT_291222")</f>
        <v>CzechRepublic.Kids.Anhsale10_95360_MES_DungNT_291222</v>
      </c>
      <c r="R39" s="67" t="str">
        <f>IFERROR(__xludf.DUMMYFUNCTION("""COMPUTED_VALUE"""),"NEW_CzechRepublic_2550_none_291222")</f>
        <v>NEW_CzechRepublic_2550_none_291222</v>
      </c>
      <c r="S39" s="67" t="str">
        <f>IFERROR(__xludf.DUMMYFUNCTION("""COMPUTED_VALUE"""),"saletructiep_CzechRepublic.Anhsale10.2055.Kids_PTATTNDL_LD135")</f>
        <v>saletructiep_CzechRepublic.Anhsale10.2055.Kids_PTATTNDL_LD135</v>
      </c>
      <c r="T39" s="107" t="str">
        <f>IFERROR(__xludf.DUMMYFUNCTION("""COMPUTED_VALUE"""),"https://patadovietnam.edu.vn/tienganhforkids/?utm_source=Facebook&amp;utm_medium=MES&amp;utm_term=NEW_CzechRepublic_2550_none_291222&amp;utm_content=saletructiep_CzechRepublic.Anhsale10.2055.Kids_PTATTNDL_LD135&amp;utm_campaign=CzechRepublic.Kids.Anhsale10_95360_MES_Dung"&amp;"NT_291222")</f>
        <v>https://patadovietnam.edu.vn/tienganhforkids/?utm_source=Facebook&amp;utm_medium=MES&amp;utm_term=NEW_CzechRepublic_2550_none_291222&amp;utm_content=saletructiep_CzechRepublic.Anhsale10.2055.Kids_PTATTNDL_LD135&amp;utm_campaign=CzechRepublic.Kids.Anhsale10_95360_MES_DungNT_291222</v>
      </c>
      <c r="U39" s="118"/>
    </row>
    <row r="40">
      <c r="A40" s="72">
        <v>44928.0</v>
      </c>
      <c r="B40" s="112" t="s">
        <v>3443</v>
      </c>
      <c r="C40" s="67" t="str">
        <f>IFERROR(__xludf.DUMMYFUNCTION("""COMPUTED_VALUE"""),"LD142")</f>
        <v>LD142</v>
      </c>
      <c r="D40" s="55" t="s">
        <v>42</v>
      </c>
      <c r="E40" s="55" t="s">
        <v>69</v>
      </c>
      <c r="F40" s="55" t="s">
        <v>274</v>
      </c>
      <c r="G40" s="55">
        <v>2555.0</v>
      </c>
      <c r="H40" s="55" t="s">
        <v>3306</v>
      </c>
      <c r="I40" s="55" t="s">
        <v>3432</v>
      </c>
      <c r="J40" s="168" t="s">
        <v>3433</v>
      </c>
      <c r="K40" s="167" t="s">
        <v>61</v>
      </c>
      <c r="L40" s="55" t="s">
        <v>1264</v>
      </c>
      <c r="M40" s="55" t="s">
        <v>78</v>
      </c>
      <c r="N40" s="55" t="s">
        <v>69</v>
      </c>
      <c r="O40" s="55" t="s">
        <v>218</v>
      </c>
      <c r="P40" s="55" t="s">
        <v>110</v>
      </c>
      <c r="Q40" s="67" t="str">
        <f>IFERROR(__xludf.DUMMYFUNCTION("""COMPUTED_VALUE"""),"UnitedKingdom.Giaotiep.Anhsale10_LHV.9822_CVS_DungNT_020123")</f>
        <v>UnitedKingdom.Giaotiep.Anhsale10_LHV.9822_CVS_DungNT_020123</v>
      </c>
      <c r="R40" s="67" t="str">
        <f>IFERROR(__xludf.DUMMYFUNCTION("""COMPUTED_VALUE"""),"NEW_UnitedKingdom_2555_none_020123")</f>
        <v>NEW_UnitedKingdom_2555_none_020123</v>
      </c>
      <c r="S40" s="67" t="str">
        <f>IFERROR(__xludf.DUMMYFUNCTION("""COMPUTED_VALUE"""),"saletructiep_UnitedKingdom.Anhsale10.2555.Giaotiep_PTATTNDL_LD142")</f>
        <v>saletructiep_UnitedKingdom.Anhsale10.2555.Giaotiep_PTATTNDL_LD142</v>
      </c>
      <c r="T40" s="107" t="str">
        <f>IFERROR(__xludf.DUMMYFUNCTION("""COMPUTED_VALUE"""),"https://patadovietnam.edu.vn/giaotieppatado2123/?utm_source=Facebook&amp;utm_medium=CVS&amp;utm_term=NEW_UnitedKingdom_2555_none_020123&amp;utm_content=saletructiep_UnitedKingdom.Anhsale10.2555.Giaotiep_PTATTNDL_LD142&amp;utm_campaign=UnitedKingdom.Giaotiep.Anhsale10_LHV"&amp;".9822_CVS_DungNT_020123")</f>
        <v>https://patadovietnam.edu.vn/giaotieppatado2123/?utm_source=Facebook&amp;utm_medium=CVS&amp;utm_term=NEW_UnitedKingdom_2555_none_020123&amp;utm_content=saletructiep_UnitedKingdom.Anhsale10.2555.Giaotiep_PTATTNDL_LD142&amp;utm_campaign=UnitedKingdom.Giaotiep.Anhsale10_LHV.9822_CVS_DungNT_020123</v>
      </c>
      <c r="U40" s="118"/>
    </row>
    <row r="41">
      <c r="A41" s="72">
        <v>44928.0</v>
      </c>
      <c r="B41" s="75" t="s">
        <v>3496</v>
      </c>
      <c r="C41" s="67" t="str">
        <f>IFERROR(__xludf.DUMMYFUNCTION("""COMPUTED_VALUE"""),"LD143")</f>
        <v>LD143</v>
      </c>
      <c r="D41" s="55" t="s">
        <v>42</v>
      </c>
      <c r="E41" s="55" t="s">
        <v>79</v>
      </c>
      <c r="F41" s="55" t="s">
        <v>129</v>
      </c>
      <c r="G41" s="55">
        <v>2550.0</v>
      </c>
      <c r="H41" s="55" t="s">
        <v>3306</v>
      </c>
      <c r="I41" s="55" t="s">
        <v>3425</v>
      </c>
      <c r="J41" s="168" t="s">
        <v>3498</v>
      </c>
      <c r="K41" s="167" t="s">
        <v>61</v>
      </c>
      <c r="L41" s="55" t="s">
        <v>1264</v>
      </c>
      <c r="M41" s="55" t="s">
        <v>78</v>
      </c>
      <c r="N41" s="55" t="s">
        <v>79</v>
      </c>
      <c r="O41" s="55" t="s">
        <v>218</v>
      </c>
      <c r="P41" s="55" t="s">
        <v>110</v>
      </c>
      <c r="Q41" s="67" t="str">
        <f>IFERROR(__xludf.DUMMYFUNCTION("""COMPUTED_VALUE"""),"Australia.Giaotiep.Anhsale10_LHV.9822_MES_DungNT_020123")</f>
        <v>Australia.Giaotiep.Anhsale10_LHV.9822_MES_DungNT_020123</v>
      </c>
      <c r="R41" s="67" t="str">
        <f>IFERROR(__xludf.DUMMYFUNCTION("""COMPUTED_VALUE"""),"NEW_Australia_2550_none_020123")</f>
        <v>NEW_Australia_2550_none_020123</v>
      </c>
      <c r="S41" s="67" t="str">
        <f>IFERROR(__xludf.DUMMYFUNCTION("""COMPUTED_VALUE"""),"saletructiep_Australia.Anhsale10.2550.Giaotiep_PTATTNDL_LD143")</f>
        <v>saletructiep_Australia.Anhsale10.2550.Giaotiep_PTATTNDL_LD143</v>
      </c>
      <c r="T41" s="107" t="str">
        <f>IFERROR(__xludf.DUMMYFUNCTION("""COMPUTED_VALUE"""),"https://patadovietnam.edu.vn/tienganhaustralia_d1/?utm_source=Facebook&amp;utm_medium=MES&amp;utm_term=NEW_Australia_2550_none_020123&amp;utm_content=saletructiep_Australia.Anhsale10.2550.Giaotiep_PTATTNDL_LD143&amp;utm_campaign=Australia.Giaotiep.Anhsale10_LHV.9822_MES_"&amp;"DungNT_020123")</f>
        <v>https://patadovietnam.edu.vn/tienganhaustralia_d1/?utm_source=Facebook&amp;utm_medium=MES&amp;utm_term=NEW_Australia_2550_none_020123&amp;utm_content=saletructiep_Australia.Anhsale10.2550.Giaotiep_PTATTNDL_LD143&amp;utm_campaign=Australia.Giaotiep.Anhsale10_LHV.9822_MES_DungNT_020123</v>
      </c>
      <c r="U41" s="110" t="s">
        <v>3501</v>
      </c>
    </row>
    <row r="42">
      <c r="A42" s="72">
        <v>44928.0</v>
      </c>
      <c r="B42" s="112" t="s">
        <v>3502</v>
      </c>
      <c r="C42" s="67" t="str">
        <f>IFERROR(__xludf.DUMMYFUNCTION("""COMPUTED_VALUE"""),"LD144")</f>
        <v>LD144</v>
      </c>
      <c r="D42" s="55" t="s">
        <v>42</v>
      </c>
      <c r="E42" s="55" t="s">
        <v>79</v>
      </c>
      <c r="F42" s="55" t="s">
        <v>174</v>
      </c>
      <c r="G42" s="55">
        <v>2545.0</v>
      </c>
      <c r="H42" s="55" t="s">
        <v>3306</v>
      </c>
      <c r="I42" s="55" t="s">
        <v>3504</v>
      </c>
      <c r="J42" s="168" t="s">
        <v>3505</v>
      </c>
      <c r="K42" s="167" t="s">
        <v>61</v>
      </c>
      <c r="L42" s="55" t="s">
        <v>1264</v>
      </c>
      <c r="M42" s="55" t="s">
        <v>78</v>
      </c>
      <c r="N42" s="55" t="s">
        <v>79</v>
      </c>
      <c r="O42" s="55" t="s">
        <v>218</v>
      </c>
      <c r="P42" s="55" t="s">
        <v>110</v>
      </c>
      <c r="Q42" s="67" t="str">
        <f>IFERROR(__xludf.DUMMYFUNCTION("""COMPUTED_VALUE"""),"Philippines.Giaotiep.Anhsale10_LHV.9822_MES_DungNT_020123")</f>
        <v>Philippines.Giaotiep.Anhsale10_LHV.9822_MES_DungNT_020123</v>
      </c>
      <c r="R42" s="67" t="str">
        <f>IFERROR(__xludf.DUMMYFUNCTION("""COMPUTED_VALUE"""),"NEW_Philippines_2545_none_020123")</f>
        <v>NEW_Philippines_2545_none_020123</v>
      </c>
      <c r="S42" s="67" t="str">
        <f>IFERROR(__xludf.DUMMYFUNCTION("""COMPUTED_VALUE"""),"saletructiep_Philippines.Anhsale10.2545.Giaotiep_PTATTNDL_LD144")</f>
        <v>saletructiep_Philippines.Anhsale10.2545.Giaotiep_PTATTNDL_LD144</v>
      </c>
      <c r="T42" s="107" t="str">
        <f>IFERROR(__xludf.DUMMYFUNCTION("""COMPUTED_VALUE"""),"https://patadovietnam.edu.vn/tienganhpatado_d1/?utm_source=Facebook&amp;utm_medium=MES&amp;utm_term=NEW_Philippines_2545_none_020123&amp;utm_content=saletructiep_Philippines.Anhsale10.2545.Giaotiep_PTATTNDL_LD144&amp;utm_campaign=Philippines.Giaotiep.Anhsale10_LHV.9822_M"&amp;"ES_DungNT_020123")</f>
        <v>https://patadovietnam.edu.vn/tienganhpatado_d1/?utm_source=Facebook&amp;utm_medium=MES&amp;utm_term=NEW_Philippines_2545_none_020123&amp;utm_content=saletructiep_Philippines.Anhsale10.2545.Giaotiep_PTATTNDL_LD144&amp;utm_campaign=Philippines.Giaotiep.Anhsale10_LHV.9822_MES_DungNT_020123</v>
      </c>
      <c r="U42" s="118"/>
    </row>
    <row r="43">
      <c r="A43" s="72">
        <v>44928.0</v>
      </c>
      <c r="B43" s="112" t="s">
        <v>3509</v>
      </c>
      <c r="C43" s="67" t="str">
        <f>IFERROR(__xludf.DUMMYFUNCTION("""COMPUTED_VALUE"""),"LD145")</f>
        <v>LD145</v>
      </c>
      <c r="D43" s="55" t="s">
        <v>42</v>
      </c>
      <c r="E43" s="55" t="s">
        <v>79</v>
      </c>
      <c r="F43" s="55" t="s">
        <v>133</v>
      </c>
      <c r="G43" s="55">
        <v>1835.0</v>
      </c>
      <c r="H43" s="55" t="s">
        <v>3306</v>
      </c>
      <c r="I43" s="55" t="s">
        <v>3319</v>
      </c>
      <c r="J43" s="168" t="s">
        <v>3512</v>
      </c>
      <c r="K43" s="167" t="s">
        <v>61</v>
      </c>
      <c r="L43" s="55" t="s">
        <v>1264</v>
      </c>
      <c r="M43" s="55" t="s">
        <v>78</v>
      </c>
      <c r="N43" s="55" t="s">
        <v>79</v>
      </c>
      <c r="O43" s="55" t="s">
        <v>218</v>
      </c>
      <c r="P43" s="55" t="s">
        <v>110</v>
      </c>
      <c r="Q43" s="67" t="str">
        <f>IFERROR(__xludf.DUMMYFUNCTION("""COMPUTED_VALUE"""),"Japan.Giaotiep.Anhsale10_LHV.9822_MES_DungNT_020123")</f>
        <v>Japan.Giaotiep.Anhsale10_LHV.9822_MES_DungNT_020123</v>
      </c>
      <c r="R43" s="67" t="str">
        <f>IFERROR(__xludf.DUMMYFUNCTION("""COMPUTED_VALUE"""),"NEW_Japan_1835_none_020123")</f>
        <v>NEW_Japan_1835_none_020123</v>
      </c>
      <c r="S43" s="67" t="str">
        <f>IFERROR(__xludf.DUMMYFUNCTION("""COMPUTED_VALUE"""),"saletructiep_Japan.Anhsale10.1835.Giaotiep_PTATTNDL_LD145")</f>
        <v>saletructiep_Japan.Anhsale10.1835.Giaotiep_PTATTNDL_LD145</v>
      </c>
      <c r="T43" s="107" t="str">
        <f>IFERROR(__xludf.DUMMYFUNCTION("""COMPUTED_VALUE"""),"https://patadovietnam.edu.vn/tienganhjapan_d1/?utm_source=Facebook&amp;utm_medium=MES&amp;utm_term=NEW_Japan_1835_none_020123&amp;utm_content=saletructiep_Japan.Anhsale10.1835.Giaotiep_PTATTNDL_LD145&amp;utm_campaign=Japan.Giaotiep.Anhsale10_LHV.9822_MES_DungNT_020123")</f>
        <v>https://patadovietnam.edu.vn/tienganhjapan_d1/?utm_source=Facebook&amp;utm_medium=MES&amp;utm_term=NEW_Japan_1835_none_020123&amp;utm_content=saletructiep_Japan.Anhsale10.1835.Giaotiep_PTATTNDL_LD145&amp;utm_campaign=Japan.Giaotiep.Anhsale10_LHV.9822_MES_DungNT_020123</v>
      </c>
      <c r="U43" s="118"/>
    </row>
    <row r="44">
      <c r="A44" s="72">
        <v>44930.0</v>
      </c>
      <c r="B44" s="112" t="s">
        <v>3443</v>
      </c>
      <c r="C44" s="67" t="str">
        <f>IFERROR(__xludf.DUMMYFUNCTION("""COMPUTED_VALUE"""),"LD142")</f>
        <v>LD142</v>
      </c>
      <c r="D44" s="55" t="s">
        <v>42</v>
      </c>
      <c r="E44" s="55" t="s">
        <v>69</v>
      </c>
      <c r="F44" s="55" t="s">
        <v>274</v>
      </c>
      <c r="G44" s="55">
        <v>2555.0</v>
      </c>
      <c r="H44" s="55" t="s">
        <v>3306</v>
      </c>
      <c r="I44" s="55" t="s">
        <v>3432</v>
      </c>
      <c r="J44" s="168" t="s">
        <v>3433</v>
      </c>
      <c r="K44" s="167" t="s">
        <v>61</v>
      </c>
      <c r="L44" s="55" t="s">
        <v>1264</v>
      </c>
      <c r="M44" s="55" t="s">
        <v>78</v>
      </c>
      <c r="N44" s="55" t="s">
        <v>69</v>
      </c>
      <c r="O44" s="55" t="s">
        <v>218</v>
      </c>
      <c r="P44" s="55" t="s">
        <v>110</v>
      </c>
      <c r="Q44" s="67" t="str">
        <f>IFERROR(__xludf.DUMMYFUNCTION("""COMPUTED_VALUE"""),"UnitedKingdom.Giaotiep.Anhsale10_LHV.9822_CVS_DungNT_040123")</f>
        <v>UnitedKingdom.Giaotiep.Anhsale10_LHV.9822_CVS_DungNT_040123</v>
      </c>
      <c r="R44" s="67" t="str">
        <f>IFERROR(__xludf.DUMMYFUNCTION("""COMPUTED_VALUE"""),"NEW_UnitedKingdom_2555_none_040123")</f>
        <v>NEW_UnitedKingdom_2555_none_040123</v>
      </c>
      <c r="S44" s="67" t="str">
        <f>IFERROR(__xludf.DUMMYFUNCTION("""COMPUTED_VALUE"""),"saletructiep_UnitedKingdom.Anhsale10.2555.Giaotiep_PTATTNDL_LD142")</f>
        <v>saletructiep_UnitedKingdom.Anhsale10.2555.Giaotiep_PTATTNDL_LD142</v>
      </c>
      <c r="T44" s="107" t="str">
        <f>IFERROR(__xludf.DUMMYFUNCTION("""COMPUTED_VALUE"""),"https://patadovietnam.edu.vn/giaotieppatado2123/?utm_source=Facebook&amp;utm_medium=CVS&amp;utm_term=NEW_UnitedKingdom_2555_none_040123&amp;utm_content=saletructiep_UnitedKingdom.Anhsale10.2555.Giaotiep_PTATTNDL_LD142&amp;utm_campaign=UnitedKingdom.Giaotiep.Anhsale10_LHV"&amp;".9822_CVS_DungNT_040123")</f>
        <v>https://patadovietnam.edu.vn/giaotieppatado2123/?utm_source=Facebook&amp;utm_medium=CVS&amp;utm_term=NEW_UnitedKingdom_2555_none_040123&amp;utm_content=saletructiep_UnitedKingdom.Anhsale10.2555.Giaotiep_PTATTNDL_LD142&amp;utm_campaign=UnitedKingdom.Giaotiep.Anhsale10_LHV.9822_CVS_DungNT_040123</v>
      </c>
      <c r="U44" s="118"/>
    </row>
    <row r="45">
      <c r="A45" s="72">
        <v>44931.0</v>
      </c>
      <c r="B45" s="112" t="s">
        <v>3502</v>
      </c>
      <c r="C45" s="67" t="str">
        <f>IFERROR(__xludf.DUMMYFUNCTION("""COMPUTED_VALUE"""),"LD144")</f>
        <v>LD144</v>
      </c>
      <c r="D45" s="55" t="s">
        <v>42</v>
      </c>
      <c r="E45" s="55" t="s">
        <v>79</v>
      </c>
      <c r="F45" s="55" t="s">
        <v>174</v>
      </c>
      <c r="G45" s="55">
        <v>2545.0</v>
      </c>
      <c r="H45" s="55" t="s">
        <v>3306</v>
      </c>
      <c r="I45" s="55" t="s">
        <v>3504</v>
      </c>
      <c r="J45" s="168" t="s">
        <v>3505</v>
      </c>
      <c r="K45" s="167" t="s">
        <v>61</v>
      </c>
      <c r="L45" s="55" t="s">
        <v>1264</v>
      </c>
      <c r="M45" s="55" t="s">
        <v>78</v>
      </c>
      <c r="N45" s="55" t="s">
        <v>79</v>
      </c>
      <c r="O45" s="55" t="s">
        <v>218</v>
      </c>
      <c r="P45" s="55" t="s">
        <v>110</v>
      </c>
      <c r="Q45" s="67" t="str">
        <f>IFERROR(__xludf.DUMMYFUNCTION("""COMPUTED_VALUE"""),"Philippines.Giaotiep.Anhsale10_LHV.9822_MES_DungNT_050123")</f>
        <v>Philippines.Giaotiep.Anhsale10_LHV.9822_MES_DungNT_050123</v>
      </c>
      <c r="R45" s="67" t="str">
        <f>IFERROR(__xludf.DUMMYFUNCTION("""COMPUTED_VALUE"""),"NEW_Philippines_2545_none_050123")</f>
        <v>NEW_Philippines_2545_none_050123</v>
      </c>
      <c r="S45" s="67" t="str">
        <f>IFERROR(__xludf.DUMMYFUNCTION("""COMPUTED_VALUE"""),"saletructiep_Philippines.Anhsale10.2545.Giaotiep_PTATTNDL_LD144")</f>
        <v>saletructiep_Philippines.Anhsale10.2545.Giaotiep_PTATTNDL_LD144</v>
      </c>
      <c r="T45" s="120" t="str">
        <f>IFERROR(__xludf.DUMMYFUNCTION("""COMPUTED_VALUE"""),"https://patadovietnam.edu.vn/tienganhpatado_d1/?utm_source=Facebook&amp;utm_medium=MES&amp;utm_term=NEW_Philippines_2545_none_050123&amp;utm_content=saletructiep_Philippines.Anhsale10.2545.Giaotiep_PTATTNDL_LD144&amp;utm_campaign=Philippines.Giaotiep.Anhsale10_LHV.9822_M"&amp;"ES_DungNT_050123")</f>
        <v>https://patadovietnam.edu.vn/tienganhpatado_d1/?utm_source=Facebook&amp;utm_medium=MES&amp;utm_term=NEW_Philippines_2545_none_050123&amp;utm_content=saletructiep_Philippines.Anhsale10.2545.Giaotiep_PTATTNDL_LD144&amp;utm_campaign=Philippines.Giaotiep.Anhsale10_LHV.9822_MES_DungNT_050123</v>
      </c>
      <c r="U45" s="118"/>
    </row>
    <row r="46">
      <c r="A46" s="72">
        <v>44931.0</v>
      </c>
      <c r="B46" s="112" t="s">
        <v>3502</v>
      </c>
      <c r="C46" s="67" t="str">
        <f>IFERROR(__xludf.DUMMYFUNCTION("""COMPUTED_VALUE"""),"LD144")</f>
        <v>LD144</v>
      </c>
      <c r="D46" s="55" t="s">
        <v>42</v>
      </c>
      <c r="E46" s="55" t="s">
        <v>79</v>
      </c>
      <c r="F46" s="55" t="s">
        <v>625</v>
      </c>
      <c r="G46" s="55">
        <v>1835.0</v>
      </c>
      <c r="H46" s="55" t="s">
        <v>3306</v>
      </c>
      <c r="I46" s="55" t="s">
        <v>3361</v>
      </c>
      <c r="J46" s="168" t="s">
        <v>3525</v>
      </c>
      <c r="K46" s="167" t="s">
        <v>61</v>
      </c>
      <c r="L46" s="55" t="s">
        <v>1264</v>
      </c>
      <c r="M46" s="55" t="s">
        <v>78</v>
      </c>
      <c r="N46" s="55" t="s">
        <v>79</v>
      </c>
      <c r="O46" s="55" t="s">
        <v>218</v>
      </c>
      <c r="P46" s="55" t="s">
        <v>110</v>
      </c>
      <c r="Q46" s="67" t="str">
        <f>IFERROR(__xludf.DUMMYFUNCTION("""COMPUTED_VALUE"""),"KoreaSouth.Giaotiep.Anhsale10_LHV.9822_MES_DungNT_050123")</f>
        <v>KoreaSouth.Giaotiep.Anhsale10_LHV.9822_MES_DungNT_050123</v>
      </c>
      <c r="R46" s="67" t="str">
        <f>IFERROR(__xludf.DUMMYFUNCTION("""COMPUTED_VALUE"""),"NEW_KoreaSouth_1835_none_050123")</f>
        <v>NEW_KoreaSouth_1835_none_050123</v>
      </c>
      <c r="S46" s="67" t="str">
        <f>IFERROR(__xludf.DUMMYFUNCTION("""COMPUTED_VALUE"""),"saletructiep_KoreaSouth.Anhsale10.1835.Giaotiep_PTATTNDL_LD144")</f>
        <v>saletructiep_KoreaSouth.Anhsale10.1835.Giaotiep_PTATTNDL_LD144</v>
      </c>
      <c r="T46" s="107" t="str">
        <f>IFERROR(__xludf.DUMMYFUNCTION("""COMPUTED_VALUE"""),"https://patadovietnam.edu.vn/tienganhpatado_d1/?utm_source=Facebook&amp;utm_medium=MES&amp;utm_term=NEW_KoreaSouth_1835_none_050123&amp;utm_content=saletructiep_KoreaSouth.Anhsale10.1835.Giaotiep_PTATTNDL_LD144&amp;utm_campaign=KoreaSouth.Giaotiep.Anhsale10_LHV.9822_MES_"&amp;"DungNT_050123")</f>
        <v>https://patadovietnam.edu.vn/tienganhpatado_d1/?utm_source=Facebook&amp;utm_medium=MES&amp;utm_term=NEW_KoreaSouth_1835_none_050123&amp;utm_content=saletructiep_KoreaSouth.Anhsale10.1835.Giaotiep_PTATTNDL_LD144&amp;utm_campaign=KoreaSouth.Giaotiep.Anhsale10_LHV.9822_MES_DungNT_050123</v>
      </c>
      <c r="U46" s="118"/>
    </row>
    <row r="47">
      <c r="A47" s="72">
        <v>44931.0</v>
      </c>
      <c r="B47" s="112" t="s">
        <v>3502</v>
      </c>
      <c r="C47" s="67" t="str">
        <f>IFERROR(__xludf.DUMMYFUNCTION("""COMPUTED_VALUE"""),"LD144")</f>
        <v>LD144</v>
      </c>
      <c r="D47" s="55" t="s">
        <v>42</v>
      </c>
      <c r="E47" s="55" t="s">
        <v>79</v>
      </c>
      <c r="F47" s="55" t="s">
        <v>162</v>
      </c>
      <c r="G47" s="55">
        <v>2045.0</v>
      </c>
      <c r="H47" s="55" t="s">
        <v>3306</v>
      </c>
      <c r="I47" s="55" t="s">
        <v>3448</v>
      </c>
      <c r="J47" s="168" t="s">
        <v>3527</v>
      </c>
      <c r="K47" s="167" t="s">
        <v>61</v>
      </c>
      <c r="L47" s="55" t="s">
        <v>1264</v>
      </c>
      <c r="M47" s="55" t="s">
        <v>78</v>
      </c>
      <c r="N47" s="55" t="s">
        <v>79</v>
      </c>
      <c r="O47" s="55" t="s">
        <v>218</v>
      </c>
      <c r="P47" s="55" t="s">
        <v>110</v>
      </c>
      <c r="Q47" s="67" t="str">
        <f>IFERROR(__xludf.DUMMYFUNCTION("""COMPUTED_VALUE"""),"Singapore.Giaotiep.Anhsale10_LHV.9822_MES_DungNT_050123")</f>
        <v>Singapore.Giaotiep.Anhsale10_LHV.9822_MES_DungNT_050123</v>
      </c>
      <c r="R47" s="67" t="str">
        <f>IFERROR(__xludf.DUMMYFUNCTION("""COMPUTED_VALUE"""),"NEW_Singapore_2045_none_050123")</f>
        <v>NEW_Singapore_2045_none_050123</v>
      </c>
      <c r="S47" s="67" t="str">
        <f>IFERROR(__xludf.DUMMYFUNCTION("""COMPUTED_VALUE"""),"saletructiep_Singapore.Anhsale10.2045.Giaotiep_PTATTNDL_LD144")</f>
        <v>saletructiep_Singapore.Anhsale10.2045.Giaotiep_PTATTNDL_LD144</v>
      </c>
      <c r="T47" s="107" t="str">
        <f>IFERROR(__xludf.DUMMYFUNCTION("""COMPUTED_VALUE"""),"https://patadovietnam.edu.vn/tienganhpatado_d1/?utm_source=Facebook&amp;utm_medium=MES&amp;utm_term=NEW_Singapore_2045_none_050123&amp;utm_content=saletructiep_Singapore.Anhsale10.2045.Giaotiep_PTATTNDL_LD144&amp;utm_campaign=Singapore.Giaotiep.Anhsale10_LHV.9822_MES_Dun"&amp;"gNT_050123")</f>
        <v>https://patadovietnam.edu.vn/tienganhpatado_d1/?utm_source=Facebook&amp;utm_medium=MES&amp;utm_term=NEW_Singapore_2045_none_050123&amp;utm_content=saletructiep_Singapore.Anhsale10.2045.Giaotiep_PTATTNDL_LD144&amp;utm_campaign=Singapore.Giaotiep.Anhsale10_LHV.9822_MES_DungNT_050123</v>
      </c>
      <c r="U47" s="118"/>
    </row>
    <row r="48">
      <c r="A48" s="72">
        <v>44931.0</v>
      </c>
      <c r="B48" s="112" t="s">
        <v>3502</v>
      </c>
      <c r="C48" s="67" t="str">
        <f>IFERROR(__xludf.DUMMYFUNCTION("""COMPUTED_VALUE"""),"LD144")</f>
        <v>LD144</v>
      </c>
      <c r="D48" s="55" t="s">
        <v>42</v>
      </c>
      <c r="E48" s="55" t="s">
        <v>69</v>
      </c>
      <c r="F48" s="55" t="s">
        <v>112</v>
      </c>
      <c r="G48" s="55">
        <v>2050.0</v>
      </c>
      <c r="H48" s="55" t="s">
        <v>3306</v>
      </c>
      <c r="I48" s="55" t="s">
        <v>3532</v>
      </c>
      <c r="J48" s="55" t="s">
        <v>3533</v>
      </c>
      <c r="K48" s="167" t="s">
        <v>61</v>
      </c>
      <c r="L48" s="55" t="s">
        <v>1264</v>
      </c>
      <c r="M48" s="55" t="s">
        <v>78</v>
      </c>
      <c r="N48" s="55" t="s">
        <v>79</v>
      </c>
      <c r="O48" s="55" t="s">
        <v>218</v>
      </c>
      <c r="P48" s="55" t="s">
        <v>110</v>
      </c>
      <c r="Q48" s="67" t="str">
        <f>IFERROR(__xludf.DUMMYFUNCTION("""COMPUTED_VALUE"""),"Canada.Giaotiep.Anhsale10_LHV.9822_MES_DungNT_050123")</f>
        <v>Canada.Giaotiep.Anhsale10_LHV.9822_MES_DungNT_050123</v>
      </c>
      <c r="R48" s="67" t="str">
        <f>IFERROR(__xludf.DUMMYFUNCTION("""COMPUTED_VALUE"""),"NEW_Canada_2050_none_050123")</f>
        <v>NEW_Canada_2050_none_050123</v>
      </c>
      <c r="S48" s="67" t="str">
        <f>IFERROR(__xludf.DUMMYFUNCTION("""COMPUTED_VALUE"""),"saletructiep_Canada.Anhsale10.2050.Giaotiep_PTATTNDL_LD144")</f>
        <v>saletructiep_Canada.Anhsale10.2050.Giaotiep_PTATTNDL_LD144</v>
      </c>
      <c r="T48" s="107" t="str">
        <f>IFERROR(__xludf.DUMMYFUNCTION("""COMPUTED_VALUE"""),"https://patadovietnam.edu.vn/tienganhpatado_d1/?utm_source=Facebook&amp;utm_medium=CVS&amp;utm_term=NEW_Canada_2050_none_050123&amp;utm_content=saletructiep_Canada.Anhsale10.2050.Giaotiep_PTATTNDL_LD144&amp;utm_campaign=Canada.Giaotiep.Anhsale10_LHV.9822_MES_DungNT_05012"&amp;"3")</f>
        <v>https://patadovietnam.edu.vn/tienganhpatado_d1/?utm_source=Facebook&amp;utm_medium=CVS&amp;utm_term=NEW_Canada_2050_none_050123&amp;utm_content=saletructiep_Canada.Anhsale10.2050.Giaotiep_PTATTNDL_LD144&amp;utm_campaign=Canada.Giaotiep.Anhsale10_LHV.9822_MES_DungNT_050123</v>
      </c>
      <c r="U48" s="110" t="s">
        <v>3536</v>
      </c>
    </row>
    <row r="49">
      <c r="A49" s="72">
        <v>44933.0</v>
      </c>
      <c r="B49" s="75" t="s">
        <v>3496</v>
      </c>
      <c r="C49" s="67" t="str">
        <f>IFERROR(__xludf.DUMMYFUNCTION("""COMPUTED_VALUE"""),"LD143")</f>
        <v>LD143</v>
      </c>
      <c r="D49" s="55" t="s">
        <v>42</v>
      </c>
      <c r="E49" s="55" t="s">
        <v>79</v>
      </c>
      <c r="F49" s="55" t="s">
        <v>129</v>
      </c>
      <c r="G49" s="55">
        <v>2550.0</v>
      </c>
      <c r="H49" s="55" t="s">
        <v>3306</v>
      </c>
      <c r="I49" s="55" t="s">
        <v>3425</v>
      </c>
      <c r="J49" s="168" t="s">
        <v>3498</v>
      </c>
      <c r="K49" s="167" t="s">
        <v>61</v>
      </c>
      <c r="L49" s="55" t="s">
        <v>1264</v>
      </c>
      <c r="M49" s="55" t="s">
        <v>78</v>
      </c>
      <c r="N49" s="55" t="s">
        <v>79</v>
      </c>
      <c r="O49" s="55" t="s">
        <v>218</v>
      </c>
      <c r="P49" s="55" t="s">
        <v>110</v>
      </c>
      <c r="Q49" s="67" t="str">
        <f>IFERROR(__xludf.DUMMYFUNCTION("""COMPUTED_VALUE"""),"Australia.Giaotiep.Anhsale10_LHV.9822_MES_DungNT_070123")</f>
        <v>Australia.Giaotiep.Anhsale10_LHV.9822_MES_DungNT_070123</v>
      </c>
      <c r="R49" s="67" t="str">
        <f>IFERROR(__xludf.DUMMYFUNCTION("""COMPUTED_VALUE"""),"NEW_Australia_2550_none_070123")</f>
        <v>NEW_Australia_2550_none_070123</v>
      </c>
      <c r="S49" s="67" t="str">
        <f>IFERROR(__xludf.DUMMYFUNCTION("""COMPUTED_VALUE"""),"saletructiep_Australia.Anhsale10.2550.Giaotiep_PTATTNDL_LD143")</f>
        <v>saletructiep_Australia.Anhsale10.2550.Giaotiep_PTATTNDL_LD143</v>
      </c>
      <c r="T49" s="107" t="str">
        <f>IFERROR(__xludf.DUMMYFUNCTION("""COMPUTED_VALUE"""),"https://patadovietnam.edu.vn/tienganhaustralia_d1/?utm_source=Facebook&amp;utm_medium=MES&amp;utm_term=NEW_Australia_2550_none_070123&amp;utm_content=saletructiep_Australia.Anhsale10.2550.Giaotiep_PTATTNDL_LD143&amp;utm_campaign=Australia.Giaotiep.Anhsale10_LHV.9822_MES_"&amp;"DungNT_070123")</f>
        <v>https://patadovietnam.edu.vn/tienganhaustralia_d1/?utm_source=Facebook&amp;utm_medium=MES&amp;utm_term=NEW_Australia_2550_none_070123&amp;utm_content=saletructiep_Australia.Anhsale10.2550.Giaotiep_PTATTNDL_LD143&amp;utm_campaign=Australia.Giaotiep.Anhsale10_LHV.9822_MES_DungNT_070123</v>
      </c>
      <c r="U49" s="110" t="s">
        <v>3539</v>
      </c>
    </row>
    <row r="50">
      <c r="A50" s="72">
        <v>44933.0</v>
      </c>
      <c r="B50" s="75" t="s">
        <v>3435</v>
      </c>
      <c r="C50" s="67" t="str">
        <f>IFERROR(__xludf.DUMMYFUNCTION("""COMPUTED_VALUE"""),"LD137")</f>
        <v>LD137</v>
      </c>
      <c r="D50" s="55" t="s">
        <v>42</v>
      </c>
      <c r="E50" s="55" t="s">
        <v>69</v>
      </c>
      <c r="F50" s="55" t="s">
        <v>119</v>
      </c>
      <c r="G50" s="55">
        <v>2050.0</v>
      </c>
      <c r="H50" s="55" t="s">
        <v>3306</v>
      </c>
      <c r="I50" s="55" t="s">
        <v>3440</v>
      </c>
      <c r="J50" s="168" t="s">
        <v>3441</v>
      </c>
      <c r="K50" s="167" t="s">
        <v>61</v>
      </c>
      <c r="L50" s="55">
        <v>95360.0</v>
      </c>
      <c r="M50" s="55" t="s">
        <v>78</v>
      </c>
      <c r="N50" s="55" t="s">
        <v>69</v>
      </c>
      <c r="O50" s="55" t="s">
        <v>218</v>
      </c>
      <c r="P50" s="55" t="s">
        <v>110</v>
      </c>
      <c r="Q50" s="67" t="str">
        <f>IFERROR(__xludf.DUMMYFUNCTION("""COMPUTED_VALUE"""),"NewZealand.Giaotiep.Anhsale10_95360_CVS_DungNT_070123")</f>
        <v>NewZealand.Giaotiep.Anhsale10_95360_CVS_DungNT_070123</v>
      </c>
      <c r="R50" s="67" t="str">
        <f>IFERROR(__xludf.DUMMYFUNCTION("""COMPUTED_VALUE"""),"NEW_NewZealand_2050_none_070123")</f>
        <v>NEW_NewZealand_2050_none_070123</v>
      </c>
      <c r="S50" s="67" t="str">
        <f>IFERROR(__xludf.DUMMYFUNCTION("""COMPUTED_VALUE"""),"saletructiep_NewZealand.Anhsale10.2050.Giaotiep_PTATTNDL_LD137")</f>
        <v>saletructiep_NewZealand.Anhsale10.2050.Giaotiep_PTATTNDL_LD137</v>
      </c>
      <c r="T50" s="107" t="str">
        <f>IFERROR(__xludf.DUMMYFUNCTION("""COMPUTED_VALUE"""),"https://patadovietnam.edu.vn/tienganhnewzealandd/?utm_source=Facebook&amp;utm_medium=CVS&amp;utm_term=NEW_NewZealand_2050_none_070123&amp;utm_content=saletructiep_NewZealand.Anhsale10.2050.Giaotiep_PTATTNDL_LD137&amp;utm_campaign=NewZealand.Giaotiep.Anhsale10_95360_CVS_D"&amp;"ungNT_070123")</f>
        <v>https://patadovietnam.edu.vn/tienganhnewzealandd/?utm_source=Facebook&amp;utm_medium=CVS&amp;utm_term=NEW_NewZealand_2050_none_070123&amp;utm_content=saletructiep_NewZealand.Anhsale10.2050.Giaotiep_PTATTNDL_LD137&amp;utm_campaign=NewZealand.Giaotiep.Anhsale10_95360_CVS_DungNT_070123</v>
      </c>
      <c r="U50" s="110" t="s">
        <v>3543</v>
      </c>
    </row>
    <row r="51">
      <c r="A51" s="72">
        <v>44933.0</v>
      </c>
      <c r="B51" s="112" t="s">
        <v>3454</v>
      </c>
      <c r="C51" s="67" t="str">
        <f>IFERROR(__xludf.DUMMYFUNCTION("""COMPUTED_VALUE"""),"LD138")</f>
        <v>LD138</v>
      </c>
      <c r="D51" s="55" t="s">
        <v>42</v>
      </c>
      <c r="E51" s="55" t="s">
        <v>69</v>
      </c>
      <c r="F51" s="55" t="s">
        <v>3457</v>
      </c>
      <c r="G51" s="55">
        <v>2050.0</v>
      </c>
      <c r="H51" s="55" t="s">
        <v>3306</v>
      </c>
      <c r="I51" s="55" t="s">
        <v>3458</v>
      </c>
      <c r="J51" s="168" t="s">
        <v>3459</v>
      </c>
      <c r="K51" s="167" t="s">
        <v>61</v>
      </c>
      <c r="L51" s="55">
        <v>95360.0</v>
      </c>
      <c r="M51" s="55" t="s">
        <v>78</v>
      </c>
      <c r="N51" s="55" t="s">
        <v>69</v>
      </c>
      <c r="O51" s="55" t="s">
        <v>218</v>
      </c>
      <c r="P51" s="55" t="s">
        <v>110</v>
      </c>
      <c r="Q51" s="67" t="str">
        <f>IFERROR(__xludf.DUMMYFUNCTION("""COMPUTED_VALUE"""),"Norway.Giaotiep.Anhsale10_95360_CVS_DungNT_070123")</f>
        <v>Norway.Giaotiep.Anhsale10_95360_CVS_DungNT_070123</v>
      </c>
      <c r="R51" s="67" t="str">
        <f>IFERROR(__xludf.DUMMYFUNCTION("""COMPUTED_VALUE"""),"NEW_Norway_2050_none_070123")</f>
        <v>NEW_Norway_2050_none_070123</v>
      </c>
      <c r="S51" s="67" t="str">
        <f>IFERROR(__xludf.DUMMYFUNCTION("""COMPUTED_VALUE"""),"saletructiep_Norway.Anhsale10.2050.Giaotiep_PTATTNDL_LD138")</f>
        <v>saletructiep_Norway.Anhsale10.2050.Giaotiep_PTATTNDL_LD138</v>
      </c>
      <c r="T51" s="107" t="str">
        <f>IFERROR(__xludf.DUMMYFUNCTION("""COMPUTED_VALUE"""),"https://patadovietnam.edu.vn/tienganhnauy/?utm_source=Facebook&amp;utm_medium=CVS&amp;utm_term=NEW_Norway_2050_none_070123&amp;utm_content=saletructiep_Norway.Anhsale10.2050.Giaotiep_PTATTNDL_LD138&amp;utm_campaign=Norway.Giaotiep.Anhsale10_95360_CVS_DungNT_070123")</f>
        <v>https://patadovietnam.edu.vn/tienganhnauy/?utm_source=Facebook&amp;utm_medium=CVS&amp;utm_term=NEW_Norway_2050_none_070123&amp;utm_content=saletructiep_Norway.Anhsale10.2050.Giaotiep_PTATTNDL_LD138&amp;utm_campaign=Norway.Giaotiep.Anhsale10_95360_CVS_DungNT_070123</v>
      </c>
      <c r="U51" s="146" t="s">
        <v>3546</v>
      </c>
    </row>
    <row r="52">
      <c r="A52" s="72">
        <v>44933.0</v>
      </c>
      <c r="B52" s="112" t="s">
        <v>3509</v>
      </c>
      <c r="C52" s="67" t="str">
        <f>IFERROR(__xludf.DUMMYFUNCTION("""COMPUTED_VALUE"""),"LD145")</f>
        <v>LD145</v>
      </c>
      <c r="D52" s="55" t="s">
        <v>42</v>
      </c>
      <c r="E52" s="55" t="s">
        <v>69</v>
      </c>
      <c r="F52" s="55" t="s">
        <v>133</v>
      </c>
      <c r="G52" s="55">
        <v>1835.0</v>
      </c>
      <c r="H52" s="55" t="s">
        <v>3306</v>
      </c>
      <c r="I52" s="55" t="s">
        <v>3319</v>
      </c>
      <c r="J52" s="168" t="s">
        <v>3512</v>
      </c>
      <c r="K52" s="167" t="s">
        <v>61</v>
      </c>
      <c r="L52" s="55" t="s">
        <v>1264</v>
      </c>
      <c r="M52" s="55" t="s">
        <v>78</v>
      </c>
      <c r="N52" s="55" t="s">
        <v>69</v>
      </c>
      <c r="O52" s="55" t="s">
        <v>218</v>
      </c>
      <c r="P52" s="55" t="s">
        <v>110</v>
      </c>
      <c r="Q52" s="67" t="str">
        <f>IFERROR(__xludf.DUMMYFUNCTION("""COMPUTED_VALUE"""),"Japan.Giaotiep.Anhsale10_LHV.9822_CVS_DungNT_070123")</f>
        <v>Japan.Giaotiep.Anhsale10_LHV.9822_CVS_DungNT_070123</v>
      </c>
      <c r="R52" s="67" t="str">
        <f>IFERROR(__xludf.DUMMYFUNCTION("""COMPUTED_VALUE"""),"NEW_Japan_1835_none_070123")</f>
        <v>NEW_Japan_1835_none_070123</v>
      </c>
      <c r="S52" s="67" t="str">
        <f>IFERROR(__xludf.DUMMYFUNCTION("""COMPUTED_VALUE"""),"saletructiep_Japan.Anhsale10.1835.Giaotiep_PTATTNDL_LD145")</f>
        <v>saletructiep_Japan.Anhsale10.1835.Giaotiep_PTATTNDL_LD145</v>
      </c>
      <c r="T52" s="107" t="str">
        <f>IFERROR(__xludf.DUMMYFUNCTION("""COMPUTED_VALUE"""),"https://patadovietnam.edu.vn/tienganhjapan_d1/?utm_source=Facebook&amp;utm_medium=CVS&amp;utm_term=NEW_Japan_1835_none_070123&amp;utm_content=saletructiep_Japan.Anhsale10.1835.Giaotiep_PTATTNDL_LD145&amp;utm_campaign=Japan.Giaotiep.Anhsale10_LHV.9822_CVS_DungNT_070123")</f>
        <v>https://patadovietnam.edu.vn/tienganhjapan_d1/?utm_source=Facebook&amp;utm_medium=CVS&amp;utm_term=NEW_Japan_1835_none_070123&amp;utm_content=saletructiep_Japan.Anhsale10.1835.Giaotiep_PTATTNDL_LD145&amp;utm_campaign=Japan.Giaotiep.Anhsale10_LHV.9822_CVS_DungNT_070123</v>
      </c>
      <c r="U52" s="110" t="s">
        <v>3551</v>
      </c>
    </row>
    <row r="53">
      <c r="A53" s="72">
        <v>44933.0</v>
      </c>
      <c r="B53" s="112" t="s">
        <v>3553</v>
      </c>
      <c r="C53" s="67" t="str">
        <f>IFERROR(__xludf.DUMMYFUNCTION("""COMPUTED_VALUE"""),"LD146")</f>
        <v>LD146</v>
      </c>
      <c r="D53" s="55" t="s">
        <v>42</v>
      </c>
      <c r="E53" s="55" t="s">
        <v>69</v>
      </c>
      <c r="F53" s="55" t="s">
        <v>3556</v>
      </c>
      <c r="G53" s="55">
        <v>2050.0</v>
      </c>
      <c r="H53" s="55" t="s">
        <v>3306</v>
      </c>
      <c r="I53" s="55" t="s">
        <v>3557</v>
      </c>
      <c r="J53" s="55" t="s">
        <v>3557</v>
      </c>
      <c r="K53" s="167" t="s">
        <v>61</v>
      </c>
      <c r="L53" s="55" t="s">
        <v>1264</v>
      </c>
      <c r="M53" s="55" t="s">
        <v>78</v>
      </c>
      <c r="N53" s="55" t="s">
        <v>69</v>
      </c>
      <c r="O53" s="55" t="s">
        <v>218</v>
      </c>
      <c r="P53" s="55" t="s">
        <v>110</v>
      </c>
      <c r="Q53" s="67" t="str">
        <f>IFERROR(__xludf.DUMMYFUNCTION("""COMPUTED_VALUE"""),"Ireland.Giaotiep.Anhsale10_LHV.9822_CVS_DungNT_070123")</f>
        <v>Ireland.Giaotiep.Anhsale10_LHV.9822_CVS_DungNT_070123</v>
      </c>
      <c r="R53" s="67" t="str">
        <f>IFERROR(__xludf.DUMMYFUNCTION("""COMPUTED_VALUE"""),"NEW_Ireland_2050_none_070123")</f>
        <v>NEW_Ireland_2050_none_070123</v>
      </c>
      <c r="S53" s="67" t="str">
        <f>IFERROR(__xludf.DUMMYFUNCTION("""COMPUTED_VALUE"""),"saletructiep_Ireland.Giaotiep.Anhsale10_PTATTNDL_LD146")</f>
        <v>saletructiep_Ireland.Giaotiep.Anhsale10_PTATTNDL_LD146</v>
      </c>
      <c r="T53" s="107" t="str">
        <f>IFERROR(__xludf.DUMMYFUNCTION("""COMPUTED_VALUE"""),"https://patadovietnam.edu.vn/tienganhireland/?utm_source=Facebook&amp;utm_medium=CVS&amp;utm_term=NEW_Ireland_2050_none_070123&amp;utm_content=saletructiep_Ireland.Giaotiep.Anhsale10_PTATTNDL_LD146&amp;utm_campaign=Ireland.Giaotiep.Anhsale10_LHV.9822_CVS_DungNT_070123")</f>
        <v>https://patadovietnam.edu.vn/tienganhireland/?utm_source=Facebook&amp;utm_medium=CVS&amp;utm_term=NEW_Ireland_2050_none_070123&amp;utm_content=saletructiep_Ireland.Giaotiep.Anhsale10_PTATTNDL_LD146&amp;utm_campaign=Ireland.Giaotiep.Anhsale10_LHV.9822_CVS_DungNT_070123</v>
      </c>
      <c r="U53" s="110" t="s">
        <v>3559</v>
      </c>
    </row>
    <row r="54">
      <c r="A54" s="72">
        <v>44928.0</v>
      </c>
      <c r="B54" s="75" t="s">
        <v>3482</v>
      </c>
      <c r="C54" s="67" t="str">
        <f>IFERROR(__xludf.DUMMYFUNCTION("""COMPUTED_VALUE"""),"LD141")</f>
        <v>LD141</v>
      </c>
      <c r="D54" s="55" t="s">
        <v>42</v>
      </c>
      <c r="E54" s="55" t="s">
        <v>69</v>
      </c>
      <c r="F54" s="55" t="s">
        <v>1104</v>
      </c>
      <c r="G54" s="55">
        <v>2050.0</v>
      </c>
      <c r="H54" s="55" t="s">
        <v>3306</v>
      </c>
      <c r="I54" s="55" t="s">
        <v>3484</v>
      </c>
      <c r="J54" s="168" t="s">
        <v>3485</v>
      </c>
      <c r="K54" s="167" t="s">
        <v>61</v>
      </c>
      <c r="L54" s="55" t="s">
        <v>3561</v>
      </c>
      <c r="M54" s="55" t="s">
        <v>78</v>
      </c>
      <c r="N54" s="55" t="s">
        <v>69</v>
      </c>
      <c r="O54" s="55" t="s">
        <v>218</v>
      </c>
      <c r="P54" s="55" t="s">
        <v>110</v>
      </c>
      <c r="Q54" s="67" t="str">
        <f>IFERROR(__xludf.DUMMYFUNCTION("""COMPUTED_VALUE"""),"Denmark.Giaotiep.Anhsale10_Samantha Cabria Beruela.9889_CVS_DungNT_020123")</f>
        <v>Denmark.Giaotiep.Anhsale10_Samantha Cabria Beruela.9889_CVS_DungNT_020123</v>
      </c>
      <c r="R54" s="67" t="str">
        <f>IFERROR(__xludf.DUMMYFUNCTION("""COMPUTED_VALUE"""),"NEW_Denmark_2050_none_020123")</f>
        <v>NEW_Denmark_2050_none_020123</v>
      </c>
      <c r="S54" s="67" t="str">
        <f>IFERROR(__xludf.DUMMYFUNCTION("""COMPUTED_VALUE"""),"saletructiep_Denmark.Anhsale10.2050.Giaotiep_PTATTNDL_LD141")</f>
        <v>saletructiep_Denmark.Anhsale10.2050.Giaotiep_PTATTNDL_LD141</v>
      </c>
      <c r="T54" s="67" t="str">
        <f>IFERROR(__xludf.DUMMYFUNCTION("""COMPUTED_VALUE"""),"https://patadovietnam.edu.vn/tienganhdanmach/?utm_source=Facebook&amp;utm_medium=CVS&amp;utm_term=NEW_Denmark_2050_none_020123&amp;utm_content=saletructiep_Denmark.Anhsale10.2050.Giaotiep_PTATTNDL_LD141&amp;utm_campaign=Denmark.Giaotiep.Anhsale10_Samantha Cabria Beruela."&amp;"9889_CVS_DungNT_020123")</f>
        <v>https://patadovietnam.edu.vn/tienganhdanmach/?utm_source=Facebook&amp;utm_medium=CVS&amp;utm_term=NEW_Denmark_2050_none_020123&amp;utm_content=saletructiep_Denmark.Anhsale10.2050.Giaotiep_PTATTNDL_LD141&amp;utm_campaign=Denmark.Giaotiep.Anhsale10_Samantha Cabria Beruela.9889_CVS_DungNT_020123</v>
      </c>
      <c r="U54" s="118"/>
    </row>
    <row r="55">
      <c r="A55" s="72">
        <v>44928.0</v>
      </c>
      <c r="B55" s="112" t="s">
        <v>3474</v>
      </c>
      <c r="C55" s="67" t="str">
        <f>IFERROR(__xludf.DUMMYFUNCTION("""COMPUTED_VALUE"""),"LD140")</f>
        <v>LD140</v>
      </c>
      <c r="D55" s="55" t="s">
        <v>42</v>
      </c>
      <c r="E55" s="55" t="s">
        <v>69</v>
      </c>
      <c r="F55" s="55" t="s">
        <v>1101</v>
      </c>
      <c r="G55" s="55">
        <v>2050.0</v>
      </c>
      <c r="H55" s="55" t="s">
        <v>3306</v>
      </c>
      <c r="I55" s="55" t="s">
        <v>3476</v>
      </c>
      <c r="J55" s="168" t="s">
        <v>3477</v>
      </c>
      <c r="K55" s="167" t="s">
        <v>61</v>
      </c>
      <c r="L55" s="55" t="s">
        <v>3561</v>
      </c>
      <c r="M55" s="55" t="s">
        <v>78</v>
      </c>
      <c r="N55" s="55" t="s">
        <v>69</v>
      </c>
      <c r="O55" s="55" t="s">
        <v>218</v>
      </c>
      <c r="P55" s="55" t="s">
        <v>110</v>
      </c>
      <c r="Q55" s="67" t="str">
        <f>IFERROR(__xludf.DUMMYFUNCTION("""COMPUTED_VALUE"""),"Sweden.Giaotiep.Anhsale10_Samantha Cabria Beruela.9889_CVS_DungNT_020123")</f>
        <v>Sweden.Giaotiep.Anhsale10_Samantha Cabria Beruela.9889_CVS_DungNT_020123</v>
      </c>
      <c r="R55" s="67" t="str">
        <f>IFERROR(__xludf.DUMMYFUNCTION("""COMPUTED_VALUE"""),"NEW_Sweden_2050_none_020123")</f>
        <v>NEW_Sweden_2050_none_020123</v>
      </c>
      <c r="S55" s="67" t="str">
        <f>IFERROR(__xludf.DUMMYFUNCTION("""COMPUTED_VALUE"""),"saletructiep_Sweden.Anhsale10.2050.Giaotiep_PTATTNDL_LD140")</f>
        <v>saletructiep_Sweden.Anhsale10.2050.Giaotiep_PTATTNDL_LD140</v>
      </c>
      <c r="T55" s="67" t="str">
        <f>IFERROR(__xludf.DUMMYFUNCTION("""COMPUTED_VALUE"""),"https://patadovietnam.edu.vn/tienganhthuydien/?utm_source=Facebook&amp;utm_medium=CVS&amp;utm_term=NEW_Sweden_2050_none_020123&amp;utm_content=saletructiep_Sweden.Anhsale10.2050.Giaotiep_PTATTNDL_LD140&amp;utm_campaign=Sweden.Giaotiep.Anhsale10_Samantha Cabria Beruela.98"&amp;"89_CVS_DungNT_020123")</f>
        <v>https://patadovietnam.edu.vn/tienganhthuydien/?utm_source=Facebook&amp;utm_medium=CVS&amp;utm_term=NEW_Sweden_2050_none_020123&amp;utm_content=saletructiep_Sweden.Anhsale10.2050.Giaotiep_PTATTNDL_LD140&amp;utm_campaign=Sweden.Giaotiep.Anhsale10_Samantha Cabria Beruela.9889_CVS_DungNT_020123</v>
      </c>
      <c r="U55" s="118"/>
    </row>
    <row r="56">
      <c r="A56" s="72">
        <v>44930.0</v>
      </c>
      <c r="B56" s="112" t="s">
        <v>3464</v>
      </c>
      <c r="C56" s="67" t="str">
        <f>IFERROR(__xludf.DUMMYFUNCTION("""COMPUTED_VALUE"""),"LD139")</f>
        <v>LD139</v>
      </c>
      <c r="D56" s="55" t="s">
        <v>42</v>
      </c>
      <c r="E56" s="55" t="s">
        <v>69</v>
      </c>
      <c r="F56" s="55" t="s">
        <v>3465</v>
      </c>
      <c r="G56" s="55">
        <v>2050.0</v>
      </c>
      <c r="H56" s="55" t="s">
        <v>3306</v>
      </c>
      <c r="I56" s="55" t="s">
        <v>3466</v>
      </c>
      <c r="J56" s="168" t="s">
        <v>3467</v>
      </c>
      <c r="K56" s="167" t="s">
        <v>61</v>
      </c>
      <c r="L56" s="55" t="s">
        <v>3561</v>
      </c>
      <c r="M56" s="55" t="s">
        <v>78</v>
      </c>
      <c r="N56" s="55" t="s">
        <v>69</v>
      </c>
      <c r="O56" s="55" t="s">
        <v>218</v>
      </c>
      <c r="P56" s="55" t="s">
        <v>110</v>
      </c>
      <c r="Q56" s="67" t="str">
        <f>IFERROR(__xludf.DUMMYFUNCTION("""COMPUTED_VALUE"""),"Netherlands.Giaotiep.Anhsale10_Samantha Cabria Beruela.9889_CVS_DungNT_040123")</f>
        <v>Netherlands.Giaotiep.Anhsale10_Samantha Cabria Beruela.9889_CVS_DungNT_040123</v>
      </c>
      <c r="R56" s="67" t="str">
        <f>IFERROR(__xludf.DUMMYFUNCTION("""COMPUTED_VALUE"""),"NEW_Netherlands_2050_none_040123")</f>
        <v>NEW_Netherlands_2050_none_040123</v>
      </c>
      <c r="S56" s="67" t="str">
        <f>IFERROR(__xludf.DUMMYFUNCTION("""COMPUTED_VALUE"""),"saletructiep_Netherlands.Anhsale10.2050.Giaotiep_PTATTNDL_LD139")</f>
        <v>saletructiep_Netherlands.Anhsale10.2050.Giaotiep_PTATTNDL_LD139</v>
      </c>
      <c r="T56" s="67" t="str">
        <f>IFERROR(__xludf.DUMMYFUNCTION("""COMPUTED_VALUE"""),"https://patadovietnam.edu.vn/hoctienganhhalann/?utm_source=Facebook&amp;utm_medium=CVS&amp;utm_term=NEW_Netherlands_2050_none_040123&amp;utm_content=saletructiep_Netherlands.Anhsale10.2050.Giaotiep_PTATTNDL_LD139&amp;utm_campaign=Netherlands.Giaotiep.Anhsale10_Samantha C"&amp;"abria Beruela.9889_CVS_DungNT_040123")</f>
        <v>https://patadovietnam.edu.vn/hoctienganhhalann/?utm_source=Facebook&amp;utm_medium=CVS&amp;utm_term=NEW_Netherlands_2050_none_040123&amp;utm_content=saletructiep_Netherlands.Anhsale10.2050.Giaotiep_PTATTNDL_LD139&amp;utm_campaign=Netherlands.Giaotiep.Anhsale10_Samantha Cabria Beruela.9889_CVS_DungNT_040123</v>
      </c>
      <c r="U56" s="118"/>
    </row>
    <row r="57">
      <c r="A57" s="72">
        <v>44953.0</v>
      </c>
      <c r="B57" s="112" t="s">
        <v>3567</v>
      </c>
      <c r="C57" s="67" t="str">
        <f>IFERROR(__xludf.DUMMYFUNCTION("""COMPUTED_VALUE"""),"LD147")</f>
        <v>LD147</v>
      </c>
      <c r="D57" s="55" t="s">
        <v>42</v>
      </c>
      <c r="E57" s="55" t="s">
        <v>79</v>
      </c>
      <c r="F57" s="55" t="s">
        <v>107</v>
      </c>
      <c r="G57" s="55">
        <v>3055.0</v>
      </c>
      <c r="H57" s="55" t="s">
        <v>3306</v>
      </c>
      <c r="I57" s="55" t="s">
        <v>3368</v>
      </c>
      <c r="J57" s="168" t="s">
        <v>3369</v>
      </c>
      <c r="K57" s="167" t="s">
        <v>61</v>
      </c>
      <c r="L57" s="55" t="s">
        <v>1264</v>
      </c>
      <c r="M57" s="55" t="s">
        <v>78</v>
      </c>
      <c r="N57" s="55" t="s">
        <v>79</v>
      </c>
      <c r="O57" s="55" t="s">
        <v>218</v>
      </c>
      <c r="P57" s="55" t="s">
        <v>110</v>
      </c>
      <c r="Q57" s="67" t="str">
        <f>IFERROR(__xludf.DUMMYFUNCTION("""COMPUTED_VALUE"""),"UnitedStates.Giaotiep.Anhsale10_LHV.9822_MES_DungNT_270123")</f>
        <v>UnitedStates.Giaotiep.Anhsale10_LHV.9822_MES_DungNT_270123</v>
      </c>
      <c r="R57" s="67" t="str">
        <f>IFERROR(__xludf.DUMMYFUNCTION("""COMPUTED_VALUE"""),"NEW_UnitedStates_3055_none_270123")</f>
        <v>NEW_UnitedStates_3055_none_270123</v>
      </c>
      <c r="S57" s="67" t="str">
        <f>IFERROR(__xludf.DUMMYFUNCTION("""COMPUTED_VALUE"""),"saletructiep_UnitedStates.Anhsale10.3055.Giaotiep_PTATTNDL_LD147")</f>
        <v>saletructiep_UnitedStates.Anhsale10.3055.Giaotiep_PTATTNDL_LD147</v>
      </c>
      <c r="T57" s="107" t="str">
        <f>IFERROR(__xludf.DUMMYFUNCTION("""COMPUTED_VALUE"""),"https://patadovietnam.edu.vn/tienganhusa270123/?utm_source=Facebook&amp;utm_medium=MES&amp;utm_term=NEW_UnitedStates_3055_none_270123&amp;utm_content=saletructiep_UnitedStates.Anhsale10.3055.Giaotiep_PTATTNDL_LD147&amp;utm_campaign=UnitedStates.Giaotiep.Anhsale10_LHV.982"&amp;"2_MES_DungNT_270123")</f>
        <v>https://patadovietnam.edu.vn/tienganhusa270123/?utm_source=Facebook&amp;utm_medium=MES&amp;utm_term=NEW_UnitedStates_3055_none_270123&amp;utm_content=saletructiep_UnitedStates.Anhsale10.3055.Giaotiep_PTATTNDL_LD147&amp;utm_campaign=UnitedStates.Giaotiep.Anhsale10_LHV.9822_MES_DungNT_270123</v>
      </c>
      <c r="U57" s="110" t="s">
        <v>3572</v>
      </c>
    </row>
    <row r="58">
      <c r="A58" s="72">
        <v>44957.0</v>
      </c>
      <c r="B58" s="112" t="s">
        <v>3573</v>
      </c>
      <c r="C58" s="67" t="str">
        <f>IFERROR(__xludf.DUMMYFUNCTION("""COMPUTED_VALUE"""),"LD148")</f>
        <v>LD148</v>
      </c>
      <c r="D58" s="55" t="s">
        <v>42</v>
      </c>
      <c r="E58" s="55" t="s">
        <v>79</v>
      </c>
      <c r="F58" s="55" t="s">
        <v>625</v>
      </c>
      <c r="G58" s="55">
        <v>1835.0</v>
      </c>
      <c r="H58" s="55" t="s">
        <v>3306</v>
      </c>
      <c r="I58" s="55" t="s">
        <v>3361</v>
      </c>
      <c r="J58" s="168" t="s">
        <v>3525</v>
      </c>
      <c r="K58" s="167" t="s">
        <v>61</v>
      </c>
      <c r="L58" s="55" t="s">
        <v>1264</v>
      </c>
      <c r="M58" s="55" t="s">
        <v>78</v>
      </c>
      <c r="N58" s="55" t="s">
        <v>79</v>
      </c>
      <c r="O58" s="55" t="s">
        <v>218</v>
      </c>
      <c r="P58" s="55" t="s">
        <v>110</v>
      </c>
      <c r="Q58" s="67" t="str">
        <f>IFERROR(__xludf.DUMMYFUNCTION("""COMPUTED_VALUE"""),"KoreaSouth.Giaotiep.Anhsale10_LHV.9822_MES_DungNT_310123")</f>
        <v>KoreaSouth.Giaotiep.Anhsale10_LHV.9822_MES_DungNT_310123</v>
      </c>
      <c r="R58" s="67" t="str">
        <f>IFERROR(__xludf.DUMMYFUNCTION("""COMPUTED_VALUE"""),"NEW_KoreaSouth_1835_none_310123")</f>
        <v>NEW_KoreaSouth_1835_none_310123</v>
      </c>
      <c r="S58" s="67" t="str">
        <f>IFERROR(__xludf.DUMMYFUNCTION("""COMPUTED_VALUE"""),"saletructiep_KoreaSouth.Anhsale10.1835.Giaotiep_PTATTNDL_LD148")</f>
        <v>saletructiep_KoreaSouth.Anhsale10.1835.Giaotiep_PTATTNDL_LD148</v>
      </c>
      <c r="T58" s="120" t="str">
        <f>IFERROR(__xludf.DUMMYFUNCTION("""COMPUTED_VALUE"""),"https://patadovietnam.edu.vn/tienganhkorea_dnt/?utm_source=Facebook&amp;utm_medium=MES&amp;utm_term=NEW_KoreaSouth_1835_none_310123&amp;utm_content=saletructiep_KoreaSouth.Anhsale10.1835.Giaotiep_PTATTNDL_LD148&amp;utm_campaign=KoreaSouth.Giaotiep.Anhsale10_LHV.9822_MES_"&amp;"DungNT_310123")</f>
        <v>https://patadovietnam.edu.vn/tienganhkorea_dnt/?utm_source=Facebook&amp;utm_medium=MES&amp;utm_term=NEW_KoreaSouth_1835_none_310123&amp;utm_content=saletructiep_KoreaSouth.Anhsale10.1835.Giaotiep_PTATTNDL_LD148&amp;utm_campaign=KoreaSouth.Giaotiep.Anhsale10_LHV.9822_MES_DungNT_310123</v>
      </c>
      <c r="U58" s="110" t="s">
        <v>3577</v>
      </c>
    </row>
    <row r="59">
      <c r="A59" s="72">
        <v>44957.0</v>
      </c>
      <c r="B59" s="112" t="s">
        <v>3579</v>
      </c>
      <c r="C59" s="67" t="str">
        <f>IFERROR(__xludf.DUMMYFUNCTION("""COMPUTED_VALUE"""),"LD149")</f>
        <v>LD149</v>
      </c>
      <c r="D59" s="55" t="s">
        <v>42</v>
      </c>
      <c r="E59" s="55" t="s">
        <v>79</v>
      </c>
      <c r="F59" s="55" t="s">
        <v>133</v>
      </c>
      <c r="G59" s="55">
        <v>1835.0</v>
      </c>
      <c r="H59" s="55" t="s">
        <v>3306</v>
      </c>
      <c r="I59" s="55" t="s">
        <v>3319</v>
      </c>
      <c r="J59" s="168" t="s">
        <v>3512</v>
      </c>
      <c r="K59" s="167" t="s">
        <v>61</v>
      </c>
      <c r="L59" s="55" t="s">
        <v>1264</v>
      </c>
      <c r="M59" s="55" t="s">
        <v>78</v>
      </c>
      <c r="N59" s="55" t="s">
        <v>79</v>
      </c>
      <c r="O59" s="55" t="s">
        <v>224</v>
      </c>
      <c r="P59" s="55" t="s">
        <v>110</v>
      </c>
      <c r="Q59" s="67" t="str">
        <f>IFERROR(__xludf.DUMMYFUNCTION("""COMPUTED_VALUE"""),"Japan.Giaotiep.Anhsale10_LHV.9822_MES_DungNT_310123")</f>
        <v>Japan.Giaotiep.Anhsale10_LHV.9822_MES_DungNT_310123</v>
      </c>
      <c r="R59" s="67" t="str">
        <f>IFERROR(__xludf.DUMMYFUNCTION("""COMPUTED_VALUE"""),"NEW_Japan_1835_none_310123")</f>
        <v>NEW_Japan_1835_none_310123</v>
      </c>
      <c r="S59" s="67" t="str">
        <f>IFERROR(__xludf.DUMMYFUNCTION("""COMPUTED_VALUE"""),"saletructiep_Japan.Anhsale10.1835.Giaotiep_PTATT_LD149")</f>
        <v>saletructiep_Japan.Anhsale10.1835.Giaotiep_PTATT_LD149</v>
      </c>
      <c r="T59" s="107" t="str">
        <f>IFERROR(__xludf.DUMMYFUNCTION("""COMPUTED_VALUE"""),"https://patadovietnam.edu.vn/tienganhjapan_dnt/?utm_source=Facebook&amp;utm_medium=MES&amp;utm_term=NEW_Japan_1835_none_310123&amp;utm_content=saletructiep_Japan.Anhsale10.1835.Giaotiep_PTATT_LD149&amp;utm_campaign=Japan.Giaotiep.Anhsale10_LHV.9822_MES_DungNT_310123")</f>
        <v>https://patadovietnam.edu.vn/tienganhjapan_dnt/?utm_source=Facebook&amp;utm_medium=MES&amp;utm_term=NEW_Japan_1835_none_310123&amp;utm_content=saletructiep_Japan.Anhsale10.1835.Giaotiep_PTATT_LD149&amp;utm_campaign=Japan.Giaotiep.Anhsale10_LHV.9822_MES_DungNT_310123</v>
      </c>
      <c r="U59" s="110" t="s">
        <v>3582</v>
      </c>
    </row>
    <row r="60">
      <c r="A60" s="72">
        <v>44957.0</v>
      </c>
      <c r="B60" s="75" t="s">
        <v>3496</v>
      </c>
      <c r="C60" s="67" t="str">
        <f>IFERROR(__xludf.DUMMYFUNCTION("""COMPUTED_VALUE"""),"LD143")</f>
        <v>LD143</v>
      </c>
      <c r="D60" s="55" t="s">
        <v>42</v>
      </c>
      <c r="E60" s="55" t="s">
        <v>79</v>
      </c>
      <c r="F60" s="55" t="s">
        <v>129</v>
      </c>
      <c r="G60" s="55">
        <v>2050.0</v>
      </c>
      <c r="H60" s="55" t="s">
        <v>3306</v>
      </c>
      <c r="I60" s="55" t="s">
        <v>3425</v>
      </c>
      <c r="J60" s="168" t="s">
        <v>3498</v>
      </c>
      <c r="K60" s="167" t="s">
        <v>61</v>
      </c>
      <c r="L60" s="55" t="s">
        <v>1264</v>
      </c>
      <c r="M60" s="55" t="s">
        <v>78</v>
      </c>
      <c r="N60" s="55" t="s">
        <v>79</v>
      </c>
      <c r="O60" s="55" t="s">
        <v>218</v>
      </c>
      <c r="P60" s="55" t="s">
        <v>110</v>
      </c>
      <c r="Q60" s="67" t="str">
        <f>IFERROR(__xludf.DUMMYFUNCTION("""COMPUTED_VALUE"""),"Australia.Giaotiep.Anhsale10_LHV.9822_MES_DungNT_310123")</f>
        <v>Australia.Giaotiep.Anhsale10_LHV.9822_MES_DungNT_310123</v>
      </c>
      <c r="R60" s="67" t="str">
        <f>IFERROR(__xludf.DUMMYFUNCTION("""COMPUTED_VALUE"""),"NEW_Australia_2050_none_310123")</f>
        <v>NEW_Australia_2050_none_310123</v>
      </c>
      <c r="S60" s="67" t="str">
        <f>IFERROR(__xludf.DUMMYFUNCTION("""COMPUTED_VALUE"""),"saletructiep_Australia.Anhsale10.2550.Giaotiep_PTATTNDL_LD143")</f>
        <v>saletructiep_Australia.Anhsale10.2550.Giaotiep_PTATTNDL_LD143</v>
      </c>
      <c r="T60" s="107" t="str">
        <f>IFERROR(__xludf.DUMMYFUNCTION("""COMPUTED_VALUE"""),"https://patadovietnam.edu.vn/tienganhaustralia_d1/?utm_source=Facebook&amp;utm_medium=MES&amp;utm_term=NEW_Australia_2050_none_310123&amp;utm_content=saletructiep_Australia.Anhsale10.2550.Giaotiep_PTATTNDL_LD143&amp;utm_campaign=Australia.Giaotiep.Anhsale10_LHV.9822_MES_"&amp;"DungNT_310123")</f>
        <v>https://patadovietnam.edu.vn/tienganhaustralia_d1/?utm_source=Facebook&amp;utm_medium=MES&amp;utm_term=NEW_Australia_2050_none_310123&amp;utm_content=saletructiep_Australia.Anhsale10.2550.Giaotiep_PTATTNDL_LD143&amp;utm_campaign=Australia.Giaotiep.Anhsale10_LHV.9822_MES_DungNT_310123</v>
      </c>
      <c r="U60" s="118"/>
    </row>
    <row r="61">
      <c r="A61" s="72">
        <v>44958.0</v>
      </c>
      <c r="B61" s="112" t="s">
        <v>3573</v>
      </c>
      <c r="C61" s="67" t="str">
        <f>IFERROR(__xludf.DUMMYFUNCTION("""COMPUTED_VALUE"""),"LD148")</f>
        <v>LD148</v>
      </c>
      <c r="D61" s="55" t="s">
        <v>42</v>
      </c>
      <c r="E61" s="55" t="s">
        <v>79</v>
      </c>
      <c r="F61" s="55" t="s">
        <v>625</v>
      </c>
      <c r="G61" s="55">
        <v>1835.0</v>
      </c>
      <c r="H61" s="55" t="s">
        <v>3306</v>
      </c>
      <c r="I61" s="55" t="s">
        <v>3361</v>
      </c>
      <c r="J61" s="168" t="s">
        <v>3525</v>
      </c>
      <c r="K61" s="167" t="s">
        <v>61</v>
      </c>
      <c r="L61" s="55" t="s">
        <v>1264</v>
      </c>
      <c r="M61" s="55" t="s">
        <v>78</v>
      </c>
      <c r="N61" s="55" t="s">
        <v>79</v>
      </c>
      <c r="O61" s="55" t="s">
        <v>218</v>
      </c>
      <c r="P61" s="55" t="s">
        <v>110</v>
      </c>
      <c r="Q61" s="67" t="str">
        <f>IFERROR(__xludf.DUMMYFUNCTION("""COMPUTED_VALUE"""),"KoreaSouth.Giaotiep.Anhsale10_LHV.9822_MES_DungNT_010223")</f>
        <v>KoreaSouth.Giaotiep.Anhsale10_LHV.9822_MES_DungNT_010223</v>
      </c>
      <c r="R61" s="67" t="str">
        <f>IFERROR(__xludf.DUMMYFUNCTION("""COMPUTED_VALUE"""),"NEW_KoreaSouth_1835_none_010223")</f>
        <v>NEW_KoreaSouth_1835_none_010223</v>
      </c>
      <c r="S61" s="67" t="str">
        <f>IFERROR(__xludf.DUMMYFUNCTION("""COMPUTED_VALUE"""),"saletructiep_KoreaSouth.Anhsale10.1835.Giaotiep_PTATTNDL_LD148")</f>
        <v>saletructiep_KoreaSouth.Anhsale10.1835.Giaotiep_PTATTNDL_LD148</v>
      </c>
      <c r="T61" s="107" t="str">
        <f>IFERROR(__xludf.DUMMYFUNCTION("""COMPUTED_VALUE"""),"https://patadovietnam.edu.vn/tienganhkorea_dnt/?utm_source=Facebook&amp;utm_medium=MES&amp;utm_term=NEW_KoreaSouth_1835_none_010223&amp;utm_content=saletructiep_KoreaSouth.Anhsale10.1835.Giaotiep_PTATTNDL_LD148&amp;utm_campaign=KoreaSouth.Giaotiep.Anhsale10_LHV.9822_MES_"&amp;"DungNT_010223")</f>
        <v>https://patadovietnam.edu.vn/tienganhkorea_dnt/?utm_source=Facebook&amp;utm_medium=MES&amp;utm_term=NEW_KoreaSouth_1835_none_010223&amp;utm_content=saletructiep_KoreaSouth.Anhsale10.1835.Giaotiep_PTATTNDL_LD148&amp;utm_campaign=KoreaSouth.Giaotiep.Anhsale10_LHV.9822_MES_DungNT_010223</v>
      </c>
      <c r="U61" s="110" t="s">
        <v>3587</v>
      </c>
    </row>
    <row r="62">
      <c r="A62" s="72">
        <v>44960.0</v>
      </c>
      <c r="B62" s="112" t="s">
        <v>3502</v>
      </c>
      <c r="C62" s="67" t="str">
        <f>IFERROR(__xludf.DUMMYFUNCTION("""COMPUTED_VALUE"""),"LD144")</f>
        <v>LD144</v>
      </c>
      <c r="D62" s="55" t="s">
        <v>42</v>
      </c>
      <c r="E62" s="55" t="s">
        <v>79</v>
      </c>
      <c r="F62" s="55" t="s">
        <v>164</v>
      </c>
      <c r="G62" s="55">
        <v>1845.0</v>
      </c>
      <c r="H62" s="55" t="s">
        <v>3306</v>
      </c>
      <c r="I62" s="55" t="s">
        <v>3375</v>
      </c>
      <c r="J62" s="168" t="s">
        <v>3589</v>
      </c>
      <c r="K62" s="167" t="s">
        <v>61</v>
      </c>
      <c r="L62" s="55" t="s">
        <v>1264</v>
      </c>
      <c r="M62" s="55" t="s">
        <v>78</v>
      </c>
      <c r="N62" s="55" t="s">
        <v>79</v>
      </c>
      <c r="O62" s="55" t="s">
        <v>218</v>
      </c>
      <c r="P62" s="55" t="s">
        <v>110</v>
      </c>
      <c r="Q62" s="67" t="str">
        <f>IFERROR(__xludf.DUMMYFUNCTION("""COMPUTED_VALUE"""),"Taiwan.Giaotiep.Anhsale10_LHV.9822_MES_DungNT_030223")</f>
        <v>Taiwan.Giaotiep.Anhsale10_LHV.9822_MES_DungNT_030223</v>
      </c>
      <c r="R62" s="67" t="str">
        <f>IFERROR(__xludf.DUMMYFUNCTION("""COMPUTED_VALUE"""),"NEW_Taiwan_1845_none_030223")</f>
        <v>NEW_Taiwan_1845_none_030223</v>
      </c>
      <c r="S62" s="67" t="str">
        <f>IFERROR(__xludf.DUMMYFUNCTION("""COMPUTED_VALUE"""),"saletructiep_Taiwan.Anhsale10.1845.Giaotiep_PTATTNDL_LD144")</f>
        <v>saletructiep_Taiwan.Anhsale10.1845.Giaotiep_PTATTNDL_LD144</v>
      </c>
      <c r="T62" s="107" t="str">
        <f>IFERROR(__xludf.DUMMYFUNCTION("""COMPUTED_VALUE"""),"https://patadovietnam.edu.vn/tienganhpatado_d1/?utm_source=Facebook&amp;utm_medium=MES&amp;utm_term=NEW_Taiwan_1845_none_030223&amp;utm_content=saletructiep_Taiwan.Anhsale10.1845.Giaotiep_PTATTNDL_LD144&amp;utm_campaign=Taiwan.Giaotiep.Anhsale10_LHV.9822_MES_DungNT_03022"&amp;"3")</f>
        <v>https://patadovietnam.edu.vn/tienganhpatado_d1/?utm_source=Facebook&amp;utm_medium=MES&amp;utm_term=NEW_Taiwan_1845_none_030223&amp;utm_content=saletructiep_Taiwan.Anhsale10.1845.Giaotiep_PTATTNDL_LD144&amp;utm_campaign=Taiwan.Giaotiep.Anhsale10_LHV.9822_MES_DungNT_030223</v>
      </c>
      <c r="U62" s="110" t="s">
        <v>3593</v>
      </c>
    </row>
    <row r="63">
      <c r="A63" s="72">
        <v>44960.0</v>
      </c>
      <c r="B63" s="112" t="s">
        <v>3502</v>
      </c>
      <c r="C63" s="67" t="str">
        <f>IFERROR(__xludf.DUMMYFUNCTION("""COMPUTED_VALUE"""),"LD144")</f>
        <v>LD144</v>
      </c>
      <c r="D63" s="55" t="s">
        <v>42</v>
      </c>
      <c r="E63" s="55" t="s">
        <v>79</v>
      </c>
      <c r="F63" s="55" t="s">
        <v>162</v>
      </c>
      <c r="G63" s="55">
        <v>1850.0</v>
      </c>
      <c r="H63" s="55" t="s">
        <v>3306</v>
      </c>
      <c r="I63" s="55" t="s">
        <v>3448</v>
      </c>
      <c r="J63" s="168" t="s">
        <v>3596</v>
      </c>
      <c r="K63" s="167" t="s">
        <v>61</v>
      </c>
      <c r="L63" s="55" t="s">
        <v>1264</v>
      </c>
      <c r="M63" s="55" t="s">
        <v>78</v>
      </c>
      <c r="N63" s="55" t="s">
        <v>79</v>
      </c>
      <c r="O63" s="55" t="s">
        <v>218</v>
      </c>
      <c r="P63" s="55" t="s">
        <v>110</v>
      </c>
      <c r="Q63" s="67" t="str">
        <f>IFERROR(__xludf.DUMMYFUNCTION("""COMPUTED_VALUE"""),"Singapore.Giaotiep.Anhsale10_LHV.9822_MES_DungNT_030223")</f>
        <v>Singapore.Giaotiep.Anhsale10_LHV.9822_MES_DungNT_030223</v>
      </c>
      <c r="R63" s="67" t="str">
        <f>IFERROR(__xludf.DUMMYFUNCTION("""COMPUTED_VALUE"""),"NEW_Singapore_1850_none_030223")</f>
        <v>NEW_Singapore_1850_none_030223</v>
      </c>
      <c r="S63" s="67" t="str">
        <f>IFERROR(__xludf.DUMMYFUNCTION("""COMPUTED_VALUE"""),"saletructiep_Singapore.Anhsale10.1850.Giaotiep_PTATTNDL_LD144")</f>
        <v>saletructiep_Singapore.Anhsale10.1850.Giaotiep_PTATTNDL_LD144</v>
      </c>
      <c r="T63" s="107" t="str">
        <f>IFERROR(__xludf.DUMMYFUNCTION("""COMPUTED_VALUE"""),"https://patadovietnam.edu.vn/tienganhpatado_d1/?utm_source=Facebook&amp;utm_medium=MES&amp;utm_term=NEW_Singapore_1850_none_030223&amp;utm_content=saletructiep_Singapore.Anhsale10.1850.Giaotiep_PTATTNDL_LD144&amp;utm_campaign=Singapore.Giaotiep.Anhsale10_LHV.9822_MES_Dun"&amp;"gNT_030223")</f>
        <v>https://patadovietnam.edu.vn/tienganhpatado_d1/?utm_source=Facebook&amp;utm_medium=MES&amp;utm_term=NEW_Singapore_1850_none_030223&amp;utm_content=saletructiep_Singapore.Anhsale10.1850.Giaotiep_PTATTNDL_LD144&amp;utm_campaign=Singapore.Giaotiep.Anhsale10_LHV.9822_MES_DungNT_030223</v>
      </c>
      <c r="U63" s="118"/>
    </row>
    <row r="64">
      <c r="A64" s="72">
        <v>44962.0</v>
      </c>
      <c r="B64" s="112" t="s">
        <v>3600</v>
      </c>
      <c r="C64" s="67" t="str">
        <f>IFERROR(__xludf.DUMMYFUNCTION("""COMPUTED_VALUE"""),"LD150")</f>
        <v>LD150</v>
      </c>
      <c r="D64" s="55" t="s">
        <v>42</v>
      </c>
      <c r="E64" s="55" t="s">
        <v>79</v>
      </c>
      <c r="F64" s="55" t="s">
        <v>107</v>
      </c>
      <c r="G64" s="55">
        <v>2555.0</v>
      </c>
      <c r="H64" s="55" t="s">
        <v>3306</v>
      </c>
      <c r="I64" s="55" t="s">
        <v>3368</v>
      </c>
      <c r="J64" s="168" t="s">
        <v>3601</v>
      </c>
      <c r="K64" s="167" t="s">
        <v>61</v>
      </c>
      <c r="L64" s="55" t="s">
        <v>1264</v>
      </c>
      <c r="M64" s="55" t="s">
        <v>78</v>
      </c>
      <c r="N64" s="55" t="s">
        <v>79</v>
      </c>
      <c r="O64" s="55" t="s">
        <v>218</v>
      </c>
      <c r="P64" s="55" t="s">
        <v>110</v>
      </c>
      <c r="Q64" s="67" t="str">
        <f>IFERROR(__xludf.DUMMYFUNCTION("""COMPUTED_VALUE"""),"UnitedStates.Giaotiep.Anhsale10_LHV.9822_MES_DungNT_050223")</f>
        <v>UnitedStates.Giaotiep.Anhsale10_LHV.9822_MES_DungNT_050223</v>
      </c>
      <c r="R64" s="67" t="str">
        <f>IFERROR(__xludf.DUMMYFUNCTION("""COMPUTED_VALUE"""),"NEW_UnitedStates_2555_none_050223")</f>
        <v>NEW_UnitedStates_2555_none_050223</v>
      </c>
      <c r="S64" s="67" t="str">
        <f>IFERROR(__xludf.DUMMYFUNCTION("""COMPUTED_VALUE"""),"saletructiep_UnitedStates.Anhsale10.2555.Giaotiep_PTATTNDL_LD150")</f>
        <v>saletructiep_UnitedStates.Anhsale10.2555.Giaotiep_PTATTNDL_LD150</v>
      </c>
      <c r="T64" s="107" t="str">
        <f>IFERROR(__xludf.DUMMYFUNCTION("""COMPUTED_VALUE"""),"https://patadovietnam.edu.vn/tienganhusa_dntt/?utm_source=Facebook&amp;utm_medium=MES&amp;utm_term=NEW_UnitedStates_2555_none_050223&amp;utm_content=saletructiep_UnitedStates.Anhsale10.2555.Giaotiep_PTATTNDL_LD150&amp;utm_campaign=UnitedStates.Giaotiep.Anhsale10_LHV.9822"&amp;"_MES_DungNT_050223")</f>
        <v>https://patadovietnam.edu.vn/tienganhusa_dntt/?utm_source=Facebook&amp;utm_medium=MES&amp;utm_term=NEW_UnitedStates_2555_none_050223&amp;utm_content=saletructiep_UnitedStates.Anhsale10.2555.Giaotiep_PTATTNDL_LD150&amp;utm_campaign=UnitedStates.Giaotiep.Anhsale10_LHV.9822_MES_DungNT_050223</v>
      </c>
      <c r="U64" s="110" t="s">
        <v>3605</v>
      </c>
    </row>
    <row r="65">
      <c r="A65" s="72">
        <v>44962.0</v>
      </c>
      <c r="B65" s="112" t="s">
        <v>3502</v>
      </c>
      <c r="C65" s="67" t="str">
        <f>IFERROR(__xludf.DUMMYFUNCTION("""COMPUTED_VALUE"""),"LD144")</f>
        <v>LD144</v>
      </c>
      <c r="D65" s="55" t="s">
        <v>42</v>
      </c>
      <c r="E65" s="55" t="s">
        <v>69</v>
      </c>
      <c r="F65" s="55" t="s">
        <v>274</v>
      </c>
      <c r="G65" s="55">
        <v>2550.0</v>
      </c>
      <c r="H65" s="55" t="s">
        <v>3306</v>
      </c>
      <c r="I65" s="55" t="s">
        <v>3432</v>
      </c>
      <c r="J65" s="168" t="s">
        <v>3606</v>
      </c>
      <c r="K65" s="167" t="s">
        <v>61</v>
      </c>
      <c r="L65" s="55" t="s">
        <v>3607</v>
      </c>
      <c r="M65" s="55" t="s">
        <v>78</v>
      </c>
      <c r="N65" s="55" t="s">
        <v>69</v>
      </c>
      <c r="O65" s="55" t="s">
        <v>218</v>
      </c>
      <c r="P65" s="55" t="s">
        <v>110</v>
      </c>
      <c r="Q65" s="67" t="str">
        <f>IFERROR(__xludf.DUMMYFUNCTION("""COMPUTED_VALUE"""),"UnitedKingdom.Giaotiep.Anhsale10_SCB.9889_CVS_DungNT_050223")</f>
        <v>UnitedKingdom.Giaotiep.Anhsale10_SCB.9889_CVS_DungNT_050223</v>
      </c>
      <c r="R65" s="67" t="str">
        <f>IFERROR(__xludf.DUMMYFUNCTION("""COMPUTED_VALUE"""),"NEW_UnitedKingdom_2550_none_050223")</f>
        <v>NEW_UnitedKingdom_2550_none_050223</v>
      </c>
      <c r="S65" s="67" t="str">
        <f>IFERROR(__xludf.DUMMYFUNCTION("""COMPUTED_VALUE"""),"saletructiep_UnitedKingdom.Anhsale10.2550.Giaotiep_PTATTNDL_LD144")</f>
        <v>saletructiep_UnitedKingdom.Anhsale10.2550.Giaotiep_PTATTNDL_LD144</v>
      </c>
      <c r="T65" s="107" t="str">
        <f>IFERROR(__xludf.DUMMYFUNCTION("""COMPUTED_VALUE"""),"https://patadovietnam.edu.vn/tienganhpatado_d1/?utm_source=Facebook&amp;utm_medium=CVS&amp;utm_term=NEW_UnitedKingdom_2550_none_050223&amp;utm_content=saletructiep_UnitedKingdom.Anhsale10.2550.Giaotiep_PTATTNDL_LD144&amp;utm_campaign=UnitedKingdom.Giaotiep.Anhsale10_SCB."&amp;"9889_CVS_DungNT_050223")</f>
        <v>https://patadovietnam.edu.vn/tienganhpatado_d1/?utm_source=Facebook&amp;utm_medium=CVS&amp;utm_term=NEW_UnitedKingdom_2550_none_050223&amp;utm_content=saletructiep_UnitedKingdom.Anhsale10.2550.Giaotiep_PTATTNDL_LD144&amp;utm_campaign=UnitedKingdom.Giaotiep.Anhsale10_SCB.9889_CVS_DungNT_050223</v>
      </c>
      <c r="U65" s="110" t="s">
        <v>3609</v>
      </c>
    </row>
    <row r="66">
      <c r="A66" s="72">
        <v>44962.0</v>
      </c>
      <c r="B66" s="112" t="s">
        <v>3502</v>
      </c>
      <c r="C66" s="67" t="str">
        <f>IFERROR(__xludf.DUMMYFUNCTION("""COMPUTED_VALUE"""),"LD144")</f>
        <v>LD144</v>
      </c>
      <c r="D66" s="55" t="s">
        <v>42</v>
      </c>
      <c r="E66" s="55" t="s">
        <v>79</v>
      </c>
      <c r="F66" s="55" t="s">
        <v>112</v>
      </c>
      <c r="G66" s="55">
        <v>2555.0</v>
      </c>
      <c r="H66" s="55" t="s">
        <v>3306</v>
      </c>
      <c r="I66" s="55" t="s">
        <v>3532</v>
      </c>
      <c r="J66" s="168" t="s">
        <v>3611</v>
      </c>
      <c r="K66" s="167" t="s">
        <v>61</v>
      </c>
      <c r="L66" s="55" t="s">
        <v>3607</v>
      </c>
      <c r="M66" s="55" t="s">
        <v>78</v>
      </c>
      <c r="N66" s="55" t="s">
        <v>79</v>
      </c>
      <c r="O66" s="55" t="s">
        <v>218</v>
      </c>
      <c r="P66" s="55" t="s">
        <v>110</v>
      </c>
      <c r="Q66" s="67" t="str">
        <f>IFERROR(__xludf.DUMMYFUNCTION("""COMPUTED_VALUE"""),"Canada.Giaotiep.Anhsale10_SCB.9889_MES_DungNT_050223")</f>
        <v>Canada.Giaotiep.Anhsale10_SCB.9889_MES_DungNT_050223</v>
      </c>
      <c r="R66" s="67" t="str">
        <f>IFERROR(__xludf.DUMMYFUNCTION("""COMPUTED_VALUE"""),"NEW_Canada_2555_none_050223")</f>
        <v>NEW_Canada_2555_none_050223</v>
      </c>
      <c r="S66" s="67" t="str">
        <f>IFERROR(__xludf.DUMMYFUNCTION("""COMPUTED_VALUE"""),"saletructiep_Canada.Anhsale10.2555.Giaotiep_PTATTNDL_LD144")</f>
        <v>saletructiep_Canada.Anhsale10.2555.Giaotiep_PTATTNDL_LD144</v>
      </c>
      <c r="T66" s="107" t="str">
        <f>IFERROR(__xludf.DUMMYFUNCTION("""COMPUTED_VALUE"""),"https://patadovietnam.edu.vn/tienganhpatado_d1/?utm_source=Facebook&amp;utm_medium=MES&amp;utm_term=NEW_Canada_2555_none_050223&amp;utm_content=saletructiep_Canada.Anhsale10.2555.Giaotiep_PTATTNDL_LD144&amp;utm_campaign=Canada.Giaotiep.Anhsale10_SCB.9889_MES_DungNT_05022"&amp;"3")</f>
        <v>https://patadovietnam.edu.vn/tienganhpatado_d1/?utm_source=Facebook&amp;utm_medium=MES&amp;utm_term=NEW_Canada_2555_none_050223&amp;utm_content=saletructiep_Canada.Anhsale10.2555.Giaotiep_PTATTNDL_LD144&amp;utm_campaign=Canada.Giaotiep.Anhsale10_SCB.9889_MES_DungNT_050223</v>
      </c>
      <c r="U66" s="110" t="s">
        <v>3615</v>
      </c>
    </row>
    <row r="67">
      <c r="A67" s="72">
        <v>44967.0</v>
      </c>
      <c r="B67" s="112" t="s">
        <v>3616</v>
      </c>
      <c r="C67" s="67" t="str">
        <f>IFERROR(__xludf.DUMMYFUNCTION("""COMPUTED_VALUE"""),"LD151")</f>
        <v>LD151</v>
      </c>
      <c r="D67" s="55" t="s">
        <v>42</v>
      </c>
      <c r="E67" s="55" t="s">
        <v>69</v>
      </c>
      <c r="F67" s="55" t="s">
        <v>674</v>
      </c>
      <c r="G67" s="55">
        <v>2055.0</v>
      </c>
      <c r="H67" s="55" t="s">
        <v>3306</v>
      </c>
      <c r="I67" s="55" t="s">
        <v>3617</v>
      </c>
      <c r="J67" s="168" t="s">
        <v>3618</v>
      </c>
      <c r="K67" s="167" t="s">
        <v>61</v>
      </c>
      <c r="L67" s="55" t="s">
        <v>3607</v>
      </c>
      <c r="M67" s="55" t="s">
        <v>78</v>
      </c>
      <c r="N67" s="55" t="s">
        <v>69</v>
      </c>
      <c r="O67" s="55" t="s">
        <v>218</v>
      </c>
      <c r="P67" s="55" t="s">
        <v>110</v>
      </c>
      <c r="Q67" s="67" t="str">
        <f>IFERROR(__xludf.DUMMYFUNCTION("""COMPUTED_VALUE"""),"Europe.Giaotiep.Anhsale10_SCB.9889_CVS_DungNT_100223")</f>
        <v>Europe.Giaotiep.Anhsale10_SCB.9889_CVS_DungNT_100223</v>
      </c>
      <c r="R67" s="67" t="str">
        <f>IFERROR(__xludf.DUMMYFUNCTION("""COMPUTED_VALUE"""),"NEW_Europe_2055_none_100223")</f>
        <v>NEW_Europe_2055_none_100223</v>
      </c>
      <c r="S67" s="67" t="str">
        <f>IFERROR(__xludf.DUMMYFUNCTION("""COMPUTED_VALUE"""),"saletructiep_Europe.Anhsale10.2055.Giaotiep_PTATTNDL_LD151")</f>
        <v>saletructiep_Europe.Anhsale10.2055.Giaotiep_PTATTNDL_LD151</v>
      </c>
      <c r="T67" s="107" t="str">
        <f>IFERROR(__xludf.DUMMYFUNCTION("""COMPUTED_VALUE"""),"https://patadovietnam.edu.vn/tienganheurope_dnt/?utm_source=Facebook&amp;utm_medium=CVS&amp;utm_term=NEW_Europe_2055_none_100223&amp;utm_content=saletructiep_Europe.Anhsale10.2055.Giaotiep_PTATTNDL_LD151&amp;utm_campaign=Europe.Giaotiep.Anhsale10_SCB.9889_CVS_DungNT_1002"&amp;"23")</f>
        <v>https://patadovietnam.edu.vn/tienganheurope_dnt/?utm_source=Facebook&amp;utm_medium=CVS&amp;utm_term=NEW_Europe_2055_none_100223&amp;utm_content=saletructiep_Europe.Anhsale10.2055.Giaotiep_PTATTNDL_LD151&amp;utm_campaign=Europe.Giaotiep.Anhsale10_SCB.9889_CVS_DungNT_100223</v>
      </c>
      <c r="U67" s="110" t="s">
        <v>3620</v>
      </c>
    </row>
    <row r="68">
      <c r="A68" s="72">
        <v>44986.0</v>
      </c>
      <c r="B68" s="75" t="s">
        <v>3496</v>
      </c>
      <c r="C68" s="67" t="str">
        <f>IFERROR(__xludf.DUMMYFUNCTION("""COMPUTED_VALUE"""),"LD143")</f>
        <v>LD143</v>
      </c>
      <c r="D68" s="55" t="s">
        <v>42</v>
      </c>
      <c r="E68" s="55" t="s">
        <v>79</v>
      </c>
      <c r="F68" s="55" t="s">
        <v>129</v>
      </c>
      <c r="G68" s="55">
        <v>2055.0</v>
      </c>
      <c r="H68" s="55" t="s">
        <v>3306</v>
      </c>
      <c r="I68" s="55" t="s">
        <v>3425</v>
      </c>
      <c r="J68" s="168" t="s">
        <v>3498</v>
      </c>
      <c r="K68" s="167" t="s">
        <v>61</v>
      </c>
      <c r="L68" s="55" t="s">
        <v>1264</v>
      </c>
      <c r="M68" s="55" t="s">
        <v>78</v>
      </c>
      <c r="N68" s="55" t="s">
        <v>79</v>
      </c>
      <c r="O68" s="55" t="s">
        <v>218</v>
      </c>
      <c r="P68" s="55" t="s">
        <v>110</v>
      </c>
      <c r="Q68" s="67" t="str">
        <f>IFERROR(__xludf.DUMMYFUNCTION("""COMPUTED_VALUE"""),"Australia.Giaotiep.Anhsale10_LHV.9822_MES_DungNT_010323")</f>
        <v>Australia.Giaotiep.Anhsale10_LHV.9822_MES_DungNT_010323</v>
      </c>
      <c r="R68" s="67" t="str">
        <f>IFERROR(__xludf.DUMMYFUNCTION("""COMPUTED_VALUE"""),"NEW_Australia_2055_none_010323")</f>
        <v>NEW_Australia_2055_none_010323</v>
      </c>
      <c r="S68" s="67" t="str">
        <f>IFERROR(__xludf.DUMMYFUNCTION("""COMPUTED_VALUE"""),"saletructiep_Australia.Anhsale10.2550.Giaotiep_PTATTNDL_LD143")</f>
        <v>saletructiep_Australia.Anhsale10.2550.Giaotiep_PTATTNDL_LD143</v>
      </c>
      <c r="T68" s="107" t="str">
        <f>IFERROR(__xludf.DUMMYFUNCTION("""COMPUTED_VALUE"""),"https://patadovietnam.edu.vn/tienganhaustralia_d1/?utm_source=Facebook&amp;utm_medium=MES&amp;utm_term=NEW_Australia_2055_none_010323&amp;utm_content=saletructiep_Australia.Anhsale10.2550.Giaotiep_PTATTNDL_LD143&amp;utm_campaign=Australia.Giaotiep.Anhsale10_LHV.9822_MES_"&amp;"DungNT_010323")</f>
        <v>https://patadovietnam.edu.vn/tienganhaustralia_d1/?utm_source=Facebook&amp;utm_medium=MES&amp;utm_term=NEW_Australia_2055_none_010323&amp;utm_content=saletructiep_Australia.Anhsale10.2550.Giaotiep_PTATTNDL_LD143&amp;utm_campaign=Australia.Giaotiep.Anhsale10_LHV.9822_MES_DungNT_010323</v>
      </c>
      <c r="U68" s="110" t="s">
        <v>3623</v>
      </c>
    </row>
    <row r="69">
      <c r="A69" s="72">
        <v>44986.0</v>
      </c>
      <c r="B69" s="112" t="s">
        <v>3600</v>
      </c>
      <c r="C69" s="67" t="str">
        <f>IFERROR(__xludf.DUMMYFUNCTION("""COMPUTED_VALUE"""),"LD150")</f>
        <v>LD150</v>
      </c>
      <c r="D69" s="55" t="s">
        <v>42</v>
      </c>
      <c r="E69" s="55" t="s">
        <v>79</v>
      </c>
      <c r="F69" s="55" t="s">
        <v>107</v>
      </c>
      <c r="G69" s="55">
        <v>2055.0</v>
      </c>
      <c r="H69" s="55" t="s">
        <v>3306</v>
      </c>
      <c r="I69" s="55" t="s">
        <v>3368</v>
      </c>
      <c r="J69" s="168" t="s">
        <v>3601</v>
      </c>
      <c r="K69" s="167" t="s">
        <v>61</v>
      </c>
      <c r="L69" s="55" t="s">
        <v>1264</v>
      </c>
      <c r="M69" s="55" t="s">
        <v>78</v>
      </c>
      <c r="N69" s="55" t="s">
        <v>79</v>
      </c>
      <c r="O69" s="55" t="s">
        <v>218</v>
      </c>
      <c r="P69" s="55" t="s">
        <v>110</v>
      </c>
      <c r="Q69" s="67" t="str">
        <f>IFERROR(__xludf.DUMMYFUNCTION("""COMPUTED_VALUE"""),"UnitedStates.Giaotiep.Anhsale10_LHV.9822_MES_DungNT_010323")</f>
        <v>UnitedStates.Giaotiep.Anhsale10_LHV.9822_MES_DungNT_010323</v>
      </c>
      <c r="R69" s="67" t="str">
        <f>IFERROR(__xludf.DUMMYFUNCTION("""COMPUTED_VALUE"""),"NEW_UnitedStates_2055_none_010323")</f>
        <v>NEW_UnitedStates_2055_none_010323</v>
      </c>
      <c r="S69" s="67" t="str">
        <f>IFERROR(__xludf.DUMMYFUNCTION("""COMPUTED_VALUE"""),"saletructiep_UnitedStates.Anhsale10.2555.Giaotiep_PTATTNDL_LD150")</f>
        <v>saletructiep_UnitedStates.Anhsale10.2555.Giaotiep_PTATTNDL_LD150</v>
      </c>
      <c r="T69" s="107" t="str">
        <f>IFERROR(__xludf.DUMMYFUNCTION("""COMPUTED_VALUE"""),"https://patadovietnam.edu.vn/tienganhusa_dntt/?utm_source=Facebook&amp;utm_medium=MES&amp;utm_term=NEW_UnitedStates_2055_none_010323&amp;utm_content=saletructiep_UnitedStates.Anhsale10.2555.Giaotiep_PTATTNDL_LD150&amp;utm_campaign=UnitedStates.Giaotiep.Anhsale10_LHV.9822"&amp;"_MES_DungNT_010323")</f>
        <v>https://patadovietnam.edu.vn/tienganhusa_dntt/?utm_source=Facebook&amp;utm_medium=MES&amp;utm_term=NEW_UnitedStates_2055_none_010323&amp;utm_content=saletructiep_UnitedStates.Anhsale10.2555.Giaotiep_PTATTNDL_LD150&amp;utm_campaign=UnitedStates.Giaotiep.Anhsale10_LHV.9822_MES_DungNT_010323</v>
      </c>
      <c r="U69" s="110" t="s">
        <v>3625</v>
      </c>
    </row>
    <row r="70">
      <c r="A70" s="72">
        <v>44987.0</v>
      </c>
      <c r="B70" s="112" t="s">
        <v>3579</v>
      </c>
      <c r="C70" s="67" t="str">
        <f>IFERROR(__xludf.DUMMYFUNCTION("""COMPUTED_VALUE"""),"LD149")</f>
        <v>LD149</v>
      </c>
      <c r="D70" s="55" t="s">
        <v>42</v>
      </c>
      <c r="E70" s="55" t="s">
        <v>79</v>
      </c>
      <c r="F70" s="55" t="s">
        <v>133</v>
      </c>
      <c r="G70" s="55">
        <v>1840.0</v>
      </c>
      <c r="H70" s="55" t="s">
        <v>3306</v>
      </c>
      <c r="I70" s="55" t="s">
        <v>3319</v>
      </c>
      <c r="J70" s="168" t="s">
        <v>3512</v>
      </c>
      <c r="K70" s="167" t="s">
        <v>61</v>
      </c>
      <c r="L70" s="55" t="s">
        <v>1264</v>
      </c>
      <c r="M70" s="55" t="s">
        <v>78</v>
      </c>
      <c r="N70" s="55" t="s">
        <v>79</v>
      </c>
      <c r="O70" s="55" t="s">
        <v>224</v>
      </c>
      <c r="P70" s="55" t="s">
        <v>110</v>
      </c>
      <c r="Q70" s="67" t="str">
        <f>IFERROR(__xludf.DUMMYFUNCTION("""COMPUTED_VALUE"""),"Japan.Giaotiep.Anhsale10_LHV.9822_MES_DungNT_020323")</f>
        <v>Japan.Giaotiep.Anhsale10_LHV.9822_MES_DungNT_020323</v>
      </c>
      <c r="R70" s="67" t="str">
        <f>IFERROR(__xludf.DUMMYFUNCTION("""COMPUTED_VALUE"""),"NEW_Japan_1840_none_020323")</f>
        <v>NEW_Japan_1840_none_020323</v>
      </c>
      <c r="S70" s="67" t="str">
        <f>IFERROR(__xludf.DUMMYFUNCTION("""COMPUTED_VALUE"""),"saletructiep_Japan.Anhsale10.1835.Giaotiep_PTATT_LD149")</f>
        <v>saletructiep_Japan.Anhsale10.1835.Giaotiep_PTATT_LD149</v>
      </c>
      <c r="T70" s="107" t="str">
        <f>IFERROR(__xludf.DUMMYFUNCTION("""COMPUTED_VALUE"""),"https://patadovietnam.edu.vn/tienganhjapan_dnt/?utm_source=Facebook&amp;utm_medium=MES&amp;utm_term=NEW_Japan_1840_none_020323&amp;utm_content=saletructiep_Japan.Anhsale10.1835.Giaotiep_PTATT_LD149&amp;utm_campaign=Japan.Giaotiep.Anhsale10_LHV.9822_MES_DungNT_020323")</f>
        <v>https://patadovietnam.edu.vn/tienganhjapan_dnt/?utm_source=Facebook&amp;utm_medium=MES&amp;utm_term=NEW_Japan_1840_none_020323&amp;utm_content=saletructiep_Japan.Anhsale10.1835.Giaotiep_PTATT_LD149&amp;utm_campaign=Japan.Giaotiep.Anhsale10_LHV.9822_MES_DungNT_020323</v>
      </c>
      <c r="U70" s="110" t="s">
        <v>3629</v>
      </c>
    </row>
    <row r="71">
      <c r="A71" s="96">
        <v>44989.0</v>
      </c>
      <c r="B71" s="112" t="s">
        <v>3502</v>
      </c>
      <c r="C71" s="67" t="str">
        <f>IFERROR(__xludf.DUMMYFUNCTION("""COMPUTED_VALUE"""),"LD144")</f>
        <v>LD144</v>
      </c>
      <c r="D71" s="55" t="s">
        <v>42</v>
      </c>
      <c r="E71" s="55" t="s">
        <v>69</v>
      </c>
      <c r="F71" s="55" t="s">
        <v>625</v>
      </c>
      <c r="G71" s="55">
        <v>1840.0</v>
      </c>
      <c r="H71" s="55" t="s">
        <v>3306</v>
      </c>
      <c r="I71" s="55" t="s">
        <v>3361</v>
      </c>
      <c r="J71" s="168" t="s">
        <v>3362</v>
      </c>
      <c r="K71" s="167" t="s">
        <v>61</v>
      </c>
      <c r="L71" s="55" t="s">
        <v>1264</v>
      </c>
      <c r="M71" s="55" t="s">
        <v>78</v>
      </c>
      <c r="N71" s="55" t="s">
        <v>69</v>
      </c>
      <c r="O71" s="55" t="s">
        <v>224</v>
      </c>
      <c r="P71" s="55" t="s">
        <v>110</v>
      </c>
      <c r="Q71" s="67" t="str">
        <f>IFERROR(__xludf.DUMMYFUNCTION("""COMPUTED_VALUE"""),"KoreaSouth.Giaotiep.Anhsale10_LHV.9822_CVS_DungNT_3/4/2023")</f>
        <v>KoreaSouth.Giaotiep.Anhsale10_LHV.9822_CVS_DungNT_3/4/2023</v>
      </c>
      <c r="R71" s="67" t="str">
        <f>IFERROR(__xludf.DUMMYFUNCTION("""COMPUTED_VALUE"""),"NEW_KoreaSouth_1840_none_3/4/2023")</f>
        <v>NEW_KoreaSouth_1840_none_3/4/2023</v>
      </c>
      <c r="S71" s="67" t="str">
        <f>IFERROR(__xludf.DUMMYFUNCTION("""COMPUTED_VALUE"""),"saletructiep_KoreaSouth.Anhsale10.1840.Giaotiep_PTATT_LD144")</f>
        <v>saletructiep_KoreaSouth.Anhsale10.1840.Giaotiep_PTATT_LD144</v>
      </c>
      <c r="T71" s="107" t="str">
        <f>IFERROR(__xludf.DUMMYFUNCTION("""COMPUTED_VALUE"""),"https://patadovietnam.edu.vn/tienganhpatado_d1/?utm_source=Facebook&amp;utm_medium=CVS&amp;utm_term=NEW_KoreaSouth_1840_none_3/4/2023&amp;utm_content=saletructiep_KoreaSouth.Anhsale10.1840.Giaotiep_PTATT_LD144&amp;utm_campaign=KoreaSouth.Giaotiep.Anhsale10_LHV.9822_CVS_D"&amp;"ungNT_3/4/2023")</f>
        <v>https://patadovietnam.edu.vn/tienganhpatado_d1/?utm_source=Facebook&amp;utm_medium=CVS&amp;utm_term=NEW_KoreaSouth_1840_none_3/4/2023&amp;utm_content=saletructiep_KoreaSouth.Anhsale10.1840.Giaotiep_PTATT_LD144&amp;utm_campaign=KoreaSouth.Giaotiep.Anhsale10_LHV.9822_CVS_DungNT_3/4/2023</v>
      </c>
      <c r="U71" s="110" t="s">
        <v>3632</v>
      </c>
    </row>
    <row r="72">
      <c r="A72" s="72">
        <v>44994.0</v>
      </c>
      <c r="B72" s="112" t="s">
        <v>3616</v>
      </c>
      <c r="C72" s="67" t="str">
        <f>IFERROR(__xludf.DUMMYFUNCTION("""COMPUTED_VALUE"""),"LD151")</f>
        <v>LD151</v>
      </c>
      <c r="D72" s="55" t="s">
        <v>42</v>
      </c>
      <c r="E72" s="55" t="s">
        <v>69</v>
      </c>
      <c r="F72" s="55" t="s">
        <v>674</v>
      </c>
      <c r="G72" s="55">
        <v>2055.0</v>
      </c>
      <c r="H72" s="55" t="s">
        <v>3306</v>
      </c>
      <c r="I72" s="55" t="s">
        <v>3634</v>
      </c>
      <c r="J72" s="168" t="s">
        <v>3635</v>
      </c>
      <c r="K72" s="167" t="s">
        <v>61</v>
      </c>
      <c r="L72" s="55" t="s">
        <v>3607</v>
      </c>
      <c r="M72" s="55" t="s">
        <v>78</v>
      </c>
      <c r="N72" s="55" t="s">
        <v>69</v>
      </c>
      <c r="O72" s="55" t="s">
        <v>218</v>
      </c>
      <c r="P72" s="55" t="s">
        <v>110</v>
      </c>
      <c r="Q72" s="67" t="str">
        <f>IFERROR(__xludf.DUMMYFUNCTION("""COMPUTED_VALUE"""),"Europe.Giaotiep.Videogiangday_SCB.9889_CVS_DungNT_090323")</f>
        <v>Europe.Giaotiep.Videogiangday_SCB.9889_CVS_DungNT_090323</v>
      </c>
      <c r="R72" s="67" t="str">
        <f>IFERROR(__xludf.DUMMYFUNCTION("""COMPUTED_VALUE"""),"NEW_Europe_2055_none_090323")</f>
        <v>NEW_Europe_2055_none_090323</v>
      </c>
      <c r="S72" s="67" t="str">
        <f>IFERROR(__xludf.DUMMYFUNCTION("""COMPUTED_VALUE"""),"saletructiep_Europe.Videogiangday.2055.Giaotiep_PTATTNDL_LD151")</f>
        <v>saletructiep_Europe.Videogiangday.2055.Giaotiep_PTATTNDL_LD151</v>
      </c>
      <c r="T72" s="107" t="str">
        <f>IFERROR(__xludf.DUMMYFUNCTION("""COMPUTED_VALUE"""),"https://patadovietnam.edu.vn/tienganheurope_dnt/?utm_source=Facebook&amp;utm_medium=CVS&amp;utm_term=NEW_Europe_2055_none_090323&amp;utm_content=saletructiep_Europe.Videogiangday.2055.Giaotiep_PTATTNDL_LD151&amp;utm_campaign=Europe.Giaotiep.Videogiangday_SCB.9889_CVS_Dun"&amp;"gNT_090323")</f>
        <v>https://patadovietnam.edu.vn/tienganheurope_dnt/?utm_source=Facebook&amp;utm_medium=CVS&amp;utm_term=NEW_Europe_2055_none_090323&amp;utm_content=saletructiep_Europe.Videogiangday.2055.Giaotiep_PTATTNDL_LD151&amp;utm_campaign=Europe.Giaotiep.Videogiangday_SCB.9889_CVS_DungNT_090323</v>
      </c>
      <c r="U72" s="110" t="s">
        <v>3639</v>
      </c>
    </row>
    <row r="73">
      <c r="A73" s="72">
        <v>44995.0</v>
      </c>
      <c r="B73" s="75" t="s">
        <v>3496</v>
      </c>
      <c r="C73" s="67" t="str">
        <f>IFERROR(__xludf.DUMMYFUNCTION("""COMPUTED_VALUE"""),"LD143")</f>
        <v>LD143</v>
      </c>
      <c r="D73" s="55" t="s">
        <v>42</v>
      </c>
      <c r="E73" s="55" t="s">
        <v>69</v>
      </c>
      <c r="F73" s="55" t="s">
        <v>129</v>
      </c>
      <c r="G73" s="55">
        <v>2055.0</v>
      </c>
      <c r="H73" s="55" t="s">
        <v>3306</v>
      </c>
      <c r="I73" s="55" t="s">
        <v>3640</v>
      </c>
      <c r="J73" s="168" t="s">
        <v>3641</v>
      </c>
      <c r="K73" s="167" t="s">
        <v>61</v>
      </c>
      <c r="L73" s="55" t="s">
        <v>1264</v>
      </c>
      <c r="M73" s="55" t="s">
        <v>78</v>
      </c>
      <c r="N73" s="55" t="s">
        <v>69</v>
      </c>
      <c r="O73" s="55" t="s">
        <v>218</v>
      </c>
      <c r="P73" s="55" t="s">
        <v>110</v>
      </c>
      <c r="Q73" s="67" t="str">
        <f>IFERROR(__xludf.DUMMYFUNCTION("""COMPUTED_VALUE"""),"Australia.Giaotiep.Videogiangday_LHV.9822_CVS_DungNT_100323")</f>
        <v>Australia.Giaotiep.Videogiangday_LHV.9822_CVS_DungNT_100323</v>
      </c>
      <c r="R73" s="67" t="str">
        <f>IFERROR(__xludf.DUMMYFUNCTION("""COMPUTED_VALUE"""),"NEW_Australia_2055_none_100323")</f>
        <v>NEW_Australia_2055_none_100323</v>
      </c>
      <c r="S73" s="67" t="str">
        <f>IFERROR(__xludf.DUMMYFUNCTION("""COMPUTED_VALUE"""),"saletructiep_Australia.Videogiangday.2550.Giaotiep_PTATTNDL_LD143")</f>
        <v>saletructiep_Australia.Videogiangday.2550.Giaotiep_PTATTNDL_LD143</v>
      </c>
      <c r="T73" s="107" t="str">
        <f>IFERROR(__xludf.DUMMYFUNCTION("""COMPUTED_VALUE"""),"https://patadovietnam.edu.vn/tienganhaustralia_d1/?utm_source=Facebook&amp;utm_medium=CVS&amp;utm_term=NEW_Australia_2055_none_100323&amp;utm_content=saletructiep_Australia.Videogiangday.2550.Giaotiep_PTATTNDL_LD143&amp;utm_campaign=Australia.Giaotiep.Videogiangday_LHV.9"&amp;"822_CVS_DungNT_100323")</f>
        <v>https://patadovietnam.edu.vn/tienganhaustralia_d1/?utm_source=Facebook&amp;utm_medium=CVS&amp;utm_term=NEW_Australia_2055_none_100323&amp;utm_content=saletructiep_Australia.Videogiangday.2550.Giaotiep_PTATTNDL_LD143&amp;utm_campaign=Australia.Giaotiep.Videogiangday_LHV.9822_CVS_DungNT_100323</v>
      </c>
      <c r="U73" s="110" t="s">
        <v>3643</v>
      </c>
    </row>
    <row r="74">
      <c r="A74" s="72">
        <v>44995.0</v>
      </c>
      <c r="B74" s="112" t="s">
        <v>3645</v>
      </c>
      <c r="C74" s="67" t="str">
        <f>IFERROR(__xludf.DUMMYFUNCTION("""COMPUTED_VALUE"""),"LD152")</f>
        <v>LD152</v>
      </c>
      <c r="D74" s="55" t="s">
        <v>42</v>
      </c>
      <c r="E74" s="55" t="s">
        <v>79</v>
      </c>
      <c r="F74" s="55" t="s">
        <v>182</v>
      </c>
      <c r="G74" s="55">
        <v>2055.0</v>
      </c>
      <c r="H74" s="55" t="s">
        <v>3306</v>
      </c>
      <c r="I74" s="55" t="s">
        <v>3648</v>
      </c>
      <c r="J74" s="168" t="s">
        <v>3649</v>
      </c>
      <c r="K74" s="167" t="s">
        <v>61</v>
      </c>
      <c r="L74" s="55" t="s">
        <v>1264</v>
      </c>
      <c r="M74" s="55" t="s">
        <v>78</v>
      </c>
      <c r="N74" s="55" t="s">
        <v>79</v>
      </c>
      <c r="O74" s="55" t="s">
        <v>224</v>
      </c>
      <c r="P74" s="55" t="s">
        <v>110</v>
      </c>
      <c r="Q74" s="67" t="str">
        <f>IFERROR(__xludf.DUMMYFUNCTION("""COMPUTED_VALUE"""),"Malaysia.Giaotiep.Anhsale10_LHV.9822_MES_DungNT_100323")</f>
        <v>Malaysia.Giaotiep.Anhsale10_LHV.9822_MES_DungNT_100323</v>
      </c>
      <c r="R74" s="67" t="str">
        <f>IFERROR(__xludf.DUMMYFUNCTION("""COMPUTED_VALUE"""),"NEW_Malaysia_2055_none_100323")</f>
        <v>NEW_Malaysia_2055_none_100323</v>
      </c>
      <c r="S74" s="67" t="str">
        <f>IFERROR(__xludf.DUMMYFUNCTION("""COMPUTED_VALUE"""),"saletructiep_Malaysia.Anhsale10.2055.Giaotiep_PTATT_LD152")</f>
        <v>saletructiep_Malaysia.Anhsale10.2055.Giaotiep_PTATT_LD152</v>
      </c>
      <c r="T74" s="107" t="str">
        <f>IFERROR(__xludf.DUMMYFUNCTION("""COMPUTED_VALUE"""),"https://patadovietnam.edu.vn/tienganhpatado_d2/?utm_source=Facebook&amp;utm_medium=MES&amp;utm_term=NEW_Malaysia_2055_none_100323&amp;utm_content=saletructiep_Malaysia.Anhsale10.2055.Giaotiep_PTATT_LD152&amp;utm_campaign=Malaysia.Giaotiep.Anhsale10_LHV.9822_MES_DungNT_10"&amp;"0323")</f>
        <v>https://patadovietnam.edu.vn/tienganhpatado_d2/?utm_source=Facebook&amp;utm_medium=MES&amp;utm_term=NEW_Malaysia_2055_none_100323&amp;utm_content=saletructiep_Malaysia.Anhsale10.2055.Giaotiep_PTATT_LD152&amp;utm_campaign=Malaysia.Giaotiep.Anhsale10_LHV.9822_MES_DungNT_100323</v>
      </c>
      <c r="U74" s="116"/>
    </row>
    <row r="75">
      <c r="A75" s="72">
        <v>44998.0</v>
      </c>
      <c r="B75" s="112" t="s">
        <v>3600</v>
      </c>
      <c r="C75" s="67" t="str">
        <f>IFERROR(__xludf.DUMMYFUNCTION("""COMPUTED_VALUE"""),"LD150")</f>
        <v>LD150</v>
      </c>
      <c r="D75" s="55" t="s">
        <v>42</v>
      </c>
      <c r="E75" s="55" t="s">
        <v>79</v>
      </c>
      <c r="F75" s="55" t="s">
        <v>107</v>
      </c>
      <c r="G75" s="55">
        <v>2555.0</v>
      </c>
      <c r="H75" s="55" t="s">
        <v>3306</v>
      </c>
      <c r="I75" s="55" t="s">
        <v>3653</v>
      </c>
      <c r="J75" s="168" t="s">
        <v>3654</v>
      </c>
      <c r="K75" s="167" t="s">
        <v>61</v>
      </c>
      <c r="L75" s="55" t="s">
        <v>1264</v>
      </c>
      <c r="M75" s="55" t="s">
        <v>78</v>
      </c>
      <c r="N75" s="55" t="s">
        <v>79</v>
      </c>
      <c r="O75" s="55" t="s">
        <v>218</v>
      </c>
      <c r="P75" s="55" t="s">
        <v>110</v>
      </c>
      <c r="Q75" s="67" t="str">
        <f>IFERROR(__xludf.DUMMYFUNCTION("""COMPUTED_VALUE"""),"UnitedStates.Giaotiep.Videogiangday_LHV.9822_MES_DungNT_130323")</f>
        <v>UnitedStates.Giaotiep.Videogiangday_LHV.9822_MES_DungNT_130323</v>
      </c>
      <c r="R75" s="67" t="str">
        <f>IFERROR(__xludf.DUMMYFUNCTION("""COMPUTED_VALUE"""),"NEW_UnitedStates_2555_none_130323")</f>
        <v>NEW_UnitedStates_2555_none_130323</v>
      </c>
      <c r="S75" s="67" t="str">
        <f>IFERROR(__xludf.DUMMYFUNCTION("""COMPUTED_VALUE"""),"saletructiep_UnitedStates.Videogiangday.2555.Giaotiep_PTATTNDL_LD150")</f>
        <v>saletructiep_UnitedStates.Videogiangday.2555.Giaotiep_PTATTNDL_LD150</v>
      </c>
      <c r="T75" s="107" t="str">
        <f>IFERROR(__xludf.DUMMYFUNCTION("""COMPUTED_VALUE"""),"https://patadovietnam.edu.vn/tienganhusa_dntt/?utm_source=Facebook&amp;utm_medium=MES&amp;utm_term=NEW_UnitedStates_2555_none_130323&amp;utm_content=saletructiep_UnitedStates.Videogiangday.2555.Giaotiep_PTATTNDL_LD150&amp;utm_campaign=UnitedStates.Giaotiep.Videogiangday_"&amp;"LHV.9822_MES_DungNT_130323")</f>
        <v>https://patadovietnam.edu.vn/tienganhusa_dntt/?utm_source=Facebook&amp;utm_medium=MES&amp;utm_term=NEW_UnitedStates_2555_none_130323&amp;utm_content=saletructiep_UnitedStates.Videogiangday.2555.Giaotiep_PTATTNDL_LD150&amp;utm_campaign=UnitedStates.Giaotiep.Videogiangday_LHV.9822_MES_DungNT_130323</v>
      </c>
      <c r="U75" s="110" t="s">
        <v>3660</v>
      </c>
    </row>
    <row r="76">
      <c r="A76" s="72">
        <v>44998.0</v>
      </c>
      <c r="B76" s="75" t="s">
        <v>3496</v>
      </c>
      <c r="C76" s="67" t="str">
        <f>IFERROR(__xludf.DUMMYFUNCTION("""COMPUTED_VALUE"""),"LD143")</f>
        <v>LD143</v>
      </c>
      <c r="D76" s="55" t="s">
        <v>42</v>
      </c>
      <c r="E76" s="55" t="s">
        <v>79</v>
      </c>
      <c r="F76" s="55" t="s">
        <v>129</v>
      </c>
      <c r="G76" s="55">
        <v>2055.0</v>
      </c>
      <c r="H76" s="55" t="s">
        <v>3306</v>
      </c>
      <c r="I76" s="55" t="s">
        <v>3640</v>
      </c>
      <c r="J76" s="168" t="s">
        <v>3661</v>
      </c>
      <c r="K76" s="167" t="s">
        <v>61</v>
      </c>
      <c r="L76" s="55" t="s">
        <v>1264</v>
      </c>
      <c r="M76" s="55" t="s">
        <v>78</v>
      </c>
      <c r="N76" s="55" t="s">
        <v>79</v>
      </c>
      <c r="O76" s="55" t="s">
        <v>218</v>
      </c>
      <c r="P76" s="55" t="s">
        <v>110</v>
      </c>
      <c r="Q76" s="67" t="str">
        <f>IFERROR(__xludf.DUMMYFUNCTION("""COMPUTED_VALUE"""),"Australia.Giaotiep.Videogiangday_LHV.9822_MES_DungNT_130323")</f>
        <v>Australia.Giaotiep.Videogiangday_LHV.9822_MES_DungNT_130323</v>
      </c>
      <c r="R76" s="67" t="str">
        <f>IFERROR(__xludf.DUMMYFUNCTION("""COMPUTED_VALUE"""),"NEW_Australia_2055_none_130323")</f>
        <v>NEW_Australia_2055_none_130323</v>
      </c>
      <c r="S76" s="67" t="str">
        <f>IFERROR(__xludf.DUMMYFUNCTION("""COMPUTED_VALUE"""),"saletructiep_Australia.Videogiangday.2555.Giaotiep_PTATTNDL_LD143")</f>
        <v>saletructiep_Australia.Videogiangday.2555.Giaotiep_PTATTNDL_LD143</v>
      </c>
      <c r="T76" s="107" t="str">
        <f>IFERROR(__xludf.DUMMYFUNCTION("""COMPUTED_VALUE"""),"https://patadovietnam.edu.vn/tienganhaustralia_d1/?utm_source=Facebook&amp;utm_medium=MES&amp;utm_term=NEW_Australia_2055_none_130323&amp;utm_content=saletructiep_Australia.Videogiangday.2555.Giaotiep_PTATTNDL_LD143&amp;utm_campaign=Australia.Giaotiep.Videogiangday_LHV.9"&amp;"822_MES_DungNT_130323")</f>
        <v>https://patadovietnam.edu.vn/tienganhaustralia_d1/?utm_source=Facebook&amp;utm_medium=MES&amp;utm_term=NEW_Australia_2055_none_130323&amp;utm_content=saletructiep_Australia.Videogiangday.2555.Giaotiep_PTATTNDL_LD143&amp;utm_campaign=Australia.Giaotiep.Videogiangday_LHV.9822_MES_DungNT_130323</v>
      </c>
      <c r="U76" s="110" t="s">
        <v>3667</v>
      </c>
    </row>
    <row r="77">
      <c r="A77" s="72">
        <v>45000.0</v>
      </c>
      <c r="B77" s="112" t="s">
        <v>3579</v>
      </c>
      <c r="C77" s="67" t="str">
        <f>IFERROR(__xludf.DUMMYFUNCTION("""COMPUTED_VALUE"""),"LD149")</f>
        <v>LD149</v>
      </c>
      <c r="D77" s="55" t="s">
        <v>42</v>
      </c>
      <c r="E77" s="55" t="s">
        <v>79</v>
      </c>
      <c r="F77" s="55" t="s">
        <v>133</v>
      </c>
      <c r="G77" s="55">
        <v>1840.0</v>
      </c>
      <c r="H77" s="55" t="s">
        <v>3306</v>
      </c>
      <c r="I77" s="55" t="s">
        <v>3319</v>
      </c>
      <c r="J77" s="168" t="s">
        <v>3321</v>
      </c>
      <c r="K77" s="167" t="s">
        <v>61</v>
      </c>
      <c r="L77" s="55" t="s">
        <v>1264</v>
      </c>
      <c r="M77" s="55" t="s">
        <v>78</v>
      </c>
      <c r="N77" s="55" t="s">
        <v>79</v>
      </c>
      <c r="O77" s="55" t="s">
        <v>224</v>
      </c>
      <c r="P77" s="55" t="s">
        <v>110</v>
      </c>
      <c r="Q77" s="67" t="str">
        <f>IFERROR(__xludf.DUMMYFUNCTION("""COMPUTED_VALUE"""),"Japan.Giaotiep.Anhsale10_LHV.9822_MES_DungNT_150323")</f>
        <v>Japan.Giaotiep.Anhsale10_LHV.9822_MES_DungNT_150323</v>
      </c>
      <c r="R77" s="67" t="str">
        <f>IFERROR(__xludf.DUMMYFUNCTION("""COMPUTED_VALUE"""),"NEW_Japan_1840_none_150323")</f>
        <v>NEW_Japan_1840_none_150323</v>
      </c>
      <c r="S77" s="67" t="str">
        <f>IFERROR(__xludf.DUMMYFUNCTION("""COMPUTED_VALUE"""),"saletructiep_Japan.Anhsale10.1840.Giaotiep_PTATT_LD149")</f>
        <v>saletructiep_Japan.Anhsale10.1840.Giaotiep_PTATT_LD149</v>
      </c>
      <c r="T77" s="107" t="str">
        <f>IFERROR(__xludf.DUMMYFUNCTION("""COMPUTED_VALUE"""),"https://patadovietnam.edu.vn/tienganhjapan_dnt/?utm_source=Facebook&amp;utm_medium=MES&amp;utm_term=NEW_Japan_1840_none_150323&amp;utm_content=saletructiep_Japan.Anhsale10.1840.Giaotiep_PTATT_LD149&amp;utm_campaign=Japan.Giaotiep.Anhsale10_LHV.9822_MES_DungNT_150323")</f>
        <v>https://patadovietnam.edu.vn/tienganhjapan_dnt/?utm_source=Facebook&amp;utm_medium=MES&amp;utm_term=NEW_Japan_1840_none_150323&amp;utm_content=saletructiep_Japan.Anhsale10.1840.Giaotiep_PTATT_LD149&amp;utm_campaign=Japan.Giaotiep.Anhsale10_LHV.9822_MES_DungNT_150323</v>
      </c>
      <c r="U77" s="118"/>
    </row>
    <row r="78">
      <c r="A78" s="72">
        <v>44999.0</v>
      </c>
      <c r="B78" s="112" t="s">
        <v>3502</v>
      </c>
      <c r="C78" s="67" t="str">
        <f>IFERROR(__xludf.DUMMYFUNCTION("""COMPUTED_VALUE"""),"LD144")</f>
        <v>LD144</v>
      </c>
      <c r="D78" s="55" t="s">
        <v>42</v>
      </c>
      <c r="E78" s="55" t="s">
        <v>79</v>
      </c>
      <c r="F78" s="55" t="s">
        <v>625</v>
      </c>
      <c r="G78" s="55">
        <v>1840.0</v>
      </c>
      <c r="H78" s="55" t="s">
        <v>3306</v>
      </c>
      <c r="I78" s="55" t="s">
        <v>3361</v>
      </c>
      <c r="J78" s="168" t="s">
        <v>3362</v>
      </c>
      <c r="K78" s="167" t="s">
        <v>61</v>
      </c>
      <c r="L78" s="55" t="s">
        <v>1264</v>
      </c>
      <c r="M78" s="55" t="s">
        <v>78</v>
      </c>
      <c r="N78" s="55" t="s">
        <v>79</v>
      </c>
      <c r="O78" s="55" t="s">
        <v>224</v>
      </c>
      <c r="P78" s="55" t="s">
        <v>110</v>
      </c>
      <c r="Q78" s="67" t="str">
        <f>IFERROR(__xludf.DUMMYFUNCTION("""COMPUTED_VALUE"""),"KoreaSouth.Giaotiep.Anhsale10_LHV.9822_MES_DungNT_140323")</f>
        <v>KoreaSouth.Giaotiep.Anhsale10_LHV.9822_MES_DungNT_140323</v>
      </c>
      <c r="R78" s="67" t="str">
        <f>IFERROR(__xludf.DUMMYFUNCTION("""COMPUTED_VALUE"""),"NEW_KoreaSouth_1840_none_140323")</f>
        <v>NEW_KoreaSouth_1840_none_140323</v>
      </c>
      <c r="S78" s="67" t="str">
        <f>IFERROR(__xludf.DUMMYFUNCTION("""COMPUTED_VALUE"""),"saletructiep_KoreaSouth.Anhsale10.1840.Giaotiep_PTATT_LD144")</f>
        <v>saletructiep_KoreaSouth.Anhsale10.1840.Giaotiep_PTATT_LD144</v>
      </c>
      <c r="T78" s="107" t="str">
        <f>IFERROR(__xludf.DUMMYFUNCTION("""COMPUTED_VALUE"""),"https://patadovietnam.edu.vn/tienganhpatado_d1/?utm_source=Facebook&amp;utm_medium=MES&amp;utm_term=NEW_KoreaSouth_1840_none_140323&amp;utm_content=saletructiep_KoreaSouth.Anhsale10.1840.Giaotiep_PTATT_LD144&amp;utm_campaign=KoreaSouth.Giaotiep.Anhsale10_LHV.9822_MES_Dun"&amp;"gNT_140323")</f>
        <v>https://patadovietnam.edu.vn/tienganhpatado_d1/?utm_source=Facebook&amp;utm_medium=MES&amp;utm_term=NEW_KoreaSouth_1840_none_140323&amp;utm_content=saletructiep_KoreaSouth.Anhsale10.1840.Giaotiep_PTATT_LD144&amp;utm_campaign=KoreaSouth.Giaotiep.Anhsale10_LHV.9822_MES_DungNT_140323</v>
      </c>
      <c r="U78" s="110" t="s">
        <v>3676</v>
      </c>
    </row>
    <row r="79">
      <c r="A79" s="72">
        <v>44998.0</v>
      </c>
      <c r="B79" s="112" t="s">
        <v>3600</v>
      </c>
      <c r="C79" s="67" t="str">
        <f>IFERROR(__xludf.DUMMYFUNCTION("""COMPUTED_VALUE"""),"LD150")</f>
        <v>LD150</v>
      </c>
      <c r="D79" s="55" t="s">
        <v>42</v>
      </c>
      <c r="E79" s="55" t="s">
        <v>79</v>
      </c>
      <c r="F79" s="55" t="s">
        <v>107</v>
      </c>
      <c r="G79" s="55">
        <v>2555.0</v>
      </c>
      <c r="H79" s="55" t="s">
        <v>3306</v>
      </c>
      <c r="I79" s="55" t="s">
        <v>3653</v>
      </c>
      <c r="J79" s="168" t="s">
        <v>3654</v>
      </c>
      <c r="K79" s="167" t="s">
        <v>61</v>
      </c>
      <c r="L79" s="55" t="s">
        <v>1264</v>
      </c>
      <c r="M79" s="55" t="s">
        <v>78</v>
      </c>
      <c r="N79" s="55" t="s">
        <v>79</v>
      </c>
      <c r="O79" s="55" t="s">
        <v>218</v>
      </c>
      <c r="P79" s="55" t="s">
        <v>110</v>
      </c>
      <c r="Q79" s="67" t="str">
        <f>IFERROR(__xludf.DUMMYFUNCTION("""COMPUTED_VALUE"""),"UnitedStates.Giaotiep.Videogiangday_LHV.9822_MES_DungNT_130323")</f>
        <v>UnitedStates.Giaotiep.Videogiangday_LHV.9822_MES_DungNT_130323</v>
      </c>
      <c r="R79" s="67" t="str">
        <f>IFERROR(__xludf.DUMMYFUNCTION("""COMPUTED_VALUE"""),"NEW_UnitedStates_2555_none_130323")</f>
        <v>NEW_UnitedStates_2555_none_130323</v>
      </c>
      <c r="S79" s="67" t="str">
        <f>IFERROR(__xludf.DUMMYFUNCTION("""COMPUTED_VALUE"""),"saletructiep_UnitedStates.Videogiangday.2555.Giaotiep_PTATTNDL_LD150")</f>
        <v>saletructiep_UnitedStates.Videogiangday.2555.Giaotiep_PTATTNDL_LD150</v>
      </c>
      <c r="T79" s="107" t="str">
        <f>IFERROR(__xludf.DUMMYFUNCTION("""COMPUTED_VALUE"""),"https://patadovietnam.edu.vn/tienganhusa_dntt/?utm_source=Facebook&amp;utm_medium=MES&amp;utm_term=NEW_UnitedStates_2555_none_130323&amp;utm_content=saletructiep_UnitedStates.Videogiangday.2555.Giaotiep_PTATTNDL_LD150&amp;utm_campaign=UnitedStates.Giaotiep.Videogiangday_"&amp;"LHV.9822_MES_DungNT_130323")</f>
        <v>https://patadovietnam.edu.vn/tienganhusa_dntt/?utm_source=Facebook&amp;utm_medium=MES&amp;utm_term=NEW_UnitedStates_2555_none_130323&amp;utm_content=saletructiep_UnitedStates.Videogiangday.2555.Giaotiep_PTATTNDL_LD150&amp;utm_campaign=UnitedStates.Giaotiep.Videogiangday_LHV.9822_MES_DungNT_130323</v>
      </c>
      <c r="U79" s="110" t="s">
        <v>3679</v>
      </c>
    </row>
    <row r="80">
      <c r="A80" s="72">
        <v>45017.0</v>
      </c>
      <c r="B80" s="112" t="s">
        <v>3645</v>
      </c>
      <c r="C80" s="67" t="str">
        <f>IFERROR(__xludf.DUMMYFUNCTION("""COMPUTED_VALUE"""),"LD152")</f>
        <v>LD152</v>
      </c>
      <c r="D80" s="55" t="s">
        <v>42</v>
      </c>
      <c r="E80" s="55" t="s">
        <v>69</v>
      </c>
      <c r="F80" s="55" t="s">
        <v>625</v>
      </c>
      <c r="G80" s="55">
        <v>1840.0</v>
      </c>
      <c r="H80" s="55" t="s">
        <v>3306</v>
      </c>
      <c r="I80" s="55" t="s">
        <v>3361</v>
      </c>
      <c r="J80" s="168" t="s">
        <v>3362</v>
      </c>
      <c r="K80" s="167" t="s">
        <v>61</v>
      </c>
      <c r="L80" s="55" t="s">
        <v>1264</v>
      </c>
      <c r="M80" s="55" t="s">
        <v>78</v>
      </c>
      <c r="N80" s="55" t="s">
        <v>69</v>
      </c>
      <c r="O80" s="55" t="s">
        <v>224</v>
      </c>
      <c r="P80" s="55" t="s">
        <v>110</v>
      </c>
      <c r="Q80" s="67" t="str">
        <f>IFERROR(__xludf.DUMMYFUNCTION("""COMPUTED_VALUE"""),"KoreaSouth.Giaotiep.Anhsale10_LHV.9822_CVS_DungNT_010423")</f>
        <v>KoreaSouth.Giaotiep.Anhsale10_LHV.9822_CVS_DungNT_010423</v>
      </c>
      <c r="R80" s="67" t="str">
        <f>IFERROR(__xludf.DUMMYFUNCTION("""COMPUTED_VALUE"""),"NEW_KoreaSouth_1840_none_010423")</f>
        <v>NEW_KoreaSouth_1840_none_010423</v>
      </c>
      <c r="S80" s="67" t="str">
        <f>IFERROR(__xludf.DUMMYFUNCTION("""COMPUTED_VALUE"""),"saletructiep_KoreaSouth.Anhsale10.1840.Giaotiep_PTATT_LD152")</f>
        <v>saletructiep_KoreaSouth.Anhsale10.1840.Giaotiep_PTATT_LD152</v>
      </c>
      <c r="T80" s="107" t="str">
        <f>IFERROR(__xludf.DUMMYFUNCTION("""COMPUTED_VALUE"""),"https://patadovietnam.edu.vn/tienganhpatado_d2/?utm_source=Facebook&amp;utm_medium=CVS&amp;utm_term=NEW_KoreaSouth_1840_none_010423&amp;utm_content=saletructiep_KoreaSouth.Anhsale10.1840.Giaotiep_PTATT_LD152&amp;utm_campaign=KoreaSouth.Giaotiep.Anhsale10_LHV.9822_CVS_Dun"&amp;"gNT_010423")</f>
        <v>https://patadovietnam.edu.vn/tienganhpatado_d2/?utm_source=Facebook&amp;utm_medium=CVS&amp;utm_term=NEW_KoreaSouth_1840_none_010423&amp;utm_content=saletructiep_KoreaSouth.Anhsale10.1840.Giaotiep_PTATT_LD152&amp;utm_campaign=KoreaSouth.Giaotiep.Anhsale10_LHV.9822_CVS_DungNT_010423</v>
      </c>
      <c r="U80" s="110" t="s">
        <v>3684</v>
      </c>
    </row>
    <row r="81">
      <c r="A81" s="72">
        <v>45017.0</v>
      </c>
      <c r="B81" s="112" t="s">
        <v>3502</v>
      </c>
      <c r="C81" s="67" t="str">
        <f>IFERROR(__xludf.DUMMYFUNCTION("""COMPUTED_VALUE"""),"LD144")</f>
        <v>LD144</v>
      </c>
      <c r="D81" s="55" t="s">
        <v>42</v>
      </c>
      <c r="E81" s="55" t="s">
        <v>79</v>
      </c>
      <c r="F81" s="55" t="s">
        <v>164</v>
      </c>
      <c r="G81" s="55">
        <v>1840.0</v>
      </c>
      <c r="H81" s="55" t="s">
        <v>3306</v>
      </c>
      <c r="I81" s="55" t="s">
        <v>3375</v>
      </c>
      <c r="J81" s="168" t="s">
        <v>3376</v>
      </c>
      <c r="K81" s="167" t="s">
        <v>61</v>
      </c>
      <c r="L81" s="55" t="s">
        <v>1264</v>
      </c>
      <c r="M81" s="55" t="s">
        <v>78</v>
      </c>
      <c r="N81" s="55" t="s">
        <v>79</v>
      </c>
      <c r="O81" s="55" t="s">
        <v>218</v>
      </c>
      <c r="P81" s="55" t="s">
        <v>110</v>
      </c>
      <c r="Q81" s="67" t="str">
        <f>IFERROR(__xludf.DUMMYFUNCTION("""COMPUTED_VALUE"""),"Taiwan.Giaotiep.Anhsale10_LHV.9822_MES_DungNT_010423")</f>
        <v>Taiwan.Giaotiep.Anhsale10_LHV.9822_MES_DungNT_010423</v>
      </c>
      <c r="R81" s="67" t="str">
        <f>IFERROR(__xludf.DUMMYFUNCTION("""COMPUTED_VALUE"""),"NEW_Taiwan_1840_none_010423")</f>
        <v>NEW_Taiwan_1840_none_010423</v>
      </c>
      <c r="S81" s="67" t="str">
        <f>IFERROR(__xludf.DUMMYFUNCTION("""COMPUTED_VALUE"""),"saletructiep_Taiwan.Anhsale10.1840.Giaotiep_PTATTNDL_LD144")</f>
        <v>saletructiep_Taiwan.Anhsale10.1840.Giaotiep_PTATTNDL_LD144</v>
      </c>
      <c r="T81" s="107" t="str">
        <f>IFERROR(__xludf.DUMMYFUNCTION("""COMPUTED_VALUE"""),"https://patadovietnam.edu.vn/tienganhpatado_d1/?utm_source=Facebook&amp;utm_medium=MES&amp;utm_term=NEW_Taiwan_1840_none_010423&amp;utm_content=saletructiep_Taiwan.Anhsale10.1840.Giaotiep_PTATTNDL_LD144&amp;utm_campaign=Taiwan.Giaotiep.Anhsale10_LHV.9822_MES_DungNT_01042"&amp;"3")</f>
        <v>https://patadovietnam.edu.vn/tienganhpatado_d1/?utm_source=Facebook&amp;utm_medium=MES&amp;utm_term=NEW_Taiwan_1840_none_010423&amp;utm_content=saletructiep_Taiwan.Anhsale10.1840.Giaotiep_PTATTNDL_LD144&amp;utm_campaign=Taiwan.Giaotiep.Anhsale10_LHV.9822_MES_DungNT_010423</v>
      </c>
      <c r="U81" s="110" t="s">
        <v>3688</v>
      </c>
    </row>
    <row r="82">
      <c r="A82" s="72">
        <v>45017.0</v>
      </c>
      <c r="B82" s="112" t="s">
        <v>3645</v>
      </c>
      <c r="C82" s="67" t="str">
        <f>IFERROR(__xludf.DUMMYFUNCTION("""COMPUTED_VALUE"""),"LD152")</f>
        <v>LD152</v>
      </c>
      <c r="D82" s="55" t="s">
        <v>42</v>
      </c>
      <c r="E82" s="55" t="s">
        <v>69</v>
      </c>
      <c r="F82" s="55" t="s">
        <v>133</v>
      </c>
      <c r="G82" s="55">
        <v>1840.0</v>
      </c>
      <c r="H82" s="55" t="s">
        <v>3306</v>
      </c>
      <c r="I82" s="55" t="s">
        <v>3319</v>
      </c>
      <c r="J82" s="168" t="s">
        <v>3321</v>
      </c>
      <c r="K82" s="167" t="s">
        <v>61</v>
      </c>
      <c r="L82" s="55" t="s">
        <v>1264</v>
      </c>
      <c r="M82" s="55" t="s">
        <v>78</v>
      </c>
      <c r="N82" s="55" t="s">
        <v>69</v>
      </c>
      <c r="O82" s="55" t="s">
        <v>224</v>
      </c>
      <c r="P82" s="55" t="s">
        <v>110</v>
      </c>
      <c r="Q82" s="67" t="str">
        <f>IFERROR(__xludf.DUMMYFUNCTION("""COMPUTED_VALUE"""),"Japan.Giaotiep.Anhsale10_LHV.9822_CVS_DungNT_010423")</f>
        <v>Japan.Giaotiep.Anhsale10_LHV.9822_CVS_DungNT_010423</v>
      </c>
      <c r="R82" s="67" t="str">
        <f>IFERROR(__xludf.DUMMYFUNCTION("""COMPUTED_VALUE"""),"NEW_Japan_1840_none_010423")</f>
        <v>NEW_Japan_1840_none_010423</v>
      </c>
      <c r="S82" s="67" t="str">
        <f>IFERROR(__xludf.DUMMYFUNCTION("""COMPUTED_VALUE"""),"saletructiep_Japan.Anhsale10.1840.Giaotiep_PTATT_LD152")</f>
        <v>saletructiep_Japan.Anhsale10.1840.Giaotiep_PTATT_LD152</v>
      </c>
      <c r="T82" s="107" t="str">
        <f>IFERROR(__xludf.DUMMYFUNCTION("""COMPUTED_VALUE"""),"https://patadovietnam.edu.vn/tienganhpatado_d2/?utm_source=Facebook&amp;utm_medium=CVS&amp;utm_term=NEW_Japan_1840_none_010423&amp;utm_content=saletructiep_Japan.Anhsale10.1840.Giaotiep_PTATT_LD152&amp;utm_campaign=Japan.Giaotiep.Anhsale10_LHV.9822_CVS_DungNT_010423")</f>
        <v>https://patadovietnam.edu.vn/tienganhpatado_d2/?utm_source=Facebook&amp;utm_medium=CVS&amp;utm_term=NEW_Japan_1840_none_010423&amp;utm_content=saletructiep_Japan.Anhsale10.1840.Giaotiep_PTATT_LD152&amp;utm_campaign=Japan.Giaotiep.Anhsale10_LHV.9822_CVS_DungNT_010423</v>
      </c>
      <c r="U82" s="110" t="s">
        <v>3691</v>
      </c>
    </row>
    <row r="83">
      <c r="A83" s="72">
        <v>45017.0</v>
      </c>
      <c r="B83" s="75" t="s">
        <v>3324</v>
      </c>
      <c r="C83" s="67" t="str">
        <f>IFERROR(__xludf.DUMMYFUNCTION("""COMPUTED_VALUE"""),"LD127")</f>
        <v>LD127</v>
      </c>
      <c r="D83" s="55" t="s">
        <v>42</v>
      </c>
      <c r="E83" s="55" t="s">
        <v>69</v>
      </c>
      <c r="F83" s="55" t="s">
        <v>199</v>
      </c>
      <c r="G83" s="55">
        <v>1850.0</v>
      </c>
      <c r="H83" s="55" t="s">
        <v>3306</v>
      </c>
      <c r="I83" s="55" t="s">
        <v>3695</v>
      </c>
      <c r="J83" s="55" t="s">
        <v>3696</v>
      </c>
      <c r="K83" s="167" t="s">
        <v>61</v>
      </c>
      <c r="L83" s="55" t="s">
        <v>1264</v>
      </c>
      <c r="M83" s="55" t="s">
        <v>78</v>
      </c>
      <c r="N83" s="55" t="s">
        <v>69</v>
      </c>
      <c r="O83" s="55" t="s">
        <v>224</v>
      </c>
      <c r="P83" s="55" t="s">
        <v>110</v>
      </c>
      <c r="Q83" s="67" t="str">
        <f>IFERROR(__xludf.DUMMYFUNCTION("""COMPUTED_VALUE"""),"Vietnam.IELTS.Anhielts1_LHV.9822_CVS_DungNT_010423")</f>
        <v>Vietnam.IELTS.Anhielts1_LHV.9822_CVS_DungNT_010423</v>
      </c>
      <c r="R83" s="67" t="str">
        <f>IFERROR(__xludf.DUMMYFUNCTION("""COMPUTED_VALUE"""),"NEW_Vietnam_1850_none_010423")</f>
        <v>NEW_Vietnam_1850_none_010423</v>
      </c>
      <c r="S83" s="67" t="str">
        <f>IFERROR(__xludf.DUMMYFUNCTION("""COMPUTED_VALUE"""),"saletructiep_Vietnam.Anhielts1.1850.IELTS_PTATT_LD127")</f>
        <v>saletructiep_Vietnam.Anhielts1.1850.IELTS_PTATT_LD127</v>
      </c>
      <c r="T83" s="107" t="str">
        <f>IFERROR(__xludf.DUMMYFUNCTION("""COMPUTED_VALUE"""),"https://patadovietnam.edu.vn/dungnt10_ielts_cvs/?utm_source=Facebook&amp;utm_medium=CVS&amp;utm_term=NEW_Vietnam_1850_none_010423&amp;utm_content=saletructiep_Vietnam.Anhielts1.1850.IELTS_PTATT_LD127&amp;utm_campaign=Vietnam.IELTS.Anhielts1_LHV.9822_CVS_DungNT_010423")</f>
        <v>https://patadovietnam.edu.vn/dungnt10_ielts_cvs/?utm_source=Facebook&amp;utm_medium=CVS&amp;utm_term=NEW_Vietnam_1850_none_010423&amp;utm_content=saletructiep_Vietnam.Anhielts1.1850.IELTS_PTATT_LD127&amp;utm_campaign=Vietnam.IELTS.Anhielts1_LHV.9822_CVS_DungNT_010423</v>
      </c>
      <c r="U83" s="110" t="s">
        <v>3697</v>
      </c>
    </row>
    <row r="84">
      <c r="A84" s="72">
        <v>45021.0</v>
      </c>
      <c r="B84" s="112" t="s">
        <v>3502</v>
      </c>
      <c r="C84" s="67" t="str">
        <f>IFERROR(__xludf.DUMMYFUNCTION("""COMPUTED_VALUE"""),"LD144")</f>
        <v>LD144</v>
      </c>
      <c r="D84" s="55" t="s">
        <v>42</v>
      </c>
      <c r="E84" s="55" t="s">
        <v>79</v>
      </c>
      <c r="F84" s="55" t="s">
        <v>164</v>
      </c>
      <c r="G84" s="55">
        <v>1840.0</v>
      </c>
      <c r="H84" s="55" t="s">
        <v>3306</v>
      </c>
      <c r="I84" s="55" t="s">
        <v>3375</v>
      </c>
      <c r="J84" s="168" t="s">
        <v>3376</v>
      </c>
      <c r="K84" s="167" t="s">
        <v>61</v>
      </c>
      <c r="L84" s="55" t="s">
        <v>1264</v>
      </c>
      <c r="M84" s="55" t="s">
        <v>78</v>
      </c>
      <c r="N84" s="55" t="s">
        <v>79</v>
      </c>
      <c r="O84" s="55" t="s">
        <v>218</v>
      </c>
      <c r="P84" s="55" t="s">
        <v>110</v>
      </c>
      <c r="Q84" s="67" t="str">
        <f>IFERROR(__xludf.DUMMYFUNCTION("""COMPUTED_VALUE"""),"Taiwan.Giaotiep.Anhsale10_LHV.9822_MES_DungNT_050423")</f>
        <v>Taiwan.Giaotiep.Anhsale10_LHV.9822_MES_DungNT_050423</v>
      </c>
      <c r="R84" s="67" t="str">
        <f>IFERROR(__xludf.DUMMYFUNCTION("""COMPUTED_VALUE"""),"NEW_Taiwan_1840_none_050423")</f>
        <v>NEW_Taiwan_1840_none_050423</v>
      </c>
      <c r="S84" s="67" t="str">
        <f>IFERROR(__xludf.DUMMYFUNCTION("""COMPUTED_VALUE"""),"saletructiep_Taiwan.Anhsale10.1840.Giaotiep_PTATTNDL_LD144")</f>
        <v>saletructiep_Taiwan.Anhsale10.1840.Giaotiep_PTATTNDL_LD144</v>
      </c>
      <c r="T84" s="107" t="str">
        <f>IFERROR(__xludf.DUMMYFUNCTION("""COMPUTED_VALUE"""),"https://patadovietnam.edu.vn/tienganhpatado_d1/?utm_source=Facebook&amp;utm_medium=MES&amp;utm_term=NEW_Taiwan_1840_none_050423&amp;utm_content=saletructiep_Taiwan.Anhsale10.1840.Giaotiep_PTATTNDL_LD144&amp;utm_campaign=Taiwan.Giaotiep.Anhsale10_LHV.9822_MES_DungNT_05042"&amp;"3")</f>
        <v>https://patadovietnam.edu.vn/tienganhpatado_d1/?utm_source=Facebook&amp;utm_medium=MES&amp;utm_term=NEW_Taiwan_1840_none_050423&amp;utm_content=saletructiep_Taiwan.Anhsale10.1840.Giaotiep_PTATTNDL_LD144&amp;utm_campaign=Taiwan.Giaotiep.Anhsale10_LHV.9822_MES_DungNT_050423</v>
      </c>
      <c r="U84" s="110" t="s">
        <v>3688</v>
      </c>
    </row>
    <row r="85">
      <c r="A85" s="72">
        <v>45023.0</v>
      </c>
      <c r="B85" s="112" t="s">
        <v>3502</v>
      </c>
      <c r="C85" s="67" t="str">
        <f>IFERROR(__xludf.DUMMYFUNCTION("""COMPUTED_VALUE"""),"LD144")</f>
        <v>LD144</v>
      </c>
      <c r="D85" s="55" t="s">
        <v>42</v>
      </c>
      <c r="E85" s="55" t="s">
        <v>79</v>
      </c>
      <c r="F85" s="55" t="s">
        <v>112</v>
      </c>
      <c r="G85" s="55">
        <v>2055.0</v>
      </c>
      <c r="H85" s="55" t="s">
        <v>3306</v>
      </c>
      <c r="I85" s="55" t="s">
        <v>3532</v>
      </c>
      <c r="J85" s="168" t="s">
        <v>3702</v>
      </c>
      <c r="K85" s="167" t="s">
        <v>61</v>
      </c>
      <c r="L85" s="55" t="s">
        <v>1264</v>
      </c>
      <c r="M85" s="55" t="s">
        <v>78</v>
      </c>
      <c r="N85" s="55" t="s">
        <v>79</v>
      </c>
      <c r="O85" s="55" t="s">
        <v>218</v>
      </c>
      <c r="P85" s="55" t="s">
        <v>110</v>
      </c>
      <c r="Q85" s="67" t="str">
        <f>IFERROR(__xludf.DUMMYFUNCTION("""COMPUTED_VALUE"""),"Canada.Giaotiep.Anhsale10_LHV.9822_MES_DungNT_070423")</f>
        <v>Canada.Giaotiep.Anhsale10_LHV.9822_MES_DungNT_070423</v>
      </c>
      <c r="R85" s="67" t="str">
        <f>IFERROR(__xludf.DUMMYFUNCTION("""COMPUTED_VALUE"""),"NEW_Canada_2055_none_070423")</f>
        <v>NEW_Canada_2055_none_070423</v>
      </c>
      <c r="S85" s="67" t="str">
        <f>IFERROR(__xludf.DUMMYFUNCTION("""COMPUTED_VALUE"""),"saletructiep_Canada.Anhsale10.2055.Giaotiep_PTATTNDL_LD144")</f>
        <v>saletructiep_Canada.Anhsale10.2055.Giaotiep_PTATTNDL_LD144</v>
      </c>
      <c r="T85" s="107" t="str">
        <f>IFERROR(__xludf.DUMMYFUNCTION("""COMPUTED_VALUE"""),"https://patadovietnam.edu.vn/tienganhpatado_d1/?utm_source=Facebook&amp;utm_medium=MES&amp;utm_term=NEW_Canada_2055_none_070423&amp;utm_content=saletructiep_Canada.Anhsale10.2055.Giaotiep_PTATTNDL_LD144&amp;utm_campaign=Canada.Giaotiep.Anhsale10_LHV.9822_MES_DungNT_07042"&amp;"3")</f>
        <v>https://patadovietnam.edu.vn/tienganhpatado_d1/?utm_source=Facebook&amp;utm_medium=MES&amp;utm_term=NEW_Canada_2055_none_070423&amp;utm_content=saletructiep_Canada.Anhsale10.2055.Giaotiep_PTATTNDL_LD144&amp;utm_campaign=Canada.Giaotiep.Anhsale10_LHV.9822_MES_DungNT_070423</v>
      </c>
      <c r="U85" s="110" t="s">
        <v>3703</v>
      </c>
    </row>
    <row r="86">
      <c r="A86" s="72">
        <v>45027.0</v>
      </c>
      <c r="B86" s="112" t="s">
        <v>3502</v>
      </c>
      <c r="C86" s="67" t="str">
        <f>IFERROR(__xludf.DUMMYFUNCTION("""COMPUTED_VALUE"""),"LD144")</f>
        <v>LD144</v>
      </c>
      <c r="D86" s="55" t="s">
        <v>42</v>
      </c>
      <c r="E86" s="55" t="s">
        <v>79</v>
      </c>
      <c r="F86" s="55" t="s">
        <v>162</v>
      </c>
      <c r="G86" s="55">
        <v>2055.0</v>
      </c>
      <c r="H86" s="55" t="s">
        <v>3306</v>
      </c>
      <c r="I86" s="55" t="s">
        <v>3705</v>
      </c>
      <c r="J86" s="168" t="s">
        <v>3706</v>
      </c>
      <c r="K86" s="167" t="s">
        <v>61</v>
      </c>
      <c r="L86" s="55" t="s">
        <v>1264</v>
      </c>
      <c r="M86" s="55" t="s">
        <v>78</v>
      </c>
      <c r="N86" s="55" t="s">
        <v>79</v>
      </c>
      <c r="O86" s="55" t="s">
        <v>218</v>
      </c>
      <c r="P86" s="55" t="s">
        <v>110</v>
      </c>
      <c r="Q86" s="67" t="str">
        <f>IFERROR(__xludf.DUMMYFUNCTION("""COMPUTED_VALUE"""),"Singapore.Giaotiep.Anhsale12_LHV.9822_MES_DungNT_110423")</f>
        <v>Singapore.Giaotiep.Anhsale12_LHV.9822_MES_DungNT_110423</v>
      </c>
      <c r="R86" s="67" t="str">
        <f>IFERROR(__xludf.DUMMYFUNCTION("""COMPUTED_VALUE"""),"NEW_Singapore_2055_none_110423")</f>
        <v>NEW_Singapore_2055_none_110423</v>
      </c>
      <c r="S86" s="67" t="str">
        <f>IFERROR(__xludf.DUMMYFUNCTION("""COMPUTED_VALUE"""),"saletructiep_Singapore.Anhsale12.2055.Giaotiep_PTATTNDL_LD144")</f>
        <v>saletructiep_Singapore.Anhsale12.2055.Giaotiep_PTATTNDL_LD144</v>
      </c>
      <c r="T86" s="107" t="str">
        <f>IFERROR(__xludf.DUMMYFUNCTION("""COMPUTED_VALUE"""),"https://patadovietnam.edu.vn/tienganhpatado_d1/?utm_source=Facebook&amp;utm_medium=MES&amp;utm_term=NEW_Singapore_2055_none_110423&amp;utm_content=saletructiep_Singapore.Anhsale12.2055.Giaotiep_PTATTNDL_LD144&amp;utm_campaign=Singapore.Giaotiep.Anhsale12_LHV.9822_MES_Dun"&amp;"gNT_110423")</f>
        <v>https://patadovietnam.edu.vn/tienganhpatado_d1/?utm_source=Facebook&amp;utm_medium=MES&amp;utm_term=NEW_Singapore_2055_none_110423&amp;utm_content=saletructiep_Singapore.Anhsale12.2055.Giaotiep_PTATTNDL_LD144&amp;utm_campaign=Singapore.Giaotiep.Anhsale12_LHV.9822_MES_DungNT_110423</v>
      </c>
      <c r="U86" s="110" t="s">
        <v>3711</v>
      </c>
    </row>
    <row r="87">
      <c r="A87" s="72">
        <v>45028.0</v>
      </c>
      <c r="B87" s="112" t="s">
        <v>3502</v>
      </c>
      <c r="C87" s="67" t="str">
        <f>IFERROR(__xludf.DUMMYFUNCTION("""COMPUTED_VALUE"""),"LD144")</f>
        <v>LD144</v>
      </c>
      <c r="D87" s="55" t="s">
        <v>42</v>
      </c>
      <c r="E87" s="55" t="s">
        <v>3712</v>
      </c>
      <c r="F87" s="55" t="s">
        <v>129</v>
      </c>
      <c r="G87" s="55">
        <v>2055.0</v>
      </c>
      <c r="H87" s="55" t="s">
        <v>3306</v>
      </c>
      <c r="I87" s="55" t="s">
        <v>3713</v>
      </c>
      <c r="J87" s="168" t="s">
        <v>3714</v>
      </c>
      <c r="K87" s="167" t="s">
        <v>61</v>
      </c>
      <c r="L87" s="55" t="s">
        <v>1264</v>
      </c>
      <c r="M87" s="55" t="s">
        <v>78</v>
      </c>
      <c r="N87" s="55" t="s">
        <v>1409</v>
      </c>
      <c r="O87" s="55" t="s">
        <v>218</v>
      </c>
      <c r="P87" s="55" t="s">
        <v>110</v>
      </c>
      <c r="Q87" s="67" t="str">
        <f>IFERROR(__xludf.DUMMYFUNCTION("""COMPUTED_VALUE"""),"Australia.Giaotiep.Anhsale12_LHV.9822_LEAD_DungNT_120423")</f>
        <v>Australia.Giaotiep.Anhsale12_LHV.9822_LEAD_DungNT_120423</v>
      </c>
      <c r="R87" s="67" t="str">
        <f>IFERROR(__xludf.DUMMYFUNCTION("""COMPUTED_VALUE"""),"NEW_Australia_2055_none_120423")</f>
        <v>NEW_Australia_2055_none_120423</v>
      </c>
      <c r="S87" s="67" t="str">
        <f>IFERROR(__xludf.DUMMYFUNCTION("""COMPUTED_VALUE"""),"saletructiep_Australia.Anhsale12.2055.Giaotiep_PTATTNDL_LD144")</f>
        <v>saletructiep_Australia.Anhsale12.2055.Giaotiep_PTATTNDL_LD144</v>
      </c>
      <c r="T87" s="107" t="str">
        <f>IFERROR(__xludf.DUMMYFUNCTION("""COMPUTED_VALUE"""),"https://patadovietnam.edu.vn/tienganhpatado_d1/?utm_source=Facebook&amp;utm_medium=Lead&amp;utm_term=NEW_Australia_2055_none_120423&amp;utm_content=saletructiep_Australia.Anhsale12.2055.Giaotiep_PTATTNDL_LD144&amp;utm_campaign=Australia.Giaotiep.Anhsale12_LHV.9822_LEAD_D"&amp;"ungNT_120423")</f>
        <v>https://patadovietnam.edu.vn/tienganhpatado_d1/?utm_source=Facebook&amp;utm_medium=Lead&amp;utm_term=NEW_Australia_2055_none_120423&amp;utm_content=saletructiep_Australia.Anhsale12.2055.Giaotiep_PTATTNDL_LD144&amp;utm_campaign=Australia.Giaotiep.Anhsale12_LHV.9822_LEAD_DungNT_120423</v>
      </c>
      <c r="U87" s="110" t="s">
        <v>3718</v>
      </c>
    </row>
    <row r="88">
      <c r="A88" s="72">
        <v>45028.0</v>
      </c>
      <c r="B88" s="112" t="s">
        <v>3502</v>
      </c>
      <c r="C88" s="67" t="str">
        <f>IFERROR(__xludf.DUMMYFUNCTION("""COMPUTED_VALUE"""),"LD144")</f>
        <v>LD144</v>
      </c>
      <c r="D88" s="55" t="s">
        <v>42</v>
      </c>
      <c r="E88" s="55" t="s">
        <v>79</v>
      </c>
      <c r="F88" s="55" t="s">
        <v>164</v>
      </c>
      <c r="G88" s="55">
        <v>2050.0</v>
      </c>
      <c r="H88" s="55" t="s">
        <v>3306</v>
      </c>
      <c r="I88" s="55" t="s">
        <v>3375</v>
      </c>
      <c r="J88" s="168" t="s">
        <v>3719</v>
      </c>
      <c r="K88" s="167" t="s">
        <v>61</v>
      </c>
      <c r="L88" s="55" t="s">
        <v>1264</v>
      </c>
      <c r="M88" s="55" t="s">
        <v>78</v>
      </c>
      <c r="N88" s="55" t="s">
        <v>79</v>
      </c>
      <c r="O88" s="55" t="s">
        <v>218</v>
      </c>
      <c r="P88" s="55" t="s">
        <v>110</v>
      </c>
      <c r="Q88" s="67" t="str">
        <f>IFERROR(__xludf.DUMMYFUNCTION("""COMPUTED_VALUE"""),"Taiwan.Giaotiep.Anhsale10_LHV.9822_MES_DungNT_120423")</f>
        <v>Taiwan.Giaotiep.Anhsale10_LHV.9822_MES_DungNT_120423</v>
      </c>
      <c r="R88" s="67" t="str">
        <f>IFERROR(__xludf.DUMMYFUNCTION("""COMPUTED_VALUE"""),"NEW_Taiwan_2050_none_120423")</f>
        <v>NEW_Taiwan_2050_none_120423</v>
      </c>
      <c r="S88" s="67" t="str">
        <f>IFERROR(__xludf.DUMMYFUNCTION("""COMPUTED_VALUE"""),"saletructiep_Taiwan.Anhsale10.2055.Giaotiep_PTATTNDL_LD144")</f>
        <v>saletructiep_Taiwan.Anhsale10.2055.Giaotiep_PTATTNDL_LD144</v>
      </c>
      <c r="T88" s="107" t="str">
        <f>IFERROR(__xludf.DUMMYFUNCTION("""COMPUTED_VALUE"""),"https://patadovietnam.edu.vn/tienganhpatado_d1/?utm_source=Facebook&amp;utm_medium=MES&amp;utm_term=NEW_Taiwan_2050_none_120423&amp;utm_content=saletructiep_Taiwan.Anhsale10.2055.Giaotiep_PTATTNDL_LD144&amp;utm_campaign=Taiwan.Giaotiep.Anhsale10_LHV.9822_MES_DungNT_12042"&amp;"3")</f>
        <v>https://patadovietnam.edu.vn/tienganhpatado_d1/?utm_source=Facebook&amp;utm_medium=MES&amp;utm_term=NEW_Taiwan_2050_none_120423&amp;utm_content=saletructiep_Taiwan.Anhsale10.2055.Giaotiep_PTATTNDL_LD144&amp;utm_campaign=Taiwan.Giaotiep.Anhsale10_LHV.9822_MES_DungNT_120423</v>
      </c>
      <c r="U88" s="110" t="s">
        <v>3722</v>
      </c>
    </row>
    <row r="89">
      <c r="A89" s="72">
        <v>45030.0</v>
      </c>
      <c r="B89" s="112" t="s">
        <v>3616</v>
      </c>
      <c r="C89" s="67" t="str">
        <f>IFERROR(__xludf.DUMMYFUNCTION("""COMPUTED_VALUE"""),"LD151")</f>
        <v>LD151</v>
      </c>
      <c r="D89" s="55" t="s">
        <v>42</v>
      </c>
      <c r="E89" s="55" t="s">
        <v>1409</v>
      </c>
      <c r="F89" s="55" t="s">
        <v>674</v>
      </c>
      <c r="G89" s="55">
        <v>2055.0</v>
      </c>
      <c r="H89" s="55" t="s">
        <v>3306</v>
      </c>
      <c r="I89" s="55" t="s">
        <v>3725</v>
      </c>
      <c r="J89" s="168" t="s">
        <v>3726</v>
      </c>
      <c r="K89" s="167" t="s">
        <v>61</v>
      </c>
      <c r="L89" s="55" t="s">
        <v>1264</v>
      </c>
      <c r="M89" s="55" t="s">
        <v>78</v>
      </c>
      <c r="N89" s="55" t="s">
        <v>1409</v>
      </c>
      <c r="O89" s="55" t="s">
        <v>218</v>
      </c>
      <c r="P89" s="55" t="s">
        <v>110</v>
      </c>
      <c r="Q89" s="67" t="str">
        <f>IFERROR(__xludf.DUMMYFUNCTION("""COMPUTED_VALUE"""),"Europe.Giaotiep.Anhsale12_LHV.9822_LEAD_DungNT_140423")</f>
        <v>Europe.Giaotiep.Anhsale12_LHV.9822_LEAD_DungNT_140423</v>
      </c>
      <c r="R89" s="67" t="str">
        <f>IFERROR(__xludf.DUMMYFUNCTION("""COMPUTED_VALUE"""),"NEW_Europe_2055_none_140423")</f>
        <v>NEW_Europe_2055_none_140423</v>
      </c>
      <c r="S89" s="67" t="str">
        <f>IFERROR(__xludf.DUMMYFUNCTION("""COMPUTED_VALUE"""),"saletructiep_Europe.Anhsale12.2055.Giaotiep_PTATTNDL_LD151")</f>
        <v>saletructiep_Europe.Anhsale12.2055.Giaotiep_PTATTNDL_LD151</v>
      </c>
      <c r="T89" s="107" t="str">
        <f>IFERROR(__xludf.DUMMYFUNCTION("""COMPUTED_VALUE"""),"https://patadovietnam.edu.vn/tienganheurope_dnt/?utm_source=Facebook&amp;utm_medium=LEAD&amp;utm_term=NEW_Europe_2055_none_140423&amp;utm_content=saletructiep_Europe.Anhsale12.2055.Giaotiep_PTATTNDL_LD151&amp;utm_campaign=Europe.Giaotiep.Anhsale12_LHV.9822_LEAD_DungNT_14"&amp;"0423")</f>
        <v>https://patadovietnam.edu.vn/tienganheurope_dnt/?utm_source=Facebook&amp;utm_medium=LEAD&amp;utm_term=NEW_Europe_2055_none_140423&amp;utm_content=saletructiep_Europe.Anhsale12.2055.Giaotiep_PTATTNDL_LD151&amp;utm_campaign=Europe.Giaotiep.Anhsale12_LHV.9822_LEAD_DungNT_140423</v>
      </c>
      <c r="U89" s="110" t="s">
        <v>3729</v>
      </c>
    </row>
    <row r="90">
      <c r="A90" s="72">
        <v>45032.0</v>
      </c>
      <c r="B90" s="112" t="s">
        <v>3600</v>
      </c>
      <c r="C90" s="67" t="str">
        <f>IFERROR(__xludf.DUMMYFUNCTION("""COMPUTED_VALUE"""),"LD150")</f>
        <v>LD150</v>
      </c>
      <c r="D90" s="55" t="s">
        <v>42</v>
      </c>
      <c r="E90" s="55" t="s">
        <v>1409</v>
      </c>
      <c r="F90" s="55" t="s">
        <v>107</v>
      </c>
      <c r="G90" s="55">
        <v>2555.0</v>
      </c>
      <c r="H90" s="55" t="s">
        <v>3306</v>
      </c>
      <c r="I90" s="55" t="s">
        <v>3732</v>
      </c>
      <c r="J90" s="168" t="s">
        <v>3733</v>
      </c>
      <c r="K90" s="167" t="s">
        <v>61</v>
      </c>
      <c r="L90" s="55" t="s">
        <v>1264</v>
      </c>
      <c r="M90" s="55" t="s">
        <v>78</v>
      </c>
      <c r="N90" s="55" t="s">
        <v>1409</v>
      </c>
      <c r="O90" s="55" t="s">
        <v>218</v>
      </c>
      <c r="P90" s="55" t="s">
        <v>110</v>
      </c>
      <c r="Q90" s="67" t="str">
        <f>IFERROR(__xludf.DUMMYFUNCTION("""COMPUTED_VALUE"""),"UnitedStates.Giaotiep.Anhsale13_LHV.9822_LEAD_DungNT_160423")</f>
        <v>UnitedStates.Giaotiep.Anhsale13_LHV.9822_LEAD_DungNT_160423</v>
      </c>
      <c r="R90" s="67" t="str">
        <f>IFERROR(__xludf.DUMMYFUNCTION("""COMPUTED_VALUE"""),"NEW_UnitedStates_2555_none_160423")</f>
        <v>NEW_UnitedStates_2555_none_160423</v>
      </c>
      <c r="S90" s="67" t="str">
        <f>IFERROR(__xludf.DUMMYFUNCTION("""COMPUTED_VALUE"""),"saletructiep_UnitedStates.Anhsale13.2555.Giaotiep_PTATTNDL_LD150")</f>
        <v>saletructiep_UnitedStates.Anhsale13.2555.Giaotiep_PTATTNDL_LD150</v>
      </c>
      <c r="T90" s="107" t="str">
        <f>IFERROR(__xludf.DUMMYFUNCTION("""COMPUTED_VALUE"""),"https://patadovietnam.edu.vn/tienganhusa_dntt/?utm_source=Facebook&amp;utm_medium=LEAD&amp;utm_term=NEW_UnitedStates_2555_none_160423&amp;utm_content=saletructiep_UnitedStates.Anhsale13.2555.Giaotiep_PTATTNDL_LD150&amp;utm_campaign=UnitedStates.Giaotiep.Anhsale13_LHV.982"&amp;"2_LEAD_DungNT_160423")</f>
        <v>https://patadovietnam.edu.vn/tienganhusa_dntt/?utm_source=Facebook&amp;utm_medium=LEAD&amp;utm_term=NEW_UnitedStates_2555_none_160423&amp;utm_content=saletructiep_UnitedStates.Anhsale13.2555.Giaotiep_PTATTNDL_LD150&amp;utm_campaign=UnitedStates.Giaotiep.Anhsale13_LHV.9822_LEAD_DungNT_160423</v>
      </c>
      <c r="U90" s="120" t="s">
        <v>3735</v>
      </c>
    </row>
    <row r="91">
      <c r="A91" s="72">
        <v>45032.0</v>
      </c>
      <c r="B91" s="112" t="s">
        <v>3645</v>
      </c>
      <c r="C91" s="67" t="str">
        <f>IFERROR(__xludf.DUMMYFUNCTION("""COMPUTED_VALUE"""),"LD152")</f>
        <v>LD152</v>
      </c>
      <c r="D91" s="55" t="s">
        <v>42</v>
      </c>
      <c r="E91" s="55" t="s">
        <v>1409</v>
      </c>
      <c r="F91" s="55" t="s">
        <v>133</v>
      </c>
      <c r="G91" s="55">
        <v>1840.0</v>
      </c>
      <c r="H91" s="55" t="s">
        <v>3306</v>
      </c>
      <c r="I91" s="55" t="s">
        <v>3738</v>
      </c>
      <c r="J91" s="168" t="s">
        <v>3739</v>
      </c>
      <c r="K91" s="167" t="s">
        <v>61</v>
      </c>
      <c r="L91" s="55" t="s">
        <v>1264</v>
      </c>
      <c r="M91" s="55" t="s">
        <v>78</v>
      </c>
      <c r="N91" s="55" t="s">
        <v>1409</v>
      </c>
      <c r="O91" s="55" t="s">
        <v>224</v>
      </c>
      <c r="P91" s="55" t="s">
        <v>110</v>
      </c>
      <c r="Q91" s="67" t="str">
        <f>IFERROR(__xludf.DUMMYFUNCTION("""COMPUTED_VALUE"""),"Japan.Giaotiep.Anhsale13_LHV.9822_LEAD_DungNT_160423")</f>
        <v>Japan.Giaotiep.Anhsale13_LHV.9822_LEAD_DungNT_160423</v>
      </c>
      <c r="R91" s="67" t="str">
        <f>IFERROR(__xludf.DUMMYFUNCTION("""COMPUTED_VALUE"""),"NEW_Japan_1840_none_160423")</f>
        <v>NEW_Japan_1840_none_160423</v>
      </c>
      <c r="S91" s="67" t="str">
        <f>IFERROR(__xludf.DUMMYFUNCTION("""COMPUTED_VALUE"""),"saletructiep_Japan.Anhsale13.1840.Giaotiep_PTATT_LD152")</f>
        <v>saletructiep_Japan.Anhsale13.1840.Giaotiep_PTATT_LD152</v>
      </c>
      <c r="T91" s="107" t="str">
        <f>IFERROR(__xludf.DUMMYFUNCTION("""COMPUTED_VALUE"""),"https://patadovietnam.edu.vn/tienganhpatado_d2/?utm_source=Facebook&amp;utm_medium=LEAD&amp;utm_term=NEW_Japan_1840_none_160423&amp;utm_content=saletructiep_Japan.Anhsale13.1840.Giaotiep_PTATT_LD152&amp;utm_campaign=Japan.Giaotiep.Anhsale13_LHV.9822_LEAD_DungNT_160423")</f>
        <v>https://patadovietnam.edu.vn/tienganhpatado_d2/?utm_source=Facebook&amp;utm_medium=LEAD&amp;utm_term=NEW_Japan_1840_none_160423&amp;utm_content=saletructiep_Japan.Anhsale13.1840.Giaotiep_PTATT_LD152&amp;utm_campaign=Japan.Giaotiep.Anhsale13_LHV.9822_LEAD_DungNT_160423</v>
      </c>
      <c r="U91" s="120" t="s">
        <v>3741</v>
      </c>
    </row>
    <row r="92">
      <c r="A92" s="72">
        <v>45032.0</v>
      </c>
      <c r="B92" s="112" t="s">
        <v>3645</v>
      </c>
      <c r="C92" s="67" t="str">
        <f>IFERROR(__xludf.DUMMYFUNCTION("""COMPUTED_VALUE"""),"LD152")</f>
        <v>LD152</v>
      </c>
      <c r="D92" s="55" t="s">
        <v>42</v>
      </c>
      <c r="E92" s="55" t="s">
        <v>1409</v>
      </c>
      <c r="F92" s="55" t="s">
        <v>625</v>
      </c>
      <c r="G92" s="55">
        <v>1840.0</v>
      </c>
      <c r="H92" s="55" t="s">
        <v>3306</v>
      </c>
      <c r="I92" s="55" t="s">
        <v>3745</v>
      </c>
      <c r="J92" s="168" t="s">
        <v>3746</v>
      </c>
      <c r="K92" s="167" t="s">
        <v>61</v>
      </c>
      <c r="L92" s="55" t="s">
        <v>1264</v>
      </c>
      <c r="M92" s="55" t="s">
        <v>78</v>
      </c>
      <c r="N92" s="55" t="s">
        <v>1409</v>
      </c>
      <c r="O92" s="55" t="s">
        <v>224</v>
      </c>
      <c r="P92" s="55" t="s">
        <v>110</v>
      </c>
      <c r="Q92" s="67" t="str">
        <f>IFERROR(__xludf.DUMMYFUNCTION("""COMPUTED_VALUE"""),"KoreaSouth.Giaotiep.Anhsale13_LHV.9822_LEAD_DungNT_160423")</f>
        <v>KoreaSouth.Giaotiep.Anhsale13_LHV.9822_LEAD_DungNT_160423</v>
      </c>
      <c r="R92" s="67" t="str">
        <f>IFERROR(__xludf.DUMMYFUNCTION("""COMPUTED_VALUE"""),"NEW_KoreaSouth_1840_none_160423")</f>
        <v>NEW_KoreaSouth_1840_none_160423</v>
      </c>
      <c r="S92" s="67" t="str">
        <f>IFERROR(__xludf.DUMMYFUNCTION("""COMPUTED_VALUE"""),"saletructiep_KoreaSouth.Anhsale13.1840.Giaotiep_PTATT_LD152")</f>
        <v>saletructiep_KoreaSouth.Anhsale13.1840.Giaotiep_PTATT_LD152</v>
      </c>
      <c r="T92" s="107" t="str">
        <f>IFERROR(__xludf.DUMMYFUNCTION("""COMPUTED_VALUE"""),"https://patadovietnam.edu.vn/tienganhpatado_d2/?utm_source=Facebook&amp;utm_medium=LEAD&amp;utm_term=NEW_KoreaSouth_1840_none_160423&amp;utm_content=saletructiep_KoreaSouth.Anhsale13.1840.Giaotiep_PTATT_LD152&amp;utm_campaign=KoreaSouth.Giaotiep.Anhsale13_LHV.9822_LEAD_D"&amp;"ungNT_160423")</f>
        <v>https://patadovietnam.edu.vn/tienganhpatado_d2/?utm_source=Facebook&amp;utm_medium=LEAD&amp;utm_term=NEW_KoreaSouth_1840_none_160423&amp;utm_content=saletructiep_KoreaSouth.Anhsale13.1840.Giaotiep_PTATT_LD152&amp;utm_campaign=KoreaSouth.Giaotiep.Anhsale13_LHV.9822_LEAD_DungNT_160423</v>
      </c>
      <c r="U92" s="146" t="s">
        <v>3750</v>
      </c>
    </row>
    <row r="93">
      <c r="A93" s="72">
        <v>45035.0</v>
      </c>
      <c r="B93" s="112" t="s">
        <v>3645</v>
      </c>
      <c r="C93" s="67" t="str">
        <f>IFERROR(__xludf.DUMMYFUNCTION("""COMPUTED_VALUE"""),"LD152")</f>
        <v>LD152</v>
      </c>
      <c r="D93" s="55" t="s">
        <v>42</v>
      </c>
      <c r="E93" s="55" t="s">
        <v>1409</v>
      </c>
      <c r="F93" s="55" t="s">
        <v>133</v>
      </c>
      <c r="G93" s="55">
        <v>1840.0</v>
      </c>
      <c r="H93" s="55" t="s">
        <v>3306</v>
      </c>
      <c r="I93" s="55" t="s">
        <v>3738</v>
      </c>
      <c r="J93" s="168" t="s">
        <v>3739</v>
      </c>
      <c r="K93" s="167" t="s">
        <v>61</v>
      </c>
      <c r="L93" s="55" t="s">
        <v>1264</v>
      </c>
      <c r="M93" s="55" t="s">
        <v>78</v>
      </c>
      <c r="N93" s="55" t="s">
        <v>1409</v>
      </c>
      <c r="O93" s="55" t="s">
        <v>224</v>
      </c>
      <c r="P93" s="55" t="s">
        <v>110</v>
      </c>
      <c r="Q93" s="67" t="str">
        <f>IFERROR(__xludf.DUMMYFUNCTION("""COMPUTED_VALUE"""),"Japan.Giaotiep.Anhsale13_LHV.9822_LEAD_DungNT_190423")</f>
        <v>Japan.Giaotiep.Anhsale13_LHV.9822_LEAD_DungNT_190423</v>
      </c>
      <c r="R93" s="67" t="str">
        <f>IFERROR(__xludf.DUMMYFUNCTION("""COMPUTED_VALUE"""),"NEW_Japan_1840_none_190423")</f>
        <v>NEW_Japan_1840_none_190423</v>
      </c>
      <c r="S93" s="67" t="str">
        <f>IFERROR(__xludf.DUMMYFUNCTION("""COMPUTED_VALUE"""),"saletructiep_Japan.Anhsale13.1840.Giaotiep_PTATT_LD152")</f>
        <v>saletructiep_Japan.Anhsale13.1840.Giaotiep_PTATT_LD152</v>
      </c>
      <c r="T93" s="107" t="str">
        <f>IFERROR(__xludf.DUMMYFUNCTION("""COMPUTED_VALUE"""),"https://patadovietnam.edu.vn/tienganhpatado_d2/?utm_source=Facebook&amp;utm_medium=LEAD&amp;utm_term=NEW_Japan_1840_none_190423&amp;utm_content=saletructiep_Japan.Anhsale13.1840.Giaotiep_PTATT_LD152&amp;utm_campaign=Japan.Giaotiep.Anhsale13_LHV.9822_LEAD_DungNT_190423")</f>
        <v>https://patadovietnam.edu.vn/tienganhpatado_d2/?utm_source=Facebook&amp;utm_medium=LEAD&amp;utm_term=NEW_Japan_1840_none_190423&amp;utm_content=saletructiep_Japan.Anhsale13.1840.Giaotiep_PTATT_LD152&amp;utm_campaign=Japan.Giaotiep.Anhsale13_LHV.9822_LEAD_DungNT_190423</v>
      </c>
      <c r="U93" s="120" t="s">
        <v>3741</v>
      </c>
    </row>
    <row r="94">
      <c r="A94" s="72">
        <v>45035.0</v>
      </c>
      <c r="B94" s="112" t="s">
        <v>3645</v>
      </c>
      <c r="C94" s="67" t="str">
        <f>IFERROR(__xludf.DUMMYFUNCTION("""COMPUTED_VALUE"""),"LD152")</f>
        <v>LD152</v>
      </c>
      <c r="D94" s="55" t="s">
        <v>42</v>
      </c>
      <c r="E94" s="55" t="s">
        <v>1409</v>
      </c>
      <c r="F94" s="55" t="s">
        <v>625</v>
      </c>
      <c r="G94" s="55">
        <v>1840.0</v>
      </c>
      <c r="H94" s="55" t="s">
        <v>3306</v>
      </c>
      <c r="I94" s="55" t="s">
        <v>3745</v>
      </c>
      <c r="J94" s="168" t="s">
        <v>3746</v>
      </c>
      <c r="K94" s="167" t="s">
        <v>61</v>
      </c>
      <c r="L94" s="55" t="s">
        <v>1264</v>
      </c>
      <c r="M94" s="55" t="s">
        <v>78</v>
      </c>
      <c r="N94" s="55" t="s">
        <v>1409</v>
      </c>
      <c r="O94" s="55" t="s">
        <v>224</v>
      </c>
      <c r="P94" s="55" t="s">
        <v>110</v>
      </c>
      <c r="Q94" s="67" t="str">
        <f>IFERROR(__xludf.DUMMYFUNCTION("""COMPUTED_VALUE"""),"KoreaSouth.Giaotiep.Anhsale13_LHV.9822_LEAD_DungNT_190423")</f>
        <v>KoreaSouth.Giaotiep.Anhsale13_LHV.9822_LEAD_DungNT_190423</v>
      </c>
      <c r="R94" s="67" t="str">
        <f>IFERROR(__xludf.DUMMYFUNCTION("""COMPUTED_VALUE"""),"NEW_KoreaSouth_1840_none_190423")</f>
        <v>NEW_KoreaSouth_1840_none_190423</v>
      </c>
      <c r="S94" s="67" t="str">
        <f>IFERROR(__xludf.DUMMYFUNCTION("""COMPUTED_VALUE"""),"saletructiep_KoreaSouth.Anhsale13.1840.Giaotiep_PTATT_LD152")</f>
        <v>saletructiep_KoreaSouth.Anhsale13.1840.Giaotiep_PTATT_LD152</v>
      </c>
      <c r="T94" s="107" t="str">
        <f>IFERROR(__xludf.DUMMYFUNCTION("""COMPUTED_VALUE"""),"https://patadovietnam.edu.vn/tienganhpatado_d2/?utm_source=Facebook&amp;utm_medium=LEAD&amp;utm_term=NEW_KoreaSouth_1840_none_190423&amp;utm_content=saletructiep_KoreaSouth.Anhsale13.1840.Giaotiep_PTATT_LD152&amp;utm_campaign=KoreaSouth.Giaotiep.Anhsale13_LHV.9822_LEAD_D"&amp;"ungNT_190423")</f>
        <v>https://patadovietnam.edu.vn/tienganhpatado_d2/?utm_source=Facebook&amp;utm_medium=LEAD&amp;utm_term=NEW_KoreaSouth_1840_none_190423&amp;utm_content=saletructiep_KoreaSouth.Anhsale13.1840.Giaotiep_PTATT_LD152&amp;utm_campaign=KoreaSouth.Giaotiep.Anhsale13_LHV.9822_LEAD_DungNT_190423</v>
      </c>
      <c r="U94" s="146" t="s">
        <v>3750</v>
      </c>
    </row>
    <row r="95">
      <c r="A95" s="72">
        <v>45062.0</v>
      </c>
      <c r="B95" s="112" t="s">
        <v>3502</v>
      </c>
      <c r="C95" s="67" t="str">
        <f>IFERROR(__xludf.DUMMYFUNCTION("""COMPUTED_VALUE"""),"LD144")</f>
        <v>LD144</v>
      </c>
      <c r="D95" s="55" t="s">
        <v>42</v>
      </c>
      <c r="E95" s="55" t="s">
        <v>79</v>
      </c>
      <c r="F95" s="55" t="s">
        <v>112</v>
      </c>
      <c r="G95" s="55">
        <v>2055.0</v>
      </c>
      <c r="H95" s="55" t="s">
        <v>3306</v>
      </c>
      <c r="I95" s="55" t="s">
        <v>3532</v>
      </c>
      <c r="J95" s="168" t="s">
        <v>3702</v>
      </c>
      <c r="K95" s="167" t="s">
        <v>61</v>
      </c>
      <c r="L95" s="55" t="s">
        <v>1264</v>
      </c>
      <c r="M95" s="55" t="s">
        <v>78</v>
      </c>
      <c r="N95" s="55" t="s">
        <v>79</v>
      </c>
      <c r="O95" s="55" t="s">
        <v>218</v>
      </c>
      <c r="P95" s="55" t="s">
        <v>110</v>
      </c>
      <c r="Q95" s="67" t="str">
        <f>IFERROR(__xludf.DUMMYFUNCTION("""COMPUTED_VALUE"""),"Canada.Giaotiep.Anhsale10_LHV.9822_MES_DungNT_160523")</f>
        <v>Canada.Giaotiep.Anhsale10_LHV.9822_MES_DungNT_160523</v>
      </c>
      <c r="R95" s="67" t="str">
        <f>IFERROR(__xludf.DUMMYFUNCTION("""COMPUTED_VALUE"""),"NEW_Canada_2055_none_160523")</f>
        <v>NEW_Canada_2055_none_160523</v>
      </c>
      <c r="S95" s="67" t="str">
        <f>IFERROR(__xludf.DUMMYFUNCTION("""COMPUTED_VALUE"""),"saletructiep_Canada.Anhsale10.2055.Giaotiep_PTATTNDL_LD144")</f>
        <v>saletructiep_Canada.Anhsale10.2055.Giaotiep_PTATTNDL_LD144</v>
      </c>
      <c r="T95" s="107" t="str">
        <f>IFERROR(__xludf.DUMMYFUNCTION("""COMPUTED_VALUE"""),"https://patadovietnam.edu.vn/tienganhpatado_d1/?utm_source=Facebook&amp;utm_medium=MES&amp;utm_term=NEW_Canada_2055_none_160523&amp;utm_content=saletructiep_Canada.Anhsale10.2055.Giaotiep_PTATTNDL_LD144&amp;utm_campaign=Canada.Giaotiep.Anhsale10_LHV.9822_MES_DungNT_16052"&amp;"3")</f>
        <v>https://patadovietnam.edu.vn/tienganhpatado_d1/?utm_source=Facebook&amp;utm_medium=MES&amp;utm_term=NEW_Canada_2055_none_160523&amp;utm_content=saletructiep_Canada.Anhsale10.2055.Giaotiep_PTATTNDL_LD144&amp;utm_campaign=Canada.Giaotiep.Anhsale10_LHV.9822_MES_DungNT_160523</v>
      </c>
      <c r="U95" s="110" t="s">
        <v>3766</v>
      </c>
    </row>
    <row r="96">
      <c r="A96" s="72">
        <v>45065.0</v>
      </c>
      <c r="B96" s="75" t="s">
        <v>3324</v>
      </c>
      <c r="C96" s="67" t="str">
        <f>IFERROR(__xludf.DUMMYFUNCTION("""COMPUTED_VALUE"""),"LD127")</f>
        <v>LD127</v>
      </c>
      <c r="D96" s="55" t="s">
        <v>42</v>
      </c>
      <c r="E96" s="55" t="s">
        <v>79</v>
      </c>
      <c r="F96" s="55" t="s">
        <v>199</v>
      </c>
      <c r="G96" s="55">
        <v>1850.0</v>
      </c>
      <c r="H96" s="55" t="s">
        <v>3306</v>
      </c>
      <c r="I96" s="55" t="s">
        <v>3695</v>
      </c>
      <c r="J96" s="55" t="s">
        <v>3696</v>
      </c>
      <c r="K96" s="167" t="s">
        <v>61</v>
      </c>
      <c r="L96" s="55" t="s">
        <v>1264</v>
      </c>
      <c r="M96" s="55" t="s">
        <v>78</v>
      </c>
      <c r="N96" s="55" t="s">
        <v>79</v>
      </c>
      <c r="O96" s="55" t="s">
        <v>224</v>
      </c>
      <c r="P96" s="55" t="s">
        <v>110</v>
      </c>
      <c r="Q96" s="67" t="str">
        <f>IFERROR(__xludf.DUMMYFUNCTION("""COMPUTED_VALUE"""),"Vietnam.IELTS.Anhielts1_LHV.9822_MES_DungNT_190523")</f>
        <v>Vietnam.IELTS.Anhielts1_LHV.9822_MES_DungNT_190523</v>
      </c>
      <c r="R96" s="67" t="str">
        <f>IFERROR(__xludf.DUMMYFUNCTION("""COMPUTED_VALUE"""),"NEW_Vietnam_1850_none_190523")</f>
        <v>NEW_Vietnam_1850_none_190523</v>
      </c>
      <c r="S96" s="67" t="str">
        <f>IFERROR(__xludf.DUMMYFUNCTION("""COMPUTED_VALUE"""),"saletructiep_Vietnam.Anhielts1.1850.IELTS_PTATT_LD127")</f>
        <v>saletructiep_Vietnam.Anhielts1.1850.IELTS_PTATT_LD127</v>
      </c>
      <c r="T96" s="107" t="str">
        <f>IFERROR(__xludf.DUMMYFUNCTION("""COMPUTED_VALUE"""),"https://patadovietnam.edu.vn/dungnt10_ielts_cvs/?utm_source=Facebook&amp;utm_medium=MES&amp;utm_term=NEW_Vietnam_1850_none_190523&amp;utm_content=saletructiep_Vietnam.Anhielts1.1850.IELTS_PTATT_LD127&amp;utm_campaign=Vietnam.IELTS.Anhielts1_LHV.9822_MES_DungNT_190523")</f>
        <v>https://patadovietnam.edu.vn/dungnt10_ielts_cvs/?utm_source=Facebook&amp;utm_medium=MES&amp;utm_term=NEW_Vietnam_1850_none_190523&amp;utm_content=saletructiep_Vietnam.Anhielts1.1850.IELTS_PTATT_LD127&amp;utm_campaign=Vietnam.IELTS.Anhielts1_LHV.9822_MES_DungNT_190523</v>
      </c>
      <c r="U96" s="110" t="s">
        <v>3774</v>
      </c>
    </row>
    <row r="97">
      <c r="A97" s="72">
        <v>45066.0</v>
      </c>
      <c r="B97" s="112" t="s">
        <v>3600</v>
      </c>
      <c r="C97" s="67" t="str">
        <f>IFERROR(__xludf.DUMMYFUNCTION("""COMPUTED_VALUE"""),"LD150")</f>
        <v>LD150</v>
      </c>
      <c r="D97" s="55" t="s">
        <v>42</v>
      </c>
      <c r="E97" s="55" t="s">
        <v>79</v>
      </c>
      <c r="F97" s="55" t="s">
        <v>107</v>
      </c>
      <c r="G97" s="55">
        <v>2555.0</v>
      </c>
      <c r="H97" s="55" t="s">
        <v>3306</v>
      </c>
      <c r="I97" s="55" t="s">
        <v>3775</v>
      </c>
      <c r="J97" s="168" t="s">
        <v>3776</v>
      </c>
      <c r="K97" s="167" t="s">
        <v>61</v>
      </c>
      <c r="L97" s="55" t="s">
        <v>1264</v>
      </c>
      <c r="M97" s="55" t="s">
        <v>78</v>
      </c>
      <c r="N97" s="55" t="s">
        <v>79</v>
      </c>
      <c r="O97" s="55" t="s">
        <v>218</v>
      </c>
      <c r="P97" s="55" t="s">
        <v>110</v>
      </c>
      <c r="Q97" s="67" t="str">
        <f>IFERROR(__xludf.DUMMYFUNCTION("""COMPUTED_VALUE"""),"UnitedStates.Giaotiep.anhgiaotiepusa_LHV.9822_MES_DungNT_200523")</f>
        <v>UnitedStates.Giaotiep.anhgiaotiepusa_LHV.9822_MES_DungNT_200523</v>
      </c>
      <c r="R97" s="67" t="str">
        <f>IFERROR(__xludf.DUMMYFUNCTION("""COMPUTED_VALUE"""),"NEW_UnitedStates_2555_none_200523")</f>
        <v>NEW_UnitedStates_2555_none_200523</v>
      </c>
      <c r="S97" s="67" t="str">
        <f>IFERROR(__xludf.DUMMYFUNCTION("""COMPUTED_VALUE"""),"saletructiep_UnitedStates.anhgiaotiepusa.2555.Giaotiep_PTATTNDL_LD150")</f>
        <v>saletructiep_UnitedStates.anhgiaotiepusa.2555.Giaotiep_PTATTNDL_LD150</v>
      </c>
      <c r="T97" s="107" t="str">
        <f>IFERROR(__xludf.DUMMYFUNCTION("""COMPUTED_VALUE"""),"https://patadovietnam.edu.vn/tienganhusa_dntt/?utm_source=Facebook&amp;utm_medium=MES&amp;utm_term=NEW_UnitedStates_2555_none_200523&amp;utm_content=saletructiep_UnitedStates.anhgiaotiepusa.2555.Giaotiep_PTATTNDL_LD150&amp;utm_campaign=UnitedStates.Giaotiep.anhgiaotiepus"&amp;"a_LHV.9822_MES_DungNT_200523")</f>
        <v>https://patadovietnam.edu.vn/tienganhusa_dntt/?utm_source=Facebook&amp;utm_medium=MES&amp;utm_term=NEW_UnitedStates_2555_none_200523&amp;utm_content=saletructiep_UnitedStates.anhgiaotiepusa.2555.Giaotiep_PTATTNDL_LD150&amp;utm_campaign=UnitedStates.Giaotiep.anhgiaotiepusa_LHV.9822_MES_DungNT_200523</v>
      </c>
      <c r="U97" s="110" t="s">
        <v>3780</v>
      </c>
    </row>
    <row r="98">
      <c r="A98" s="72">
        <v>45079.0</v>
      </c>
      <c r="B98" s="194" t="s">
        <v>3782</v>
      </c>
      <c r="C98" s="67" t="str">
        <f>IFERROR(__xludf.DUMMYFUNCTION("""COMPUTED_VALUE"""),"LD167")</f>
        <v>LD167</v>
      </c>
      <c r="D98" s="55" t="s">
        <v>42</v>
      </c>
      <c r="E98" s="55" t="s">
        <v>69</v>
      </c>
      <c r="F98" s="55" t="s">
        <v>133</v>
      </c>
      <c r="G98" s="55">
        <v>1840.0</v>
      </c>
      <c r="H98" s="55" t="s">
        <v>3306</v>
      </c>
      <c r="I98" s="55" t="s">
        <v>3738</v>
      </c>
      <c r="J98" s="168" t="s">
        <v>3739</v>
      </c>
      <c r="K98" s="167" t="s">
        <v>61</v>
      </c>
      <c r="L98" s="55" t="s">
        <v>1264</v>
      </c>
      <c r="M98" s="55" t="s">
        <v>78</v>
      </c>
      <c r="N98" s="55" t="s">
        <v>69</v>
      </c>
      <c r="O98" s="55" t="s">
        <v>218</v>
      </c>
      <c r="P98" s="55" t="s">
        <v>110</v>
      </c>
      <c r="Q98" s="67" t="str">
        <f>IFERROR(__xludf.DUMMYFUNCTION("""COMPUTED_VALUE"""),"Japan.Giaotiep.Anhsale13_LHV.9822_CVS_DungNT_020623")</f>
        <v>Japan.Giaotiep.Anhsale13_LHV.9822_CVS_DungNT_020623</v>
      </c>
      <c r="R98" s="67" t="str">
        <f>IFERROR(__xludf.DUMMYFUNCTION("""COMPUTED_VALUE"""),"NEW_Japan_1840_none_020623")</f>
        <v>NEW_Japan_1840_none_020623</v>
      </c>
      <c r="S98" s="67" t="str">
        <f>IFERROR(__xludf.DUMMYFUNCTION("""COMPUTED_VALUE"""),"saletructiep_Japan.Anhsale13.1840.Giaotiep_PTATTNDL_LD167")</f>
        <v>saletructiep_Japan.Anhsale13.1840.Giaotiep_PTATTNDL_LD167</v>
      </c>
      <c r="T98" s="107" t="str">
        <f>IFERROR(__xludf.DUMMYFUNCTION("""COMPUTED_VALUE"""),"https://patadovietnam.edu.vn/tienganhnguoidilam_dnt/?utm_source=Facebook&amp;utm_medium=CVS&amp;utm_term=NEW_Japan_1840_none_020623&amp;utm_content=saletructiep_Japan.Anhsale13.1840.Giaotiep_PTATTNDL_LD167&amp;utm_campaign=Japan.Giaotiep.Anhsale13_LHV.9822_CVS_DungNT_020"&amp;"623")</f>
        <v>https://patadovietnam.edu.vn/tienganhnguoidilam_dnt/?utm_source=Facebook&amp;utm_medium=CVS&amp;utm_term=NEW_Japan_1840_none_020623&amp;utm_content=saletructiep_Japan.Anhsale13.1840.Giaotiep_PTATTNDL_LD167&amp;utm_campaign=Japan.Giaotiep.Anhsale13_LHV.9822_CVS_DungNT_020623</v>
      </c>
      <c r="U98" s="110" t="s">
        <v>3786</v>
      </c>
    </row>
    <row r="99">
      <c r="A99" s="72">
        <v>45079.0</v>
      </c>
      <c r="B99" s="194" t="s">
        <v>3782</v>
      </c>
      <c r="C99" s="67" t="str">
        <f>IFERROR(__xludf.DUMMYFUNCTION("""COMPUTED_VALUE"""),"LD167")</f>
        <v>LD167</v>
      </c>
      <c r="D99" s="55" t="s">
        <v>42</v>
      </c>
      <c r="E99" s="55" t="s">
        <v>79</v>
      </c>
      <c r="F99" s="55" t="s">
        <v>164</v>
      </c>
      <c r="G99" s="55">
        <v>1840.0</v>
      </c>
      <c r="H99" s="55" t="s">
        <v>3306</v>
      </c>
      <c r="I99" s="55" t="s">
        <v>3342</v>
      </c>
      <c r="J99" s="168" t="s">
        <v>3343</v>
      </c>
      <c r="K99" s="167" t="s">
        <v>61</v>
      </c>
      <c r="L99" s="55" t="s">
        <v>1264</v>
      </c>
      <c r="M99" s="55" t="s">
        <v>78</v>
      </c>
      <c r="N99" s="55" t="s">
        <v>79</v>
      </c>
      <c r="O99" s="55" t="s">
        <v>218</v>
      </c>
      <c r="P99" s="55" t="s">
        <v>110</v>
      </c>
      <c r="Q99" s="67" t="str">
        <f>IFERROR(__xludf.DUMMYFUNCTION("""COMPUTED_VALUE"""),"Taiwan.Giaotiep.Anhsale13_LHV.9822_MES_DungNT_020623")</f>
        <v>Taiwan.Giaotiep.Anhsale13_LHV.9822_MES_DungNT_020623</v>
      </c>
      <c r="R99" s="67" t="str">
        <f>IFERROR(__xludf.DUMMYFUNCTION("""COMPUTED_VALUE"""),"NEW_Taiwan_1840_none_020623")</f>
        <v>NEW_Taiwan_1840_none_020623</v>
      </c>
      <c r="S99" s="67" t="str">
        <f>IFERROR(__xludf.DUMMYFUNCTION("""COMPUTED_VALUE"""),"saletructiep_Taiwan.Anhsale13.1840.Giaotiep_PTATTNDL_LD167")</f>
        <v>saletructiep_Taiwan.Anhsale13.1840.Giaotiep_PTATTNDL_LD167</v>
      </c>
      <c r="T99" s="107" t="str">
        <f>IFERROR(__xludf.DUMMYFUNCTION("""COMPUTED_VALUE"""),"https://patadovietnam.edu.vn/tienganhnguoidilam_dnt/?utm_source=Facebook&amp;utm_medium=MES&amp;utm_term=NEW_Taiwan_1840_none_020623&amp;utm_content=saletructiep_Taiwan.Anhsale13.1840.Giaotiep_PTATTNDL_LD167&amp;utm_campaign=Taiwan.Giaotiep.Anhsale13_LHV.9822_MES_DungNT_"&amp;"020623")</f>
        <v>https://patadovietnam.edu.vn/tienganhnguoidilam_dnt/?utm_source=Facebook&amp;utm_medium=MES&amp;utm_term=NEW_Taiwan_1840_none_020623&amp;utm_content=saletructiep_Taiwan.Anhsale13.1840.Giaotiep_PTATTNDL_LD167&amp;utm_campaign=Taiwan.Giaotiep.Anhsale13_LHV.9822_MES_DungNT_020623</v>
      </c>
      <c r="U99" s="110" t="s">
        <v>3789</v>
      </c>
    </row>
    <row r="100">
      <c r="A100" s="72">
        <v>45079.0</v>
      </c>
      <c r="B100" s="194" t="s">
        <v>3782</v>
      </c>
      <c r="C100" s="67" t="str">
        <f>IFERROR(__xludf.DUMMYFUNCTION("""COMPUTED_VALUE"""),"LD167")</f>
        <v>LD167</v>
      </c>
      <c r="D100" s="55" t="s">
        <v>42</v>
      </c>
      <c r="E100" s="55" t="s">
        <v>69</v>
      </c>
      <c r="F100" s="55" t="s">
        <v>674</v>
      </c>
      <c r="G100" s="55">
        <v>2055.0</v>
      </c>
      <c r="H100" s="55" t="s">
        <v>3306</v>
      </c>
      <c r="I100" s="55" t="s">
        <v>3725</v>
      </c>
      <c r="J100" s="168" t="s">
        <v>3726</v>
      </c>
      <c r="K100" s="167" t="s">
        <v>61</v>
      </c>
      <c r="L100" s="55" t="s">
        <v>1264</v>
      </c>
      <c r="M100" s="55" t="s">
        <v>78</v>
      </c>
      <c r="N100" s="55" t="s">
        <v>69</v>
      </c>
      <c r="O100" s="55" t="s">
        <v>218</v>
      </c>
      <c r="P100" s="55" t="s">
        <v>110</v>
      </c>
      <c r="Q100" s="67" t="str">
        <f>IFERROR(__xludf.DUMMYFUNCTION("""COMPUTED_VALUE"""),"Europe.Giaotiep.Anhsale12_LHV.9822_CVS_DungNT_020623")</f>
        <v>Europe.Giaotiep.Anhsale12_LHV.9822_CVS_DungNT_020623</v>
      </c>
      <c r="R100" s="67" t="str">
        <f>IFERROR(__xludf.DUMMYFUNCTION("""COMPUTED_VALUE"""),"NEW_Europe_2055_none_020623")</f>
        <v>NEW_Europe_2055_none_020623</v>
      </c>
      <c r="S100" s="67" t="str">
        <f>IFERROR(__xludf.DUMMYFUNCTION("""COMPUTED_VALUE"""),"saletructiep_Europe.Anhsale12.2055.Giaotiep_PTATTNDL_LD167")</f>
        <v>saletructiep_Europe.Anhsale12.2055.Giaotiep_PTATTNDL_LD167</v>
      </c>
      <c r="T100" s="107" t="str">
        <f>IFERROR(__xludf.DUMMYFUNCTION("""COMPUTED_VALUE"""),"https://patadovietnam.edu.vn/tienganhnguoidilam_dnt/?utm_source=Facebook&amp;utm_medium=CVS&amp;utm_term=NEW_Europe_2055_none_020623&amp;utm_content=saletructiep_Europe.Anhsale12.2055.Giaotiep_PTATTNDL_LD167&amp;utm_campaign=Europe.Giaotiep.Anhsale12_LHV.9822_CVS_DungNT_"&amp;"020623")</f>
        <v>https://patadovietnam.edu.vn/tienganhnguoidilam_dnt/?utm_source=Facebook&amp;utm_medium=CVS&amp;utm_term=NEW_Europe_2055_none_020623&amp;utm_content=saletructiep_Europe.Anhsale12.2055.Giaotiep_PTATTNDL_LD167&amp;utm_campaign=Europe.Giaotiep.Anhsale12_LHV.9822_CVS_DungNT_020623</v>
      </c>
      <c r="U100" s="110" t="s">
        <v>3793</v>
      </c>
    </row>
    <row r="101">
      <c r="A101" s="72">
        <v>45080.0</v>
      </c>
      <c r="B101" s="194" t="s">
        <v>3782</v>
      </c>
      <c r="C101" s="67" t="str">
        <f>IFERROR(__xludf.DUMMYFUNCTION("""COMPUTED_VALUE"""),"LD167")</f>
        <v>LD167</v>
      </c>
      <c r="D101" s="55" t="s">
        <v>42</v>
      </c>
      <c r="E101" s="55" t="s">
        <v>79</v>
      </c>
      <c r="F101" s="55" t="s">
        <v>112</v>
      </c>
      <c r="G101" s="55">
        <v>2555.0</v>
      </c>
      <c r="H101" s="55" t="s">
        <v>3306</v>
      </c>
      <c r="I101" s="55" t="s">
        <v>3794</v>
      </c>
      <c r="J101" s="168" t="s">
        <v>3796</v>
      </c>
      <c r="K101" s="167" t="s">
        <v>61</v>
      </c>
      <c r="L101" s="55" t="s">
        <v>1264</v>
      </c>
      <c r="M101" s="55" t="s">
        <v>78</v>
      </c>
      <c r="N101" s="55" t="s">
        <v>79</v>
      </c>
      <c r="O101" s="55" t="s">
        <v>218</v>
      </c>
      <c r="P101" s="55" t="s">
        <v>110</v>
      </c>
      <c r="Q101" s="67" t="str">
        <f>IFERROR(__xludf.DUMMYFUNCTION("""COMPUTED_VALUE"""),"Canada.Giaotiep.Anhsale13_LHV.9822_MES_DungNT_030623")</f>
        <v>Canada.Giaotiep.Anhsale13_LHV.9822_MES_DungNT_030623</v>
      </c>
      <c r="R101" s="67" t="str">
        <f>IFERROR(__xludf.DUMMYFUNCTION("""COMPUTED_VALUE"""),"NEW_Canada_2555_none_030623")</f>
        <v>NEW_Canada_2555_none_030623</v>
      </c>
      <c r="S101" s="67" t="str">
        <f>IFERROR(__xludf.DUMMYFUNCTION("""COMPUTED_VALUE"""),"saletructiep_Canada.Anhsale13.2555.Giaotiep_PTATTNDL_LD167")</f>
        <v>saletructiep_Canada.Anhsale13.2555.Giaotiep_PTATTNDL_LD167</v>
      </c>
      <c r="T101" s="107" t="str">
        <f>IFERROR(__xludf.DUMMYFUNCTION("""COMPUTED_VALUE"""),"https://patadovietnam.edu.vn/tienganhnguoidilam_dnt/?utm_source=Facebook&amp;utm_medium=MES&amp;utm_term=NEW_Canada_2555_none_030623&amp;utm_content=saletructiep_Canada.Anhsale13.2555.Giaotiep_PTATTNDL_LD167&amp;utm_campaign=Canada.Giaotiep.Anhsale13_LHV.9822_MES_DungNT_"&amp;"030623")</f>
        <v>https://patadovietnam.edu.vn/tienganhnguoidilam_dnt/?utm_source=Facebook&amp;utm_medium=MES&amp;utm_term=NEW_Canada_2555_none_030623&amp;utm_content=saletructiep_Canada.Anhsale13.2555.Giaotiep_PTATTNDL_LD167&amp;utm_campaign=Canada.Giaotiep.Anhsale13_LHV.9822_MES_DungNT_030623</v>
      </c>
      <c r="U101" s="110" t="s">
        <v>3800</v>
      </c>
    </row>
    <row r="102">
      <c r="A102" s="72">
        <v>45080.0</v>
      </c>
      <c r="B102" s="194" t="s">
        <v>3782</v>
      </c>
      <c r="C102" s="67" t="str">
        <f>IFERROR(__xludf.DUMMYFUNCTION("""COMPUTED_VALUE"""),"LD167")</f>
        <v>LD167</v>
      </c>
      <c r="D102" s="55" t="s">
        <v>42</v>
      </c>
      <c r="E102" s="55" t="s">
        <v>79</v>
      </c>
      <c r="F102" s="55" t="s">
        <v>107</v>
      </c>
      <c r="G102" s="55">
        <v>2555.0</v>
      </c>
      <c r="H102" s="55" t="s">
        <v>3306</v>
      </c>
      <c r="I102" s="55" t="s">
        <v>3732</v>
      </c>
      <c r="J102" s="168" t="s">
        <v>3733</v>
      </c>
      <c r="K102" s="167" t="s">
        <v>61</v>
      </c>
      <c r="L102" s="55" t="s">
        <v>1264</v>
      </c>
      <c r="M102" s="55" t="s">
        <v>78</v>
      </c>
      <c r="N102" s="55" t="s">
        <v>79</v>
      </c>
      <c r="O102" s="55" t="s">
        <v>218</v>
      </c>
      <c r="P102" s="55" t="s">
        <v>110</v>
      </c>
      <c r="Q102" s="67" t="str">
        <f>IFERROR(__xludf.DUMMYFUNCTION("""COMPUTED_VALUE"""),"UnitedStates.Giaotiep.Anhsale13_LHV.9822_MES_DungNT_030623")</f>
        <v>UnitedStates.Giaotiep.Anhsale13_LHV.9822_MES_DungNT_030623</v>
      </c>
      <c r="R102" s="67" t="str">
        <f>IFERROR(__xludf.DUMMYFUNCTION("""COMPUTED_VALUE"""),"NEW_UnitedStates_2555_none_030623")</f>
        <v>NEW_UnitedStates_2555_none_030623</v>
      </c>
      <c r="S102" s="67" t="str">
        <f>IFERROR(__xludf.DUMMYFUNCTION("""COMPUTED_VALUE"""),"saletructiep_UnitedStates.Anhsale13.2555.Giaotiep_PTATTNDL_LD167")</f>
        <v>saletructiep_UnitedStates.Anhsale13.2555.Giaotiep_PTATTNDL_LD167</v>
      </c>
      <c r="T102" s="107" t="str">
        <f>IFERROR(__xludf.DUMMYFUNCTION("""COMPUTED_VALUE"""),"https://patadovietnam.edu.vn/tienganhnguoidilam_dnt/?utm_source=Facebook&amp;utm_medium=MES&amp;utm_term=NEW_UnitedStates_2555_none_030623&amp;utm_content=saletructiep_UnitedStates.Anhsale13.2555.Giaotiep_PTATTNDL_LD167&amp;utm_campaign=UnitedStates.Giaotiep.Anhsale13_LH"&amp;"V.9822_MES_DungNT_030623")</f>
        <v>https://patadovietnam.edu.vn/tienganhnguoidilam_dnt/?utm_source=Facebook&amp;utm_medium=MES&amp;utm_term=NEW_UnitedStates_2555_none_030623&amp;utm_content=saletructiep_UnitedStates.Anhsale13.2555.Giaotiep_PTATTNDL_LD167&amp;utm_campaign=UnitedStates.Giaotiep.Anhsale13_LHV.9822_MES_DungNT_030623</v>
      </c>
      <c r="U102" s="110" t="s">
        <v>3805</v>
      </c>
    </row>
    <row r="103">
      <c r="A103" s="72">
        <v>45080.0</v>
      </c>
      <c r="B103" s="194" t="s">
        <v>3782</v>
      </c>
      <c r="C103" s="67" t="str">
        <f>IFERROR(__xludf.DUMMYFUNCTION("""COMPUTED_VALUE"""),"LD167")</f>
        <v>LD167</v>
      </c>
      <c r="D103" s="55" t="s">
        <v>42</v>
      </c>
      <c r="E103" s="55" t="s">
        <v>79</v>
      </c>
      <c r="F103" s="55" t="s">
        <v>129</v>
      </c>
      <c r="G103" s="55">
        <v>2055.0</v>
      </c>
      <c r="H103" s="55" t="s">
        <v>3306</v>
      </c>
      <c r="I103" s="55" t="s">
        <v>3807</v>
      </c>
      <c r="J103" s="168" t="s">
        <v>3808</v>
      </c>
      <c r="K103" s="167" t="s">
        <v>61</v>
      </c>
      <c r="L103" s="55" t="s">
        <v>1264</v>
      </c>
      <c r="M103" s="55" t="s">
        <v>78</v>
      </c>
      <c r="N103" s="55" t="s">
        <v>79</v>
      </c>
      <c r="O103" s="55" t="s">
        <v>218</v>
      </c>
      <c r="P103" s="55" t="s">
        <v>110</v>
      </c>
      <c r="Q103" s="67" t="str">
        <f>IFERROR(__xludf.DUMMYFUNCTION("""COMPUTED_VALUE"""),"Australia.Giaotiep.Anhsale13_LHV.9822_MES_DungNT_030623")</f>
        <v>Australia.Giaotiep.Anhsale13_LHV.9822_MES_DungNT_030623</v>
      </c>
      <c r="R103" s="67" t="str">
        <f>IFERROR(__xludf.DUMMYFUNCTION("""COMPUTED_VALUE"""),"NEW_Australia_2055_none_030623")</f>
        <v>NEW_Australia_2055_none_030623</v>
      </c>
      <c r="S103" s="67" t="str">
        <f>IFERROR(__xludf.DUMMYFUNCTION("""COMPUTED_VALUE"""),"saletructiep_Australia.Anhsale13.2055.Giaotiep_PTATTNDL_LD167")</f>
        <v>saletructiep_Australia.Anhsale13.2055.Giaotiep_PTATTNDL_LD167</v>
      </c>
      <c r="T103" s="107" t="str">
        <f>IFERROR(__xludf.DUMMYFUNCTION("""COMPUTED_VALUE"""),"https://patadovietnam.edu.vn/tienganhnguoidilam_dnt/?utm_source=Facebook&amp;utm_medium=MES&amp;utm_term=NEW_Australia_2055_none_030623&amp;utm_content=saletructiep_Australia.Anhsale13.2055.Giaotiep_PTATTNDL_LD167&amp;utm_campaign=Australia.Giaotiep.Anhsale13_LHV.9822_ME"&amp;"S_DungNT_030623")</f>
        <v>https://patadovietnam.edu.vn/tienganhnguoidilam_dnt/?utm_source=Facebook&amp;utm_medium=MES&amp;utm_term=NEW_Australia_2055_none_030623&amp;utm_content=saletructiep_Australia.Anhsale13.2055.Giaotiep_PTATTNDL_LD167&amp;utm_campaign=Australia.Giaotiep.Anhsale13_LHV.9822_MES_DungNT_030623</v>
      </c>
      <c r="U103" s="146" t="s">
        <v>3811</v>
      </c>
    </row>
    <row r="104">
      <c r="A104" s="72">
        <v>45084.0</v>
      </c>
      <c r="B104" s="112" t="s">
        <v>3645</v>
      </c>
      <c r="C104" s="67" t="str">
        <f>IFERROR(__xludf.DUMMYFUNCTION("""COMPUTED_VALUE"""),"LD152")</f>
        <v>LD152</v>
      </c>
      <c r="D104" s="55" t="s">
        <v>42</v>
      </c>
      <c r="E104" s="55" t="s">
        <v>69</v>
      </c>
      <c r="F104" s="55" t="s">
        <v>625</v>
      </c>
      <c r="G104" s="55">
        <v>1840.0</v>
      </c>
      <c r="H104" s="55" t="s">
        <v>3306</v>
      </c>
      <c r="I104" s="55" t="s">
        <v>3361</v>
      </c>
      <c r="J104" s="168" t="s">
        <v>3362</v>
      </c>
      <c r="K104" s="167" t="s">
        <v>61</v>
      </c>
      <c r="L104" s="55" t="s">
        <v>1264</v>
      </c>
      <c r="M104" s="55" t="s">
        <v>78</v>
      </c>
      <c r="N104" s="55" t="s">
        <v>69</v>
      </c>
      <c r="O104" s="55" t="s">
        <v>218</v>
      </c>
      <c r="P104" s="55" t="s">
        <v>110</v>
      </c>
      <c r="Q104" s="67" t="str">
        <f>IFERROR(__xludf.DUMMYFUNCTION("""COMPUTED_VALUE"""),"KoreaSouth.Giaotiep.Anhsale10_LHV.9822_CVS_DungNT_070623")</f>
        <v>KoreaSouth.Giaotiep.Anhsale10_LHV.9822_CVS_DungNT_070623</v>
      </c>
      <c r="R104" s="67" t="str">
        <f>IFERROR(__xludf.DUMMYFUNCTION("""COMPUTED_VALUE"""),"NEW_KoreaSouth_1840_none_070623")</f>
        <v>NEW_KoreaSouth_1840_none_070623</v>
      </c>
      <c r="S104" s="67" t="str">
        <f>IFERROR(__xludf.DUMMYFUNCTION("""COMPUTED_VALUE"""),"saletructiep_KoreaSouth.Anhsale10.1840.Giaotiep_PTATTNDL_LD152")</f>
        <v>saletructiep_KoreaSouth.Anhsale10.1840.Giaotiep_PTATTNDL_LD152</v>
      </c>
      <c r="T104" s="107" t="str">
        <f>IFERROR(__xludf.DUMMYFUNCTION("""COMPUTED_VALUE"""),"https://patadovietnam.edu.vn/tienganhpatado_d2/?utm_source=Facebook&amp;utm_medium=CVS&amp;utm_term=NEW_KoreaSouth_1840_none_070623&amp;utm_content=saletructiep_KoreaSouth.Anhsale10.1840.Giaotiep_PTATTNDL_LD152&amp;utm_campaign=KoreaSouth.Giaotiep.Anhsale10_LHV.9822_CVS_"&amp;"DungNT_070623")</f>
        <v>https://patadovietnam.edu.vn/tienganhpatado_d2/?utm_source=Facebook&amp;utm_medium=CVS&amp;utm_term=NEW_KoreaSouth_1840_none_070623&amp;utm_content=saletructiep_KoreaSouth.Anhsale10.1840.Giaotiep_PTATTNDL_LD152&amp;utm_campaign=KoreaSouth.Giaotiep.Anhsale10_LHV.9822_CVS_DungNT_070623</v>
      </c>
      <c r="U104" s="110" t="s">
        <v>3816</v>
      </c>
    </row>
    <row r="105">
      <c r="A105" s="72">
        <v>45085.0</v>
      </c>
      <c r="B105" s="194" t="s">
        <v>3782</v>
      </c>
      <c r="C105" s="67" t="str">
        <f>IFERROR(__xludf.DUMMYFUNCTION("""COMPUTED_VALUE"""),"LD167")</f>
        <v>LD167</v>
      </c>
      <c r="D105" s="55" t="s">
        <v>42</v>
      </c>
      <c r="E105" s="55" t="s">
        <v>79</v>
      </c>
      <c r="F105" s="55" t="s">
        <v>129</v>
      </c>
      <c r="G105" s="55">
        <v>2555.0</v>
      </c>
      <c r="H105" s="55" t="s">
        <v>3306</v>
      </c>
      <c r="I105" s="55" t="s">
        <v>3817</v>
      </c>
      <c r="J105" s="168" t="s">
        <v>3819</v>
      </c>
      <c r="K105" s="167" t="s">
        <v>61</v>
      </c>
      <c r="L105" s="55" t="s">
        <v>1264</v>
      </c>
      <c r="M105" s="55" t="s">
        <v>78</v>
      </c>
      <c r="N105" s="55" t="s">
        <v>79</v>
      </c>
      <c r="O105" s="55" t="s">
        <v>218</v>
      </c>
      <c r="P105" s="55" t="s">
        <v>110</v>
      </c>
      <c r="Q105" s="67" t="str">
        <f>IFERROR(__xludf.DUMMYFUNCTION("""COMPUTED_VALUE"""),"Australia.Giaotiep.Videogiangday1_LHV.9822_MES_DungNT_080623")</f>
        <v>Australia.Giaotiep.Videogiangday1_LHV.9822_MES_DungNT_080623</v>
      </c>
      <c r="R105" s="67" t="str">
        <f>IFERROR(__xludf.DUMMYFUNCTION("""COMPUTED_VALUE"""),"NEW_Australia_2555_none_080623")</f>
        <v>NEW_Australia_2555_none_080623</v>
      </c>
      <c r="S105" s="67" t="str">
        <f>IFERROR(__xludf.DUMMYFUNCTION("""COMPUTED_VALUE"""),"saletructiep_Australia.Videogiangday1.2555.Giaotiep_PTATTNDL_LD167")</f>
        <v>saletructiep_Australia.Videogiangday1.2555.Giaotiep_PTATTNDL_LD167</v>
      </c>
      <c r="T105" s="107" t="str">
        <f>IFERROR(__xludf.DUMMYFUNCTION("""COMPUTED_VALUE"""),"https://patadovietnam.edu.vn/tienganhnguoidilam_dnt/?utm_source=Facebook&amp;utm_medium=MES&amp;utm_term=NEW_Australia_2555_none_080623&amp;utm_content=saletructiep_Australia.Videogiangday1.2555.Giaotiep_PTATTNDL_LD167&amp;utm_campaign=Australia.Giaotiep.Videogiangday1_L"&amp;"HV.9822_MES_DungNT_080623")</f>
        <v>https://patadovietnam.edu.vn/tienganhnguoidilam_dnt/?utm_source=Facebook&amp;utm_medium=MES&amp;utm_term=NEW_Australia_2555_none_080623&amp;utm_content=saletructiep_Australia.Videogiangday1.2555.Giaotiep_PTATTNDL_LD167&amp;utm_campaign=Australia.Giaotiep.Videogiangday1_LHV.9822_MES_DungNT_080623</v>
      </c>
      <c r="U105" s="110" t="s">
        <v>3822</v>
      </c>
    </row>
    <row r="106">
      <c r="A106" s="72">
        <v>45085.0</v>
      </c>
      <c r="B106" s="194" t="s">
        <v>3782</v>
      </c>
      <c r="C106" s="67" t="str">
        <f>IFERROR(__xludf.DUMMYFUNCTION("""COMPUTED_VALUE"""),"LD167")</f>
        <v>LD167</v>
      </c>
      <c r="D106" s="55" t="s">
        <v>42</v>
      </c>
      <c r="E106" s="55" t="s">
        <v>79</v>
      </c>
      <c r="F106" s="55" t="s">
        <v>112</v>
      </c>
      <c r="G106" s="55">
        <v>2555.0</v>
      </c>
      <c r="H106" s="55" t="s">
        <v>3306</v>
      </c>
      <c r="I106" s="55" t="s">
        <v>3824</v>
      </c>
      <c r="J106" s="168" t="s">
        <v>3825</v>
      </c>
      <c r="K106" s="167" t="s">
        <v>61</v>
      </c>
      <c r="L106" s="55" t="s">
        <v>1264</v>
      </c>
      <c r="M106" s="55" t="s">
        <v>78</v>
      </c>
      <c r="N106" s="55" t="s">
        <v>79</v>
      </c>
      <c r="O106" s="55" t="s">
        <v>218</v>
      </c>
      <c r="P106" s="55" t="s">
        <v>110</v>
      </c>
      <c r="Q106" s="67" t="str">
        <f>IFERROR(__xludf.DUMMYFUNCTION("""COMPUTED_VALUE"""),"Canada.Giaotiep.Videogiangday1_LHV.9822_MES_DungNT_080623")</f>
        <v>Canada.Giaotiep.Videogiangday1_LHV.9822_MES_DungNT_080623</v>
      </c>
      <c r="R106" s="67" t="str">
        <f>IFERROR(__xludf.DUMMYFUNCTION("""COMPUTED_VALUE"""),"NEW_Canada_2555_none_080623")</f>
        <v>NEW_Canada_2555_none_080623</v>
      </c>
      <c r="S106" s="67" t="str">
        <f>IFERROR(__xludf.DUMMYFUNCTION("""COMPUTED_VALUE"""),"saletructiep_Canada.Videogiangday1.2555.Giaotiep_PTATTNDL_LD167")</f>
        <v>saletructiep_Canada.Videogiangday1.2555.Giaotiep_PTATTNDL_LD167</v>
      </c>
      <c r="T106" s="107" t="str">
        <f>IFERROR(__xludf.DUMMYFUNCTION("""COMPUTED_VALUE"""),"https://patadovietnam.edu.vn/tienganhnguoidilam_dnt/?utm_source=Facebook&amp;utm_medium=MES&amp;utm_term=NEW_Canada_2555_none_080623&amp;utm_content=saletructiep_Canada.Videogiangday1.2555.Giaotiep_PTATTNDL_LD167&amp;utm_campaign=Canada.Giaotiep.Videogiangday1_LHV.9822_M"&amp;"ES_DungNT_080623")</f>
        <v>https://patadovietnam.edu.vn/tienganhnguoidilam_dnt/?utm_source=Facebook&amp;utm_medium=MES&amp;utm_term=NEW_Canada_2555_none_080623&amp;utm_content=saletructiep_Canada.Videogiangday1.2555.Giaotiep_PTATTNDL_LD167&amp;utm_campaign=Canada.Giaotiep.Videogiangday1_LHV.9822_MES_DungNT_080623</v>
      </c>
      <c r="U106" s="110" t="s">
        <v>3830</v>
      </c>
    </row>
    <row r="107">
      <c r="A107" s="72">
        <v>45089.0</v>
      </c>
      <c r="B107" s="194" t="s">
        <v>3782</v>
      </c>
      <c r="C107" s="67" t="str">
        <f>IFERROR(__xludf.DUMMYFUNCTION("""COMPUTED_VALUE"""),"LD167")</f>
        <v>LD167</v>
      </c>
      <c r="D107" s="55" t="s">
        <v>42</v>
      </c>
      <c r="E107" s="55" t="s">
        <v>69</v>
      </c>
      <c r="F107" s="55" t="s">
        <v>625</v>
      </c>
      <c r="G107" s="55">
        <v>1840.0</v>
      </c>
      <c r="H107" s="55" t="s">
        <v>3306</v>
      </c>
      <c r="I107" s="55" t="s">
        <v>3745</v>
      </c>
      <c r="J107" s="168" t="s">
        <v>3746</v>
      </c>
      <c r="K107" s="167" t="s">
        <v>61</v>
      </c>
      <c r="L107" s="55" t="s">
        <v>1264</v>
      </c>
      <c r="M107" s="55" t="s">
        <v>78</v>
      </c>
      <c r="N107" s="55" t="s">
        <v>69</v>
      </c>
      <c r="O107" s="55" t="s">
        <v>218</v>
      </c>
      <c r="P107" s="55" t="s">
        <v>110</v>
      </c>
      <c r="Q107" s="67" t="str">
        <f>IFERROR(__xludf.DUMMYFUNCTION("""COMPUTED_VALUE"""),"KoreaSouth.Giaotiep.Anhsale13_LHV.9822_CVS_DungNT_120623")</f>
        <v>KoreaSouth.Giaotiep.Anhsale13_LHV.9822_CVS_DungNT_120623</v>
      </c>
      <c r="R107" s="67" t="str">
        <f>IFERROR(__xludf.DUMMYFUNCTION("""COMPUTED_VALUE"""),"NEW_KoreaSouth_1840_none_120623")</f>
        <v>NEW_KoreaSouth_1840_none_120623</v>
      </c>
      <c r="S107" s="67" t="str">
        <f>IFERROR(__xludf.DUMMYFUNCTION("""COMPUTED_VALUE"""),"saletructiep_KoreaSouth.Anhsale13.1840.Giaotiep_PTATTNDL_LD167")</f>
        <v>saletructiep_KoreaSouth.Anhsale13.1840.Giaotiep_PTATTNDL_LD167</v>
      </c>
      <c r="T107" s="107" t="str">
        <f>IFERROR(__xludf.DUMMYFUNCTION("""COMPUTED_VALUE"""),"https://patadovietnam.edu.vn/tienganhnguoidilam_dnt/?utm_source=Facebook&amp;utm_medium=CVS&amp;utm_term=NEW_KoreaSouth_1840_none_120623&amp;utm_content=saletructiep_KoreaSouth.Anhsale13.1840.Giaotiep_PTATTNDL_LD167&amp;utm_campaign=KoreaSouth.Giaotiep.Anhsale13_LHV.9822"&amp;"_CVS_DungNT_120623")</f>
        <v>https://patadovietnam.edu.vn/tienganhnguoidilam_dnt/?utm_source=Facebook&amp;utm_medium=CVS&amp;utm_term=NEW_KoreaSouth_1840_none_120623&amp;utm_content=saletructiep_KoreaSouth.Anhsale13.1840.Giaotiep_PTATTNDL_LD167&amp;utm_campaign=KoreaSouth.Giaotiep.Anhsale13_LHV.9822_CVS_DungNT_120623</v>
      </c>
      <c r="U107" s="110" t="s">
        <v>3835</v>
      </c>
    </row>
    <row r="108">
      <c r="A108" s="72">
        <v>45090.0</v>
      </c>
      <c r="B108" s="194" t="s">
        <v>3782</v>
      </c>
      <c r="C108" s="67" t="str">
        <f>IFERROR(__xludf.DUMMYFUNCTION("""COMPUTED_VALUE"""),"LD167")</f>
        <v>LD167</v>
      </c>
      <c r="D108" s="55" t="s">
        <v>42</v>
      </c>
      <c r="E108" s="55" t="s">
        <v>79</v>
      </c>
      <c r="F108" s="55" t="s">
        <v>129</v>
      </c>
      <c r="G108" s="55">
        <v>3055.0</v>
      </c>
      <c r="H108" s="55" t="s">
        <v>3306</v>
      </c>
      <c r="I108" s="55" t="s">
        <v>3837</v>
      </c>
      <c r="J108" s="168" t="s">
        <v>3838</v>
      </c>
      <c r="K108" s="167" t="s">
        <v>61</v>
      </c>
      <c r="L108" s="55" t="s">
        <v>1264</v>
      </c>
      <c r="M108" s="55" t="s">
        <v>78</v>
      </c>
      <c r="N108" s="55" t="s">
        <v>79</v>
      </c>
      <c r="O108" s="55" t="s">
        <v>218</v>
      </c>
      <c r="P108" s="55" t="s">
        <v>110</v>
      </c>
      <c r="Q108" s="67" t="str">
        <f>IFERROR(__xludf.DUMMYFUNCTION("""COMPUTED_VALUE"""),"Australia.Giaotiep.Anhsale61_LHV.9822_MES_DungNT_130623")</f>
        <v>Australia.Giaotiep.Anhsale61_LHV.9822_MES_DungNT_130623</v>
      </c>
      <c r="R108" s="67" t="str">
        <f>IFERROR(__xludf.DUMMYFUNCTION("""COMPUTED_VALUE"""),"NEW_Australia_3055_none_130623")</f>
        <v>NEW_Australia_3055_none_130623</v>
      </c>
      <c r="S108" s="67" t="str">
        <f>IFERROR(__xludf.DUMMYFUNCTION("""COMPUTED_VALUE"""),"saletructiep_Australia.Anhsale61.3055.Giaotiep_PTATTNDL_LD167")</f>
        <v>saletructiep_Australia.Anhsale61.3055.Giaotiep_PTATTNDL_LD167</v>
      </c>
      <c r="T108" s="107" t="str">
        <f>IFERROR(__xludf.DUMMYFUNCTION("""COMPUTED_VALUE"""),"https://patadovietnam.edu.vn/tienganhnguoidilam_dnt/?utm_source=Facebook&amp;utm_medium=MES&amp;utm_term=NEW_Australia_3055_none_130623&amp;utm_content=saletructiep_Australia.Anhsale61.3055.Giaotiep_PTATTNDL_LD167&amp;utm_campaign=Australia.Giaotiep.Anhsale61_LHV.9822_ME"&amp;"S_DungNT_130623")</f>
        <v>https://patadovietnam.edu.vn/tienganhnguoidilam_dnt/?utm_source=Facebook&amp;utm_medium=MES&amp;utm_term=NEW_Australia_3055_none_130623&amp;utm_content=saletructiep_Australia.Anhsale61.3055.Giaotiep_PTATTNDL_LD167&amp;utm_campaign=Australia.Giaotiep.Anhsale61_LHV.9822_MES_DungNT_130623</v>
      </c>
      <c r="U108" s="110" t="s">
        <v>3844</v>
      </c>
    </row>
    <row r="109">
      <c r="A109" s="72">
        <v>45090.0</v>
      </c>
      <c r="B109" s="194" t="s">
        <v>3782</v>
      </c>
      <c r="C109" s="67" t="str">
        <f>IFERROR(__xludf.DUMMYFUNCTION("""COMPUTED_VALUE"""),"LD167")</f>
        <v>LD167</v>
      </c>
      <c r="D109" s="55" t="s">
        <v>42</v>
      </c>
      <c r="E109" s="55" t="s">
        <v>79</v>
      </c>
      <c r="F109" s="55" t="s">
        <v>112</v>
      </c>
      <c r="G109" s="55">
        <v>3055.0</v>
      </c>
      <c r="H109" s="55" t="s">
        <v>3306</v>
      </c>
      <c r="I109" s="55" t="s">
        <v>3845</v>
      </c>
      <c r="J109" s="168" t="s">
        <v>3846</v>
      </c>
      <c r="K109" s="167" t="s">
        <v>61</v>
      </c>
      <c r="L109" s="55" t="s">
        <v>1264</v>
      </c>
      <c r="M109" s="55" t="s">
        <v>78</v>
      </c>
      <c r="N109" s="55" t="s">
        <v>79</v>
      </c>
      <c r="O109" s="55" t="s">
        <v>218</v>
      </c>
      <c r="P109" s="55" t="s">
        <v>110</v>
      </c>
      <c r="Q109" s="67" t="str">
        <f>IFERROR(__xludf.DUMMYFUNCTION("""COMPUTED_VALUE"""),"Canada.Giaotiep.Anhsale61_LHV.9822_MES_DungNT_130623")</f>
        <v>Canada.Giaotiep.Anhsale61_LHV.9822_MES_DungNT_130623</v>
      </c>
      <c r="R109" s="67" t="str">
        <f>IFERROR(__xludf.DUMMYFUNCTION("""COMPUTED_VALUE"""),"NEW_Canada_3055_none_130623")</f>
        <v>NEW_Canada_3055_none_130623</v>
      </c>
      <c r="S109" s="67" t="str">
        <f>IFERROR(__xludf.DUMMYFUNCTION("""COMPUTED_VALUE"""),"saletructiep_Canada.Anhsale61.3055.Giaotiep_PTATTNDL_LD167")</f>
        <v>saletructiep_Canada.Anhsale61.3055.Giaotiep_PTATTNDL_LD167</v>
      </c>
      <c r="T109" s="107" t="str">
        <f>IFERROR(__xludf.DUMMYFUNCTION("""COMPUTED_VALUE"""),"https://patadovietnam.edu.vn/tienganhnguoidilam_dnt/?utm_source=Facebook&amp;utm_medium=MES&amp;utm_term=NEW_Canada_3055_none_130623&amp;utm_content=saletructiep_Canada.Anhsale61.3055.Giaotiep_PTATTNDL_LD167&amp;utm_campaign=Canada.Giaotiep.Anhsale61_LHV.9822_MES_DungNT_"&amp;"130623")</f>
        <v>https://patadovietnam.edu.vn/tienganhnguoidilam_dnt/?utm_source=Facebook&amp;utm_medium=MES&amp;utm_term=NEW_Canada_3055_none_130623&amp;utm_content=saletructiep_Canada.Anhsale61.3055.Giaotiep_PTATTNDL_LD167&amp;utm_campaign=Canada.Giaotiep.Anhsale61_LHV.9822_MES_DungNT_130623</v>
      </c>
      <c r="U109" s="110" t="s">
        <v>3847</v>
      </c>
    </row>
    <row r="110">
      <c r="A110" s="72">
        <v>45090.0</v>
      </c>
      <c r="B110" s="194" t="s">
        <v>3782</v>
      </c>
      <c r="C110" s="67" t="str">
        <f>IFERROR(__xludf.DUMMYFUNCTION("""COMPUTED_VALUE"""),"LD167")</f>
        <v>LD167</v>
      </c>
      <c r="D110" s="55" t="s">
        <v>42</v>
      </c>
      <c r="E110" s="55" t="s">
        <v>79</v>
      </c>
      <c r="F110" s="55" t="s">
        <v>107</v>
      </c>
      <c r="G110" s="55">
        <v>3055.0</v>
      </c>
      <c r="H110" s="55" t="s">
        <v>3306</v>
      </c>
      <c r="I110" s="55" t="s">
        <v>3850</v>
      </c>
      <c r="J110" s="168" t="s">
        <v>3851</v>
      </c>
      <c r="K110" s="167" t="s">
        <v>61</v>
      </c>
      <c r="L110" s="55" t="s">
        <v>1264</v>
      </c>
      <c r="M110" s="55" t="s">
        <v>78</v>
      </c>
      <c r="N110" s="55" t="s">
        <v>79</v>
      </c>
      <c r="O110" s="55" t="s">
        <v>218</v>
      </c>
      <c r="P110" s="55" t="s">
        <v>110</v>
      </c>
      <c r="Q110" s="67" t="str">
        <f>IFERROR(__xludf.DUMMYFUNCTION("""COMPUTED_VALUE"""),"UnitedStates.Giaotiep.Anhsale61_LHV.9822_MES_DungNT_130623")</f>
        <v>UnitedStates.Giaotiep.Anhsale61_LHV.9822_MES_DungNT_130623</v>
      </c>
      <c r="R110" s="67" t="str">
        <f>IFERROR(__xludf.DUMMYFUNCTION("""COMPUTED_VALUE"""),"NEW_UnitedStates_3055_none_130623")</f>
        <v>NEW_UnitedStates_3055_none_130623</v>
      </c>
      <c r="S110" s="67" t="str">
        <f>IFERROR(__xludf.DUMMYFUNCTION("""COMPUTED_VALUE"""),"saletructiep_UnitedStates.Anhsale61.3055.Giaotiep_PTATTNDL_LD167")</f>
        <v>saletructiep_UnitedStates.Anhsale61.3055.Giaotiep_PTATTNDL_LD167</v>
      </c>
      <c r="T110" s="107" t="str">
        <f>IFERROR(__xludf.DUMMYFUNCTION("""COMPUTED_VALUE"""),"https://patadovietnam.edu.vn/tienganhnguoidilam_dnt/?utm_source=Facebook&amp;utm_medium=MES&amp;utm_term=NEW_UnitedStates_3055_none_130623&amp;utm_content=saletructiep_UnitedStates.Anhsale61.3055.Giaotiep_PTATTNDL_LD167&amp;utm_campaign=UnitedStates.Giaotiep.Anhsale61_LH"&amp;"V.9822_MES_DungNT_130623")</f>
        <v>https://patadovietnam.edu.vn/tienganhnguoidilam_dnt/?utm_source=Facebook&amp;utm_medium=MES&amp;utm_term=NEW_UnitedStates_3055_none_130623&amp;utm_content=saletructiep_UnitedStates.Anhsale61.3055.Giaotiep_PTATTNDL_LD167&amp;utm_campaign=UnitedStates.Giaotiep.Anhsale61_LHV.9822_MES_DungNT_130623</v>
      </c>
      <c r="U110" s="110" t="s">
        <v>3854</v>
      </c>
    </row>
    <row r="111">
      <c r="A111" s="72">
        <v>45108.0</v>
      </c>
      <c r="B111" s="112" t="s">
        <v>3600</v>
      </c>
      <c r="C111" s="67" t="str">
        <f>IFERROR(__xludf.DUMMYFUNCTION("""COMPUTED_VALUE"""),"LD150")</f>
        <v>LD150</v>
      </c>
      <c r="D111" s="55" t="s">
        <v>42</v>
      </c>
      <c r="E111" s="55" t="s">
        <v>79</v>
      </c>
      <c r="F111" s="55" t="s">
        <v>107</v>
      </c>
      <c r="G111" s="55">
        <v>3055.0</v>
      </c>
      <c r="H111" s="55" t="s">
        <v>3306</v>
      </c>
      <c r="I111" s="55" t="s">
        <v>3850</v>
      </c>
      <c r="J111" s="168" t="s">
        <v>3851</v>
      </c>
      <c r="K111" s="167" t="s">
        <v>61</v>
      </c>
      <c r="L111" s="55" t="s">
        <v>1264</v>
      </c>
      <c r="M111" s="55" t="s">
        <v>78</v>
      </c>
      <c r="N111" s="55" t="s">
        <v>79</v>
      </c>
      <c r="O111" s="55" t="s">
        <v>218</v>
      </c>
      <c r="P111" s="55" t="s">
        <v>110</v>
      </c>
      <c r="Q111" s="67" t="str">
        <f>IFERROR(__xludf.DUMMYFUNCTION("""COMPUTED_VALUE"""),"UnitedStates.Giaotiep.Anhsale61_LHV.9822_MES_DungNT_010723")</f>
        <v>UnitedStates.Giaotiep.Anhsale61_LHV.9822_MES_DungNT_010723</v>
      </c>
      <c r="R111" s="67" t="str">
        <f>IFERROR(__xludf.DUMMYFUNCTION("""COMPUTED_VALUE"""),"NEW_UnitedStates_3055_none_010723")</f>
        <v>NEW_UnitedStates_3055_none_010723</v>
      </c>
      <c r="S111" s="67" t="str">
        <f>IFERROR(__xludf.DUMMYFUNCTION("""COMPUTED_VALUE"""),"saletructiep_UnitedStates.Anhsale61.3055.Giaotiep_PTATTNDL_LD150")</f>
        <v>saletructiep_UnitedStates.Anhsale61.3055.Giaotiep_PTATTNDL_LD150</v>
      </c>
      <c r="T111" s="107" t="str">
        <f>IFERROR(__xludf.DUMMYFUNCTION("""COMPUTED_VALUE"""),"https://patadovietnam.edu.vn/tienganhusa_dntt/?utm_source=Facebook&amp;utm_medium=MES&amp;utm_term=NEW_UnitedStates_3055_none_010723&amp;utm_content=saletructiep_UnitedStates.Anhsale61.3055.Giaotiep_PTATTNDL_LD150&amp;utm_campaign=UnitedStates.Giaotiep.Anhsale61_LHV.9822"&amp;"_MES_DungNT_010723")</f>
        <v>https://patadovietnam.edu.vn/tienganhusa_dntt/?utm_source=Facebook&amp;utm_medium=MES&amp;utm_term=NEW_UnitedStates_3055_none_010723&amp;utm_content=saletructiep_UnitedStates.Anhsale61.3055.Giaotiep_PTATTNDL_LD150&amp;utm_campaign=UnitedStates.Giaotiep.Anhsale61_LHV.9822_MES_DungNT_010723</v>
      </c>
      <c r="U111" s="110" t="s">
        <v>3854</v>
      </c>
    </row>
    <row r="112">
      <c r="A112" s="72">
        <v>45108.0</v>
      </c>
      <c r="B112" s="112" t="s">
        <v>3502</v>
      </c>
      <c r="C112" s="67" t="str">
        <f>IFERROR(__xludf.DUMMYFUNCTION("""COMPUTED_VALUE"""),"LD144")</f>
        <v>LD144</v>
      </c>
      <c r="D112" s="55" t="s">
        <v>42</v>
      </c>
      <c r="E112" s="55" t="s">
        <v>79</v>
      </c>
      <c r="F112" s="55" t="s">
        <v>129</v>
      </c>
      <c r="G112" s="55">
        <v>2555.0</v>
      </c>
      <c r="H112" s="55" t="s">
        <v>3306</v>
      </c>
      <c r="I112" s="55" t="s">
        <v>3837</v>
      </c>
      <c r="J112" s="168" t="s">
        <v>3858</v>
      </c>
      <c r="K112" s="167" t="s">
        <v>61</v>
      </c>
      <c r="L112" s="55" t="s">
        <v>1264</v>
      </c>
      <c r="M112" s="55" t="s">
        <v>78</v>
      </c>
      <c r="N112" s="55" t="s">
        <v>79</v>
      </c>
      <c r="O112" s="55" t="s">
        <v>218</v>
      </c>
      <c r="P112" s="55" t="s">
        <v>110</v>
      </c>
      <c r="Q112" s="67" t="str">
        <f>IFERROR(__xludf.DUMMYFUNCTION("""COMPUTED_VALUE"""),"Australia.Giaotiep.Anhsale61_LHV.9822_MES_DungNT_010723")</f>
        <v>Australia.Giaotiep.Anhsale61_LHV.9822_MES_DungNT_010723</v>
      </c>
      <c r="R112" s="67" t="str">
        <f>IFERROR(__xludf.DUMMYFUNCTION("""COMPUTED_VALUE"""),"NEW_Australia_2555_none_010723")</f>
        <v>NEW_Australia_2555_none_010723</v>
      </c>
      <c r="S112" s="67" t="str">
        <f>IFERROR(__xludf.DUMMYFUNCTION("""COMPUTED_VALUE"""),"saletructiep_Australia.Anhsale61.2555.Giaotiep_PTATTNDL_LD144")</f>
        <v>saletructiep_Australia.Anhsale61.2555.Giaotiep_PTATTNDL_LD144</v>
      </c>
      <c r="T112" s="107" t="str">
        <f>IFERROR(__xludf.DUMMYFUNCTION("""COMPUTED_VALUE"""),"https://patadovietnam.edu.vn/tienganhpatado_d1/?utm_source=Facebook&amp;utm_medium=MES&amp;utm_term=NEW_Australia_2555_none_010723&amp;utm_content=saletructiep_Australia.Anhsale61.2555.Giaotiep_PTATTNDL_LD144&amp;utm_campaign=Australia.Giaotiep.Anhsale61_LHV.9822_MES_Dun"&amp;"gNT_010723")</f>
        <v>https://patadovietnam.edu.vn/tienganhpatado_d1/?utm_source=Facebook&amp;utm_medium=MES&amp;utm_term=NEW_Australia_2555_none_010723&amp;utm_content=saletructiep_Australia.Anhsale61.2555.Giaotiep_PTATTNDL_LD144&amp;utm_campaign=Australia.Giaotiep.Anhsale61_LHV.9822_MES_DungNT_010723</v>
      </c>
      <c r="U112" s="110" t="s">
        <v>3854</v>
      </c>
    </row>
    <row r="113">
      <c r="A113" s="72">
        <v>45108.0</v>
      </c>
      <c r="B113" s="112" t="s">
        <v>3502</v>
      </c>
      <c r="C113" s="67" t="str">
        <f>IFERROR(__xludf.DUMMYFUNCTION("""COMPUTED_VALUE"""),"LD144")</f>
        <v>LD144</v>
      </c>
      <c r="D113" s="55" t="s">
        <v>42</v>
      </c>
      <c r="E113" s="55" t="s">
        <v>79</v>
      </c>
      <c r="F113" s="55" t="s">
        <v>112</v>
      </c>
      <c r="G113" s="55">
        <v>3055.0</v>
      </c>
      <c r="H113" s="55" t="s">
        <v>3306</v>
      </c>
      <c r="I113" s="55" t="s">
        <v>3845</v>
      </c>
      <c r="J113" s="168" t="s">
        <v>3846</v>
      </c>
      <c r="K113" s="167" t="s">
        <v>61</v>
      </c>
      <c r="L113" s="55" t="s">
        <v>1264</v>
      </c>
      <c r="M113" s="55" t="s">
        <v>78</v>
      </c>
      <c r="N113" s="55" t="s">
        <v>79</v>
      </c>
      <c r="O113" s="55" t="s">
        <v>218</v>
      </c>
      <c r="P113" s="55" t="s">
        <v>110</v>
      </c>
      <c r="Q113" s="67" t="str">
        <f>IFERROR(__xludf.DUMMYFUNCTION("""COMPUTED_VALUE"""),"Canada.Giaotiep.Anhsale61_LHV.9822_MES_DungNT_010723")</f>
        <v>Canada.Giaotiep.Anhsale61_LHV.9822_MES_DungNT_010723</v>
      </c>
      <c r="R113" s="67" t="str">
        <f>IFERROR(__xludf.DUMMYFUNCTION("""COMPUTED_VALUE"""),"NEW_Canada_3055_none_010723")</f>
        <v>NEW_Canada_3055_none_010723</v>
      </c>
      <c r="S113" s="67" t="str">
        <f>IFERROR(__xludf.DUMMYFUNCTION("""COMPUTED_VALUE"""),"saletructiep_Canada.Anhsale61.3055.Giaotiep_PTATTNDL_LD144")</f>
        <v>saletructiep_Canada.Anhsale61.3055.Giaotiep_PTATTNDL_LD144</v>
      </c>
      <c r="T113" s="107" t="str">
        <f>IFERROR(__xludf.DUMMYFUNCTION("""COMPUTED_VALUE"""),"https://patadovietnam.edu.vn/tienganhpatado_d1/?utm_source=Facebook&amp;utm_medium=MES&amp;utm_term=NEW_Canada_3055_none_010723&amp;utm_content=saletructiep_Canada.Anhsale61.3055.Giaotiep_PTATTNDL_LD144&amp;utm_campaign=Canada.Giaotiep.Anhsale61_LHV.9822_MES_DungNT_01072"&amp;"3")</f>
        <v>https://patadovietnam.edu.vn/tienganhpatado_d1/?utm_source=Facebook&amp;utm_medium=MES&amp;utm_term=NEW_Canada_3055_none_010723&amp;utm_content=saletructiep_Canada.Anhsale61.3055.Giaotiep_PTATTNDL_LD144&amp;utm_campaign=Canada.Giaotiep.Anhsale61_LHV.9822_MES_DungNT_010723</v>
      </c>
      <c r="U113" s="110" t="s">
        <v>3854</v>
      </c>
    </row>
    <row r="114">
      <c r="A114" s="72">
        <v>45108.0</v>
      </c>
      <c r="B114" s="194" t="s">
        <v>3782</v>
      </c>
      <c r="C114" s="67" t="str">
        <f>IFERROR(__xludf.DUMMYFUNCTION("""COMPUTED_VALUE"""),"LD167")</f>
        <v>LD167</v>
      </c>
      <c r="D114" s="55" t="s">
        <v>42</v>
      </c>
      <c r="E114" s="55" t="s">
        <v>79</v>
      </c>
      <c r="F114" s="55" t="s">
        <v>164</v>
      </c>
      <c r="G114" s="55">
        <v>1840.0</v>
      </c>
      <c r="H114" s="55" t="s">
        <v>3306</v>
      </c>
      <c r="I114" s="55" t="s">
        <v>3342</v>
      </c>
      <c r="J114" s="168" t="s">
        <v>3343</v>
      </c>
      <c r="K114" s="167" t="s">
        <v>61</v>
      </c>
      <c r="L114" s="55" t="s">
        <v>1264</v>
      </c>
      <c r="M114" s="55" t="s">
        <v>78</v>
      </c>
      <c r="N114" s="55" t="s">
        <v>79</v>
      </c>
      <c r="O114" s="55" t="s">
        <v>218</v>
      </c>
      <c r="P114" s="55" t="s">
        <v>110</v>
      </c>
      <c r="Q114" s="67" t="str">
        <f>IFERROR(__xludf.DUMMYFUNCTION("""COMPUTED_VALUE"""),"Taiwan.Giaotiep.Anhsale13_LHV.9822_MES_DungNT_010723")</f>
        <v>Taiwan.Giaotiep.Anhsale13_LHV.9822_MES_DungNT_010723</v>
      </c>
      <c r="R114" s="67" t="str">
        <f>IFERROR(__xludf.DUMMYFUNCTION("""COMPUTED_VALUE"""),"NEW_Taiwan_1840_none_010723")</f>
        <v>NEW_Taiwan_1840_none_010723</v>
      </c>
      <c r="S114" s="67" t="str">
        <f>IFERROR(__xludf.DUMMYFUNCTION("""COMPUTED_VALUE"""),"saletructiep_Taiwan.Anhsale13.1840.Giaotiep_PTATTNDL_LD167")</f>
        <v>saletructiep_Taiwan.Anhsale13.1840.Giaotiep_PTATTNDL_LD167</v>
      </c>
      <c r="T114" s="107" t="str">
        <f>IFERROR(__xludf.DUMMYFUNCTION("""COMPUTED_VALUE"""),"https://patadovietnam.edu.vn/tienganhnguoidilam_dnt/?utm_source=Facebook&amp;utm_medium=MES&amp;utm_term=NEW_Taiwan_1840_none_010723&amp;utm_content=saletructiep_Taiwan.Anhsale13.1840.Giaotiep_PTATTNDL_LD167&amp;utm_campaign=Taiwan.Giaotiep.Anhsale13_LHV.9822_MES_DungNT_"&amp;"010723")</f>
        <v>https://patadovietnam.edu.vn/tienganhnguoidilam_dnt/?utm_source=Facebook&amp;utm_medium=MES&amp;utm_term=NEW_Taiwan_1840_none_010723&amp;utm_content=saletructiep_Taiwan.Anhsale13.1840.Giaotiep_PTATTNDL_LD167&amp;utm_campaign=Taiwan.Giaotiep.Anhsale13_LHV.9822_MES_DungNT_010723</v>
      </c>
      <c r="U114" s="110" t="s">
        <v>3789</v>
      </c>
    </row>
    <row r="115">
      <c r="A115" s="72">
        <v>45108.0</v>
      </c>
      <c r="B115" s="194" t="s">
        <v>3782</v>
      </c>
      <c r="C115" s="67" t="str">
        <f>IFERROR(__xludf.DUMMYFUNCTION("""COMPUTED_VALUE"""),"LD167")</f>
        <v>LD167</v>
      </c>
      <c r="D115" s="55" t="s">
        <v>42</v>
      </c>
      <c r="E115" s="55" t="s">
        <v>69</v>
      </c>
      <c r="F115" s="55" t="s">
        <v>625</v>
      </c>
      <c r="G115" s="55">
        <v>1840.0</v>
      </c>
      <c r="H115" s="55" t="s">
        <v>3306</v>
      </c>
      <c r="I115" s="55" t="s">
        <v>3745</v>
      </c>
      <c r="J115" s="168" t="s">
        <v>3746</v>
      </c>
      <c r="K115" s="167" t="s">
        <v>61</v>
      </c>
      <c r="L115" s="55" t="s">
        <v>1264</v>
      </c>
      <c r="M115" s="55" t="s">
        <v>78</v>
      </c>
      <c r="N115" s="55" t="s">
        <v>69</v>
      </c>
      <c r="O115" s="55" t="s">
        <v>218</v>
      </c>
      <c r="P115" s="55" t="s">
        <v>110</v>
      </c>
      <c r="Q115" s="67" t="str">
        <f>IFERROR(__xludf.DUMMYFUNCTION("""COMPUTED_VALUE"""),"KoreaSouth.Giaotiep.Anhsale13_LHV.9822_CVS_DungNT_010723")</f>
        <v>KoreaSouth.Giaotiep.Anhsale13_LHV.9822_CVS_DungNT_010723</v>
      </c>
      <c r="R115" s="67" t="str">
        <f>IFERROR(__xludf.DUMMYFUNCTION("""COMPUTED_VALUE"""),"NEW_KoreaSouth_1840_none_010723")</f>
        <v>NEW_KoreaSouth_1840_none_010723</v>
      </c>
      <c r="S115" s="67" t="str">
        <f>IFERROR(__xludf.DUMMYFUNCTION("""COMPUTED_VALUE"""),"saletructiep_KoreaSouth.Anhsale13.1840.Giaotiep_PTATTNDL_LD167")</f>
        <v>saletructiep_KoreaSouth.Anhsale13.1840.Giaotiep_PTATTNDL_LD167</v>
      </c>
      <c r="T115" s="107" t="str">
        <f>IFERROR(__xludf.DUMMYFUNCTION("""COMPUTED_VALUE"""),"https://patadovietnam.edu.vn/tienganhnguoidilam_dnt/?utm_source=Facebook&amp;utm_medium=CVS&amp;utm_term=NEW_KoreaSouth_1840_none_010723&amp;utm_content=saletructiep_KoreaSouth.Anhsale13.1840.Giaotiep_PTATTNDL_LD167&amp;utm_campaign=KoreaSouth.Giaotiep.Anhsale13_LHV.9822"&amp;"_CVS_DungNT_010723")</f>
        <v>https://patadovietnam.edu.vn/tienganhnguoidilam_dnt/?utm_source=Facebook&amp;utm_medium=CVS&amp;utm_term=NEW_KoreaSouth_1840_none_010723&amp;utm_content=saletructiep_KoreaSouth.Anhsale13.1840.Giaotiep_PTATTNDL_LD167&amp;utm_campaign=KoreaSouth.Giaotiep.Anhsale13_LHV.9822_CVS_DungNT_010723</v>
      </c>
      <c r="U115" s="110" t="s">
        <v>3835</v>
      </c>
    </row>
    <row r="116">
      <c r="A116" s="72">
        <v>45108.0</v>
      </c>
      <c r="B116" s="112" t="s">
        <v>3502</v>
      </c>
      <c r="C116" s="67" t="str">
        <f>IFERROR(__xludf.DUMMYFUNCTION("""COMPUTED_VALUE"""),"LD144")</f>
        <v>LD144</v>
      </c>
      <c r="D116" s="55" t="s">
        <v>42</v>
      </c>
      <c r="E116" s="55" t="s">
        <v>69</v>
      </c>
      <c r="F116" s="55" t="s">
        <v>133</v>
      </c>
      <c r="G116" s="55">
        <v>1840.0</v>
      </c>
      <c r="H116" s="55" t="s">
        <v>3306</v>
      </c>
      <c r="I116" s="55" t="s">
        <v>3319</v>
      </c>
      <c r="J116" s="168" t="s">
        <v>3321</v>
      </c>
      <c r="K116" s="167" t="s">
        <v>61</v>
      </c>
      <c r="L116" s="55" t="s">
        <v>1264</v>
      </c>
      <c r="M116" s="55" t="s">
        <v>78</v>
      </c>
      <c r="N116" s="55" t="s">
        <v>69</v>
      </c>
      <c r="O116" s="55" t="s">
        <v>218</v>
      </c>
      <c r="P116" s="55" t="s">
        <v>110</v>
      </c>
      <c r="Q116" s="67" t="str">
        <f>IFERROR(__xludf.DUMMYFUNCTION("""COMPUTED_VALUE"""),"Japan.Giaotiep.Anhsale10_LHV.9822_CVS_DungNT_010723")</f>
        <v>Japan.Giaotiep.Anhsale10_LHV.9822_CVS_DungNT_010723</v>
      </c>
      <c r="R116" s="67" t="str">
        <f>IFERROR(__xludf.DUMMYFUNCTION("""COMPUTED_VALUE"""),"NEW_Japan_1840_none_010723")</f>
        <v>NEW_Japan_1840_none_010723</v>
      </c>
      <c r="S116" s="67" t="str">
        <f>IFERROR(__xludf.DUMMYFUNCTION("""COMPUTED_VALUE"""),"saletructiep_Japan.Anhsale10.1840.Giaotiep_PTATTNDL_LD144")</f>
        <v>saletructiep_Japan.Anhsale10.1840.Giaotiep_PTATTNDL_LD144</v>
      </c>
      <c r="T116" s="107" t="str">
        <f>IFERROR(__xludf.DUMMYFUNCTION("""COMPUTED_VALUE"""),"https://patadovietnam.edu.vn/tienganhpatado_d1/?utm_source=Facebook&amp;utm_medium=CVS&amp;utm_term=NEW_Japan_1840_none_010723&amp;utm_content=saletructiep_Japan.Anhsale10.1840.Giaotiep_PTATTNDL_LD144&amp;utm_campaign=Japan.Giaotiep.Anhsale10_LHV.9822_CVS_DungNT_010723")</f>
        <v>https://patadovietnam.edu.vn/tienganhpatado_d1/?utm_source=Facebook&amp;utm_medium=CVS&amp;utm_term=NEW_Japan_1840_none_010723&amp;utm_content=saletructiep_Japan.Anhsale10.1840.Giaotiep_PTATTNDL_LD144&amp;utm_campaign=Japan.Giaotiep.Anhsale10_LHV.9822_CVS_DungNT_010723</v>
      </c>
      <c r="U116" s="110" t="s">
        <v>3870</v>
      </c>
    </row>
    <row r="117">
      <c r="A117" s="72">
        <v>45108.0</v>
      </c>
      <c r="B117" s="194" t="s">
        <v>3782</v>
      </c>
      <c r="C117" s="67" t="str">
        <f>IFERROR(__xludf.DUMMYFUNCTION("""COMPUTED_VALUE"""),"LD167")</f>
        <v>LD167</v>
      </c>
      <c r="D117" s="55" t="s">
        <v>42</v>
      </c>
      <c r="E117" s="55" t="s">
        <v>69</v>
      </c>
      <c r="F117" s="55" t="s">
        <v>674</v>
      </c>
      <c r="G117" s="55">
        <v>3055.0</v>
      </c>
      <c r="H117" s="55" t="s">
        <v>3306</v>
      </c>
      <c r="I117" s="55" t="s">
        <v>3725</v>
      </c>
      <c r="J117" s="168" t="s">
        <v>3873</v>
      </c>
      <c r="K117" s="167" t="s">
        <v>61</v>
      </c>
      <c r="L117" s="55" t="s">
        <v>1264</v>
      </c>
      <c r="M117" s="55" t="s">
        <v>78</v>
      </c>
      <c r="N117" s="55" t="s">
        <v>69</v>
      </c>
      <c r="O117" s="55" t="s">
        <v>218</v>
      </c>
      <c r="P117" s="55" t="s">
        <v>110</v>
      </c>
      <c r="Q117" s="67" t="str">
        <f>IFERROR(__xludf.DUMMYFUNCTION("""COMPUTED_VALUE"""),"Europe.Giaotiep.Anhsale12_LHV.9822_CVS_DungNT_010723")</f>
        <v>Europe.Giaotiep.Anhsale12_LHV.9822_CVS_DungNT_010723</v>
      </c>
      <c r="R117" s="67" t="str">
        <f>IFERROR(__xludf.DUMMYFUNCTION("""COMPUTED_VALUE"""),"NEW_Europe_3055_none_010723")</f>
        <v>NEW_Europe_3055_none_010723</v>
      </c>
      <c r="S117" s="67" t="str">
        <f>IFERROR(__xludf.DUMMYFUNCTION("""COMPUTED_VALUE"""),"saletructiep_Europe.Anhsale12.3055.Giaotiep_PTATTNDL_LD167")</f>
        <v>saletructiep_Europe.Anhsale12.3055.Giaotiep_PTATTNDL_LD167</v>
      </c>
      <c r="T117" s="107" t="str">
        <f>IFERROR(__xludf.DUMMYFUNCTION("""COMPUTED_VALUE"""),"https://patadovietnam.edu.vn/tienganhnguoidilam_dnt/?utm_source=Facebook&amp;utm_medium=CVS&amp;utm_term=NEW_Europe_3055_none_010723&amp;utm_content=saletructiep_Europe.Anhsale12.3055.Giaotiep_PTATTNDL_LD167&amp;utm_campaign=Europe.Giaotiep.Anhsale12_LHV.9822_CVS_DungNT_"&amp;"010723")</f>
        <v>https://patadovietnam.edu.vn/tienganhnguoidilam_dnt/?utm_source=Facebook&amp;utm_medium=CVS&amp;utm_term=NEW_Europe_3055_none_010723&amp;utm_content=saletructiep_Europe.Anhsale12.3055.Giaotiep_PTATTNDL_LD167&amp;utm_campaign=Europe.Giaotiep.Anhsale12_LHV.9822_CVS_DungNT_010723</v>
      </c>
      <c r="U117" s="110" t="s">
        <v>3876</v>
      </c>
    </row>
    <row r="118">
      <c r="A118" s="72">
        <v>45108.0</v>
      </c>
      <c r="B118" s="112" t="s">
        <v>3600</v>
      </c>
      <c r="C118" s="67" t="str">
        <f>IFERROR(__xludf.DUMMYFUNCTION("""COMPUTED_VALUE"""),"LD150")</f>
        <v>LD150</v>
      </c>
      <c r="D118" s="55" t="s">
        <v>42</v>
      </c>
      <c r="E118" s="55" t="s">
        <v>79</v>
      </c>
      <c r="F118" s="55" t="s">
        <v>107</v>
      </c>
      <c r="G118" s="55">
        <v>3055.0</v>
      </c>
      <c r="H118" s="55" t="s">
        <v>3306</v>
      </c>
      <c r="I118" s="55" t="s">
        <v>3879</v>
      </c>
      <c r="J118" s="168" t="s">
        <v>3880</v>
      </c>
      <c r="K118" s="167" t="s">
        <v>61</v>
      </c>
      <c r="L118" s="55" t="s">
        <v>1264</v>
      </c>
      <c r="M118" s="55" t="s">
        <v>78</v>
      </c>
      <c r="N118" s="55" t="s">
        <v>79</v>
      </c>
      <c r="O118" s="55" t="s">
        <v>218</v>
      </c>
      <c r="P118" s="55" t="s">
        <v>110</v>
      </c>
      <c r="Q118" s="67" t="str">
        <f>IFERROR(__xludf.DUMMYFUNCTION("""COMPUTED_VALUE"""),"UnitedStates.Giaotiep.vdhv_LHV.9822_MES_DungNT_010723")</f>
        <v>UnitedStates.Giaotiep.vdhv_LHV.9822_MES_DungNT_010723</v>
      </c>
      <c r="R118" s="67" t="str">
        <f>IFERROR(__xludf.DUMMYFUNCTION("""COMPUTED_VALUE"""),"NEW_UnitedStates_3055_none_010723")</f>
        <v>NEW_UnitedStates_3055_none_010723</v>
      </c>
      <c r="S118" s="67" t="str">
        <f>IFERROR(__xludf.DUMMYFUNCTION("""COMPUTED_VALUE"""),"saletructiep_UnitedStates.vdhv.3055.Giaotiep_PTATTNDL_LD150")</f>
        <v>saletructiep_UnitedStates.vdhv.3055.Giaotiep_PTATTNDL_LD150</v>
      </c>
      <c r="T118" s="107" t="str">
        <f>IFERROR(__xludf.DUMMYFUNCTION("""COMPUTED_VALUE"""),"https://patadovietnam.edu.vn/tienganhusa_dntt/?utm_source=Facebook&amp;utm_medium=MES&amp;utm_term=NEW_UnitedStates_3055_none_010723&amp;utm_content=saletructiep_UnitedStates.vdhv.3055.Giaotiep_PTATTNDL_LD150&amp;utm_campaign=UnitedStates.Giaotiep.vdhv_LHV.9822_MES_DungN"&amp;"T_010723")</f>
        <v>https://patadovietnam.edu.vn/tienganhusa_dntt/?utm_source=Facebook&amp;utm_medium=MES&amp;utm_term=NEW_UnitedStates_3055_none_010723&amp;utm_content=saletructiep_UnitedStates.vdhv.3055.Giaotiep_PTATTNDL_LD150&amp;utm_campaign=UnitedStates.Giaotiep.vdhv_LHV.9822_MES_DungNT_010723</v>
      </c>
      <c r="U118" s="116"/>
    </row>
    <row r="119">
      <c r="A119" s="72">
        <v>45108.0</v>
      </c>
      <c r="B119" s="112" t="s">
        <v>3502</v>
      </c>
      <c r="C119" s="67" t="str">
        <f>IFERROR(__xludf.DUMMYFUNCTION("""COMPUTED_VALUE"""),"LD144")</f>
        <v>LD144</v>
      </c>
      <c r="D119" s="55" t="s">
        <v>42</v>
      </c>
      <c r="E119" s="55" t="s">
        <v>79</v>
      </c>
      <c r="F119" s="55" t="s">
        <v>129</v>
      </c>
      <c r="G119" s="55">
        <v>3055.0</v>
      </c>
      <c r="H119" s="55" t="s">
        <v>3306</v>
      </c>
      <c r="I119" s="55" t="s">
        <v>3881</v>
      </c>
      <c r="J119" s="168" t="s">
        <v>3882</v>
      </c>
      <c r="K119" s="167" t="s">
        <v>61</v>
      </c>
      <c r="L119" s="55" t="s">
        <v>1264</v>
      </c>
      <c r="M119" s="55" t="s">
        <v>78</v>
      </c>
      <c r="N119" s="55" t="s">
        <v>79</v>
      </c>
      <c r="O119" s="55" t="s">
        <v>218</v>
      </c>
      <c r="P119" s="55" t="s">
        <v>110</v>
      </c>
      <c r="Q119" s="67" t="str">
        <f>IFERROR(__xludf.DUMMYFUNCTION("""COMPUTED_VALUE"""),"Australia.Giaotiep.vdhv_LHV.9822_MES_DungNT_010723")</f>
        <v>Australia.Giaotiep.vdhv_LHV.9822_MES_DungNT_010723</v>
      </c>
      <c r="R119" s="67" t="str">
        <f>IFERROR(__xludf.DUMMYFUNCTION("""COMPUTED_VALUE"""),"NEW_Australia_3055_none_010723")</f>
        <v>NEW_Australia_3055_none_010723</v>
      </c>
      <c r="S119" s="67" t="str">
        <f>IFERROR(__xludf.DUMMYFUNCTION("""COMPUTED_VALUE"""),"saletructiep_Australia.vdhv.3055.Giaotiep_PTATTNDL_LD144")</f>
        <v>saletructiep_Australia.vdhv.3055.Giaotiep_PTATTNDL_LD144</v>
      </c>
      <c r="T119" s="107" t="str">
        <f>IFERROR(__xludf.DUMMYFUNCTION("""COMPUTED_VALUE"""),"https://patadovietnam.edu.vn/tienganhpatado_d1/?utm_source=Facebook&amp;utm_medium=MES&amp;utm_term=NEW_Australia_3055_none_010723&amp;utm_content=saletructiep_Australia.vdhv.3055.Giaotiep_PTATTNDL_LD144&amp;utm_campaign=Australia.Giaotiep.vdhv_LHV.9822_MES_DungNT_010723")</f>
        <v>https://patadovietnam.edu.vn/tienganhpatado_d1/?utm_source=Facebook&amp;utm_medium=MES&amp;utm_term=NEW_Australia_3055_none_010723&amp;utm_content=saletructiep_Australia.vdhv.3055.Giaotiep_PTATTNDL_LD144&amp;utm_campaign=Australia.Giaotiep.vdhv_LHV.9822_MES_DungNT_010723</v>
      </c>
      <c r="U119" s="111" t="s">
        <v>3884</v>
      </c>
    </row>
    <row r="120">
      <c r="A120" s="72">
        <v>45108.0</v>
      </c>
      <c r="B120" s="112" t="s">
        <v>3502</v>
      </c>
      <c r="C120" s="67" t="str">
        <f>IFERROR(__xludf.DUMMYFUNCTION("""COMPUTED_VALUE"""),"LD144")</f>
        <v>LD144</v>
      </c>
      <c r="D120" s="55" t="s">
        <v>42</v>
      </c>
      <c r="E120" s="55" t="s">
        <v>79</v>
      </c>
      <c r="F120" s="55" t="s">
        <v>112</v>
      </c>
      <c r="G120" s="55">
        <v>3055.0</v>
      </c>
      <c r="H120" s="55" t="s">
        <v>3306</v>
      </c>
      <c r="I120" s="55" t="s">
        <v>3887</v>
      </c>
      <c r="J120" s="168" t="s">
        <v>3888</v>
      </c>
      <c r="K120" s="167" t="s">
        <v>61</v>
      </c>
      <c r="L120" s="55" t="s">
        <v>1264</v>
      </c>
      <c r="M120" s="55" t="s">
        <v>78</v>
      </c>
      <c r="N120" s="55" t="s">
        <v>79</v>
      </c>
      <c r="O120" s="55" t="s">
        <v>218</v>
      </c>
      <c r="P120" s="55" t="s">
        <v>110</v>
      </c>
      <c r="Q120" s="67" t="str">
        <f>IFERROR(__xludf.DUMMYFUNCTION("""COMPUTED_VALUE"""),"Canada.Giaotiep.vdhv_LHV.9822_MES_DungNT_010723")</f>
        <v>Canada.Giaotiep.vdhv_LHV.9822_MES_DungNT_010723</v>
      </c>
      <c r="R120" s="67" t="str">
        <f>IFERROR(__xludf.DUMMYFUNCTION("""COMPUTED_VALUE"""),"NEW_Canada_3055_none_010723")</f>
        <v>NEW_Canada_3055_none_010723</v>
      </c>
      <c r="S120" s="67" t="str">
        <f>IFERROR(__xludf.DUMMYFUNCTION("""COMPUTED_VALUE"""),"saletructiep_Canada.vdhv.3055.Giaotiep_PTATTNDL_LD144")</f>
        <v>saletructiep_Canada.vdhv.3055.Giaotiep_PTATTNDL_LD144</v>
      </c>
      <c r="T120" s="107" t="str">
        <f>IFERROR(__xludf.DUMMYFUNCTION("""COMPUTED_VALUE"""),"https://patadovietnam.edu.vn/tienganhpatado_d1/?utm_source=Facebook&amp;utm_medium=MES&amp;utm_term=NEW_Canada_3055_none_010723&amp;utm_content=saletructiep_Canada.vdhv.3055.Giaotiep_PTATTNDL_LD144&amp;utm_campaign=Canada.Giaotiep.vdhv_LHV.9822_MES_DungNT_010723")</f>
        <v>https://patadovietnam.edu.vn/tienganhpatado_d1/?utm_source=Facebook&amp;utm_medium=MES&amp;utm_term=NEW_Canada_3055_none_010723&amp;utm_content=saletructiep_Canada.vdhv.3055.Giaotiep_PTATTNDL_LD144&amp;utm_campaign=Canada.Giaotiep.vdhv_LHV.9822_MES_DungNT_010723</v>
      </c>
      <c r="U120" s="110" t="s">
        <v>3889</v>
      </c>
    </row>
    <row r="121">
      <c r="A121" s="72">
        <v>45108.0</v>
      </c>
      <c r="B121" s="112" t="s">
        <v>3502</v>
      </c>
      <c r="C121" s="67" t="str">
        <f>IFERROR(__xludf.DUMMYFUNCTION("""COMPUTED_VALUE"""),"LD144")</f>
        <v>LD144</v>
      </c>
      <c r="D121" s="55" t="s">
        <v>42</v>
      </c>
      <c r="E121" s="55" t="s">
        <v>69</v>
      </c>
      <c r="F121" s="55" t="s">
        <v>625</v>
      </c>
      <c r="G121" s="55">
        <v>1840.0</v>
      </c>
      <c r="H121" s="55" t="s">
        <v>3306</v>
      </c>
      <c r="I121" s="55" t="s">
        <v>3890</v>
      </c>
      <c r="J121" s="168" t="s">
        <v>3891</v>
      </c>
      <c r="K121" s="167" t="s">
        <v>61</v>
      </c>
      <c r="L121" s="55" t="s">
        <v>1264</v>
      </c>
      <c r="M121" s="55" t="s">
        <v>78</v>
      </c>
      <c r="N121" s="55" t="s">
        <v>69</v>
      </c>
      <c r="O121" s="55" t="s">
        <v>218</v>
      </c>
      <c r="P121" s="55" t="s">
        <v>110</v>
      </c>
      <c r="Q121" s="67" t="str">
        <f>IFERROR(__xludf.DUMMYFUNCTION("""COMPUTED_VALUE"""),"KoreaSouth.Giaotiep.Anhsale12_LHV.9822_CVS_DungNT_010723")</f>
        <v>KoreaSouth.Giaotiep.Anhsale12_LHV.9822_CVS_DungNT_010723</v>
      </c>
      <c r="R121" s="67" t="str">
        <f>IFERROR(__xludf.DUMMYFUNCTION("""COMPUTED_VALUE"""),"NEW_KoreaSouth_1840_none_010723")</f>
        <v>NEW_KoreaSouth_1840_none_010723</v>
      </c>
      <c r="S121" s="67" t="str">
        <f>IFERROR(__xludf.DUMMYFUNCTION("""COMPUTED_VALUE"""),"saletructiep_KoreaSouth.Anhsale12.1840.Giaotiep_PTATTNDL_LD144")</f>
        <v>saletructiep_KoreaSouth.Anhsale12.1840.Giaotiep_PTATTNDL_LD144</v>
      </c>
      <c r="T121" s="107" t="str">
        <f>IFERROR(__xludf.DUMMYFUNCTION("""COMPUTED_VALUE"""),"https://patadovietnam.edu.vn/tienganhpatado_d1/?utm_source=Facebook&amp;utm_medium=CVS&amp;utm_term=NEW_KoreaSouth_1840_none_010723&amp;utm_content=saletructiep_KoreaSouth.Anhsale12.1840.Giaotiep_PTATTNDL_LD144&amp;utm_campaign=KoreaSouth.Giaotiep.Anhsale12_LHV.9822_CVS_"&amp;"DungNT_010723")</f>
        <v>https://patadovietnam.edu.vn/tienganhpatado_d1/?utm_source=Facebook&amp;utm_medium=CVS&amp;utm_term=NEW_KoreaSouth_1840_none_010723&amp;utm_content=saletructiep_KoreaSouth.Anhsale12.1840.Giaotiep_PTATTNDL_LD144&amp;utm_campaign=KoreaSouth.Giaotiep.Anhsale12_LHV.9822_CVS_DungNT_010723</v>
      </c>
      <c r="U121" s="110" t="s">
        <v>3894</v>
      </c>
    </row>
    <row r="122">
      <c r="A122" s="72">
        <v>45110.0</v>
      </c>
      <c r="B122" s="112" t="s">
        <v>3502</v>
      </c>
      <c r="C122" s="67" t="str">
        <f>IFERROR(__xludf.DUMMYFUNCTION("""COMPUTED_VALUE"""),"LD144")</f>
        <v>LD144</v>
      </c>
      <c r="D122" s="55" t="s">
        <v>42</v>
      </c>
      <c r="E122" s="55" t="s">
        <v>69</v>
      </c>
      <c r="F122" s="55" t="s">
        <v>133</v>
      </c>
      <c r="G122" s="55">
        <v>1840.0</v>
      </c>
      <c r="H122" s="55" t="s">
        <v>3306</v>
      </c>
      <c r="I122" s="55" t="s">
        <v>3319</v>
      </c>
      <c r="J122" s="168" t="s">
        <v>3321</v>
      </c>
      <c r="K122" s="167" t="s">
        <v>61</v>
      </c>
      <c r="L122" s="55" t="s">
        <v>1264</v>
      </c>
      <c r="M122" s="55" t="s">
        <v>78</v>
      </c>
      <c r="N122" s="55" t="s">
        <v>69</v>
      </c>
      <c r="O122" s="55" t="s">
        <v>218</v>
      </c>
      <c r="P122" s="55" t="s">
        <v>110</v>
      </c>
      <c r="Q122" s="67" t="str">
        <f>IFERROR(__xludf.DUMMYFUNCTION("""COMPUTED_VALUE"""),"Japan.Giaotiep.Anhsale10_LHV.9822_CVS_DungNT_030723")</f>
        <v>Japan.Giaotiep.Anhsale10_LHV.9822_CVS_DungNT_030723</v>
      </c>
      <c r="R122" s="67" t="str">
        <f>IFERROR(__xludf.DUMMYFUNCTION("""COMPUTED_VALUE"""),"NEW_Japan_1840_none_030723")</f>
        <v>NEW_Japan_1840_none_030723</v>
      </c>
      <c r="S122" s="67" t="str">
        <f>IFERROR(__xludf.DUMMYFUNCTION("""COMPUTED_VALUE"""),"saletructiep_Japan.Anhsale10.1840.Giaotiep_PTATTNDL_LD144")</f>
        <v>saletructiep_Japan.Anhsale10.1840.Giaotiep_PTATTNDL_LD144</v>
      </c>
      <c r="T122" s="107" t="str">
        <f>IFERROR(__xludf.DUMMYFUNCTION("""COMPUTED_VALUE"""),"https://patadovietnam.edu.vn/tienganhpatado_d1/?utm_source=Facebook&amp;utm_medium=CVS&amp;utm_term=NEW_Japan_1840_none_030723&amp;utm_content=saletructiep_Japan.Anhsale10.1840.Giaotiep_PTATTNDL_LD144&amp;utm_campaign=Japan.Giaotiep.Anhsale10_LHV.9822_CVS_DungNT_030723")</f>
        <v>https://patadovietnam.edu.vn/tienganhpatado_d1/?utm_source=Facebook&amp;utm_medium=CVS&amp;utm_term=NEW_Japan_1840_none_030723&amp;utm_content=saletructiep_Japan.Anhsale10.1840.Giaotiep_PTATTNDL_LD144&amp;utm_campaign=Japan.Giaotiep.Anhsale10_LHV.9822_CVS_DungNT_030723</v>
      </c>
      <c r="U122" s="110" t="s">
        <v>3870</v>
      </c>
    </row>
    <row r="123">
      <c r="A123" s="72">
        <v>45110.0</v>
      </c>
      <c r="B123" s="194" t="s">
        <v>3782</v>
      </c>
      <c r="C123" s="67" t="str">
        <f>IFERROR(__xludf.DUMMYFUNCTION("""COMPUTED_VALUE"""),"LD167")</f>
        <v>LD167</v>
      </c>
      <c r="D123" s="55" t="s">
        <v>42</v>
      </c>
      <c r="E123" s="55" t="s">
        <v>69</v>
      </c>
      <c r="F123" s="55" t="s">
        <v>625</v>
      </c>
      <c r="G123" s="55">
        <v>1840.0</v>
      </c>
      <c r="H123" s="55" t="s">
        <v>3306</v>
      </c>
      <c r="I123" s="55" t="s">
        <v>3745</v>
      </c>
      <c r="J123" s="168" t="s">
        <v>3746</v>
      </c>
      <c r="K123" s="167" t="s">
        <v>61</v>
      </c>
      <c r="L123" s="55" t="s">
        <v>1264</v>
      </c>
      <c r="M123" s="55" t="s">
        <v>78</v>
      </c>
      <c r="N123" s="55" t="s">
        <v>69</v>
      </c>
      <c r="O123" s="55" t="s">
        <v>218</v>
      </c>
      <c r="P123" s="55" t="s">
        <v>110</v>
      </c>
      <c r="Q123" s="67" t="str">
        <f>IFERROR(__xludf.DUMMYFUNCTION("""COMPUTED_VALUE"""),"KoreaSouth.Giaotiep.Anhsale13_LHV.9822_CVS_DungNT_030723")</f>
        <v>KoreaSouth.Giaotiep.Anhsale13_LHV.9822_CVS_DungNT_030723</v>
      </c>
      <c r="R123" s="67" t="str">
        <f>IFERROR(__xludf.DUMMYFUNCTION("""COMPUTED_VALUE"""),"NEW_KoreaSouth_1840_none_030723")</f>
        <v>NEW_KoreaSouth_1840_none_030723</v>
      </c>
      <c r="S123" s="67" t="str">
        <f>IFERROR(__xludf.DUMMYFUNCTION("""COMPUTED_VALUE"""),"saletructiep_KoreaSouth.Anhsale13.1840.Giaotiep_PTATTNDL_LD167")</f>
        <v>saletructiep_KoreaSouth.Anhsale13.1840.Giaotiep_PTATTNDL_LD167</v>
      </c>
      <c r="T123" s="107" t="str">
        <f>IFERROR(__xludf.DUMMYFUNCTION("""COMPUTED_VALUE"""),"https://patadovietnam.edu.vn/tienganhnguoidilam_dnt/?utm_source=Facebook&amp;utm_medium=CVS&amp;utm_term=NEW_KoreaSouth_1840_none_030723&amp;utm_content=saletructiep_KoreaSouth.Anhsale13.1840.Giaotiep_PTATTNDL_LD167&amp;utm_campaign=KoreaSouth.Giaotiep.Anhsale13_LHV.9822"&amp;"_CVS_DungNT_030723")</f>
        <v>https://patadovietnam.edu.vn/tienganhnguoidilam_dnt/?utm_source=Facebook&amp;utm_medium=CVS&amp;utm_term=NEW_KoreaSouth_1840_none_030723&amp;utm_content=saletructiep_KoreaSouth.Anhsale13.1840.Giaotiep_PTATTNDL_LD167&amp;utm_campaign=KoreaSouth.Giaotiep.Anhsale13_LHV.9822_CVS_DungNT_030723</v>
      </c>
      <c r="U123" s="110" t="s">
        <v>3835</v>
      </c>
    </row>
    <row r="124">
      <c r="A124" s="72">
        <v>45112.0</v>
      </c>
      <c r="B124" s="194" t="s">
        <v>3782</v>
      </c>
      <c r="C124" s="67" t="str">
        <f>IFERROR(__xludf.DUMMYFUNCTION("""COMPUTED_VALUE"""),"LD167")</f>
        <v>LD167</v>
      </c>
      <c r="D124" s="55" t="s">
        <v>42</v>
      </c>
      <c r="E124" s="55" t="s">
        <v>69</v>
      </c>
      <c r="F124" s="55" t="s">
        <v>674</v>
      </c>
      <c r="G124" s="55">
        <v>3055.0</v>
      </c>
      <c r="H124" s="55" t="s">
        <v>3306</v>
      </c>
      <c r="I124" s="55" t="s">
        <v>3725</v>
      </c>
      <c r="J124" s="168" t="s">
        <v>3873</v>
      </c>
      <c r="K124" s="167" t="s">
        <v>61</v>
      </c>
      <c r="L124" s="55" t="s">
        <v>1264</v>
      </c>
      <c r="M124" s="55" t="s">
        <v>78</v>
      </c>
      <c r="N124" s="55" t="s">
        <v>69</v>
      </c>
      <c r="O124" s="55" t="s">
        <v>218</v>
      </c>
      <c r="P124" s="55" t="s">
        <v>110</v>
      </c>
      <c r="Q124" s="67" t="str">
        <f>IFERROR(__xludf.DUMMYFUNCTION("""COMPUTED_VALUE"""),"Europe.Giaotiep.Anhsale12_LHV.9822_CVS_DungNT_050723")</f>
        <v>Europe.Giaotiep.Anhsale12_LHV.9822_CVS_DungNT_050723</v>
      </c>
      <c r="R124" s="67" t="str">
        <f>IFERROR(__xludf.DUMMYFUNCTION("""COMPUTED_VALUE"""),"NEW_Europe_3055_none_050723")</f>
        <v>NEW_Europe_3055_none_050723</v>
      </c>
      <c r="S124" s="67" t="str">
        <f>IFERROR(__xludf.DUMMYFUNCTION("""COMPUTED_VALUE"""),"saletructiep_Europe.Anhsale12.3055.Giaotiep_PTATTNDL_LD167")</f>
        <v>saletructiep_Europe.Anhsale12.3055.Giaotiep_PTATTNDL_LD167</v>
      </c>
      <c r="T124" s="107" t="str">
        <f>IFERROR(__xludf.DUMMYFUNCTION("""COMPUTED_VALUE"""),"https://patadovietnam.edu.vn/tienganhnguoidilam_dnt/?utm_source=Facebook&amp;utm_medium=CVS&amp;utm_term=NEW_Europe_3055_none_050723&amp;utm_content=saletructiep_Europe.Anhsale12.3055.Giaotiep_PTATTNDL_LD167&amp;utm_campaign=Europe.Giaotiep.Anhsale12_LHV.9822_CVS_DungNT_"&amp;"050723")</f>
        <v>https://patadovietnam.edu.vn/tienganhnguoidilam_dnt/?utm_source=Facebook&amp;utm_medium=CVS&amp;utm_term=NEW_Europe_3055_none_050723&amp;utm_content=saletructiep_Europe.Anhsale12.3055.Giaotiep_PTATTNDL_LD167&amp;utm_campaign=Europe.Giaotiep.Anhsale12_LHV.9822_CVS_DungNT_050723</v>
      </c>
      <c r="U124" s="110" t="s">
        <v>3876</v>
      </c>
    </row>
    <row r="125">
      <c r="A125" s="72">
        <v>45112.0</v>
      </c>
      <c r="B125" s="112" t="s">
        <v>3502</v>
      </c>
      <c r="C125" s="67" t="str">
        <f>IFERROR(__xludf.DUMMYFUNCTION("""COMPUTED_VALUE"""),"LD144")</f>
        <v>LD144</v>
      </c>
      <c r="D125" s="55" t="s">
        <v>42</v>
      </c>
      <c r="E125" s="55" t="s">
        <v>79</v>
      </c>
      <c r="F125" s="55" t="s">
        <v>129</v>
      </c>
      <c r="G125" s="55">
        <v>3055.0</v>
      </c>
      <c r="H125" s="55" t="s">
        <v>3306</v>
      </c>
      <c r="I125" s="55" t="s">
        <v>3881</v>
      </c>
      <c r="J125" s="168" t="s">
        <v>3882</v>
      </c>
      <c r="K125" s="167" t="s">
        <v>61</v>
      </c>
      <c r="L125" s="55" t="s">
        <v>1264</v>
      </c>
      <c r="M125" s="55" t="s">
        <v>78</v>
      </c>
      <c r="N125" s="55" t="s">
        <v>79</v>
      </c>
      <c r="O125" s="55" t="s">
        <v>218</v>
      </c>
      <c r="P125" s="55" t="s">
        <v>110</v>
      </c>
      <c r="Q125" s="67" t="str">
        <f>IFERROR(__xludf.DUMMYFUNCTION("""COMPUTED_VALUE"""),"Australia.Giaotiep.vdhv_LHV.9822_MES_DungNT_050723")</f>
        <v>Australia.Giaotiep.vdhv_LHV.9822_MES_DungNT_050723</v>
      </c>
      <c r="R125" s="67" t="str">
        <f>IFERROR(__xludf.DUMMYFUNCTION("""COMPUTED_VALUE"""),"NEW_Australia_3055_none_050723")</f>
        <v>NEW_Australia_3055_none_050723</v>
      </c>
      <c r="S125" s="67" t="str">
        <f>IFERROR(__xludf.DUMMYFUNCTION("""COMPUTED_VALUE"""),"saletructiep_Australia.vdhv.3055.Giaotiep_PTATTNDL_LD144")</f>
        <v>saletructiep_Australia.vdhv.3055.Giaotiep_PTATTNDL_LD144</v>
      </c>
      <c r="T125" s="107" t="str">
        <f>IFERROR(__xludf.DUMMYFUNCTION("""COMPUTED_VALUE"""),"https://patadovietnam.edu.vn/tienganhpatado_d1/?utm_source=Facebook&amp;utm_medium=MES&amp;utm_term=NEW_Australia_3055_none_050723&amp;utm_content=saletructiep_Australia.vdhv.3055.Giaotiep_PTATTNDL_LD144&amp;utm_campaign=Australia.Giaotiep.vdhv_LHV.9822_MES_DungNT_050723")</f>
        <v>https://patadovietnam.edu.vn/tienganhpatado_d1/?utm_source=Facebook&amp;utm_medium=MES&amp;utm_term=NEW_Australia_3055_none_050723&amp;utm_content=saletructiep_Australia.vdhv.3055.Giaotiep_PTATTNDL_LD144&amp;utm_campaign=Australia.Giaotiep.vdhv_LHV.9822_MES_DungNT_050723</v>
      </c>
      <c r="U125" s="111" t="s">
        <v>3884</v>
      </c>
    </row>
    <row r="126">
      <c r="A126" s="72">
        <v>45114.0</v>
      </c>
      <c r="B126" s="112" t="s">
        <v>3502</v>
      </c>
      <c r="C126" s="67" t="str">
        <f>IFERROR(__xludf.DUMMYFUNCTION("""COMPUTED_VALUE"""),"LD144")</f>
        <v>LD144</v>
      </c>
      <c r="D126" s="55" t="s">
        <v>42</v>
      </c>
      <c r="E126" s="55" t="s">
        <v>69</v>
      </c>
      <c r="F126" s="55" t="s">
        <v>625</v>
      </c>
      <c r="G126" s="55">
        <v>1840.0</v>
      </c>
      <c r="H126" s="55" t="s">
        <v>3306</v>
      </c>
      <c r="I126" s="55" t="s">
        <v>3890</v>
      </c>
      <c r="J126" s="168" t="s">
        <v>3891</v>
      </c>
      <c r="K126" s="167" t="s">
        <v>61</v>
      </c>
      <c r="L126" s="55" t="s">
        <v>1264</v>
      </c>
      <c r="M126" s="55" t="s">
        <v>78</v>
      </c>
      <c r="N126" s="55" t="s">
        <v>69</v>
      </c>
      <c r="O126" s="55" t="s">
        <v>218</v>
      </c>
      <c r="P126" s="55" t="s">
        <v>110</v>
      </c>
      <c r="Q126" s="67" t="str">
        <f>IFERROR(__xludf.DUMMYFUNCTION("""COMPUTED_VALUE"""),"KoreaSouth.Giaotiep.Anhsale12_LHV.9822_CVS_DungNT_070723")</f>
        <v>KoreaSouth.Giaotiep.Anhsale12_LHV.9822_CVS_DungNT_070723</v>
      </c>
      <c r="R126" s="67" t="str">
        <f>IFERROR(__xludf.DUMMYFUNCTION("""COMPUTED_VALUE"""),"NEW_KoreaSouth_1840_none_070723")</f>
        <v>NEW_KoreaSouth_1840_none_070723</v>
      </c>
      <c r="S126" s="67" t="str">
        <f>IFERROR(__xludf.DUMMYFUNCTION("""COMPUTED_VALUE"""),"saletructiep_KoreaSouth.Anhsale12.1840.Giaotiep_PTATTNDL_LD144")</f>
        <v>saletructiep_KoreaSouth.Anhsale12.1840.Giaotiep_PTATTNDL_LD144</v>
      </c>
      <c r="T126" s="107" t="str">
        <f>IFERROR(__xludf.DUMMYFUNCTION("""COMPUTED_VALUE"""),"https://patadovietnam.edu.vn/tienganhpatado_d1/?utm_source=Facebook&amp;utm_medium=CVS&amp;utm_term=NEW_KoreaSouth_1840_none_070723&amp;utm_content=saletructiep_KoreaSouth.Anhsale12.1840.Giaotiep_PTATTNDL_LD144&amp;utm_campaign=KoreaSouth.Giaotiep.Anhsale12_LHV.9822_CVS_"&amp;"DungNT_070723")</f>
        <v>https://patadovietnam.edu.vn/tienganhpatado_d1/?utm_source=Facebook&amp;utm_medium=CVS&amp;utm_term=NEW_KoreaSouth_1840_none_070723&amp;utm_content=saletructiep_KoreaSouth.Anhsale12.1840.Giaotiep_PTATTNDL_LD144&amp;utm_campaign=KoreaSouth.Giaotiep.Anhsale12_LHV.9822_CVS_DungNT_070723</v>
      </c>
      <c r="U126" s="110" t="s">
        <v>3894</v>
      </c>
    </row>
    <row r="127">
      <c r="A127" s="72">
        <v>45123.0</v>
      </c>
      <c r="B127" s="194" t="s">
        <v>3782</v>
      </c>
      <c r="C127" s="67" t="str">
        <f>IFERROR(__xludf.DUMMYFUNCTION("""COMPUTED_VALUE"""),"LD167")</f>
        <v>LD167</v>
      </c>
      <c r="D127" s="55" t="s">
        <v>42</v>
      </c>
      <c r="E127" s="55" t="s">
        <v>69</v>
      </c>
      <c r="F127" s="55" t="s">
        <v>625</v>
      </c>
      <c r="G127" s="55">
        <v>1840.0</v>
      </c>
      <c r="H127" s="55" t="s">
        <v>3306</v>
      </c>
      <c r="I127" s="55" t="s">
        <v>3914</v>
      </c>
      <c r="J127" s="168" t="s">
        <v>3915</v>
      </c>
      <c r="K127" s="167" t="s">
        <v>61</v>
      </c>
      <c r="L127" s="55" t="s">
        <v>1264</v>
      </c>
      <c r="M127" s="55" t="s">
        <v>78</v>
      </c>
      <c r="N127" s="55" t="s">
        <v>69</v>
      </c>
      <c r="O127" s="55" t="s">
        <v>218</v>
      </c>
      <c r="P127" s="55" t="s">
        <v>110</v>
      </c>
      <c r="Q127" s="67" t="str">
        <f>IFERROR(__xludf.DUMMYFUNCTION("""COMPUTED_VALUE"""),"KoreaSouth.Giaotiep.Anhjh_LHV.9822_CVS_DungNT_160723")</f>
        <v>KoreaSouth.Giaotiep.Anhjh_LHV.9822_CVS_DungNT_160723</v>
      </c>
      <c r="R127" s="67" t="str">
        <f>IFERROR(__xludf.DUMMYFUNCTION("""COMPUTED_VALUE"""),"NEW_KoreaSouth_1840_none_160723")</f>
        <v>NEW_KoreaSouth_1840_none_160723</v>
      </c>
      <c r="S127" s="67" t="str">
        <f>IFERROR(__xludf.DUMMYFUNCTION("""COMPUTED_VALUE"""),"saletructiep_KoreaSouth.Anhjh.1840.Giaotiep_PTATTNDL_LD167")</f>
        <v>saletructiep_KoreaSouth.Anhjh.1840.Giaotiep_PTATTNDL_LD167</v>
      </c>
      <c r="T127" s="107" t="str">
        <f>IFERROR(__xludf.DUMMYFUNCTION("""COMPUTED_VALUE"""),"https://patadovietnam.edu.vn/tienganhnguoidilam_dnt/?utm_source=Facebook&amp;utm_medium=CVS&amp;utm_term=NEW_KoreaSouth_1840_none_160723&amp;utm_content=saletructiep_KoreaSouth.Anhjh.1840.Giaotiep_PTATTNDL_LD167&amp;utm_campaign=KoreaSouth.Giaotiep.Anhjh_LHV.9822_CVS_Dun"&amp;"gNT_160723")</f>
        <v>https://patadovietnam.edu.vn/tienganhnguoidilam_dnt/?utm_source=Facebook&amp;utm_medium=CVS&amp;utm_term=NEW_KoreaSouth_1840_none_160723&amp;utm_content=saletructiep_KoreaSouth.Anhjh.1840.Giaotiep_PTATTNDL_LD167&amp;utm_campaign=KoreaSouth.Giaotiep.Anhjh_LHV.9822_CVS_DungNT_160723</v>
      </c>
      <c r="U127" s="111" t="s">
        <v>3894</v>
      </c>
    </row>
    <row r="128">
      <c r="A128" s="72">
        <v>45123.0</v>
      </c>
      <c r="B128" s="194" t="s">
        <v>3782</v>
      </c>
      <c r="C128" s="67" t="str">
        <f>IFERROR(__xludf.DUMMYFUNCTION("""COMPUTED_VALUE"""),"LD167")</f>
        <v>LD167</v>
      </c>
      <c r="D128" s="55" t="s">
        <v>42</v>
      </c>
      <c r="E128" s="55" t="s">
        <v>79</v>
      </c>
      <c r="F128" s="55" t="s">
        <v>174</v>
      </c>
      <c r="G128" s="55">
        <v>2045.0</v>
      </c>
      <c r="H128" s="55" t="s">
        <v>3306</v>
      </c>
      <c r="I128" s="55" t="s">
        <v>3920</v>
      </c>
      <c r="J128" s="168" t="s">
        <v>3921</v>
      </c>
      <c r="K128" s="167" t="s">
        <v>61</v>
      </c>
      <c r="L128" s="55" t="s">
        <v>1264</v>
      </c>
      <c r="M128" s="55" t="s">
        <v>78</v>
      </c>
      <c r="N128" s="55" t="s">
        <v>79</v>
      </c>
      <c r="O128" s="55" t="s">
        <v>218</v>
      </c>
      <c r="P128" s="55" t="s">
        <v>110</v>
      </c>
      <c r="Q128" s="67" t="str">
        <f>IFERROR(__xludf.DUMMYFUNCTION("""COMPUTED_VALUE"""),"Philippines.Giaotiep.anhjh_LHV.9822_MES_DungNT_160723")</f>
        <v>Philippines.Giaotiep.anhjh_LHV.9822_MES_DungNT_160723</v>
      </c>
      <c r="R128" s="67" t="str">
        <f>IFERROR(__xludf.DUMMYFUNCTION("""COMPUTED_VALUE"""),"NEW_Philippines_2045_none_160723")</f>
        <v>NEW_Philippines_2045_none_160723</v>
      </c>
      <c r="S128" s="67" t="str">
        <f>IFERROR(__xludf.DUMMYFUNCTION("""COMPUTED_VALUE"""),"saletructiep_Philippines.anhjh.2045.Giaotiep_PTATTNDL_LD167")</f>
        <v>saletructiep_Philippines.anhjh.2045.Giaotiep_PTATTNDL_LD167</v>
      </c>
      <c r="T128" s="107" t="str">
        <f>IFERROR(__xludf.DUMMYFUNCTION("""COMPUTED_VALUE"""),"https://patadovietnam.edu.vn/tienganhnguoidilam_dnt/?utm_source=Facebook&amp;utm_medium=MES&amp;utm_term=NEW_Philippines_2045_none_160723&amp;utm_content=saletructiep_Philippines.anhjh.2045.Giaotiep_PTATTNDL_LD167&amp;utm_campaign=Philippines.Giaotiep.anhjh_LHV.9822_MES_"&amp;"DungNT_160723")</f>
        <v>https://patadovietnam.edu.vn/tienganhnguoidilam_dnt/?utm_source=Facebook&amp;utm_medium=MES&amp;utm_term=NEW_Philippines_2045_none_160723&amp;utm_content=saletructiep_Philippines.anhjh.2045.Giaotiep_PTATTNDL_LD167&amp;utm_campaign=Philippines.Giaotiep.anhjh_LHV.9822_MES_DungNT_160723</v>
      </c>
      <c r="U128" s="111" t="s">
        <v>3924</v>
      </c>
    </row>
    <row r="129">
      <c r="A129" s="72">
        <v>45123.0</v>
      </c>
      <c r="B129" s="194" t="s">
        <v>3782</v>
      </c>
      <c r="C129" s="67" t="str">
        <f>IFERROR(__xludf.DUMMYFUNCTION("""COMPUTED_VALUE"""),"LD167")</f>
        <v>LD167</v>
      </c>
      <c r="D129" s="55" t="s">
        <v>42</v>
      </c>
      <c r="E129" s="55" t="s">
        <v>79</v>
      </c>
      <c r="F129" s="55" t="s">
        <v>164</v>
      </c>
      <c r="G129" s="55">
        <v>2045.0</v>
      </c>
      <c r="H129" s="55" t="s">
        <v>3306</v>
      </c>
      <c r="I129" s="55" t="s">
        <v>3927</v>
      </c>
      <c r="J129" s="168" t="s">
        <v>3931</v>
      </c>
      <c r="K129" s="167" t="s">
        <v>61</v>
      </c>
      <c r="L129" s="55" t="s">
        <v>1264</v>
      </c>
      <c r="M129" s="55" t="s">
        <v>78</v>
      </c>
      <c r="N129" s="55" t="s">
        <v>79</v>
      </c>
      <c r="O129" s="55" t="s">
        <v>218</v>
      </c>
      <c r="P129" s="55" t="s">
        <v>110</v>
      </c>
      <c r="Q129" s="117" t="str">
        <f>IFERROR(__xludf.DUMMYFUNCTION("""COMPUTED_VALUE"""),"Taiwan.Giaotiep.anhjh_LHV.9822_MES_DungNT_160723")</f>
        <v>Taiwan.Giaotiep.anhjh_LHV.9822_MES_DungNT_160723</v>
      </c>
      <c r="R129" s="67" t="str">
        <f>IFERROR(__xludf.DUMMYFUNCTION("""COMPUTED_VALUE"""),"NEW_Taiwan_2045_none_160723")</f>
        <v>NEW_Taiwan_2045_none_160723</v>
      </c>
      <c r="S129" s="67" t="str">
        <f>IFERROR(__xludf.DUMMYFUNCTION("""COMPUTED_VALUE"""),"saletructiep_Taiwan.anhjh.2045.Giaotiep_PTATTNDL_LD167")</f>
        <v>saletructiep_Taiwan.anhjh.2045.Giaotiep_PTATTNDL_LD167</v>
      </c>
      <c r="T129" s="107" t="str">
        <f>IFERROR(__xludf.DUMMYFUNCTION("""COMPUTED_VALUE"""),"https://patadovietnam.edu.vn/tienganhnguoidilam_dnt/?utm_source=Facebook&amp;utm_medium=MES&amp;utm_term=NEW_Taiwan_2045_none_160723&amp;utm_content=saletructiep_Taiwan.anhjh.2045.Giaotiep_PTATTNDL_LD167&amp;utm_campaign=Taiwan.Giaotiep.anhjh_LHV.9822_MES_DungNT_160723")</f>
        <v>https://patadovietnam.edu.vn/tienganhnguoidilam_dnt/?utm_source=Facebook&amp;utm_medium=MES&amp;utm_term=NEW_Taiwan_2045_none_160723&amp;utm_content=saletructiep_Taiwan.anhjh.2045.Giaotiep_PTATTNDL_LD167&amp;utm_campaign=Taiwan.Giaotiep.anhjh_LHV.9822_MES_DungNT_160723</v>
      </c>
      <c r="U129" s="111" t="s">
        <v>3933</v>
      </c>
    </row>
    <row r="130">
      <c r="A130" s="72">
        <v>45127.0</v>
      </c>
      <c r="B130" s="194" t="s">
        <v>3782</v>
      </c>
      <c r="C130" s="67" t="str">
        <f>IFERROR(__xludf.DUMMYFUNCTION("""COMPUTED_VALUE"""),"LD167")</f>
        <v>LD167</v>
      </c>
      <c r="D130" s="55" t="s">
        <v>42</v>
      </c>
      <c r="E130" s="55" t="s">
        <v>79</v>
      </c>
      <c r="F130" s="55" t="s">
        <v>107</v>
      </c>
      <c r="G130" s="55">
        <v>2055.0</v>
      </c>
      <c r="H130" s="55" t="s">
        <v>3306</v>
      </c>
      <c r="I130" s="55" t="s">
        <v>3939</v>
      </c>
      <c r="J130" s="168" t="s">
        <v>3941</v>
      </c>
      <c r="K130" s="167" t="s">
        <v>61</v>
      </c>
      <c r="L130" s="55" t="s">
        <v>1264</v>
      </c>
      <c r="M130" s="55" t="s">
        <v>78</v>
      </c>
      <c r="N130" s="55" t="s">
        <v>79</v>
      </c>
      <c r="O130" s="55" t="s">
        <v>218</v>
      </c>
      <c r="P130" s="55" t="s">
        <v>110</v>
      </c>
      <c r="Q130" s="67" t="str">
        <f>IFERROR(__xludf.DUMMYFUNCTION("""COMPUTED_VALUE"""),"UnitedStates.Giaotiep.vdlh_LHV.9822_MES_DungNT_200723")</f>
        <v>UnitedStates.Giaotiep.vdlh_LHV.9822_MES_DungNT_200723</v>
      </c>
      <c r="R130" s="67" t="str">
        <f>IFERROR(__xludf.DUMMYFUNCTION("""COMPUTED_VALUE"""),"NEW_UnitedStates_2055_none_200723")</f>
        <v>NEW_UnitedStates_2055_none_200723</v>
      </c>
      <c r="S130" s="67" t="str">
        <f>IFERROR(__xludf.DUMMYFUNCTION("""COMPUTED_VALUE"""),"saletructiep_UnitedStates.vdlh.2055.Giaotiep_PTATTNDL_LD167")</f>
        <v>saletructiep_UnitedStates.vdlh.2055.Giaotiep_PTATTNDL_LD167</v>
      </c>
      <c r="T130" s="107" t="str">
        <f>IFERROR(__xludf.DUMMYFUNCTION("""COMPUTED_VALUE"""),"https://patadovietnam.edu.vn/tienganhnguoidilam_dnt/?utm_source=Facebook&amp;utm_medium=MES&amp;utm_term=NEW_UnitedStates_2055_none_200723&amp;utm_content=saletructiep_UnitedStates.vdlh.2055.Giaotiep_PTATTNDL_LD167&amp;utm_campaign=UnitedStates.Giaotiep.vdlh_LHV.9822_MES"&amp;"_DungNT_200723")</f>
        <v>https://patadovietnam.edu.vn/tienganhnguoidilam_dnt/?utm_source=Facebook&amp;utm_medium=MES&amp;utm_term=NEW_UnitedStates_2055_none_200723&amp;utm_content=saletructiep_UnitedStates.vdlh.2055.Giaotiep_PTATTNDL_LD167&amp;utm_campaign=UnitedStates.Giaotiep.vdlh_LHV.9822_MES_DungNT_200723</v>
      </c>
      <c r="U130" s="116"/>
    </row>
    <row r="131">
      <c r="A131" s="72">
        <v>45127.0</v>
      </c>
      <c r="B131" s="194" t="s">
        <v>3782</v>
      </c>
      <c r="C131" s="67" t="str">
        <f>IFERROR(__xludf.DUMMYFUNCTION("""COMPUTED_VALUE"""),"LD167")</f>
        <v>LD167</v>
      </c>
      <c r="D131" s="55" t="s">
        <v>42</v>
      </c>
      <c r="E131" s="55" t="s">
        <v>79</v>
      </c>
      <c r="F131" s="55" t="s">
        <v>129</v>
      </c>
      <c r="G131" s="55">
        <v>2055.0</v>
      </c>
      <c r="H131" s="55" t="s">
        <v>3306</v>
      </c>
      <c r="I131" s="55" t="s">
        <v>3944</v>
      </c>
      <c r="J131" s="168" t="s">
        <v>3945</v>
      </c>
      <c r="K131" s="167" t="s">
        <v>61</v>
      </c>
      <c r="L131" s="55" t="s">
        <v>1264</v>
      </c>
      <c r="M131" s="55" t="s">
        <v>78</v>
      </c>
      <c r="N131" s="55" t="s">
        <v>79</v>
      </c>
      <c r="O131" s="55" t="s">
        <v>218</v>
      </c>
      <c r="P131" s="55" t="s">
        <v>110</v>
      </c>
      <c r="Q131" s="67" t="str">
        <f>IFERROR(__xludf.DUMMYFUNCTION("""COMPUTED_VALUE"""),"Australia.Giaotiep.vdlh_LHV.9822_MES_DungNT_200723")</f>
        <v>Australia.Giaotiep.vdlh_LHV.9822_MES_DungNT_200723</v>
      </c>
      <c r="R131" s="67" t="str">
        <f>IFERROR(__xludf.DUMMYFUNCTION("""COMPUTED_VALUE"""),"NEW_Australia_2055_none_200723")</f>
        <v>NEW_Australia_2055_none_200723</v>
      </c>
      <c r="S131" s="67" t="str">
        <f>IFERROR(__xludf.DUMMYFUNCTION("""COMPUTED_VALUE"""),"saletructiep_Australia.vdlh.2055.Giaotiep_PTATTNDL_LD167")</f>
        <v>saletructiep_Australia.vdlh.2055.Giaotiep_PTATTNDL_LD167</v>
      </c>
      <c r="T131" s="107" t="str">
        <f>IFERROR(__xludf.DUMMYFUNCTION("""COMPUTED_VALUE"""),"https://patadovietnam.edu.vn/tienganhnguoidilam_dnt/?utm_source=Facebook&amp;utm_medium=MES&amp;utm_term=NEW_Australia_2055_none_200723&amp;utm_content=saletructiep_Australia.vdlh.2055.Giaotiep_PTATTNDL_LD167&amp;utm_campaign=Australia.Giaotiep.vdlh_LHV.9822_MES_DungNT_2"&amp;"00723")</f>
        <v>https://patadovietnam.edu.vn/tienganhnguoidilam_dnt/?utm_source=Facebook&amp;utm_medium=MES&amp;utm_term=NEW_Australia_2055_none_200723&amp;utm_content=saletructiep_Australia.vdlh.2055.Giaotiep_PTATTNDL_LD167&amp;utm_campaign=Australia.Giaotiep.vdlh_LHV.9822_MES_DungNT_200723</v>
      </c>
      <c r="U131" s="116"/>
    </row>
    <row r="132">
      <c r="A132" s="72">
        <v>45127.0</v>
      </c>
      <c r="B132" s="194" t="s">
        <v>3782</v>
      </c>
      <c r="C132" s="67" t="str">
        <f>IFERROR(__xludf.DUMMYFUNCTION("""COMPUTED_VALUE"""),"LD167")</f>
        <v>LD167</v>
      </c>
      <c r="D132" s="55" t="s">
        <v>42</v>
      </c>
      <c r="E132" s="55" t="s">
        <v>79</v>
      </c>
      <c r="F132" s="55" t="s">
        <v>112</v>
      </c>
      <c r="G132" s="55">
        <v>2055.0</v>
      </c>
      <c r="H132" s="55" t="s">
        <v>3306</v>
      </c>
      <c r="I132" s="55" t="s">
        <v>3950</v>
      </c>
      <c r="J132" s="168" t="s">
        <v>3952</v>
      </c>
      <c r="K132" s="167" t="s">
        <v>61</v>
      </c>
      <c r="L132" s="55" t="s">
        <v>1264</v>
      </c>
      <c r="M132" s="55" t="s">
        <v>78</v>
      </c>
      <c r="N132" s="55" t="s">
        <v>79</v>
      </c>
      <c r="O132" s="55" t="s">
        <v>218</v>
      </c>
      <c r="P132" s="55" t="s">
        <v>110</v>
      </c>
      <c r="Q132" s="67" t="str">
        <f>IFERROR(__xludf.DUMMYFUNCTION("""COMPUTED_VALUE"""),"Canada.Giaotiep.vdlh_LHV.9822_MES_DungNT_200723")</f>
        <v>Canada.Giaotiep.vdlh_LHV.9822_MES_DungNT_200723</v>
      </c>
      <c r="R132" s="67" t="str">
        <f>IFERROR(__xludf.DUMMYFUNCTION("""COMPUTED_VALUE"""),"NEW_Canada_2055_none_200723")</f>
        <v>NEW_Canada_2055_none_200723</v>
      </c>
      <c r="S132" s="67" t="str">
        <f>IFERROR(__xludf.DUMMYFUNCTION("""COMPUTED_VALUE"""),"saletructiep_Canada.vdlh.2055.Giaotiep_PTATTNDL_LD167")</f>
        <v>saletructiep_Canada.vdlh.2055.Giaotiep_PTATTNDL_LD167</v>
      </c>
      <c r="T132" s="107" t="str">
        <f>IFERROR(__xludf.DUMMYFUNCTION("""COMPUTED_VALUE"""),"https://patadovietnam.edu.vn/tienganhnguoidilam_dnt/?utm_source=Facebook&amp;utm_medium=MES&amp;utm_term=NEW_Canada_2055_none_200723&amp;utm_content=saletructiep_Canada.vdlh.2055.Giaotiep_PTATTNDL_LD167&amp;utm_campaign=Canada.Giaotiep.vdlh_LHV.9822_MES_DungNT_200723")</f>
        <v>https://patadovietnam.edu.vn/tienganhnguoidilam_dnt/?utm_source=Facebook&amp;utm_medium=MES&amp;utm_term=NEW_Canada_2055_none_200723&amp;utm_content=saletructiep_Canada.vdlh.2055.Giaotiep_PTATTNDL_LD167&amp;utm_campaign=Canada.Giaotiep.vdlh_LHV.9822_MES_DungNT_200723</v>
      </c>
      <c r="U132" s="110" t="s">
        <v>3955</v>
      </c>
    </row>
    <row r="133">
      <c r="A133" s="72">
        <v>45128.0</v>
      </c>
      <c r="B133" s="112" t="s">
        <v>3957</v>
      </c>
      <c r="C133" s="67" t="str">
        <f>IFERROR(__xludf.DUMMYFUNCTION("""COMPUTED_VALUE"""),"LD174")</f>
        <v>LD174</v>
      </c>
      <c r="D133" s="55" t="s">
        <v>42</v>
      </c>
      <c r="E133" s="55" t="s">
        <v>69</v>
      </c>
      <c r="F133" s="55" t="s">
        <v>625</v>
      </c>
      <c r="G133" s="55">
        <v>1840.0</v>
      </c>
      <c r="H133" s="55" t="s">
        <v>3306</v>
      </c>
      <c r="I133" s="55" t="s">
        <v>3958</v>
      </c>
      <c r="J133" s="168" t="s">
        <v>3959</v>
      </c>
      <c r="K133" s="167" t="s">
        <v>61</v>
      </c>
      <c r="L133" s="55" t="s">
        <v>1264</v>
      </c>
      <c r="M133" s="55" t="s">
        <v>78</v>
      </c>
      <c r="N133" s="55" t="s">
        <v>69</v>
      </c>
      <c r="O133" s="55" t="s">
        <v>218</v>
      </c>
      <c r="P133" s="55" t="s">
        <v>110</v>
      </c>
      <c r="Q133" s="67" t="str">
        <f>IFERROR(__xludf.DUMMYFUNCTION("""COMPUTED_VALUE"""),"KoreaSouth.Giaotiep.Anhtblh_LHV.9822_CVS_DungNT_210723")</f>
        <v>KoreaSouth.Giaotiep.Anhtblh_LHV.9822_CVS_DungNT_210723</v>
      </c>
      <c r="R133" s="67" t="str">
        <f>IFERROR(__xludf.DUMMYFUNCTION("""COMPUTED_VALUE"""),"NEW_KoreaSouth_1840_none_210723")</f>
        <v>NEW_KoreaSouth_1840_none_210723</v>
      </c>
      <c r="S133" s="67" t="str">
        <f>IFERROR(__xludf.DUMMYFUNCTION("""COMPUTED_VALUE"""),"saletructiep_KoreaSouth.Anhtblh.1840.Giaotiep_PTATTNDL_LD174")</f>
        <v>saletructiep_KoreaSouth.Anhtblh.1840.Giaotiep_PTATTNDL_LD174</v>
      </c>
      <c r="T133" s="107" t="str">
        <f>IFERROR(__xludf.DUMMYFUNCTION("""COMPUTED_VALUE"""),"https://patadovietnam.edu.vn/tienganhnguoidilamkorea/?utm_source=Facebook&amp;utm_medium=CVS&amp;utm_term=NEW_KoreaSouth_1840_none_210723&amp;utm_content=saletructiep_KoreaSouth.Anhtblh.1840.Giaotiep_PTATTNDL_LD174&amp;utm_campaign=KoreaSouth.Giaotiep.Anhtblh_LHV.9822_CV"&amp;"S_DungNT_210723")</f>
        <v>https://patadovietnam.edu.vn/tienganhnguoidilamkorea/?utm_source=Facebook&amp;utm_medium=CVS&amp;utm_term=NEW_KoreaSouth_1840_none_210723&amp;utm_content=saletructiep_KoreaSouth.Anhtblh.1840.Giaotiep_PTATTNDL_LD174&amp;utm_campaign=KoreaSouth.Giaotiep.Anhtblh_LHV.9822_CVS_DungNT_210723</v>
      </c>
      <c r="U133" s="111" t="s">
        <v>3963</v>
      </c>
    </row>
    <row r="134">
      <c r="A134" s="72">
        <v>45128.0</v>
      </c>
      <c r="B134" s="194" t="s">
        <v>3782</v>
      </c>
      <c r="C134" s="67" t="str">
        <f>IFERROR(__xludf.DUMMYFUNCTION("""COMPUTED_VALUE"""),"LD167")</f>
        <v>LD167</v>
      </c>
      <c r="D134" s="55" t="s">
        <v>42</v>
      </c>
      <c r="E134" s="55" t="s">
        <v>79</v>
      </c>
      <c r="F134" s="55" t="s">
        <v>174</v>
      </c>
      <c r="G134" s="55">
        <v>2045.0</v>
      </c>
      <c r="H134" s="55" t="s">
        <v>3306</v>
      </c>
      <c r="I134" s="55" t="s">
        <v>3967</v>
      </c>
      <c r="J134" s="168" t="s">
        <v>3968</v>
      </c>
      <c r="K134" s="167" t="s">
        <v>61</v>
      </c>
      <c r="L134" s="55" t="s">
        <v>1264</v>
      </c>
      <c r="M134" s="55" t="s">
        <v>78</v>
      </c>
      <c r="N134" s="55" t="s">
        <v>79</v>
      </c>
      <c r="O134" s="55" t="s">
        <v>218</v>
      </c>
      <c r="P134" s="55" t="s">
        <v>110</v>
      </c>
      <c r="Q134" s="67" t="str">
        <f>IFERROR(__xludf.DUMMYFUNCTION("""COMPUTED_VALUE"""),"Philippines.Giaotiep.Anhtblh_LHV.9822_MES_DungNT_210723")</f>
        <v>Philippines.Giaotiep.Anhtblh_LHV.9822_MES_DungNT_210723</v>
      </c>
      <c r="R134" s="67" t="str">
        <f>IFERROR(__xludf.DUMMYFUNCTION("""COMPUTED_VALUE"""),"NEW_Philippines_2045_none_210723")</f>
        <v>NEW_Philippines_2045_none_210723</v>
      </c>
      <c r="S134" s="67" t="str">
        <f>IFERROR(__xludf.DUMMYFUNCTION("""COMPUTED_VALUE"""),"saletructiep_Philippines.Anhtblh.2045.Giaotiep_PTATTNDL_LD167")</f>
        <v>saletructiep_Philippines.Anhtblh.2045.Giaotiep_PTATTNDL_LD167</v>
      </c>
      <c r="T134" s="107" t="str">
        <f>IFERROR(__xludf.DUMMYFUNCTION("""COMPUTED_VALUE"""),"https://patadovietnam.edu.vn/tienganhnguoidilam_dnt/?utm_source=Facebook&amp;utm_medium=MES&amp;utm_term=NEW_Philippines_2045_none_210723&amp;utm_content=saletructiep_Philippines.Anhtblh.2045.Giaotiep_PTATTNDL_LD167&amp;utm_campaign=Philippines.Giaotiep.Anhtblh_LHV.9822_"&amp;"MES_DungNT_210723")</f>
        <v>https://patadovietnam.edu.vn/tienganhnguoidilam_dnt/?utm_source=Facebook&amp;utm_medium=MES&amp;utm_term=NEW_Philippines_2045_none_210723&amp;utm_content=saletructiep_Philippines.Anhtblh.2045.Giaotiep_PTATTNDL_LD167&amp;utm_campaign=Philippines.Giaotiep.Anhtblh_LHV.9822_MES_DungNT_210723</v>
      </c>
      <c r="U134" s="111" t="s">
        <v>3972</v>
      </c>
    </row>
    <row r="135">
      <c r="A135" s="72">
        <v>45128.0</v>
      </c>
      <c r="B135" s="112" t="s">
        <v>3974</v>
      </c>
      <c r="C135" s="67" t="str">
        <f>IFERROR(__xludf.DUMMYFUNCTION("""COMPUTED_VALUE"""),"LD176")</f>
        <v>LD176</v>
      </c>
      <c r="D135" s="55" t="s">
        <v>42</v>
      </c>
      <c r="E135" s="55" t="s">
        <v>69</v>
      </c>
      <c r="F135" s="55" t="s">
        <v>133</v>
      </c>
      <c r="G135" s="55">
        <v>1840.0</v>
      </c>
      <c r="H135" s="55" t="s">
        <v>3306</v>
      </c>
      <c r="I135" s="55" t="s">
        <v>3978</v>
      </c>
      <c r="J135" s="168" t="s">
        <v>3979</v>
      </c>
      <c r="K135" s="167" t="s">
        <v>61</v>
      </c>
      <c r="L135" s="55" t="s">
        <v>1264</v>
      </c>
      <c r="M135" s="55" t="s">
        <v>78</v>
      </c>
      <c r="N135" s="55" t="s">
        <v>69</v>
      </c>
      <c r="O135" s="55" t="s">
        <v>218</v>
      </c>
      <c r="P135" s="55" t="s">
        <v>110</v>
      </c>
      <c r="Q135" s="67" t="str">
        <f>IFERROR(__xludf.DUMMYFUNCTION("""COMPUTED_VALUE"""),"Japan.Giaotiep.Anhtblh_LHV.9822_CVS_DungNT_210723")</f>
        <v>Japan.Giaotiep.Anhtblh_LHV.9822_CVS_DungNT_210723</v>
      </c>
      <c r="R135" s="67" t="str">
        <f>IFERROR(__xludf.DUMMYFUNCTION("""COMPUTED_VALUE"""),"NEW_Japan_1840_none_210723")</f>
        <v>NEW_Japan_1840_none_210723</v>
      </c>
      <c r="S135" s="67" t="str">
        <f>IFERROR(__xludf.DUMMYFUNCTION("""COMPUTED_VALUE"""),"saletructiep_Japan.Anhtblh.1840.Giaotiep_PTATTNDL_LD176")</f>
        <v>saletructiep_Japan.Anhtblh.1840.Giaotiep_PTATTNDL_LD176</v>
      </c>
      <c r="T135" s="107" t="str">
        <f>IFERROR(__xludf.DUMMYFUNCTION("""COMPUTED_VALUE"""),"https://patadovietnam.edu.vn/tienganhnguoidilamjapan/?utm_source=Facebook&amp;utm_medium=CVS&amp;utm_term=NEW_Japan_1840_none_210723&amp;utm_content=saletructiep_Japan.Anhtblh.1840.Giaotiep_PTATTNDL_LD176&amp;utm_campaign=Japan.Giaotiep.Anhtblh_LHV.9822_CVS_DungNT_210723")</f>
        <v>https://patadovietnam.edu.vn/tienganhnguoidilamjapan/?utm_source=Facebook&amp;utm_medium=CVS&amp;utm_term=NEW_Japan_1840_none_210723&amp;utm_content=saletructiep_Japan.Anhtblh.1840.Giaotiep_PTATTNDL_LD176&amp;utm_campaign=Japan.Giaotiep.Anhtblh_LHV.9822_CVS_DungNT_210723</v>
      </c>
      <c r="U135" s="111" t="s">
        <v>3985</v>
      </c>
    </row>
    <row r="136">
      <c r="A136" s="72">
        <v>45128.0</v>
      </c>
      <c r="B136" s="194" t="s">
        <v>3782</v>
      </c>
      <c r="C136" s="67" t="str">
        <f>IFERROR(__xludf.DUMMYFUNCTION("""COMPUTED_VALUE"""),"LD167")</f>
        <v>LD167</v>
      </c>
      <c r="D136" s="55" t="s">
        <v>42</v>
      </c>
      <c r="E136" s="55" t="s">
        <v>79</v>
      </c>
      <c r="F136" s="55" t="s">
        <v>164</v>
      </c>
      <c r="G136" s="55">
        <v>2045.0</v>
      </c>
      <c r="H136" s="55" t="s">
        <v>3306</v>
      </c>
      <c r="I136" s="55" t="s">
        <v>3987</v>
      </c>
      <c r="J136" s="168" t="s">
        <v>3988</v>
      </c>
      <c r="K136" s="167" t="s">
        <v>61</v>
      </c>
      <c r="L136" s="55" t="s">
        <v>1264</v>
      </c>
      <c r="M136" s="55" t="s">
        <v>78</v>
      </c>
      <c r="N136" s="55" t="s">
        <v>79</v>
      </c>
      <c r="O136" s="55" t="s">
        <v>218</v>
      </c>
      <c r="P136" s="55" t="s">
        <v>110</v>
      </c>
      <c r="Q136" s="67" t="str">
        <f>IFERROR(__xludf.DUMMYFUNCTION("""COMPUTED_VALUE"""),"Taiwan.Giaotiep.Anhtblh_LHV.9822_MES_DungNT_210723")</f>
        <v>Taiwan.Giaotiep.Anhtblh_LHV.9822_MES_DungNT_210723</v>
      </c>
      <c r="R136" s="67" t="str">
        <f>IFERROR(__xludf.DUMMYFUNCTION("""COMPUTED_VALUE"""),"NEW_Taiwan_2045_none_210723")</f>
        <v>NEW_Taiwan_2045_none_210723</v>
      </c>
      <c r="S136" s="67" t="str">
        <f>IFERROR(__xludf.DUMMYFUNCTION("""COMPUTED_VALUE"""),"saletructiep_Taiwan.Anhtblh.2045.Giaotiep_PTATTNDL_LD167")</f>
        <v>saletructiep_Taiwan.Anhtblh.2045.Giaotiep_PTATTNDL_LD167</v>
      </c>
      <c r="T136" s="107" t="str">
        <f>IFERROR(__xludf.DUMMYFUNCTION("""COMPUTED_VALUE"""),"https://patadovietnam.edu.vn/tienganhnguoidilam_dnt/?utm_source=Facebook&amp;utm_medium=MES&amp;utm_term=NEW_Taiwan_2045_none_210723&amp;utm_content=saletructiep_Taiwan.Anhtblh.2045.Giaotiep_PTATTNDL_LD167&amp;utm_campaign=Taiwan.Giaotiep.Anhtblh_LHV.9822_MES_DungNT_2107"&amp;"23")</f>
        <v>https://patadovietnam.edu.vn/tienganhnguoidilam_dnt/?utm_source=Facebook&amp;utm_medium=MES&amp;utm_term=NEW_Taiwan_2045_none_210723&amp;utm_content=saletructiep_Taiwan.Anhtblh.2045.Giaotiep_PTATTNDL_LD167&amp;utm_campaign=Taiwan.Giaotiep.Anhtblh_LHV.9822_MES_DungNT_210723</v>
      </c>
      <c r="U136" s="111" t="s">
        <v>3995</v>
      </c>
    </row>
    <row r="137">
      <c r="A137" s="72">
        <v>45137.0</v>
      </c>
      <c r="B137" s="194" t="s">
        <v>3782</v>
      </c>
      <c r="C137" s="67" t="str">
        <f>IFERROR(__xludf.DUMMYFUNCTION("""COMPUTED_VALUE"""),"LD167")</f>
        <v>LD167</v>
      </c>
      <c r="D137" s="55" t="s">
        <v>42</v>
      </c>
      <c r="E137" s="55" t="s">
        <v>79</v>
      </c>
      <c r="F137" s="55" t="s">
        <v>107</v>
      </c>
      <c r="G137" s="55">
        <v>2050.0</v>
      </c>
      <c r="H137" s="55" t="s">
        <v>3306</v>
      </c>
      <c r="I137" s="55" t="s">
        <v>3996</v>
      </c>
      <c r="J137" s="168" t="s">
        <v>3997</v>
      </c>
      <c r="K137" s="167" t="s">
        <v>61</v>
      </c>
      <c r="L137" s="55" t="s">
        <v>1264</v>
      </c>
      <c r="M137" s="55" t="s">
        <v>78</v>
      </c>
      <c r="N137" s="55" t="s">
        <v>79</v>
      </c>
      <c r="O137" s="55" t="s">
        <v>218</v>
      </c>
      <c r="P137" s="55" t="s">
        <v>110</v>
      </c>
      <c r="Q137" s="67" t="str">
        <f>IFERROR(__xludf.DUMMYFUNCTION("""COMPUTED_VALUE"""),"UnitedStates.Giaotiep.Anhtblh_LHV.9822_MES_DungNT_300723")</f>
        <v>UnitedStates.Giaotiep.Anhtblh_LHV.9822_MES_DungNT_300723</v>
      </c>
      <c r="R137" s="67" t="str">
        <f>IFERROR(__xludf.DUMMYFUNCTION("""COMPUTED_VALUE"""),"NEW_UnitedStates_2050_none_300723")</f>
        <v>NEW_UnitedStates_2050_none_300723</v>
      </c>
      <c r="S137" s="67" t="str">
        <f>IFERROR(__xludf.DUMMYFUNCTION("""COMPUTED_VALUE"""),"saletructiep_UnitedStates.Anhtblh.2050.Giaotiep_PTATTNDL_LD167")</f>
        <v>saletructiep_UnitedStates.Anhtblh.2050.Giaotiep_PTATTNDL_LD167</v>
      </c>
      <c r="T137" s="107" t="str">
        <f>IFERROR(__xludf.DUMMYFUNCTION("""COMPUTED_VALUE"""),"https://patadovietnam.edu.vn/tienganhnguoidilam_dnt/?utm_source=Facebook&amp;utm_medium=MES&amp;utm_term=NEW_UnitedStates_2050_none_300723&amp;utm_content=saletructiep_UnitedStates.Anhtblh.2050.Giaotiep_PTATTNDL_LD167&amp;utm_campaign=UnitedStates.Giaotiep.Anhtblh_LHV.98"&amp;"22_MES_DungNT_300723")</f>
        <v>https://patadovietnam.edu.vn/tienganhnguoidilam_dnt/?utm_source=Facebook&amp;utm_medium=MES&amp;utm_term=NEW_UnitedStates_2050_none_300723&amp;utm_content=saletructiep_UnitedStates.Anhtblh.2050.Giaotiep_PTATTNDL_LD167&amp;utm_campaign=UnitedStates.Giaotiep.Anhtblh_LHV.9822_MES_DungNT_300723</v>
      </c>
      <c r="U137" s="200"/>
    </row>
    <row r="138">
      <c r="A138" s="72">
        <v>45137.0</v>
      </c>
      <c r="B138" s="194" t="s">
        <v>3782</v>
      </c>
      <c r="C138" s="67" t="str">
        <f>IFERROR(__xludf.DUMMYFUNCTION("""COMPUTED_VALUE"""),"LD167")</f>
        <v>LD167</v>
      </c>
      <c r="D138" s="55" t="s">
        <v>42</v>
      </c>
      <c r="E138" s="55" t="s">
        <v>79</v>
      </c>
      <c r="F138" s="55" t="s">
        <v>112</v>
      </c>
      <c r="G138" s="55">
        <v>2050.0</v>
      </c>
      <c r="H138" s="55" t="s">
        <v>3306</v>
      </c>
      <c r="I138" s="55" t="s">
        <v>4001</v>
      </c>
      <c r="J138" s="168" t="s">
        <v>4003</v>
      </c>
      <c r="K138" s="167" t="s">
        <v>61</v>
      </c>
      <c r="L138" s="55" t="s">
        <v>1264</v>
      </c>
      <c r="M138" s="55" t="s">
        <v>78</v>
      </c>
      <c r="N138" s="55" t="s">
        <v>79</v>
      </c>
      <c r="O138" s="55" t="s">
        <v>218</v>
      </c>
      <c r="P138" s="55" t="s">
        <v>110</v>
      </c>
      <c r="Q138" s="67" t="str">
        <f>IFERROR(__xludf.DUMMYFUNCTION("""COMPUTED_VALUE"""),"Canada.Giaotiep.Anhtblh_LHV.9822_MES_DungNT_300723")</f>
        <v>Canada.Giaotiep.Anhtblh_LHV.9822_MES_DungNT_300723</v>
      </c>
      <c r="R138" s="67" t="str">
        <f>IFERROR(__xludf.DUMMYFUNCTION("""COMPUTED_VALUE"""),"NEW_Canada_2050_none_300723")</f>
        <v>NEW_Canada_2050_none_300723</v>
      </c>
      <c r="S138" s="67" t="str">
        <f>IFERROR(__xludf.DUMMYFUNCTION("""COMPUTED_VALUE"""),"saletructiep_Canada.Anhtblh.2045.Giaotiep_PTATTNDL_LD167")</f>
        <v>saletructiep_Canada.Anhtblh.2045.Giaotiep_PTATTNDL_LD167</v>
      </c>
      <c r="T138" s="107" t="str">
        <f>IFERROR(__xludf.DUMMYFUNCTION("""COMPUTED_VALUE"""),"https://patadovietnam.edu.vn/tienganhnguoidilam_dnt/?utm_source=Facebook&amp;utm_medium=MES&amp;utm_term=NEW_Canada_2050_none_300723&amp;utm_content=saletructiep_Canada.Anhtblh.2045.Giaotiep_PTATTNDL_LD167&amp;utm_campaign=Canada.Giaotiep.Anhtblh_LHV.9822_MES_DungNT_3007"&amp;"23")</f>
        <v>https://patadovietnam.edu.vn/tienganhnguoidilam_dnt/?utm_source=Facebook&amp;utm_medium=MES&amp;utm_term=NEW_Canada_2050_none_300723&amp;utm_content=saletructiep_Canada.Anhtblh.2045.Giaotiep_PTATTNDL_LD167&amp;utm_campaign=Canada.Giaotiep.Anhtblh_LHV.9822_MES_DungNT_300723</v>
      </c>
      <c r="U138" s="111" t="s">
        <v>4004</v>
      </c>
    </row>
    <row r="139">
      <c r="A139" s="72">
        <v>45137.0</v>
      </c>
      <c r="B139" s="194" t="s">
        <v>3782</v>
      </c>
      <c r="C139" s="67" t="str">
        <f>IFERROR(__xludf.DUMMYFUNCTION("""COMPUTED_VALUE"""),"LD167")</f>
        <v>LD167</v>
      </c>
      <c r="D139" s="55" t="s">
        <v>42</v>
      </c>
      <c r="E139" s="55" t="s">
        <v>79</v>
      </c>
      <c r="F139" s="55" t="s">
        <v>129</v>
      </c>
      <c r="G139" s="55">
        <v>2050.0</v>
      </c>
      <c r="H139" s="55" t="s">
        <v>3306</v>
      </c>
      <c r="I139" s="55" t="s">
        <v>4006</v>
      </c>
      <c r="J139" s="168" t="s">
        <v>4007</v>
      </c>
      <c r="K139" s="167" t="s">
        <v>61</v>
      </c>
      <c r="L139" s="55" t="s">
        <v>1264</v>
      </c>
      <c r="M139" s="55" t="s">
        <v>78</v>
      </c>
      <c r="N139" s="55" t="s">
        <v>79</v>
      </c>
      <c r="O139" s="55" t="s">
        <v>218</v>
      </c>
      <c r="P139" s="55" t="s">
        <v>110</v>
      </c>
      <c r="Q139" s="67" t="str">
        <f>IFERROR(__xludf.DUMMYFUNCTION("""COMPUTED_VALUE"""),"Australia.Giaotiep.Anhtblh_LHV.9822_MES_DungNT_300723")</f>
        <v>Australia.Giaotiep.Anhtblh_LHV.9822_MES_DungNT_300723</v>
      </c>
      <c r="R139" s="67" t="str">
        <f>IFERROR(__xludf.DUMMYFUNCTION("""COMPUTED_VALUE"""),"NEW_Australia_2050_none_300723")</f>
        <v>NEW_Australia_2050_none_300723</v>
      </c>
      <c r="S139" s="67" t="str">
        <f>IFERROR(__xludf.DUMMYFUNCTION("""COMPUTED_VALUE"""),"saletructiep_Australia.Anhtblh.2045.Giaotiep_PTATTNDL_LD167")</f>
        <v>saletructiep_Australia.Anhtblh.2045.Giaotiep_PTATTNDL_LD167</v>
      </c>
      <c r="T139" s="107" t="str">
        <f>IFERROR(__xludf.DUMMYFUNCTION("""COMPUTED_VALUE"""),"https://patadovietnam.edu.vn/tienganhnguoidilam_dnt/?utm_source=Facebook&amp;utm_medium=MES&amp;utm_term=NEW_Australia_2050_none_300723&amp;utm_content=saletructiep_Australia.Anhtblh.2045.Giaotiep_PTATTNDL_LD167&amp;utm_campaign=Australia.Giaotiep.Anhtblh_LHV.9822_MES_Du"&amp;"ngNT_300723")</f>
        <v>https://patadovietnam.edu.vn/tienganhnguoidilam_dnt/?utm_source=Facebook&amp;utm_medium=MES&amp;utm_term=NEW_Australia_2050_none_300723&amp;utm_content=saletructiep_Australia.Anhtblh.2045.Giaotiep_PTATTNDL_LD167&amp;utm_campaign=Australia.Giaotiep.Anhtblh_LHV.9822_MES_DungNT_300723</v>
      </c>
      <c r="U139" s="200"/>
    </row>
    <row r="140">
      <c r="A140" s="72">
        <v>45139.0</v>
      </c>
      <c r="B140" s="194" t="s">
        <v>3957</v>
      </c>
      <c r="C140" s="67" t="str">
        <f>IFERROR(__xludf.DUMMYFUNCTION("""COMPUTED_VALUE"""),"LD174")</f>
        <v>LD174</v>
      </c>
      <c r="D140" s="55" t="s">
        <v>42</v>
      </c>
      <c r="E140" s="55" t="s">
        <v>69</v>
      </c>
      <c r="F140" s="55" t="s">
        <v>625</v>
      </c>
      <c r="G140" s="55">
        <v>1840.0</v>
      </c>
      <c r="H140" s="55" t="s">
        <v>3306</v>
      </c>
      <c r="I140" s="55" t="s">
        <v>4011</v>
      </c>
      <c r="J140" s="168" t="s">
        <v>4012</v>
      </c>
      <c r="K140" s="167" t="s">
        <v>61</v>
      </c>
      <c r="L140" s="55" t="s">
        <v>1264</v>
      </c>
      <c r="M140" s="55" t="s">
        <v>78</v>
      </c>
      <c r="N140" s="55" t="s">
        <v>69</v>
      </c>
      <c r="O140" s="55" t="s">
        <v>218</v>
      </c>
      <c r="P140" s="55" t="s">
        <v>110</v>
      </c>
      <c r="Q140" s="67" t="str">
        <f>IFERROR(__xludf.DUMMYFUNCTION("""COMPUTED_VALUE"""),"KoreaSouth.Giaotiep.Anhbeaf_LHV.9822_CVS_DungNT_010823")</f>
        <v>KoreaSouth.Giaotiep.Anhbeaf_LHV.9822_CVS_DungNT_010823</v>
      </c>
      <c r="R140" s="67" t="str">
        <f>IFERROR(__xludf.DUMMYFUNCTION("""COMPUTED_VALUE"""),"NEW_KoreaSouth_1840_none_010823")</f>
        <v>NEW_KoreaSouth_1840_none_010823</v>
      </c>
      <c r="S140" s="67" t="str">
        <f>IFERROR(__xludf.DUMMYFUNCTION("""COMPUTED_VALUE"""),"saletructiep_KoreaSouth.Anhbeaf.1840.Giaotiep_PTATTNDL_LD174")</f>
        <v>saletructiep_KoreaSouth.Anhbeaf.1840.Giaotiep_PTATTNDL_LD174</v>
      </c>
      <c r="T140" s="107" t="str">
        <f>IFERROR(__xludf.DUMMYFUNCTION("""COMPUTED_VALUE"""),"https://patadovietnam.edu.vn/tienganhnguoidilamkorea/?utm_source=Facebook&amp;utm_medium=CVS&amp;utm_term=NEW_KoreaSouth_1840_none_010823&amp;utm_content=saletructiep_KoreaSouth.Anhbeaf.1840.Giaotiep_PTATTNDL_LD174&amp;utm_campaign=KoreaSouth.Giaotiep.Anhbeaf_LHV.9822_CV"&amp;"S_DungNT_010823")</f>
        <v>https://patadovietnam.edu.vn/tienganhnguoidilamkorea/?utm_source=Facebook&amp;utm_medium=CVS&amp;utm_term=NEW_KoreaSouth_1840_none_010823&amp;utm_content=saletructiep_KoreaSouth.Anhbeaf.1840.Giaotiep_PTATTNDL_LD174&amp;utm_campaign=KoreaSouth.Giaotiep.Anhbeaf_LHV.9822_CVS_DungNT_010823</v>
      </c>
      <c r="U140" s="116"/>
    </row>
    <row r="141">
      <c r="A141" s="72">
        <v>45139.0</v>
      </c>
      <c r="B141" s="194" t="s">
        <v>3782</v>
      </c>
      <c r="C141" s="67" t="str">
        <f>IFERROR(__xludf.DUMMYFUNCTION("""COMPUTED_VALUE"""),"LD167")</f>
        <v>LD167</v>
      </c>
      <c r="D141" s="55" t="s">
        <v>42</v>
      </c>
      <c r="E141" s="55" t="s">
        <v>79</v>
      </c>
      <c r="F141" s="55" t="s">
        <v>164</v>
      </c>
      <c r="G141" s="55">
        <v>2045.0</v>
      </c>
      <c r="H141" s="55" t="s">
        <v>3306</v>
      </c>
      <c r="I141" s="55" t="s">
        <v>4019</v>
      </c>
      <c r="J141" s="168" t="s">
        <v>4020</v>
      </c>
      <c r="K141" s="167" t="s">
        <v>61</v>
      </c>
      <c r="L141" s="55" t="s">
        <v>1264</v>
      </c>
      <c r="M141" s="55" t="s">
        <v>78</v>
      </c>
      <c r="N141" s="55" t="s">
        <v>79</v>
      </c>
      <c r="O141" s="55" t="s">
        <v>218</v>
      </c>
      <c r="P141" s="55" t="s">
        <v>110</v>
      </c>
      <c r="Q141" s="67" t="str">
        <f>IFERROR(__xludf.DUMMYFUNCTION("""COMPUTED_VALUE"""),"Taiwan.Giaotiep.Anhbeaf_LHV.9822_MES_DungNT_010823")</f>
        <v>Taiwan.Giaotiep.Anhbeaf_LHV.9822_MES_DungNT_010823</v>
      </c>
      <c r="R141" s="67" t="str">
        <f>IFERROR(__xludf.DUMMYFUNCTION("""COMPUTED_VALUE"""),"NEW_Taiwan_2045_none_010823")</f>
        <v>NEW_Taiwan_2045_none_010823</v>
      </c>
      <c r="S141" s="67" t="str">
        <f>IFERROR(__xludf.DUMMYFUNCTION("""COMPUTED_VALUE"""),"saletructiep_Taiwan.Anhbeaf.2045.Giaotiep_PTATTNDL_LD167")</f>
        <v>saletructiep_Taiwan.Anhbeaf.2045.Giaotiep_PTATTNDL_LD167</v>
      </c>
      <c r="T141" s="107" t="str">
        <f>IFERROR(__xludf.DUMMYFUNCTION("""COMPUTED_VALUE"""),"https://patadovietnam.edu.vn/tienganhnguoidilam_dnt/?utm_source=Facebook&amp;utm_medium=MES&amp;utm_term=NEW_Taiwan_2045_none_010823&amp;utm_content=saletructiep_Taiwan.Anhbeaf.2045.Giaotiep_PTATTNDL_LD167&amp;utm_campaign=Taiwan.Giaotiep.Anhbeaf_LHV.9822_MES_DungNT_0108"&amp;"23")</f>
        <v>https://patadovietnam.edu.vn/tienganhnguoidilam_dnt/?utm_source=Facebook&amp;utm_medium=MES&amp;utm_term=NEW_Taiwan_2045_none_010823&amp;utm_content=saletructiep_Taiwan.Anhbeaf.2045.Giaotiep_PTATTNDL_LD167&amp;utm_campaign=Taiwan.Giaotiep.Anhbeaf_LHV.9822_MES_DungNT_010823</v>
      </c>
      <c r="U141" s="111" t="s">
        <v>4022</v>
      </c>
    </row>
    <row r="142">
      <c r="A142" s="72">
        <v>45143.0</v>
      </c>
      <c r="B142" s="112" t="s">
        <v>3502</v>
      </c>
      <c r="C142" s="67" t="str">
        <f>IFERROR(__xludf.DUMMYFUNCTION("""COMPUTED_VALUE"""),"LD144")</f>
        <v>LD144</v>
      </c>
      <c r="D142" s="55" t="s">
        <v>42</v>
      </c>
      <c r="E142" s="55" t="s">
        <v>79</v>
      </c>
      <c r="F142" s="55" t="s">
        <v>112</v>
      </c>
      <c r="G142" s="55">
        <v>2050.0</v>
      </c>
      <c r="H142" s="55" t="s">
        <v>3306</v>
      </c>
      <c r="I142" s="55" t="s">
        <v>4026</v>
      </c>
      <c r="J142" s="168" t="s">
        <v>4027</v>
      </c>
      <c r="K142" s="167" t="s">
        <v>61</v>
      </c>
      <c r="L142" s="55" t="s">
        <v>1264</v>
      </c>
      <c r="M142" s="55" t="s">
        <v>78</v>
      </c>
      <c r="N142" s="55" t="s">
        <v>79</v>
      </c>
      <c r="O142" s="55" t="s">
        <v>218</v>
      </c>
      <c r="P142" s="55" t="s">
        <v>110</v>
      </c>
      <c r="Q142" s="67" t="str">
        <f>IFERROR(__xludf.DUMMYFUNCTION("""COMPUTED_VALUE"""),"Canada.Giaotiep.Anhbeaf_LHV.9822_MES_DungNT_050823")</f>
        <v>Canada.Giaotiep.Anhbeaf_LHV.9822_MES_DungNT_050823</v>
      </c>
      <c r="R142" s="67" t="str">
        <f>IFERROR(__xludf.DUMMYFUNCTION("""COMPUTED_VALUE"""),"NEW_Canada_2050_none_050823")</f>
        <v>NEW_Canada_2050_none_050823</v>
      </c>
      <c r="S142" s="67" t="str">
        <f>IFERROR(__xludf.DUMMYFUNCTION("""COMPUTED_VALUE"""),"saletructiep_Canada.Anhbeaf.2045.Giaotiep_PTATTNDL_LD144")</f>
        <v>saletructiep_Canada.Anhbeaf.2045.Giaotiep_PTATTNDL_LD144</v>
      </c>
      <c r="T142" s="107" t="str">
        <f>IFERROR(__xludf.DUMMYFUNCTION("""COMPUTED_VALUE"""),"https://patadovietnam.edu.vn/tienganhpatado_d1/?utm_source=Facebook&amp;utm_medium=MES&amp;utm_term=NEW_Canada_2050_none_050823&amp;utm_content=saletructiep_Canada.Anhbeaf.2045.Giaotiep_PTATTNDL_LD144&amp;utm_campaign=Canada.Giaotiep.Anhbeaf_LHV.9822_MES_DungNT_050823")</f>
        <v>https://patadovietnam.edu.vn/tienganhpatado_d1/?utm_source=Facebook&amp;utm_medium=MES&amp;utm_term=NEW_Canada_2050_none_050823&amp;utm_content=saletructiep_Canada.Anhbeaf.2045.Giaotiep_PTATTNDL_LD144&amp;utm_campaign=Canada.Giaotiep.Anhbeaf_LHV.9822_MES_DungNT_050823</v>
      </c>
      <c r="U142" s="111" t="s">
        <v>4030</v>
      </c>
    </row>
    <row r="143">
      <c r="A143" s="72">
        <v>45143.0</v>
      </c>
      <c r="B143" s="194" t="s">
        <v>3782</v>
      </c>
      <c r="C143" s="67" t="str">
        <f>IFERROR(__xludf.DUMMYFUNCTION("""COMPUTED_VALUE"""),"LD167")</f>
        <v>LD167</v>
      </c>
      <c r="D143" s="55" t="s">
        <v>42</v>
      </c>
      <c r="E143" s="55" t="s">
        <v>79</v>
      </c>
      <c r="F143" s="55" t="s">
        <v>162</v>
      </c>
      <c r="G143" s="55">
        <v>2045.0</v>
      </c>
      <c r="H143" s="55" t="s">
        <v>3306</v>
      </c>
      <c r="I143" s="55" t="s">
        <v>4034</v>
      </c>
      <c r="J143" s="168" t="s">
        <v>4035</v>
      </c>
      <c r="K143" s="167" t="s">
        <v>61</v>
      </c>
      <c r="L143" s="55" t="s">
        <v>1264</v>
      </c>
      <c r="M143" s="55" t="s">
        <v>78</v>
      </c>
      <c r="N143" s="55" t="s">
        <v>79</v>
      </c>
      <c r="O143" s="55" t="s">
        <v>218</v>
      </c>
      <c r="P143" s="55" t="s">
        <v>110</v>
      </c>
      <c r="Q143" s="67" t="str">
        <f>IFERROR(__xludf.DUMMYFUNCTION("""COMPUTED_VALUE"""),"Singapore.Giaotiep.Anhbeaf_LHV.9822_MES_DungNT_050823")</f>
        <v>Singapore.Giaotiep.Anhbeaf_LHV.9822_MES_DungNT_050823</v>
      </c>
      <c r="R143" s="67" t="str">
        <f>IFERROR(__xludf.DUMMYFUNCTION("""COMPUTED_VALUE"""),"NEW_Singapore_2045_none_050823")</f>
        <v>NEW_Singapore_2045_none_050823</v>
      </c>
      <c r="S143" s="67" t="str">
        <f>IFERROR(__xludf.DUMMYFUNCTION("""COMPUTED_VALUE"""),"saletructiep_Singapore.Anhbeaf.2045.Giaotiep_PTATTNDL_LD167")</f>
        <v>saletructiep_Singapore.Anhbeaf.2045.Giaotiep_PTATTNDL_LD167</v>
      </c>
      <c r="T143" s="107" t="str">
        <f>IFERROR(__xludf.DUMMYFUNCTION("""COMPUTED_VALUE"""),"https://patadovietnam.edu.vn/tienganhnguoidilam_dnt/?utm_source=Facebook&amp;utm_medium=MES&amp;utm_term=NEW_Singapore_2045_none_050823&amp;utm_content=saletructiep_Singapore.Anhbeaf.2045.Giaotiep_PTATTNDL_LD167&amp;utm_campaign=Singapore.Giaotiep.Anhbeaf_LHV.9822_MES_Du"&amp;"ngNT_050823")</f>
        <v>https://patadovietnam.edu.vn/tienganhnguoidilam_dnt/?utm_source=Facebook&amp;utm_medium=MES&amp;utm_term=NEW_Singapore_2045_none_050823&amp;utm_content=saletructiep_Singapore.Anhbeaf.2045.Giaotiep_PTATTNDL_LD167&amp;utm_campaign=Singapore.Giaotiep.Anhbeaf_LHV.9822_MES_DungNT_050823</v>
      </c>
      <c r="U143" s="111" t="s">
        <v>4040</v>
      </c>
    </row>
    <row r="144">
      <c r="A144" s="72">
        <v>45143.0</v>
      </c>
      <c r="B144" s="112" t="s">
        <v>3600</v>
      </c>
      <c r="C144" s="67" t="str">
        <f>IFERROR(__xludf.DUMMYFUNCTION("""COMPUTED_VALUE"""),"LD150")</f>
        <v>LD150</v>
      </c>
      <c r="D144" s="55" t="s">
        <v>42</v>
      </c>
      <c r="E144" s="55" t="s">
        <v>79</v>
      </c>
      <c r="F144" s="55" t="s">
        <v>107</v>
      </c>
      <c r="G144" s="55">
        <v>2050.0</v>
      </c>
      <c r="H144" s="55" t="s">
        <v>3306</v>
      </c>
      <c r="I144" s="55" t="s">
        <v>4042</v>
      </c>
      <c r="J144" s="168" t="s">
        <v>4043</v>
      </c>
      <c r="K144" s="167" t="s">
        <v>61</v>
      </c>
      <c r="L144" s="55" t="s">
        <v>1264</v>
      </c>
      <c r="M144" s="55" t="s">
        <v>78</v>
      </c>
      <c r="N144" s="55" t="s">
        <v>79</v>
      </c>
      <c r="O144" s="55" t="s">
        <v>218</v>
      </c>
      <c r="P144" s="55" t="s">
        <v>110</v>
      </c>
      <c r="Q144" s="67" t="str">
        <f>IFERROR(__xludf.DUMMYFUNCTION("""COMPUTED_VALUE"""),"UnitedStates.Giaotiep.Anhbeaf_LHV.9822_MES_DungNT_050823")</f>
        <v>UnitedStates.Giaotiep.Anhbeaf_LHV.9822_MES_DungNT_050823</v>
      </c>
      <c r="R144" s="67" t="str">
        <f>IFERROR(__xludf.DUMMYFUNCTION("""COMPUTED_VALUE"""),"NEW_UnitedStates_2050_none_050823")</f>
        <v>NEW_UnitedStates_2050_none_050823</v>
      </c>
      <c r="S144" s="67" t="str">
        <f>IFERROR(__xludf.DUMMYFUNCTION("""COMPUTED_VALUE"""),"saletructiep_UnitedStates.Anhbeaf.2045.Giaotiep_PTATTNDL_LD150")</f>
        <v>saletructiep_UnitedStates.Anhbeaf.2045.Giaotiep_PTATTNDL_LD150</v>
      </c>
      <c r="T144" s="107" t="str">
        <f>IFERROR(__xludf.DUMMYFUNCTION("""COMPUTED_VALUE"""),"https://patadovietnam.edu.vn/tienganhusa_dntt/?utm_source=Facebook&amp;utm_medium=MES&amp;utm_term=NEW_UnitedStates_2050_none_050823&amp;utm_content=saletructiep_UnitedStates.Anhbeaf.2045.Giaotiep_PTATTNDL_LD150&amp;utm_campaign=UnitedStates.Giaotiep.Anhbeaf_LHV.9822_MES"&amp;"_DungNT_050823")</f>
        <v>https://patadovietnam.edu.vn/tienganhusa_dntt/?utm_source=Facebook&amp;utm_medium=MES&amp;utm_term=NEW_UnitedStates_2050_none_050823&amp;utm_content=saletructiep_UnitedStates.Anhbeaf.2045.Giaotiep_PTATTNDL_LD150&amp;utm_campaign=UnitedStates.Giaotiep.Anhbeaf_LHV.9822_MES_DungNT_050823</v>
      </c>
      <c r="U144" s="117"/>
    </row>
    <row r="145">
      <c r="A145" s="72">
        <v>45143.0</v>
      </c>
      <c r="B145" s="194" t="s">
        <v>3782</v>
      </c>
      <c r="C145" s="67" t="str">
        <f>IFERROR(__xludf.DUMMYFUNCTION("""COMPUTED_VALUE"""),"LD167")</f>
        <v>LD167</v>
      </c>
      <c r="D145" s="55" t="s">
        <v>42</v>
      </c>
      <c r="E145" s="55" t="s">
        <v>79</v>
      </c>
      <c r="F145" s="55" t="s">
        <v>129</v>
      </c>
      <c r="G145" s="55">
        <v>2050.0</v>
      </c>
      <c r="H145" s="55" t="s">
        <v>3306</v>
      </c>
      <c r="I145" s="55" t="s">
        <v>4050</v>
      </c>
      <c r="J145" s="168" t="s">
        <v>4051</v>
      </c>
      <c r="K145" s="167" t="s">
        <v>61</v>
      </c>
      <c r="L145" s="55" t="s">
        <v>1264</v>
      </c>
      <c r="M145" s="55" t="s">
        <v>78</v>
      </c>
      <c r="N145" s="55" t="s">
        <v>79</v>
      </c>
      <c r="O145" s="55" t="s">
        <v>218</v>
      </c>
      <c r="P145" s="55" t="s">
        <v>110</v>
      </c>
      <c r="Q145" s="67" t="str">
        <f>IFERROR(__xludf.DUMMYFUNCTION("""COMPUTED_VALUE"""),"Australia.Giaotiep.Anhbeaf_LHV.9822_MES_DungNT_050823")</f>
        <v>Australia.Giaotiep.Anhbeaf_LHV.9822_MES_DungNT_050823</v>
      </c>
      <c r="R145" s="67" t="str">
        <f>IFERROR(__xludf.DUMMYFUNCTION("""COMPUTED_VALUE"""),"NEW_Australia_2050_none_050823")</f>
        <v>NEW_Australia_2050_none_050823</v>
      </c>
      <c r="S145" s="67" t="str">
        <f>IFERROR(__xludf.DUMMYFUNCTION("""COMPUTED_VALUE"""),"saletructiep_Australia.Anhbeaf.2050.Giaotiep_PTATTNDL_LD167")</f>
        <v>saletructiep_Australia.Anhbeaf.2050.Giaotiep_PTATTNDL_LD167</v>
      </c>
      <c r="T145" s="107" t="str">
        <f>IFERROR(__xludf.DUMMYFUNCTION("""COMPUTED_VALUE"""),"https://patadovietnam.edu.vn/tienganhnguoidilam_dnt/?utm_source=Facebook&amp;utm_medium=MES&amp;utm_term=NEW_Australia_2050_none_050823&amp;utm_content=saletructiep_Australia.Anhbeaf.2050.Giaotiep_PTATTNDL_LD167&amp;utm_campaign=Australia.Giaotiep.Anhbeaf_LHV.9822_MES_Du"&amp;"ngNT_050823")</f>
        <v>https://patadovietnam.edu.vn/tienganhnguoidilam_dnt/?utm_source=Facebook&amp;utm_medium=MES&amp;utm_term=NEW_Australia_2050_none_050823&amp;utm_content=saletructiep_Australia.Anhbeaf.2050.Giaotiep_PTATTNDL_LD167&amp;utm_campaign=Australia.Giaotiep.Anhbeaf_LHV.9822_MES_DungNT_050823</v>
      </c>
      <c r="U145" s="111" t="s">
        <v>4057</v>
      </c>
    </row>
    <row r="146">
      <c r="A146" s="72">
        <v>45144.0</v>
      </c>
      <c r="B146" s="112" t="s">
        <v>3974</v>
      </c>
      <c r="C146" s="67" t="str">
        <f>IFERROR(__xludf.DUMMYFUNCTION("""COMPUTED_VALUE"""),"LD176")</f>
        <v>LD176</v>
      </c>
      <c r="D146" s="55" t="s">
        <v>42</v>
      </c>
      <c r="E146" s="55" t="s">
        <v>69</v>
      </c>
      <c r="F146" s="55" t="s">
        <v>133</v>
      </c>
      <c r="G146" s="55">
        <v>1840.0</v>
      </c>
      <c r="H146" s="55" t="s">
        <v>3306</v>
      </c>
      <c r="I146" s="55" t="s">
        <v>4061</v>
      </c>
      <c r="J146" s="168" t="s">
        <v>4062</v>
      </c>
      <c r="K146" s="167" t="s">
        <v>61</v>
      </c>
      <c r="L146" s="55" t="s">
        <v>1264</v>
      </c>
      <c r="M146" s="55" t="s">
        <v>78</v>
      </c>
      <c r="N146" s="55" t="s">
        <v>69</v>
      </c>
      <c r="O146" s="55" t="s">
        <v>218</v>
      </c>
      <c r="P146" s="55" t="s">
        <v>110</v>
      </c>
      <c r="Q146" s="67" t="str">
        <f>IFERROR(__xludf.DUMMYFUNCTION("""COMPUTED_VALUE"""),"Japan.Giaotiep.Anhbeaf_LHV.9822_CVS_DungNT_060823")</f>
        <v>Japan.Giaotiep.Anhbeaf_LHV.9822_CVS_DungNT_060823</v>
      </c>
      <c r="R146" s="67" t="str">
        <f>IFERROR(__xludf.DUMMYFUNCTION("""COMPUTED_VALUE"""),"NEW_Japan_1840_none_060823")</f>
        <v>NEW_Japan_1840_none_060823</v>
      </c>
      <c r="S146" s="67" t="str">
        <f>IFERROR(__xludf.DUMMYFUNCTION("""COMPUTED_VALUE"""),"saletructiep_Japan.Anhbeaf.1840.Giaotiep_PTATTNDL_LD176")</f>
        <v>saletructiep_Japan.Anhbeaf.1840.Giaotiep_PTATTNDL_LD176</v>
      </c>
      <c r="T146" s="107" t="str">
        <f>IFERROR(__xludf.DUMMYFUNCTION("""COMPUTED_VALUE"""),"https://patadovietnam.edu.vn/tienganhnguoidilamjapan/?utm_source=Facebook&amp;utm_medium=CVS&amp;utm_term=NEW_Japan_1840_none_060823&amp;utm_content=saletructiep_Japan.Anhbeaf.1840.Giaotiep_PTATTNDL_LD176&amp;utm_campaign=Japan.Giaotiep.Anhbeaf_LHV.9822_CVS_DungNT_060823")</f>
        <v>https://patadovietnam.edu.vn/tienganhnguoidilamjapan/?utm_source=Facebook&amp;utm_medium=CVS&amp;utm_term=NEW_Japan_1840_none_060823&amp;utm_content=saletructiep_Japan.Anhbeaf.1840.Giaotiep_PTATTNDL_LD176&amp;utm_campaign=Japan.Giaotiep.Anhbeaf_LHV.9822_CVS_DungNT_060823</v>
      </c>
      <c r="U146" s="111" t="s">
        <v>4066</v>
      </c>
    </row>
    <row r="147">
      <c r="A147" s="72">
        <v>45148.0</v>
      </c>
      <c r="B147" s="194" t="s">
        <v>3957</v>
      </c>
      <c r="C147" s="67" t="str">
        <f>IFERROR(__xludf.DUMMYFUNCTION("""COMPUTED_VALUE"""),"LD174")</f>
        <v>LD174</v>
      </c>
      <c r="D147" s="55" t="s">
        <v>42</v>
      </c>
      <c r="E147" s="55" t="s">
        <v>69</v>
      </c>
      <c r="F147" s="55" t="s">
        <v>625</v>
      </c>
      <c r="G147" s="55">
        <v>1840.0</v>
      </c>
      <c r="H147" s="55" t="s">
        <v>3306</v>
      </c>
      <c r="I147" s="55" t="s">
        <v>4011</v>
      </c>
      <c r="J147" s="168" t="s">
        <v>4012</v>
      </c>
      <c r="K147" s="167" t="s">
        <v>61</v>
      </c>
      <c r="L147" s="55" t="s">
        <v>1264</v>
      </c>
      <c r="M147" s="55" t="s">
        <v>78</v>
      </c>
      <c r="N147" s="55" t="s">
        <v>69</v>
      </c>
      <c r="O147" s="55" t="s">
        <v>218</v>
      </c>
      <c r="P147" s="55" t="s">
        <v>110</v>
      </c>
      <c r="Q147" s="67" t="str">
        <f>IFERROR(__xludf.DUMMYFUNCTION("""COMPUTED_VALUE"""),"KoreaSouth.Giaotiep.Anhbeaf_LHV.9822_CVS_DungNT_100823")</f>
        <v>KoreaSouth.Giaotiep.Anhbeaf_LHV.9822_CVS_DungNT_100823</v>
      </c>
      <c r="R147" s="67" t="str">
        <f>IFERROR(__xludf.DUMMYFUNCTION("""COMPUTED_VALUE"""),"NEW_KoreaSouth_1840_none_100823")</f>
        <v>NEW_KoreaSouth_1840_none_100823</v>
      </c>
      <c r="S147" s="67" t="str">
        <f>IFERROR(__xludf.DUMMYFUNCTION("""COMPUTED_VALUE"""),"saletructiep_KoreaSouth.Anhbeaf.1840.Giaotiep_PTATTNDL_LD174")</f>
        <v>saletructiep_KoreaSouth.Anhbeaf.1840.Giaotiep_PTATTNDL_LD174</v>
      </c>
      <c r="T147" s="107" t="str">
        <f>IFERROR(__xludf.DUMMYFUNCTION("""COMPUTED_VALUE"""),"https://patadovietnam.edu.vn/tienganhnguoidilamkorea/?utm_source=Facebook&amp;utm_medium=CVS&amp;utm_term=NEW_KoreaSouth_1840_none_100823&amp;utm_content=saletructiep_KoreaSouth.Anhbeaf.1840.Giaotiep_PTATTNDL_LD174&amp;utm_campaign=KoreaSouth.Giaotiep.Anhbeaf_LHV.9822_CV"&amp;"S_DungNT_100823")</f>
        <v>https://patadovietnam.edu.vn/tienganhnguoidilamkorea/?utm_source=Facebook&amp;utm_medium=CVS&amp;utm_term=NEW_KoreaSouth_1840_none_100823&amp;utm_content=saletructiep_KoreaSouth.Anhbeaf.1840.Giaotiep_PTATTNDL_LD174&amp;utm_campaign=KoreaSouth.Giaotiep.Anhbeaf_LHV.9822_CVS_DungNT_100823</v>
      </c>
      <c r="U147" s="116"/>
    </row>
    <row r="148">
      <c r="A148" s="72">
        <v>45148.0</v>
      </c>
      <c r="B148" s="112" t="s">
        <v>3974</v>
      </c>
      <c r="C148" s="67" t="str">
        <f>IFERROR(__xludf.DUMMYFUNCTION("""COMPUTED_VALUE"""),"LD176")</f>
        <v>LD176</v>
      </c>
      <c r="D148" s="55" t="s">
        <v>42</v>
      </c>
      <c r="E148" s="55" t="s">
        <v>69</v>
      </c>
      <c r="F148" s="55" t="s">
        <v>133</v>
      </c>
      <c r="G148" s="55">
        <v>1840.0</v>
      </c>
      <c r="H148" s="55" t="s">
        <v>3306</v>
      </c>
      <c r="I148" s="55" t="s">
        <v>4075</v>
      </c>
      <c r="J148" s="168" t="s">
        <v>4076</v>
      </c>
      <c r="K148" s="167" t="s">
        <v>61</v>
      </c>
      <c r="L148" s="55" t="s">
        <v>1264</v>
      </c>
      <c r="M148" s="55" t="s">
        <v>78</v>
      </c>
      <c r="N148" s="55" t="s">
        <v>69</v>
      </c>
      <c r="O148" s="55" t="s">
        <v>218</v>
      </c>
      <c r="P148" s="55" t="s">
        <v>110</v>
      </c>
      <c r="Q148" s="67" t="str">
        <f>IFERROR(__xludf.DUMMYFUNCTION("""COMPUTED_VALUE"""),"Japan.Giaotiep.Anhkg_LHV.9822_CVS_DungNT_100823")</f>
        <v>Japan.Giaotiep.Anhkg_LHV.9822_CVS_DungNT_100823</v>
      </c>
      <c r="R148" s="67" t="str">
        <f>IFERROR(__xludf.DUMMYFUNCTION("""COMPUTED_VALUE"""),"NEW_Japan_1840_none_100823")</f>
        <v>NEW_Japan_1840_none_100823</v>
      </c>
      <c r="S148" s="67" t="str">
        <f>IFERROR(__xludf.DUMMYFUNCTION("""COMPUTED_VALUE"""),"saletructiep_Japan.Anhkg.1840.Giaotiep_PTATTNDL_LD176")</f>
        <v>saletructiep_Japan.Anhkg.1840.Giaotiep_PTATTNDL_LD176</v>
      </c>
      <c r="T148" s="107" t="str">
        <f>IFERROR(__xludf.DUMMYFUNCTION("""COMPUTED_VALUE"""),"https://patadovietnam.edu.vn/tienganhnguoidilamjapan/?utm_source=Facebook&amp;utm_medium=CVS&amp;utm_term=NEW_Japan_1840_none_100823&amp;utm_content=saletructiep_Japan.Anhkg.1840.Giaotiep_PTATTNDL_LD176&amp;utm_campaign=Japan.Giaotiep.Anhkg_LHV.9822_CVS_DungNT_100823")</f>
        <v>https://patadovietnam.edu.vn/tienganhnguoidilamjapan/?utm_source=Facebook&amp;utm_medium=CVS&amp;utm_term=NEW_Japan_1840_none_100823&amp;utm_content=saletructiep_Japan.Anhkg.1840.Giaotiep_PTATTNDL_LD176&amp;utm_campaign=Japan.Giaotiep.Anhkg_LHV.9822_CVS_DungNT_100823</v>
      </c>
      <c r="U148" s="110" t="s">
        <v>4066</v>
      </c>
    </row>
    <row r="149">
      <c r="A149" s="72">
        <v>45149.0</v>
      </c>
      <c r="B149" s="112" t="s">
        <v>3600</v>
      </c>
      <c r="C149" s="67" t="str">
        <f>IFERROR(__xludf.DUMMYFUNCTION("""COMPUTED_VALUE"""),"LD150")</f>
        <v>LD150</v>
      </c>
      <c r="D149" s="55" t="s">
        <v>42</v>
      </c>
      <c r="E149" s="55" t="s">
        <v>79</v>
      </c>
      <c r="F149" s="55" t="s">
        <v>107</v>
      </c>
      <c r="G149" s="55">
        <v>2050.0</v>
      </c>
      <c r="H149" s="55" t="s">
        <v>3306</v>
      </c>
      <c r="I149" s="55" t="s">
        <v>4083</v>
      </c>
      <c r="J149" s="168" t="s">
        <v>4084</v>
      </c>
      <c r="K149" s="167" t="s">
        <v>61</v>
      </c>
      <c r="L149" s="55" t="s">
        <v>1264</v>
      </c>
      <c r="M149" s="55" t="s">
        <v>78</v>
      </c>
      <c r="N149" s="55" t="s">
        <v>79</v>
      </c>
      <c r="O149" s="55" t="s">
        <v>218</v>
      </c>
      <c r="P149" s="55" t="s">
        <v>110</v>
      </c>
      <c r="Q149" s="67" t="str">
        <f>IFERROR(__xludf.DUMMYFUNCTION("""COMPUTED_VALUE"""),"UnitedStates.Giaotiep.Anhkg_LHV.9822_MES_DungNT_110823")</f>
        <v>UnitedStates.Giaotiep.Anhkg_LHV.9822_MES_DungNT_110823</v>
      </c>
      <c r="R149" s="67" t="str">
        <f>IFERROR(__xludf.DUMMYFUNCTION("""COMPUTED_VALUE"""),"NEW_UnitedStates_2050_none_110823")</f>
        <v>NEW_UnitedStates_2050_none_110823</v>
      </c>
      <c r="S149" s="67" t="str">
        <f>IFERROR(__xludf.DUMMYFUNCTION("""COMPUTED_VALUE"""),"saletructiep_UnitedStates.Anhkg.2050.Giaotiep_PTATTNDL_LD150")</f>
        <v>saletructiep_UnitedStates.Anhkg.2050.Giaotiep_PTATTNDL_LD150</v>
      </c>
      <c r="T149" s="107" t="str">
        <f>IFERROR(__xludf.DUMMYFUNCTION("""COMPUTED_VALUE"""),"https://patadovietnam.edu.vn/tienganhusa_dntt/?utm_source=Facebook&amp;utm_medium=MES&amp;utm_term=NEW_UnitedStates_2050_none_110823&amp;utm_content=saletructiep_UnitedStates.Anhkg.2050.Giaotiep_PTATTNDL_LD150&amp;utm_campaign=UnitedStates.Giaotiep.Anhkg_LHV.9822_MES_Dun"&amp;"gNT_110823")</f>
        <v>https://patadovietnam.edu.vn/tienganhusa_dntt/?utm_source=Facebook&amp;utm_medium=MES&amp;utm_term=NEW_UnitedStates_2050_none_110823&amp;utm_content=saletructiep_UnitedStates.Anhkg.2050.Giaotiep_PTATTNDL_LD150&amp;utm_campaign=UnitedStates.Giaotiep.Anhkg_LHV.9822_MES_DungNT_110823</v>
      </c>
      <c r="U149" s="146" t="s">
        <v>4086</v>
      </c>
    </row>
    <row r="150">
      <c r="A150" s="72">
        <v>45149.0</v>
      </c>
      <c r="B150" s="194" t="s">
        <v>3782</v>
      </c>
      <c r="C150" s="67" t="str">
        <f>IFERROR(__xludf.DUMMYFUNCTION("""COMPUTED_VALUE"""),"LD167")</f>
        <v>LD167</v>
      </c>
      <c r="D150" s="55" t="s">
        <v>42</v>
      </c>
      <c r="E150" s="55" t="s">
        <v>79</v>
      </c>
      <c r="F150" s="55" t="s">
        <v>112</v>
      </c>
      <c r="G150" s="55">
        <v>2050.0</v>
      </c>
      <c r="H150" s="55" t="s">
        <v>3306</v>
      </c>
      <c r="I150" s="55" t="s">
        <v>4091</v>
      </c>
      <c r="J150" s="168" t="s">
        <v>4092</v>
      </c>
      <c r="K150" s="167" t="s">
        <v>61</v>
      </c>
      <c r="L150" s="55" t="s">
        <v>1264</v>
      </c>
      <c r="M150" s="55" t="s">
        <v>78</v>
      </c>
      <c r="N150" s="55" t="s">
        <v>79</v>
      </c>
      <c r="O150" s="55" t="s">
        <v>218</v>
      </c>
      <c r="P150" s="55" t="s">
        <v>110</v>
      </c>
      <c r="Q150" s="67" t="str">
        <f>IFERROR(__xludf.DUMMYFUNCTION("""COMPUTED_VALUE"""),"Canada.Giaotiep.Anhkg_LHV.9822_MES_DungNT_110823")</f>
        <v>Canada.Giaotiep.Anhkg_LHV.9822_MES_DungNT_110823</v>
      </c>
      <c r="R150" s="67" t="str">
        <f>IFERROR(__xludf.DUMMYFUNCTION("""COMPUTED_VALUE"""),"NEW_Canada_2050_none_110823")</f>
        <v>NEW_Canada_2050_none_110823</v>
      </c>
      <c r="S150" s="67" t="str">
        <f>IFERROR(__xludf.DUMMYFUNCTION("""COMPUTED_VALUE"""),"saletructiep_Canada.Anhkg.2050.Giaotiep_PTATTNDL_LD167")</f>
        <v>saletructiep_Canada.Anhkg.2050.Giaotiep_PTATTNDL_LD167</v>
      </c>
      <c r="T150" s="107" t="str">
        <f>IFERROR(__xludf.DUMMYFUNCTION("""COMPUTED_VALUE"""),"https://patadovietnam.edu.vn/tienganhnguoidilam_dnt/?utm_source=Facebook&amp;utm_medium=MES&amp;utm_term=NEW_Canada_2050_none_110823&amp;utm_content=saletructiep_Canada.Anhkg.2050.Giaotiep_PTATTNDL_LD167&amp;utm_campaign=Canada.Giaotiep.Anhkg_LHV.9822_MES_DungNT_110823")</f>
        <v>https://patadovietnam.edu.vn/tienganhnguoidilam_dnt/?utm_source=Facebook&amp;utm_medium=MES&amp;utm_term=NEW_Canada_2050_none_110823&amp;utm_content=saletructiep_Canada.Anhkg.2050.Giaotiep_PTATTNDL_LD167&amp;utm_campaign=Canada.Giaotiep.Anhkg_LHV.9822_MES_DungNT_110823</v>
      </c>
      <c r="U150" s="111" t="s">
        <v>4030</v>
      </c>
    </row>
    <row r="151">
      <c r="A151" s="72">
        <v>45152.0</v>
      </c>
      <c r="B151" s="112" t="s">
        <v>3974</v>
      </c>
      <c r="C151" s="67" t="str">
        <f>IFERROR(__xludf.DUMMYFUNCTION("""COMPUTED_VALUE"""),"LD176")</f>
        <v>LD176</v>
      </c>
      <c r="D151" s="55" t="s">
        <v>42</v>
      </c>
      <c r="E151" s="55" t="s">
        <v>69</v>
      </c>
      <c r="F151" s="55" t="s">
        <v>133</v>
      </c>
      <c r="G151" s="55">
        <v>1840.0</v>
      </c>
      <c r="H151" s="55" t="s">
        <v>3306</v>
      </c>
      <c r="I151" s="55" t="s">
        <v>4075</v>
      </c>
      <c r="J151" s="168" t="s">
        <v>4076</v>
      </c>
      <c r="K151" s="167" t="s">
        <v>61</v>
      </c>
      <c r="L151" s="55" t="s">
        <v>1264</v>
      </c>
      <c r="M151" s="55" t="s">
        <v>78</v>
      </c>
      <c r="N151" s="55" t="s">
        <v>69</v>
      </c>
      <c r="O151" s="55" t="s">
        <v>218</v>
      </c>
      <c r="P151" s="55" t="s">
        <v>110</v>
      </c>
      <c r="Q151" s="67" t="str">
        <f>IFERROR(__xludf.DUMMYFUNCTION("""COMPUTED_VALUE"""),"Japan.Giaotiep.Anhkg_LHV.9822_CVS_DungNT_140823")</f>
        <v>Japan.Giaotiep.Anhkg_LHV.9822_CVS_DungNT_140823</v>
      </c>
      <c r="R151" s="67" t="str">
        <f>IFERROR(__xludf.DUMMYFUNCTION("""COMPUTED_VALUE"""),"NEW_Japan_1840_none_140823")</f>
        <v>NEW_Japan_1840_none_140823</v>
      </c>
      <c r="S151" s="67" t="str">
        <f>IFERROR(__xludf.DUMMYFUNCTION("""COMPUTED_VALUE"""),"saletructiep_Japan.Anhkg.1840.Giaotiep_PTATTNDL_LD176")</f>
        <v>saletructiep_Japan.Anhkg.1840.Giaotiep_PTATTNDL_LD176</v>
      </c>
      <c r="T151" s="107" t="str">
        <f>IFERROR(__xludf.DUMMYFUNCTION("""COMPUTED_VALUE"""),"https://patadovietnam.edu.vn/tienganhnguoidilamjapan/?utm_source=Facebook&amp;utm_medium=CVS&amp;utm_term=NEW_Japan_1840_none_140823&amp;utm_content=saletructiep_Japan.Anhkg.1840.Giaotiep_PTATTNDL_LD176&amp;utm_campaign=Japan.Giaotiep.Anhkg_LHV.9822_CVS_DungNT_140823")</f>
        <v>https://patadovietnam.edu.vn/tienganhnguoidilamjapan/?utm_source=Facebook&amp;utm_medium=CVS&amp;utm_term=NEW_Japan_1840_none_140823&amp;utm_content=saletructiep_Japan.Anhkg.1840.Giaotiep_PTATTNDL_LD176&amp;utm_campaign=Japan.Giaotiep.Anhkg_LHV.9822_CVS_DungNT_140823</v>
      </c>
      <c r="U151" s="110" t="s">
        <v>4066</v>
      </c>
    </row>
    <row r="152">
      <c r="A152" s="72">
        <v>45152.0</v>
      </c>
      <c r="B152" s="112" t="s">
        <v>3502</v>
      </c>
      <c r="C152" s="67" t="str">
        <f>IFERROR(__xludf.DUMMYFUNCTION("""COMPUTED_VALUE"""),"LD144")</f>
        <v>LD144</v>
      </c>
      <c r="D152" s="55" t="s">
        <v>42</v>
      </c>
      <c r="E152" s="55" t="s">
        <v>79</v>
      </c>
      <c r="F152" s="55" t="s">
        <v>129</v>
      </c>
      <c r="G152" s="55">
        <v>2050.0</v>
      </c>
      <c r="H152" s="55" t="s">
        <v>3306</v>
      </c>
      <c r="I152" s="55" t="s">
        <v>4100</v>
      </c>
      <c r="J152" s="168" t="s">
        <v>4101</v>
      </c>
      <c r="K152" s="167" t="s">
        <v>61</v>
      </c>
      <c r="L152" s="55" t="s">
        <v>1264</v>
      </c>
      <c r="M152" s="55" t="s">
        <v>78</v>
      </c>
      <c r="N152" s="55" t="s">
        <v>79</v>
      </c>
      <c r="O152" s="55" t="s">
        <v>218</v>
      </c>
      <c r="P152" s="55" t="s">
        <v>110</v>
      </c>
      <c r="Q152" s="67" t="str">
        <f>IFERROR(__xludf.DUMMYFUNCTION("""COMPUTED_VALUE"""),"Australia.Giaotiep.Anhkg_LHV.9822_MES_DungNT_140823")</f>
        <v>Australia.Giaotiep.Anhkg_LHV.9822_MES_DungNT_140823</v>
      </c>
      <c r="R152" s="67" t="str">
        <f>IFERROR(__xludf.DUMMYFUNCTION("""COMPUTED_VALUE"""),"NEW_Australia_2050_none_140823")</f>
        <v>NEW_Australia_2050_none_140823</v>
      </c>
      <c r="S152" s="67" t="str">
        <f>IFERROR(__xludf.DUMMYFUNCTION("""COMPUTED_VALUE"""),"saletructiep_Australia.Anhkg.2050.Giaotiep_PTATTNDL_LD144")</f>
        <v>saletructiep_Australia.Anhkg.2050.Giaotiep_PTATTNDL_LD144</v>
      </c>
      <c r="T152" s="107" t="str">
        <f>IFERROR(__xludf.DUMMYFUNCTION("""COMPUTED_VALUE"""),"https://patadovietnam.edu.vn/tienganhpatado_d1/?utm_source=Facebook&amp;utm_medium=MES&amp;utm_term=NEW_Australia_2050_none_140823&amp;utm_content=saletructiep_Australia.Anhkg.2050.Giaotiep_PTATTNDL_LD144&amp;utm_campaign=Australia.Giaotiep.Anhkg_LHV.9822_MES_DungNT_1408"&amp;"23")</f>
        <v>https://patadovietnam.edu.vn/tienganhpatado_d1/?utm_source=Facebook&amp;utm_medium=MES&amp;utm_term=NEW_Australia_2050_none_140823&amp;utm_content=saletructiep_Australia.Anhkg.2050.Giaotiep_PTATTNDL_LD144&amp;utm_campaign=Australia.Giaotiep.Anhkg_LHV.9822_MES_DungNT_140823</v>
      </c>
      <c r="U152" s="200"/>
    </row>
    <row r="153">
      <c r="A153" s="72">
        <v>45152.0</v>
      </c>
      <c r="B153" s="112" t="s">
        <v>3502</v>
      </c>
      <c r="C153" s="67" t="str">
        <f>IFERROR(__xludf.DUMMYFUNCTION("""COMPUTED_VALUE"""),"LD144")</f>
        <v>LD144</v>
      </c>
      <c r="D153" s="55" t="s">
        <v>42</v>
      </c>
      <c r="E153" s="55" t="s">
        <v>79</v>
      </c>
      <c r="F153" s="55" t="s">
        <v>162</v>
      </c>
      <c r="G153" s="55">
        <v>2050.0</v>
      </c>
      <c r="H153" s="55" t="s">
        <v>3306</v>
      </c>
      <c r="I153" s="55" t="s">
        <v>4110</v>
      </c>
      <c r="J153" s="168" t="s">
        <v>4111</v>
      </c>
      <c r="K153" s="167" t="s">
        <v>61</v>
      </c>
      <c r="L153" s="55" t="s">
        <v>1264</v>
      </c>
      <c r="M153" s="55" t="s">
        <v>78</v>
      </c>
      <c r="N153" s="55" t="s">
        <v>79</v>
      </c>
      <c r="O153" s="55" t="s">
        <v>218</v>
      </c>
      <c r="P153" s="55" t="s">
        <v>110</v>
      </c>
      <c r="Q153" s="67" t="str">
        <f>IFERROR(__xludf.DUMMYFUNCTION("""COMPUTED_VALUE"""),"Singapore.Giaotiep.Anhkg_LHV.9822_MES_DungNT_140823")</f>
        <v>Singapore.Giaotiep.Anhkg_LHV.9822_MES_DungNT_140823</v>
      </c>
      <c r="R153" s="67" t="str">
        <f>IFERROR(__xludf.DUMMYFUNCTION("""COMPUTED_VALUE"""),"NEW_Singapore_2050_none_140823")</f>
        <v>NEW_Singapore_2050_none_140823</v>
      </c>
      <c r="S153" s="67" t="str">
        <f>IFERROR(__xludf.DUMMYFUNCTION("""COMPUTED_VALUE"""),"saletructiep_Singapore.Anhkg.2050.Giaotiep_PTATTNDL_LD144")</f>
        <v>saletructiep_Singapore.Anhkg.2050.Giaotiep_PTATTNDL_LD144</v>
      </c>
      <c r="T153" s="107" t="str">
        <f>IFERROR(__xludf.DUMMYFUNCTION("""COMPUTED_VALUE"""),"https://patadovietnam.edu.vn/tienganhpatado_d1/?utm_source=Facebook&amp;utm_medium=MES&amp;utm_term=NEW_Singapore_2050_none_140823&amp;utm_content=saletructiep_Singapore.Anhkg.2050.Giaotiep_PTATTNDL_LD144&amp;utm_campaign=Singapore.Giaotiep.Anhkg_LHV.9822_MES_DungNT_1408"&amp;"23")</f>
        <v>https://patadovietnam.edu.vn/tienganhpatado_d1/?utm_source=Facebook&amp;utm_medium=MES&amp;utm_term=NEW_Singapore_2050_none_140823&amp;utm_content=saletructiep_Singapore.Anhkg.2050.Giaotiep_PTATTNDL_LD144&amp;utm_campaign=Singapore.Giaotiep.Anhkg_LHV.9822_MES_DungNT_140823</v>
      </c>
      <c r="U153" s="200"/>
    </row>
    <row r="154">
      <c r="A154" s="72">
        <v>45152.0</v>
      </c>
      <c r="B154" s="112" t="s">
        <v>3502</v>
      </c>
      <c r="C154" s="67" t="str">
        <f>IFERROR(__xludf.DUMMYFUNCTION("""COMPUTED_VALUE"""),"LD144")</f>
        <v>LD144</v>
      </c>
      <c r="D154" s="55" t="s">
        <v>42</v>
      </c>
      <c r="E154" s="55" t="s">
        <v>79</v>
      </c>
      <c r="F154" s="55" t="s">
        <v>174</v>
      </c>
      <c r="G154" s="55">
        <v>2050.0</v>
      </c>
      <c r="H154" s="55" t="s">
        <v>3306</v>
      </c>
      <c r="I154" s="55" t="s">
        <v>4122</v>
      </c>
      <c r="J154" s="168" t="s">
        <v>4123</v>
      </c>
      <c r="K154" s="167" t="s">
        <v>61</v>
      </c>
      <c r="L154" s="55" t="s">
        <v>1264</v>
      </c>
      <c r="M154" s="55" t="s">
        <v>78</v>
      </c>
      <c r="N154" s="55" t="s">
        <v>79</v>
      </c>
      <c r="O154" s="55" t="s">
        <v>218</v>
      </c>
      <c r="P154" s="55" t="s">
        <v>110</v>
      </c>
      <c r="Q154" s="67" t="str">
        <f>IFERROR(__xludf.DUMMYFUNCTION("""COMPUTED_VALUE"""),"Philippines.Giaotiep.Anhkg_LHV.9822_MES_DungNT_140823")</f>
        <v>Philippines.Giaotiep.Anhkg_LHV.9822_MES_DungNT_140823</v>
      </c>
      <c r="R154" s="67" t="str">
        <f>IFERROR(__xludf.DUMMYFUNCTION("""COMPUTED_VALUE"""),"NEW_Philippines_2050_none_140823")</f>
        <v>NEW_Philippines_2050_none_140823</v>
      </c>
      <c r="S154" s="67" t="str">
        <f>IFERROR(__xludf.DUMMYFUNCTION("""COMPUTED_VALUE"""),"saletructiep_Philippines.Anhkg.2050.Giaotiep_PTATTNDL_LD144")</f>
        <v>saletructiep_Philippines.Anhkg.2050.Giaotiep_PTATTNDL_LD144</v>
      </c>
      <c r="T154" s="107" t="str">
        <f>IFERROR(__xludf.DUMMYFUNCTION("""COMPUTED_VALUE"""),"https://patadovietnam.edu.vn/tienganhpatado_d1/?utm_source=Facebook&amp;utm_medium=MES&amp;utm_term=NEW_Philippines_2050_none_140823&amp;utm_content=saletructiep_Philippines.Anhkg.2050.Giaotiep_PTATTNDL_LD144&amp;utm_campaign=Philippines.Giaotiep.Anhkg_LHV.9822_MES_DungN"&amp;"T_140823")</f>
        <v>https://patadovietnam.edu.vn/tienganhpatado_d1/?utm_source=Facebook&amp;utm_medium=MES&amp;utm_term=NEW_Philippines_2050_none_140823&amp;utm_content=saletructiep_Philippines.Anhkg.2050.Giaotiep_PTATTNDL_LD144&amp;utm_campaign=Philippines.Giaotiep.Anhkg_LHV.9822_MES_DungNT_140823</v>
      </c>
      <c r="U154" s="200"/>
    </row>
    <row r="155">
      <c r="A155" s="72">
        <v>45171.0</v>
      </c>
      <c r="B155" s="194" t="s">
        <v>3957</v>
      </c>
      <c r="C155" s="67" t="str">
        <f>IFERROR(__xludf.DUMMYFUNCTION("""COMPUTED_VALUE"""),"LD174")</f>
        <v>LD174</v>
      </c>
      <c r="D155" s="55" t="s">
        <v>42</v>
      </c>
      <c r="E155" s="55" t="s">
        <v>69</v>
      </c>
      <c r="F155" s="55" t="s">
        <v>625</v>
      </c>
      <c r="G155" s="55">
        <v>1840.0</v>
      </c>
      <c r="H155" s="55" t="s">
        <v>3306</v>
      </c>
      <c r="I155" s="55" t="s">
        <v>4128</v>
      </c>
      <c r="J155" s="168" t="s">
        <v>4129</v>
      </c>
      <c r="K155" s="167" t="s">
        <v>61</v>
      </c>
      <c r="L155" s="55" t="s">
        <v>1264</v>
      </c>
      <c r="M155" s="55" t="s">
        <v>78</v>
      </c>
      <c r="N155" s="55" t="s">
        <v>69</v>
      </c>
      <c r="O155" s="55" t="s">
        <v>218</v>
      </c>
      <c r="P155" s="55" t="s">
        <v>110</v>
      </c>
      <c r="Q155" s="67" t="str">
        <f>IFERROR(__xludf.DUMMYFUNCTION("""COMPUTED_VALUE"""),"KoreaSouth.Giaotiep.Anhlt_LHV.9822_CVS_DungNT_020923")</f>
        <v>KoreaSouth.Giaotiep.Anhlt_LHV.9822_CVS_DungNT_020923</v>
      </c>
      <c r="R155" s="67" t="str">
        <f>IFERROR(__xludf.DUMMYFUNCTION("""COMPUTED_VALUE"""),"NEW_KoreaSouth_1840_none_020923")</f>
        <v>NEW_KoreaSouth_1840_none_020923</v>
      </c>
      <c r="S155" s="67" t="str">
        <f>IFERROR(__xludf.DUMMYFUNCTION("""COMPUTED_VALUE"""),"saletructiep_KoreaSouth.Anhlt.1840.Giaotiep_PTATTNDL_LD174")</f>
        <v>saletructiep_KoreaSouth.Anhlt.1840.Giaotiep_PTATTNDL_LD174</v>
      </c>
      <c r="T155" s="107" t="str">
        <f>IFERROR(__xludf.DUMMYFUNCTION("""COMPUTED_VALUE"""),"https://patadovietnam.edu.vn/tienganhnguoidilamkorea/?utm_source=Facebook&amp;utm_medium=CVS&amp;utm_term=NEW_KoreaSouth_1840_none_020923&amp;utm_content=saletructiep_KoreaSouth.Anhlt.1840.Giaotiep_PTATTNDL_LD174&amp;utm_campaign=KoreaSouth.Giaotiep.Anhlt_LHV.9822_CVS_Du"&amp;"ngNT_020923")</f>
        <v>https://patadovietnam.edu.vn/tienganhnguoidilamkorea/?utm_source=Facebook&amp;utm_medium=CVS&amp;utm_term=NEW_KoreaSouth_1840_none_020923&amp;utm_content=saletructiep_KoreaSouth.Anhlt.1840.Giaotiep_PTATTNDL_LD174&amp;utm_campaign=KoreaSouth.Giaotiep.Anhlt_LHV.9822_CVS_DungNT_020923</v>
      </c>
      <c r="U155" s="117"/>
    </row>
    <row r="156">
      <c r="A156" s="72">
        <v>45171.0</v>
      </c>
      <c r="B156" s="112" t="s">
        <v>3974</v>
      </c>
      <c r="C156" s="67" t="str">
        <f>IFERROR(__xludf.DUMMYFUNCTION("""COMPUTED_VALUE"""),"LD176")</f>
        <v>LD176</v>
      </c>
      <c r="D156" s="55" t="s">
        <v>42</v>
      </c>
      <c r="E156" s="55" t="s">
        <v>69</v>
      </c>
      <c r="F156" s="55" t="s">
        <v>133</v>
      </c>
      <c r="G156" s="55">
        <v>1840.0</v>
      </c>
      <c r="H156" s="55" t="s">
        <v>3306</v>
      </c>
      <c r="I156" s="55" t="s">
        <v>4133</v>
      </c>
      <c r="J156" s="168" t="s">
        <v>4134</v>
      </c>
      <c r="K156" s="167" t="s">
        <v>61</v>
      </c>
      <c r="L156" s="55" t="s">
        <v>1264</v>
      </c>
      <c r="M156" s="55" t="s">
        <v>78</v>
      </c>
      <c r="N156" s="55" t="s">
        <v>69</v>
      </c>
      <c r="O156" s="55" t="s">
        <v>218</v>
      </c>
      <c r="P156" s="55" t="s">
        <v>110</v>
      </c>
      <c r="Q156" s="67" t="str">
        <f>IFERROR(__xludf.DUMMYFUNCTION("""COMPUTED_VALUE"""),"Japan.Giaotiep.Anhlt_LHV.9822_CVS_DungNT_020923")</f>
        <v>Japan.Giaotiep.Anhlt_LHV.9822_CVS_DungNT_020923</v>
      </c>
      <c r="R156" s="67" t="str">
        <f>IFERROR(__xludf.DUMMYFUNCTION("""COMPUTED_VALUE"""),"NEW_Japan_1840_none_020923")</f>
        <v>NEW_Japan_1840_none_020923</v>
      </c>
      <c r="S156" s="67" t="str">
        <f>IFERROR(__xludf.DUMMYFUNCTION("""COMPUTED_VALUE"""),"saletructiep_Japan.Anhlt.1840.Giaotiep_PTATTNDL_LD176")</f>
        <v>saletructiep_Japan.Anhlt.1840.Giaotiep_PTATTNDL_LD176</v>
      </c>
      <c r="T156" s="107" t="str">
        <f>IFERROR(__xludf.DUMMYFUNCTION("""COMPUTED_VALUE"""),"https://patadovietnam.edu.vn/tienganhnguoidilamjapan/?utm_source=Facebook&amp;utm_medium=CVS&amp;utm_term=NEW_Japan_1840_none_020923&amp;utm_content=saletructiep_Japan.Anhlt.1840.Giaotiep_PTATTNDL_LD176&amp;utm_campaign=Japan.Giaotiep.Anhlt_LHV.9822_CVS_DungNT_020923")</f>
        <v>https://patadovietnam.edu.vn/tienganhnguoidilamjapan/?utm_source=Facebook&amp;utm_medium=CVS&amp;utm_term=NEW_Japan_1840_none_020923&amp;utm_content=saletructiep_Japan.Anhlt.1840.Giaotiep_PTATTNDL_LD176&amp;utm_campaign=Japan.Giaotiep.Anhlt_LHV.9822_CVS_DungNT_020923</v>
      </c>
      <c r="U156" s="146" t="s">
        <v>4066</v>
      </c>
    </row>
    <row r="157">
      <c r="A157" s="72">
        <v>45171.0</v>
      </c>
      <c r="B157" s="112" t="s">
        <v>3600</v>
      </c>
      <c r="C157" s="67" t="str">
        <f>IFERROR(__xludf.DUMMYFUNCTION("""COMPUTED_VALUE"""),"LD150")</f>
        <v>LD150</v>
      </c>
      <c r="D157" s="55" t="s">
        <v>42</v>
      </c>
      <c r="E157" s="55" t="s">
        <v>79</v>
      </c>
      <c r="F157" s="55" t="s">
        <v>107</v>
      </c>
      <c r="G157" s="55">
        <v>2050.0</v>
      </c>
      <c r="H157" s="55" t="s">
        <v>3306</v>
      </c>
      <c r="I157" s="55" t="s">
        <v>4159</v>
      </c>
      <c r="J157" s="168" t="s">
        <v>4161</v>
      </c>
      <c r="K157" s="167" t="s">
        <v>61</v>
      </c>
      <c r="L157" s="55" t="s">
        <v>1264</v>
      </c>
      <c r="M157" s="55" t="s">
        <v>78</v>
      </c>
      <c r="N157" s="55" t="s">
        <v>79</v>
      </c>
      <c r="O157" s="55" t="s">
        <v>218</v>
      </c>
      <c r="P157" s="55" t="s">
        <v>110</v>
      </c>
      <c r="Q157" s="67" t="str">
        <f>IFERROR(__xludf.DUMMYFUNCTION("""COMPUTED_VALUE"""),"UnitedStates.Giaotiep.Anhlt_LHV.9822_MES_DungNT_020923")</f>
        <v>UnitedStates.Giaotiep.Anhlt_LHV.9822_MES_DungNT_020923</v>
      </c>
      <c r="R157" s="67" t="str">
        <f>IFERROR(__xludf.DUMMYFUNCTION("""COMPUTED_VALUE"""),"NEW_UnitedStates_2050_none_020923")</f>
        <v>NEW_UnitedStates_2050_none_020923</v>
      </c>
      <c r="S157" s="67" t="str">
        <f>IFERROR(__xludf.DUMMYFUNCTION("""COMPUTED_VALUE"""),"saletructiep_UnitedStates.Anhlt.2050.Giaotiep_PTATTNDL_LD150")</f>
        <v>saletructiep_UnitedStates.Anhlt.2050.Giaotiep_PTATTNDL_LD150</v>
      </c>
      <c r="T157" s="107" t="str">
        <f>IFERROR(__xludf.DUMMYFUNCTION("""COMPUTED_VALUE"""),"https://patadovietnam.edu.vn/tienganhusa_dntt/?utm_source=Facebook&amp;utm_medium=MES&amp;utm_term=NEW_UnitedStates_2050_none_020923&amp;utm_content=saletructiep_UnitedStates.Anhlt.2050.Giaotiep_PTATTNDL_LD150&amp;utm_campaign=UnitedStates.Giaotiep.Anhlt_LHV.9822_MES_Dun"&amp;"gNT_020923")</f>
        <v>https://patadovietnam.edu.vn/tienganhusa_dntt/?utm_source=Facebook&amp;utm_medium=MES&amp;utm_term=NEW_UnitedStates_2050_none_020923&amp;utm_content=saletructiep_UnitedStates.Anhlt.2050.Giaotiep_PTATTNDL_LD150&amp;utm_campaign=UnitedStates.Giaotiep.Anhlt_LHV.9822_MES_DungNT_020923</v>
      </c>
      <c r="U157" s="116"/>
    </row>
    <row r="158">
      <c r="A158" s="72">
        <v>45173.0</v>
      </c>
      <c r="B158" s="194" t="s">
        <v>3782</v>
      </c>
      <c r="C158" s="67" t="str">
        <f>IFERROR(__xludf.DUMMYFUNCTION("""COMPUTED_VALUE"""),"LD167")</f>
        <v>LD167</v>
      </c>
      <c r="D158" s="55" t="s">
        <v>42</v>
      </c>
      <c r="E158" s="55" t="s">
        <v>79</v>
      </c>
      <c r="F158" s="55" t="s">
        <v>129</v>
      </c>
      <c r="G158" s="55">
        <v>2050.0</v>
      </c>
      <c r="H158" s="55" t="s">
        <v>3306</v>
      </c>
      <c r="I158" s="55" t="s">
        <v>4050</v>
      </c>
      <c r="J158" s="168" t="s">
        <v>4051</v>
      </c>
      <c r="K158" s="167" t="s">
        <v>61</v>
      </c>
      <c r="L158" s="55" t="s">
        <v>1264</v>
      </c>
      <c r="M158" s="55" t="s">
        <v>78</v>
      </c>
      <c r="N158" s="55" t="s">
        <v>79</v>
      </c>
      <c r="O158" s="55" t="s">
        <v>218</v>
      </c>
      <c r="P158" s="55" t="s">
        <v>110</v>
      </c>
      <c r="Q158" s="67" t="str">
        <f>IFERROR(__xludf.DUMMYFUNCTION("""COMPUTED_VALUE"""),"Australia.Giaotiep.Anhbeaf_LHV.9822_MES_DungNT_040923")</f>
        <v>Australia.Giaotiep.Anhbeaf_LHV.9822_MES_DungNT_040923</v>
      </c>
      <c r="R158" s="67" t="str">
        <f>IFERROR(__xludf.DUMMYFUNCTION("""COMPUTED_VALUE"""),"NEW_Australia_2050_none_040923")</f>
        <v>NEW_Australia_2050_none_040923</v>
      </c>
      <c r="S158" s="67" t="str">
        <f>IFERROR(__xludf.DUMMYFUNCTION("""COMPUTED_VALUE"""),"saletructiep_Australia.Anhbeaf.2050.Giaotiep_PTATTNDL_LD167")</f>
        <v>saletructiep_Australia.Anhbeaf.2050.Giaotiep_PTATTNDL_LD167</v>
      </c>
      <c r="T158" s="107" t="str">
        <f>IFERROR(__xludf.DUMMYFUNCTION("""COMPUTED_VALUE"""),"https://patadovietnam.edu.vn/tienganhnguoidilam_dnt/?utm_source=Facebook&amp;utm_medium=MES&amp;utm_term=NEW_Australia_2050_none_040923&amp;utm_content=saletructiep_Australia.Anhbeaf.2050.Giaotiep_PTATTNDL_LD167&amp;utm_campaign=Australia.Giaotiep.Anhbeaf_LHV.9822_MES_Du"&amp;"ngNT_040923")</f>
        <v>https://patadovietnam.edu.vn/tienganhnguoidilam_dnt/?utm_source=Facebook&amp;utm_medium=MES&amp;utm_term=NEW_Australia_2050_none_040923&amp;utm_content=saletructiep_Australia.Anhbeaf.2050.Giaotiep_PTATTNDL_LD167&amp;utm_campaign=Australia.Giaotiep.Anhbeaf_LHV.9822_MES_DungNT_040923</v>
      </c>
      <c r="U158" s="111" t="s">
        <v>4299</v>
      </c>
    </row>
    <row r="159">
      <c r="A159" s="72">
        <v>45176.0</v>
      </c>
      <c r="B159" s="194" t="s">
        <v>4315</v>
      </c>
      <c r="C159" s="67" t="str">
        <f>IFERROR(__xludf.DUMMYFUNCTION("""COMPUTED_VALUE"""),"LD183")</f>
        <v>LD183</v>
      </c>
      <c r="D159" s="55" t="s">
        <v>42</v>
      </c>
      <c r="E159" s="55" t="s">
        <v>79</v>
      </c>
      <c r="F159" s="55" t="s">
        <v>129</v>
      </c>
      <c r="G159" s="55">
        <v>2050.0</v>
      </c>
      <c r="H159" s="55" t="s">
        <v>3306</v>
      </c>
      <c r="I159" s="55" t="s">
        <v>4100</v>
      </c>
      <c r="J159" s="168" t="s">
        <v>4101</v>
      </c>
      <c r="K159" s="167" t="s">
        <v>61</v>
      </c>
      <c r="L159" s="55" t="s">
        <v>1264</v>
      </c>
      <c r="M159" s="55" t="s">
        <v>78</v>
      </c>
      <c r="N159" s="55" t="s">
        <v>79</v>
      </c>
      <c r="O159" s="55" t="s">
        <v>4350</v>
      </c>
      <c r="P159" s="55" t="s">
        <v>110</v>
      </c>
      <c r="Q159" s="67" t="str">
        <f>IFERROR(__xludf.DUMMYFUNCTION("""COMPUTED_VALUE"""),"Australia.Giaotiep.Anhkg_LHV.9822_MES_DungNT_070923")</f>
        <v>Australia.Giaotiep.Anhkg_LHV.9822_MES_DungNT_070923</v>
      </c>
      <c r="R159" s="67" t="str">
        <f>IFERROR(__xludf.DUMMYFUNCTION("""COMPUTED_VALUE"""),"NEW_Australia_2050_none_070923")</f>
        <v>NEW_Australia_2050_none_070923</v>
      </c>
      <c r="S159" s="67" t="str">
        <f>IFERROR(__xludf.DUMMYFUNCTION("""COMPUTED_VALUE"""),"saletructiep_Australia.Anhkg.2050.Giaotiep_PTATDNDL_LD183")</f>
        <v>saletructiep_Australia.Anhkg.2050.Giaotiep_PTATDNDL_LD183</v>
      </c>
      <c r="T159" s="107" t="str">
        <f>IFERROR(__xludf.DUMMYFUNCTION("""COMPUTED_VALUE"""),"https://patadovietnam.edu.vn/tienganhpatado_ptatdndl/?utm_source=Facebook&amp;utm_medium=MES&amp;utm_term=NEW_Australia_2050_none_070923&amp;utm_content=saletructiep_Australia.Anhkg.2050.Giaotiep_PTATDNDL_LD183&amp;utm_campaign=Australia.Giaotiep.Anhkg_LHV.9822_MES_DungN"&amp;"T_070923")</f>
        <v>https://patadovietnam.edu.vn/tienganhpatado_ptatdndl/?utm_source=Facebook&amp;utm_medium=MES&amp;utm_term=NEW_Australia_2050_none_070923&amp;utm_content=saletructiep_Australia.Anhkg.2050.Giaotiep_PTATDNDL_LD183&amp;utm_campaign=Australia.Giaotiep.Anhkg_LHV.9822_MES_DungNT_070923</v>
      </c>
      <c r="U159" s="200"/>
    </row>
    <row r="160">
      <c r="A160" s="72">
        <v>45176.0</v>
      </c>
      <c r="B160" s="194" t="s">
        <v>4391</v>
      </c>
      <c r="C160" s="67" t="str">
        <f>IFERROR(__xludf.DUMMYFUNCTION("""COMPUTED_VALUE"""),"LD184")</f>
        <v>LD184</v>
      </c>
      <c r="D160" s="55" t="s">
        <v>42</v>
      </c>
      <c r="E160" s="55" t="s">
        <v>79</v>
      </c>
      <c r="F160" s="55" t="s">
        <v>174</v>
      </c>
      <c r="G160" s="55">
        <v>2050.0</v>
      </c>
      <c r="H160" s="55" t="s">
        <v>3306</v>
      </c>
      <c r="I160" s="55" t="s">
        <v>4122</v>
      </c>
      <c r="J160" s="168" t="s">
        <v>4123</v>
      </c>
      <c r="K160" s="167" t="s">
        <v>61</v>
      </c>
      <c r="L160" s="55" t="s">
        <v>1264</v>
      </c>
      <c r="M160" s="55" t="s">
        <v>78</v>
      </c>
      <c r="N160" s="55" t="s">
        <v>79</v>
      </c>
      <c r="O160" s="55" t="s">
        <v>4350</v>
      </c>
      <c r="P160" s="55" t="s">
        <v>110</v>
      </c>
      <c r="Q160" s="67" t="str">
        <f>IFERROR(__xludf.DUMMYFUNCTION("""COMPUTED_VALUE"""),"Philippines.Giaotiep.Anhkg_LHV.9822_MES_DungNT_070923")</f>
        <v>Philippines.Giaotiep.Anhkg_LHV.9822_MES_DungNT_070923</v>
      </c>
      <c r="R160" s="67" t="str">
        <f>IFERROR(__xludf.DUMMYFUNCTION("""COMPUTED_VALUE"""),"NEW_Philippines_2050_none_070923")</f>
        <v>NEW_Philippines_2050_none_070923</v>
      </c>
      <c r="S160" s="67" t="str">
        <f>IFERROR(__xludf.DUMMYFUNCTION("""COMPUTED_VALUE"""),"saletructiep_Philippines.Anhkg.2050.Giaotiep_PTATDNDL_LD184")</f>
        <v>saletructiep_Philippines.Anhkg.2050.Giaotiep_PTATDNDL_LD184</v>
      </c>
      <c r="T160" s="107" t="str">
        <f>IFERROR(__xludf.DUMMYFUNCTION("""COMPUTED_VALUE"""),"https://patadovietnam.edu.vn/tienganhnguoidilam_ptatdndl/?utm_source=Facebook&amp;utm_medium=MES&amp;utm_term=NEW_Philippines_2050_none_070923&amp;utm_content=saletructiep_Philippines.Anhkg.2050.Giaotiep_PTATDNDL_LD184&amp;utm_campaign=Philippines.Giaotiep.Anhkg_LHV.9822"&amp;"_MES_DungNT_070923")</f>
        <v>https://patadovietnam.edu.vn/tienganhnguoidilam_ptatdndl/?utm_source=Facebook&amp;utm_medium=MES&amp;utm_term=NEW_Philippines_2050_none_070923&amp;utm_content=saletructiep_Philippines.Anhkg.2050.Giaotiep_PTATDNDL_LD184&amp;utm_campaign=Philippines.Giaotiep.Anhkg_LHV.9822_MES_DungNT_070923</v>
      </c>
      <c r="U160" s="111" t="s">
        <v>4473</v>
      </c>
    </row>
    <row r="161">
      <c r="A161" s="72">
        <v>45176.0</v>
      </c>
      <c r="B161" s="194" t="s">
        <v>4391</v>
      </c>
      <c r="C161" s="67" t="str">
        <f>IFERROR(__xludf.DUMMYFUNCTION("""COMPUTED_VALUE"""),"LD184")</f>
        <v>LD184</v>
      </c>
      <c r="D161" s="55" t="s">
        <v>42</v>
      </c>
      <c r="E161" s="55" t="s">
        <v>79</v>
      </c>
      <c r="F161" s="55" t="s">
        <v>162</v>
      </c>
      <c r="G161" s="55">
        <v>2050.0</v>
      </c>
      <c r="H161" s="55" t="s">
        <v>3306</v>
      </c>
      <c r="I161" s="55" t="s">
        <v>4110</v>
      </c>
      <c r="J161" s="168" t="s">
        <v>4111</v>
      </c>
      <c r="K161" s="167" t="s">
        <v>61</v>
      </c>
      <c r="L161" s="55" t="s">
        <v>1264</v>
      </c>
      <c r="M161" s="55" t="s">
        <v>78</v>
      </c>
      <c r="N161" s="55" t="s">
        <v>79</v>
      </c>
      <c r="O161" s="55" t="s">
        <v>4350</v>
      </c>
      <c r="P161" s="55" t="s">
        <v>110</v>
      </c>
      <c r="Q161" s="67" t="str">
        <f>IFERROR(__xludf.DUMMYFUNCTION("""COMPUTED_VALUE"""),"Singapore.Giaotiep.Anhkg_LHV.9822_MES_DungNT_070923")</f>
        <v>Singapore.Giaotiep.Anhkg_LHV.9822_MES_DungNT_070923</v>
      </c>
      <c r="R161" s="67" t="str">
        <f>IFERROR(__xludf.DUMMYFUNCTION("""COMPUTED_VALUE"""),"NEW_Singapore_2050_none_070923")</f>
        <v>NEW_Singapore_2050_none_070923</v>
      </c>
      <c r="S161" s="67" t="str">
        <f>IFERROR(__xludf.DUMMYFUNCTION("""COMPUTED_VALUE"""),"saletructiep_Singapore.Anhkg.2050.Giaotiep_PTATDNDL_LD184")</f>
        <v>saletructiep_Singapore.Anhkg.2050.Giaotiep_PTATDNDL_LD184</v>
      </c>
      <c r="T161" s="107" t="str">
        <f>IFERROR(__xludf.DUMMYFUNCTION("""COMPUTED_VALUE"""),"https://patadovietnam.edu.vn/tienganhnguoidilam_ptatdndl/?utm_source=Facebook&amp;utm_medium=MES&amp;utm_term=NEW_Singapore_2050_none_070923&amp;utm_content=saletructiep_Singapore.Anhkg.2050.Giaotiep_PTATDNDL_LD184&amp;utm_campaign=Singapore.Giaotiep.Anhkg_LHV.9822_MES_D"&amp;"ungNT_070923")</f>
        <v>https://patadovietnam.edu.vn/tienganhnguoidilam_ptatdndl/?utm_source=Facebook&amp;utm_medium=MES&amp;utm_term=NEW_Singapore_2050_none_070923&amp;utm_content=saletructiep_Singapore.Anhkg.2050.Giaotiep_PTATDNDL_LD184&amp;utm_campaign=Singapore.Giaotiep.Anhkg_LHV.9822_MES_DungNT_070923</v>
      </c>
      <c r="U161" s="111" t="s">
        <v>4533</v>
      </c>
    </row>
    <row r="162">
      <c r="A162" s="72">
        <v>45176.0</v>
      </c>
      <c r="B162" s="112" t="s">
        <v>4550</v>
      </c>
      <c r="C162" s="67" t="str">
        <f>IFERROR(__xludf.DUMMYFUNCTION("""COMPUTED_VALUE"""),"LD181")</f>
        <v>LD181</v>
      </c>
      <c r="D162" s="55" t="s">
        <v>42</v>
      </c>
      <c r="E162" s="55" t="s">
        <v>69</v>
      </c>
      <c r="F162" s="55" t="s">
        <v>625</v>
      </c>
      <c r="G162" s="55">
        <v>1840.0</v>
      </c>
      <c r="H162" s="55" t="s">
        <v>3306</v>
      </c>
      <c r="I162" s="55" t="s">
        <v>4011</v>
      </c>
      <c r="J162" s="168" t="s">
        <v>4012</v>
      </c>
      <c r="K162" s="167" t="s">
        <v>61</v>
      </c>
      <c r="L162" s="55" t="s">
        <v>1264</v>
      </c>
      <c r="M162" s="55" t="s">
        <v>78</v>
      </c>
      <c r="N162" s="55" t="s">
        <v>69</v>
      </c>
      <c r="O162" s="55" t="s">
        <v>4350</v>
      </c>
      <c r="P162" s="55" t="s">
        <v>110</v>
      </c>
      <c r="Q162" s="67" t="str">
        <f>IFERROR(__xludf.DUMMYFUNCTION("""COMPUTED_VALUE"""),"KoreaSouth.Giaotiep.Anhbeaf_LHV.9822_CVS_DungNT_070923")</f>
        <v>KoreaSouth.Giaotiep.Anhbeaf_LHV.9822_CVS_DungNT_070923</v>
      </c>
      <c r="R162" s="67" t="str">
        <f>IFERROR(__xludf.DUMMYFUNCTION("""COMPUTED_VALUE"""),"NEW_KoreaSouth_1840_none_070923")</f>
        <v>NEW_KoreaSouth_1840_none_070923</v>
      </c>
      <c r="S162" s="67" t="str">
        <f>IFERROR(__xludf.DUMMYFUNCTION("""COMPUTED_VALUE"""),"saletructiep_KoreaSouth.Anhbeaf.1840.Giaotiep_PTATDNDL_LD181")</f>
        <v>saletructiep_KoreaSouth.Anhbeaf.1840.Giaotiep_PTATDNDL_LD181</v>
      </c>
      <c r="T162" s="107" t="str">
        <f>IFERROR(__xludf.DUMMYFUNCTION("""COMPUTED_VALUE"""),"https://patadovietnam.edu.vn/tienganhnguoidilamkoreaa/?utm_source=Facebook&amp;utm_medium=CVS&amp;utm_term=NEW_KoreaSouth_1840_none_070923&amp;utm_content=saletructiep_KoreaSouth.Anhbeaf.1840.Giaotiep_PTATDNDL_LD181&amp;utm_campaign=KoreaSouth.Giaotiep.Anhbeaf_LHV.9822_C"&amp;"VS_DungNT_070923")</f>
        <v>https://patadovietnam.edu.vn/tienganhnguoidilamkoreaa/?utm_source=Facebook&amp;utm_medium=CVS&amp;utm_term=NEW_KoreaSouth_1840_none_070923&amp;utm_content=saletructiep_KoreaSouth.Anhbeaf.1840.Giaotiep_PTATDNDL_LD181&amp;utm_campaign=KoreaSouth.Giaotiep.Anhbeaf_LHV.9822_CVS_DungNT_070923</v>
      </c>
      <c r="U162" s="116"/>
    </row>
    <row r="163">
      <c r="A163" s="72">
        <v>45178.0</v>
      </c>
      <c r="B163" s="194" t="s">
        <v>4391</v>
      </c>
      <c r="C163" s="67" t="str">
        <f>IFERROR(__xludf.DUMMYFUNCTION("""COMPUTED_VALUE"""),"LD184")</f>
        <v>LD184</v>
      </c>
      <c r="D163" s="55" t="s">
        <v>42</v>
      </c>
      <c r="E163" s="55" t="s">
        <v>79</v>
      </c>
      <c r="F163" s="55" t="s">
        <v>174</v>
      </c>
      <c r="G163" s="55">
        <v>2050.0</v>
      </c>
      <c r="H163" s="55" t="s">
        <v>3306</v>
      </c>
      <c r="I163" s="55" t="s">
        <v>4122</v>
      </c>
      <c r="J163" s="168" t="s">
        <v>4123</v>
      </c>
      <c r="K163" s="167" t="s">
        <v>61</v>
      </c>
      <c r="L163" s="55" t="s">
        <v>1264</v>
      </c>
      <c r="M163" s="55" t="s">
        <v>78</v>
      </c>
      <c r="N163" s="55" t="s">
        <v>79</v>
      </c>
      <c r="O163" s="55" t="s">
        <v>4350</v>
      </c>
      <c r="P163" s="55" t="s">
        <v>110</v>
      </c>
      <c r="Q163" s="67" t="str">
        <f>IFERROR(__xludf.DUMMYFUNCTION("""COMPUTED_VALUE"""),"Philippines.Giaotiep.Anhkg_LHV.9822_MES_DungNT_090923")</f>
        <v>Philippines.Giaotiep.Anhkg_LHV.9822_MES_DungNT_090923</v>
      </c>
      <c r="R163" s="67" t="str">
        <f>IFERROR(__xludf.DUMMYFUNCTION("""COMPUTED_VALUE"""),"NEW_Philippines_2050_none_090923")</f>
        <v>NEW_Philippines_2050_none_090923</v>
      </c>
      <c r="S163" s="67" t="str">
        <f>IFERROR(__xludf.DUMMYFUNCTION("""COMPUTED_VALUE"""),"saletructiep_Philippines.Anhkg.2050.Giaotiep_PTATDNDL_LD184")</f>
        <v>saletructiep_Philippines.Anhkg.2050.Giaotiep_PTATDNDL_LD184</v>
      </c>
      <c r="T163" s="107" t="str">
        <f>IFERROR(__xludf.DUMMYFUNCTION("""COMPUTED_VALUE"""),"https://patadovietnam.edu.vn/tienganhnguoidilam_ptatdndl/?utm_source=Facebook&amp;utm_medium=MES&amp;utm_term=NEW_Philippines_2050_none_090923&amp;utm_content=saletructiep_Philippines.Anhkg.2050.Giaotiep_PTATDNDL_LD184&amp;utm_campaign=Philippines.Giaotiep.Anhkg_LHV.9822"&amp;"_MES_DungNT_090923")</f>
        <v>https://patadovietnam.edu.vn/tienganhnguoidilam_ptatdndl/?utm_source=Facebook&amp;utm_medium=MES&amp;utm_term=NEW_Philippines_2050_none_090923&amp;utm_content=saletructiep_Philippines.Anhkg.2050.Giaotiep_PTATDNDL_LD184&amp;utm_campaign=Philippines.Giaotiep.Anhkg_LHV.9822_MES_DungNT_090923</v>
      </c>
      <c r="U163" s="111" t="s">
        <v>4585</v>
      </c>
    </row>
    <row r="164">
      <c r="A164" s="72">
        <v>45178.0</v>
      </c>
      <c r="B164" s="194" t="s">
        <v>4315</v>
      </c>
      <c r="C164" s="67" t="str">
        <f>IFERROR(__xludf.DUMMYFUNCTION("""COMPUTED_VALUE"""),"LD183")</f>
        <v>LD183</v>
      </c>
      <c r="D164" s="55" t="s">
        <v>42</v>
      </c>
      <c r="E164" s="55" t="s">
        <v>79</v>
      </c>
      <c r="F164" s="55" t="s">
        <v>129</v>
      </c>
      <c r="G164" s="55">
        <v>2050.0</v>
      </c>
      <c r="H164" s="55" t="s">
        <v>3306</v>
      </c>
      <c r="I164" s="55" t="s">
        <v>4100</v>
      </c>
      <c r="J164" s="168" t="s">
        <v>4101</v>
      </c>
      <c r="K164" s="167" t="s">
        <v>61</v>
      </c>
      <c r="L164" s="55" t="s">
        <v>1264</v>
      </c>
      <c r="M164" s="55" t="s">
        <v>78</v>
      </c>
      <c r="N164" s="55" t="s">
        <v>79</v>
      </c>
      <c r="O164" s="55" t="s">
        <v>4350</v>
      </c>
      <c r="P164" s="55" t="s">
        <v>110</v>
      </c>
      <c r="Q164" s="67" t="str">
        <f>IFERROR(__xludf.DUMMYFUNCTION("""COMPUTED_VALUE"""),"Australia.Giaotiep.Anhkg_LHV.9822_MES_DungNT_090923")</f>
        <v>Australia.Giaotiep.Anhkg_LHV.9822_MES_DungNT_090923</v>
      </c>
      <c r="R164" s="67" t="str">
        <f>IFERROR(__xludf.DUMMYFUNCTION("""COMPUTED_VALUE"""),"NEW_Australia_2050_none_090923")</f>
        <v>NEW_Australia_2050_none_090923</v>
      </c>
      <c r="S164" s="67" t="str">
        <f>IFERROR(__xludf.DUMMYFUNCTION("""COMPUTED_VALUE"""),"saletructiep_Australia.Anhkg.2050.Giaotiep_PTATDNDL_LD183")</f>
        <v>saletructiep_Australia.Anhkg.2050.Giaotiep_PTATDNDL_LD183</v>
      </c>
      <c r="T164" s="107" t="str">
        <f>IFERROR(__xludf.DUMMYFUNCTION("""COMPUTED_VALUE"""),"https://patadovietnam.edu.vn/tienganhpatado_ptatdndl/?utm_source=Facebook&amp;utm_medium=MES&amp;utm_term=NEW_Australia_2050_none_090923&amp;utm_content=saletructiep_Australia.Anhkg.2050.Giaotiep_PTATDNDL_LD183&amp;utm_campaign=Australia.Giaotiep.Anhkg_LHV.9822_MES_DungN"&amp;"T_090923")</f>
        <v>https://patadovietnam.edu.vn/tienganhpatado_ptatdndl/?utm_source=Facebook&amp;utm_medium=MES&amp;utm_term=NEW_Australia_2050_none_090923&amp;utm_content=saletructiep_Australia.Anhkg.2050.Giaotiep_PTATDNDL_LD183&amp;utm_campaign=Australia.Giaotiep.Anhkg_LHV.9822_MES_DungNT_090923</v>
      </c>
      <c r="U164" s="111" t="s">
        <v>4591</v>
      </c>
    </row>
    <row r="165">
      <c r="A165" s="72">
        <v>45178.0</v>
      </c>
      <c r="B165" s="112" t="s">
        <v>4592</v>
      </c>
      <c r="C165" s="67" t="str">
        <f>IFERROR(__xludf.DUMMYFUNCTION("""COMPUTED_VALUE"""),"LD182")</f>
        <v>LD182</v>
      </c>
      <c r="D165" s="55" t="s">
        <v>42</v>
      </c>
      <c r="E165" s="55" t="s">
        <v>69</v>
      </c>
      <c r="F165" s="55" t="s">
        <v>133</v>
      </c>
      <c r="G165" s="55">
        <v>1840.0</v>
      </c>
      <c r="H165" s="55" t="s">
        <v>3306</v>
      </c>
      <c r="I165" s="55" t="s">
        <v>3738</v>
      </c>
      <c r="J165" s="168" t="s">
        <v>3739</v>
      </c>
      <c r="K165" s="167" t="s">
        <v>61</v>
      </c>
      <c r="L165" s="55" t="s">
        <v>1264</v>
      </c>
      <c r="M165" s="55" t="s">
        <v>78</v>
      </c>
      <c r="N165" s="55" t="s">
        <v>69</v>
      </c>
      <c r="O165" s="55" t="s">
        <v>4350</v>
      </c>
      <c r="P165" s="55" t="s">
        <v>110</v>
      </c>
      <c r="Q165" s="67" t="str">
        <f>IFERROR(__xludf.DUMMYFUNCTION("""COMPUTED_VALUE"""),"Japan.Giaotiep.Anhsale13_LHV.9822_CVS_DungNT_090923")</f>
        <v>Japan.Giaotiep.Anhsale13_LHV.9822_CVS_DungNT_090923</v>
      </c>
      <c r="R165" s="67" t="str">
        <f>IFERROR(__xludf.DUMMYFUNCTION("""COMPUTED_VALUE"""),"NEW_Japan_1840_none_090923")</f>
        <v>NEW_Japan_1840_none_090923</v>
      </c>
      <c r="S165" s="67" t="str">
        <f>IFERROR(__xludf.DUMMYFUNCTION("""COMPUTED_VALUE"""),"saletructiep_Japan.Anhsale13.1840.Giaotiep_PTATDNDL_LD182")</f>
        <v>saletructiep_Japan.Anhsale13.1840.Giaotiep_PTATDNDL_LD182</v>
      </c>
      <c r="T165" s="107" t="str">
        <f>IFERROR(__xludf.DUMMYFUNCTION("""COMPUTED_VALUE"""),"https://patadovietnam.edu.vn/tienganhnguoidilamjapann/?utm_source=Facebook&amp;utm_medium=CVS&amp;utm_term=NEW_Japan_1840_none_090923&amp;utm_content=saletructiep_Japan.Anhsale13.1840.Giaotiep_PTATDNDL_LD182&amp;utm_campaign=Japan.Giaotiep.Anhsale13_LHV.9822_CVS_DungNT_0"&amp;"90923")</f>
        <v>https://patadovietnam.edu.vn/tienganhnguoidilamjapann/?utm_source=Facebook&amp;utm_medium=CVS&amp;utm_term=NEW_Japan_1840_none_090923&amp;utm_content=saletructiep_Japan.Anhsale13.1840.Giaotiep_PTATDNDL_LD182&amp;utm_campaign=Japan.Giaotiep.Anhsale13_LHV.9822_CVS_DungNT_090923</v>
      </c>
      <c r="U165" s="111" t="s">
        <v>4595</v>
      </c>
    </row>
    <row r="166">
      <c r="A166" s="72">
        <v>45178.0</v>
      </c>
      <c r="B166" s="194" t="s">
        <v>4598</v>
      </c>
      <c r="C166" s="67" t="str">
        <f>IFERROR(__xludf.DUMMYFUNCTION("""COMPUTED_VALUE"""),"LD185")</f>
        <v>LD185</v>
      </c>
      <c r="D166" s="55" t="s">
        <v>42</v>
      </c>
      <c r="E166" s="55" t="s">
        <v>79</v>
      </c>
      <c r="F166" s="55" t="s">
        <v>107</v>
      </c>
      <c r="G166" s="55">
        <v>2050.0</v>
      </c>
      <c r="H166" s="55" t="s">
        <v>3306</v>
      </c>
      <c r="I166" s="55" t="s">
        <v>4083</v>
      </c>
      <c r="J166" s="168" t="s">
        <v>4084</v>
      </c>
      <c r="K166" s="167" t="s">
        <v>61</v>
      </c>
      <c r="L166" s="55" t="s">
        <v>1264</v>
      </c>
      <c r="M166" s="55" t="s">
        <v>78</v>
      </c>
      <c r="N166" s="55" t="s">
        <v>79</v>
      </c>
      <c r="O166" s="55" t="s">
        <v>4350</v>
      </c>
      <c r="P166" s="55" t="s">
        <v>110</v>
      </c>
      <c r="Q166" s="67" t="str">
        <f>IFERROR(__xludf.DUMMYFUNCTION("""COMPUTED_VALUE"""),"UnitedStates.Giaotiep.Anhkg_LHV.9822_MES_DungNT_090923")</f>
        <v>UnitedStates.Giaotiep.Anhkg_LHV.9822_MES_DungNT_090923</v>
      </c>
      <c r="R166" s="67" t="str">
        <f>IFERROR(__xludf.DUMMYFUNCTION("""COMPUTED_VALUE"""),"NEW_UnitedStates_2050_none_090923")</f>
        <v>NEW_UnitedStates_2050_none_090923</v>
      </c>
      <c r="S166" s="67" t="str">
        <f>IFERROR(__xludf.DUMMYFUNCTION("""COMPUTED_VALUE"""),"saletructiep_UnitedStates.Anhkg.2050.Giaotiep_PTATDNDL_LD185")</f>
        <v>saletructiep_UnitedStates.Anhkg.2050.Giaotiep_PTATDNDL_LD185</v>
      </c>
      <c r="T166" s="107" t="str">
        <f>IFERROR(__xludf.DUMMYFUNCTION("""COMPUTED_VALUE"""),"https://patadovietnam.edu.vn/tienganhhoaky_ptatdndl/?utm_source=Facebook&amp;utm_medium=MES&amp;utm_term=NEW_UnitedStates_2050_none_090923&amp;utm_content=saletructiep_UnitedStates.Anhkg.2050.Giaotiep_PTATDNDL_LD185&amp;utm_campaign=UnitedStates.Giaotiep.Anhkg_LHV.9822_M"&amp;"ES_DungNT_090923")</f>
        <v>https://patadovietnam.edu.vn/tienganhhoaky_ptatdndl/?utm_source=Facebook&amp;utm_medium=MES&amp;utm_term=NEW_UnitedStates_2050_none_090923&amp;utm_content=saletructiep_UnitedStates.Anhkg.2050.Giaotiep_PTATDNDL_LD185&amp;utm_campaign=UnitedStates.Giaotiep.Anhkg_LHV.9822_MES_DungNT_090923</v>
      </c>
      <c r="U166" s="120" t="s">
        <v>4603</v>
      </c>
    </row>
    <row r="167">
      <c r="A167" s="72">
        <v>45178.0</v>
      </c>
      <c r="B167" s="112" t="s">
        <v>4604</v>
      </c>
      <c r="C167" s="67" t="str">
        <f>IFERROR(__xludf.DUMMYFUNCTION("""COMPUTED_VALUE"""),"LD186")</f>
        <v>LD186</v>
      </c>
      <c r="D167" s="55" t="s">
        <v>42</v>
      </c>
      <c r="E167" s="55" t="s">
        <v>69</v>
      </c>
      <c r="F167" s="55" t="s">
        <v>674</v>
      </c>
      <c r="G167" s="55">
        <v>2055.0</v>
      </c>
      <c r="H167" s="55" t="s">
        <v>3306</v>
      </c>
      <c r="I167" s="55" t="s">
        <v>3617</v>
      </c>
      <c r="J167" s="168" t="s">
        <v>3618</v>
      </c>
      <c r="K167" s="167" t="s">
        <v>61</v>
      </c>
      <c r="L167" s="55" t="s">
        <v>3607</v>
      </c>
      <c r="M167" s="55" t="s">
        <v>78</v>
      </c>
      <c r="N167" s="55" t="s">
        <v>69</v>
      </c>
      <c r="O167" s="55" t="s">
        <v>218</v>
      </c>
      <c r="P167" s="55" t="s">
        <v>110</v>
      </c>
      <c r="Q167" s="67" t="str">
        <f>IFERROR(__xludf.DUMMYFUNCTION("""COMPUTED_VALUE"""),"Europe.Giaotiep.Anhsale10_SCB.9889_CVS_DungNT_090923")</f>
        <v>Europe.Giaotiep.Anhsale10_SCB.9889_CVS_DungNT_090923</v>
      </c>
      <c r="R167" s="67" t="str">
        <f>IFERROR(__xludf.DUMMYFUNCTION("""COMPUTED_VALUE"""),"NEW_Europe_2055_none_090923")</f>
        <v>NEW_Europe_2055_none_090923</v>
      </c>
      <c r="S167" s="67" t="str">
        <f>IFERROR(__xludf.DUMMYFUNCTION("""COMPUTED_VALUE"""),"saletructiep_Europe.Anhsale10.2055.Giaotiep_PTATTNDL_LD186")</f>
        <v>saletructiep_Europe.Anhsale10.2055.Giaotiep_PTATTNDL_LD186</v>
      </c>
      <c r="T167" s="107" t="str">
        <f>IFERROR(__xludf.DUMMYFUNCTION("""COMPUTED_VALUE"""),"https://patadovietnam.edu.vn/tienganheurope_ptatdndl/?utm_source=Facebook&amp;utm_medium=CVS&amp;utm_term=NEW_Europe_2055_none_090923&amp;utm_content=saletructiep_Europe.Anhsale10.2055.Giaotiep_PTATTNDL_LD186&amp;utm_campaign=Europe.Giaotiep.Anhsale10_SCB.9889_CVS_DungNT"&amp;"_090923")</f>
        <v>https://patadovietnam.edu.vn/tienganheurope_ptatdndl/?utm_source=Facebook&amp;utm_medium=CVS&amp;utm_term=NEW_Europe_2055_none_090923&amp;utm_content=saletructiep_Europe.Anhsale10.2055.Giaotiep_PTATTNDL_LD186&amp;utm_campaign=Europe.Giaotiep.Anhsale10_SCB.9889_CVS_DungNT_090923</v>
      </c>
      <c r="U167" s="110" t="s">
        <v>4615</v>
      </c>
    </row>
    <row r="168">
      <c r="A168" s="72">
        <v>45180.0</v>
      </c>
      <c r="B168" s="194" t="s">
        <v>4391</v>
      </c>
      <c r="C168" s="67" t="str">
        <f>IFERROR(__xludf.DUMMYFUNCTION("""COMPUTED_VALUE"""),"LD184")</f>
        <v>LD184</v>
      </c>
      <c r="D168" s="55" t="s">
        <v>42</v>
      </c>
      <c r="E168" s="55" t="s">
        <v>79</v>
      </c>
      <c r="F168" s="55" t="s">
        <v>174</v>
      </c>
      <c r="G168" s="55">
        <v>2045.0</v>
      </c>
      <c r="H168" s="55" t="s">
        <v>3306</v>
      </c>
      <c r="I168" s="55" t="s">
        <v>3967</v>
      </c>
      <c r="J168" s="168" t="s">
        <v>3968</v>
      </c>
      <c r="K168" s="167" t="s">
        <v>61</v>
      </c>
      <c r="L168" s="55" t="s">
        <v>1264</v>
      </c>
      <c r="M168" s="55" t="s">
        <v>78</v>
      </c>
      <c r="N168" s="55" t="s">
        <v>79</v>
      </c>
      <c r="O168" s="55" t="s">
        <v>4350</v>
      </c>
      <c r="P168" s="55" t="s">
        <v>110</v>
      </c>
      <c r="Q168" s="67" t="str">
        <f>IFERROR(__xludf.DUMMYFUNCTION("""COMPUTED_VALUE"""),"Philippines.Giaotiep.Anhtblh_LHV.9822_MES_DungNT_110923")</f>
        <v>Philippines.Giaotiep.Anhtblh_LHV.9822_MES_DungNT_110923</v>
      </c>
      <c r="R168" s="67" t="str">
        <f>IFERROR(__xludf.DUMMYFUNCTION("""COMPUTED_VALUE"""),"NEW_Philippines_2045_none_110923")</f>
        <v>NEW_Philippines_2045_none_110923</v>
      </c>
      <c r="S168" s="67" t="str">
        <f>IFERROR(__xludf.DUMMYFUNCTION("""COMPUTED_VALUE"""),"saletructiep_Philippines.Anhtblh.2045.Giaotiep_PTATDNDL_LD184")</f>
        <v>saletructiep_Philippines.Anhtblh.2045.Giaotiep_PTATDNDL_LD184</v>
      </c>
      <c r="T168" s="107" t="str">
        <f>IFERROR(__xludf.DUMMYFUNCTION("""COMPUTED_VALUE"""),"https://patadovietnam.edu.vn/tienganhnguoidilam_ptatdndl/?utm_source=Facebook&amp;utm_medium=MES&amp;utm_term=NEW_Philippines_2045_none_110923&amp;utm_content=saletructiep_Philippines.Anhtblh.2045.Giaotiep_PTATDNDL_LD184&amp;utm_campaign=Philippines.Giaotiep.Anhtblh_LHV."&amp;"9822_MES_DungNT_110923")</f>
        <v>https://patadovietnam.edu.vn/tienganhnguoidilam_ptatdndl/?utm_source=Facebook&amp;utm_medium=MES&amp;utm_term=NEW_Philippines_2045_none_110923&amp;utm_content=saletructiep_Philippines.Anhtblh.2045.Giaotiep_PTATDNDL_LD184&amp;utm_campaign=Philippines.Giaotiep.Anhtblh_LHV.9822_MES_DungNT_110923</v>
      </c>
      <c r="U168" s="200"/>
    </row>
    <row r="169">
      <c r="A169" s="72">
        <v>45180.0</v>
      </c>
      <c r="B169" s="194" t="s">
        <v>4598</v>
      </c>
      <c r="C169" s="67" t="str">
        <f>IFERROR(__xludf.DUMMYFUNCTION("""COMPUTED_VALUE"""),"LD185")</f>
        <v>LD185</v>
      </c>
      <c r="D169" s="55" t="s">
        <v>42</v>
      </c>
      <c r="E169" s="55" t="s">
        <v>79</v>
      </c>
      <c r="F169" s="55" t="s">
        <v>107</v>
      </c>
      <c r="G169" s="55">
        <v>2055.0</v>
      </c>
      <c r="H169" s="55" t="s">
        <v>3306</v>
      </c>
      <c r="I169" s="55" t="s">
        <v>4159</v>
      </c>
      <c r="J169" s="168" t="s">
        <v>4623</v>
      </c>
      <c r="K169" s="167" t="s">
        <v>61</v>
      </c>
      <c r="L169" s="55" t="s">
        <v>1264</v>
      </c>
      <c r="M169" s="55" t="s">
        <v>78</v>
      </c>
      <c r="N169" s="55" t="s">
        <v>79</v>
      </c>
      <c r="O169" s="55" t="s">
        <v>4350</v>
      </c>
      <c r="P169" s="55" t="s">
        <v>110</v>
      </c>
      <c r="Q169" s="67" t="str">
        <f>IFERROR(__xludf.DUMMYFUNCTION("""COMPUTED_VALUE"""),"UnitedStates.Giaotiep.Anhlt_LHV.9822_MES_DungNT_110923")</f>
        <v>UnitedStates.Giaotiep.Anhlt_LHV.9822_MES_DungNT_110923</v>
      </c>
      <c r="R169" s="67" t="str">
        <f>IFERROR(__xludf.DUMMYFUNCTION("""COMPUTED_VALUE"""),"NEW_UnitedStates_2055_none_110923")</f>
        <v>NEW_UnitedStates_2055_none_110923</v>
      </c>
      <c r="S169" s="67" t="str">
        <f>IFERROR(__xludf.DUMMYFUNCTION("""COMPUTED_VALUE"""),"saletructiep_UnitedStates.Anhlt.2055.Giaotiep_PTATDNDL_LD185")</f>
        <v>saletructiep_UnitedStates.Anhlt.2055.Giaotiep_PTATDNDL_LD185</v>
      </c>
      <c r="T169" s="107" t="str">
        <f>IFERROR(__xludf.DUMMYFUNCTION("""COMPUTED_VALUE"""),"https://patadovietnam.edu.vn/tienganhhoaky_ptatdndl/?utm_source=Facebook&amp;utm_medium=MES&amp;utm_term=NEW_UnitedStates_2055_none_110923&amp;utm_content=saletructiep_UnitedStates.Anhlt.2055.Giaotiep_PTATDNDL_LD185&amp;utm_campaign=UnitedStates.Giaotiep.Anhlt_LHV.9822_M"&amp;"ES_DungNT_110923")</f>
        <v>https://patadovietnam.edu.vn/tienganhhoaky_ptatdndl/?utm_source=Facebook&amp;utm_medium=MES&amp;utm_term=NEW_UnitedStates_2055_none_110923&amp;utm_content=saletructiep_UnitedStates.Anhlt.2055.Giaotiep_PTATDNDL_LD185&amp;utm_campaign=UnitedStates.Giaotiep.Anhlt_LHV.9822_MES_DungNT_110923</v>
      </c>
      <c r="U169" s="116"/>
    </row>
    <row r="170">
      <c r="A170" s="72">
        <v>45180.0</v>
      </c>
      <c r="B170" s="194" t="s">
        <v>4315</v>
      </c>
      <c r="C170" s="67" t="str">
        <f>IFERROR(__xludf.DUMMYFUNCTION("""COMPUTED_VALUE"""),"LD183")</f>
        <v>LD183</v>
      </c>
      <c r="D170" s="55" t="s">
        <v>42</v>
      </c>
      <c r="E170" s="55" t="s">
        <v>79</v>
      </c>
      <c r="F170" s="55" t="s">
        <v>112</v>
      </c>
      <c r="G170" s="55">
        <v>2055.0</v>
      </c>
      <c r="H170" s="55" t="s">
        <v>3306</v>
      </c>
      <c r="I170" s="55" t="s">
        <v>4627</v>
      </c>
      <c r="J170" s="168" t="s">
        <v>4628</v>
      </c>
      <c r="K170" s="167" t="s">
        <v>61</v>
      </c>
      <c r="L170" s="55" t="s">
        <v>1264</v>
      </c>
      <c r="M170" s="55" t="s">
        <v>78</v>
      </c>
      <c r="N170" s="55" t="s">
        <v>79</v>
      </c>
      <c r="O170" s="55" t="s">
        <v>4350</v>
      </c>
      <c r="P170" s="55" t="s">
        <v>110</v>
      </c>
      <c r="Q170" s="67" t="str">
        <f>IFERROR(__xludf.DUMMYFUNCTION("""COMPUTED_VALUE"""),"Canada.Giaotiep.Anhlt_LHV.9822_MES_DungNT_110923")</f>
        <v>Canada.Giaotiep.Anhlt_LHV.9822_MES_DungNT_110923</v>
      </c>
      <c r="R170" s="67" t="str">
        <f>IFERROR(__xludf.DUMMYFUNCTION("""COMPUTED_VALUE"""),"NEW_Canada_2055_none_110923")</f>
        <v>NEW_Canada_2055_none_110923</v>
      </c>
      <c r="S170" s="67" t="str">
        <f>IFERROR(__xludf.DUMMYFUNCTION("""COMPUTED_VALUE"""),"saletructiep_Canada.Anhlt.2055.Giaotiep_PTATDNDL_LD183")</f>
        <v>saletructiep_Canada.Anhlt.2055.Giaotiep_PTATDNDL_LD183</v>
      </c>
      <c r="T170" s="107" t="str">
        <f>IFERROR(__xludf.DUMMYFUNCTION("""COMPUTED_VALUE"""),"https://patadovietnam.edu.vn/tienganhpatado_ptatdndl/?utm_source=Facebook&amp;utm_medium=MES&amp;utm_term=NEW_Canada_2055_none_110923&amp;utm_content=saletructiep_Canada.Anhlt.2055.Giaotiep_PTATDNDL_LD183&amp;utm_campaign=Canada.Giaotiep.Anhlt_LHV.9822_MES_DungNT_110923")</f>
        <v>https://patadovietnam.edu.vn/tienganhpatado_ptatdndl/?utm_source=Facebook&amp;utm_medium=MES&amp;utm_term=NEW_Canada_2055_none_110923&amp;utm_content=saletructiep_Canada.Anhlt.2055.Giaotiep_PTATDNDL_LD183&amp;utm_campaign=Canada.Giaotiep.Anhlt_LHV.9822_MES_DungNT_110923</v>
      </c>
      <c r="U170" s="200"/>
    </row>
    <row r="171">
      <c r="A171" s="72">
        <v>45182.0</v>
      </c>
      <c r="B171" s="194" t="s">
        <v>4391</v>
      </c>
      <c r="C171" s="67" t="str">
        <f>IFERROR(__xludf.DUMMYFUNCTION("""COMPUTED_VALUE"""),"LD184")</f>
        <v>LD184</v>
      </c>
      <c r="D171" s="55" t="s">
        <v>42</v>
      </c>
      <c r="E171" s="55" t="s">
        <v>79</v>
      </c>
      <c r="F171" s="55" t="s">
        <v>107</v>
      </c>
      <c r="G171" s="55">
        <v>2055.0</v>
      </c>
      <c r="H171" s="55" t="s">
        <v>3306</v>
      </c>
      <c r="I171" s="55" t="s">
        <v>4159</v>
      </c>
      <c r="J171" s="168" t="s">
        <v>4623</v>
      </c>
      <c r="K171" s="167" t="s">
        <v>61</v>
      </c>
      <c r="L171" s="55" t="s">
        <v>1264</v>
      </c>
      <c r="M171" s="55" t="s">
        <v>78</v>
      </c>
      <c r="N171" s="55" t="s">
        <v>79</v>
      </c>
      <c r="O171" s="55" t="s">
        <v>4350</v>
      </c>
      <c r="P171" s="55" t="s">
        <v>110</v>
      </c>
      <c r="Q171" s="67" t="str">
        <f>IFERROR(__xludf.DUMMYFUNCTION("""COMPUTED_VALUE"""),"UnitedStates.Giaotiep.Anhlt_LHV.9822_MES_DungNT_130923")</f>
        <v>UnitedStates.Giaotiep.Anhlt_LHV.9822_MES_DungNT_130923</v>
      </c>
      <c r="R171" s="67" t="str">
        <f>IFERROR(__xludf.DUMMYFUNCTION("""COMPUTED_VALUE"""),"NEW_UnitedStates_2055_none_130923")</f>
        <v>NEW_UnitedStates_2055_none_130923</v>
      </c>
      <c r="S171" s="67" t="str">
        <f>IFERROR(__xludf.DUMMYFUNCTION("""COMPUTED_VALUE"""),"saletructiep_UnitedStates.Anhlt.2055.Giaotiep_PTATDNDL_LD184")</f>
        <v>saletructiep_UnitedStates.Anhlt.2055.Giaotiep_PTATDNDL_LD184</v>
      </c>
      <c r="T171" s="107" t="str">
        <f>IFERROR(__xludf.DUMMYFUNCTION("""COMPUTED_VALUE"""),"https://patadovietnam.edu.vn/tienganhnguoidilam_ptatdndl/?utm_source=Facebook&amp;utm_medium=MES&amp;utm_term=NEW_UnitedStates_2055_none_130923&amp;utm_content=saletructiep_UnitedStates.Anhlt.2055.Giaotiep_PTATDNDL_LD184&amp;utm_campaign=UnitedStates.Giaotiep.Anhlt_LHV.9"&amp;"822_MES_DungNT_130923")</f>
        <v>https://patadovietnam.edu.vn/tienganhnguoidilam_ptatdndl/?utm_source=Facebook&amp;utm_medium=MES&amp;utm_term=NEW_UnitedStates_2055_none_130923&amp;utm_content=saletructiep_UnitedStates.Anhlt.2055.Giaotiep_PTATDNDL_LD184&amp;utm_campaign=UnitedStates.Giaotiep.Anhlt_LHV.9822_MES_DungNT_130923</v>
      </c>
      <c r="U171" s="116"/>
    </row>
    <row r="172">
      <c r="A172" s="72">
        <v>45182.0</v>
      </c>
      <c r="B172" s="194" t="s">
        <v>4315</v>
      </c>
      <c r="C172" s="67" t="str">
        <f>IFERROR(__xludf.DUMMYFUNCTION("""COMPUTED_VALUE"""),"LD183")</f>
        <v>LD183</v>
      </c>
      <c r="D172" s="55" t="s">
        <v>42</v>
      </c>
      <c r="E172" s="55" t="s">
        <v>79</v>
      </c>
      <c r="F172" s="55" t="s">
        <v>112</v>
      </c>
      <c r="G172" s="55">
        <v>2055.0</v>
      </c>
      <c r="H172" s="55" t="s">
        <v>3306</v>
      </c>
      <c r="I172" s="55" t="s">
        <v>4627</v>
      </c>
      <c r="J172" s="168" t="s">
        <v>4628</v>
      </c>
      <c r="K172" s="167" t="s">
        <v>61</v>
      </c>
      <c r="L172" s="55" t="s">
        <v>1264</v>
      </c>
      <c r="M172" s="55" t="s">
        <v>78</v>
      </c>
      <c r="N172" s="55" t="s">
        <v>79</v>
      </c>
      <c r="O172" s="55" t="s">
        <v>4350</v>
      </c>
      <c r="P172" s="55" t="s">
        <v>110</v>
      </c>
      <c r="Q172" s="67" t="str">
        <f>IFERROR(__xludf.DUMMYFUNCTION("""COMPUTED_VALUE"""),"Canada.Giaotiep.Anhlt_LHV.9822_MES_DungNT_130923")</f>
        <v>Canada.Giaotiep.Anhlt_LHV.9822_MES_DungNT_130923</v>
      </c>
      <c r="R172" s="67" t="str">
        <f>IFERROR(__xludf.DUMMYFUNCTION("""COMPUTED_VALUE"""),"NEW_Canada_2055_none_130923")</f>
        <v>NEW_Canada_2055_none_130923</v>
      </c>
      <c r="S172" s="67" t="str">
        <f>IFERROR(__xludf.DUMMYFUNCTION("""COMPUTED_VALUE"""),"saletructiep_Canada.Anhlt.2055.Giaotiep_PTATDNDL_LD183")</f>
        <v>saletructiep_Canada.Anhlt.2055.Giaotiep_PTATDNDL_LD183</v>
      </c>
      <c r="T172" s="107" t="str">
        <f>IFERROR(__xludf.DUMMYFUNCTION("""COMPUTED_VALUE"""),"https://patadovietnam.edu.vn/tienganhpatado_ptatdndl/?utm_source=Facebook&amp;utm_medium=MES&amp;utm_term=NEW_Canada_2055_none_130923&amp;utm_content=saletructiep_Canada.Anhlt.2055.Giaotiep_PTATDNDL_LD183&amp;utm_campaign=Canada.Giaotiep.Anhlt_LHV.9822_MES_DungNT_130923")</f>
        <v>https://patadovietnam.edu.vn/tienganhpatado_ptatdndl/?utm_source=Facebook&amp;utm_medium=MES&amp;utm_term=NEW_Canada_2055_none_130923&amp;utm_content=saletructiep_Canada.Anhlt.2055.Giaotiep_PTATDNDL_LD183&amp;utm_campaign=Canada.Giaotiep.Anhlt_LHV.9822_MES_DungNT_130923</v>
      </c>
      <c r="U172" s="200"/>
    </row>
    <row r="173">
      <c r="A173" s="72">
        <v>45190.0</v>
      </c>
      <c r="B173" s="194" t="s">
        <v>4391</v>
      </c>
      <c r="C173" s="67" t="str">
        <f>IFERROR(__xludf.DUMMYFUNCTION("""COMPUTED_VALUE"""),"LD184")</f>
        <v>LD184</v>
      </c>
      <c r="D173" s="55" t="s">
        <v>42</v>
      </c>
      <c r="E173" s="55" t="s">
        <v>79</v>
      </c>
      <c r="F173" s="55" t="s">
        <v>107</v>
      </c>
      <c r="G173" s="55">
        <v>2055.0</v>
      </c>
      <c r="H173" s="55" t="s">
        <v>3306</v>
      </c>
      <c r="I173" s="55" t="s">
        <v>4671</v>
      </c>
      <c r="J173" s="168" t="s">
        <v>4672</v>
      </c>
      <c r="K173" s="167" t="s">
        <v>61</v>
      </c>
      <c r="L173" s="55" t="s">
        <v>1264</v>
      </c>
      <c r="M173" s="55" t="s">
        <v>78</v>
      </c>
      <c r="N173" s="55" t="s">
        <v>79</v>
      </c>
      <c r="O173" s="55" t="s">
        <v>4350</v>
      </c>
      <c r="P173" s="55" t="s">
        <v>110</v>
      </c>
      <c r="Q173" s="67" t="str">
        <f>IFERROR(__xludf.DUMMYFUNCTION("""COMPUTED_VALUE"""),"UnitedStates.Giaotiep.vd4nl_LHV.9822_MES_DungNT_210923")</f>
        <v>UnitedStates.Giaotiep.vd4nl_LHV.9822_MES_DungNT_210923</v>
      </c>
      <c r="R173" s="67" t="str">
        <f>IFERROR(__xludf.DUMMYFUNCTION("""COMPUTED_VALUE"""),"NEW_UnitedStates_2055_none_210923")</f>
        <v>NEW_UnitedStates_2055_none_210923</v>
      </c>
      <c r="S173" s="67" t="str">
        <f>IFERROR(__xludf.DUMMYFUNCTION("""COMPUTED_VALUE"""),"saletructiep_UnitedStates.vd4nl.2055.Giaotiep_PTATDNDL_LD184")</f>
        <v>saletructiep_UnitedStates.vd4nl.2055.Giaotiep_PTATDNDL_LD184</v>
      </c>
      <c r="T173" s="107" t="str">
        <f>IFERROR(__xludf.DUMMYFUNCTION("""COMPUTED_VALUE"""),"https://patadovietnam.edu.vn/tienganhnguoidilam_ptatdndl/?utm_source=Facebook&amp;utm_medium=MES&amp;utm_term=NEW_UnitedStates_2055_none_210923&amp;utm_content=saletructiep_UnitedStates.vd4nl.2055.Giaotiep_PTATDNDL_LD184&amp;utm_campaign=UnitedStates.Giaotiep.vd4nl_LHV.9"&amp;"822_MES_DungNT_210923")</f>
        <v>https://patadovietnam.edu.vn/tienganhnguoidilam_ptatdndl/?utm_source=Facebook&amp;utm_medium=MES&amp;utm_term=NEW_UnitedStates_2055_none_210923&amp;utm_content=saletructiep_UnitedStates.vd4nl.2055.Giaotiep_PTATDNDL_LD184&amp;utm_campaign=UnitedStates.Giaotiep.vd4nl_LHV.9822_MES_DungNT_210923</v>
      </c>
      <c r="U173" s="110" t="s">
        <v>4680</v>
      </c>
    </row>
    <row r="174">
      <c r="A174" s="72">
        <v>45190.0</v>
      </c>
      <c r="B174" s="194" t="s">
        <v>4315</v>
      </c>
      <c r="C174" s="67" t="str">
        <f>IFERROR(__xludf.DUMMYFUNCTION("""COMPUTED_VALUE"""),"LD183")</f>
        <v>LD183</v>
      </c>
      <c r="D174" s="55" t="s">
        <v>42</v>
      </c>
      <c r="E174" s="55" t="s">
        <v>79</v>
      </c>
      <c r="F174" s="55" t="s">
        <v>112</v>
      </c>
      <c r="G174" s="55">
        <v>2055.0</v>
      </c>
      <c r="H174" s="55" t="s">
        <v>3306</v>
      </c>
      <c r="I174" s="55" t="s">
        <v>4683</v>
      </c>
      <c r="J174" s="168" t="s">
        <v>4684</v>
      </c>
      <c r="K174" s="167" t="s">
        <v>61</v>
      </c>
      <c r="L174" s="55" t="s">
        <v>1264</v>
      </c>
      <c r="M174" s="55" t="s">
        <v>78</v>
      </c>
      <c r="N174" s="55" t="s">
        <v>79</v>
      </c>
      <c r="O174" s="55" t="s">
        <v>4350</v>
      </c>
      <c r="P174" s="55" t="s">
        <v>110</v>
      </c>
      <c r="Q174" s="67" t="str">
        <f>IFERROR(__xludf.DUMMYFUNCTION("""COMPUTED_VALUE"""),"Canada.Giaotiep.vd4nl_LHV.9822_MES_DungNT_210923")</f>
        <v>Canada.Giaotiep.vd4nl_LHV.9822_MES_DungNT_210923</v>
      </c>
      <c r="R174" s="67" t="str">
        <f>IFERROR(__xludf.DUMMYFUNCTION("""COMPUTED_VALUE"""),"NEW_Canada_2055_none_210923")</f>
        <v>NEW_Canada_2055_none_210923</v>
      </c>
      <c r="S174" s="67" t="str">
        <f>IFERROR(__xludf.DUMMYFUNCTION("""COMPUTED_VALUE"""),"saletructiep_Canada.vd4nl.2055.Giaotiep_PTATDNDL_LD183")</f>
        <v>saletructiep_Canada.vd4nl.2055.Giaotiep_PTATDNDL_LD183</v>
      </c>
      <c r="T174" s="107" t="str">
        <f>IFERROR(__xludf.DUMMYFUNCTION("""COMPUTED_VALUE"""),"https://patadovietnam.edu.vn/tienganhpatado_ptatdndl/?utm_source=Facebook&amp;utm_medium=MES&amp;utm_term=NEW_Canada_2055_none_210923&amp;utm_content=saletructiep_Canada.vd4nl.2055.Giaotiep_PTATDNDL_LD183&amp;utm_campaign=Canada.Giaotiep.vd4nl_LHV.9822_MES_DungNT_210923")</f>
        <v>https://patadovietnam.edu.vn/tienganhpatado_ptatdndl/?utm_source=Facebook&amp;utm_medium=MES&amp;utm_term=NEW_Canada_2055_none_210923&amp;utm_content=saletructiep_Canada.vd4nl.2055.Giaotiep_PTATDNDL_LD183&amp;utm_campaign=Canada.Giaotiep.vd4nl_LHV.9822_MES_DungNT_210923</v>
      </c>
      <c r="U174" s="110" t="s">
        <v>3889</v>
      </c>
    </row>
    <row r="175">
      <c r="A175" s="72">
        <v>45190.0</v>
      </c>
      <c r="B175" s="194" t="s">
        <v>3782</v>
      </c>
      <c r="C175" s="67" t="str">
        <f>IFERROR(__xludf.DUMMYFUNCTION("""COMPUTED_VALUE"""),"LD167")</f>
        <v>LD167</v>
      </c>
      <c r="D175" s="55" t="s">
        <v>42</v>
      </c>
      <c r="E175" s="55" t="s">
        <v>79</v>
      </c>
      <c r="F175" s="55" t="s">
        <v>129</v>
      </c>
      <c r="G175" s="55">
        <v>2055.0</v>
      </c>
      <c r="H175" s="55" t="s">
        <v>3306</v>
      </c>
      <c r="I175" s="55" t="s">
        <v>4691</v>
      </c>
      <c r="J175" s="168" t="s">
        <v>4692</v>
      </c>
      <c r="K175" s="167" t="s">
        <v>61</v>
      </c>
      <c r="L175" s="55" t="s">
        <v>1264</v>
      </c>
      <c r="M175" s="55" t="s">
        <v>78</v>
      </c>
      <c r="N175" s="55" t="s">
        <v>79</v>
      </c>
      <c r="O175" s="55" t="s">
        <v>218</v>
      </c>
      <c r="P175" s="55" t="s">
        <v>110</v>
      </c>
      <c r="Q175" s="67" t="str">
        <f>IFERROR(__xludf.DUMMYFUNCTION("""COMPUTED_VALUE"""),"Australia.Giaotiep.vd4nl_LHV.9822_MES_DungNT_210923")</f>
        <v>Australia.Giaotiep.vd4nl_LHV.9822_MES_DungNT_210923</v>
      </c>
      <c r="R175" s="67" t="str">
        <f>IFERROR(__xludf.DUMMYFUNCTION("""COMPUTED_VALUE"""),"NEW_Australia_2055_none_210923")</f>
        <v>NEW_Australia_2055_none_210923</v>
      </c>
      <c r="S175" s="67" t="str">
        <f>IFERROR(__xludf.DUMMYFUNCTION("""COMPUTED_VALUE"""),"saletructiep_Australia.vd4nl.2055.Giaotiep_PTATTNDL_LD167")</f>
        <v>saletructiep_Australia.vd4nl.2055.Giaotiep_PTATTNDL_LD167</v>
      </c>
      <c r="T175" s="107" t="str">
        <f>IFERROR(__xludf.DUMMYFUNCTION("""COMPUTED_VALUE"""),"https://patadovietnam.edu.vn/tienganhnguoidilam_dnt/?utm_source=Facebook&amp;utm_medium=MES&amp;utm_term=NEW_Australia_2055_none_210923&amp;utm_content=saletructiep_Australia.vd4nl.2055.Giaotiep_PTATTNDL_LD167&amp;utm_campaign=Australia.Giaotiep.vd4nl_LHV.9822_MES_DungNT"&amp;"_210923")</f>
        <v>https://patadovietnam.edu.vn/tienganhnguoidilam_dnt/?utm_source=Facebook&amp;utm_medium=MES&amp;utm_term=NEW_Australia_2055_none_210923&amp;utm_content=saletructiep_Australia.vd4nl.2055.Giaotiep_PTATTNDL_LD167&amp;utm_campaign=Australia.Giaotiep.vd4nl_LHV.9822_MES_DungNT_210923</v>
      </c>
      <c r="U175" s="110" t="s">
        <v>4697</v>
      </c>
    </row>
    <row r="176">
      <c r="A176" s="72">
        <v>45190.0</v>
      </c>
      <c r="B176" s="194" t="s">
        <v>3782</v>
      </c>
      <c r="C176" s="67" t="str">
        <f>IFERROR(__xludf.DUMMYFUNCTION("""COMPUTED_VALUE"""),"LD167")</f>
        <v>LD167</v>
      </c>
      <c r="D176" s="55" t="s">
        <v>42</v>
      </c>
      <c r="E176" s="55" t="s">
        <v>69</v>
      </c>
      <c r="F176" s="55" t="s">
        <v>133</v>
      </c>
      <c r="G176" s="55">
        <v>1840.0</v>
      </c>
      <c r="H176" s="55" t="s">
        <v>3306</v>
      </c>
      <c r="I176" s="55" t="s">
        <v>4700</v>
      </c>
      <c r="J176" s="168" t="s">
        <v>4701</v>
      </c>
      <c r="K176" s="167" t="s">
        <v>61</v>
      </c>
      <c r="L176" s="55" t="s">
        <v>1264</v>
      </c>
      <c r="M176" s="55" t="s">
        <v>78</v>
      </c>
      <c r="N176" s="55" t="s">
        <v>69</v>
      </c>
      <c r="O176" s="55" t="s">
        <v>218</v>
      </c>
      <c r="P176" s="55" t="s">
        <v>110</v>
      </c>
      <c r="Q176" s="67" t="str">
        <f>IFERROR(__xludf.DUMMYFUNCTION("""COMPUTED_VALUE"""),"Japan.Giaotiep.vd4nl_LHV.9822_CVS_DungNT_210923")</f>
        <v>Japan.Giaotiep.vd4nl_LHV.9822_CVS_DungNT_210923</v>
      </c>
      <c r="R176" s="67" t="str">
        <f>IFERROR(__xludf.DUMMYFUNCTION("""COMPUTED_VALUE"""),"NEW_Japan_1840_none_210923")</f>
        <v>NEW_Japan_1840_none_210923</v>
      </c>
      <c r="S176" s="67" t="str">
        <f>IFERROR(__xludf.DUMMYFUNCTION("""COMPUTED_VALUE"""),"saletructiep_Japan.vd4nl.1840.Giaotiep_PTATTNDL_LD167")</f>
        <v>saletructiep_Japan.vd4nl.1840.Giaotiep_PTATTNDL_LD167</v>
      </c>
      <c r="T176" s="107" t="str">
        <f>IFERROR(__xludf.DUMMYFUNCTION("""COMPUTED_VALUE"""),"https://patadovietnam.edu.vn/tienganhnguoidilam_dnt/?utm_source=Facebook&amp;utm_medium=CVS&amp;utm_term=NEW_Japan_1840_none_210923&amp;utm_content=saletructiep_Japan.vd4nl.1840.Giaotiep_PTATTNDL_LD167&amp;utm_campaign=Japan.Giaotiep.vd4nl_LHV.9822_CVS_DungNT_210923")</f>
        <v>https://patadovietnam.edu.vn/tienganhnguoidilam_dnt/?utm_source=Facebook&amp;utm_medium=CVS&amp;utm_term=NEW_Japan_1840_none_210923&amp;utm_content=saletructiep_Japan.vd4nl.1840.Giaotiep_PTATTNDL_LD167&amp;utm_campaign=Japan.Giaotiep.vd4nl_LHV.9822_CVS_DungNT_210923</v>
      </c>
      <c r="U176" s="116"/>
    </row>
    <row r="177">
      <c r="A177" s="72">
        <v>45190.0</v>
      </c>
      <c r="B177" s="112" t="s">
        <v>4550</v>
      </c>
      <c r="C177" s="67" t="str">
        <f>IFERROR(__xludf.DUMMYFUNCTION("""COMPUTED_VALUE"""),"LD181")</f>
        <v>LD181</v>
      </c>
      <c r="D177" s="55" t="s">
        <v>42</v>
      </c>
      <c r="E177" s="55" t="s">
        <v>69</v>
      </c>
      <c r="F177" s="55" t="s">
        <v>625</v>
      </c>
      <c r="G177" s="55">
        <v>1840.0</v>
      </c>
      <c r="H177" s="55" t="s">
        <v>3306</v>
      </c>
      <c r="I177" s="55" t="s">
        <v>4704</v>
      </c>
      <c r="J177" s="168" t="s">
        <v>4705</v>
      </c>
      <c r="K177" s="167" t="s">
        <v>61</v>
      </c>
      <c r="L177" s="55" t="s">
        <v>1264</v>
      </c>
      <c r="M177" s="55" t="s">
        <v>78</v>
      </c>
      <c r="N177" s="55" t="s">
        <v>69</v>
      </c>
      <c r="O177" s="55" t="s">
        <v>218</v>
      </c>
      <c r="P177" s="55" t="s">
        <v>110</v>
      </c>
      <c r="Q177" s="67" t="str">
        <f>IFERROR(__xludf.DUMMYFUNCTION("""COMPUTED_VALUE"""),"KoreaSouth.Giaotiep.vd4nl_LHV.9822_CVS_DungNT_210923")</f>
        <v>KoreaSouth.Giaotiep.vd4nl_LHV.9822_CVS_DungNT_210923</v>
      </c>
      <c r="R177" s="67" t="str">
        <f>IFERROR(__xludf.DUMMYFUNCTION("""COMPUTED_VALUE"""),"NEW_KoreaSouth_1840_none_210923")</f>
        <v>NEW_KoreaSouth_1840_none_210923</v>
      </c>
      <c r="S177" s="67" t="str">
        <f>IFERROR(__xludf.DUMMYFUNCTION("""COMPUTED_VALUE"""),"saletructiep_KoreaSouth.vd4nl.1840.Giaotiep_PTATTNDL_LD181")</f>
        <v>saletructiep_KoreaSouth.vd4nl.1840.Giaotiep_PTATTNDL_LD181</v>
      </c>
      <c r="T177" s="107" t="str">
        <f>IFERROR(__xludf.DUMMYFUNCTION("""COMPUTED_VALUE"""),"https://patadovietnam.edu.vn/tienganhnguoidilamkoreaa/?utm_source=Facebook&amp;utm_medium=CVS&amp;utm_term=NEW_KoreaSouth_1840_none_210923&amp;utm_content=saletructiep_KoreaSouth.vd4nl.1840.Giaotiep_PTATTNDL_LD181&amp;utm_campaign=KoreaSouth.Giaotiep.vd4nl_LHV.9822_CVS_D"&amp;"ungNT_210923")</f>
        <v>https://patadovietnam.edu.vn/tienganhnguoidilamkoreaa/?utm_source=Facebook&amp;utm_medium=CVS&amp;utm_term=NEW_KoreaSouth_1840_none_210923&amp;utm_content=saletructiep_KoreaSouth.vd4nl.1840.Giaotiep_PTATTNDL_LD181&amp;utm_campaign=KoreaSouth.Giaotiep.vd4nl_LHV.9822_CVS_DungNT_210923</v>
      </c>
      <c r="U177" s="110" t="s">
        <v>4713</v>
      </c>
    </row>
    <row r="178">
      <c r="A178" s="72">
        <v>45190.0</v>
      </c>
      <c r="B178" s="194" t="s">
        <v>4315</v>
      </c>
      <c r="C178" s="67" t="str">
        <f>IFERROR(__xludf.DUMMYFUNCTION("""COMPUTED_VALUE"""),"LD183")</f>
        <v>LD183</v>
      </c>
      <c r="D178" s="55" t="s">
        <v>42</v>
      </c>
      <c r="E178" s="55" t="s">
        <v>79</v>
      </c>
      <c r="F178" s="55" t="s">
        <v>164</v>
      </c>
      <c r="G178" s="55">
        <v>2045.0</v>
      </c>
      <c r="H178" s="55" t="s">
        <v>3306</v>
      </c>
      <c r="I178" s="55" t="s">
        <v>4717</v>
      </c>
      <c r="J178" s="168" t="s">
        <v>4718</v>
      </c>
      <c r="K178" s="167" t="s">
        <v>61</v>
      </c>
      <c r="L178" s="55" t="s">
        <v>1264</v>
      </c>
      <c r="M178" s="55" t="s">
        <v>78</v>
      </c>
      <c r="N178" s="55" t="s">
        <v>79</v>
      </c>
      <c r="O178" s="55" t="s">
        <v>4350</v>
      </c>
      <c r="P178" s="55" t="s">
        <v>110</v>
      </c>
      <c r="Q178" s="67" t="str">
        <f>IFERROR(__xludf.DUMMYFUNCTION("""COMPUTED_VALUE"""),"Taiwan.Giaotiep.vd4nl_LHV.9822_MES_DungNT_210923")</f>
        <v>Taiwan.Giaotiep.vd4nl_LHV.9822_MES_DungNT_210923</v>
      </c>
      <c r="R178" s="67" t="str">
        <f>IFERROR(__xludf.DUMMYFUNCTION("""COMPUTED_VALUE"""),"NEW_Taiwan_2045_none_210923")</f>
        <v>NEW_Taiwan_2045_none_210923</v>
      </c>
      <c r="S178" s="67" t="str">
        <f>IFERROR(__xludf.DUMMYFUNCTION("""COMPUTED_VALUE"""),"saletructiep_Taiwan.vd4nl.2045.Giaotiep_PTATDNDL_LD183")</f>
        <v>saletructiep_Taiwan.vd4nl.2045.Giaotiep_PTATDNDL_LD183</v>
      </c>
      <c r="T178" s="107" t="str">
        <f>IFERROR(__xludf.DUMMYFUNCTION("""COMPUTED_VALUE"""),"https://patadovietnam.edu.vn/tienganhpatado_ptatdndl/?utm_source=Facebook&amp;utm_medium=MES&amp;utm_term=NEW_Taiwan_2045_none_210923&amp;utm_content=saletructiep_Taiwan.vd4nl.2045.Giaotiep_PTATDNDL_LD183&amp;utm_campaign=Taiwan.Giaotiep.vd4nl_LHV.9822_MES_DungNT_210923")</f>
        <v>https://patadovietnam.edu.vn/tienganhpatado_ptatdndl/?utm_source=Facebook&amp;utm_medium=MES&amp;utm_term=NEW_Taiwan_2045_none_210923&amp;utm_content=saletructiep_Taiwan.vd4nl.2045.Giaotiep_PTATDNDL_LD183&amp;utm_campaign=Taiwan.Giaotiep.vd4nl_LHV.9822_MES_DungNT_210923</v>
      </c>
      <c r="U178" s="110" t="s">
        <v>4724</v>
      </c>
    </row>
    <row r="179">
      <c r="A179" s="210">
        <v>45190.0</v>
      </c>
      <c r="B179" s="194" t="s">
        <v>4391</v>
      </c>
      <c r="C179" s="58" t="str">
        <f>IFERROR(__xludf.DUMMYFUNCTION("""COMPUTED_VALUE"""),"LD184")</f>
        <v>LD184</v>
      </c>
      <c r="D179" s="86" t="s">
        <v>42</v>
      </c>
      <c r="E179" s="86" t="s">
        <v>79</v>
      </c>
      <c r="F179" s="87" t="s">
        <v>174</v>
      </c>
      <c r="G179" s="211">
        <v>2045.0</v>
      </c>
      <c r="H179" s="86" t="s">
        <v>3306</v>
      </c>
      <c r="I179" s="87" t="s">
        <v>4728</v>
      </c>
      <c r="J179" s="87" t="s">
        <v>4729</v>
      </c>
      <c r="K179" s="86" t="s">
        <v>61</v>
      </c>
      <c r="L179" s="86" t="s">
        <v>1264</v>
      </c>
      <c r="M179" s="86" t="s">
        <v>78</v>
      </c>
      <c r="N179" s="86" t="s">
        <v>79</v>
      </c>
      <c r="O179" s="86" t="s">
        <v>4350</v>
      </c>
      <c r="P179" s="86" t="s">
        <v>110</v>
      </c>
      <c r="Q179" s="58" t="str">
        <f>IFERROR(__xludf.DUMMYFUNCTION("""COMPUTED_VALUE"""),"Philippines.Giaotiep.vd4nl_LHV.9822_MES_DungNT_210923")</f>
        <v>Philippines.Giaotiep.vd4nl_LHV.9822_MES_DungNT_210923</v>
      </c>
      <c r="R179" s="58" t="str">
        <f>IFERROR(__xludf.DUMMYFUNCTION("""COMPUTED_VALUE"""),"NEW_Philippines_2045_none_210923")</f>
        <v>NEW_Philippines_2045_none_210923</v>
      </c>
      <c r="S179" s="58" t="str">
        <f>IFERROR(__xludf.DUMMYFUNCTION("""COMPUTED_VALUE"""),"saletructiep_Philippines.vd4nl.2045.Giaotiep_PTATDNDL_LD184")</f>
        <v>saletructiep_Philippines.vd4nl.2045.Giaotiep_PTATDNDL_LD184</v>
      </c>
      <c r="T179" s="214" t="str">
        <f>IFERROR(__xludf.DUMMYFUNCTION("""COMPUTED_VALUE"""),"https://patadovietnam.edu.vn/tienganhnguoidilam_ptatdndl/?utm_source=Facebook&amp;utm_medium=MES&amp;utm_term=NEW_Philippines_2045_none_210923&amp;utm_content=saletructiep_Philippines.vd4nl.2045.Giaotiep_PTATDNDL_LD184&amp;utm_campaign=Philippines.Giaotiep.vd4nl_LHV.9822"&amp;"_MES_DungNT_210923")</f>
        <v>https://patadovietnam.edu.vn/tienganhnguoidilam_ptatdndl/?utm_source=Facebook&amp;utm_medium=MES&amp;utm_term=NEW_Philippines_2045_none_210923&amp;utm_content=saletructiep_Philippines.vd4nl.2045.Giaotiep_PTATDNDL_LD184&amp;utm_campaign=Philippines.Giaotiep.vd4nl_LHV.9822_MES_DungNT_210923</v>
      </c>
      <c r="U179" s="215" t="s">
        <v>3924</v>
      </c>
    </row>
    <row r="180">
      <c r="A180" s="72">
        <v>45200.0</v>
      </c>
      <c r="B180" s="194" t="s">
        <v>4391</v>
      </c>
      <c r="C180" s="67" t="str">
        <f>IFERROR(__xludf.DUMMYFUNCTION("""COMPUTED_VALUE"""),"LD184")</f>
        <v>LD184</v>
      </c>
      <c r="D180" s="55" t="s">
        <v>42</v>
      </c>
      <c r="E180" s="55" t="s">
        <v>79</v>
      </c>
      <c r="F180" s="55" t="s">
        <v>107</v>
      </c>
      <c r="G180" s="55">
        <v>2055.0</v>
      </c>
      <c r="H180" s="55" t="s">
        <v>3306</v>
      </c>
      <c r="I180" s="55" t="s">
        <v>4736</v>
      </c>
      <c r="J180" s="168" t="s">
        <v>4737</v>
      </c>
      <c r="K180" s="167" t="s">
        <v>61</v>
      </c>
      <c r="L180" s="55" t="s">
        <v>1264</v>
      </c>
      <c r="M180" s="55" t="s">
        <v>78</v>
      </c>
      <c r="N180" s="55" t="s">
        <v>79</v>
      </c>
      <c r="O180" s="55" t="s">
        <v>4350</v>
      </c>
      <c r="P180" s="55" t="s">
        <v>110</v>
      </c>
      <c r="Q180" s="67" t="str">
        <f>IFERROR(__xludf.DUMMYFUNCTION("""COMPUTED_VALUE"""),"UnitedStates.Giaotiep.anhjh_LHV.9822_MES_DungNT_011023")</f>
        <v>UnitedStates.Giaotiep.anhjh_LHV.9822_MES_DungNT_011023</v>
      </c>
      <c r="R180" s="67" t="str">
        <f>IFERROR(__xludf.DUMMYFUNCTION("""COMPUTED_VALUE"""),"NEW_UnitedStates_2055_none_011023")</f>
        <v>NEW_UnitedStates_2055_none_011023</v>
      </c>
      <c r="S180" s="67" t="str">
        <f>IFERROR(__xludf.DUMMYFUNCTION("""COMPUTED_VALUE"""),"saletructiep_UnitedStates.anhjh.2055.Giaotiep_PTATDNDL_LD184")</f>
        <v>saletructiep_UnitedStates.anhjh.2055.Giaotiep_PTATDNDL_LD184</v>
      </c>
      <c r="T180" s="107" t="str">
        <f>IFERROR(__xludf.DUMMYFUNCTION("""COMPUTED_VALUE"""),"https://patadovietnam.edu.vn/tienganhnguoidilam_ptatdndl/?utm_source=Facebook&amp;utm_medium=MES&amp;utm_term=NEW_UnitedStates_2055_none_011023&amp;utm_content=saletructiep_UnitedStates.anhjh.2055.Giaotiep_PTATDNDL_LD184&amp;utm_campaign=UnitedStates.Giaotiep.anhjh_LHV.9"&amp;"822_MES_DungNT_011023")</f>
        <v>https://patadovietnam.edu.vn/tienganhnguoidilam_ptatdndl/?utm_source=Facebook&amp;utm_medium=MES&amp;utm_term=NEW_UnitedStates_2055_none_011023&amp;utm_content=saletructiep_UnitedStates.anhjh.2055.Giaotiep_PTATDNDL_LD184&amp;utm_campaign=UnitedStates.Giaotiep.anhjh_LHV.9822_MES_DungNT_011023</v>
      </c>
      <c r="U180" s="216"/>
    </row>
    <row r="181">
      <c r="A181" s="72">
        <v>45200.0</v>
      </c>
      <c r="B181" s="194" t="s">
        <v>4315</v>
      </c>
      <c r="C181" s="67" t="str">
        <f>IFERROR(__xludf.DUMMYFUNCTION("""COMPUTED_VALUE"""),"LD183")</f>
        <v>LD183</v>
      </c>
      <c r="D181" s="55" t="s">
        <v>42</v>
      </c>
      <c r="E181" s="55" t="s">
        <v>79</v>
      </c>
      <c r="F181" s="55" t="s">
        <v>112</v>
      </c>
      <c r="G181" s="55">
        <v>2055.0</v>
      </c>
      <c r="H181" s="55" t="s">
        <v>3306</v>
      </c>
      <c r="I181" s="55" t="s">
        <v>4746</v>
      </c>
      <c r="J181" s="168" t="s">
        <v>4747</v>
      </c>
      <c r="K181" s="167" t="s">
        <v>61</v>
      </c>
      <c r="L181" s="55" t="s">
        <v>1264</v>
      </c>
      <c r="M181" s="55" t="s">
        <v>78</v>
      </c>
      <c r="N181" s="55" t="s">
        <v>79</v>
      </c>
      <c r="O181" s="55" t="s">
        <v>4350</v>
      </c>
      <c r="P181" s="55" t="s">
        <v>110</v>
      </c>
      <c r="Q181" s="67" t="str">
        <f>IFERROR(__xludf.DUMMYFUNCTION("""COMPUTED_VALUE"""),"Canada.Giaotiep.anhjh_LHV.9822_MES_DungNT_011023")</f>
        <v>Canada.Giaotiep.anhjh_LHV.9822_MES_DungNT_011023</v>
      </c>
      <c r="R181" s="67" t="str">
        <f>IFERROR(__xludf.DUMMYFUNCTION("""COMPUTED_VALUE"""),"NEW_Canada_2055_none_011023")</f>
        <v>NEW_Canada_2055_none_011023</v>
      </c>
      <c r="S181" s="67" t="str">
        <f>IFERROR(__xludf.DUMMYFUNCTION("""COMPUTED_VALUE"""),"saletructiep_Canada.anhjh.2055.Giaotiep_PTATDNDL_LD183")</f>
        <v>saletructiep_Canada.anhjh.2055.Giaotiep_PTATDNDL_LD183</v>
      </c>
      <c r="T181" s="107" t="str">
        <f>IFERROR(__xludf.DUMMYFUNCTION("""COMPUTED_VALUE"""),"https://patadovietnam.edu.vn/tienganhpatado_ptatdndl/?utm_source=Facebook&amp;utm_medium=MES&amp;utm_term=NEW_Canada_2055_none_011023&amp;utm_content=saletructiep_Canada.anhjh.2055.Giaotiep_PTATDNDL_LD183&amp;utm_campaign=Canada.Giaotiep.anhjh_LHV.9822_MES_DungNT_011023")</f>
        <v>https://patadovietnam.edu.vn/tienganhpatado_ptatdndl/?utm_source=Facebook&amp;utm_medium=MES&amp;utm_term=NEW_Canada_2055_none_011023&amp;utm_content=saletructiep_Canada.anhjh.2055.Giaotiep_PTATDNDL_LD183&amp;utm_campaign=Canada.Giaotiep.anhjh_LHV.9822_MES_DungNT_011023</v>
      </c>
      <c r="U181" s="216"/>
    </row>
    <row r="182">
      <c r="A182" s="72">
        <v>45200.0</v>
      </c>
      <c r="B182" s="194" t="s">
        <v>4315</v>
      </c>
      <c r="C182" s="67" t="str">
        <f>IFERROR(__xludf.DUMMYFUNCTION("""COMPUTED_VALUE"""),"LD183")</f>
        <v>LD183</v>
      </c>
      <c r="D182" s="55" t="s">
        <v>42</v>
      </c>
      <c r="E182" s="55" t="s">
        <v>79</v>
      </c>
      <c r="F182" s="55" t="s">
        <v>129</v>
      </c>
      <c r="G182" s="55">
        <v>2055.0</v>
      </c>
      <c r="H182" s="55" t="s">
        <v>3306</v>
      </c>
      <c r="I182" s="55" t="s">
        <v>4752</v>
      </c>
      <c r="J182" s="168" t="s">
        <v>4754</v>
      </c>
      <c r="K182" s="167" t="s">
        <v>61</v>
      </c>
      <c r="L182" s="55" t="s">
        <v>1264</v>
      </c>
      <c r="M182" s="55" t="s">
        <v>78</v>
      </c>
      <c r="N182" s="55" t="s">
        <v>79</v>
      </c>
      <c r="O182" s="55" t="s">
        <v>4350</v>
      </c>
      <c r="P182" s="55" t="s">
        <v>110</v>
      </c>
      <c r="Q182" s="67" t="str">
        <f>IFERROR(__xludf.DUMMYFUNCTION("""COMPUTED_VALUE"""),"Australia.Giaotiep.anhjh_LHV.9822_MES_DungNT_011023")</f>
        <v>Australia.Giaotiep.anhjh_LHV.9822_MES_DungNT_011023</v>
      </c>
      <c r="R182" s="67" t="str">
        <f>IFERROR(__xludf.DUMMYFUNCTION("""COMPUTED_VALUE"""),"NEW_Australia_2055_none_011023")</f>
        <v>NEW_Australia_2055_none_011023</v>
      </c>
      <c r="S182" s="67" t="str">
        <f>IFERROR(__xludf.DUMMYFUNCTION("""COMPUTED_VALUE"""),"saletructiep_Australia.anhjh.2055.Giaotiep_PTATDNDL_LD183")</f>
        <v>saletructiep_Australia.anhjh.2055.Giaotiep_PTATDNDL_LD183</v>
      </c>
      <c r="T182" s="107" t="str">
        <f>IFERROR(__xludf.DUMMYFUNCTION("""COMPUTED_VALUE"""),"https://patadovietnam.edu.vn/tienganhpatado_ptatdndl/?utm_source=Facebook&amp;utm_medium=MES&amp;utm_term=NEW_Australia_2055_none_011023&amp;utm_content=saletructiep_Australia.anhjh.2055.Giaotiep_PTATDNDL_LD183&amp;utm_campaign=Australia.Giaotiep.anhjh_LHV.9822_MES_DungN"&amp;"T_011023")</f>
        <v>https://patadovietnam.edu.vn/tienganhpatado_ptatdndl/?utm_source=Facebook&amp;utm_medium=MES&amp;utm_term=NEW_Australia_2055_none_011023&amp;utm_content=saletructiep_Australia.anhjh.2055.Giaotiep_PTATDNDL_LD183&amp;utm_campaign=Australia.Giaotiep.anhjh_LHV.9822_MES_DungNT_011023</v>
      </c>
      <c r="U182" s="216"/>
    </row>
    <row r="183">
      <c r="A183" s="72">
        <v>45200.0</v>
      </c>
      <c r="B183" s="112" t="s">
        <v>4592</v>
      </c>
      <c r="C183" s="67" t="str">
        <f>IFERROR(__xludf.DUMMYFUNCTION("""COMPUTED_VALUE"""),"LD182")</f>
        <v>LD182</v>
      </c>
      <c r="D183" s="55" t="s">
        <v>42</v>
      </c>
      <c r="E183" s="55" t="s">
        <v>69</v>
      </c>
      <c r="F183" s="55" t="s">
        <v>133</v>
      </c>
      <c r="G183" s="55">
        <v>1840.0</v>
      </c>
      <c r="H183" s="55" t="s">
        <v>3306</v>
      </c>
      <c r="I183" s="55" t="s">
        <v>4075</v>
      </c>
      <c r="J183" s="168" t="s">
        <v>4076</v>
      </c>
      <c r="K183" s="167" t="s">
        <v>61</v>
      </c>
      <c r="L183" s="55" t="s">
        <v>1264</v>
      </c>
      <c r="M183" s="55" t="s">
        <v>78</v>
      </c>
      <c r="N183" s="55" t="s">
        <v>69</v>
      </c>
      <c r="O183" s="55" t="s">
        <v>4350</v>
      </c>
      <c r="P183" s="55" t="s">
        <v>110</v>
      </c>
      <c r="Q183" s="67" t="str">
        <f>IFERROR(__xludf.DUMMYFUNCTION("""COMPUTED_VALUE"""),"Japan.Giaotiep.Anhkg_LHV.9822_CVS_DungNT_011023")</f>
        <v>Japan.Giaotiep.Anhkg_LHV.9822_CVS_DungNT_011023</v>
      </c>
      <c r="R183" s="67" t="str">
        <f>IFERROR(__xludf.DUMMYFUNCTION("""COMPUTED_VALUE"""),"NEW_Japan_1840_none_011023")</f>
        <v>NEW_Japan_1840_none_011023</v>
      </c>
      <c r="S183" s="67" t="str">
        <f>IFERROR(__xludf.DUMMYFUNCTION("""COMPUTED_VALUE"""),"saletructiep_Japan.Anhkg.1840.Giaotiep_PTATDNDL_LD182")</f>
        <v>saletructiep_Japan.Anhkg.1840.Giaotiep_PTATDNDL_LD182</v>
      </c>
      <c r="T183" s="107" t="str">
        <f>IFERROR(__xludf.DUMMYFUNCTION("""COMPUTED_VALUE"""),"https://patadovietnam.edu.vn/tienganhnguoidilamjapann/?utm_source=Facebook&amp;utm_medium=CVS&amp;utm_term=NEW_Japan_1840_none_011023&amp;utm_content=saletructiep_Japan.Anhkg.1840.Giaotiep_PTATDNDL_LD182&amp;utm_campaign=Japan.Giaotiep.Anhkg_LHV.9822_CVS_DungNT_011023")</f>
        <v>https://patadovietnam.edu.vn/tienganhnguoidilamjapann/?utm_source=Facebook&amp;utm_medium=CVS&amp;utm_term=NEW_Japan_1840_none_011023&amp;utm_content=saletructiep_Japan.Anhkg.1840.Giaotiep_PTATDNDL_LD182&amp;utm_campaign=Japan.Giaotiep.Anhkg_LHV.9822_CVS_DungNT_011023</v>
      </c>
      <c r="U183" s="200"/>
    </row>
    <row r="184">
      <c r="A184" s="72">
        <v>45200.0</v>
      </c>
      <c r="B184" s="194" t="s">
        <v>3957</v>
      </c>
      <c r="C184" s="67" t="str">
        <f>IFERROR(__xludf.DUMMYFUNCTION("""COMPUTED_VALUE"""),"LD174")</f>
        <v>LD174</v>
      </c>
      <c r="D184" s="55" t="s">
        <v>42</v>
      </c>
      <c r="E184" s="55" t="s">
        <v>69</v>
      </c>
      <c r="F184" s="55" t="s">
        <v>625</v>
      </c>
      <c r="G184" s="55">
        <v>1840.0</v>
      </c>
      <c r="H184" s="55" t="s">
        <v>3306</v>
      </c>
      <c r="I184" s="55" t="s">
        <v>4771</v>
      </c>
      <c r="J184" s="168" t="s">
        <v>4772</v>
      </c>
      <c r="K184" s="167" t="s">
        <v>61</v>
      </c>
      <c r="L184" s="55" t="s">
        <v>1264</v>
      </c>
      <c r="M184" s="55" t="s">
        <v>78</v>
      </c>
      <c r="N184" s="55" t="s">
        <v>69</v>
      </c>
      <c r="O184" s="55" t="s">
        <v>218</v>
      </c>
      <c r="P184" s="55" t="s">
        <v>110</v>
      </c>
      <c r="Q184" s="67" t="str">
        <f>IFERROR(__xludf.DUMMYFUNCTION("""COMPUTED_VALUE"""),"KoreaSouth.Giaotiep.Anhkg_LHV.9822_CVS_DungNT_011023")</f>
        <v>KoreaSouth.Giaotiep.Anhkg_LHV.9822_CVS_DungNT_011023</v>
      </c>
      <c r="R184" s="67" t="str">
        <f>IFERROR(__xludf.DUMMYFUNCTION("""COMPUTED_VALUE"""),"NEW_KoreaSouth_1840_none_011023")</f>
        <v>NEW_KoreaSouth_1840_none_011023</v>
      </c>
      <c r="S184" s="67" t="str">
        <f>IFERROR(__xludf.DUMMYFUNCTION("""COMPUTED_VALUE"""),"saletructiep_KoreaSouth.Anhkg.1840.Giaotiep_PTATTNDL_LD174")</f>
        <v>saletructiep_KoreaSouth.Anhkg.1840.Giaotiep_PTATTNDL_LD174</v>
      </c>
      <c r="T184" s="107" t="str">
        <f>IFERROR(__xludf.DUMMYFUNCTION("""COMPUTED_VALUE"""),"https://patadovietnam.edu.vn/tienganhnguoidilamkorea/?utm_source=Facebook&amp;utm_medium=CVS&amp;utm_term=NEW_KoreaSouth_1840_none_011023&amp;utm_content=saletructiep_KoreaSouth.Anhkg.1840.Giaotiep_PTATTNDL_LD174&amp;utm_campaign=KoreaSouth.Giaotiep.Anhkg_LHV.9822_CVS_Du"&amp;"ngNT_011023")</f>
        <v>https://patadovietnam.edu.vn/tienganhnguoidilamkorea/?utm_source=Facebook&amp;utm_medium=CVS&amp;utm_term=NEW_KoreaSouth_1840_none_011023&amp;utm_content=saletructiep_KoreaSouth.Anhkg.1840.Giaotiep_PTATTNDL_LD174&amp;utm_campaign=KoreaSouth.Giaotiep.Anhkg_LHV.9822_CVS_DungNT_011023</v>
      </c>
      <c r="U184" s="111" t="s">
        <v>4713</v>
      </c>
    </row>
    <row r="185">
      <c r="A185" s="72">
        <v>45200.0</v>
      </c>
      <c r="B185" s="194" t="s">
        <v>4315</v>
      </c>
      <c r="C185" s="67" t="str">
        <f>IFERROR(__xludf.DUMMYFUNCTION("""COMPUTED_VALUE"""),"LD183")</f>
        <v>LD183</v>
      </c>
      <c r="D185" s="55" t="s">
        <v>42</v>
      </c>
      <c r="E185" s="55" t="s">
        <v>79</v>
      </c>
      <c r="F185" s="55" t="s">
        <v>129</v>
      </c>
      <c r="G185" s="55">
        <v>2055.0</v>
      </c>
      <c r="H185" s="55" t="s">
        <v>3306</v>
      </c>
      <c r="I185" s="55" t="s">
        <v>4752</v>
      </c>
      <c r="J185" s="168" t="s">
        <v>4754</v>
      </c>
      <c r="K185" s="167" t="s">
        <v>61</v>
      </c>
      <c r="L185" s="55" t="s">
        <v>1264</v>
      </c>
      <c r="M185" s="55" t="s">
        <v>78</v>
      </c>
      <c r="N185" s="55" t="s">
        <v>79</v>
      </c>
      <c r="O185" s="55" t="s">
        <v>4350</v>
      </c>
      <c r="P185" s="55" t="s">
        <v>110</v>
      </c>
      <c r="Q185" s="67" t="str">
        <f>IFERROR(__xludf.DUMMYFUNCTION("""COMPUTED_VALUE"""),"Australia.Giaotiep.anhjh_LHV.9822_MES_DungNT_011023")</f>
        <v>Australia.Giaotiep.anhjh_LHV.9822_MES_DungNT_011023</v>
      </c>
      <c r="R185" s="67" t="str">
        <f>IFERROR(__xludf.DUMMYFUNCTION("""COMPUTED_VALUE"""),"NEW_Australia_2055_none_011023")</f>
        <v>NEW_Australia_2055_none_011023</v>
      </c>
      <c r="S185" s="67" t="str">
        <f>IFERROR(__xludf.DUMMYFUNCTION("""COMPUTED_VALUE"""),"saletructiep_Australia.anhjh.2055.Giaotiep_PTATDNDL_LD183")</f>
        <v>saletructiep_Australia.anhjh.2055.Giaotiep_PTATDNDL_LD183</v>
      </c>
      <c r="T185" s="107" t="str">
        <f>IFERROR(__xludf.DUMMYFUNCTION("""COMPUTED_VALUE"""),"https://patadovietnam.edu.vn/tienganhpatado_ptatdndl/?utm_source=Facebook&amp;utm_medium=MES&amp;utm_term=NEW_Australia_2055_none_011023&amp;utm_content=saletructiep_Australia.anhjh.2055.Giaotiep_PTATDNDL_LD183&amp;utm_campaign=Australia.Giaotiep.anhjh_LHV.9822_MES_DungN"&amp;"T_011023")</f>
        <v>https://patadovietnam.edu.vn/tienganhpatado_ptatdndl/?utm_source=Facebook&amp;utm_medium=MES&amp;utm_term=NEW_Australia_2055_none_011023&amp;utm_content=saletructiep_Australia.anhjh.2055.Giaotiep_PTATDNDL_LD183&amp;utm_campaign=Australia.Giaotiep.anhjh_LHV.9822_MES_DungNT_011023</v>
      </c>
      <c r="U185" s="120" t="s">
        <v>4057</v>
      </c>
    </row>
    <row r="186">
      <c r="A186" s="72">
        <v>45200.0</v>
      </c>
      <c r="B186" s="194" t="s">
        <v>4391</v>
      </c>
      <c r="C186" s="67" t="str">
        <f>IFERROR(__xludf.DUMMYFUNCTION("""COMPUTED_VALUE"""),"LD184")</f>
        <v>LD184</v>
      </c>
      <c r="D186" s="86" t="s">
        <v>42</v>
      </c>
      <c r="E186" s="86" t="s">
        <v>79</v>
      </c>
      <c r="F186" s="87" t="s">
        <v>174</v>
      </c>
      <c r="G186" s="211">
        <v>2045.0</v>
      </c>
      <c r="H186" s="86" t="s">
        <v>3306</v>
      </c>
      <c r="I186" s="87" t="s">
        <v>3920</v>
      </c>
      <c r="J186" s="87" t="s">
        <v>3921</v>
      </c>
      <c r="K186" s="86" t="s">
        <v>61</v>
      </c>
      <c r="L186" s="86" t="s">
        <v>1264</v>
      </c>
      <c r="M186" s="86" t="s">
        <v>78</v>
      </c>
      <c r="N186" s="86" t="s">
        <v>79</v>
      </c>
      <c r="O186" s="86" t="s">
        <v>4350</v>
      </c>
      <c r="P186" s="86" t="s">
        <v>110</v>
      </c>
      <c r="Q186" s="67" t="str">
        <f>IFERROR(__xludf.DUMMYFUNCTION("""COMPUTED_VALUE"""),"Philippines.Giaotiep.anhjh_LHV.9822_MES_DungNT_011023")</f>
        <v>Philippines.Giaotiep.anhjh_LHV.9822_MES_DungNT_011023</v>
      </c>
      <c r="R186" s="67" t="str">
        <f>IFERROR(__xludf.DUMMYFUNCTION("""COMPUTED_VALUE"""),"NEW_Philippines_2045_none_011023")</f>
        <v>NEW_Philippines_2045_none_011023</v>
      </c>
      <c r="S186" s="67" t="str">
        <f>IFERROR(__xludf.DUMMYFUNCTION("""COMPUTED_VALUE"""),"saletructiep_Philippines.anhjh.2045.Giaotiep_PTATDNDL_LD184")</f>
        <v>saletructiep_Philippines.anhjh.2045.Giaotiep_PTATDNDL_LD184</v>
      </c>
      <c r="T186" s="107" t="str">
        <f>IFERROR(__xludf.DUMMYFUNCTION("""COMPUTED_VALUE"""),"https://patadovietnam.edu.vn/tienganhnguoidilam_ptatdndl/?utm_source=Facebook&amp;utm_medium=MES&amp;utm_term=NEW_Philippines_2045_none_011023&amp;utm_content=saletructiep_Philippines.anhjh.2045.Giaotiep_PTATDNDL_LD184&amp;utm_campaign=Philippines.Giaotiep.anhjh_LHV.9822"&amp;"_MES_DungNT_011023")</f>
        <v>https://patadovietnam.edu.vn/tienganhnguoidilam_ptatdndl/?utm_source=Facebook&amp;utm_medium=MES&amp;utm_term=NEW_Philippines_2045_none_011023&amp;utm_content=saletructiep_Philippines.anhjh.2045.Giaotiep_PTATDNDL_LD184&amp;utm_campaign=Philippines.Giaotiep.anhjh_LHV.9822_MES_DungNT_011023</v>
      </c>
      <c r="U186" s="110" t="s">
        <v>3924</v>
      </c>
    </row>
    <row r="187">
      <c r="A187" s="72">
        <v>45201.0</v>
      </c>
      <c r="B187" s="112" t="s">
        <v>4592</v>
      </c>
      <c r="C187" s="67" t="str">
        <f>IFERROR(__xludf.DUMMYFUNCTION("""COMPUTED_VALUE"""),"LD182")</f>
        <v>LD182</v>
      </c>
      <c r="D187" s="55" t="s">
        <v>42</v>
      </c>
      <c r="E187" s="55" t="s">
        <v>69</v>
      </c>
      <c r="F187" s="55" t="s">
        <v>133</v>
      </c>
      <c r="G187" s="55">
        <v>1840.0</v>
      </c>
      <c r="H187" s="55" t="s">
        <v>3306</v>
      </c>
      <c r="I187" s="55" t="s">
        <v>4794</v>
      </c>
      <c r="J187" s="168" t="s">
        <v>4795</v>
      </c>
      <c r="K187" s="167" t="s">
        <v>61</v>
      </c>
      <c r="L187" s="55" t="s">
        <v>1264</v>
      </c>
      <c r="M187" s="55" t="s">
        <v>78</v>
      </c>
      <c r="N187" s="55" t="s">
        <v>69</v>
      </c>
      <c r="O187" s="55" t="s">
        <v>4350</v>
      </c>
      <c r="P187" s="55" t="s">
        <v>110</v>
      </c>
      <c r="Q187" s="67" t="str">
        <f>IFERROR(__xludf.DUMMYFUNCTION("""COMPUTED_VALUE"""),"Japan.Giaotiep.tatl_LHV.9822_CVS_DungNT_021023")</f>
        <v>Japan.Giaotiep.tatl_LHV.9822_CVS_DungNT_021023</v>
      </c>
      <c r="R187" s="67" t="str">
        <f>IFERROR(__xludf.DUMMYFUNCTION("""COMPUTED_VALUE"""),"NEW_Japan_1840_none_021023")</f>
        <v>NEW_Japan_1840_none_021023</v>
      </c>
      <c r="S187" s="67" t="str">
        <f>IFERROR(__xludf.DUMMYFUNCTION("""COMPUTED_VALUE"""),"saletructiep_Japan.tatl.1840.Giaotiep_PTATDNDL_LD182")</f>
        <v>saletructiep_Japan.tatl.1840.Giaotiep_PTATDNDL_LD182</v>
      </c>
      <c r="T187" s="107" t="str">
        <f>IFERROR(__xludf.DUMMYFUNCTION("""COMPUTED_VALUE"""),"https://patadovietnam.edu.vn/tienganhnguoidilamjapann/?utm_source=Facebook&amp;utm_medium=CVS&amp;utm_term=NEW_Japan_1840_none_021023&amp;utm_content=saletructiep_Japan.tatl.1840.Giaotiep_PTATDNDL_LD182&amp;utm_campaign=Japan.Giaotiep.tatl_LHV.9822_CVS_DungNT_021023")</f>
        <v>https://patadovietnam.edu.vn/tienganhnguoidilamjapann/?utm_source=Facebook&amp;utm_medium=CVS&amp;utm_term=NEW_Japan_1840_none_021023&amp;utm_content=saletructiep_Japan.tatl.1840.Giaotiep_PTATDNDL_LD182&amp;utm_campaign=Japan.Giaotiep.tatl_LHV.9822_CVS_DungNT_021023</v>
      </c>
      <c r="U187" s="110" t="s">
        <v>4803</v>
      </c>
    </row>
    <row r="188">
      <c r="A188" s="72">
        <v>45201.0</v>
      </c>
      <c r="B188" s="194" t="s">
        <v>4391</v>
      </c>
      <c r="C188" s="67" t="str">
        <f>IFERROR(__xludf.DUMMYFUNCTION("""COMPUTED_VALUE"""),"LD184")</f>
        <v>LD184</v>
      </c>
      <c r="D188" s="55" t="s">
        <v>42</v>
      </c>
      <c r="E188" s="55" t="s">
        <v>79</v>
      </c>
      <c r="F188" s="55" t="s">
        <v>107</v>
      </c>
      <c r="G188" s="55">
        <v>2055.0</v>
      </c>
      <c r="H188" s="55" t="s">
        <v>3306</v>
      </c>
      <c r="I188" s="55" t="s">
        <v>4804</v>
      </c>
      <c r="J188" s="168" t="s">
        <v>4805</v>
      </c>
      <c r="K188" s="167" t="s">
        <v>61</v>
      </c>
      <c r="L188" s="55" t="s">
        <v>1264</v>
      </c>
      <c r="M188" s="55" t="s">
        <v>78</v>
      </c>
      <c r="N188" s="55" t="s">
        <v>79</v>
      </c>
      <c r="O188" s="55" t="s">
        <v>4350</v>
      </c>
      <c r="P188" s="55" t="s">
        <v>110</v>
      </c>
      <c r="Q188" s="67" t="str">
        <f>IFERROR(__xludf.DUMMYFUNCTION("""COMPUTED_VALUE"""),"UnitedStates.Giaotiep.tatl_LHV.9822_MES_DungNT_021023")</f>
        <v>UnitedStates.Giaotiep.tatl_LHV.9822_MES_DungNT_021023</v>
      </c>
      <c r="R188" s="67" t="str">
        <f>IFERROR(__xludf.DUMMYFUNCTION("""COMPUTED_VALUE"""),"NEW_UnitedStates_2055_none_021023")</f>
        <v>NEW_UnitedStates_2055_none_021023</v>
      </c>
      <c r="S188" s="67" t="str">
        <f>IFERROR(__xludf.DUMMYFUNCTION("""COMPUTED_VALUE"""),"saletructiep_UnitedStates.tatl.2055.Giaotiep_PTATDNDL_LD184")</f>
        <v>saletructiep_UnitedStates.tatl.2055.Giaotiep_PTATDNDL_LD184</v>
      </c>
      <c r="T188" s="107" t="str">
        <f>IFERROR(__xludf.DUMMYFUNCTION("""COMPUTED_VALUE"""),"https://patadovietnam.edu.vn/tienganhnguoidilam_ptatdndl/?utm_source=Facebook&amp;utm_medium=MES&amp;utm_term=NEW_UnitedStates_2055_none_021023&amp;utm_content=saletructiep_UnitedStates.tatl.2055.Giaotiep_PTATDNDL_LD184&amp;utm_campaign=UnitedStates.Giaotiep.tatl_LHV.982"&amp;"2_MES_DungNT_021023")</f>
        <v>https://patadovietnam.edu.vn/tienganhnguoidilam_ptatdndl/?utm_source=Facebook&amp;utm_medium=MES&amp;utm_term=NEW_UnitedStates_2055_none_021023&amp;utm_content=saletructiep_UnitedStates.tatl.2055.Giaotiep_PTATDNDL_LD184&amp;utm_campaign=UnitedStates.Giaotiep.tatl_LHV.9822_MES_DungNT_021023</v>
      </c>
      <c r="U188" s="120" t="s">
        <v>4814</v>
      </c>
    </row>
    <row r="189">
      <c r="A189" s="72">
        <v>45201.0</v>
      </c>
      <c r="B189" s="194" t="s">
        <v>4315</v>
      </c>
      <c r="C189" s="67" t="str">
        <f>IFERROR(__xludf.DUMMYFUNCTION("""COMPUTED_VALUE"""),"LD183")</f>
        <v>LD183</v>
      </c>
      <c r="D189" s="55" t="s">
        <v>42</v>
      </c>
      <c r="E189" s="55" t="s">
        <v>79</v>
      </c>
      <c r="F189" s="55" t="s">
        <v>112</v>
      </c>
      <c r="G189" s="55">
        <v>2055.0</v>
      </c>
      <c r="H189" s="55" t="s">
        <v>3306</v>
      </c>
      <c r="I189" s="55" t="s">
        <v>4816</v>
      </c>
      <c r="J189" s="168" t="s">
        <v>4817</v>
      </c>
      <c r="K189" s="167" t="s">
        <v>61</v>
      </c>
      <c r="L189" s="55" t="s">
        <v>1264</v>
      </c>
      <c r="M189" s="55" t="s">
        <v>78</v>
      </c>
      <c r="N189" s="55" t="s">
        <v>79</v>
      </c>
      <c r="O189" s="55" t="s">
        <v>4350</v>
      </c>
      <c r="P189" s="55" t="s">
        <v>110</v>
      </c>
      <c r="Q189" s="67" t="str">
        <f>IFERROR(__xludf.DUMMYFUNCTION("""COMPUTED_VALUE"""),"Canada.Giaotiep.tatl_LHV.9822_MES_DungNT_021023")</f>
        <v>Canada.Giaotiep.tatl_LHV.9822_MES_DungNT_021023</v>
      </c>
      <c r="R189" s="67" t="str">
        <f>IFERROR(__xludf.DUMMYFUNCTION("""COMPUTED_VALUE"""),"NEW_Canada_2055_none_021023")</f>
        <v>NEW_Canada_2055_none_021023</v>
      </c>
      <c r="S189" s="67" t="str">
        <f>IFERROR(__xludf.DUMMYFUNCTION("""COMPUTED_VALUE"""),"saletructiep_Canada.tatl.2055.Giaotiep_PTATDNDL_LD183")</f>
        <v>saletructiep_Canada.tatl.2055.Giaotiep_PTATDNDL_LD183</v>
      </c>
      <c r="T189" s="107" t="str">
        <f>IFERROR(__xludf.DUMMYFUNCTION("""COMPUTED_VALUE"""),"https://patadovietnam.edu.vn/tienganhpatado_ptatdndl/?utm_source=Facebook&amp;utm_medium=MES&amp;utm_term=NEW_Canada_2055_none_021023&amp;utm_content=saletructiep_Canada.tatl.2055.Giaotiep_PTATDNDL_LD183&amp;utm_campaign=Canada.Giaotiep.tatl_LHV.9822_MES_DungNT_021023")</f>
        <v>https://patadovietnam.edu.vn/tienganhpatado_ptatdndl/?utm_source=Facebook&amp;utm_medium=MES&amp;utm_term=NEW_Canada_2055_none_021023&amp;utm_content=saletructiep_Canada.tatl.2055.Giaotiep_PTATDNDL_LD183&amp;utm_campaign=Canada.Giaotiep.tatl_LHV.9822_MES_DungNT_021023</v>
      </c>
      <c r="U189" s="120" t="s">
        <v>4826</v>
      </c>
    </row>
    <row r="190">
      <c r="A190" s="72">
        <v>45201.0</v>
      </c>
      <c r="B190" s="194" t="s">
        <v>4315</v>
      </c>
      <c r="C190" s="67" t="str">
        <f>IFERROR(__xludf.DUMMYFUNCTION("""COMPUTED_VALUE"""),"LD183")</f>
        <v>LD183</v>
      </c>
      <c r="D190" s="55" t="s">
        <v>42</v>
      </c>
      <c r="E190" s="55" t="s">
        <v>79</v>
      </c>
      <c r="F190" s="55" t="s">
        <v>129</v>
      </c>
      <c r="G190" s="55">
        <v>2055.0</v>
      </c>
      <c r="H190" s="55" t="s">
        <v>3306</v>
      </c>
      <c r="I190" s="55" t="s">
        <v>4829</v>
      </c>
      <c r="J190" s="168" t="s">
        <v>4830</v>
      </c>
      <c r="K190" s="167" t="s">
        <v>61</v>
      </c>
      <c r="L190" s="55" t="s">
        <v>1264</v>
      </c>
      <c r="M190" s="55" t="s">
        <v>78</v>
      </c>
      <c r="N190" s="55" t="s">
        <v>79</v>
      </c>
      <c r="O190" s="55" t="s">
        <v>4350</v>
      </c>
      <c r="P190" s="55" t="s">
        <v>110</v>
      </c>
      <c r="Q190" s="67" t="str">
        <f>IFERROR(__xludf.DUMMYFUNCTION("""COMPUTED_VALUE"""),"Australia.Giaotiep.tatl_LHV.9822_MES_DungNT_021023")</f>
        <v>Australia.Giaotiep.tatl_LHV.9822_MES_DungNT_021023</v>
      </c>
      <c r="R190" s="67" t="str">
        <f>IFERROR(__xludf.DUMMYFUNCTION("""COMPUTED_VALUE"""),"NEW_Australia_2055_none_021023")</f>
        <v>NEW_Australia_2055_none_021023</v>
      </c>
      <c r="S190" s="67" t="str">
        <f>IFERROR(__xludf.DUMMYFUNCTION("""COMPUTED_VALUE"""),"saletructiep_Australia.tatl.2055.Giaotiep_PTATDNDL_LD183")</f>
        <v>saletructiep_Australia.tatl.2055.Giaotiep_PTATDNDL_LD183</v>
      </c>
      <c r="T190" s="107" t="str">
        <f>IFERROR(__xludf.DUMMYFUNCTION("""COMPUTED_VALUE"""),"https://patadovietnam.edu.vn/tienganhpatado_ptatdndl/?utm_source=Facebook&amp;utm_medium=MES&amp;utm_term=NEW_Australia_2055_none_021023&amp;utm_content=saletructiep_Australia.tatl.2055.Giaotiep_PTATDNDL_LD183&amp;utm_campaign=Australia.Giaotiep.tatl_LHV.9822_MES_DungNT_"&amp;"021023")</f>
        <v>https://patadovietnam.edu.vn/tienganhpatado_ptatdndl/?utm_source=Facebook&amp;utm_medium=MES&amp;utm_term=NEW_Australia_2055_none_021023&amp;utm_content=saletructiep_Australia.tatl.2055.Giaotiep_PTATDNDL_LD183&amp;utm_campaign=Australia.Giaotiep.tatl_LHV.9822_MES_DungNT_021023</v>
      </c>
      <c r="U190" s="120" t="s">
        <v>4838</v>
      </c>
    </row>
    <row r="191">
      <c r="A191" s="72">
        <v>45201.0</v>
      </c>
      <c r="B191" s="194" t="s">
        <v>3957</v>
      </c>
      <c r="C191" s="67" t="str">
        <f>IFERROR(__xludf.DUMMYFUNCTION("""COMPUTED_VALUE"""),"LD174")</f>
        <v>LD174</v>
      </c>
      <c r="D191" s="55" t="s">
        <v>42</v>
      </c>
      <c r="E191" s="55" t="s">
        <v>69</v>
      </c>
      <c r="F191" s="55" t="s">
        <v>625</v>
      </c>
      <c r="G191" s="55">
        <v>1840.0</v>
      </c>
      <c r="H191" s="55" t="s">
        <v>3306</v>
      </c>
      <c r="I191" s="55" t="s">
        <v>4844</v>
      </c>
      <c r="J191" s="168" t="s">
        <v>4845</v>
      </c>
      <c r="K191" s="167" t="s">
        <v>61</v>
      </c>
      <c r="L191" s="55" t="s">
        <v>1264</v>
      </c>
      <c r="M191" s="55" t="s">
        <v>78</v>
      </c>
      <c r="N191" s="55" t="s">
        <v>69</v>
      </c>
      <c r="O191" s="55" t="s">
        <v>218</v>
      </c>
      <c r="P191" s="55" t="s">
        <v>110</v>
      </c>
      <c r="Q191" s="67" t="str">
        <f>IFERROR(__xludf.DUMMYFUNCTION("""COMPUTED_VALUE"""),"KoreaSouth.Giaotiep.tatl_LHV.9822_CVS_DungNT_021023")</f>
        <v>KoreaSouth.Giaotiep.tatl_LHV.9822_CVS_DungNT_021023</v>
      </c>
      <c r="R191" s="67" t="str">
        <f>IFERROR(__xludf.DUMMYFUNCTION("""COMPUTED_VALUE"""),"NEW_KoreaSouth_1840_none_021023")</f>
        <v>NEW_KoreaSouth_1840_none_021023</v>
      </c>
      <c r="S191" s="67" t="str">
        <f>IFERROR(__xludf.DUMMYFUNCTION("""COMPUTED_VALUE"""),"saletructiep_KoreaSouth.tatl.1840.Giaotiep_PTATTNDL_LD174")</f>
        <v>saletructiep_KoreaSouth.tatl.1840.Giaotiep_PTATTNDL_LD174</v>
      </c>
      <c r="T191" s="107" t="str">
        <f>IFERROR(__xludf.DUMMYFUNCTION("""COMPUTED_VALUE"""),"https://patadovietnam.edu.vn/tienganhnguoidilamkorea/?utm_source=Facebook&amp;utm_medium=CVS&amp;utm_term=NEW_KoreaSouth_1840_none_021023&amp;utm_content=saletructiep_KoreaSouth.tatl.1840.Giaotiep_PTATTNDL_LD174&amp;utm_campaign=KoreaSouth.Giaotiep.tatl_LHV.9822_CVS_Dung"&amp;"NT_021023")</f>
        <v>https://patadovietnam.edu.vn/tienganhnguoidilamkorea/?utm_source=Facebook&amp;utm_medium=CVS&amp;utm_term=NEW_KoreaSouth_1840_none_021023&amp;utm_content=saletructiep_KoreaSouth.tatl.1840.Giaotiep_PTATTNDL_LD174&amp;utm_campaign=KoreaSouth.Giaotiep.tatl_LHV.9822_CVS_DungNT_021023</v>
      </c>
      <c r="U191" s="110" t="s">
        <v>4866</v>
      </c>
    </row>
    <row r="192">
      <c r="A192" s="72">
        <v>45202.0</v>
      </c>
      <c r="B192" s="194" t="s">
        <v>4391</v>
      </c>
      <c r="C192" s="67" t="str">
        <f>IFERROR(__xludf.DUMMYFUNCTION("""COMPUTED_VALUE"""),"LD184")</f>
        <v>LD184</v>
      </c>
      <c r="D192" s="55" t="s">
        <v>42</v>
      </c>
      <c r="E192" s="55" t="s">
        <v>79</v>
      </c>
      <c r="F192" s="55" t="s">
        <v>107</v>
      </c>
      <c r="G192" s="55">
        <v>2055.0</v>
      </c>
      <c r="H192" s="55" t="s">
        <v>3306</v>
      </c>
      <c r="I192" s="55" t="s">
        <v>4736</v>
      </c>
      <c r="J192" s="168" t="s">
        <v>4737</v>
      </c>
      <c r="K192" s="167" t="s">
        <v>61</v>
      </c>
      <c r="L192" s="55" t="s">
        <v>1264</v>
      </c>
      <c r="M192" s="55" t="s">
        <v>78</v>
      </c>
      <c r="N192" s="55" t="s">
        <v>79</v>
      </c>
      <c r="O192" s="55" t="s">
        <v>4350</v>
      </c>
      <c r="P192" s="55" t="s">
        <v>110</v>
      </c>
      <c r="Q192" s="67" t="str">
        <f>IFERROR(__xludf.DUMMYFUNCTION("""COMPUTED_VALUE"""),"UnitedStates.Giaotiep.anhjh_LHV.9822_MES_DungNT_031023")</f>
        <v>UnitedStates.Giaotiep.anhjh_LHV.9822_MES_DungNT_031023</v>
      </c>
      <c r="R192" s="67" t="str">
        <f>IFERROR(__xludf.DUMMYFUNCTION("""COMPUTED_VALUE"""),"NEW_UnitedStates_2055_none_031023")</f>
        <v>NEW_UnitedStates_2055_none_031023</v>
      </c>
      <c r="S192" s="67" t="str">
        <f>IFERROR(__xludf.DUMMYFUNCTION("""COMPUTED_VALUE"""),"saletructiep_UnitedStates.anhjh.2055.Giaotiep_PTATDNDL_LD184")</f>
        <v>saletructiep_UnitedStates.anhjh.2055.Giaotiep_PTATDNDL_LD184</v>
      </c>
      <c r="T192" s="107" t="str">
        <f>IFERROR(__xludf.DUMMYFUNCTION("""COMPUTED_VALUE"""),"https://patadovietnam.edu.vn/tienganhnguoidilam_ptatdndl/?utm_source=Facebook&amp;utm_medium=MES&amp;utm_term=NEW_UnitedStates_2055_none_031023&amp;utm_content=saletructiep_UnitedStates.anhjh.2055.Giaotiep_PTATDNDL_LD184&amp;utm_campaign=UnitedStates.Giaotiep.anhjh_LHV.9"&amp;"822_MES_DungNT_031023")</f>
        <v>https://patadovietnam.edu.vn/tienganhnguoidilam_ptatdndl/?utm_source=Facebook&amp;utm_medium=MES&amp;utm_term=NEW_UnitedStates_2055_none_031023&amp;utm_content=saletructiep_UnitedStates.anhjh.2055.Giaotiep_PTATDNDL_LD184&amp;utm_campaign=UnitedStates.Giaotiep.anhjh_LHV.9822_MES_DungNT_031023</v>
      </c>
      <c r="U192" s="120" t="s">
        <v>4603</v>
      </c>
    </row>
    <row r="193">
      <c r="A193" s="72">
        <v>45202.0</v>
      </c>
      <c r="B193" s="194" t="s">
        <v>4315</v>
      </c>
      <c r="C193" s="67" t="str">
        <f>IFERROR(__xludf.DUMMYFUNCTION("""COMPUTED_VALUE"""),"LD183")</f>
        <v>LD183</v>
      </c>
      <c r="D193" s="55" t="s">
        <v>42</v>
      </c>
      <c r="E193" s="55" t="s">
        <v>79</v>
      </c>
      <c r="F193" s="55" t="s">
        <v>112</v>
      </c>
      <c r="G193" s="55">
        <v>2055.0</v>
      </c>
      <c r="H193" s="55" t="s">
        <v>3306</v>
      </c>
      <c r="I193" s="55" t="s">
        <v>4746</v>
      </c>
      <c r="J193" s="168" t="s">
        <v>4747</v>
      </c>
      <c r="K193" s="167" t="s">
        <v>61</v>
      </c>
      <c r="L193" s="55" t="s">
        <v>1264</v>
      </c>
      <c r="M193" s="55" t="s">
        <v>78</v>
      </c>
      <c r="N193" s="55" t="s">
        <v>79</v>
      </c>
      <c r="O193" s="55" t="s">
        <v>4350</v>
      </c>
      <c r="P193" s="55" t="s">
        <v>110</v>
      </c>
      <c r="Q193" s="67" t="str">
        <f>IFERROR(__xludf.DUMMYFUNCTION("""COMPUTED_VALUE"""),"Canada.Giaotiep.anhjh_LHV.9822_MES_DungNT_031023")</f>
        <v>Canada.Giaotiep.anhjh_LHV.9822_MES_DungNT_031023</v>
      </c>
      <c r="R193" s="67" t="str">
        <f>IFERROR(__xludf.DUMMYFUNCTION("""COMPUTED_VALUE"""),"NEW_Canada_2055_none_031023")</f>
        <v>NEW_Canada_2055_none_031023</v>
      </c>
      <c r="S193" s="67" t="str">
        <f>IFERROR(__xludf.DUMMYFUNCTION("""COMPUTED_VALUE"""),"saletructiep_Canada.anhjh.2055.Giaotiep_PTATDNDL_LD183")</f>
        <v>saletructiep_Canada.anhjh.2055.Giaotiep_PTATDNDL_LD183</v>
      </c>
      <c r="T193" s="107" t="str">
        <f>IFERROR(__xludf.DUMMYFUNCTION("""COMPUTED_VALUE"""),"https://patadovietnam.edu.vn/tienganhpatado_ptatdndl/?utm_source=Facebook&amp;utm_medium=MES&amp;utm_term=NEW_Canada_2055_none_031023&amp;utm_content=saletructiep_Canada.anhjh.2055.Giaotiep_PTATDNDL_LD183&amp;utm_campaign=Canada.Giaotiep.anhjh_LHV.9822_MES_DungNT_031023")</f>
        <v>https://patadovietnam.edu.vn/tienganhpatado_ptatdndl/?utm_source=Facebook&amp;utm_medium=MES&amp;utm_term=NEW_Canada_2055_none_031023&amp;utm_content=saletructiep_Canada.anhjh.2055.Giaotiep_PTATDNDL_LD183&amp;utm_campaign=Canada.Giaotiep.anhjh_LHV.9822_MES_DungNT_031023</v>
      </c>
      <c r="U193" s="120" t="s">
        <v>4030</v>
      </c>
    </row>
    <row r="194">
      <c r="A194" s="72">
        <v>45202.0</v>
      </c>
      <c r="B194" s="194" t="s">
        <v>4315</v>
      </c>
      <c r="C194" s="67" t="str">
        <f>IFERROR(__xludf.DUMMYFUNCTION("""COMPUTED_VALUE"""),"LD183")</f>
        <v>LD183</v>
      </c>
      <c r="D194" s="55" t="s">
        <v>42</v>
      </c>
      <c r="E194" s="55" t="s">
        <v>79</v>
      </c>
      <c r="F194" s="55" t="s">
        <v>129</v>
      </c>
      <c r="G194" s="55">
        <v>2055.0</v>
      </c>
      <c r="H194" s="55" t="s">
        <v>3306</v>
      </c>
      <c r="I194" s="55" t="s">
        <v>4752</v>
      </c>
      <c r="J194" s="168" t="s">
        <v>4754</v>
      </c>
      <c r="K194" s="167" t="s">
        <v>61</v>
      </c>
      <c r="L194" s="55" t="s">
        <v>1264</v>
      </c>
      <c r="M194" s="55" t="s">
        <v>78</v>
      </c>
      <c r="N194" s="55" t="s">
        <v>79</v>
      </c>
      <c r="O194" s="55" t="s">
        <v>4350</v>
      </c>
      <c r="P194" s="55" t="s">
        <v>110</v>
      </c>
      <c r="Q194" s="67" t="str">
        <f>IFERROR(__xludf.DUMMYFUNCTION("""COMPUTED_VALUE"""),"Australia.Giaotiep.anhjh_LHV.9822_MES_DungNT_031023")</f>
        <v>Australia.Giaotiep.anhjh_LHV.9822_MES_DungNT_031023</v>
      </c>
      <c r="R194" s="67" t="str">
        <f>IFERROR(__xludf.DUMMYFUNCTION("""COMPUTED_VALUE"""),"NEW_Australia_2055_none_031023")</f>
        <v>NEW_Australia_2055_none_031023</v>
      </c>
      <c r="S194" s="67" t="str">
        <f>IFERROR(__xludf.DUMMYFUNCTION("""COMPUTED_VALUE"""),"saletructiep_Australia.anhjh.2055.Giaotiep_PTATDNDL_LD183")</f>
        <v>saletructiep_Australia.anhjh.2055.Giaotiep_PTATDNDL_LD183</v>
      </c>
      <c r="T194" s="107" t="str">
        <f>IFERROR(__xludf.DUMMYFUNCTION("""COMPUTED_VALUE"""),"https://patadovietnam.edu.vn/tienganhpatado_ptatdndl/?utm_source=Facebook&amp;utm_medium=MES&amp;utm_term=NEW_Australia_2055_none_031023&amp;utm_content=saletructiep_Australia.anhjh.2055.Giaotiep_PTATDNDL_LD183&amp;utm_campaign=Australia.Giaotiep.anhjh_LHV.9822_MES_DungN"&amp;"T_031023")</f>
        <v>https://patadovietnam.edu.vn/tienganhpatado_ptatdndl/?utm_source=Facebook&amp;utm_medium=MES&amp;utm_term=NEW_Australia_2055_none_031023&amp;utm_content=saletructiep_Australia.anhjh.2055.Giaotiep_PTATDNDL_LD183&amp;utm_campaign=Australia.Giaotiep.anhjh_LHV.9822_MES_DungNT_031023</v>
      </c>
      <c r="U194" s="120" t="s">
        <v>4896</v>
      </c>
    </row>
    <row r="195">
      <c r="A195" s="72">
        <v>45203.0</v>
      </c>
      <c r="B195" s="112" t="s">
        <v>4592</v>
      </c>
      <c r="C195" s="67" t="str">
        <f>IFERROR(__xludf.DUMMYFUNCTION("""COMPUTED_VALUE"""),"LD182")</f>
        <v>LD182</v>
      </c>
      <c r="D195" s="55" t="s">
        <v>42</v>
      </c>
      <c r="E195" s="55" t="s">
        <v>69</v>
      </c>
      <c r="F195" s="55" t="s">
        <v>133</v>
      </c>
      <c r="G195" s="55">
        <v>1840.0</v>
      </c>
      <c r="H195" s="55" t="s">
        <v>3306</v>
      </c>
      <c r="I195" s="55" t="s">
        <v>4075</v>
      </c>
      <c r="J195" s="168" t="s">
        <v>4076</v>
      </c>
      <c r="K195" s="167" t="s">
        <v>61</v>
      </c>
      <c r="L195" s="55" t="s">
        <v>1264</v>
      </c>
      <c r="M195" s="55" t="s">
        <v>78</v>
      </c>
      <c r="N195" s="55" t="s">
        <v>69</v>
      </c>
      <c r="O195" s="55" t="s">
        <v>4350</v>
      </c>
      <c r="P195" s="55" t="s">
        <v>110</v>
      </c>
      <c r="Q195" s="67" t="str">
        <f>IFERROR(__xludf.DUMMYFUNCTION("""COMPUTED_VALUE"""),"Japan.Giaotiep.Anhkg_LHV.9822_CVS_DungNT_041023")</f>
        <v>Japan.Giaotiep.Anhkg_LHV.9822_CVS_DungNT_041023</v>
      </c>
      <c r="R195" s="67" t="str">
        <f>IFERROR(__xludf.DUMMYFUNCTION("""COMPUTED_VALUE"""),"NEW_Japan_1840_none_041023")</f>
        <v>NEW_Japan_1840_none_041023</v>
      </c>
      <c r="S195" s="67" t="str">
        <f>IFERROR(__xludf.DUMMYFUNCTION("""COMPUTED_VALUE"""),"saletructiep_Japan.Anhkg.1840.Giaotiep_PTATDNDL_LD182")</f>
        <v>saletructiep_Japan.Anhkg.1840.Giaotiep_PTATDNDL_LD182</v>
      </c>
      <c r="T195" s="107" t="str">
        <f>IFERROR(__xludf.DUMMYFUNCTION("""COMPUTED_VALUE"""),"https://patadovietnam.edu.vn/tienganhnguoidilamjapann/?utm_source=Facebook&amp;utm_medium=CVS&amp;utm_term=NEW_Japan_1840_none_041023&amp;utm_content=saletructiep_Japan.Anhkg.1840.Giaotiep_PTATDNDL_LD182&amp;utm_campaign=Japan.Giaotiep.Anhkg_LHV.9822_CVS_DungNT_041023")</f>
        <v>https://patadovietnam.edu.vn/tienganhnguoidilamjapann/?utm_source=Facebook&amp;utm_medium=CVS&amp;utm_term=NEW_Japan_1840_none_041023&amp;utm_content=saletructiep_Japan.Anhkg.1840.Giaotiep_PTATDNDL_LD182&amp;utm_campaign=Japan.Giaotiep.Anhkg_LHV.9822_CVS_DungNT_041023</v>
      </c>
      <c r="U195" s="111" t="s">
        <v>4904</v>
      </c>
    </row>
    <row r="196">
      <c r="A196" s="72">
        <v>45204.0</v>
      </c>
      <c r="B196" s="194" t="s">
        <v>4391</v>
      </c>
      <c r="C196" s="67" t="str">
        <f>IFERROR(__xludf.DUMMYFUNCTION("""COMPUTED_VALUE"""),"LD184")</f>
        <v>LD184</v>
      </c>
      <c r="D196" s="55" t="s">
        <v>42</v>
      </c>
      <c r="E196" s="55" t="s">
        <v>79</v>
      </c>
      <c r="F196" s="55" t="s">
        <v>107</v>
      </c>
      <c r="G196" s="55">
        <v>2055.0</v>
      </c>
      <c r="H196" s="55" t="s">
        <v>3306</v>
      </c>
      <c r="I196" s="55" t="s">
        <v>4905</v>
      </c>
      <c r="J196" s="168" t="s">
        <v>4906</v>
      </c>
      <c r="K196" s="167" t="s">
        <v>61</v>
      </c>
      <c r="L196" s="55" t="s">
        <v>1264</v>
      </c>
      <c r="M196" s="55" t="s">
        <v>78</v>
      </c>
      <c r="N196" s="55" t="s">
        <v>79</v>
      </c>
      <c r="O196" s="55" t="s">
        <v>4350</v>
      </c>
      <c r="P196" s="55" t="s">
        <v>110</v>
      </c>
      <c r="Q196" s="67" t="str">
        <f>IFERROR(__xludf.DUMMYFUNCTION("""COMPUTED_VALUE"""),"UnitedStates.Giaotiep.anhht_LHV.9822_MES_DungNT_051023")</f>
        <v>UnitedStates.Giaotiep.anhht_LHV.9822_MES_DungNT_051023</v>
      </c>
      <c r="R196" s="67" t="str">
        <f>IFERROR(__xludf.DUMMYFUNCTION("""COMPUTED_VALUE"""),"NEW_UnitedStates_2055_none_051023")</f>
        <v>NEW_UnitedStates_2055_none_051023</v>
      </c>
      <c r="S196" s="67" t="str">
        <f>IFERROR(__xludf.DUMMYFUNCTION("""COMPUTED_VALUE"""),"saletructiep_UnitedStates.anhht.2055.Giaotiep_PTATDNDL_LD184")</f>
        <v>saletructiep_UnitedStates.anhht.2055.Giaotiep_PTATDNDL_LD184</v>
      </c>
      <c r="T196" s="107" t="str">
        <f>IFERROR(__xludf.DUMMYFUNCTION("""COMPUTED_VALUE"""),"https://patadovietnam.edu.vn/tienganhnguoidilam_ptatdndl/?utm_source=Facebook&amp;utm_medium=MES&amp;utm_term=NEW_UnitedStates_2055_none_051023&amp;utm_content=saletructiep_UnitedStates.anhht.2055.Giaotiep_PTATDNDL_LD184&amp;utm_campaign=UnitedStates.Giaotiep.anhht_LHV.9"&amp;"822_MES_DungNT_051023")</f>
        <v>https://patadovietnam.edu.vn/tienganhnguoidilam_ptatdndl/?utm_source=Facebook&amp;utm_medium=MES&amp;utm_term=NEW_UnitedStates_2055_none_051023&amp;utm_content=saletructiep_UnitedStates.anhht.2055.Giaotiep_PTATDNDL_LD184&amp;utm_campaign=UnitedStates.Giaotiep.anhht_LHV.9822_MES_DungNT_051023</v>
      </c>
      <c r="U196" s="110" t="s">
        <v>4913</v>
      </c>
    </row>
    <row r="197">
      <c r="A197" s="72">
        <v>45204.0</v>
      </c>
      <c r="B197" s="194" t="s">
        <v>4391</v>
      </c>
      <c r="C197" s="67" t="str">
        <f>IFERROR(__xludf.DUMMYFUNCTION("""COMPUTED_VALUE"""),"LD184")</f>
        <v>LD184</v>
      </c>
      <c r="D197" s="55" t="s">
        <v>42</v>
      </c>
      <c r="E197" s="55" t="s">
        <v>79</v>
      </c>
      <c r="F197" s="55" t="s">
        <v>112</v>
      </c>
      <c r="G197" s="55">
        <v>2055.0</v>
      </c>
      <c r="H197" s="55" t="s">
        <v>3306</v>
      </c>
      <c r="I197" s="55" t="s">
        <v>4915</v>
      </c>
      <c r="J197" s="168" t="s">
        <v>4916</v>
      </c>
      <c r="K197" s="167" t="s">
        <v>61</v>
      </c>
      <c r="L197" s="55" t="s">
        <v>1264</v>
      </c>
      <c r="M197" s="55" t="s">
        <v>78</v>
      </c>
      <c r="N197" s="55" t="s">
        <v>79</v>
      </c>
      <c r="O197" s="55" t="s">
        <v>4350</v>
      </c>
      <c r="P197" s="55" t="s">
        <v>110</v>
      </c>
      <c r="Q197" s="67" t="str">
        <f>IFERROR(__xludf.DUMMYFUNCTION("""COMPUTED_VALUE"""),"Canada.Giaotiep.anhht_LHV.9822_MES_DungNT_051023")</f>
        <v>Canada.Giaotiep.anhht_LHV.9822_MES_DungNT_051023</v>
      </c>
      <c r="R197" s="67" t="str">
        <f>IFERROR(__xludf.DUMMYFUNCTION("""COMPUTED_VALUE"""),"NEW_Canada_2055_none_051023")</f>
        <v>NEW_Canada_2055_none_051023</v>
      </c>
      <c r="S197" s="67" t="str">
        <f>IFERROR(__xludf.DUMMYFUNCTION("""COMPUTED_VALUE"""),"saletructiep_Canada.anhht.2055.Giaotiep_PTATDNDL_LD184")</f>
        <v>saletructiep_Canada.anhht.2055.Giaotiep_PTATDNDL_LD184</v>
      </c>
      <c r="T197" s="107" t="str">
        <f>IFERROR(__xludf.DUMMYFUNCTION("""COMPUTED_VALUE"""),"https://patadovietnam.edu.vn/tienganhnguoidilam_ptatdndl/?utm_source=Facebook&amp;utm_medium=MES&amp;utm_term=NEW_Canada_2055_none_051023&amp;utm_content=saletructiep_Canada.anhht.2055.Giaotiep_PTATDNDL_LD184&amp;utm_campaign=Canada.Giaotiep.anhht_LHV.9822_MES_DungNT_051"&amp;"023")</f>
        <v>https://patadovietnam.edu.vn/tienganhnguoidilam_ptatdndl/?utm_source=Facebook&amp;utm_medium=MES&amp;utm_term=NEW_Canada_2055_none_051023&amp;utm_content=saletructiep_Canada.anhht.2055.Giaotiep_PTATDNDL_LD184&amp;utm_campaign=Canada.Giaotiep.anhht_LHV.9822_MES_DungNT_051023</v>
      </c>
      <c r="U197" s="110" t="s">
        <v>4922</v>
      </c>
    </row>
    <row r="198">
      <c r="A198" s="72">
        <v>45204.0</v>
      </c>
      <c r="B198" s="194" t="s">
        <v>4391</v>
      </c>
      <c r="C198" s="67" t="str">
        <f>IFERROR(__xludf.DUMMYFUNCTION("""COMPUTED_VALUE"""),"LD184")</f>
        <v>LD184</v>
      </c>
      <c r="D198" s="55" t="s">
        <v>42</v>
      </c>
      <c r="E198" s="55" t="s">
        <v>79</v>
      </c>
      <c r="F198" s="55" t="s">
        <v>129</v>
      </c>
      <c r="G198" s="55">
        <v>2055.0</v>
      </c>
      <c r="H198" s="55" t="s">
        <v>3306</v>
      </c>
      <c r="I198" s="55" t="s">
        <v>4926</v>
      </c>
      <c r="J198" s="168" t="s">
        <v>4927</v>
      </c>
      <c r="K198" s="167" t="s">
        <v>61</v>
      </c>
      <c r="L198" s="55" t="s">
        <v>1264</v>
      </c>
      <c r="M198" s="55" t="s">
        <v>78</v>
      </c>
      <c r="N198" s="55" t="s">
        <v>79</v>
      </c>
      <c r="O198" s="55" t="s">
        <v>4350</v>
      </c>
      <c r="P198" s="55" t="s">
        <v>110</v>
      </c>
      <c r="Q198" s="67" t="str">
        <f>IFERROR(__xludf.DUMMYFUNCTION("""COMPUTED_VALUE"""),"Australia.Giaotiep.anhht_LHV.9822_MES_DungNT_051023")</f>
        <v>Australia.Giaotiep.anhht_LHV.9822_MES_DungNT_051023</v>
      </c>
      <c r="R198" s="67" t="str">
        <f>IFERROR(__xludf.DUMMYFUNCTION("""COMPUTED_VALUE"""),"NEW_Australia_2055_none_051023")</f>
        <v>NEW_Australia_2055_none_051023</v>
      </c>
      <c r="S198" s="67" t="str">
        <f>IFERROR(__xludf.DUMMYFUNCTION("""COMPUTED_VALUE"""),"saletructiep_Australia.anhht.2055.Giaotiep_PTATDNDL_LD184")</f>
        <v>saletructiep_Australia.anhht.2055.Giaotiep_PTATDNDL_LD184</v>
      </c>
      <c r="T198" s="107" t="str">
        <f>IFERROR(__xludf.DUMMYFUNCTION("""COMPUTED_VALUE"""),"https://patadovietnam.edu.vn/tienganhnguoidilam_ptatdndl/?utm_source=Facebook&amp;utm_medium=MES&amp;utm_term=NEW_Australia_2055_none_051023&amp;utm_content=saletructiep_Australia.anhht.2055.Giaotiep_PTATDNDL_LD184&amp;utm_campaign=Australia.Giaotiep.anhht_LHV.9822_MES_D"&amp;"ungNT_051023")</f>
        <v>https://patadovietnam.edu.vn/tienganhnguoidilam_ptatdndl/?utm_source=Facebook&amp;utm_medium=MES&amp;utm_term=NEW_Australia_2055_none_051023&amp;utm_content=saletructiep_Australia.anhht.2055.Giaotiep_PTATDNDL_LD184&amp;utm_campaign=Australia.Giaotiep.anhht_LHV.9822_MES_DungNT_051023</v>
      </c>
      <c r="U198" s="110" t="s">
        <v>4932</v>
      </c>
    </row>
    <row r="199">
      <c r="A199" s="72">
        <v>45204.0</v>
      </c>
      <c r="B199" s="112" t="s">
        <v>4592</v>
      </c>
      <c r="C199" s="67" t="str">
        <f>IFERROR(__xludf.DUMMYFUNCTION("""COMPUTED_VALUE"""),"LD182")</f>
        <v>LD182</v>
      </c>
      <c r="D199" s="55" t="s">
        <v>42</v>
      </c>
      <c r="E199" s="55" t="s">
        <v>69</v>
      </c>
      <c r="F199" s="55" t="s">
        <v>133</v>
      </c>
      <c r="G199" s="55">
        <v>1840.0</v>
      </c>
      <c r="H199" s="55" t="s">
        <v>3306</v>
      </c>
      <c r="I199" s="55" t="s">
        <v>4933</v>
      </c>
      <c r="J199" s="168" t="s">
        <v>4934</v>
      </c>
      <c r="K199" s="167" t="s">
        <v>61</v>
      </c>
      <c r="L199" s="55" t="s">
        <v>1264</v>
      </c>
      <c r="M199" s="55" t="s">
        <v>78</v>
      </c>
      <c r="N199" s="55" t="s">
        <v>69</v>
      </c>
      <c r="O199" s="55" t="s">
        <v>4350</v>
      </c>
      <c r="P199" s="55" t="s">
        <v>110</v>
      </c>
      <c r="Q199" s="67" t="str">
        <f>IFERROR(__xludf.DUMMYFUNCTION("""COMPUTED_VALUE"""),"Japan.Giaotiep.anhht_LHV.9822_CVS_DungNT_051023")</f>
        <v>Japan.Giaotiep.anhht_LHV.9822_CVS_DungNT_051023</v>
      </c>
      <c r="R199" s="67" t="str">
        <f>IFERROR(__xludf.DUMMYFUNCTION("""COMPUTED_VALUE"""),"NEW_Japan_1840_none_051023")</f>
        <v>NEW_Japan_1840_none_051023</v>
      </c>
      <c r="S199" s="67" t="str">
        <f>IFERROR(__xludf.DUMMYFUNCTION("""COMPUTED_VALUE"""),"saletructiep_Japan.anhht.1840.Giaotiep_PTATDNDL_LD182")</f>
        <v>saletructiep_Japan.anhht.1840.Giaotiep_PTATDNDL_LD182</v>
      </c>
      <c r="T199" s="107" t="str">
        <f>IFERROR(__xludf.DUMMYFUNCTION("""COMPUTED_VALUE"""),"https://patadovietnam.edu.vn/tienganhnguoidilamjapann/?utm_source=Facebook&amp;utm_medium=CVS&amp;utm_term=NEW_Japan_1840_none_051023&amp;utm_content=saletructiep_Japan.anhht.1840.Giaotiep_PTATDNDL_LD182&amp;utm_campaign=Japan.Giaotiep.anhht_LHV.9822_CVS_DungNT_051023")</f>
        <v>https://patadovietnam.edu.vn/tienganhnguoidilamjapann/?utm_source=Facebook&amp;utm_medium=CVS&amp;utm_term=NEW_Japan_1840_none_051023&amp;utm_content=saletructiep_Japan.anhht.1840.Giaotiep_PTATDNDL_LD182&amp;utm_campaign=Japan.Giaotiep.anhht_LHV.9822_CVS_DungNT_051023</v>
      </c>
      <c r="U199" s="111" t="s">
        <v>4939</v>
      </c>
    </row>
    <row r="200">
      <c r="A200" s="210">
        <v>45204.0</v>
      </c>
      <c r="B200" s="112" t="s">
        <v>4550</v>
      </c>
      <c r="C200" s="58" t="str">
        <f>IFERROR(__xludf.DUMMYFUNCTION("""COMPUTED_VALUE"""),"LD181")</f>
        <v>LD181</v>
      </c>
      <c r="D200" s="86" t="s">
        <v>42</v>
      </c>
      <c r="E200" s="86" t="s">
        <v>69</v>
      </c>
      <c r="F200" s="87" t="s">
        <v>625</v>
      </c>
      <c r="G200" s="211">
        <v>1840.0</v>
      </c>
      <c r="H200" s="86" t="s">
        <v>3306</v>
      </c>
      <c r="I200" s="87" t="s">
        <v>4965</v>
      </c>
      <c r="J200" s="87" t="s">
        <v>4966</v>
      </c>
      <c r="K200" s="86" t="s">
        <v>61</v>
      </c>
      <c r="L200" s="86" t="s">
        <v>1264</v>
      </c>
      <c r="M200" s="86" t="s">
        <v>78</v>
      </c>
      <c r="N200" s="86" t="s">
        <v>69</v>
      </c>
      <c r="O200" s="86" t="s">
        <v>4350</v>
      </c>
      <c r="P200" s="86" t="s">
        <v>110</v>
      </c>
      <c r="Q200" s="58" t="str">
        <f>IFERROR(__xludf.DUMMYFUNCTION("""COMPUTED_VALUE"""),"KoreaSouth.Giaotiep.anhht_LHV.9822_CVS_DungNT_051023")</f>
        <v>KoreaSouth.Giaotiep.anhht_LHV.9822_CVS_DungNT_051023</v>
      </c>
      <c r="R200" s="58" t="str">
        <f>IFERROR(__xludf.DUMMYFUNCTION("""COMPUTED_VALUE"""),"NEW_KoreaSouth_1840_none_051023")</f>
        <v>NEW_KoreaSouth_1840_none_051023</v>
      </c>
      <c r="S200" s="58" t="str">
        <f>IFERROR(__xludf.DUMMYFUNCTION("""COMPUTED_VALUE"""),"saletructiep_KoreaSouth.anhht.1840.Giaotiep_PTATDNDL_LD181")</f>
        <v>saletructiep_KoreaSouth.anhht.1840.Giaotiep_PTATDNDL_LD181</v>
      </c>
      <c r="T200" s="214" t="str">
        <f>IFERROR(__xludf.DUMMYFUNCTION("""COMPUTED_VALUE"""),"https://patadovietnam.edu.vn/tienganhnguoidilamkoreaa/?utm_source=Facebook&amp;utm_medium=CVS&amp;utm_term=NEW_KoreaSouth_1840_none_051023&amp;utm_content=saletructiep_KoreaSouth.anhht.1840.Giaotiep_PTATDNDL_LD181&amp;utm_campaign=KoreaSouth.Giaotiep.anhht_LHV.9822_CVS_D"&amp;"ungNT_051023")</f>
        <v>https://patadovietnam.edu.vn/tienganhnguoidilamkoreaa/?utm_source=Facebook&amp;utm_medium=CVS&amp;utm_term=NEW_KoreaSouth_1840_none_051023&amp;utm_content=saletructiep_KoreaSouth.anhht.1840.Giaotiep_PTATDNDL_LD181&amp;utm_campaign=KoreaSouth.Giaotiep.anhht_LHV.9822_CVS_DungNT_051023</v>
      </c>
      <c r="U200" s="215" t="s">
        <v>4976</v>
      </c>
    </row>
    <row r="201">
      <c r="A201" s="72">
        <v>45204.0</v>
      </c>
      <c r="B201" s="112" t="s">
        <v>3502</v>
      </c>
      <c r="C201" s="67" t="str">
        <f>IFERROR(__xludf.DUMMYFUNCTION("""COMPUTED_VALUE"""),"LD144")</f>
        <v>LD144</v>
      </c>
      <c r="D201" s="55" t="s">
        <v>42</v>
      </c>
      <c r="E201" s="55" t="s">
        <v>79</v>
      </c>
      <c r="F201" s="55" t="s">
        <v>107</v>
      </c>
      <c r="G201" s="55">
        <v>2055.0</v>
      </c>
      <c r="H201" s="55" t="s">
        <v>3306</v>
      </c>
      <c r="I201" s="55" t="s">
        <v>4977</v>
      </c>
      <c r="J201" s="168" t="s">
        <v>4906</v>
      </c>
      <c r="K201" s="167" t="s">
        <v>61</v>
      </c>
      <c r="L201" s="55" t="s">
        <v>1264</v>
      </c>
      <c r="M201" s="55" t="s">
        <v>78</v>
      </c>
      <c r="N201" s="55" t="s">
        <v>79</v>
      </c>
      <c r="O201" s="55" t="s">
        <v>218</v>
      </c>
      <c r="P201" s="55" t="s">
        <v>110</v>
      </c>
      <c r="Q201" s="67" t="str">
        <f>IFERROR(__xludf.DUMMYFUNCTION("""COMPUTED_VALUE"""),"UnitedStates.Giaotiep.anhvc_LHV.9822_MES_DungNT_051023")</f>
        <v>UnitedStates.Giaotiep.anhvc_LHV.9822_MES_DungNT_051023</v>
      </c>
      <c r="R201" s="67" t="str">
        <f>IFERROR(__xludf.DUMMYFUNCTION("""COMPUTED_VALUE"""),"NEW_UnitedStates_2055_none_051023")</f>
        <v>NEW_UnitedStates_2055_none_051023</v>
      </c>
      <c r="S201" s="67" t="str">
        <f>IFERROR(__xludf.DUMMYFUNCTION("""COMPUTED_VALUE"""),"saletructiep_UnitedStates.anhht.2055.Giaotiep_PTATTNDL_LD144")</f>
        <v>saletructiep_UnitedStates.anhht.2055.Giaotiep_PTATTNDL_LD144</v>
      </c>
      <c r="T201" s="107" t="str">
        <f>IFERROR(__xludf.DUMMYFUNCTION("""COMPUTED_VALUE"""),"https://patadovietnam.edu.vn/tienganhpatado_d1/?utm_source=Facebook&amp;utm_medium=MES&amp;utm_term=NEW_UnitedStates_2055_none_051023&amp;utm_content=saletructiep_UnitedStates.anhht.2055.Giaotiep_PTATTNDL_LD144&amp;utm_campaign=UnitedStates.Giaotiep.anhvc_LHV.9822_MES_Du"&amp;"ngNT_051023")</f>
        <v>https://patadovietnam.edu.vn/tienganhpatado_d1/?utm_source=Facebook&amp;utm_medium=MES&amp;utm_term=NEW_UnitedStates_2055_none_051023&amp;utm_content=saletructiep_UnitedStates.anhht.2055.Giaotiep_PTATTNDL_LD144&amp;utm_campaign=UnitedStates.Giaotiep.anhvc_LHV.9822_MES_DungNT_051023</v>
      </c>
      <c r="U201" s="110" t="s">
        <v>4985</v>
      </c>
    </row>
    <row r="202">
      <c r="A202" s="72">
        <v>45204.0</v>
      </c>
      <c r="B202" s="112" t="s">
        <v>3502</v>
      </c>
      <c r="C202" s="67" t="str">
        <f>IFERROR(__xludf.DUMMYFUNCTION("""COMPUTED_VALUE"""),"LD144")</f>
        <v>LD144</v>
      </c>
      <c r="D202" s="55" t="s">
        <v>42</v>
      </c>
      <c r="E202" s="55" t="s">
        <v>79</v>
      </c>
      <c r="F202" s="55" t="s">
        <v>112</v>
      </c>
      <c r="G202" s="55">
        <v>2055.0</v>
      </c>
      <c r="H202" s="55" t="s">
        <v>3306</v>
      </c>
      <c r="I202" s="55" t="s">
        <v>4988</v>
      </c>
      <c r="J202" s="168" t="s">
        <v>4916</v>
      </c>
      <c r="K202" s="167" t="s">
        <v>61</v>
      </c>
      <c r="L202" s="55" t="s">
        <v>1264</v>
      </c>
      <c r="M202" s="55" t="s">
        <v>78</v>
      </c>
      <c r="N202" s="55" t="s">
        <v>79</v>
      </c>
      <c r="O202" s="55" t="s">
        <v>218</v>
      </c>
      <c r="P202" s="55" t="s">
        <v>110</v>
      </c>
      <c r="Q202" s="67" t="str">
        <f>IFERROR(__xludf.DUMMYFUNCTION("""COMPUTED_VALUE"""),"Canada.Giaotiep.anhvc_LHV.9822_MES_DungNT_051023")</f>
        <v>Canada.Giaotiep.anhvc_LHV.9822_MES_DungNT_051023</v>
      </c>
      <c r="R202" s="67" t="str">
        <f>IFERROR(__xludf.DUMMYFUNCTION("""COMPUTED_VALUE"""),"NEW_Canada_2055_none_051023")</f>
        <v>NEW_Canada_2055_none_051023</v>
      </c>
      <c r="S202" s="67" t="str">
        <f>IFERROR(__xludf.DUMMYFUNCTION("""COMPUTED_VALUE"""),"saletructiep_Canada.anhht.2055.Giaotiep_PTATTNDL_LD144")</f>
        <v>saletructiep_Canada.anhht.2055.Giaotiep_PTATTNDL_LD144</v>
      </c>
      <c r="T202" s="107" t="str">
        <f>IFERROR(__xludf.DUMMYFUNCTION("""COMPUTED_VALUE"""),"https://patadovietnam.edu.vn/tienganhpatado_d1/?utm_source=Facebook&amp;utm_medium=MES&amp;utm_term=NEW_Canada_2055_none_051023&amp;utm_content=saletructiep_Canada.anhht.2055.Giaotiep_PTATTNDL_LD144&amp;utm_campaign=Canada.Giaotiep.anhvc_LHV.9822_MES_DungNT_051023")</f>
        <v>https://patadovietnam.edu.vn/tienganhpatado_d1/?utm_source=Facebook&amp;utm_medium=MES&amp;utm_term=NEW_Canada_2055_none_051023&amp;utm_content=saletructiep_Canada.anhht.2055.Giaotiep_PTATTNDL_LD144&amp;utm_campaign=Canada.Giaotiep.anhvc_LHV.9822_MES_DungNT_051023</v>
      </c>
      <c r="U202" s="110" t="s">
        <v>4996</v>
      </c>
    </row>
    <row r="203">
      <c r="A203" s="72">
        <v>45204.0</v>
      </c>
      <c r="B203" s="112" t="s">
        <v>3502</v>
      </c>
      <c r="C203" s="67" t="str">
        <f>IFERROR(__xludf.DUMMYFUNCTION("""COMPUTED_VALUE"""),"LD144")</f>
        <v>LD144</v>
      </c>
      <c r="D203" s="55" t="s">
        <v>42</v>
      </c>
      <c r="E203" s="55" t="s">
        <v>79</v>
      </c>
      <c r="F203" s="55" t="s">
        <v>129</v>
      </c>
      <c r="G203" s="55">
        <v>2055.0</v>
      </c>
      <c r="H203" s="55" t="s">
        <v>3306</v>
      </c>
      <c r="I203" s="55" t="s">
        <v>4999</v>
      </c>
      <c r="J203" s="168" t="s">
        <v>4927</v>
      </c>
      <c r="K203" s="167" t="s">
        <v>61</v>
      </c>
      <c r="L203" s="55" t="s">
        <v>1264</v>
      </c>
      <c r="M203" s="55" t="s">
        <v>78</v>
      </c>
      <c r="N203" s="55" t="s">
        <v>79</v>
      </c>
      <c r="O203" s="55" t="s">
        <v>218</v>
      </c>
      <c r="P203" s="55" t="s">
        <v>110</v>
      </c>
      <c r="Q203" s="67" t="str">
        <f>IFERROR(__xludf.DUMMYFUNCTION("""COMPUTED_VALUE"""),"Australia.Giaotiep.anhvc_LHV.9822_MES_DungNT_051023")</f>
        <v>Australia.Giaotiep.anhvc_LHV.9822_MES_DungNT_051023</v>
      </c>
      <c r="R203" s="67" t="str">
        <f>IFERROR(__xludf.DUMMYFUNCTION("""COMPUTED_VALUE"""),"NEW_Australia_2055_none_051023")</f>
        <v>NEW_Australia_2055_none_051023</v>
      </c>
      <c r="S203" s="67" t="str">
        <f>IFERROR(__xludf.DUMMYFUNCTION("""COMPUTED_VALUE"""),"saletructiep_Australia.anhht.2055.Giaotiep_PTATTNDL_LD144")</f>
        <v>saletructiep_Australia.anhht.2055.Giaotiep_PTATTNDL_LD144</v>
      </c>
      <c r="T203" s="107" t="str">
        <f>IFERROR(__xludf.DUMMYFUNCTION("""COMPUTED_VALUE"""),"https://patadovietnam.edu.vn/tienganhpatado_d1/?utm_source=Facebook&amp;utm_medium=MES&amp;utm_term=NEW_Australia_2055_none_051023&amp;utm_content=saletructiep_Australia.anhht.2055.Giaotiep_PTATTNDL_LD144&amp;utm_campaign=Australia.Giaotiep.anhvc_LHV.9822_MES_DungNT_0510"&amp;"23")</f>
        <v>https://patadovietnam.edu.vn/tienganhpatado_d1/?utm_source=Facebook&amp;utm_medium=MES&amp;utm_term=NEW_Australia_2055_none_051023&amp;utm_content=saletructiep_Australia.anhht.2055.Giaotiep_PTATTNDL_LD144&amp;utm_campaign=Australia.Giaotiep.anhvc_LHV.9822_MES_DungNT_051023</v>
      </c>
      <c r="U203" s="110" t="s">
        <v>5006</v>
      </c>
    </row>
    <row r="204">
      <c r="A204" s="72">
        <v>45204.0</v>
      </c>
      <c r="B204" s="194" t="s">
        <v>4391</v>
      </c>
      <c r="C204" s="67" t="str">
        <f>IFERROR(__xludf.DUMMYFUNCTION("""COMPUTED_VALUE"""),"LD184")</f>
        <v>LD184</v>
      </c>
      <c r="D204" s="55" t="s">
        <v>42</v>
      </c>
      <c r="E204" s="55" t="s">
        <v>79</v>
      </c>
      <c r="F204" s="55" t="s">
        <v>164</v>
      </c>
      <c r="G204" s="55">
        <v>2045.0</v>
      </c>
      <c r="H204" s="55" t="s">
        <v>3306</v>
      </c>
      <c r="I204" s="55" t="s">
        <v>5008</v>
      </c>
      <c r="J204" s="168" t="s">
        <v>5010</v>
      </c>
      <c r="K204" s="167" t="s">
        <v>61</v>
      </c>
      <c r="L204" s="55" t="s">
        <v>1264</v>
      </c>
      <c r="M204" s="55" t="s">
        <v>78</v>
      </c>
      <c r="N204" s="55" t="s">
        <v>79</v>
      </c>
      <c r="O204" s="55" t="s">
        <v>4350</v>
      </c>
      <c r="P204" s="55" t="s">
        <v>110</v>
      </c>
      <c r="Q204" s="67" t="str">
        <f>IFERROR(__xludf.DUMMYFUNCTION("""COMPUTED_VALUE"""),"Taiwan.Giaotiep.anhht_LHV.9822_MES_DungNT_051023")</f>
        <v>Taiwan.Giaotiep.anhht_LHV.9822_MES_DungNT_051023</v>
      </c>
      <c r="R204" s="67" t="str">
        <f>IFERROR(__xludf.DUMMYFUNCTION("""COMPUTED_VALUE"""),"NEW_Taiwan_2045_none_051023")</f>
        <v>NEW_Taiwan_2045_none_051023</v>
      </c>
      <c r="S204" s="67" t="str">
        <f>IFERROR(__xludf.DUMMYFUNCTION("""COMPUTED_VALUE"""),"saletructiep_Taiwan.anhht.2045.Giaotiep_PTATDNDL_LD184")</f>
        <v>saletructiep_Taiwan.anhht.2045.Giaotiep_PTATDNDL_LD184</v>
      </c>
      <c r="T204" s="107" t="str">
        <f>IFERROR(__xludf.DUMMYFUNCTION("""COMPUTED_VALUE"""),"https://patadovietnam.edu.vn/tienganhnguoidilam_ptatdndl/?utm_source=Facebook&amp;utm_medium=MES&amp;utm_term=NEW_Taiwan_2045_none_051023&amp;utm_content=saletructiep_Taiwan.anhht.2045.Giaotiep_PTATDNDL_LD184&amp;utm_campaign=Taiwan.Giaotiep.anhht_LHV.9822_MES_DungNT_051"&amp;"023")</f>
        <v>https://patadovietnam.edu.vn/tienganhnguoidilam_ptatdndl/?utm_source=Facebook&amp;utm_medium=MES&amp;utm_term=NEW_Taiwan_2045_none_051023&amp;utm_content=saletructiep_Taiwan.anhht.2045.Giaotiep_PTATDNDL_LD184&amp;utm_campaign=Taiwan.Giaotiep.anhht_LHV.9822_MES_DungNT_051023</v>
      </c>
      <c r="U204" s="110" t="s">
        <v>5018</v>
      </c>
    </row>
    <row r="205">
      <c r="A205" s="72">
        <v>45204.0</v>
      </c>
      <c r="B205" s="194" t="s">
        <v>4391</v>
      </c>
      <c r="C205" s="67" t="str">
        <f>IFERROR(__xludf.DUMMYFUNCTION("""COMPUTED_VALUE"""),"LD184")</f>
        <v>LD184</v>
      </c>
      <c r="D205" s="55" t="s">
        <v>42</v>
      </c>
      <c r="E205" s="55" t="s">
        <v>79</v>
      </c>
      <c r="F205" s="55" t="s">
        <v>174</v>
      </c>
      <c r="G205" s="55">
        <v>2045.0</v>
      </c>
      <c r="H205" s="55" t="s">
        <v>3306</v>
      </c>
      <c r="I205" s="55" t="s">
        <v>5020</v>
      </c>
      <c r="J205" s="168" t="s">
        <v>5022</v>
      </c>
      <c r="K205" s="167" t="s">
        <v>61</v>
      </c>
      <c r="L205" s="55" t="s">
        <v>1264</v>
      </c>
      <c r="M205" s="55" t="s">
        <v>78</v>
      </c>
      <c r="N205" s="55" t="s">
        <v>79</v>
      </c>
      <c r="O205" s="55" t="s">
        <v>4350</v>
      </c>
      <c r="P205" s="55" t="s">
        <v>110</v>
      </c>
      <c r="Q205" s="67" t="str">
        <f>IFERROR(__xludf.DUMMYFUNCTION("""COMPUTED_VALUE"""),"Philippines.Giaotiep.anhht_LHV.9822_MES_DungNT_051023")</f>
        <v>Philippines.Giaotiep.anhht_LHV.9822_MES_DungNT_051023</v>
      </c>
      <c r="R205" s="67" t="str">
        <f>IFERROR(__xludf.DUMMYFUNCTION("""COMPUTED_VALUE"""),"NEW_Philippines_2045_none_051023")</f>
        <v>NEW_Philippines_2045_none_051023</v>
      </c>
      <c r="S205" s="67" t="str">
        <f>IFERROR(__xludf.DUMMYFUNCTION("""COMPUTED_VALUE"""),"saletructiep_Philippines.anhht.2045.Giaotiep_PTATDNDL_LD184")</f>
        <v>saletructiep_Philippines.anhht.2045.Giaotiep_PTATDNDL_LD184</v>
      </c>
      <c r="T205" s="107" t="str">
        <f>IFERROR(__xludf.DUMMYFUNCTION("""COMPUTED_VALUE"""),"https://patadovietnam.edu.vn/tienganhnguoidilam_ptatdndl/?utm_source=Facebook&amp;utm_medium=MES&amp;utm_term=NEW_Philippines_2045_none_051023&amp;utm_content=saletructiep_Philippines.anhht.2045.Giaotiep_PTATDNDL_LD184&amp;utm_campaign=Philippines.Giaotiep.anhht_LHV.9822"&amp;"_MES_DungNT_051023")</f>
        <v>https://patadovietnam.edu.vn/tienganhnguoidilam_ptatdndl/?utm_source=Facebook&amp;utm_medium=MES&amp;utm_term=NEW_Philippines_2045_none_051023&amp;utm_content=saletructiep_Philippines.anhht.2045.Giaotiep_PTATDNDL_LD184&amp;utm_campaign=Philippines.Giaotiep.anhht_LHV.9822_MES_DungNT_051023</v>
      </c>
      <c r="U205" s="110" t="s">
        <v>5030</v>
      </c>
    </row>
    <row r="206">
      <c r="A206" s="72">
        <v>45204.0</v>
      </c>
      <c r="B206" s="194" t="s">
        <v>4391</v>
      </c>
      <c r="C206" s="67" t="str">
        <f>IFERROR(__xludf.DUMMYFUNCTION("""COMPUTED_VALUE"""),"LD184")</f>
        <v>LD184</v>
      </c>
      <c r="D206" s="55" t="s">
        <v>42</v>
      </c>
      <c r="E206" s="55" t="s">
        <v>79</v>
      </c>
      <c r="F206" s="55" t="s">
        <v>162</v>
      </c>
      <c r="G206" s="55">
        <v>2045.0</v>
      </c>
      <c r="H206" s="55" t="s">
        <v>3306</v>
      </c>
      <c r="I206" s="55" t="s">
        <v>5034</v>
      </c>
      <c r="J206" s="168" t="s">
        <v>5035</v>
      </c>
      <c r="K206" s="167" t="s">
        <v>61</v>
      </c>
      <c r="L206" s="55" t="s">
        <v>1264</v>
      </c>
      <c r="M206" s="55" t="s">
        <v>78</v>
      </c>
      <c r="N206" s="55" t="s">
        <v>79</v>
      </c>
      <c r="O206" s="55" t="s">
        <v>4350</v>
      </c>
      <c r="P206" s="55" t="s">
        <v>110</v>
      </c>
      <c r="Q206" s="67" t="str">
        <f>IFERROR(__xludf.DUMMYFUNCTION("""COMPUTED_VALUE"""),"Singapore.Giaotiep.anhht_LHV.9822_MES_DungNT_051023")</f>
        <v>Singapore.Giaotiep.anhht_LHV.9822_MES_DungNT_051023</v>
      </c>
      <c r="R206" s="67" t="str">
        <f>IFERROR(__xludf.DUMMYFUNCTION("""COMPUTED_VALUE"""),"NEW_Singapore_2045_none_051023")</f>
        <v>NEW_Singapore_2045_none_051023</v>
      </c>
      <c r="S206" s="67" t="str">
        <f>IFERROR(__xludf.DUMMYFUNCTION("""COMPUTED_VALUE"""),"saletructiep_Singapore.anhht.2045.Giaotiep_PTATDNDL_LD184")</f>
        <v>saletructiep_Singapore.anhht.2045.Giaotiep_PTATDNDL_LD184</v>
      </c>
      <c r="T206" s="107" t="str">
        <f>IFERROR(__xludf.DUMMYFUNCTION("""COMPUTED_VALUE"""),"https://patadovietnam.edu.vn/tienganhnguoidilam_ptatdndl/?utm_source=Facebook&amp;utm_medium=MES&amp;utm_term=NEW_Singapore_2045_none_051023&amp;utm_content=saletructiep_Singapore.anhht.2045.Giaotiep_PTATDNDL_LD184&amp;utm_campaign=Singapore.Giaotiep.anhht_LHV.9822_MES_D"&amp;"ungNT_051023")</f>
        <v>https://patadovietnam.edu.vn/tienganhnguoidilam_ptatdndl/?utm_source=Facebook&amp;utm_medium=MES&amp;utm_term=NEW_Singapore_2045_none_051023&amp;utm_content=saletructiep_Singapore.anhht.2045.Giaotiep_PTATDNDL_LD184&amp;utm_campaign=Singapore.Giaotiep.anhht_LHV.9822_MES_DungNT_051023</v>
      </c>
      <c r="U206" s="110" t="s">
        <v>5040</v>
      </c>
    </row>
    <row r="207">
      <c r="A207" s="72">
        <v>45204.0</v>
      </c>
      <c r="B207" s="112" t="s">
        <v>3502</v>
      </c>
      <c r="C207" s="67" t="str">
        <f>IFERROR(__xludf.DUMMYFUNCTION("""COMPUTED_VALUE"""),"LD144")</f>
        <v>LD144</v>
      </c>
      <c r="D207" s="55" t="s">
        <v>42</v>
      </c>
      <c r="E207" s="55" t="s">
        <v>79</v>
      </c>
      <c r="F207" s="55" t="s">
        <v>164</v>
      </c>
      <c r="G207" s="55">
        <v>2045.0</v>
      </c>
      <c r="H207" s="55" t="s">
        <v>3306</v>
      </c>
      <c r="I207" s="55" t="s">
        <v>5044</v>
      </c>
      <c r="J207" s="168" t="s">
        <v>5045</v>
      </c>
      <c r="K207" s="167" t="s">
        <v>61</v>
      </c>
      <c r="L207" s="55" t="s">
        <v>1264</v>
      </c>
      <c r="M207" s="55" t="s">
        <v>78</v>
      </c>
      <c r="N207" s="55" t="s">
        <v>79</v>
      </c>
      <c r="O207" s="55" t="s">
        <v>218</v>
      </c>
      <c r="P207" s="55" t="s">
        <v>110</v>
      </c>
      <c r="Q207" s="67" t="str">
        <f>IFERROR(__xludf.DUMMYFUNCTION("""COMPUTED_VALUE"""),"Taiwan.Giaotiep.anhvc_LHV.9822_MES_DungNT_051023")</f>
        <v>Taiwan.Giaotiep.anhvc_LHV.9822_MES_DungNT_051023</v>
      </c>
      <c r="R207" s="67" t="str">
        <f>IFERROR(__xludf.DUMMYFUNCTION("""COMPUTED_VALUE"""),"NEW_Taiwan_2045_none_051023")</f>
        <v>NEW_Taiwan_2045_none_051023</v>
      </c>
      <c r="S207" s="67" t="str">
        <f>IFERROR(__xludf.DUMMYFUNCTION("""COMPUTED_VALUE"""),"saletructiep_Taiwan.anhvc.2055.Giaotiep_PTATTNDL_LD144")</f>
        <v>saletructiep_Taiwan.anhvc.2055.Giaotiep_PTATTNDL_LD144</v>
      </c>
      <c r="T207" s="107" t="str">
        <f>IFERROR(__xludf.DUMMYFUNCTION("""COMPUTED_VALUE"""),"https://patadovietnam.edu.vn/tienganhpatado_d1/?utm_source=Facebook&amp;utm_medium=MES&amp;utm_term=NEW_Taiwan_2045_none_051023&amp;utm_content=saletructiep_Taiwan.anhvc.2055.Giaotiep_PTATTNDL_LD144&amp;utm_campaign=Taiwan.Giaotiep.anhvc_LHV.9822_MES_DungNT_051023")</f>
        <v>https://patadovietnam.edu.vn/tienganhpatado_d1/?utm_source=Facebook&amp;utm_medium=MES&amp;utm_term=NEW_Taiwan_2045_none_051023&amp;utm_content=saletructiep_Taiwan.anhvc.2055.Giaotiep_PTATTNDL_LD144&amp;utm_campaign=Taiwan.Giaotiep.anhvc_LHV.9822_MES_DungNT_051023</v>
      </c>
      <c r="U207" s="110" t="s">
        <v>5050</v>
      </c>
    </row>
    <row r="208">
      <c r="A208" s="72">
        <v>45204.0</v>
      </c>
      <c r="B208" s="112" t="s">
        <v>3502</v>
      </c>
      <c r="C208" s="67" t="str">
        <f>IFERROR(__xludf.DUMMYFUNCTION("""COMPUTED_VALUE"""),"LD144")</f>
        <v>LD144</v>
      </c>
      <c r="D208" s="55" t="s">
        <v>42</v>
      </c>
      <c r="E208" s="55" t="s">
        <v>79</v>
      </c>
      <c r="F208" s="55" t="s">
        <v>174</v>
      </c>
      <c r="G208" s="55">
        <v>2045.0</v>
      </c>
      <c r="H208" s="55" t="s">
        <v>3306</v>
      </c>
      <c r="I208" s="55" t="s">
        <v>5053</v>
      </c>
      <c r="J208" s="168" t="s">
        <v>5054</v>
      </c>
      <c r="K208" s="167" t="s">
        <v>61</v>
      </c>
      <c r="L208" s="55" t="s">
        <v>1264</v>
      </c>
      <c r="M208" s="55" t="s">
        <v>78</v>
      </c>
      <c r="N208" s="55" t="s">
        <v>79</v>
      </c>
      <c r="O208" s="55" t="s">
        <v>218</v>
      </c>
      <c r="P208" s="55" t="s">
        <v>110</v>
      </c>
      <c r="Q208" s="67" t="str">
        <f>IFERROR(__xludf.DUMMYFUNCTION("""COMPUTED_VALUE"""),"Philippines.Giaotiep.anhvc_LHV.9822_MES_DungNT_051023")</f>
        <v>Philippines.Giaotiep.anhvc_LHV.9822_MES_DungNT_051023</v>
      </c>
      <c r="R208" s="67" t="str">
        <f>IFERROR(__xludf.DUMMYFUNCTION("""COMPUTED_VALUE"""),"NEW_Philippines_2045_none_051023")</f>
        <v>NEW_Philippines_2045_none_051023</v>
      </c>
      <c r="S208" s="67" t="str">
        <f>IFERROR(__xludf.DUMMYFUNCTION("""COMPUTED_VALUE"""),"saletructiep_Philippines.anhvc.2055.Giaotiep_PTATTNDL_LD144")</f>
        <v>saletructiep_Philippines.anhvc.2055.Giaotiep_PTATTNDL_LD144</v>
      </c>
      <c r="T208" s="107" t="str">
        <f>IFERROR(__xludf.DUMMYFUNCTION("""COMPUTED_VALUE"""),"https://patadovietnam.edu.vn/tienganhpatado_d1/?utm_source=Facebook&amp;utm_medium=MES&amp;utm_term=NEW_Philippines_2045_none_051023&amp;utm_content=saletructiep_Philippines.anhvc.2055.Giaotiep_PTATTNDL_LD144&amp;utm_campaign=Philippines.Giaotiep.anhvc_LHV.9822_MES_DungN"&amp;"T_051023")</f>
        <v>https://patadovietnam.edu.vn/tienganhpatado_d1/?utm_source=Facebook&amp;utm_medium=MES&amp;utm_term=NEW_Philippines_2045_none_051023&amp;utm_content=saletructiep_Philippines.anhvc.2055.Giaotiep_PTATTNDL_LD144&amp;utm_campaign=Philippines.Giaotiep.anhvc_LHV.9822_MES_DungNT_051023</v>
      </c>
      <c r="U208" s="110" t="s">
        <v>5062</v>
      </c>
    </row>
    <row r="209">
      <c r="A209" s="72">
        <v>45204.0</v>
      </c>
      <c r="B209" s="112" t="s">
        <v>3502</v>
      </c>
      <c r="C209" s="67" t="str">
        <f>IFERROR(__xludf.DUMMYFUNCTION("""COMPUTED_VALUE"""),"LD144")</f>
        <v>LD144</v>
      </c>
      <c r="D209" s="55" t="s">
        <v>42</v>
      </c>
      <c r="E209" s="55" t="s">
        <v>79</v>
      </c>
      <c r="F209" s="55" t="s">
        <v>162</v>
      </c>
      <c r="G209" s="55">
        <v>2045.0</v>
      </c>
      <c r="H209" s="55" t="s">
        <v>3306</v>
      </c>
      <c r="I209" s="55" t="s">
        <v>5065</v>
      </c>
      <c r="J209" s="168" t="s">
        <v>5066</v>
      </c>
      <c r="K209" s="167" t="s">
        <v>61</v>
      </c>
      <c r="L209" s="55" t="s">
        <v>1264</v>
      </c>
      <c r="M209" s="55" t="s">
        <v>78</v>
      </c>
      <c r="N209" s="55" t="s">
        <v>79</v>
      </c>
      <c r="O209" s="55" t="s">
        <v>218</v>
      </c>
      <c r="P209" s="55" t="s">
        <v>110</v>
      </c>
      <c r="Q209" s="67" t="str">
        <f>IFERROR(__xludf.DUMMYFUNCTION("""COMPUTED_VALUE"""),"Singapore.Giaotiep.anhvc_LHV.9822_MES_DungNT_051023")</f>
        <v>Singapore.Giaotiep.anhvc_LHV.9822_MES_DungNT_051023</v>
      </c>
      <c r="R209" s="67" t="str">
        <f>IFERROR(__xludf.DUMMYFUNCTION("""COMPUTED_VALUE"""),"NEW_Singapore_2045_none_051023")</f>
        <v>NEW_Singapore_2045_none_051023</v>
      </c>
      <c r="S209" s="67" t="str">
        <f>IFERROR(__xludf.DUMMYFUNCTION("""COMPUTED_VALUE"""),"saletructiep_Singapore.anhvc.2055.Giaotiep_PTATTNDL_LD144")</f>
        <v>saletructiep_Singapore.anhvc.2055.Giaotiep_PTATTNDL_LD144</v>
      </c>
      <c r="T209" s="107" t="str">
        <f>IFERROR(__xludf.DUMMYFUNCTION("""COMPUTED_VALUE"""),"https://patadovietnam.edu.vn/tienganhpatado_d1/?utm_source=Facebook&amp;utm_medium=MES&amp;utm_term=NEW_Singapore_2045_none_051023&amp;utm_content=saletructiep_Singapore.anhvc.2055.Giaotiep_PTATTNDL_LD144&amp;utm_campaign=Singapore.Giaotiep.anhvc_LHV.9822_MES_DungNT_0510"&amp;"23")</f>
        <v>https://patadovietnam.edu.vn/tienganhpatado_d1/?utm_source=Facebook&amp;utm_medium=MES&amp;utm_term=NEW_Singapore_2045_none_051023&amp;utm_content=saletructiep_Singapore.anhvc.2055.Giaotiep_PTATTNDL_LD144&amp;utm_campaign=Singapore.Giaotiep.anhvc_LHV.9822_MES_DungNT_051023</v>
      </c>
      <c r="U209" s="110" t="s">
        <v>5071</v>
      </c>
    </row>
    <row r="210">
      <c r="A210" s="72">
        <v>45204.0</v>
      </c>
      <c r="B210" s="112" t="s">
        <v>3502</v>
      </c>
      <c r="C210" s="67" t="str">
        <f>IFERROR(__xludf.DUMMYFUNCTION("""COMPUTED_VALUE"""),"LD144")</f>
        <v>LD144</v>
      </c>
      <c r="D210" s="55" t="s">
        <v>42</v>
      </c>
      <c r="E210" s="55" t="s">
        <v>69</v>
      </c>
      <c r="F210" s="55" t="s">
        <v>133</v>
      </c>
      <c r="G210" s="55">
        <v>1840.0</v>
      </c>
      <c r="H210" s="55" t="s">
        <v>3306</v>
      </c>
      <c r="I210" s="55" t="s">
        <v>5074</v>
      </c>
      <c r="J210" s="168" t="s">
        <v>5075</v>
      </c>
      <c r="K210" s="167" t="s">
        <v>61</v>
      </c>
      <c r="L210" s="55" t="s">
        <v>1264</v>
      </c>
      <c r="M210" s="55" t="s">
        <v>78</v>
      </c>
      <c r="N210" s="55" t="s">
        <v>69</v>
      </c>
      <c r="O210" s="55" t="s">
        <v>4350</v>
      </c>
      <c r="P210" s="55" t="s">
        <v>110</v>
      </c>
      <c r="Q210" s="67" t="str">
        <f>IFERROR(__xludf.DUMMYFUNCTION("""COMPUTED_VALUE"""),"Japan.Giaotiep.anhvc_LHV.9822_CVS_DungNT_051023")</f>
        <v>Japan.Giaotiep.anhvc_LHV.9822_CVS_DungNT_051023</v>
      </c>
      <c r="R210" s="67" t="str">
        <f>IFERROR(__xludf.DUMMYFUNCTION("""COMPUTED_VALUE"""),"NEW_Japan_1840_none_051023")</f>
        <v>NEW_Japan_1840_none_051023</v>
      </c>
      <c r="S210" s="67" t="str">
        <f>IFERROR(__xludf.DUMMYFUNCTION("""COMPUTED_VALUE"""),"saletructiep_Japan.anhvc.1840.Giaotiep_PTATDNDL_LD144")</f>
        <v>saletructiep_Japan.anhvc.1840.Giaotiep_PTATDNDL_LD144</v>
      </c>
      <c r="T210" s="107" t="str">
        <f>IFERROR(__xludf.DUMMYFUNCTION("""COMPUTED_VALUE"""),"https://patadovietnam.edu.vn/tienganhpatado_d1/?utm_source=Facebook&amp;utm_medium=CVS&amp;utm_term=NEW_Japan_1840_none_051023&amp;utm_content=saletructiep_Japan.anhvc.1840.Giaotiep_PTATDNDL_LD144&amp;utm_campaign=Japan.Giaotiep.anhvc_LHV.9822_CVS_DungNT_051023")</f>
        <v>https://patadovietnam.edu.vn/tienganhpatado_d1/?utm_source=Facebook&amp;utm_medium=CVS&amp;utm_term=NEW_Japan_1840_none_051023&amp;utm_content=saletructiep_Japan.anhvc.1840.Giaotiep_PTATDNDL_LD144&amp;utm_campaign=Japan.Giaotiep.anhvc_LHV.9822_CVS_DungNT_051023</v>
      </c>
      <c r="U210" s="111" t="s">
        <v>5081</v>
      </c>
    </row>
    <row r="211">
      <c r="A211" s="72">
        <v>45204.0</v>
      </c>
      <c r="B211" s="112" t="s">
        <v>3502</v>
      </c>
      <c r="C211" s="67" t="str">
        <f>IFERROR(__xludf.DUMMYFUNCTION("""COMPUTED_VALUE"""),"LD144")</f>
        <v>LD144</v>
      </c>
      <c r="D211" s="55" t="s">
        <v>42</v>
      </c>
      <c r="E211" s="55" t="s">
        <v>69</v>
      </c>
      <c r="F211" s="55" t="s">
        <v>625</v>
      </c>
      <c r="G211" s="55">
        <v>1840.0</v>
      </c>
      <c r="H211" s="55" t="s">
        <v>3306</v>
      </c>
      <c r="I211" s="55" t="s">
        <v>5085</v>
      </c>
      <c r="J211" s="168" t="s">
        <v>5086</v>
      </c>
      <c r="K211" s="167" t="s">
        <v>61</v>
      </c>
      <c r="L211" s="55" t="s">
        <v>1264</v>
      </c>
      <c r="M211" s="55" t="s">
        <v>78</v>
      </c>
      <c r="N211" s="55" t="s">
        <v>69</v>
      </c>
      <c r="O211" s="55" t="s">
        <v>4350</v>
      </c>
      <c r="P211" s="55" t="s">
        <v>110</v>
      </c>
      <c r="Q211" s="67" t="str">
        <f>IFERROR(__xludf.DUMMYFUNCTION("""COMPUTED_VALUE"""),"KoreaSouth.Giaotiep.anhvc_LHV.9822_CVS_DungNT_051023")</f>
        <v>KoreaSouth.Giaotiep.anhvc_LHV.9822_CVS_DungNT_051023</v>
      </c>
      <c r="R211" s="67" t="str">
        <f>IFERROR(__xludf.DUMMYFUNCTION("""COMPUTED_VALUE"""),"NEW_KoreaSouth_1840_none_051023")</f>
        <v>NEW_KoreaSouth_1840_none_051023</v>
      </c>
      <c r="S211" s="67" t="str">
        <f>IFERROR(__xludf.DUMMYFUNCTION("""COMPUTED_VALUE"""),"saletructiep_KoreaSouth.anhvc.1840.Giaotiep_PTATDNDL_LD144")</f>
        <v>saletructiep_KoreaSouth.anhvc.1840.Giaotiep_PTATDNDL_LD144</v>
      </c>
      <c r="T211" s="107" t="str">
        <f>IFERROR(__xludf.DUMMYFUNCTION("""COMPUTED_VALUE"""),"https://patadovietnam.edu.vn/tienganhpatado_d1/?utm_source=Facebook&amp;utm_medium=CVS&amp;utm_term=NEW_KoreaSouth_1840_none_051023&amp;utm_content=saletructiep_KoreaSouth.anhvc.1840.Giaotiep_PTATDNDL_LD144&amp;utm_campaign=KoreaSouth.Giaotiep.anhvc_LHV.9822_CVS_DungNT_0"&amp;"51023")</f>
        <v>https://patadovietnam.edu.vn/tienganhpatado_d1/?utm_source=Facebook&amp;utm_medium=CVS&amp;utm_term=NEW_KoreaSouth_1840_none_051023&amp;utm_content=saletructiep_KoreaSouth.anhvc.1840.Giaotiep_PTATDNDL_LD144&amp;utm_campaign=KoreaSouth.Giaotiep.anhvc_LHV.9822_CVS_DungNT_051023</v>
      </c>
      <c r="U211" s="111" t="s">
        <v>5091</v>
      </c>
    </row>
    <row r="212">
      <c r="A212" s="72">
        <v>45206.0</v>
      </c>
      <c r="B212" s="112" t="s">
        <v>3502</v>
      </c>
      <c r="C212" s="67" t="str">
        <f>IFERROR(__xludf.DUMMYFUNCTION("""COMPUTED_VALUE"""),"LD144")</f>
        <v>LD144</v>
      </c>
      <c r="D212" s="55" t="s">
        <v>42</v>
      </c>
      <c r="E212" s="55" t="s">
        <v>69</v>
      </c>
      <c r="F212" s="55" t="s">
        <v>133</v>
      </c>
      <c r="G212" s="55">
        <v>1840.0</v>
      </c>
      <c r="H212" s="55" t="s">
        <v>3306</v>
      </c>
      <c r="I212" s="55" t="s">
        <v>5096</v>
      </c>
      <c r="J212" s="168" t="s">
        <v>5097</v>
      </c>
      <c r="K212" s="167" t="s">
        <v>61</v>
      </c>
      <c r="L212" s="55" t="s">
        <v>1264</v>
      </c>
      <c r="M212" s="55" t="s">
        <v>78</v>
      </c>
      <c r="N212" s="55" t="s">
        <v>69</v>
      </c>
      <c r="O212" s="55" t="s">
        <v>4350</v>
      </c>
      <c r="P212" s="55" t="s">
        <v>110</v>
      </c>
      <c r="Q212" s="67" t="str">
        <f>IFERROR(__xludf.DUMMYFUNCTION("""COMPUTED_VALUE"""),"Japan.Giaotiep.anhmgta_LHV.9822_CVS_DungNT_071023")</f>
        <v>Japan.Giaotiep.anhmgta_LHV.9822_CVS_DungNT_071023</v>
      </c>
      <c r="R212" s="67" t="str">
        <f>IFERROR(__xludf.DUMMYFUNCTION("""COMPUTED_VALUE"""),"NEW_Japan_1840_none_071023")</f>
        <v>NEW_Japan_1840_none_071023</v>
      </c>
      <c r="S212" s="67" t="str">
        <f>IFERROR(__xludf.DUMMYFUNCTION("""COMPUTED_VALUE"""),"saletructiep_Japan.anhmgta.1840.Giaotiep_PTATDNDL_LD144")</f>
        <v>saletructiep_Japan.anhmgta.1840.Giaotiep_PTATDNDL_LD144</v>
      </c>
      <c r="T212" s="107" t="str">
        <f>IFERROR(__xludf.DUMMYFUNCTION("""COMPUTED_VALUE"""),"https://patadovietnam.edu.vn/tienganhpatado_d1/?utm_source=Facebook&amp;utm_medium=CVS&amp;utm_term=NEW_Japan_1840_none_071023&amp;utm_content=saletructiep_Japan.anhmgta.1840.Giaotiep_PTATDNDL_LD144&amp;utm_campaign=Japan.Giaotiep.anhmgta_LHV.9822_CVS_DungNT_071023")</f>
        <v>https://patadovietnam.edu.vn/tienganhpatado_d1/?utm_source=Facebook&amp;utm_medium=CVS&amp;utm_term=NEW_Japan_1840_none_071023&amp;utm_content=saletructiep_Japan.anhmgta.1840.Giaotiep_PTATDNDL_LD144&amp;utm_campaign=Japan.Giaotiep.anhmgta_LHV.9822_CVS_DungNT_071023</v>
      </c>
      <c r="U212" s="111" t="s">
        <v>5102</v>
      </c>
    </row>
    <row r="213">
      <c r="A213" s="72">
        <v>45206.0</v>
      </c>
      <c r="B213" s="112" t="s">
        <v>3502</v>
      </c>
      <c r="C213" s="67" t="str">
        <f>IFERROR(__xludf.DUMMYFUNCTION("""COMPUTED_VALUE"""),"LD144")</f>
        <v>LD144</v>
      </c>
      <c r="D213" s="55" t="s">
        <v>42</v>
      </c>
      <c r="E213" s="55" t="s">
        <v>69</v>
      </c>
      <c r="F213" s="55" t="s">
        <v>625</v>
      </c>
      <c r="G213" s="55">
        <v>1840.0</v>
      </c>
      <c r="H213" s="55" t="s">
        <v>3306</v>
      </c>
      <c r="I213" s="55" t="s">
        <v>5104</v>
      </c>
      <c r="J213" s="168" t="s">
        <v>5106</v>
      </c>
      <c r="K213" s="167" t="s">
        <v>61</v>
      </c>
      <c r="L213" s="55" t="s">
        <v>1264</v>
      </c>
      <c r="M213" s="55" t="s">
        <v>78</v>
      </c>
      <c r="N213" s="55" t="s">
        <v>69</v>
      </c>
      <c r="O213" s="55" t="s">
        <v>4350</v>
      </c>
      <c r="P213" s="55" t="s">
        <v>110</v>
      </c>
      <c r="Q213" s="67" t="str">
        <f>IFERROR(__xludf.DUMMYFUNCTION("""COMPUTED_VALUE"""),"KoreaSouth.Giaotiep.anhmgta_LHV.9822_CVS_DungNT_071023")</f>
        <v>KoreaSouth.Giaotiep.anhmgta_LHV.9822_CVS_DungNT_071023</v>
      </c>
      <c r="R213" s="67" t="str">
        <f>IFERROR(__xludf.DUMMYFUNCTION("""COMPUTED_VALUE"""),"NEW_KoreaSouth_1840_none_071023")</f>
        <v>NEW_KoreaSouth_1840_none_071023</v>
      </c>
      <c r="S213" s="67" t="str">
        <f>IFERROR(__xludf.DUMMYFUNCTION("""COMPUTED_VALUE"""),"saletructiep_KoreaSouth.anhmgta.1840.Giaotiep_PTATDNDL_LD144")</f>
        <v>saletructiep_KoreaSouth.anhmgta.1840.Giaotiep_PTATDNDL_LD144</v>
      </c>
      <c r="T213" s="107" t="str">
        <f>IFERROR(__xludf.DUMMYFUNCTION("""COMPUTED_VALUE"""),"https://patadovietnam.edu.vn/tienganhpatado_d1/?utm_source=Facebook&amp;utm_medium=CVS&amp;utm_term=NEW_KoreaSouth_1840_none_071023&amp;utm_content=saletructiep_KoreaSouth.anhmgta.1840.Giaotiep_PTATDNDL_LD144&amp;utm_campaign=KoreaSouth.Giaotiep.anhmgta_LHV.9822_CVS_Dung"&amp;"NT_071023")</f>
        <v>https://patadovietnam.edu.vn/tienganhpatado_d1/?utm_source=Facebook&amp;utm_medium=CVS&amp;utm_term=NEW_KoreaSouth_1840_none_071023&amp;utm_content=saletructiep_KoreaSouth.anhmgta.1840.Giaotiep_PTATDNDL_LD144&amp;utm_campaign=KoreaSouth.Giaotiep.anhmgta_LHV.9822_CVS_DungNT_071023</v>
      </c>
      <c r="U213" s="111" t="s">
        <v>5110</v>
      </c>
    </row>
    <row r="214">
      <c r="A214" s="72">
        <v>45206.0</v>
      </c>
      <c r="B214" s="112" t="s">
        <v>4592</v>
      </c>
      <c r="C214" s="67" t="str">
        <f>IFERROR(__xludf.DUMMYFUNCTION("""COMPUTED_VALUE"""),"LD182")</f>
        <v>LD182</v>
      </c>
      <c r="D214" s="55" t="s">
        <v>42</v>
      </c>
      <c r="E214" s="55" t="s">
        <v>69</v>
      </c>
      <c r="F214" s="55" t="s">
        <v>133</v>
      </c>
      <c r="G214" s="55">
        <v>1840.0</v>
      </c>
      <c r="H214" s="55" t="s">
        <v>3306</v>
      </c>
      <c r="I214" s="55" t="s">
        <v>4933</v>
      </c>
      <c r="J214" s="168" t="s">
        <v>4934</v>
      </c>
      <c r="K214" s="167" t="s">
        <v>61</v>
      </c>
      <c r="L214" s="55" t="s">
        <v>1264</v>
      </c>
      <c r="M214" s="55" t="s">
        <v>78</v>
      </c>
      <c r="N214" s="55" t="s">
        <v>69</v>
      </c>
      <c r="O214" s="55" t="s">
        <v>4350</v>
      </c>
      <c r="P214" s="55" t="s">
        <v>110</v>
      </c>
      <c r="Q214" s="67" t="str">
        <f>IFERROR(__xludf.DUMMYFUNCTION("""COMPUTED_VALUE"""),"Japan.Giaotiep.anhht_LHV.9822_CVS_DungNT_071023")</f>
        <v>Japan.Giaotiep.anhht_LHV.9822_CVS_DungNT_071023</v>
      </c>
      <c r="R214" s="67" t="str">
        <f>IFERROR(__xludf.DUMMYFUNCTION("""COMPUTED_VALUE"""),"NEW_Japan_1840_none_071023")</f>
        <v>NEW_Japan_1840_none_071023</v>
      </c>
      <c r="S214" s="67" t="str">
        <f>IFERROR(__xludf.DUMMYFUNCTION("""COMPUTED_VALUE"""),"saletructiep_Japan.anhht.1840.Giaotiep_PTATDNDL_LD182")</f>
        <v>saletructiep_Japan.anhht.1840.Giaotiep_PTATDNDL_LD182</v>
      </c>
      <c r="T214" s="107" t="str">
        <f>IFERROR(__xludf.DUMMYFUNCTION("""COMPUTED_VALUE"""),"https://patadovietnam.edu.vn/tienganhnguoidilamjapann/?utm_source=Facebook&amp;utm_medium=CVS&amp;utm_term=NEW_Japan_1840_none_071023&amp;utm_content=saletructiep_Japan.anhht.1840.Giaotiep_PTATDNDL_LD182&amp;utm_campaign=Japan.Giaotiep.anhht_LHV.9822_CVS_DungNT_071023")</f>
        <v>https://patadovietnam.edu.vn/tienganhnguoidilamjapann/?utm_source=Facebook&amp;utm_medium=CVS&amp;utm_term=NEW_Japan_1840_none_071023&amp;utm_content=saletructiep_Japan.anhht.1840.Giaotiep_PTATDNDL_LD182&amp;utm_campaign=Japan.Giaotiep.anhht_LHV.9822_CVS_DungNT_071023</v>
      </c>
      <c r="U214" s="111" t="s">
        <v>4939</v>
      </c>
    </row>
    <row r="215">
      <c r="A215" s="226">
        <v>45206.0</v>
      </c>
      <c r="B215" s="112" t="s">
        <v>4550</v>
      </c>
      <c r="C215" s="58" t="str">
        <f>IFERROR(__xludf.DUMMYFUNCTION("""COMPUTED_VALUE"""),"LD181")</f>
        <v>LD181</v>
      </c>
      <c r="D215" s="86" t="s">
        <v>42</v>
      </c>
      <c r="E215" s="86" t="s">
        <v>69</v>
      </c>
      <c r="F215" s="87" t="s">
        <v>625</v>
      </c>
      <c r="G215" s="211">
        <v>1840.0</v>
      </c>
      <c r="H215" s="86" t="s">
        <v>3306</v>
      </c>
      <c r="I215" s="87" t="s">
        <v>4965</v>
      </c>
      <c r="J215" s="87" t="s">
        <v>4966</v>
      </c>
      <c r="K215" s="86" t="s">
        <v>61</v>
      </c>
      <c r="L215" s="86" t="s">
        <v>1264</v>
      </c>
      <c r="M215" s="86" t="s">
        <v>78</v>
      </c>
      <c r="N215" s="86" t="s">
        <v>69</v>
      </c>
      <c r="O215" s="86" t="s">
        <v>4350</v>
      </c>
      <c r="P215" s="86" t="s">
        <v>110</v>
      </c>
      <c r="Q215" s="58" t="str">
        <f>IFERROR(__xludf.DUMMYFUNCTION("""COMPUTED_VALUE"""),"KoreaSouth.Giaotiep.anhht_LHV.9822_CVS_DungNT_071023")</f>
        <v>KoreaSouth.Giaotiep.anhht_LHV.9822_CVS_DungNT_071023</v>
      </c>
      <c r="R215" s="58" t="str">
        <f>IFERROR(__xludf.DUMMYFUNCTION("""COMPUTED_VALUE"""),"NEW_KoreaSouth_1840_none_071023")</f>
        <v>NEW_KoreaSouth_1840_none_071023</v>
      </c>
      <c r="S215" s="58" t="str">
        <f>IFERROR(__xludf.DUMMYFUNCTION("""COMPUTED_VALUE"""),"saletructiep_KoreaSouth.anhht.1840.Giaotiep_PTATDNDL_LD181")</f>
        <v>saletructiep_KoreaSouth.anhht.1840.Giaotiep_PTATDNDL_LD181</v>
      </c>
      <c r="T215" s="214" t="str">
        <f>IFERROR(__xludf.DUMMYFUNCTION("""COMPUTED_VALUE"""),"https://patadovietnam.edu.vn/tienganhnguoidilamkoreaa/?utm_source=Facebook&amp;utm_medium=CVS&amp;utm_term=NEW_KoreaSouth_1840_none_071023&amp;utm_content=saletructiep_KoreaSouth.anhht.1840.Giaotiep_PTATDNDL_LD181&amp;utm_campaign=KoreaSouth.Giaotiep.anhht_LHV.9822_CVS_D"&amp;"ungNT_071023")</f>
        <v>https://patadovietnam.edu.vn/tienganhnguoidilamkoreaa/?utm_source=Facebook&amp;utm_medium=CVS&amp;utm_term=NEW_KoreaSouth_1840_none_071023&amp;utm_content=saletructiep_KoreaSouth.anhht.1840.Giaotiep_PTATDNDL_LD181&amp;utm_campaign=KoreaSouth.Giaotiep.anhht_LHV.9822_CVS_DungNT_071023</v>
      </c>
      <c r="U215" s="215" t="s">
        <v>4976</v>
      </c>
    </row>
    <row r="216">
      <c r="A216" s="72">
        <v>45210.0</v>
      </c>
      <c r="B216" s="194" t="s">
        <v>3782</v>
      </c>
      <c r="C216" s="67" t="str">
        <f>IFERROR(__xludf.DUMMYFUNCTION("""COMPUTED_VALUE"""),"LD167")</f>
        <v>LD167</v>
      </c>
      <c r="D216" s="55" t="s">
        <v>42</v>
      </c>
      <c r="E216" s="55" t="s">
        <v>69</v>
      </c>
      <c r="F216" s="55" t="s">
        <v>133</v>
      </c>
      <c r="G216" s="55">
        <v>1840.0</v>
      </c>
      <c r="H216" s="55" t="s">
        <v>3306</v>
      </c>
      <c r="I216" s="55" t="s">
        <v>3738</v>
      </c>
      <c r="J216" s="168" t="s">
        <v>3739</v>
      </c>
      <c r="K216" s="167" t="s">
        <v>61</v>
      </c>
      <c r="L216" s="55" t="s">
        <v>1264</v>
      </c>
      <c r="M216" s="55" t="s">
        <v>78</v>
      </c>
      <c r="N216" s="55" t="s">
        <v>69</v>
      </c>
      <c r="O216" s="55" t="s">
        <v>218</v>
      </c>
      <c r="P216" s="55" t="s">
        <v>110</v>
      </c>
      <c r="Q216" s="67" t="str">
        <f>IFERROR(__xludf.DUMMYFUNCTION("""COMPUTED_VALUE"""),"Japan.Giaotiep.Anhsale13_LHV.9822_CVS_DungNT_111023")</f>
        <v>Japan.Giaotiep.Anhsale13_LHV.9822_CVS_DungNT_111023</v>
      </c>
      <c r="R216" s="67" t="str">
        <f>IFERROR(__xludf.DUMMYFUNCTION("""COMPUTED_VALUE"""),"NEW_Japan_1840_none_111023")</f>
        <v>NEW_Japan_1840_none_111023</v>
      </c>
      <c r="S216" s="67" t="str">
        <f>IFERROR(__xludf.DUMMYFUNCTION("""COMPUTED_VALUE"""),"saletructiep_Japan.Anhsale13.1840.Giaotiep_PTATTNDL_LD167")</f>
        <v>saletructiep_Japan.Anhsale13.1840.Giaotiep_PTATTNDL_LD167</v>
      </c>
      <c r="T216" s="107" t="str">
        <f>IFERROR(__xludf.DUMMYFUNCTION("""COMPUTED_VALUE"""),"https://patadovietnam.edu.vn/tienganhnguoidilam_dnt/?utm_source=Facebook&amp;utm_medium=CVS&amp;utm_term=NEW_Japan_1840_none_111023&amp;utm_content=saletructiep_Japan.Anhsale13.1840.Giaotiep_PTATTNDL_LD167&amp;utm_campaign=Japan.Giaotiep.Anhsale13_LHV.9822_CVS_DungNT_111"&amp;"023")</f>
        <v>https://patadovietnam.edu.vn/tienganhnguoidilam_dnt/?utm_source=Facebook&amp;utm_medium=CVS&amp;utm_term=NEW_Japan_1840_none_111023&amp;utm_content=saletructiep_Japan.Anhsale13.1840.Giaotiep_PTATTNDL_LD167&amp;utm_campaign=Japan.Giaotiep.Anhsale13_LHV.9822_CVS_DungNT_111023</v>
      </c>
      <c r="U216" s="110" t="s">
        <v>3786</v>
      </c>
    </row>
    <row r="217">
      <c r="A217" s="72">
        <v>45211.0</v>
      </c>
      <c r="B217" s="194" t="s">
        <v>4315</v>
      </c>
      <c r="C217" s="67" t="str">
        <f>IFERROR(__xludf.DUMMYFUNCTION("""COMPUTED_VALUE"""),"LD183")</f>
        <v>LD183</v>
      </c>
      <c r="D217" s="55" t="s">
        <v>42</v>
      </c>
      <c r="E217" s="55" t="s">
        <v>69</v>
      </c>
      <c r="F217" s="55" t="s">
        <v>133</v>
      </c>
      <c r="G217" s="55">
        <v>1840.0</v>
      </c>
      <c r="H217" s="55" t="s">
        <v>3306</v>
      </c>
      <c r="I217" s="55" t="s">
        <v>5131</v>
      </c>
      <c r="J217" s="168" t="s">
        <v>5132</v>
      </c>
      <c r="K217" s="167" t="s">
        <v>61</v>
      </c>
      <c r="L217" s="55" t="s">
        <v>1264</v>
      </c>
      <c r="M217" s="55" t="s">
        <v>78</v>
      </c>
      <c r="N217" s="55" t="s">
        <v>69</v>
      </c>
      <c r="O217" s="55" t="s">
        <v>4350</v>
      </c>
      <c r="P217" s="55" t="s">
        <v>110</v>
      </c>
      <c r="Q217" s="67" t="str">
        <f>IFERROR(__xludf.DUMMYFUNCTION("""COMPUTED_VALUE"""),"Japan.Giaotiep.Anhtim_LHV.9822_CVS_DungNT_121023")</f>
        <v>Japan.Giaotiep.Anhtim_LHV.9822_CVS_DungNT_121023</v>
      </c>
      <c r="R217" s="67" t="str">
        <f>IFERROR(__xludf.DUMMYFUNCTION("""COMPUTED_VALUE"""),"NEW_Japan_1840_none_121023")</f>
        <v>NEW_Japan_1840_none_121023</v>
      </c>
      <c r="S217" s="67" t="str">
        <f>IFERROR(__xludf.DUMMYFUNCTION("""COMPUTED_VALUE"""),"saletructiep_Japan.Anhtim.1840.Giaotiep_PTATDNDL_LD183")</f>
        <v>saletructiep_Japan.Anhtim.1840.Giaotiep_PTATDNDL_LD183</v>
      </c>
      <c r="T217" s="107" t="str">
        <f>IFERROR(__xludf.DUMMYFUNCTION("""COMPUTED_VALUE"""),"https://patadovietnam.edu.vn/tienganhpatado_ptatdndl/?utm_source=Facebook&amp;utm_medium=CVS&amp;utm_term=NEW_Japan_1840_none_121023&amp;utm_content=saletructiep_Japan.Anhtim.1840.Giaotiep_PTATDNDL_LD183&amp;utm_campaign=Japan.Giaotiep.Anhtim_LHV.9822_CVS_DungNT_121023")</f>
        <v>https://patadovietnam.edu.vn/tienganhpatado_ptatdndl/?utm_source=Facebook&amp;utm_medium=CVS&amp;utm_term=NEW_Japan_1840_none_121023&amp;utm_content=saletructiep_Japan.Anhtim.1840.Giaotiep_PTATDNDL_LD183&amp;utm_campaign=Japan.Giaotiep.Anhtim_LHV.9822_CVS_DungNT_121023</v>
      </c>
      <c r="U217" s="110" t="s">
        <v>5138</v>
      </c>
    </row>
    <row r="218">
      <c r="A218" s="72">
        <v>45211.0</v>
      </c>
      <c r="B218" s="194" t="s">
        <v>4315</v>
      </c>
      <c r="C218" s="67" t="str">
        <f>IFERROR(__xludf.DUMMYFUNCTION("""COMPUTED_VALUE"""),"LD183")</f>
        <v>LD183</v>
      </c>
      <c r="D218" s="55" t="s">
        <v>42</v>
      </c>
      <c r="E218" s="55" t="s">
        <v>69</v>
      </c>
      <c r="F218" s="55" t="s">
        <v>625</v>
      </c>
      <c r="G218" s="55">
        <v>1840.0</v>
      </c>
      <c r="H218" s="55" t="s">
        <v>3306</v>
      </c>
      <c r="I218" s="55" t="s">
        <v>5142</v>
      </c>
      <c r="J218" s="168" t="s">
        <v>5143</v>
      </c>
      <c r="K218" s="167" t="s">
        <v>61</v>
      </c>
      <c r="L218" s="55" t="s">
        <v>1264</v>
      </c>
      <c r="M218" s="55" t="s">
        <v>78</v>
      </c>
      <c r="N218" s="55" t="s">
        <v>69</v>
      </c>
      <c r="O218" s="55" t="s">
        <v>4350</v>
      </c>
      <c r="P218" s="55" t="s">
        <v>110</v>
      </c>
      <c r="Q218" s="67" t="str">
        <f>IFERROR(__xludf.DUMMYFUNCTION("""COMPUTED_VALUE"""),"KoreaSouth.Giaotiep.Anhtim_LHV.9822_CVS_DungNT_121023")</f>
        <v>KoreaSouth.Giaotiep.Anhtim_LHV.9822_CVS_DungNT_121023</v>
      </c>
      <c r="R218" s="67" t="str">
        <f>IFERROR(__xludf.DUMMYFUNCTION("""COMPUTED_VALUE"""),"NEW_KoreaSouth_1840_none_121023")</f>
        <v>NEW_KoreaSouth_1840_none_121023</v>
      </c>
      <c r="S218" s="67" t="str">
        <f>IFERROR(__xludf.DUMMYFUNCTION("""COMPUTED_VALUE"""),"saletructiep_KoreaSouth.Anhtim.1840.Giaotiep_PTATDNDL_LD183")</f>
        <v>saletructiep_KoreaSouth.Anhtim.1840.Giaotiep_PTATDNDL_LD183</v>
      </c>
      <c r="T218" s="107" t="str">
        <f>IFERROR(__xludf.DUMMYFUNCTION("""COMPUTED_VALUE"""),"https://patadovietnam.edu.vn/tienganhpatado_ptatdndl/?utm_source=Facebook&amp;utm_medium=CVS&amp;utm_term=NEW_KoreaSouth_1840_none_121023&amp;utm_content=saletructiep_KoreaSouth.Anhtim.1840.Giaotiep_PTATDNDL_LD183&amp;utm_campaign=KoreaSouth.Giaotiep.Anhtim_LHV.9822_CVS_"&amp;"DungNT_121023")</f>
        <v>https://patadovietnam.edu.vn/tienganhpatado_ptatdndl/?utm_source=Facebook&amp;utm_medium=CVS&amp;utm_term=NEW_KoreaSouth_1840_none_121023&amp;utm_content=saletructiep_KoreaSouth.Anhtim.1840.Giaotiep_PTATDNDL_LD183&amp;utm_campaign=KoreaSouth.Giaotiep.Anhtim_LHV.9822_CVS_DungNT_121023</v>
      </c>
      <c r="U218" s="110" t="s">
        <v>5147</v>
      </c>
    </row>
    <row r="219">
      <c r="A219" s="72">
        <v>45212.0</v>
      </c>
      <c r="B219" s="194" t="s">
        <v>4391</v>
      </c>
      <c r="C219" s="67" t="str">
        <f>IFERROR(__xludf.DUMMYFUNCTION("""COMPUTED_VALUE"""),"LD184")</f>
        <v>LD184</v>
      </c>
      <c r="D219" s="55" t="s">
        <v>42</v>
      </c>
      <c r="E219" s="55" t="s">
        <v>79</v>
      </c>
      <c r="F219" s="55" t="s">
        <v>129</v>
      </c>
      <c r="G219" s="55">
        <v>2055.0</v>
      </c>
      <c r="H219" s="55" t="s">
        <v>3306</v>
      </c>
      <c r="I219" s="55" t="s">
        <v>5151</v>
      </c>
      <c r="J219" s="168" t="s">
        <v>5152</v>
      </c>
      <c r="K219" s="167" t="s">
        <v>61</v>
      </c>
      <c r="L219" s="55" t="s">
        <v>1264</v>
      </c>
      <c r="M219" s="55" t="s">
        <v>78</v>
      </c>
      <c r="N219" s="55" t="s">
        <v>79</v>
      </c>
      <c r="O219" s="55" t="s">
        <v>218</v>
      </c>
      <c r="P219" s="55" t="s">
        <v>110</v>
      </c>
      <c r="Q219" s="67" t="str">
        <f>IFERROR(__xludf.DUMMYFUNCTION("""COMPUTED_VALUE"""),"Australia.Giaotiep.anhtim_LHV.9822_MES_DungNT_131023")</f>
        <v>Australia.Giaotiep.anhtim_LHV.9822_MES_DungNT_131023</v>
      </c>
      <c r="R219" s="67" t="str">
        <f>IFERROR(__xludf.DUMMYFUNCTION("""COMPUTED_VALUE"""),"NEW_Australia_2055_none_131023")</f>
        <v>NEW_Australia_2055_none_131023</v>
      </c>
      <c r="S219" s="67" t="str">
        <f>IFERROR(__xludf.DUMMYFUNCTION("""COMPUTED_VALUE"""),"saletructiep_Australia.anhtim.2055.Giaotiep_PTATTNDL_LD184")</f>
        <v>saletructiep_Australia.anhtim.2055.Giaotiep_PTATTNDL_LD184</v>
      </c>
      <c r="T219" s="107" t="str">
        <f>IFERROR(__xludf.DUMMYFUNCTION("""COMPUTED_VALUE"""),"https://patadovietnam.edu.vn/tienganhnguoidilam_ptatdndl/?utm_source=Facebook&amp;utm_medium=MES&amp;utm_term=NEW_Australia_2055_none_131023&amp;utm_content=saletructiep_Australia.anhtim.2055.Giaotiep_PTATTNDL_LD184&amp;utm_campaign=Australia.Giaotiep.anhtim_LHV.9822_MES"&amp;"_DungNT_131023")</f>
        <v>https://patadovietnam.edu.vn/tienganhnguoidilam_ptatdndl/?utm_source=Facebook&amp;utm_medium=MES&amp;utm_term=NEW_Australia_2055_none_131023&amp;utm_content=saletructiep_Australia.anhtim.2055.Giaotiep_PTATTNDL_LD184&amp;utm_campaign=Australia.Giaotiep.anhtim_LHV.9822_MES_DungNT_131023</v>
      </c>
      <c r="U219" s="110" t="s">
        <v>5158</v>
      </c>
    </row>
    <row r="220">
      <c r="A220" s="72">
        <v>45212.0</v>
      </c>
      <c r="B220" s="194" t="s">
        <v>4391</v>
      </c>
      <c r="C220" s="67" t="str">
        <f>IFERROR(__xludf.DUMMYFUNCTION("""COMPUTED_VALUE"""),"LD184")</f>
        <v>LD184</v>
      </c>
      <c r="D220" s="86" t="s">
        <v>42</v>
      </c>
      <c r="E220" s="86" t="s">
        <v>79</v>
      </c>
      <c r="F220" s="87" t="s">
        <v>174</v>
      </c>
      <c r="G220" s="211">
        <v>2045.0</v>
      </c>
      <c r="H220" s="86" t="s">
        <v>3306</v>
      </c>
      <c r="I220" s="87" t="s">
        <v>5159</v>
      </c>
      <c r="J220" s="87" t="s">
        <v>5160</v>
      </c>
      <c r="K220" s="86" t="s">
        <v>61</v>
      </c>
      <c r="L220" s="86" t="s">
        <v>1264</v>
      </c>
      <c r="M220" s="86" t="s">
        <v>78</v>
      </c>
      <c r="N220" s="86" t="s">
        <v>79</v>
      </c>
      <c r="O220" s="86" t="s">
        <v>4350</v>
      </c>
      <c r="P220" s="86" t="s">
        <v>110</v>
      </c>
      <c r="Q220" s="67" t="str">
        <f>IFERROR(__xludf.DUMMYFUNCTION("""COMPUTED_VALUE"""),"Philippines.Giaotiep.anhtim_LHV.9822_MES_DungNT_131023")</f>
        <v>Philippines.Giaotiep.anhtim_LHV.9822_MES_DungNT_131023</v>
      </c>
      <c r="R220" s="67" t="str">
        <f>IFERROR(__xludf.DUMMYFUNCTION("""COMPUTED_VALUE"""),"NEW_Philippines_2045_none_131023")</f>
        <v>NEW_Philippines_2045_none_131023</v>
      </c>
      <c r="S220" s="67" t="str">
        <f>IFERROR(__xludf.DUMMYFUNCTION("""COMPUTED_VALUE"""),"saletructiep_Philippines.anhtim.2045.Giaotiep_PTATDNDL_LD184")</f>
        <v>saletructiep_Philippines.anhtim.2045.Giaotiep_PTATDNDL_LD184</v>
      </c>
      <c r="T220" s="107" t="str">
        <f>IFERROR(__xludf.DUMMYFUNCTION("""COMPUTED_VALUE"""),"https://patadovietnam.edu.vn/tienganhnguoidilam_ptatdndl/?utm_source=Facebook&amp;utm_medium=MES&amp;utm_term=NEW_Philippines_2045_none_131023&amp;utm_content=saletructiep_Philippines.anhtim.2045.Giaotiep_PTATDNDL_LD184&amp;utm_campaign=Philippines.Giaotiep.anhtim_LHV.98"&amp;"22_MES_DungNT_131023")</f>
        <v>https://patadovietnam.edu.vn/tienganhnguoidilam_ptatdndl/?utm_source=Facebook&amp;utm_medium=MES&amp;utm_term=NEW_Philippines_2045_none_131023&amp;utm_content=saletructiep_Philippines.anhtim.2045.Giaotiep_PTATDNDL_LD184&amp;utm_campaign=Philippines.Giaotiep.anhtim_LHV.9822_MES_DungNT_131023</v>
      </c>
      <c r="U220" s="110" t="s">
        <v>5167</v>
      </c>
    </row>
    <row r="221">
      <c r="A221" s="72">
        <v>45212.0</v>
      </c>
      <c r="B221" s="194" t="s">
        <v>4391</v>
      </c>
      <c r="C221" s="67" t="str">
        <f>IFERROR(__xludf.DUMMYFUNCTION("""COMPUTED_VALUE"""),"LD184")</f>
        <v>LD184</v>
      </c>
      <c r="D221" s="86" t="s">
        <v>42</v>
      </c>
      <c r="E221" s="86" t="s">
        <v>79</v>
      </c>
      <c r="F221" s="87" t="s">
        <v>162</v>
      </c>
      <c r="G221" s="211">
        <v>2045.0</v>
      </c>
      <c r="H221" s="86" t="s">
        <v>3306</v>
      </c>
      <c r="I221" s="87" t="s">
        <v>5169</v>
      </c>
      <c r="J221" s="87" t="s">
        <v>5170</v>
      </c>
      <c r="K221" s="86" t="s">
        <v>61</v>
      </c>
      <c r="L221" s="86" t="s">
        <v>1264</v>
      </c>
      <c r="M221" s="86" t="s">
        <v>78</v>
      </c>
      <c r="N221" s="86" t="s">
        <v>79</v>
      </c>
      <c r="O221" s="86" t="s">
        <v>4350</v>
      </c>
      <c r="P221" s="86" t="s">
        <v>110</v>
      </c>
      <c r="Q221" s="67" t="str">
        <f>IFERROR(__xludf.DUMMYFUNCTION("""COMPUTED_VALUE"""),"Singapore.Giaotiep.anhtim_LHV.9822_MES_DungNT_131023")</f>
        <v>Singapore.Giaotiep.anhtim_LHV.9822_MES_DungNT_131023</v>
      </c>
      <c r="R221" s="67" t="str">
        <f>IFERROR(__xludf.DUMMYFUNCTION("""COMPUTED_VALUE"""),"NEW_Singapore_2045_none_131023")</f>
        <v>NEW_Singapore_2045_none_131023</v>
      </c>
      <c r="S221" s="67" t="str">
        <f>IFERROR(__xludf.DUMMYFUNCTION("""COMPUTED_VALUE"""),"saletructiep_Singapore.anhtim.2045.Giaotiep_PTATDNDL_LD184")</f>
        <v>saletructiep_Singapore.anhtim.2045.Giaotiep_PTATDNDL_LD184</v>
      </c>
      <c r="T221" s="107" t="str">
        <f>IFERROR(__xludf.DUMMYFUNCTION("""COMPUTED_VALUE"""),"https://patadovietnam.edu.vn/tienganhnguoidilam_ptatdndl/?utm_source=Facebook&amp;utm_medium=MES&amp;utm_term=NEW_Singapore_2045_none_131023&amp;utm_content=saletructiep_Singapore.anhtim.2045.Giaotiep_PTATDNDL_LD184&amp;utm_campaign=Singapore.Giaotiep.anhtim_LHV.9822_MES"&amp;"_DungNT_131023")</f>
        <v>https://patadovietnam.edu.vn/tienganhnguoidilam_ptatdndl/?utm_source=Facebook&amp;utm_medium=MES&amp;utm_term=NEW_Singapore_2045_none_131023&amp;utm_content=saletructiep_Singapore.anhtim.2045.Giaotiep_PTATDNDL_LD184&amp;utm_campaign=Singapore.Giaotiep.anhtim_LHV.9822_MES_DungNT_131023</v>
      </c>
      <c r="U221" s="110" t="s">
        <v>5176</v>
      </c>
    </row>
    <row r="222">
      <c r="A222" s="210">
        <v>45212.0</v>
      </c>
      <c r="B222" s="228" t="s">
        <v>4391</v>
      </c>
      <c r="C222" s="58" t="str">
        <f>IFERROR(__xludf.DUMMYFUNCTION("""COMPUTED_VALUE"""),"LD184")</f>
        <v>LD184</v>
      </c>
      <c r="D222" s="86" t="s">
        <v>42</v>
      </c>
      <c r="E222" s="86" t="s">
        <v>79</v>
      </c>
      <c r="F222" s="87" t="s">
        <v>164</v>
      </c>
      <c r="G222" s="211">
        <v>2045.0</v>
      </c>
      <c r="H222" s="86" t="s">
        <v>3306</v>
      </c>
      <c r="I222" s="87" t="s">
        <v>5181</v>
      </c>
      <c r="J222" s="87" t="s">
        <v>5182</v>
      </c>
      <c r="K222" s="86" t="s">
        <v>61</v>
      </c>
      <c r="L222" s="86" t="s">
        <v>1264</v>
      </c>
      <c r="M222" s="86" t="s">
        <v>78</v>
      </c>
      <c r="N222" s="86" t="s">
        <v>79</v>
      </c>
      <c r="O222" s="86" t="s">
        <v>4350</v>
      </c>
      <c r="P222" s="86" t="s">
        <v>110</v>
      </c>
      <c r="Q222" s="58" t="str">
        <f>IFERROR(__xludf.DUMMYFUNCTION("""COMPUTED_VALUE"""),"Taiwan.Giaotiep.anhtim_LHV.9822_MES_DungNT_131023")</f>
        <v>Taiwan.Giaotiep.anhtim_LHV.9822_MES_DungNT_131023</v>
      </c>
      <c r="R222" s="58" t="str">
        <f>IFERROR(__xludf.DUMMYFUNCTION("""COMPUTED_VALUE"""),"NEW_Taiwan_2045_none_131023")</f>
        <v>NEW_Taiwan_2045_none_131023</v>
      </c>
      <c r="S222" s="58" t="str">
        <f>IFERROR(__xludf.DUMMYFUNCTION("""COMPUTED_VALUE"""),"saletructiep_Taiwan.anhtim.2045.Giaotiep_PTATDNDL_LD184")</f>
        <v>saletructiep_Taiwan.anhtim.2045.Giaotiep_PTATDNDL_LD184</v>
      </c>
      <c r="T222" s="214" t="str">
        <f>IFERROR(__xludf.DUMMYFUNCTION("""COMPUTED_VALUE"""),"https://patadovietnam.edu.vn/tienganhnguoidilam_ptatdndl/?utm_source=Facebook&amp;utm_medium=MES&amp;utm_term=NEW_Taiwan_2045_none_131023&amp;utm_content=saletructiep_Taiwan.anhtim.2045.Giaotiep_PTATDNDL_LD184&amp;utm_campaign=Taiwan.Giaotiep.anhtim_LHV.9822_MES_DungNT_1"&amp;"31023")</f>
        <v>https://patadovietnam.edu.vn/tienganhnguoidilam_ptatdndl/?utm_source=Facebook&amp;utm_medium=MES&amp;utm_term=NEW_Taiwan_2045_none_131023&amp;utm_content=saletructiep_Taiwan.anhtim.2045.Giaotiep_PTATDNDL_LD184&amp;utm_campaign=Taiwan.Giaotiep.anhtim_LHV.9822_MES_DungNT_131023</v>
      </c>
      <c r="U222" s="205" t="s">
        <v>5184</v>
      </c>
    </row>
    <row r="223">
      <c r="A223" s="72">
        <v>45212.0</v>
      </c>
      <c r="B223" s="194" t="s">
        <v>4391</v>
      </c>
      <c r="C223" s="67" t="str">
        <f>IFERROR(__xludf.DUMMYFUNCTION("""COMPUTED_VALUE"""),"LD184")</f>
        <v>LD184</v>
      </c>
      <c r="D223" s="55" t="s">
        <v>42</v>
      </c>
      <c r="E223" s="55" t="s">
        <v>79</v>
      </c>
      <c r="F223" s="55" t="s">
        <v>107</v>
      </c>
      <c r="G223" s="55">
        <v>2055.0</v>
      </c>
      <c r="H223" s="55" t="s">
        <v>3306</v>
      </c>
      <c r="I223" s="55" t="s">
        <v>5188</v>
      </c>
      <c r="J223" s="168" t="s">
        <v>5189</v>
      </c>
      <c r="K223" s="167" t="s">
        <v>61</v>
      </c>
      <c r="L223" s="55" t="s">
        <v>1264</v>
      </c>
      <c r="M223" s="55" t="s">
        <v>78</v>
      </c>
      <c r="N223" s="55" t="s">
        <v>79</v>
      </c>
      <c r="O223" s="86" t="s">
        <v>4350</v>
      </c>
      <c r="P223" s="55" t="s">
        <v>110</v>
      </c>
      <c r="Q223" s="67" t="str">
        <f>IFERROR(__xludf.DUMMYFUNCTION("""COMPUTED_VALUE"""),"UnitedStates.Giaotiep.anhtim_LHV.9822_MES_DungNT_131023")</f>
        <v>UnitedStates.Giaotiep.anhtim_LHV.9822_MES_DungNT_131023</v>
      </c>
      <c r="R223" s="67" t="str">
        <f>IFERROR(__xludf.DUMMYFUNCTION("""COMPUTED_VALUE"""),"NEW_UnitedStates_2055_none_131023")</f>
        <v>NEW_UnitedStates_2055_none_131023</v>
      </c>
      <c r="S223" s="67" t="str">
        <f>IFERROR(__xludf.DUMMYFUNCTION("""COMPUTED_VALUE"""),"saletructiep_UnitedStates.anhtim.2055.Giaotiep_PTATDNDL_LD184")</f>
        <v>saletructiep_UnitedStates.anhtim.2055.Giaotiep_PTATDNDL_LD184</v>
      </c>
      <c r="T223" s="107" t="str">
        <f>IFERROR(__xludf.DUMMYFUNCTION("""COMPUTED_VALUE"""),"https://patadovietnam.edu.vn/tienganhnguoidilam_ptatdndl/?utm_source=Facebook&amp;utm_medium=MES&amp;utm_term=NEW_UnitedStates_2055_none_131023&amp;utm_content=saletructiep_UnitedStates.anhtim.2055.Giaotiep_PTATDNDL_LD184&amp;utm_campaign=UnitedStates.Giaotiep.anhtim_LHV"&amp;".9822_MES_DungNT_131023")</f>
        <v>https://patadovietnam.edu.vn/tienganhnguoidilam_ptatdndl/?utm_source=Facebook&amp;utm_medium=MES&amp;utm_term=NEW_UnitedStates_2055_none_131023&amp;utm_content=saletructiep_UnitedStates.anhtim.2055.Giaotiep_PTATDNDL_LD184&amp;utm_campaign=UnitedStates.Giaotiep.anhtim_LHV.9822_MES_DungNT_131023</v>
      </c>
      <c r="U223" s="110" t="s">
        <v>5193</v>
      </c>
    </row>
    <row r="224">
      <c r="A224" s="72">
        <v>45212.0</v>
      </c>
      <c r="B224" s="194" t="s">
        <v>4391</v>
      </c>
      <c r="C224" s="67" t="str">
        <f>IFERROR(__xludf.DUMMYFUNCTION("""COMPUTED_VALUE"""),"LD184")</f>
        <v>LD184</v>
      </c>
      <c r="D224" s="55" t="s">
        <v>42</v>
      </c>
      <c r="E224" s="55" t="s">
        <v>79</v>
      </c>
      <c r="F224" s="55" t="s">
        <v>112</v>
      </c>
      <c r="G224" s="55">
        <v>2055.0</v>
      </c>
      <c r="H224" s="55" t="s">
        <v>3306</v>
      </c>
      <c r="I224" s="55" t="s">
        <v>5195</v>
      </c>
      <c r="J224" s="168" t="s">
        <v>5196</v>
      </c>
      <c r="K224" s="167" t="s">
        <v>61</v>
      </c>
      <c r="L224" s="55" t="s">
        <v>1264</v>
      </c>
      <c r="M224" s="55" t="s">
        <v>78</v>
      </c>
      <c r="N224" s="55" t="s">
        <v>79</v>
      </c>
      <c r="O224" s="86" t="s">
        <v>4350</v>
      </c>
      <c r="P224" s="55" t="s">
        <v>110</v>
      </c>
      <c r="Q224" s="67" t="str">
        <f>IFERROR(__xludf.DUMMYFUNCTION("""COMPUTED_VALUE"""),"Canada.Giaotiep.anhtim_LHV.9822_MES_DungNT_131023")</f>
        <v>Canada.Giaotiep.anhtim_LHV.9822_MES_DungNT_131023</v>
      </c>
      <c r="R224" s="67" t="str">
        <f>IFERROR(__xludf.DUMMYFUNCTION("""COMPUTED_VALUE"""),"NEW_Canada_2055_none_131023")</f>
        <v>NEW_Canada_2055_none_131023</v>
      </c>
      <c r="S224" s="67" t="str">
        <f>IFERROR(__xludf.DUMMYFUNCTION("""COMPUTED_VALUE"""),"saletructiep_Canada.anhtim.2055.Giaotiep_PTATDNDL_LD184")</f>
        <v>saletructiep_Canada.anhtim.2055.Giaotiep_PTATDNDL_LD184</v>
      </c>
      <c r="T224" s="107" t="str">
        <f>IFERROR(__xludf.DUMMYFUNCTION("""COMPUTED_VALUE"""),"https://patadovietnam.edu.vn/tienganhnguoidilam_ptatdndl/?utm_source=Facebook&amp;utm_medium=MES&amp;utm_term=NEW_Canada_2055_none_131023&amp;utm_content=saletructiep_Canada.anhtim.2055.Giaotiep_PTATDNDL_LD184&amp;utm_campaign=Canada.Giaotiep.anhtim_LHV.9822_MES_DungNT_1"&amp;"31023")</f>
        <v>https://patadovietnam.edu.vn/tienganhnguoidilam_ptatdndl/?utm_source=Facebook&amp;utm_medium=MES&amp;utm_term=NEW_Canada_2055_none_131023&amp;utm_content=saletructiep_Canada.anhtim.2055.Giaotiep_PTATDNDL_LD184&amp;utm_campaign=Canada.Giaotiep.anhtim_LHV.9822_MES_DungNT_131023</v>
      </c>
      <c r="U224" s="110" t="s">
        <v>5202</v>
      </c>
    </row>
    <row r="225">
      <c r="A225" s="226">
        <v>45215.0</v>
      </c>
      <c r="B225" s="194" t="s">
        <v>4391</v>
      </c>
      <c r="C225" s="58" t="str">
        <f>IFERROR(__xludf.DUMMYFUNCTION("""COMPUTED_VALUE"""),"LD184")</f>
        <v>LD184</v>
      </c>
      <c r="D225" s="86" t="s">
        <v>42</v>
      </c>
      <c r="E225" s="86" t="s">
        <v>79</v>
      </c>
      <c r="F225" s="86" t="s">
        <v>129</v>
      </c>
      <c r="G225" s="163">
        <v>2055.0</v>
      </c>
      <c r="H225" s="86" t="s">
        <v>3306</v>
      </c>
      <c r="I225" s="87" t="s">
        <v>5205</v>
      </c>
      <c r="J225" s="87" t="s">
        <v>5206</v>
      </c>
      <c r="K225" s="86" t="s">
        <v>61</v>
      </c>
      <c r="L225" s="86" t="s">
        <v>1264</v>
      </c>
      <c r="M225" s="86" t="s">
        <v>78</v>
      </c>
      <c r="N225" s="86" t="s">
        <v>79</v>
      </c>
      <c r="O225" s="55" t="s">
        <v>218</v>
      </c>
      <c r="P225" s="86" t="s">
        <v>110</v>
      </c>
      <c r="Q225" s="58" t="str">
        <f>IFERROR(__xludf.DUMMYFUNCTION("""COMPUTED_VALUE"""),"Australia.Giaotiep.Anhaz_LHV.9822_MES_DungNT_161023")</f>
        <v>Australia.Giaotiep.Anhaz_LHV.9822_MES_DungNT_161023</v>
      </c>
      <c r="R225" s="58" t="str">
        <f>IFERROR(__xludf.DUMMYFUNCTION("""COMPUTED_VALUE"""),"NEW_Australia_2055_none_161023")</f>
        <v>NEW_Australia_2055_none_161023</v>
      </c>
      <c r="S225" s="58" t="str">
        <f>IFERROR(__xludf.DUMMYFUNCTION("""COMPUTED_VALUE"""),"saletructiep_Australia.Anhaz.2055.Giaotiep_PTATTNDL_LD184")</f>
        <v>saletructiep_Australia.Anhaz.2055.Giaotiep_PTATTNDL_LD184</v>
      </c>
      <c r="T225" s="214" t="str">
        <f>IFERROR(__xludf.DUMMYFUNCTION("""COMPUTED_VALUE"""),"https://patadovietnam.edu.vn/tienganhnguoidilam_ptatdndl/?utm_source=Facebook&amp;utm_medium=MES&amp;utm_term=NEW_Australia_2055_none_161023&amp;utm_content=saletructiep_Australia.Anhaz.2055.Giaotiep_PTATTNDL_LD184&amp;utm_campaign=Australia.Giaotiep.Anhaz_LHV.9822_MES_D"&amp;"ungNT_161023")</f>
        <v>https://patadovietnam.edu.vn/tienganhnguoidilam_ptatdndl/?utm_source=Facebook&amp;utm_medium=MES&amp;utm_term=NEW_Australia_2055_none_161023&amp;utm_content=saletructiep_Australia.Anhaz.2055.Giaotiep_PTATTNDL_LD184&amp;utm_campaign=Australia.Giaotiep.Anhaz_LHV.9822_MES_DungNT_161023</v>
      </c>
      <c r="U225" s="215" t="s">
        <v>5211</v>
      </c>
    </row>
    <row r="226">
      <c r="A226" s="72">
        <v>45211.0</v>
      </c>
      <c r="B226" s="194" t="s">
        <v>3957</v>
      </c>
      <c r="C226" s="67" t="str">
        <f>IFERROR(__xludf.DUMMYFUNCTION("""COMPUTED_VALUE"""),"LD174")</f>
        <v>LD174</v>
      </c>
      <c r="D226" s="55" t="s">
        <v>42</v>
      </c>
      <c r="E226" s="55" t="s">
        <v>69</v>
      </c>
      <c r="F226" s="55" t="s">
        <v>625</v>
      </c>
      <c r="G226" s="55">
        <v>1840.0</v>
      </c>
      <c r="H226" s="55" t="s">
        <v>3306</v>
      </c>
      <c r="I226" s="55" t="s">
        <v>5217</v>
      </c>
      <c r="J226" s="168" t="s">
        <v>5219</v>
      </c>
      <c r="K226" s="167" t="s">
        <v>61</v>
      </c>
      <c r="L226" s="55" t="s">
        <v>1264</v>
      </c>
      <c r="M226" s="55" t="s">
        <v>78</v>
      </c>
      <c r="N226" s="55" t="s">
        <v>69</v>
      </c>
      <c r="O226" s="55" t="s">
        <v>218</v>
      </c>
      <c r="P226" s="55" t="s">
        <v>110</v>
      </c>
      <c r="Q226" s="67" t="str">
        <f>IFERROR(__xludf.DUMMYFUNCTION("""COMPUTED_VALUE"""),"KoreaSouth.Giaotiep.Anhaz_LHV.9822_CVS_DungNT_121023")</f>
        <v>KoreaSouth.Giaotiep.Anhaz_LHV.9822_CVS_DungNT_121023</v>
      </c>
      <c r="R226" s="67" t="str">
        <f>IFERROR(__xludf.DUMMYFUNCTION("""COMPUTED_VALUE"""),"NEW_KoreaSouth_1840_none_121023")</f>
        <v>NEW_KoreaSouth_1840_none_121023</v>
      </c>
      <c r="S226" s="67" t="str">
        <f>IFERROR(__xludf.DUMMYFUNCTION("""COMPUTED_VALUE"""),"saletructiep_KoreaSouth.Anhaz.1840.Giaotiep_PTATTNDL_LD174")</f>
        <v>saletructiep_KoreaSouth.Anhaz.1840.Giaotiep_PTATTNDL_LD174</v>
      </c>
      <c r="T226" s="107" t="str">
        <f>IFERROR(__xludf.DUMMYFUNCTION("""COMPUTED_VALUE"""),"https://patadovietnam.edu.vn/tienganhnguoidilamkorea/?utm_source=Facebook&amp;utm_medium=CVS&amp;utm_term=NEW_KoreaSouth_1840_none_121023&amp;utm_content=saletructiep_KoreaSouth.Anhaz.1840.Giaotiep_PTATTNDL_LD174&amp;utm_campaign=KoreaSouth.Giaotiep.Anhaz_LHV.9822_CVS_Du"&amp;"ngNT_121023")</f>
        <v>https://patadovietnam.edu.vn/tienganhnguoidilamkorea/?utm_source=Facebook&amp;utm_medium=CVS&amp;utm_term=NEW_KoreaSouth_1840_none_121023&amp;utm_content=saletructiep_KoreaSouth.Anhaz.1840.Giaotiep_PTATTNDL_LD174&amp;utm_campaign=KoreaSouth.Giaotiep.Anhaz_LHV.9822_CVS_DungNT_121023</v>
      </c>
      <c r="U226" s="110" t="s">
        <v>5222</v>
      </c>
    </row>
    <row r="227">
      <c r="A227" s="72">
        <v>45218.0</v>
      </c>
      <c r="B227" s="194" t="s">
        <v>3957</v>
      </c>
      <c r="C227" s="67" t="str">
        <f>IFERROR(__xludf.DUMMYFUNCTION("""COMPUTED_VALUE"""),"LD174")</f>
        <v>LD174</v>
      </c>
      <c r="D227" s="55" t="s">
        <v>42</v>
      </c>
      <c r="E227" s="55" t="s">
        <v>69</v>
      </c>
      <c r="F227" s="55" t="s">
        <v>625</v>
      </c>
      <c r="G227" s="55">
        <v>1840.0</v>
      </c>
      <c r="H227" s="55" t="s">
        <v>3306</v>
      </c>
      <c r="I227" s="55" t="s">
        <v>5227</v>
      </c>
      <c r="J227" s="168" t="s">
        <v>5228</v>
      </c>
      <c r="K227" s="167" t="s">
        <v>61</v>
      </c>
      <c r="L227" s="55" t="s">
        <v>1264</v>
      </c>
      <c r="M227" s="55" t="s">
        <v>78</v>
      </c>
      <c r="N227" s="55" t="s">
        <v>69</v>
      </c>
      <c r="O227" s="55" t="s">
        <v>218</v>
      </c>
      <c r="P227" s="55" t="s">
        <v>110</v>
      </c>
      <c r="Q227" s="67" t="str">
        <f>IFERROR(__xludf.DUMMYFUNCTION("""COMPUTED_VALUE"""),"KoreaSouth.Giaotiep.Anhndl_LHV.9822_CVS_DungNT_191023")</f>
        <v>KoreaSouth.Giaotiep.Anhndl_LHV.9822_CVS_DungNT_191023</v>
      </c>
      <c r="R227" s="67" t="str">
        <f>IFERROR(__xludf.DUMMYFUNCTION("""COMPUTED_VALUE"""),"NEW_KoreaSouth_1840_none_191023")</f>
        <v>NEW_KoreaSouth_1840_none_191023</v>
      </c>
      <c r="S227" s="67" t="str">
        <f>IFERROR(__xludf.DUMMYFUNCTION("""COMPUTED_VALUE"""),"saletructiep_KoreaSouth.Anhndl.1840.Giaotiep_PTATTNDL_LD174")</f>
        <v>saletructiep_KoreaSouth.Anhndl.1840.Giaotiep_PTATTNDL_LD174</v>
      </c>
      <c r="T227" s="107" t="str">
        <f>IFERROR(__xludf.DUMMYFUNCTION("""COMPUTED_VALUE"""),"https://patadovietnam.edu.vn/tienganhnguoidilamkorea/?utm_source=Facebook&amp;utm_medium=CVS&amp;utm_term=NEW_KoreaSouth_1840_none_191023&amp;utm_content=saletructiep_KoreaSouth.Anhndl.1840.Giaotiep_PTATTNDL_LD174&amp;utm_campaign=KoreaSouth.Giaotiep.Anhndl_LHV.9822_CVS_"&amp;"DungNT_191023")</f>
        <v>https://patadovietnam.edu.vn/tienganhnguoidilamkorea/?utm_source=Facebook&amp;utm_medium=CVS&amp;utm_term=NEW_KoreaSouth_1840_none_191023&amp;utm_content=saletructiep_KoreaSouth.Anhndl.1840.Giaotiep_PTATTNDL_LD174&amp;utm_campaign=KoreaSouth.Giaotiep.Anhndl_LHV.9822_CVS_DungNT_191023</v>
      </c>
      <c r="U227" s="110" t="s">
        <v>5231</v>
      </c>
    </row>
    <row r="228">
      <c r="A228" s="72">
        <v>45218.0</v>
      </c>
      <c r="B228" s="194" t="s">
        <v>3782</v>
      </c>
      <c r="C228" s="67" t="str">
        <f>IFERROR(__xludf.DUMMYFUNCTION("""COMPUTED_VALUE"""),"LD167")</f>
        <v>LD167</v>
      </c>
      <c r="D228" s="55" t="s">
        <v>42</v>
      </c>
      <c r="E228" s="55" t="s">
        <v>69</v>
      </c>
      <c r="F228" s="55" t="s">
        <v>133</v>
      </c>
      <c r="G228" s="55">
        <v>1840.0</v>
      </c>
      <c r="H228" s="55" t="s">
        <v>3306</v>
      </c>
      <c r="I228" s="55" t="s">
        <v>5236</v>
      </c>
      <c r="J228" s="168" t="s">
        <v>5237</v>
      </c>
      <c r="K228" s="167" t="s">
        <v>61</v>
      </c>
      <c r="L228" s="55" t="s">
        <v>1264</v>
      </c>
      <c r="M228" s="55" t="s">
        <v>78</v>
      </c>
      <c r="N228" s="55" t="s">
        <v>69</v>
      </c>
      <c r="O228" s="55" t="s">
        <v>218</v>
      </c>
      <c r="P228" s="55" t="s">
        <v>110</v>
      </c>
      <c r="Q228" s="67" t="str">
        <f>IFERROR(__xludf.DUMMYFUNCTION("""COMPUTED_VALUE"""),"Japan.Giaotiep.Anhndl_LHV.9822_CVS_DungNT_191023")</f>
        <v>Japan.Giaotiep.Anhndl_LHV.9822_CVS_DungNT_191023</v>
      </c>
      <c r="R228" s="67" t="str">
        <f>IFERROR(__xludf.DUMMYFUNCTION("""COMPUTED_VALUE"""),"NEW_Japan_1840_none_191023")</f>
        <v>NEW_Japan_1840_none_191023</v>
      </c>
      <c r="S228" s="67" t="str">
        <f>IFERROR(__xludf.DUMMYFUNCTION("""COMPUTED_VALUE"""),"saletructiep_Japan.Anhndl.1840.Giaotiep_PTATTNDL_LD167")</f>
        <v>saletructiep_Japan.Anhndl.1840.Giaotiep_PTATTNDL_LD167</v>
      </c>
      <c r="T228" s="107" t="str">
        <f>IFERROR(__xludf.DUMMYFUNCTION("""COMPUTED_VALUE"""),"https://patadovietnam.edu.vn/tienganhnguoidilam_dnt/?utm_source=Facebook&amp;utm_medium=CVS&amp;utm_term=NEW_Japan_1840_none_191023&amp;utm_content=saletructiep_Japan.Anhndl.1840.Giaotiep_PTATTNDL_LD167&amp;utm_campaign=Japan.Giaotiep.Anhndl_LHV.9822_CVS_DungNT_191023")</f>
        <v>https://patadovietnam.edu.vn/tienganhnguoidilam_dnt/?utm_source=Facebook&amp;utm_medium=CVS&amp;utm_term=NEW_Japan_1840_none_191023&amp;utm_content=saletructiep_Japan.Anhndl.1840.Giaotiep_PTATTNDL_LD167&amp;utm_campaign=Japan.Giaotiep.Anhndl_LHV.9822_CVS_DungNT_191023</v>
      </c>
      <c r="U228" s="110" t="s">
        <v>5242</v>
      </c>
    </row>
    <row r="229">
      <c r="A229" s="226">
        <v>45218.0</v>
      </c>
      <c r="B229" s="194" t="s">
        <v>4315</v>
      </c>
      <c r="C229" s="58" t="str">
        <f>IFERROR(__xludf.DUMMYFUNCTION("""COMPUTED_VALUE"""),"LD183")</f>
        <v>LD183</v>
      </c>
      <c r="D229" s="86" t="s">
        <v>42</v>
      </c>
      <c r="E229" s="86" t="s">
        <v>79</v>
      </c>
      <c r="F229" s="87" t="s">
        <v>164</v>
      </c>
      <c r="G229" s="211">
        <v>2045.0</v>
      </c>
      <c r="H229" s="86" t="s">
        <v>3306</v>
      </c>
      <c r="I229" s="87" t="s">
        <v>5243</v>
      </c>
      <c r="J229" s="87" t="s">
        <v>5244</v>
      </c>
      <c r="K229" s="86" t="s">
        <v>61</v>
      </c>
      <c r="L229" s="86" t="s">
        <v>1264</v>
      </c>
      <c r="M229" s="86" t="s">
        <v>78</v>
      </c>
      <c r="N229" s="86" t="s">
        <v>79</v>
      </c>
      <c r="O229" s="86" t="s">
        <v>4350</v>
      </c>
      <c r="P229" s="86" t="s">
        <v>110</v>
      </c>
      <c r="Q229" s="58" t="str">
        <f>IFERROR(__xludf.DUMMYFUNCTION("""COMPUTED_VALUE"""),"Taiwan.Giaotiep.anhndl_LHV.9822_MES_DungNT_191023")</f>
        <v>Taiwan.Giaotiep.anhndl_LHV.9822_MES_DungNT_191023</v>
      </c>
      <c r="R229" s="58" t="str">
        <f>IFERROR(__xludf.DUMMYFUNCTION("""COMPUTED_VALUE"""),"NEW_Taiwan_2045_none_191023")</f>
        <v>NEW_Taiwan_2045_none_191023</v>
      </c>
      <c r="S229" s="58" t="str">
        <f>IFERROR(__xludf.DUMMYFUNCTION("""COMPUTED_VALUE"""),"saletructiep_Taiwan.anhndl.2045.Giaotiep_PTATDNDL_LD183")</f>
        <v>saletructiep_Taiwan.anhndl.2045.Giaotiep_PTATDNDL_LD183</v>
      </c>
      <c r="T229" s="214" t="str">
        <f>IFERROR(__xludf.DUMMYFUNCTION("""COMPUTED_VALUE"""),"https://patadovietnam.edu.vn/tienganhpatado_ptatdndl/?utm_source=Facebook&amp;utm_medium=MES&amp;utm_term=NEW_Taiwan_2045_none_191023&amp;utm_content=saletructiep_Taiwan.anhndl.2045.Giaotiep_PTATDNDL_LD183&amp;utm_campaign=Taiwan.Giaotiep.anhndl_LHV.9822_MES_DungNT_19102"&amp;"3")</f>
        <v>https://patadovietnam.edu.vn/tienganhpatado_ptatdndl/?utm_source=Facebook&amp;utm_medium=MES&amp;utm_term=NEW_Taiwan_2045_none_191023&amp;utm_content=saletructiep_Taiwan.anhndl.2045.Giaotiep_PTATDNDL_LD183&amp;utm_campaign=Taiwan.Giaotiep.anhndl_LHV.9822_MES_DungNT_191023</v>
      </c>
      <c r="U229" s="205" t="s">
        <v>5248</v>
      </c>
    </row>
    <row r="230">
      <c r="A230" s="226">
        <v>45220.0</v>
      </c>
      <c r="B230" s="194" t="s">
        <v>4391</v>
      </c>
      <c r="C230" s="58" t="str">
        <f>IFERROR(__xludf.DUMMYFUNCTION("""COMPUTED_VALUE"""),"LD184")</f>
        <v>LD184</v>
      </c>
      <c r="D230" s="86" t="s">
        <v>42</v>
      </c>
      <c r="E230" s="86" t="s">
        <v>79</v>
      </c>
      <c r="F230" s="87" t="s">
        <v>107</v>
      </c>
      <c r="G230" s="163">
        <v>2055.0</v>
      </c>
      <c r="H230" s="86" t="s">
        <v>3306</v>
      </c>
      <c r="I230" s="87" t="s">
        <v>5252</v>
      </c>
      <c r="J230" s="87" t="s">
        <v>5253</v>
      </c>
      <c r="K230" s="86" t="s">
        <v>61</v>
      </c>
      <c r="L230" s="86" t="s">
        <v>1264</v>
      </c>
      <c r="M230" s="86" t="s">
        <v>78</v>
      </c>
      <c r="N230" s="87" t="s">
        <v>79</v>
      </c>
      <c r="O230" s="86" t="s">
        <v>4350</v>
      </c>
      <c r="P230" s="86" t="s">
        <v>110</v>
      </c>
      <c r="Q230" s="58" t="str">
        <f>IFERROR(__xludf.DUMMYFUNCTION("""COMPUTED_VALUE"""),"UnitedStates.Giaotiep.anhndl_LHV.9822_MES_DungNT_211023")</f>
        <v>UnitedStates.Giaotiep.anhndl_LHV.9822_MES_DungNT_211023</v>
      </c>
      <c r="R230" s="58" t="str">
        <f>IFERROR(__xludf.DUMMYFUNCTION("""COMPUTED_VALUE"""),"NEW_UnitedStates_2055_none_211023")</f>
        <v>NEW_UnitedStates_2055_none_211023</v>
      </c>
      <c r="S230" s="58" t="str">
        <f>IFERROR(__xludf.DUMMYFUNCTION("""COMPUTED_VALUE"""),"saletructiep_UnitedStates.anhndl.2045.Giaotiep_PTATDNDL_LD184")</f>
        <v>saletructiep_UnitedStates.anhndl.2045.Giaotiep_PTATDNDL_LD184</v>
      </c>
      <c r="T230" s="214" t="str">
        <f>IFERROR(__xludf.DUMMYFUNCTION("""COMPUTED_VALUE"""),"https://patadovietnam.edu.vn/tienganhnguoidilam_ptatdndl/?utm_source=Facebook&amp;utm_medium=MES&amp;utm_term=NEW_UnitedStates_2055_none_211023&amp;utm_content=saletructiep_UnitedStates.anhndl.2045.Giaotiep_PTATDNDL_LD184&amp;utm_campaign=UnitedStates.Giaotiep.anhndl_LHV"&amp;".9822_MES_DungNT_211023")</f>
        <v>https://patadovietnam.edu.vn/tienganhnguoidilam_ptatdndl/?utm_source=Facebook&amp;utm_medium=MES&amp;utm_term=NEW_UnitedStates_2055_none_211023&amp;utm_content=saletructiep_UnitedStates.anhndl.2045.Giaotiep_PTATDNDL_LD184&amp;utm_campaign=UnitedStates.Giaotiep.anhndl_LHV.9822_MES_DungNT_211023</v>
      </c>
      <c r="U230" s="205" t="s">
        <v>5257</v>
      </c>
    </row>
    <row r="231">
      <c r="A231" s="226">
        <v>45220.0</v>
      </c>
      <c r="B231" s="194" t="s">
        <v>4315</v>
      </c>
      <c r="C231" s="58" t="str">
        <f>IFERROR(__xludf.DUMMYFUNCTION("""COMPUTED_VALUE"""),"LD183")</f>
        <v>LD183</v>
      </c>
      <c r="D231" s="86" t="s">
        <v>42</v>
      </c>
      <c r="E231" s="86" t="s">
        <v>79</v>
      </c>
      <c r="F231" s="87" t="s">
        <v>112</v>
      </c>
      <c r="G231" s="163">
        <v>2055.0</v>
      </c>
      <c r="H231" s="86" t="s">
        <v>3306</v>
      </c>
      <c r="I231" s="87" t="s">
        <v>5261</v>
      </c>
      <c r="J231" s="87" t="s">
        <v>5262</v>
      </c>
      <c r="K231" s="86" t="s">
        <v>61</v>
      </c>
      <c r="L231" s="86" t="s">
        <v>1264</v>
      </c>
      <c r="M231" s="86" t="s">
        <v>78</v>
      </c>
      <c r="N231" s="87" t="s">
        <v>79</v>
      </c>
      <c r="O231" s="86" t="s">
        <v>4350</v>
      </c>
      <c r="P231" s="86" t="s">
        <v>110</v>
      </c>
      <c r="Q231" s="58" t="str">
        <f>IFERROR(__xludf.DUMMYFUNCTION("""COMPUTED_VALUE"""),"Canada.Giaotiep.anhndl_LHV.9822_MES_DungNT_211023")</f>
        <v>Canada.Giaotiep.anhndl_LHV.9822_MES_DungNT_211023</v>
      </c>
      <c r="R231" s="58" t="str">
        <f>IFERROR(__xludf.DUMMYFUNCTION("""COMPUTED_VALUE"""),"NEW_Canada_2055_none_211023")</f>
        <v>NEW_Canada_2055_none_211023</v>
      </c>
      <c r="S231" s="58" t="str">
        <f>IFERROR(__xludf.DUMMYFUNCTION("""COMPUTED_VALUE"""),"saletructiep_Canada.anhndl.2045.Giaotiep_PTATDNDL_LD183")</f>
        <v>saletructiep_Canada.anhndl.2045.Giaotiep_PTATDNDL_LD183</v>
      </c>
      <c r="T231" s="214" t="str">
        <f>IFERROR(__xludf.DUMMYFUNCTION("""COMPUTED_VALUE"""),"https://patadovietnam.edu.vn/tienganhpatado_ptatdndl/?utm_source=Facebook&amp;utm_medium=MES&amp;utm_term=NEW_Canada_2055_none_211023&amp;utm_content=saletructiep_Canada.anhndl.2045.Giaotiep_PTATDNDL_LD183&amp;utm_campaign=Canada.Giaotiep.anhndl_LHV.9822_MES_DungNT_21102"&amp;"3")</f>
        <v>https://patadovietnam.edu.vn/tienganhpatado_ptatdndl/?utm_source=Facebook&amp;utm_medium=MES&amp;utm_term=NEW_Canada_2055_none_211023&amp;utm_content=saletructiep_Canada.anhndl.2045.Giaotiep_PTATDNDL_LD183&amp;utm_campaign=Canada.Giaotiep.anhndl_LHV.9822_MES_DungNT_211023</v>
      </c>
      <c r="U231" s="205" t="s">
        <v>5266</v>
      </c>
    </row>
    <row r="232">
      <c r="A232" s="226">
        <v>45220.0</v>
      </c>
      <c r="B232" s="194" t="s">
        <v>4315</v>
      </c>
      <c r="C232" s="58" t="str">
        <f>IFERROR(__xludf.DUMMYFUNCTION("""COMPUTED_VALUE"""),"LD183")</f>
        <v>LD183</v>
      </c>
      <c r="D232" s="86" t="s">
        <v>42</v>
      </c>
      <c r="E232" s="86" t="s">
        <v>79</v>
      </c>
      <c r="F232" s="87" t="s">
        <v>129</v>
      </c>
      <c r="G232" s="163">
        <v>2055.0</v>
      </c>
      <c r="H232" s="86" t="s">
        <v>3306</v>
      </c>
      <c r="I232" s="87" t="s">
        <v>5270</v>
      </c>
      <c r="J232" s="87" t="s">
        <v>5271</v>
      </c>
      <c r="K232" s="86" t="s">
        <v>61</v>
      </c>
      <c r="L232" s="86" t="s">
        <v>1264</v>
      </c>
      <c r="M232" s="86" t="s">
        <v>78</v>
      </c>
      <c r="N232" s="87" t="s">
        <v>79</v>
      </c>
      <c r="O232" s="86" t="s">
        <v>4350</v>
      </c>
      <c r="P232" s="86" t="s">
        <v>110</v>
      </c>
      <c r="Q232" s="58" t="str">
        <f>IFERROR(__xludf.DUMMYFUNCTION("""COMPUTED_VALUE"""),"Australia.Giaotiep.anhndl_LHV.9822_MES_DungNT_211023")</f>
        <v>Australia.Giaotiep.anhndl_LHV.9822_MES_DungNT_211023</v>
      </c>
      <c r="R232" s="58" t="str">
        <f>IFERROR(__xludf.DUMMYFUNCTION("""COMPUTED_VALUE"""),"NEW_Australia_2055_none_211023")</f>
        <v>NEW_Australia_2055_none_211023</v>
      </c>
      <c r="S232" s="58" t="str">
        <f>IFERROR(__xludf.DUMMYFUNCTION("""COMPUTED_VALUE"""),"saletructiep_Australia.anhndl.2045.Giaotiep_PTATDNDL_LD183")</f>
        <v>saletructiep_Australia.anhndl.2045.Giaotiep_PTATDNDL_LD183</v>
      </c>
      <c r="T232" s="214" t="str">
        <f>IFERROR(__xludf.DUMMYFUNCTION("""COMPUTED_VALUE"""),"https://patadovietnam.edu.vn/tienganhpatado_ptatdndl/?utm_source=Facebook&amp;utm_medium=MES&amp;utm_term=NEW_Australia_2055_none_211023&amp;utm_content=saletructiep_Australia.anhndl.2045.Giaotiep_PTATDNDL_LD183&amp;utm_campaign=Australia.Giaotiep.anhndl_LHV.9822_MES_Dun"&amp;"gNT_211023")</f>
        <v>https://patadovietnam.edu.vn/tienganhpatado_ptatdndl/?utm_source=Facebook&amp;utm_medium=MES&amp;utm_term=NEW_Australia_2055_none_211023&amp;utm_content=saletructiep_Australia.anhndl.2045.Giaotiep_PTATDNDL_LD183&amp;utm_campaign=Australia.Giaotiep.anhndl_LHV.9822_MES_DungNT_211023</v>
      </c>
      <c r="U232" s="205" t="s">
        <v>5275</v>
      </c>
    </row>
    <row r="233">
      <c r="A233" s="72">
        <v>45234.0</v>
      </c>
      <c r="B233" s="194" t="s">
        <v>3616</v>
      </c>
      <c r="C233" s="67" t="str">
        <f>IFERROR(__xludf.DUMMYFUNCTION("""COMPUTED_VALUE"""),"LD151")</f>
        <v>LD151</v>
      </c>
      <c r="D233" s="55" t="s">
        <v>42</v>
      </c>
      <c r="E233" s="55" t="s">
        <v>69</v>
      </c>
      <c r="F233" s="55" t="s">
        <v>674</v>
      </c>
      <c r="G233" s="55">
        <v>2555.0</v>
      </c>
      <c r="H233" s="55" t="s">
        <v>3306</v>
      </c>
      <c r="I233" s="55" t="s">
        <v>5279</v>
      </c>
      <c r="J233" s="168" t="s">
        <v>5280</v>
      </c>
      <c r="K233" s="167" t="s">
        <v>61</v>
      </c>
      <c r="L233" s="55" t="s">
        <v>1264</v>
      </c>
      <c r="M233" s="55" t="s">
        <v>78</v>
      </c>
      <c r="N233" s="55" t="s">
        <v>69</v>
      </c>
      <c r="O233" s="55" t="s">
        <v>4350</v>
      </c>
      <c r="P233" s="55" t="s">
        <v>110</v>
      </c>
      <c r="Q233" s="67" t="str">
        <f>IFERROR(__xludf.DUMMYFUNCTION("""COMPUTED_VALUE"""),"Europe.Giaotiep.Anhtim_LHV.9822_CVS_DungNT_041123")</f>
        <v>Europe.Giaotiep.Anhtim_LHV.9822_CVS_DungNT_041123</v>
      </c>
      <c r="R233" s="67" t="str">
        <f>IFERROR(__xludf.DUMMYFUNCTION("""COMPUTED_VALUE"""),"NEW_Europe_2555_none_041123")</f>
        <v>NEW_Europe_2555_none_041123</v>
      </c>
      <c r="S233" s="67" t="str">
        <f>IFERROR(__xludf.DUMMYFUNCTION("""COMPUTED_VALUE"""),"saletructiep_Europe.Anhtim.2555.Giaotiep_PTATDNDL_LD151")</f>
        <v>saletructiep_Europe.Anhtim.2555.Giaotiep_PTATDNDL_LD151</v>
      </c>
      <c r="T233" s="107" t="str">
        <f>IFERROR(__xludf.DUMMYFUNCTION("""COMPUTED_VALUE"""),"https://patadovietnam.edu.vn/tienganheurope_dnt/?utm_source=Facebook&amp;utm_medium=CVS&amp;utm_term=NEW_Europe_2555_none_041123&amp;utm_content=saletructiep_Europe.Anhtim.2555.Giaotiep_PTATDNDL_LD151&amp;utm_campaign=Europe.Giaotiep.Anhtim_LHV.9822_CVS_DungNT_041123")</f>
        <v>https://patadovietnam.edu.vn/tienganheurope_dnt/?utm_source=Facebook&amp;utm_medium=CVS&amp;utm_term=NEW_Europe_2555_none_041123&amp;utm_content=saletructiep_Europe.Anhtim.2555.Giaotiep_PTATDNDL_LD151&amp;utm_campaign=Europe.Giaotiep.Anhtim_LHV.9822_CVS_DungNT_041123</v>
      </c>
      <c r="U233" s="110" t="s">
        <v>5284</v>
      </c>
    </row>
    <row r="234">
      <c r="A234" s="72">
        <v>45235.0</v>
      </c>
      <c r="B234" s="194" t="s">
        <v>5285</v>
      </c>
      <c r="C234" s="67" t="str">
        <f>IFERROR(__xludf.DUMMYFUNCTION("""COMPUTED_VALUE"""),"LD203")</f>
        <v>LD203</v>
      </c>
      <c r="D234" s="55" t="s">
        <v>42</v>
      </c>
      <c r="E234" s="55" t="s">
        <v>69</v>
      </c>
      <c r="F234" s="55" t="s">
        <v>674</v>
      </c>
      <c r="G234" s="55">
        <v>2555.0</v>
      </c>
      <c r="H234" s="55" t="s">
        <v>3306</v>
      </c>
      <c r="I234" s="55" t="s">
        <v>5289</v>
      </c>
      <c r="J234" s="168" t="s">
        <v>5290</v>
      </c>
      <c r="K234" s="167" t="s">
        <v>61</v>
      </c>
      <c r="L234" s="55" t="s">
        <v>1264</v>
      </c>
      <c r="M234" s="55" t="s">
        <v>78</v>
      </c>
      <c r="N234" s="55" t="s">
        <v>69</v>
      </c>
      <c r="O234" s="55" t="s">
        <v>4350</v>
      </c>
      <c r="P234" s="55" t="s">
        <v>110</v>
      </c>
      <c r="Q234" s="67" t="str">
        <f>IFERROR(__xludf.DUMMYFUNCTION("""COMPUTED_VALUE"""),"Europe.Giaotiep.Anhndl_LHV.9822_CVS_DungNT_051123")</f>
        <v>Europe.Giaotiep.Anhndl_LHV.9822_CVS_DungNT_051123</v>
      </c>
      <c r="R234" s="67" t="str">
        <f>IFERROR(__xludf.DUMMYFUNCTION("""COMPUTED_VALUE"""),"NEW_Europe_2555_none_051123")</f>
        <v>NEW_Europe_2555_none_051123</v>
      </c>
      <c r="S234" s="67" t="str">
        <f>IFERROR(__xludf.DUMMYFUNCTION("""COMPUTED_VALUE"""),"saletructiep_Europe.Anhndl.2555.Giaotiep_PTATDNDL_LD203")</f>
        <v>saletructiep_Europe.Anhndl.2555.Giaotiep_PTATDNDL_LD203</v>
      </c>
      <c r="T234" s="107" t="str">
        <f>IFERROR(__xludf.DUMMYFUNCTION("""COMPUTED_VALUE"""),"https://patadovietnam.edu.vn/tienganhtoandienpatado/?utm_source=Facebook&amp;utm_medium=CVS&amp;utm_term=NEW_Europe_2555_none_051123&amp;utm_content=saletructiep_Europe.Anhndl.2555.Giaotiep_PTATDNDL_LD203&amp;utm_campaign=Europe.Giaotiep.Anhndl_LHV.9822_CVS_DungNT_051123")</f>
        <v>https://patadovietnam.edu.vn/tienganhtoandienpatado/?utm_source=Facebook&amp;utm_medium=CVS&amp;utm_term=NEW_Europe_2555_none_051123&amp;utm_content=saletructiep_Europe.Anhndl.2555.Giaotiep_PTATDNDL_LD203&amp;utm_campaign=Europe.Giaotiep.Anhndl_LHV.9822_CVS_DungNT_051123</v>
      </c>
      <c r="U234" s="110" t="s">
        <v>5293</v>
      </c>
    </row>
    <row r="235">
      <c r="A235" s="72">
        <v>45237.0</v>
      </c>
      <c r="B235" s="112" t="s">
        <v>5295</v>
      </c>
      <c r="C235" s="67" t="str">
        <f>IFERROR(__xludf.DUMMYFUNCTION("""COMPUTED_VALUE"""),"LD210")</f>
        <v>LD210</v>
      </c>
      <c r="D235" s="55" t="s">
        <v>42</v>
      </c>
      <c r="E235" s="55" t="s">
        <v>69</v>
      </c>
      <c r="F235" s="55" t="s">
        <v>133</v>
      </c>
      <c r="G235" s="55">
        <v>1840.0</v>
      </c>
      <c r="H235" s="55" t="s">
        <v>3306</v>
      </c>
      <c r="I235" s="55" t="s">
        <v>5296</v>
      </c>
      <c r="J235" s="168" t="s">
        <v>5297</v>
      </c>
      <c r="K235" s="167" t="s">
        <v>61</v>
      </c>
      <c r="L235" s="55" t="s">
        <v>1264</v>
      </c>
      <c r="M235" s="55" t="s">
        <v>78</v>
      </c>
      <c r="N235" s="55" t="s">
        <v>69</v>
      </c>
      <c r="O235" s="55" t="s">
        <v>218</v>
      </c>
      <c r="P235" s="55" t="s">
        <v>110</v>
      </c>
      <c r="Q235" s="67" t="str">
        <f>IFERROR(__xludf.DUMMYFUNCTION("""COMPUTED_VALUE"""),"Japan.Giaotiep.anhdongluc_LHV.9822_CVS_DungNT_071123")</f>
        <v>Japan.Giaotiep.anhdongluc_LHV.9822_CVS_DungNT_071123</v>
      </c>
      <c r="R235" s="67" t="str">
        <f>IFERROR(__xludf.DUMMYFUNCTION("""COMPUTED_VALUE"""),"NEW_Japan_1840_none_071123")</f>
        <v>NEW_Japan_1840_none_071123</v>
      </c>
      <c r="S235" s="67" t="str">
        <f>IFERROR(__xludf.DUMMYFUNCTION("""COMPUTED_VALUE"""),"saletructiep_Japan.anhdongluc.1840.Giaotiep_PTATTNDL_LD210")</f>
        <v>saletructiep_Japan.anhdongluc.1840.Giaotiep_PTATTNDL_LD210</v>
      </c>
      <c r="T235" s="107" t="str">
        <f>IFERROR(__xludf.DUMMYFUNCTION("""COMPUTED_VALUE"""),"https://patadovietnam.edu.vn/tienganhtoandienpatado_ptattndl/?utm_source=Facebook&amp;utm_medium=CVS&amp;utm_term=NEW_Japan_1840_none_071123&amp;utm_content=saletructiep_Japan.anhdongluc.1840.Giaotiep_PTATTNDL_LD210&amp;utm_campaign=Japan.Giaotiep.anhdongluc_LHV.9822_CVS"&amp;"_DungNT_071123")</f>
        <v>https://patadovietnam.edu.vn/tienganhtoandienpatado_ptattndl/?utm_source=Facebook&amp;utm_medium=CVS&amp;utm_term=NEW_Japan_1840_none_071123&amp;utm_content=saletructiep_Japan.anhdongluc.1840.Giaotiep_PTATTNDL_LD210&amp;utm_campaign=Japan.Giaotiep.anhdongluc_LHV.9822_CVS_DungNT_071123</v>
      </c>
      <c r="U235" s="110" t="s">
        <v>5303</v>
      </c>
    </row>
    <row r="236">
      <c r="A236" s="72">
        <v>45237.0</v>
      </c>
      <c r="B236" s="194" t="s">
        <v>5285</v>
      </c>
      <c r="C236" s="67" t="str">
        <f>IFERROR(__xludf.DUMMYFUNCTION("""COMPUTED_VALUE"""),"LD203")</f>
        <v>LD203</v>
      </c>
      <c r="D236" s="55" t="s">
        <v>42</v>
      </c>
      <c r="E236" s="55" t="s">
        <v>69</v>
      </c>
      <c r="F236" s="55" t="s">
        <v>625</v>
      </c>
      <c r="G236" s="55">
        <v>1840.0</v>
      </c>
      <c r="H236" s="55" t="s">
        <v>3306</v>
      </c>
      <c r="I236" s="55" t="s">
        <v>5305</v>
      </c>
      <c r="J236" s="168" t="s">
        <v>5306</v>
      </c>
      <c r="K236" s="167" t="s">
        <v>61</v>
      </c>
      <c r="L236" s="55" t="s">
        <v>1264</v>
      </c>
      <c r="M236" s="55" t="s">
        <v>78</v>
      </c>
      <c r="N236" s="55" t="s">
        <v>69</v>
      </c>
      <c r="O236" s="55" t="s">
        <v>218</v>
      </c>
      <c r="P236" s="55" t="s">
        <v>110</v>
      </c>
      <c r="Q236" s="67" t="str">
        <f>IFERROR(__xludf.DUMMYFUNCTION("""COMPUTED_VALUE"""),"KoreaSouth.Giaotiep.anhdongluc_LHV.9822_CVS_DungNT_071123")</f>
        <v>KoreaSouth.Giaotiep.anhdongluc_LHV.9822_CVS_DungNT_071123</v>
      </c>
      <c r="R236" s="67" t="str">
        <f>IFERROR(__xludf.DUMMYFUNCTION("""COMPUTED_VALUE"""),"NEW_KoreaSouth_1840_none_071123")</f>
        <v>NEW_KoreaSouth_1840_none_071123</v>
      </c>
      <c r="S236" s="67" t="str">
        <f>IFERROR(__xludf.DUMMYFUNCTION("""COMPUTED_VALUE"""),"saletructiep_KoreaSouth.anhdongluc.1840.Giaotiep_PTATTNDL_LD203")</f>
        <v>saletructiep_KoreaSouth.anhdongluc.1840.Giaotiep_PTATTNDL_LD203</v>
      </c>
      <c r="T236" s="107" t="str">
        <f>IFERROR(__xludf.DUMMYFUNCTION("""COMPUTED_VALUE"""),"https://patadovietnam.edu.vn/tienganhtoandienpatado/?utm_source=Facebook&amp;utm_medium=CVS&amp;utm_term=NEW_KoreaSouth_1840_none_071123&amp;utm_content=saletructiep_KoreaSouth.anhdongluc.1840.Giaotiep_PTATTNDL_LD203&amp;utm_campaign=KoreaSouth.Giaotiep.anhdongluc_LHV.98"&amp;"22_CVS_DungNT_071123")</f>
        <v>https://patadovietnam.edu.vn/tienganhtoandienpatado/?utm_source=Facebook&amp;utm_medium=CVS&amp;utm_term=NEW_KoreaSouth_1840_none_071123&amp;utm_content=saletructiep_KoreaSouth.anhdongluc.1840.Giaotiep_PTATTNDL_LD203&amp;utm_campaign=KoreaSouth.Giaotiep.anhdongluc_LHV.9822_CVS_DungNT_071123</v>
      </c>
      <c r="U236" s="110" t="s">
        <v>5313</v>
      </c>
    </row>
    <row r="237">
      <c r="A237" s="72">
        <v>45237.0</v>
      </c>
      <c r="B237" s="194" t="s">
        <v>5285</v>
      </c>
      <c r="C237" s="67" t="str">
        <f>IFERROR(__xludf.DUMMYFUNCTION("""COMPUTED_VALUE"""),"LD203")</f>
        <v>LD203</v>
      </c>
      <c r="D237" s="55" t="s">
        <v>42</v>
      </c>
      <c r="E237" s="55" t="s">
        <v>79</v>
      </c>
      <c r="F237" s="55" t="s">
        <v>129</v>
      </c>
      <c r="G237" s="55">
        <v>2055.0</v>
      </c>
      <c r="H237" s="55" t="s">
        <v>3306</v>
      </c>
      <c r="I237" s="55" t="s">
        <v>5314</v>
      </c>
      <c r="J237" s="168" t="s">
        <v>5316</v>
      </c>
      <c r="K237" s="167" t="s">
        <v>61</v>
      </c>
      <c r="L237" s="55" t="s">
        <v>1264</v>
      </c>
      <c r="M237" s="55" t="s">
        <v>78</v>
      </c>
      <c r="N237" s="55" t="s">
        <v>79</v>
      </c>
      <c r="O237" s="55" t="s">
        <v>4350</v>
      </c>
      <c r="P237" s="55" t="s">
        <v>110</v>
      </c>
      <c r="Q237" s="67" t="str">
        <f>IFERROR(__xludf.DUMMYFUNCTION("""COMPUTED_VALUE"""),"Australia.Giaotiep.anhdongluc_LHV.9822_MES_DungNT_071123")</f>
        <v>Australia.Giaotiep.anhdongluc_LHV.9822_MES_DungNT_071123</v>
      </c>
      <c r="R237" s="67" t="str">
        <f>IFERROR(__xludf.DUMMYFUNCTION("""COMPUTED_VALUE"""),"NEW_Australia_2055_none_071123")</f>
        <v>NEW_Australia_2055_none_071123</v>
      </c>
      <c r="S237" s="67" t="str">
        <f>IFERROR(__xludf.DUMMYFUNCTION("""COMPUTED_VALUE"""),"saletructiep_Australia.anhdongluc.2055.Giaotiep_PTATDNDL_LD203")</f>
        <v>saletructiep_Australia.anhdongluc.2055.Giaotiep_PTATDNDL_LD203</v>
      </c>
      <c r="T237" s="107" t="str">
        <f>IFERROR(__xludf.DUMMYFUNCTION("""COMPUTED_VALUE"""),"https://patadovietnam.edu.vn/tienganhtoandienpatado/?utm_source=Facebook&amp;utm_medium=MES&amp;utm_term=NEW_Australia_2055_none_071123&amp;utm_content=saletructiep_Australia.anhdongluc.2055.Giaotiep_PTATDNDL_LD203&amp;utm_campaign=Australia.Giaotiep.anhdongluc_LHV.9822_"&amp;"MES_DungNT_071123")</f>
        <v>https://patadovietnam.edu.vn/tienganhtoandienpatado/?utm_source=Facebook&amp;utm_medium=MES&amp;utm_term=NEW_Australia_2055_none_071123&amp;utm_content=saletructiep_Australia.anhdongluc.2055.Giaotiep_PTATDNDL_LD203&amp;utm_campaign=Australia.Giaotiep.anhdongluc_LHV.9822_MES_DungNT_071123</v>
      </c>
      <c r="U237" s="111" t="s">
        <v>5319</v>
      </c>
    </row>
    <row r="238">
      <c r="A238" s="72">
        <v>45237.0</v>
      </c>
      <c r="B238" s="194" t="s">
        <v>5285</v>
      </c>
      <c r="C238" s="67" t="str">
        <f>IFERROR(__xludf.DUMMYFUNCTION("""COMPUTED_VALUE"""),"LD203")</f>
        <v>LD203</v>
      </c>
      <c r="D238" s="55" t="s">
        <v>42</v>
      </c>
      <c r="E238" s="55" t="s">
        <v>79</v>
      </c>
      <c r="F238" s="55" t="s">
        <v>107</v>
      </c>
      <c r="G238" s="55">
        <v>2055.0</v>
      </c>
      <c r="H238" s="55" t="s">
        <v>3306</v>
      </c>
      <c r="I238" s="55" t="s">
        <v>5324</v>
      </c>
      <c r="J238" s="168" t="s">
        <v>5325</v>
      </c>
      <c r="K238" s="167" t="s">
        <v>61</v>
      </c>
      <c r="L238" s="55" t="s">
        <v>1264</v>
      </c>
      <c r="M238" s="55" t="s">
        <v>78</v>
      </c>
      <c r="N238" s="55" t="s">
        <v>79</v>
      </c>
      <c r="O238" s="55" t="s">
        <v>4350</v>
      </c>
      <c r="P238" s="55" t="s">
        <v>110</v>
      </c>
      <c r="Q238" s="67" t="str">
        <f>IFERROR(__xludf.DUMMYFUNCTION("""COMPUTED_VALUE"""),"UnitedStates.Giaotiep.anhdongluc_LHV.9822_MES_DungNT_071123")</f>
        <v>UnitedStates.Giaotiep.anhdongluc_LHV.9822_MES_DungNT_071123</v>
      </c>
      <c r="R238" s="67" t="str">
        <f>IFERROR(__xludf.DUMMYFUNCTION("""COMPUTED_VALUE"""),"NEW_UnitedStates_2055_none_071123")</f>
        <v>NEW_UnitedStates_2055_none_071123</v>
      </c>
      <c r="S238" s="67" t="str">
        <f>IFERROR(__xludf.DUMMYFUNCTION("""COMPUTED_VALUE"""),"saletructiep_UnitedStates.anhdongluc.2055.Giaotiep_PTATDNDL_LD203")</f>
        <v>saletructiep_UnitedStates.anhdongluc.2055.Giaotiep_PTATDNDL_LD203</v>
      </c>
      <c r="T238" s="107" t="str">
        <f>IFERROR(__xludf.DUMMYFUNCTION("""COMPUTED_VALUE"""),"https://patadovietnam.edu.vn/tienganhtoandienpatado/?utm_source=Facebook&amp;utm_medium=MES&amp;utm_term=NEW_UnitedStates_2055_none_071123&amp;utm_content=saletructiep_UnitedStates.anhdongluc.2055.Giaotiep_PTATDNDL_LD203&amp;utm_campaign=UnitedStates.Giaotiep.anhdongluc_"&amp;"LHV.9822_MES_DungNT_071123")</f>
        <v>https://patadovietnam.edu.vn/tienganhtoandienpatado/?utm_source=Facebook&amp;utm_medium=MES&amp;utm_term=NEW_UnitedStates_2055_none_071123&amp;utm_content=saletructiep_UnitedStates.anhdongluc.2055.Giaotiep_PTATDNDL_LD203&amp;utm_campaign=UnitedStates.Giaotiep.anhdongluc_LHV.9822_MES_DungNT_071123</v>
      </c>
      <c r="U238" s="111" t="s">
        <v>5326</v>
      </c>
    </row>
    <row r="239">
      <c r="A239" s="72">
        <v>45237.0</v>
      </c>
      <c r="B239" s="194" t="s">
        <v>5285</v>
      </c>
      <c r="C239" s="67" t="str">
        <f>IFERROR(__xludf.DUMMYFUNCTION("""COMPUTED_VALUE"""),"LD203")</f>
        <v>LD203</v>
      </c>
      <c r="D239" s="55" t="s">
        <v>42</v>
      </c>
      <c r="E239" s="55" t="s">
        <v>79</v>
      </c>
      <c r="F239" s="55" t="s">
        <v>112</v>
      </c>
      <c r="G239" s="55">
        <v>2055.0</v>
      </c>
      <c r="H239" s="55" t="s">
        <v>3306</v>
      </c>
      <c r="I239" s="55" t="s">
        <v>5328</v>
      </c>
      <c r="J239" s="168" t="s">
        <v>5329</v>
      </c>
      <c r="K239" s="167" t="s">
        <v>61</v>
      </c>
      <c r="L239" s="55" t="s">
        <v>1264</v>
      </c>
      <c r="M239" s="55" t="s">
        <v>78</v>
      </c>
      <c r="N239" s="55" t="s">
        <v>79</v>
      </c>
      <c r="O239" s="55" t="s">
        <v>4350</v>
      </c>
      <c r="P239" s="55" t="s">
        <v>110</v>
      </c>
      <c r="Q239" s="67" t="str">
        <f>IFERROR(__xludf.DUMMYFUNCTION("""COMPUTED_VALUE"""),"Canada.Giaotiep.anhdongluc_LHV.9822_MES_DungNT_071123")</f>
        <v>Canada.Giaotiep.anhdongluc_LHV.9822_MES_DungNT_071123</v>
      </c>
      <c r="R239" s="67" t="str">
        <f>IFERROR(__xludf.DUMMYFUNCTION("""COMPUTED_VALUE"""),"NEW_Canada_2055_none_071123")</f>
        <v>NEW_Canada_2055_none_071123</v>
      </c>
      <c r="S239" s="67" t="str">
        <f>IFERROR(__xludf.DUMMYFUNCTION("""COMPUTED_VALUE"""),"saletructiep_Canada.anhdongluc.2055.Giaotiep_PTATDNDL_LD203")</f>
        <v>saletructiep_Canada.anhdongluc.2055.Giaotiep_PTATDNDL_LD203</v>
      </c>
      <c r="T239" s="107" t="str">
        <f>IFERROR(__xludf.DUMMYFUNCTION("""COMPUTED_VALUE"""),"https://patadovietnam.edu.vn/tienganhtoandienpatado/?utm_source=Facebook&amp;utm_medium=MES&amp;utm_term=NEW_Canada_2055_none_071123&amp;utm_content=saletructiep_Canada.anhdongluc.2055.Giaotiep_PTATDNDL_LD203&amp;utm_campaign=Canada.Giaotiep.anhdongluc_LHV.9822_MES_DungN"&amp;"T_071123")</f>
        <v>https://patadovietnam.edu.vn/tienganhtoandienpatado/?utm_source=Facebook&amp;utm_medium=MES&amp;utm_term=NEW_Canada_2055_none_071123&amp;utm_content=saletructiep_Canada.anhdongluc.2055.Giaotiep_PTATDNDL_LD203&amp;utm_campaign=Canada.Giaotiep.anhdongluc_LHV.9822_MES_DungNT_071123</v>
      </c>
      <c r="U239" s="111" t="s">
        <v>5331</v>
      </c>
    </row>
    <row r="240">
      <c r="A240" s="72">
        <v>45237.0</v>
      </c>
      <c r="B240" s="194" t="s">
        <v>5285</v>
      </c>
      <c r="C240" s="67" t="str">
        <f>IFERROR(__xludf.DUMMYFUNCTION("""COMPUTED_VALUE"""),"LD203")</f>
        <v>LD203</v>
      </c>
      <c r="D240" s="55" t="s">
        <v>42</v>
      </c>
      <c r="E240" s="55" t="s">
        <v>79</v>
      </c>
      <c r="F240" s="55" t="s">
        <v>164</v>
      </c>
      <c r="G240" s="211">
        <v>2045.0</v>
      </c>
      <c r="H240" s="55" t="s">
        <v>3306</v>
      </c>
      <c r="I240" s="55" t="s">
        <v>5332</v>
      </c>
      <c r="J240" s="168" t="s">
        <v>5333</v>
      </c>
      <c r="K240" s="167" t="s">
        <v>61</v>
      </c>
      <c r="L240" s="55" t="s">
        <v>1264</v>
      </c>
      <c r="M240" s="55" t="s">
        <v>78</v>
      </c>
      <c r="N240" s="55" t="s">
        <v>79</v>
      </c>
      <c r="O240" s="55" t="s">
        <v>4350</v>
      </c>
      <c r="P240" s="55" t="s">
        <v>110</v>
      </c>
      <c r="Q240" s="67" t="str">
        <f>IFERROR(__xludf.DUMMYFUNCTION("""COMPUTED_VALUE"""),"Taiwan.Giaotiep.anhdongluc_LHV.9822_MES_DungNT_071123")</f>
        <v>Taiwan.Giaotiep.anhdongluc_LHV.9822_MES_DungNT_071123</v>
      </c>
      <c r="R240" s="67" t="str">
        <f>IFERROR(__xludf.DUMMYFUNCTION("""COMPUTED_VALUE"""),"NEW_Taiwan_2045_none_071123")</f>
        <v>NEW_Taiwan_2045_none_071123</v>
      </c>
      <c r="S240" s="67" t="str">
        <f>IFERROR(__xludf.DUMMYFUNCTION("""COMPUTED_VALUE"""),"saletructiep_Taiwan.anhdongluc.2050.Giaotiep_PTATDNDL_LD203")</f>
        <v>saletructiep_Taiwan.anhdongluc.2050.Giaotiep_PTATDNDL_LD203</v>
      </c>
      <c r="T240" s="107" t="str">
        <f>IFERROR(__xludf.DUMMYFUNCTION("""COMPUTED_VALUE"""),"https://patadovietnam.edu.vn/tienganhtoandienpatado/?utm_source=Facebook&amp;utm_medium=MES&amp;utm_term=NEW_Taiwan_2045_none_071123&amp;utm_content=saletructiep_Taiwan.anhdongluc.2050.Giaotiep_PTATDNDL_LD203&amp;utm_campaign=Taiwan.Giaotiep.anhdongluc_LHV.9822_MES_DungN"&amp;"T_071123")</f>
        <v>https://patadovietnam.edu.vn/tienganhtoandienpatado/?utm_source=Facebook&amp;utm_medium=MES&amp;utm_term=NEW_Taiwan_2045_none_071123&amp;utm_content=saletructiep_Taiwan.anhdongluc.2050.Giaotiep_PTATDNDL_LD203&amp;utm_campaign=Taiwan.Giaotiep.anhdongluc_LHV.9822_MES_DungNT_071123</v>
      </c>
      <c r="U240" s="111" t="s">
        <v>5340</v>
      </c>
    </row>
    <row r="241">
      <c r="A241" s="72">
        <v>45238.0</v>
      </c>
      <c r="B241" s="112" t="s">
        <v>5341</v>
      </c>
      <c r="C241" s="67" t="str">
        <f>IFERROR(__xludf.DUMMYFUNCTION("""COMPUTED_VALUE"""),"#N/A")</f>
        <v>#N/A</v>
      </c>
      <c r="D241" s="55" t="s">
        <v>42</v>
      </c>
      <c r="E241" s="55" t="s">
        <v>69</v>
      </c>
      <c r="F241" s="55" t="s">
        <v>133</v>
      </c>
      <c r="G241" s="55">
        <v>1840.0</v>
      </c>
      <c r="H241" s="55" t="s">
        <v>3306</v>
      </c>
      <c r="I241" s="55" t="s">
        <v>5343</v>
      </c>
      <c r="J241" s="168" t="s">
        <v>5344</v>
      </c>
      <c r="K241" s="167" t="s">
        <v>61</v>
      </c>
      <c r="L241" s="55" t="s">
        <v>1264</v>
      </c>
      <c r="M241" s="55" t="s">
        <v>78</v>
      </c>
      <c r="N241" s="55" t="s">
        <v>69</v>
      </c>
      <c r="O241" s="55" t="s">
        <v>218</v>
      </c>
      <c r="P241" s="55" t="s">
        <v>110</v>
      </c>
      <c r="Q241" s="67" t="str">
        <f>IFERROR(__xludf.DUMMYFUNCTION("""COMPUTED_VALUE"""),"Japan.Giaotiep.anhpv_LHV.9822_CVS_DungNT_081123")</f>
        <v>Japan.Giaotiep.anhpv_LHV.9822_CVS_DungNT_081123</v>
      </c>
      <c r="R241" s="67" t="str">
        <f>IFERROR(__xludf.DUMMYFUNCTION("""COMPUTED_VALUE"""),"NEW_Japan_1840_none_081123")</f>
        <v>NEW_Japan_1840_none_081123</v>
      </c>
      <c r="S241" s="67" t="str">
        <f>IFERROR(__xludf.DUMMYFUNCTION("""COMPUTED_VALUE"""),"#N/A")</f>
        <v>#N/A</v>
      </c>
      <c r="T241" s="67" t="str">
        <f>IFERROR(__xludf.DUMMYFUNCTION("""COMPUTED_VALUE"""),"#N/A")</f>
        <v>#N/A</v>
      </c>
      <c r="U241" s="110" t="s">
        <v>5303</v>
      </c>
    </row>
    <row r="242">
      <c r="A242" s="72">
        <v>45238.0</v>
      </c>
      <c r="B242" s="112" t="s">
        <v>5341</v>
      </c>
      <c r="C242" s="67" t="str">
        <f>IFERROR(__xludf.DUMMYFUNCTION("""COMPUTED_VALUE"""),"#N/A")</f>
        <v>#N/A</v>
      </c>
      <c r="D242" s="55" t="s">
        <v>42</v>
      </c>
      <c r="E242" s="55" t="s">
        <v>69</v>
      </c>
      <c r="F242" s="55" t="s">
        <v>625</v>
      </c>
      <c r="G242" s="55">
        <v>1840.0</v>
      </c>
      <c r="H242" s="55" t="s">
        <v>3306</v>
      </c>
      <c r="I242" s="55" t="s">
        <v>5348</v>
      </c>
      <c r="J242" s="168" t="s">
        <v>5349</v>
      </c>
      <c r="K242" s="167" t="s">
        <v>61</v>
      </c>
      <c r="L242" s="55" t="s">
        <v>1264</v>
      </c>
      <c r="M242" s="55" t="s">
        <v>78</v>
      </c>
      <c r="N242" s="55" t="s">
        <v>69</v>
      </c>
      <c r="O242" s="55" t="s">
        <v>218</v>
      </c>
      <c r="P242" s="55" t="s">
        <v>110</v>
      </c>
      <c r="Q242" s="67" t="str">
        <f>IFERROR(__xludf.DUMMYFUNCTION("""COMPUTED_VALUE"""),"KoreaSouth.Giaotiep.anhpv_LHV.9822_CVS_DungNT_081123")</f>
        <v>KoreaSouth.Giaotiep.anhpv_LHV.9822_CVS_DungNT_081123</v>
      </c>
      <c r="R242" s="67" t="str">
        <f>IFERROR(__xludf.DUMMYFUNCTION("""COMPUTED_VALUE"""),"NEW_KoreaSouth_1840_none_081123")</f>
        <v>NEW_KoreaSouth_1840_none_081123</v>
      </c>
      <c r="S242" s="67" t="str">
        <f>IFERROR(__xludf.DUMMYFUNCTION("""COMPUTED_VALUE"""),"#N/A")</f>
        <v>#N/A</v>
      </c>
      <c r="T242" s="67" t="str">
        <f>IFERROR(__xludf.DUMMYFUNCTION("""COMPUTED_VALUE"""),"#N/A")</f>
        <v>#N/A</v>
      </c>
      <c r="U242" s="110" t="s">
        <v>5313</v>
      </c>
    </row>
    <row r="243">
      <c r="A243" s="72">
        <v>45238.0</v>
      </c>
      <c r="B243" s="133" t="s">
        <v>5352</v>
      </c>
      <c r="C243" s="67" t="str">
        <f>IFERROR(__xludf.DUMMYFUNCTION("""COMPUTED_VALUE"""),"#N/A")</f>
        <v>#N/A</v>
      </c>
      <c r="D243" s="55" t="s">
        <v>42</v>
      </c>
      <c r="E243" s="55" t="s">
        <v>79</v>
      </c>
      <c r="F243" s="55" t="s">
        <v>129</v>
      </c>
      <c r="G243" s="55">
        <v>2055.0</v>
      </c>
      <c r="H243" s="55" t="s">
        <v>3306</v>
      </c>
      <c r="I243" s="55" t="s">
        <v>5354</v>
      </c>
      <c r="J243" s="168" t="s">
        <v>5355</v>
      </c>
      <c r="K243" s="167" t="s">
        <v>61</v>
      </c>
      <c r="L243" s="55" t="s">
        <v>1264</v>
      </c>
      <c r="M243" s="55" t="s">
        <v>78</v>
      </c>
      <c r="N243" s="55" t="s">
        <v>79</v>
      </c>
      <c r="O243" s="55" t="s">
        <v>4350</v>
      </c>
      <c r="P243" s="55" t="s">
        <v>110</v>
      </c>
      <c r="Q243" s="67" t="str">
        <f>IFERROR(__xludf.DUMMYFUNCTION("""COMPUTED_VALUE"""),"Australia.Giaotiep.anhpv_LHV.9822_MES_DungNT_081123")</f>
        <v>Australia.Giaotiep.anhpv_LHV.9822_MES_DungNT_081123</v>
      </c>
      <c r="R243" s="67" t="str">
        <f>IFERROR(__xludf.DUMMYFUNCTION("""COMPUTED_VALUE"""),"NEW_Australia_2055_none_081123")</f>
        <v>NEW_Australia_2055_none_081123</v>
      </c>
      <c r="S243" s="67" t="str">
        <f>IFERROR(__xludf.DUMMYFUNCTION("""COMPUTED_VALUE"""),"#N/A")</f>
        <v>#N/A</v>
      </c>
      <c r="T243" s="67" t="str">
        <f>IFERROR(__xludf.DUMMYFUNCTION("""COMPUTED_VALUE"""),"#N/A")</f>
        <v>#N/A</v>
      </c>
      <c r="U243" s="111" t="s">
        <v>5319</v>
      </c>
    </row>
    <row r="244">
      <c r="A244" s="72">
        <v>45238.0</v>
      </c>
      <c r="B244" s="133" t="s">
        <v>5352</v>
      </c>
      <c r="C244" s="67" t="str">
        <f>IFERROR(__xludf.DUMMYFUNCTION("""COMPUTED_VALUE"""),"#N/A")</f>
        <v>#N/A</v>
      </c>
      <c r="D244" s="55" t="s">
        <v>42</v>
      </c>
      <c r="E244" s="55" t="s">
        <v>79</v>
      </c>
      <c r="F244" s="55" t="s">
        <v>107</v>
      </c>
      <c r="G244" s="55">
        <v>2055.0</v>
      </c>
      <c r="H244" s="55" t="s">
        <v>3306</v>
      </c>
      <c r="I244" s="55" t="s">
        <v>5358</v>
      </c>
      <c r="J244" s="168" t="s">
        <v>5359</v>
      </c>
      <c r="K244" s="167" t="s">
        <v>61</v>
      </c>
      <c r="L244" s="55" t="s">
        <v>1264</v>
      </c>
      <c r="M244" s="55" t="s">
        <v>78</v>
      </c>
      <c r="N244" s="55" t="s">
        <v>79</v>
      </c>
      <c r="O244" s="55" t="s">
        <v>4350</v>
      </c>
      <c r="P244" s="55" t="s">
        <v>110</v>
      </c>
      <c r="Q244" s="67" t="str">
        <f>IFERROR(__xludf.DUMMYFUNCTION("""COMPUTED_VALUE"""),"UnitedStates.Giaotiep.anhpv_LHV.9822_MES_DungNT_081123")</f>
        <v>UnitedStates.Giaotiep.anhpv_LHV.9822_MES_DungNT_081123</v>
      </c>
      <c r="R244" s="67" t="str">
        <f>IFERROR(__xludf.DUMMYFUNCTION("""COMPUTED_VALUE"""),"NEW_UnitedStates_2055_none_081123")</f>
        <v>NEW_UnitedStates_2055_none_081123</v>
      </c>
      <c r="S244" s="67" t="str">
        <f>IFERROR(__xludf.DUMMYFUNCTION("""COMPUTED_VALUE"""),"#N/A")</f>
        <v>#N/A</v>
      </c>
      <c r="T244" s="67" t="str">
        <f>IFERROR(__xludf.DUMMYFUNCTION("""COMPUTED_VALUE"""),"#N/A")</f>
        <v>#N/A</v>
      </c>
      <c r="U244" s="111" t="s">
        <v>5326</v>
      </c>
    </row>
    <row r="245">
      <c r="A245" s="72">
        <v>45238.0</v>
      </c>
      <c r="B245" s="133" t="s">
        <v>5352</v>
      </c>
      <c r="C245" s="67" t="str">
        <f>IFERROR(__xludf.DUMMYFUNCTION("""COMPUTED_VALUE"""),"#N/A")</f>
        <v>#N/A</v>
      </c>
      <c r="D245" s="55" t="s">
        <v>42</v>
      </c>
      <c r="E245" s="55" t="s">
        <v>79</v>
      </c>
      <c r="F245" s="55" t="s">
        <v>112</v>
      </c>
      <c r="G245" s="55">
        <v>2055.0</v>
      </c>
      <c r="H245" s="55" t="s">
        <v>3306</v>
      </c>
      <c r="I245" s="55" t="s">
        <v>5361</v>
      </c>
      <c r="J245" s="168" t="s">
        <v>5362</v>
      </c>
      <c r="K245" s="167" t="s">
        <v>61</v>
      </c>
      <c r="L245" s="55" t="s">
        <v>1264</v>
      </c>
      <c r="M245" s="55" t="s">
        <v>78</v>
      </c>
      <c r="N245" s="55" t="s">
        <v>79</v>
      </c>
      <c r="O245" s="55" t="s">
        <v>4350</v>
      </c>
      <c r="P245" s="55" t="s">
        <v>110</v>
      </c>
      <c r="Q245" s="67" t="str">
        <f>IFERROR(__xludf.DUMMYFUNCTION("""COMPUTED_VALUE"""),"Canada.Giaotiep.anhpv_LHV.9822_MES_DungNT_081123")</f>
        <v>Canada.Giaotiep.anhpv_LHV.9822_MES_DungNT_081123</v>
      </c>
      <c r="R245" s="67" t="str">
        <f>IFERROR(__xludf.DUMMYFUNCTION("""COMPUTED_VALUE"""),"NEW_Canada_2055_none_081123")</f>
        <v>NEW_Canada_2055_none_081123</v>
      </c>
      <c r="S245" s="67" t="str">
        <f>IFERROR(__xludf.DUMMYFUNCTION("""COMPUTED_VALUE"""),"#N/A")</f>
        <v>#N/A</v>
      </c>
      <c r="T245" s="67" t="str">
        <f>IFERROR(__xludf.DUMMYFUNCTION("""COMPUTED_VALUE"""),"#N/A")</f>
        <v>#N/A</v>
      </c>
      <c r="U245" s="111" t="s">
        <v>5331</v>
      </c>
    </row>
    <row r="246">
      <c r="A246" s="72">
        <v>45238.0</v>
      </c>
      <c r="B246" s="112" t="s">
        <v>5341</v>
      </c>
      <c r="C246" s="67" t="str">
        <f>IFERROR(__xludf.DUMMYFUNCTION("""COMPUTED_VALUE"""),"#N/A")</f>
        <v>#N/A</v>
      </c>
      <c r="D246" s="55" t="s">
        <v>42</v>
      </c>
      <c r="E246" s="55" t="s">
        <v>79</v>
      </c>
      <c r="F246" s="55" t="s">
        <v>164</v>
      </c>
      <c r="G246" s="211">
        <v>2045.0</v>
      </c>
      <c r="H246" s="55" t="s">
        <v>3306</v>
      </c>
      <c r="I246" s="55" t="s">
        <v>5364</v>
      </c>
      <c r="J246" s="168" t="s">
        <v>5365</v>
      </c>
      <c r="K246" s="167" t="s">
        <v>61</v>
      </c>
      <c r="L246" s="55" t="s">
        <v>1264</v>
      </c>
      <c r="M246" s="55" t="s">
        <v>78</v>
      </c>
      <c r="N246" s="55" t="s">
        <v>79</v>
      </c>
      <c r="O246" s="55" t="s">
        <v>4350</v>
      </c>
      <c r="P246" s="55" t="s">
        <v>110</v>
      </c>
      <c r="Q246" s="67" t="str">
        <f>IFERROR(__xludf.DUMMYFUNCTION("""COMPUTED_VALUE"""),"Taiwan.Giaotiep.anhpv_LHV.9822_MES_DungNT_081123")</f>
        <v>Taiwan.Giaotiep.anhpv_LHV.9822_MES_DungNT_081123</v>
      </c>
      <c r="R246" s="67" t="str">
        <f>IFERROR(__xludf.DUMMYFUNCTION("""COMPUTED_VALUE"""),"NEW_Taiwan_2045_none_081123")</f>
        <v>NEW_Taiwan_2045_none_081123</v>
      </c>
      <c r="S246" s="67" t="str">
        <f>IFERROR(__xludf.DUMMYFUNCTION("""COMPUTED_VALUE"""),"#N/A")</f>
        <v>#N/A</v>
      </c>
      <c r="T246" s="67" t="str">
        <f>IFERROR(__xludf.DUMMYFUNCTION("""COMPUTED_VALUE"""),"#N/A")</f>
        <v>#N/A</v>
      </c>
      <c r="U246" s="111" t="s">
        <v>5340</v>
      </c>
    </row>
    <row r="247">
      <c r="A247" s="72">
        <v>45238.0</v>
      </c>
      <c r="B247" s="112" t="s">
        <v>5341</v>
      </c>
      <c r="C247" s="67" t="str">
        <f>IFERROR(__xludf.DUMMYFUNCTION("""COMPUTED_VALUE"""),"#N/A")</f>
        <v>#N/A</v>
      </c>
      <c r="D247" s="55" t="s">
        <v>42</v>
      </c>
      <c r="E247" s="55" t="s">
        <v>79</v>
      </c>
      <c r="F247" s="55" t="s">
        <v>162</v>
      </c>
      <c r="G247" s="211">
        <v>2045.0</v>
      </c>
      <c r="H247" s="55" t="s">
        <v>3306</v>
      </c>
      <c r="I247" s="55" t="s">
        <v>5367</v>
      </c>
      <c r="J247" s="168" t="s">
        <v>5368</v>
      </c>
      <c r="K247" s="167" t="s">
        <v>61</v>
      </c>
      <c r="L247" s="55" t="s">
        <v>1264</v>
      </c>
      <c r="M247" s="55" t="s">
        <v>78</v>
      </c>
      <c r="N247" s="55" t="s">
        <v>79</v>
      </c>
      <c r="O247" s="55" t="s">
        <v>4350</v>
      </c>
      <c r="P247" s="55" t="s">
        <v>110</v>
      </c>
      <c r="Q247" s="67" t="str">
        <f>IFERROR(__xludf.DUMMYFUNCTION("""COMPUTED_VALUE"""),"Singapore.Giaotiep.anhpv_LHV.9822_MES_DungNT_081123")</f>
        <v>Singapore.Giaotiep.anhpv_LHV.9822_MES_DungNT_081123</v>
      </c>
      <c r="R247" s="67" t="str">
        <f>IFERROR(__xludf.DUMMYFUNCTION("""COMPUTED_VALUE"""),"NEW_Singapore_2045_none_081123")</f>
        <v>NEW_Singapore_2045_none_081123</v>
      </c>
      <c r="S247" s="67" t="str">
        <f>IFERROR(__xludf.DUMMYFUNCTION("""COMPUTED_VALUE"""),"#N/A")</f>
        <v>#N/A</v>
      </c>
      <c r="T247" s="67" t="str">
        <f>IFERROR(__xludf.DUMMYFUNCTION("""COMPUTED_VALUE"""),"#N/A")</f>
        <v>#N/A</v>
      </c>
      <c r="U247" s="111" t="s">
        <v>5340</v>
      </c>
    </row>
    <row r="248">
      <c r="A248" s="72">
        <v>45238.0</v>
      </c>
      <c r="B248" s="112" t="s">
        <v>5341</v>
      </c>
      <c r="C248" s="67" t="str">
        <f>IFERROR(__xludf.DUMMYFUNCTION("""COMPUTED_VALUE"""),"#N/A")</f>
        <v>#N/A</v>
      </c>
      <c r="D248" s="55" t="s">
        <v>42</v>
      </c>
      <c r="E248" s="55" t="s">
        <v>79</v>
      </c>
      <c r="F248" s="55" t="s">
        <v>674</v>
      </c>
      <c r="G248" s="163">
        <v>2055.0</v>
      </c>
      <c r="H248" s="55" t="s">
        <v>3306</v>
      </c>
      <c r="I248" s="55" t="s">
        <v>5371</v>
      </c>
      <c r="J248" s="168" t="s">
        <v>5372</v>
      </c>
      <c r="K248" s="167" t="s">
        <v>61</v>
      </c>
      <c r="L248" s="55" t="s">
        <v>1264</v>
      </c>
      <c r="M248" s="55" t="s">
        <v>78</v>
      </c>
      <c r="N248" s="55" t="s">
        <v>79</v>
      </c>
      <c r="O248" s="55" t="s">
        <v>4350</v>
      </c>
      <c r="P248" s="55" t="s">
        <v>110</v>
      </c>
      <c r="Q248" s="67" t="str">
        <f>IFERROR(__xludf.DUMMYFUNCTION("""COMPUTED_VALUE"""),"Europe.Giaotiep.anhpv_LHV.9822_MES_DungNT_081123")</f>
        <v>Europe.Giaotiep.anhpv_LHV.9822_MES_DungNT_081123</v>
      </c>
      <c r="R248" s="67" t="str">
        <f>IFERROR(__xludf.DUMMYFUNCTION("""COMPUTED_VALUE"""),"NEW_Europe_2055_none_081123")</f>
        <v>NEW_Europe_2055_none_081123</v>
      </c>
      <c r="S248" s="67" t="str">
        <f>IFERROR(__xludf.DUMMYFUNCTION("""COMPUTED_VALUE"""),"#N/A")</f>
        <v>#N/A</v>
      </c>
      <c r="T248" s="67" t="str">
        <f>IFERROR(__xludf.DUMMYFUNCTION("""COMPUTED_VALUE"""),"#N/A")</f>
        <v>#N/A</v>
      </c>
      <c r="U248" s="111" t="s">
        <v>5340</v>
      </c>
    </row>
    <row r="249">
      <c r="A249" s="72">
        <v>45244.0</v>
      </c>
      <c r="B249" s="194" t="s">
        <v>4391</v>
      </c>
      <c r="C249" s="67" t="str">
        <f>IFERROR(__xludf.DUMMYFUNCTION("""COMPUTED_VALUE"""),"LD184")</f>
        <v>LD184</v>
      </c>
      <c r="D249" s="55" t="s">
        <v>42</v>
      </c>
      <c r="E249" s="55" t="s">
        <v>69</v>
      </c>
      <c r="F249" s="55" t="s">
        <v>133</v>
      </c>
      <c r="G249" s="55">
        <v>1840.0</v>
      </c>
      <c r="H249" s="55" t="s">
        <v>3306</v>
      </c>
      <c r="I249" s="55" t="s">
        <v>5373</v>
      </c>
      <c r="J249" s="168" t="s">
        <v>5374</v>
      </c>
      <c r="K249" s="167" t="s">
        <v>61</v>
      </c>
      <c r="L249" s="55" t="s">
        <v>1264</v>
      </c>
      <c r="M249" s="55" t="s">
        <v>78</v>
      </c>
      <c r="N249" s="55" t="s">
        <v>69</v>
      </c>
      <c r="O249" s="55" t="s">
        <v>4350</v>
      </c>
      <c r="P249" s="55" t="s">
        <v>110</v>
      </c>
      <c r="Q249" s="67" t="str">
        <f>IFERROR(__xludf.DUMMYFUNCTION("""COMPUTED_VALUE"""),"Japan.Giaotiep.vdndl_LHV.9822_CVS_DungNT_141123")</f>
        <v>Japan.Giaotiep.vdndl_LHV.9822_CVS_DungNT_141123</v>
      </c>
      <c r="R249" s="67" t="str">
        <f>IFERROR(__xludf.DUMMYFUNCTION("""COMPUTED_VALUE"""),"NEW_Japan_1840_none_141123")</f>
        <v>NEW_Japan_1840_none_141123</v>
      </c>
      <c r="S249" s="67" t="str">
        <f>IFERROR(__xludf.DUMMYFUNCTION("""COMPUTED_VALUE"""),"saletructiep_Japan.vdndl.1840.Giaotiep_PTATDNDL_LD184")</f>
        <v>saletructiep_Japan.vdndl.1840.Giaotiep_PTATDNDL_LD184</v>
      </c>
      <c r="T249" s="107" t="str">
        <f>IFERROR(__xludf.DUMMYFUNCTION("""COMPUTED_VALUE"""),"https://patadovietnam.edu.vn/tienganhnguoidilam_ptatdndl/?utm_source=Facebook&amp;utm_medium=CVS&amp;utm_term=NEW_Japan_1840_none_141123&amp;utm_content=saletructiep_Japan.vdndl.1840.Giaotiep_PTATDNDL_LD184&amp;utm_campaign=Japan.Giaotiep.vdndl_LHV.9822_CVS_DungNT_141123")</f>
        <v>https://patadovietnam.edu.vn/tienganhnguoidilam_ptatdndl/?utm_source=Facebook&amp;utm_medium=CVS&amp;utm_term=NEW_Japan_1840_none_141123&amp;utm_content=saletructiep_Japan.vdndl.1840.Giaotiep_PTATDNDL_LD184&amp;utm_campaign=Japan.Giaotiep.vdndl_LHV.9822_CVS_DungNT_141123</v>
      </c>
      <c r="U249" s="110" t="s">
        <v>5381</v>
      </c>
    </row>
    <row r="250">
      <c r="A250" s="72">
        <v>45244.0</v>
      </c>
      <c r="B250" s="194" t="s">
        <v>5285</v>
      </c>
      <c r="C250" s="67" t="str">
        <f>IFERROR(__xludf.DUMMYFUNCTION("""COMPUTED_VALUE"""),"LD203")</f>
        <v>LD203</v>
      </c>
      <c r="D250" s="55" t="s">
        <v>42</v>
      </c>
      <c r="E250" s="55" t="s">
        <v>69</v>
      </c>
      <c r="F250" s="55" t="s">
        <v>625</v>
      </c>
      <c r="G250" s="55">
        <v>1840.0</v>
      </c>
      <c r="H250" s="55" t="s">
        <v>3306</v>
      </c>
      <c r="I250" s="55" t="s">
        <v>5382</v>
      </c>
      <c r="J250" s="168" t="s">
        <v>5383</v>
      </c>
      <c r="K250" s="167" t="s">
        <v>61</v>
      </c>
      <c r="L250" s="55" t="s">
        <v>1264</v>
      </c>
      <c r="M250" s="55" t="s">
        <v>78</v>
      </c>
      <c r="N250" s="55" t="s">
        <v>69</v>
      </c>
      <c r="O250" s="55" t="s">
        <v>218</v>
      </c>
      <c r="P250" s="55" t="s">
        <v>110</v>
      </c>
      <c r="Q250" s="67" t="str">
        <f>IFERROR(__xludf.DUMMYFUNCTION("""COMPUTED_VALUE"""),"KoreaSouth.Giaotiep.vdndl_LHV.9822_CVS_DungNT_141123")</f>
        <v>KoreaSouth.Giaotiep.vdndl_LHV.9822_CVS_DungNT_141123</v>
      </c>
      <c r="R250" s="67" t="str">
        <f>IFERROR(__xludf.DUMMYFUNCTION("""COMPUTED_VALUE"""),"NEW_KoreaSouth_1840_none_141123")</f>
        <v>NEW_KoreaSouth_1840_none_141123</v>
      </c>
      <c r="S250" s="67" t="str">
        <f>IFERROR(__xludf.DUMMYFUNCTION("""COMPUTED_VALUE"""),"saletructiep_KoreaSouth.vdndl.1840.Giaotiep_PTATTNDL_LD203")</f>
        <v>saletructiep_KoreaSouth.vdndl.1840.Giaotiep_PTATTNDL_LD203</v>
      </c>
      <c r="T250" s="107" t="str">
        <f>IFERROR(__xludf.DUMMYFUNCTION("""COMPUTED_VALUE"""),"https://patadovietnam.edu.vn/tienganhtoandienpatado/?utm_source=Facebook&amp;utm_medium=CVS&amp;utm_term=NEW_KoreaSouth_1840_none_141123&amp;utm_content=saletructiep_KoreaSouth.vdndl.1840.Giaotiep_PTATTNDL_LD203&amp;utm_campaign=KoreaSouth.Giaotiep.vdndl_LHV.9822_CVS_Dun"&amp;"gNT_141123")</f>
        <v>https://patadovietnam.edu.vn/tienganhtoandienpatado/?utm_source=Facebook&amp;utm_medium=CVS&amp;utm_term=NEW_KoreaSouth_1840_none_141123&amp;utm_content=saletructiep_KoreaSouth.vdndl.1840.Giaotiep_PTATTNDL_LD203&amp;utm_campaign=KoreaSouth.Giaotiep.vdndl_LHV.9822_CVS_DungNT_141123</v>
      </c>
      <c r="U250" s="110" t="s">
        <v>5388</v>
      </c>
    </row>
    <row r="251">
      <c r="A251" s="72">
        <v>45237.0</v>
      </c>
      <c r="B251" s="194" t="s">
        <v>5285</v>
      </c>
      <c r="C251" s="67" t="str">
        <f>IFERROR(__xludf.DUMMYFUNCTION("""COMPUTED_VALUE"""),"LD203")</f>
        <v>LD203</v>
      </c>
      <c r="D251" s="55" t="s">
        <v>42</v>
      </c>
      <c r="E251" s="55" t="s">
        <v>79</v>
      </c>
      <c r="F251" s="55" t="s">
        <v>164</v>
      </c>
      <c r="G251" s="211">
        <v>2045.0</v>
      </c>
      <c r="H251" s="55" t="s">
        <v>3306</v>
      </c>
      <c r="I251" s="55" t="s">
        <v>5390</v>
      </c>
      <c r="J251" s="168" t="s">
        <v>5391</v>
      </c>
      <c r="K251" s="167" t="s">
        <v>61</v>
      </c>
      <c r="L251" s="55" t="s">
        <v>1264</v>
      </c>
      <c r="M251" s="55" t="s">
        <v>78</v>
      </c>
      <c r="N251" s="55" t="s">
        <v>79</v>
      </c>
      <c r="O251" s="55" t="s">
        <v>4350</v>
      </c>
      <c r="P251" s="55" t="s">
        <v>110</v>
      </c>
      <c r="Q251" s="67" t="str">
        <f>IFERROR(__xludf.DUMMYFUNCTION("""COMPUTED_VALUE"""),"Taiwan.Giaotiep.vdndl_LHV.9822_MES_DungNT_071123")</f>
        <v>Taiwan.Giaotiep.vdndl_LHV.9822_MES_DungNT_071123</v>
      </c>
      <c r="R251" s="67" t="str">
        <f>IFERROR(__xludf.DUMMYFUNCTION("""COMPUTED_VALUE"""),"NEW_Taiwan_2045_none_071123")</f>
        <v>NEW_Taiwan_2045_none_071123</v>
      </c>
      <c r="S251" s="67" t="str">
        <f>IFERROR(__xludf.DUMMYFUNCTION("""COMPUTED_VALUE"""),"saletructiep_Taiwan.vdndl.2050.Giaotiep_PTATDNDL_LD203")</f>
        <v>saletructiep_Taiwan.vdndl.2050.Giaotiep_PTATDNDL_LD203</v>
      </c>
      <c r="T251" s="107" t="str">
        <f>IFERROR(__xludf.DUMMYFUNCTION("""COMPUTED_VALUE"""),"https://patadovietnam.edu.vn/tienganhtoandienpatado/?utm_source=Facebook&amp;utm_medium=MES&amp;utm_term=NEW_Taiwan_2045_none_071123&amp;utm_content=saletructiep_Taiwan.vdndl.2050.Giaotiep_PTATDNDL_LD203&amp;utm_campaign=Taiwan.Giaotiep.vdndl_LHV.9822_MES_DungNT_071123")</f>
        <v>https://patadovietnam.edu.vn/tienganhtoandienpatado/?utm_source=Facebook&amp;utm_medium=MES&amp;utm_term=NEW_Taiwan_2045_none_071123&amp;utm_content=saletructiep_Taiwan.vdndl.2050.Giaotiep_PTATDNDL_LD203&amp;utm_campaign=Taiwan.Giaotiep.vdndl_LHV.9822_MES_DungNT_071123</v>
      </c>
      <c r="U251" s="111" t="s">
        <v>5395</v>
      </c>
    </row>
    <row r="252">
      <c r="A252" s="72">
        <v>45247.0</v>
      </c>
      <c r="B252" s="112" t="s">
        <v>5295</v>
      </c>
      <c r="C252" s="67" t="str">
        <f>IFERROR(__xludf.DUMMYFUNCTION("""COMPUTED_VALUE"""),"LD210")</f>
        <v>LD210</v>
      </c>
      <c r="D252" s="55" t="s">
        <v>42</v>
      </c>
      <c r="E252" s="55" t="s">
        <v>79</v>
      </c>
      <c r="F252" s="55" t="s">
        <v>107</v>
      </c>
      <c r="G252" s="55">
        <v>2055.0</v>
      </c>
      <c r="H252" s="55" t="s">
        <v>3306</v>
      </c>
      <c r="I252" s="55" t="s">
        <v>5397</v>
      </c>
      <c r="J252" s="168" t="s">
        <v>5398</v>
      </c>
      <c r="K252" s="167" t="s">
        <v>61</v>
      </c>
      <c r="L252" s="55" t="s">
        <v>1264</v>
      </c>
      <c r="M252" s="55" t="s">
        <v>78</v>
      </c>
      <c r="N252" s="55" t="s">
        <v>79</v>
      </c>
      <c r="O252" s="55" t="s">
        <v>218</v>
      </c>
      <c r="P252" s="55" t="s">
        <v>110</v>
      </c>
      <c r="Q252" s="67" t="str">
        <f>IFERROR(__xludf.DUMMYFUNCTION("""COMPUTED_VALUE"""),"UnitedStates.Giaotiep.M51C46_LHV.9822_MES_DungNT_171123")</f>
        <v>UnitedStates.Giaotiep.M51C46_LHV.9822_MES_DungNT_171123</v>
      </c>
      <c r="R252" s="67" t="str">
        <f>IFERROR(__xludf.DUMMYFUNCTION("""COMPUTED_VALUE"""),"NEW_UnitedStates_2055_none_171123")</f>
        <v>NEW_UnitedStates_2055_none_171123</v>
      </c>
      <c r="S252" s="67" t="str">
        <f>IFERROR(__xludf.DUMMYFUNCTION("""COMPUTED_VALUE"""),"saletructiep_UnitedStates.M51C46.2055.Giaotiep_PTATTNDL_LD210")</f>
        <v>saletructiep_UnitedStates.M51C46.2055.Giaotiep_PTATTNDL_LD210</v>
      </c>
      <c r="T252" s="107" t="str">
        <f>IFERROR(__xludf.DUMMYFUNCTION("""COMPUTED_VALUE"""),"https://patadovietnam.edu.vn/tienganhtoandienpatado_ptattndl/?utm_source=Facebook&amp;utm_medium=MES&amp;utm_term=NEW_UnitedStates_2055_none_171123&amp;utm_content=saletructiep_UnitedStates.M51C46.2055.Giaotiep_PTATTNDL_LD210&amp;utm_campaign=UnitedStates.Giaotiep.M51C46"&amp;"_LHV.9822_MES_DungNT_171123")</f>
        <v>https://patadovietnam.edu.vn/tienganhtoandienpatado_ptattndl/?utm_source=Facebook&amp;utm_medium=MES&amp;utm_term=NEW_UnitedStates_2055_none_171123&amp;utm_content=saletructiep_UnitedStates.M51C46.2055.Giaotiep_PTATTNDL_LD210&amp;utm_campaign=UnitedStates.Giaotiep.M51C46_LHV.9822_MES_DungNT_171123</v>
      </c>
      <c r="U252" s="111" t="s">
        <v>5400</v>
      </c>
    </row>
    <row r="253">
      <c r="A253" s="72">
        <v>45247.0</v>
      </c>
      <c r="B253" s="112" t="s">
        <v>5295</v>
      </c>
      <c r="C253" s="67" t="str">
        <f>IFERROR(__xludf.DUMMYFUNCTION("""COMPUTED_VALUE"""),"LD210")</f>
        <v>LD210</v>
      </c>
      <c r="D253" s="55" t="s">
        <v>42</v>
      </c>
      <c r="E253" s="55" t="s">
        <v>79</v>
      </c>
      <c r="F253" s="55" t="s">
        <v>112</v>
      </c>
      <c r="G253" s="55">
        <v>2055.0</v>
      </c>
      <c r="H253" s="55" t="s">
        <v>3306</v>
      </c>
      <c r="I253" s="55" t="s">
        <v>5404</v>
      </c>
      <c r="J253" s="168" t="s">
        <v>5405</v>
      </c>
      <c r="K253" s="167" t="s">
        <v>61</v>
      </c>
      <c r="L253" s="55" t="s">
        <v>1264</v>
      </c>
      <c r="M253" s="55" t="s">
        <v>78</v>
      </c>
      <c r="N253" s="55" t="s">
        <v>79</v>
      </c>
      <c r="O253" s="55" t="s">
        <v>218</v>
      </c>
      <c r="P253" s="55" t="s">
        <v>110</v>
      </c>
      <c r="Q253" s="67" t="str">
        <f>IFERROR(__xludf.DUMMYFUNCTION("""COMPUTED_VALUE"""),"Canada.Giaotiep.M51C46_LHV.9822_MES_DungNT_171123")</f>
        <v>Canada.Giaotiep.M51C46_LHV.9822_MES_DungNT_171123</v>
      </c>
      <c r="R253" s="67" t="str">
        <f>IFERROR(__xludf.DUMMYFUNCTION("""COMPUTED_VALUE"""),"NEW_Canada_2055_none_171123")</f>
        <v>NEW_Canada_2055_none_171123</v>
      </c>
      <c r="S253" s="67" t="str">
        <f>IFERROR(__xludf.DUMMYFUNCTION("""COMPUTED_VALUE"""),"saletructiep_Canada.M51C46.2055.Giaotiep_PTATTNDL_LD210")</f>
        <v>saletructiep_Canada.M51C46.2055.Giaotiep_PTATTNDL_LD210</v>
      </c>
      <c r="T253" s="107" t="str">
        <f>IFERROR(__xludf.DUMMYFUNCTION("""COMPUTED_VALUE"""),"https://patadovietnam.edu.vn/tienganhtoandienpatado_ptattndl/?utm_source=Facebook&amp;utm_medium=MES&amp;utm_term=NEW_Canada_2055_none_171123&amp;utm_content=saletructiep_Canada.M51C46.2055.Giaotiep_PTATTNDL_LD210&amp;utm_campaign=Canada.Giaotiep.M51C46_LHV.9822_MES_Dung"&amp;"NT_171123")</f>
        <v>https://patadovietnam.edu.vn/tienganhtoandienpatado_ptattndl/?utm_source=Facebook&amp;utm_medium=MES&amp;utm_term=NEW_Canada_2055_none_171123&amp;utm_content=saletructiep_Canada.M51C46.2055.Giaotiep_PTATTNDL_LD210&amp;utm_campaign=Canada.Giaotiep.M51C46_LHV.9822_MES_DungNT_171123</v>
      </c>
      <c r="U253" s="111" t="s">
        <v>5409</v>
      </c>
    </row>
    <row r="254">
      <c r="A254" s="72">
        <v>45247.0</v>
      </c>
      <c r="B254" s="112" t="s">
        <v>5295</v>
      </c>
      <c r="C254" s="67" t="str">
        <f>IFERROR(__xludf.DUMMYFUNCTION("""COMPUTED_VALUE"""),"LD210")</f>
        <v>LD210</v>
      </c>
      <c r="D254" s="55" t="s">
        <v>42</v>
      </c>
      <c r="E254" s="55" t="s">
        <v>79</v>
      </c>
      <c r="F254" s="55" t="s">
        <v>129</v>
      </c>
      <c r="G254" s="55">
        <v>2055.0</v>
      </c>
      <c r="H254" s="55" t="s">
        <v>3306</v>
      </c>
      <c r="I254" s="55" t="s">
        <v>5411</v>
      </c>
      <c r="J254" s="168" t="s">
        <v>5413</v>
      </c>
      <c r="K254" s="167" t="s">
        <v>61</v>
      </c>
      <c r="L254" s="55" t="s">
        <v>1264</v>
      </c>
      <c r="M254" s="55" t="s">
        <v>78</v>
      </c>
      <c r="N254" s="55" t="s">
        <v>79</v>
      </c>
      <c r="O254" s="55" t="s">
        <v>218</v>
      </c>
      <c r="P254" s="55" t="s">
        <v>110</v>
      </c>
      <c r="Q254" s="67" t="str">
        <f>IFERROR(__xludf.DUMMYFUNCTION("""COMPUTED_VALUE"""),"Australia.Giaotiep.M51C46_LHV.9822_MES_DungNT_171123")</f>
        <v>Australia.Giaotiep.M51C46_LHV.9822_MES_DungNT_171123</v>
      </c>
      <c r="R254" s="67" t="str">
        <f>IFERROR(__xludf.DUMMYFUNCTION("""COMPUTED_VALUE"""),"NEW_Australia_2055_none_171123")</f>
        <v>NEW_Australia_2055_none_171123</v>
      </c>
      <c r="S254" s="67" t="str">
        <f>IFERROR(__xludf.DUMMYFUNCTION("""COMPUTED_VALUE"""),"saletructiep_Australia.M51C46.2055.Giaotiep_PTATTNDL_LD210")</f>
        <v>saletructiep_Australia.M51C46.2055.Giaotiep_PTATTNDL_LD210</v>
      </c>
      <c r="T254" s="107" t="str">
        <f>IFERROR(__xludf.DUMMYFUNCTION("""COMPUTED_VALUE"""),"https://patadovietnam.edu.vn/tienganhtoandienpatado_ptattndl/?utm_source=Facebook&amp;utm_medium=MES&amp;utm_term=NEW_Australia_2055_none_171123&amp;utm_content=saletructiep_Australia.M51C46.2055.Giaotiep_PTATTNDL_LD210&amp;utm_campaign=Australia.Giaotiep.M51C46_LHV.9822"&amp;"_MES_DungNT_171123")</f>
        <v>https://patadovietnam.edu.vn/tienganhtoandienpatado_ptattndl/?utm_source=Facebook&amp;utm_medium=MES&amp;utm_term=NEW_Australia_2055_none_171123&amp;utm_content=saletructiep_Australia.M51C46.2055.Giaotiep_PTATTNDL_LD210&amp;utm_campaign=Australia.Giaotiep.M51C46_LHV.9822_MES_DungNT_171123</v>
      </c>
      <c r="U254" s="111" t="s">
        <v>5418</v>
      </c>
    </row>
    <row r="255">
      <c r="A255" s="72">
        <v>45247.0</v>
      </c>
      <c r="B255" s="112" t="s">
        <v>5295</v>
      </c>
      <c r="C255" s="67" t="str">
        <f>IFERROR(__xludf.DUMMYFUNCTION("""COMPUTED_VALUE"""),"LD210")</f>
        <v>LD210</v>
      </c>
      <c r="D255" s="55" t="s">
        <v>42</v>
      </c>
      <c r="E255" s="55" t="s">
        <v>79</v>
      </c>
      <c r="F255" s="55" t="s">
        <v>164</v>
      </c>
      <c r="G255" s="55">
        <v>2045.0</v>
      </c>
      <c r="H255" s="55" t="s">
        <v>3306</v>
      </c>
      <c r="I255" s="55" t="s">
        <v>5421</v>
      </c>
      <c r="J255" s="168" t="s">
        <v>5422</v>
      </c>
      <c r="K255" s="167" t="s">
        <v>61</v>
      </c>
      <c r="L255" s="55" t="s">
        <v>1264</v>
      </c>
      <c r="M255" s="55" t="s">
        <v>78</v>
      </c>
      <c r="N255" s="55" t="s">
        <v>79</v>
      </c>
      <c r="O255" s="55" t="s">
        <v>218</v>
      </c>
      <c r="P255" s="55" t="s">
        <v>110</v>
      </c>
      <c r="Q255" s="67" t="str">
        <f>IFERROR(__xludf.DUMMYFUNCTION("""COMPUTED_VALUE"""),"Taiwan.Giaotiep.M51C46_LHV.9822_MES_DungNT_171123")</f>
        <v>Taiwan.Giaotiep.M51C46_LHV.9822_MES_DungNT_171123</v>
      </c>
      <c r="R255" s="67" t="str">
        <f>IFERROR(__xludf.DUMMYFUNCTION("""COMPUTED_VALUE"""),"NEW_Taiwan_2045_none_171123")</f>
        <v>NEW_Taiwan_2045_none_171123</v>
      </c>
      <c r="S255" s="67" t="str">
        <f>IFERROR(__xludf.DUMMYFUNCTION("""COMPUTED_VALUE"""),"saletructiep_Taiwan.M51C46.2045.Giaotiep_PTATTNDL_LD210")</f>
        <v>saletructiep_Taiwan.M51C46.2045.Giaotiep_PTATTNDL_LD210</v>
      </c>
      <c r="T255" s="107" t="str">
        <f>IFERROR(__xludf.DUMMYFUNCTION("""COMPUTED_VALUE"""),"https://patadovietnam.edu.vn/tienganhtoandienpatado_ptattndl/?utm_source=Facebook&amp;utm_medium=MES&amp;utm_term=NEW_Taiwan_2045_none_171123&amp;utm_content=saletructiep_Taiwan.M51C46.2045.Giaotiep_PTATTNDL_LD210&amp;utm_campaign=Taiwan.Giaotiep.M51C46_LHV.9822_MES_Dung"&amp;"NT_171123")</f>
        <v>https://patadovietnam.edu.vn/tienganhtoandienpatado_ptattndl/?utm_source=Facebook&amp;utm_medium=MES&amp;utm_term=NEW_Taiwan_2045_none_171123&amp;utm_content=saletructiep_Taiwan.M51C46.2045.Giaotiep_PTATTNDL_LD210&amp;utm_campaign=Taiwan.Giaotiep.M51C46_LHV.9822_MES_DungNT_171123</v>
      </c>
      <c r="U255" s="111" t="s">
        <v>5426</v>
      </c>
    </row>
    <row r="256">
      <c r="A256" s="72">
        <v>45247.0</v>
      </c>
      <c r="B256" s="112" t="s">
        <v>5295</v>
      </c>
      <c r="C256" s="67" t="str">
        <f>IFERROR(__xludf.DUMMYFUNCTION("""COMPUTED_VALUE"""),"LD210")</f>
        <v>LD210</v>
      </c>
      <c r="D256" s="55" t="s">
        <v>42</v>
      </c>
      <c r="E256" s="55" t="s">
        <v>79</v>
      </c>
      <c r="F256" s="55" t="s">
        <v>182</v>
      </c>
      <c r="G256" s="55">
        <v>2055.0</v>
      </c>
      <c r="H256" s="55" t="s">
        <v>3306</v>
      </c>
      <c r="I256" s="55" t="s">
        <v>5427</v>
      </c>
      <c r="J256" s="168" t="s">
        <v>5428</v>
      </c>
      <c r="K256" s="167" t="s">
        <v>61</v>
      </c>
      <c r="L256" s="55" t="s">
        <v>1264</v>
      </c>
      <c r="M256" s="55" t="s">
        <v>78</v>
      </c>
      <c r="N256" s="55" t="s">
        <v>79</v>
      </c>
      <c r="O256" s="55" t="s">
        <v>218</v>
      </c>
      <c r="P256" s="55" t="s">
        <v>110</v>
      </c>
      <c r="Q256" s="67" t="str">
        <f>IFERROR(__xludf.DUMMYFUNCTION("""COMPUTED_VALUE"""),"Malaysia.Giaotiep.M51C46_LHV.9822_MES_DungNT_171123")</f>
        <v>Malaysia.Giaotiep.M51C46_LHV.9822_MES_DungNT_171123</v>
      </c>
      <c r="R256" s="67" t="str">
        <f>IFERROR(__xludf.DUMMYFUNCTION("""COMPUTED_VALUE"""),"NEW_Malaysia_2055_none_171123")</f>
        <v>NEW_Malaysia_2055_none_171123</v>
      </c>
      <c r="S256" s="67" t="str">
        <f>IFERROR(__xludf.DUMMYFUNCTION("""COMPUTED_VALUE"""),"saletructiep_Malaysia.M51C46.2045.Giaotiep_PTATTNDL_LD210")</f>
        <v>saletructiep_Malaysia.M51C46.2045.Giaotiep_PTATTNDL_LD210</v>
      </c>
      <c r="T256" s="107" t="str">
        <f>IFERROR(__xludf.DUMMYFUNCTION("""COMPUTED_VALUE"""),"https://patadovietnam.edu.vn/tienganhtoandienpatado_ptattndl/?utm_source=Facebook&amp;utm_medium=MES&amp;utm_term=NEW_Malaysia_2055_none_171123&amp;utm_content=saletructiep_Malaysia.M51C46.2045.Giaotiep_PTATTNDL_LD210&amp;utm_campaign=Malaysia.Giaotiep.M51C46_LHV.9822_ME"&amp;"S_DungNT_171123")</f>
        <v>https://patadovietnam.edu.vn/tienganhtoandienpatado_ptattndl/?utm_source=Facebook&amp;utm_medium=MES&amp;utm_term=NEW_Malaysia_2055_none_171123&amp;utm_content=saletructiep_Malaysia.M51C46.2045.Giaotiep_PTATTNDL_LD210&amp;utm_campaign=Malaysia.Giaotiep.M51C46_LHV.9822_MES_DungNT_171123</v>
      </c>
      <c r="U256" s="111" t="s">
        <v>5433</v>
      </c>
    </row>
    <row r="257">
      <c r="A257" s="72">
        <v>45247.0</v>
      </c>
      <c r="B257" s="194" t="s">
        <v>5285</v>
      </c>
      <c r="C257" s="67" t="str">
        <f>IFERROR(__xludf.DUMMYFUNCTION("""COMPUTED_VALUE"""),"LD203")</f>
        <v>LD203</v>
      </c>
      <c r="D257" s="55" t="s">
        <v>42</v>
      </c>
      <c r="E257" s="55" t="s">
        <v>69</v>
      </c>
      <c r="F257" s="55" t="s">
        <v>625</v>
      </c>
      <c r="G257" s="55">
        <v>1840.0</v>
      </c>
      <c r="H257" s="55" t="s">
        <v>3306</v>
      </c>
      <c r="I257" s="55" t="s">
        <v>5382</v>
      </c>
      <c r="J257" s="168" t="s">
        <v>5383</v>
      </c>
      <c r="K257" s="167" t="s">
        <v>61</v>
      </c>
      <c r="L257" s="55" t="s">
        <v>1264</v>
      </c>
      <c r="M257" s="55" t="s">
        <v>78</v>
      </c>
      <c r="N257" s="55" t="s">
        <v>69</v>
      </c>
      <c r="O257" s="55" t="s">
        <v>218</v>
      </c>
      <c r="P257" s="55" t="s">
        <v>110</v>
      </c>
      <c r="Q257" s="67" t="str">
        <f>IFERROR(__xludf.DUMMYFUNCTION("""COMPUTED_VALUE"""),"KoreaSouth.Giaotiep.vdndl_LHV.9822_CVS_DungNT_171123")</f>
        <v>KoreaSouth.Giaotiep.vdndl_LHV.9822_CVS_DungNT_171123</v>
      </c>
      <c r="R257" s="67" t="str">
        <f>IFERROR(__xludf.DUMMYFUNCTION("""COMPUTED_VALUE"""),"NEW_KoreaSouth_1840_none_171123")</f>
        <v>NEW_KoreaSouth_1840_none_171123</v>
      </c>
      <c r="S257" s="67" t="str">
        <f>IFERROR(__xludf.DUMMYFUNCTION("""COMPUTED_VALUE"""),"saletructiep_KoreaSouth.vdndl.1840.Giaotiep_PTATTNDL_LD203")</f>
        <v>saletructiep_KoreaSouth.vdndl.1840.Giaotiep_PTATTNDL_LD203</v>
      </c>
      <c r="T257" s="107" t="str">
        <f>IFERROR(__xludf.DUMMYFUNCTION("""COMPUTED_VALUE"""),"https://patadovietnam.edu.vn/tienganhtoandienpatado/?utm_source=Facebook&amp;utm_medium=CVS&amp;utm_term=NEW_KoreaSouth_1840_none_171123&amp;utm_content=saletructiep_KoreaSouth.vdndl.1840.Giaotiep_PTATTNDL_LD203&amp;utm_campaign=KoreaSouth.Giaotiep.vdndl_LHV.9822_CVS_Dun"&amp;"gNT_171123")</f>
        <v>https://patadovietnam.edu.vn/tienganhtoandienpatado/?utm_source=Facebook&amp;utm_medium=CVS&amp;utm_term=NEW_KoreaSouth_1840_none_171123&amp;utm_content=saletructiep_KoreaSouth.vdndl.1840.Giaotiep_PTATTNDL_LD203&amp;utm_campaign=KoreaSouth.Giaotiep.vdndl_LHV.9822_CVS_DungNT_171123</v>
      </c>
      <c r="U257" s="110" t="s">
        <v>5439</v>
      </c>
    </row>
    <row r="258">
      <c r="A258" s="72">
        <v>45252.0</v>
      </c>
      <c r="B258" s="194" t="s">
        <v>4315</v>
      </c>
      <c r="C258" s="67" t="str">
        <f>IFERROR(__xludf.DUMMYFUNCTION("""COMPUTED_VALUE"""),"LD183")</f>
        <v>LD183</v>
      </c>
      <c r="D258" s="55" t="s">
        <v>42</v>
      </c>
      <c r="E258" s="55" t="s">
        <v>69</v>
      </c>
      <c r="F258" s="55" t="s">
        <v>133</v>
      </c>
      <c r="G258" s="55">
        <v>1840.0</v>
      </c>
      <c r="H258" s="55" t="s">
        <v>3306</v>
      </c>
      <c r="I258" s="55" t="s">
        <v>5131</v>
      </c>
      <c r="J258" s="168" t="s">
        <v>5132</v>
      </c>
      <c r="K258" s="167" t="s">
        <v>61</v>
      </c>
      <c r="L258" s="55" t="s">
        <v>1264</v>
      </c>
      <c r="M258" s="55" t="s">
        <v>78</v>
      </c>
      <c r="N258" s="55" t="s">
        <v>69</v>
      </c>
      <c r="O258" s="55" t="s">
        <v>4350</v>
      </c>
      <c r="P258" s="55" t="s">
        <v>110</v>
      </c>
      <c r="Q258" s="67" t="str">
        <f>IFERROR(__xludf.DUMMYFUNCTION("""COMPUTED_VALUE"""),"Japan.Giaotiep.Anhtim_LHV.9822_CVS_DungNT_221123")</f>
        <v>Japan.Giaotiep.Anhtim_LHV.9822_CVS_DungNT_221123</v>
      </c>
      <c r="R258" s="67" t="str">
        <f>IFERROR(__xludf.DUMMYFUNCTION("""COMPUTED_VALUE"""),"NEW_Japan_1840_none_221123")</f>
        <v>NEW_Japan_1840_none_221123</v>
      </c>
      <c r="S258" s="67" t="str">
        <f>IFERROR(__xludf.DUMMYFUNCTION("""COMPUTED_VALUE"""),"saletructiep_Japan.Anhtim.1840.Giaotiep_PTATDNDL_LD183")</f>
        <v>saletructiep_Japan.Anhtim.1840.Giaotiep_PTATDNDL_LD183</v>
      </c>
      <c r="T258" s="107" t="str">
        <f>IFERROR(__xludf.DUMMYFUNCTION("""COMPUTED_VALUE"""),"https://patadovietnam.edu.vn/tienganhpatado_ptatdndl/?utm_source=Facebook&amp;utm_medium=CVS&amp;utm_term=NEW_Japan_1840_none_221123&amp;utm_content=saletructiep_Japan.Anhtim.1840.Giaotiep_PTATDNDL_LD183&amp;utm_campaign=Japan.Giaotiep.Anhtim_LHV.9822_CVS_DungNT_221123")</f>
        <v>https://patadovietnam.edu.vn/tienganhpatado_ptatdndl/?utm_source=Facebook&amp;utm_medium=CVS&amp;utm_term=NEW_Japan_1840_none_221123&amp;utm_content=saletructiep_Japan.Anhtim.1840.Giaotiep_PTATDNDL_LD183&amp;utm_campaign=Japan.Giaotiep.Anhtim_LHV.9822_CVS_DungNT_221123</v>
      </c>
      <c r="U258" s="110" t="s">
        <v>5138</v>
      </c>
    </row>
    <row r="259">
      <c r="A259" s="72">
        <v>45252.0</v>
      </c>
      <c r="B259" s="112" t="s">
        <v>4592</v>
      </c>
      <c r="C259" s="67" t="str">
        <f>IFERROR(__xludf.DUMMYFUNCTION("""COMPUTED_VALUE"""),"LD182")</f>
        <v>LD182</v>
      </c>
      <c r="D259" s="55" t="s">
        <v>42</v>
      </c>
      <c r="E259" s="55" t="s">
        <v>69</v>
      </c>
      <c r="F259" s="55" t="s">
        <v>133</v>
      </c>
      <c r="G259" s="55">
        <v>1840.0</v>
      </c>
      <c r="H259" s="55" t="s">
        <v>3306</v>
      </c>
      <c r="I259" s="55" t="s">
        <v>4933</v>
      </c>
      <c r="J259" s="168" t="s">
        <v>4934</v>
      </c>
      <c r="K259" s="167" t="s">
        <v>61</v>
      </c>
      <c r="L259" s="55" t="s">
        <v>1264</v>
      </c>
      <c r="M259" s="55" t="s">
        <v>78</v>
      </c>
      <c r="N259" s="55" t="s">
        <v>69</v>
      </c>
      <c r="O259" s="55" t="s">
        <v>4350</v>
      </c>
      <c r="P259" s="55" t="s">
        <v>110</v>
      </c>
      <c r="Q259" s="67" t="str">
        <f>IFERROR(__xludf.DUMMYFUNCTION("""COMPUTED_VALUE"""),"Japan.Giaotiep.anhht_LHV.9822_CVS_DungNT_221123")</f>
        <v>Japan.Giaotiep.anhht_LHV.9822_CVS_DungNT_221123</v>
      </c>
      <c r="R259" s="67" t="str">
        <f>IFERROR(__xludf.DUMMYFUNCTION("""COMPUTED_VALUE"""),"NEW_Japan_1840_none_221123")</f>
        <v>NEW_Japan_1840_none_221123</v>
      </c>
      <c r="S259" s="67" t="str">
        <f>IFERROR(__xludf.DUMMYFUNCTION("""COMPUTED_VALUE"""),"saletructiep_Japan.anhht.1840.Giaotiep_PTATDNDL_LD182")</f>
        <v>saletructiep_Japan.anhht.1840.Giaotiep_PTATDNDL_LD182</v>
      </c>
      <c r="T259" s="107" t="str">
        <f>IFERROR(__xludf.DUMMYFUNCTION("""COMPUTED_VALUE"""),"https://patadovietnam.edu.vn/tienganhnguoidilamjapann/?utm_source=Facebook&amp;utm_medium=CVS&amp;utm_term=NEW_Japan_1840_none_221123&amp;utm_content=saletructiep_Japan.anhht.1840.Giaotiep_PTATDNDL_LD182&amp;utm_campaign=Japan.Giaotiep.anhht_LHV.9822_CVS_DungNT_221123")</f>
        <v>https://patadovietnam.edu.vn/tienganhnguoidilamjapann/?utm_source=Facebook&amp;utm_medium=CVS&amp;utm_term=NEW_Japan_1840_none_221123&amp;utm_content=saletructiep_Japan.anhht.1840.Giaotiep_PTATDNDL_LD182&amp;utm_campaign=Japan.Giaotiep.anhht_LHV.9822_CVS_DungNT_221123</v>
      </c>
      <c r="U259" s="111" t="s">
        <v>4904</v>
      </c>
    </row>
    <row r="260">
      <c r="A260" s="72">
        <v>45265.0</v>
      </c>
      <c r="B260" s="194" t="s">
        <v>5285</v>
      </c>
      <c r="C260" s="67" t="str">
        <f>IFERROR(__xludf.DUMMYFUNCTION("""COMPUTED_VALUE"""),"LD203")</f>
        <v>LD203</v>
      </c>
      <c r="D260" s="55" t="s">
        <v>42</v>
      </c>
      <c r="E260" s="55" t="s">
        <v>79</v>
      </c>
      <c r="F260" s="55" t="s">
        <v>107</v>
      </c>
      <c r="G260" s="55">
        <v>2055.0</v>
      </c>
      <c r="H260" s="55" t="s">
        <v>3306</v>
      </c>
      <c r="I260" s="55" t="s">
        <v>5252</v>
      </c>
      <c r="J260" s="168" t="s">
        <v>5446</v>
      </c>
      <c r="K260" s="167" t="s">
        <v>61</v>
      </c>
      <c r="L260" s="55" t="s">
        <v>1264</v>
      </c>
      <c r="M260" s="55" t="s">
        <v>78</v>
      </c>
      <c r="N260" s="55" t="s">
        <v>79</v>
      </c>
      <c r="O260" s="55" t="s">
        <v>4350</v>
      </c>
      <c r="P260" s="55" t="s">
        <v>110</v>
      </c>
      <c r="Q260" s="67" t="str">
        <f>IFERROR(__xludf.DUMMYFUNCTION("""COMPUTED_VALUE"""),"UnitedStates.Giaotiep.anhndl_LHV.9822_MES_DungNT_051223")</f>
        <v>UnitedStates.Giaotiep.anhndl_LHV.9822_MES_DungNT_051223</v>
      </c>
      <c r="R260" s="67" t="str">
        <f>IFERROR(__xludf.DUMMYFUNCTION("""COMPUTED_VALUE"""),"NEW_UnitedStates_2055_none_051223")</f>
        <v>NEW_UnitedStates_2055_none_051223</v>
      </c>
      <c r="S260" s="67" t="str">
        <f>IFERROR(__xludf.DUMMYFUNCTION("""COMPUTED_VALUE"""),"saletructiep_UnitedStatesanhndl.2055.Giaotiep_PTATDNDL_LD203")</f>
        <v>saletructiep_UnitedStatesanhndl.2055.Giaotiep_PTATDNDL_LD203</v>
      </c>
      <c r="T260" s="107" t="str">
        <f>IFERROR(__xludf.DUMMYFUNCTION("""COMPUTED_VALUE"""),"https://patadovietnam.edu.vn/tienganhtoandienpatado/?utm_source=Facebook&amp;utm_medium=MES&amp;utm_term=NEW_UnitedStates_2055_none_051223&amp;utm_content=saletructiep_UnitedStatesanhndl.2055.Giaotiep_PTATDNDL_LD203&amp;utm_campaign=UnitedStates.Giaotiep.anhndl_LHV.9822_"&amp;"MES_DungNT_051223")</f>
        <v>https://patadovietnam.edu.vn/tienganhtoandienpatado/?utm_source=Facebook&amp;utm_medium=MES&amp;utm_term=NEW_UnitedStates_2055_none_051223&amp;utm_content=saletructiep_UnitedStatesanhndl.2055.Giaotiep_PTATDNDL_LD203&amp;utm_campaign=UnitedStates.Giaotiep.anhndl_LHV.9822_MES_DungNT_051223</v>
      </c>
      <c r="U260" s="110" t="s">
        <v>5448</v>
      </c>
    </row>
    <row r="261">
      <c r="A261" s="72">
        <v>45265.0</v>
      </c>
      <c r="B261" s="194" t="s">
        <v>5285</v>
      </c>
      <c r="C261" s="67" t="str">
        <f>IFERROR(__xludf.DUMMYFUNCTION("""COMPUTED_VALUE"""),"LD203")</f>
        <v>LD203</v>
      </c>
      <c r="D261" s="55" t="s">
        <v>42</v>
      </c>
      <c r="E261" s="55" t="s">
        <v>79</v>
      </c>
      <c r="F261" s="55" t="s">
        <v>112</v>
      </c>
      <c r="G261" s="55">
        <v>2055.0</v>
      </c>
      <c r="H261" s="55" t="s">
        <v>3306</v>
      </c>
      <c r="I261" s="55" t="s">
        <v>5452</v>
      </c>
      <c r="J261" s="168" t="s">
        <v>5453</v>
      </c>
      <c r="K261" s="167" t="s">
        <v>61</v>
      </c>
      <c r="L261" s="55" t="s">
        <v>1264</v>
      </c>
      <c r="M261" s="55" t="s">
        <v>78</v>
      </c>
      <c r="N261" s="55" t="s">
        <v>79</v>
      </c>
      <c r="O261" s="55" t="s">
        <v>4350</v>
      </c>
      <c r="P261" s="55" t="s">
        <v>110</v>
      </c>
      <c r="Q261" s="67" t="str">
        <f>IFERROR(__xludf.DUMMYFUNCTION("""COMPUTED_VALUE"""),"Canada.Giaotiep.M48C54_LHV.9822_MES_DungNT_051223")</f>
        <v>Canada.Giaotiep.M48C54_LHV.9822_MES_DungNT_051223</v>
      </c>
      <c r="R261" s="67" t="str">
        <f>IFERROR(__xludf.DUMMYFUNCTION("""COMPUTED_VALUE"""),"NEW_Canada_2055_none_051223")</f>
        <v>NEW_Canada_2055_none_051223</v>
      </c>
      <c r="S261" s="67" t="str">
        <f>IFERROR(__xludf.DUMMYFUNCTION("""COMPUTED_VALUE"""),"saletructiep_Canada.M48C54.2055.Giaotiep_PTATDNDL_LD203")</f>
        <v>saletructiep_Canada.M48C54.2055.Giaotiep_PTATDNDL_LD203</v>
      </c>
      <c r="T261" s="107" t="str">
        <f>IFERROR(__xludf.DUMMYFUNCTION("""COMPUTED_VALUE"""),"https://patadovietnam.edu.vn/tienganhtoandienpatado/?utm_source=Facebook&amp;utm_medium=MES&amp;utm_term=NEW_Canada_2055_none_051223&amp;utm_content=saletructiep_Canada.M48C54.2055.Giaotiep_PTATDNDL_LD203&amp;utm_campaign=Canada.Giaotiep.M48C54_LHV.9822_MES_DungNT_051223")</f>
        <v>https://patadovietnam.edu.vn/tienganhtoandienpatado/?utm_source=Facebook&amp;utm_medium=MES&amp;utm_term=NEW_Canada_2055_none_051223&amp;utm_content=saletructiep_Canada.M48C54.2055.Giaotiep_PTATDNDL_LD203&amp;utm_campaign=Canada.Giaotiep.M48C54_LHV.9822_MES_DungNT_051223</v>
      </c>
      <c r="U261" s="110" t="s">
        <v>5454</v>
      </c>
    </row>
    <row r="262">
      <c r="A262" s="72">
        <v>45265.0</v>
      </c>
      <c r="B262" s="194" t="s">
        <v>5285</v>
      </c>
      <c r="C262" s="67" t="str">
        <f>IFERROR(__xludf.DUMMYFUNCTION("""COMPUTED_VALUE"""),"LD203")</f>
        <v>LD203</v>
      </c>
      <c r="D262" s="55" t="s">
        <v>42</v>
      </c>
      <c r="E262" s="55" t="s">
        <v>79</v>
      </c>
      <c r="F262" s="55" t="s">
        <v>129</v>
      </c>
      <c r="G262" s="55">
        <v>2055.0</v>
      </c>
      <c r="H262" s="55" t="s">
        <v>3306</v>
      </c>
      <c r="I262" s="55" t="s">
        <v>5456</v>
      </c>
      <c r="J262" s="168" t="s">
        <v>5457</v>
      </c>
      <c r="K262" s="167" t="s">
        <v>61</v>
      </c>
      <c r="L262" s="55" t="s">
        <v>1264</v>
      </c>
      <c r="M262" s="55" t="s">
        <v>78</v>
      </c>
      <c r="N262" s="55" t="s">
        <v>79</v>
      </c>
      <c r="O262" s="55" t="s">
        <v>4350</v>
      </c>
      <c r="P262" s="55" t="s">
        <v>110</v>
      </c>
      <c r="Q262" s="67" t="str">
        <f>IFERROR(__xludf.DUMMYFUNCTION("""COMPUTED_VALUE"""),"Australia.Giaotiep.M48C54_LHV.9822_MES_DungNT_051223")</f>
        <v>Australia.Giaotiep.M48C54_LHV.9822_MES_DungNT_051223</v>
      </c>
      <c r="R262" s="67" t="str">
        <f>IFERROR(__xludf.DUMMYFUNCTION("""COMPUTED_VALUE"""),"NEW_Australia_2055_none_051223")</f>
        <v>NEW_Australia_2055_none_051223</v>
      </c>
      <c r="S262" s="67" t="str">
        <f>IFERROR(__xludf.DUMMYFUNCTION("""COMPUTED_VALUE"""),"saletructiep_Australia.M48C54.2055.Giaotiep_PTATDNDL_LD203")</f>
        <v>saletructiep_Australia.M48C54.2055.Giaotiep_PTATDNDL_LD203</v>
      </c>
      <c r="T262" s="107" t="str">
        <f>IFERROR(__xludf.DUMMYFUNCTION("""COMPUTED_VALUE"""),"https://patadovietnam.edu.vn/tienganhtoandienpatado/?utm_source=Facebook&amp;utm_medium=MES&amp;utm_term=NEW_Australia_2055_none_051223&amp;utm_content=saletructiep_Australia.M48C54.2055.Giaotiep_PTATDNDL_LD203&amp;utm_campaign=Australia.Giaotiep.M48C54_LHV.9822_MES_Dung"&amp;"NT_051223")</f>
        <v>https://patadovietnam.edu.vn/tienganhtoandienpatado/?utm_source=Facebook&amp;utm_medium=MES&amp;utm_term=NEW_Australia_2055_none_051223&amp;utm_content=saletructiep_Australia.M48C54.2055.Giaotiep_PTATDNDL_LD203&amp;utm_campaign=Australia.Giaotiep.M48C54_LHV.9822_MES_DungNT_051223</v>
      </c>
      <c r="U262" s="110" t="s">
        <v>5458</v>
      </c>
    </row>
    <row r="263">
      <c r="A263" s="72">
        <v>45265.0</v>
      </c>
      <c r="B263" s="194" t="s">
        <v>5285</v>
      </c>
      <c r="C263" s="67" t="str">
        <f>IFERROR(__xludf.DUMMYFUNCTION("""COMPUTED_VALUE"""),"LD203")</f>
        <v>LD203</v>
      </c>
      <c r="D263" s="55" t="s">
        <v>42</v>
      </c>
      <c r="E263" s="55" t="s">
        <v>79</v>
      </c>
      <c r="F263" s="55" t="s">
        <v>164</v>
      </c>
      <c r="G263" s="55">
        <v>2045.0</v>
      </c>
      <c r="H263" s="55" t="s">
        <v>3306</v>
      </c>
      <c r="I263" s="55" t="s">
        <v>5460</v>
      </c>
      <c r="J263" s="168" t="s">
        <v>5461</v>
      </c>
      <c r="K263" s="167" t="s">
        <v>61</v>
      </c>
      <c r="L263" s="55" t="s">
        <v>1264</v>
      </c>
      <c r="M263" s="55" t="s">
        <v>78</v>
      </c>
      <c r="N263" s="55" t="s">
        <v>79</v>
      </c>
      <c r="O263" s="55" t="s">
        <v>4350</v>
      </c>
      <c r="P263" s="55" t="s">
        <v>110</v>
      </c>
      <c r="Q263" s="67" t="str">
        <f>IFERROR(__xludf.DUMMYFUNCTION("""COMPUTED_VALUE"""),"Taiwan.Giaotiep.M48C54_LHV.9822_MES_DungNT_051223")</f>
        <v>Taiwan.Giaotiep.M48C54_LHV.9822_MES_DungNT_051223</v>
      </c>
      <c r="R263" s="67" t="str">
        <f>IFERROR(__xludf.DUMMYFUNCTION("""COMPUTED_VALUE"""),"NEW_Taiwan_2045_none_051223")</f>
        <v>NEW_Taiwan_2045_none_051223</v>
      </c>
      <c r="S263" s="67" t="str">
        <f>IFERROR(__xludf.DUMMYFUNCTION("""COMPUTED_VALUE"""),"saletructiep_Taiwan.M48C54.2045.Giaotiep_PTATDNDL_LD203")</f>
        <v>saletructiep_Taiwan.M48C54.2045.Giaotiep_PTATDNDL_LD203</v>
      </c>
      <c r="T263" s="107" t="str">
        <f>IFERROR(__xludf.DUMMYFUNCTION("""COMPUTED_VALUE"""),"https://patadovietnam.edu.vn/tienganhtoandienpatado/?utm_source=Facebook&amp;utm_medium=MES&amp;utm_term=NEW_Taiwan_2045_none_051223&amp;utm_content=saletructiep_Taiwan.M48C54.2045.Giaotiep_PTATDNDL_LD203&amp;utm_campaign=Taiwan.Giaotiep.M48C54_LHV.9822_MES_DungNT_051223")</f>
        <v>https://patadovietnam.edu.vn/tienganhtoandienpatado/?utm_source=Facebook&amp;utm_medium=MES&amp;utm_term=NEW_Taiwan_2045_none_051223&amp;utm_content=saletructiep_Taiwan.M48C54.2045.Giaotiep_PTATDNDL_LD203&amp;utm_campaign=Taiwan.Giaotiep.M48C54_LHV.9822_MES_DungNT_051223</v>
      </c>
      <c r="U263" s="111" t="s">
        <v>5463</v>
      </c>
    </row>
    <row r="264">
      <c r="A264" s="72">
        <v>45265.0</v>
      </c>
      <c r="B264" s="194" t="s">
        <v>5285</v>
      </c>
      <c r="C264" s="67" t="str">
        <f>IFERROR(__xludf.DUMMYFUNCTION("""COMPUTED_VALUE"""),"LD203")</f>
        <v>LD203</v>
      </c>
      <c r="D264" s="55" t="s">
        <v>42</v>
      </c>
      <c r="E264" s="55" t="s">
        <v>79</v>
      </c>
      <c r="F264" s="55" t="s">
        <v>174</v>
      </c>
      <c r="G264" s="55">
        <v>2045.0</v>
      </c>
      <c r="H264" s="55" t="s">
        <v>3306</v>
      </c>
      <c r="I264" s="55" t="s">
        <v>5466</v>
      </c>
      <c r="J264" s="168" t="s">
        <v>5467</v>
      </c>
      <c r="K264" s="167" t="s">
        <v>61</v>
      </c>
      <c r="L264" s="55" t="s">
        <v>1264</v>
      </c>
      <c r="M264" s="55" t="s">
        <v>78</v>
      </c>
      <c r="N264" s="55" t="s">
        <v>79</v>
      </c>
      <c r="O264" s="55" t="s">
        <v>4350</v>
      </c>
      <c r="P264" s="55" t="s">
        <v>110</v>
      </c>
      <c r="Q264" s="67" t="str">
        <f>IFERROR(__xludf.DUMMYFUNCTION("""COMPUTED_VALUE"""),"Philippines.Giaotiep.M48C54_LHV.9822_MES_DungNT_051223")</f>
        <v>Philippines.Giaotiep.M48C54_LHV.9822_MES_DungNT_051223</v>
      </c>
      <c r="R264" s="67" t="str">
        <f>IFERROR(__xludf.DUMMYFUNCTION("""COMPUTED_VALUE"""),"NEW_Philippines_2045_none_051223")</f>
        <v>NEW_Philippines_2045_none_051223</v>
      </c>
      <c r="S264" s="67" t="str">
        <f>IFERROR(__xludf.DUMMYFUNCTION("""COMPUTED_VALUE"""),"saletructiep_Philippines.M48C54.2045.Giaotiep_PTATDNDL_LD203")</f>
        <v>saletructiep_Philippines.M48C54.2045.Giaotiep_PTATDNDL_LD203</v>
      </c>
      <c r="T264" s="107" t="str">
        <f>IFERROR(__xludf.DUMMYFUNCTION("""COMPUTED_VALUE"""),"https://patadovietnam.edu.vn/tienganhtoandienpatado/?utm_source=Facebook&amp;utm_medium=MES&amp;utm_term=NEW_Philippines_2045_none_051223&amp;utm_content=saletructiep_Philippines.M48C54.2045.Giaotiep_PTATDNDL_LD203&amp;utm_campaign=Philippines.Giaotiep.M48C54_LHV.9822_ME"&amp;"S_DungNT_051223")</f>
        <v>https://patadovietnam.edu.vn/tienganhtoandienpatado/?utm_source=Facebook&amp;utm_medium=MES&amp;utm_term=NEW_Philippines_2045_none_051223&amp;utm_content=saletructiep_Philippines.M48C54.2045.Giaotiep_PTATDNDL_LD203&amp;utm_campaign=Philippines.Giaotiep.M48C54_LHV.9822_MES_DungNT_051223</v>
      </c>
      <c r="U264" s="111" t="s">
        <v>5469</v>
      </c>
    </row>
    <row r="265">
      <c r="A265" s="72">
        <v>45265.0</v>
      </c>
      <c r="B265" s="194" t="s">
        <v>5285</v>
      </c>
      <c r="C265" s="67" t="str">
        <f>IFERROR(__xludf.DUMMYFUNCTION("""COMPUTED_VALUE"""),"LD203")</f>
        <v>LD203</v>
      </c>
      <c r="D265" s="55" t="s">
        <v>42</v>
      </c>
      <c r="E265" s="55" t="s">
        <v>69</v>
      </c>
      <c r="F265" s="55" t="s">
        <v>133</v>
      </c>
      <c r="G265" s="55">
        <v>1840.0</v>
      </c>
      <c r="H265" s="55" t="s">
        <v>3306</v>
      </c>
      <c r="I265" s="55" t="s">
        <v>5473</v>
      </c>
      <c r="J265" s="168" t="s">
        <v>5474</v>
      </c>
      <c r="K265" s="167" t="s">
        <v>61</v>
      </c>
      <c r="L265" s="55" t="s">
        <v>1264</v>
      </c>
      <c r="M265" s="55" t="s">
        <v>78</v>
      </c>
      <c r="N265" s="55" t="s">
        <v>69</v>
      </c>
      <c r="O265" s="55" t="s">
        <v>4350</v>
      </c>
      <c r="P265" s="55" t="s">
        <v>110</v>
      </c>
      <c r="Q265" s="67" t="str">
        <f>IFERROR(__xludf.DUMMYFUNCTION("""COMPUTED_VALUE"""),"Japan.Giaotiep.M48C54_LHV.9822_CVS_DungNT_051223")</f>
        <v>Japan.Giaotiep.M48C54_LHV.9822_CVS_DungNT_051223</v>
      </c>
      <c r="R265" s="67" t="str">
        <f>IFERROR(__xludf.DUMMYFUNCTION("""COMPUTED_VALUE"""),"NEW_Japan_1840_none_051223")</f>
        <v>NEW_Japan_1840_none_051223</v>
      </c>
      <c r="S265" s="67" t="str">
        <f>IFERROR(__xludf.DUMMYFUNCTION("""COMPUTED_VALUE"""),"saletructiep_Japan.M48C54.1840.Giaotiep_PTATDNDL_LD203")</f>
        <v>saletructiep_Japan.M48C54.1840.Giaotiep_PTATDNDL_LD203</v>
      </c>
      <c r="T265" s="107" t="str">
        <f>IFERROR(__xludf.DUMMYFUNCTION("""COMPUTED_VALUE"""),"https://patadovietnam.edu.vn/tienganhtoandienpatado/?utm_source=Facebook&amp;utm_medium=CVS&amp;utm_term=NEW_Japan_1840_none_051223&amp;utm_content=saletructiep_Japan.M48C54.1840.Giaotiep_PTATDNDL_LD203&amp;utm_campaign=Japan.Giaotiep.M48C54_LHV.9822_CVS_DungNT_051223")</f>
        <v>https://patadovietnam.edu.vn/tienganhtoandienpatado/?utm_source=Facebook&amp;utm_medium=CVS&amp;utm_term=NEW_Japan_1840_none_051223&amp;utm_content=saletructiep_Japan.M48C54.1840.Giaotiep_PTATDNDL_LD203&amp;utm_campaign=Japan.Giaotiep.M48C54_LHV.9822_CVS_DungNT_051223</v>
      </c>
      <c r="U265" s="110" t="s">
        <v>5478</v>
      </c>
    </row>
    <row r="266">
      <c r="A266" s="72">
        <v>45265.0</v>
      </c>
      <c r="B266" s="194" t="s">
        <v>5285</v>
      </c>
      <c r="C266" s="67" t="str">
        <f>IFERROR(__xludf.DUMMYFUNCTION("""COMPUTED_VALUE"""),"LD203")</f>
        <v>LD203</v>
      </c>
      <c r="D266" s="55" t="s">
        <v>42</v>
      </c>
      <c r="E266" s="55" t="s">
        <v>69</v>
      </c>
      <c r="F266" s="55" t="s">
        <v>625</v>
      </c>
      <c r="G266" s="55">
        <v>1840.0</v>
      </c>
      <c r="H266" s="55" t="s">
        <v>3306</v>
      </c>
      <c r="I266" s="55" t="s">
        <v>5482</v>
      </c>
      <c r="J266" s="168" t="s">
        <v>5483</v>
      </c>
      <c r="K266" s="167" t="s">
        <v>61</v>
      </c>
      <c r="L266" s="55" t="s">
        <v>1264</v>
      </c>
      <c r="M266" s="55" t="s">
        <v>78</v>
      </c>
      <c r="N266" s="55" t="s">
        <v>69</v>
      </c>
      <c r="O266" s="55" t="s">
        <v>4350</v>
      </c>
      <c r="P266" s="55" t="s">
        <v>110</v>
      </c>
      <c r="Q266" s="67" t="str">
        <f>IFERROR(__xludf.DUMMYFUNCTION("""COMPUTED_VALUE"""),"KoreaSouth.Giaotiep.M48C54_LHV.9822_CVS_DungNT_051223")</f>
        <v>KoreaSouth.Giaotiep.M48C54_LHV.9822_CVS_DungNT_051223</v>
      </c>
      <c r="R266" s="67" t="str">
        <f>IFERROR(__xludf.DUMMYFUNCTION("""COMPUTED_VALUE"""),"NEW_KoreaSouth_1840_none_051223")</f>
        <v>NEW_KoreaSouth_1840_none_051223</v>
      </c>
      <c r="S266" s="67" t="str">
        <f>IFERROR(__xludf.DUMMYFUNCTION("""COMPUTED_VALUE"""),"saletructiep_KoreaSouth.M48C54.1840.Giaotiep_PTATDNDL_LD203")</f>
        <v>saletructiep_KoreaSouth.M48C54.1840.Giaotiep_PTATDNDL_LD203</v>
      </c>
      <c r="T266" s="107" t="str">
        <f>IFERROR(__xludf.DUMMYFUNCTION("""COMPUTED_VALUE"""),"https://patadovietnam.edu.vn/tienganhtoandienpatado/?utm_source=Facebook&amp;utm_medium=CVS&amp;utm_term=NEW_KoreaSouth_1840_none_051223&amp;utm_content=saletructiep_KoreaSouth.M48C54.1840.Giaotiep_PTATDNDL_LD203&amp;utm_campaign=KoreaSouth.Giaotiep.M48C54_LHV.9822_CVS_D"&amp;"ungNT_051223")</f>
        <v>https://patadovietnam.edu.vn/tienganhtoandienpatado/?utm_source=Facebook&amp;utm_medium=CVS&amp;utm_term=NEW_KoreaSouth_1840_none_051223&amp;utm_content=saletructiep_KoreaSouth.M48C54.1840.Giaotiep_PTATDNDL_LD203&amp;utm_campaign=KoreaSouth.Giaotiep.M48C54_LHV.9822_CVS_DungNT_051223</v>
      </c>
      <c r="U266" s="110" t="s">
        <v>5490</v>
      </c>
    </row>
    <row r="267">
      <c r="A267" s="72">
        <v>45267.0</v>
      </c>
      <c r="B267" s="194" t="s">
        <v>5285</v>
      </c>
      <c r="C267" s="67" t="str">
        <f>IFERROR(__xludf.DUMMYFUNCTION("""COMPUTED_VALUE"""),"LD203")</f>
        <v>LD203</v>
      </c>
      <c r="D267" s="55" t="s">
        <v>42</v>
      </c>
      <c r="E267" s="55" t="s">
        <v>79</v>
      </c>
      <c r="F267" s="55" t="s">
        <v>107</v>
      </c>
      <c r="G267" s="55">
        <v>2055.0</v>
      </c>
      <c r="H267" s="55" t="s">
        <v>3306</v>
      </c>
      <c r="I267" s="55" t="s">
        <v>5493</v>
      </c>
      <c r="J267" s="168" t="s">
        <v>5494</v>
      </c>
      <c r="K267" s="167" t="s">
        <v>61</v>
      </c>
      <c r="L267" s="55" t="s">
        <v>1264</v>
      </c>
      <c r="M267" s="55" t="s">
        <v>78</v>
      </c>
      <c r="N267" s="55" t="s">
        <v>79</v>
      </c>
      <c r="O267" s="55" t="s">
        <v>4350</v>
      </c>
      <c r="P267" s="55" t="s">
        <v>110</v>
      </c>
      <c r="Q267" s="67" t="str">
        <f>IFERROR(__xludf.DUMMYFUNCTION("""COMPUTED_VALUE"""),"UnitedStates.Giaotiep.M48C54_LHV.9822_MES_DungNT_071223")</f>
        <v>UnitedStates.Giaotiep.M48C54_LHV.9822_MES_DungNT_071223</v>
      </c>
      <c r="R267" s="67" t="str">
        <f>IFERROR(__xludf.DUMMYFUNCTION("""COMPUTED_VALUE"""),"NEW_UnitedStates_2055_none_071223")</f>
        <v>NEW_UnitedStates_2055_none_071223</v>
      </c>
      <c r="S267" s="67" t="str">
        <f>IFERROR(__xludf.DUMMYFUNCTION("""COMPUTED_VALUE"""),"saletructiep_UnitedStatesM48C54.2055.Giaotiep_PTATDNDL_LD203")</f>
        <v>saletructiep_UnitedStatesM48C54.2055.Giaotiep_PTATDNDL_LD203</v>
      </c>
      <c r="T267" s="107" t="str">
        <f>IFERROR(__xludf.DUMMYFUNCTION("""COMPUTED_VALUE"""),"https://patadovietnam.edu.vn/tienganhtoandienpatado/?utm_source=Facebook&amp;utm_medium=MES&amp;utm_term=NEW_UnitedStates_2055_none_071223&amp;utm_content=saletructiep_UnitedStatesM48C54.2055.Giaotiep_PTATDNDL_LD203&amp;utm_campaign=UnitedStates.Giaotiep.M48C54_LHV.9822_"&amp;"MES_DungNT_071223")</f>
        <v>https://patadovietnam.edu.vn/tienganhtoandienpatado/?utm_source=Facebook&amp;utm_medium=MES&amp;utm_term=NEW_UnitedStates_2055_none_071223&amp;utm_content=saletructiep_UnitedStatesM48C54.2055.Giaotiep_PTATDNDL_LD203&amp;utm_campaign=UnitedStates.Giaotiep.M48C54_LHV.9822_MES_DungNT_071223</v>
      </c>
      <c r="U267" s="110" t="s">
        <v>5448</v>
      </c>
    </row>
    <row r="268">
      <c r="A268" s="72">
        <v>45268.0</v>
      </c>
      <c r="B268" s="194" t="s">
        <v>5285</v>
      </c>
      <c r="C268" s="117" t="str">
        <f>IFERROR(__xludf.DUMMYFUNCTION("""COMPUTED_VALUE"""),"LD203")</f>
        <v>LD203</v>
      </c>
      <c r="D268" s="55" t="s">
        <v>42</v>
      </c>
      <c r="E268" s="55" t="s">
        <v>69</v>
      </c>
      <c r="F268" s="55" t="s">
        <v>674</v>
      </c>
      <c r="G268" s="55">
        <v>2555.0</v>
      </c>
      <c r="H268" s="55" t="s">
        <v>3306</v>
      </c>
      <c r="I268" s="55" t="s">
        <v>5501</v>
      </c>
      <c r="J268" s="168" t="s">
        <v>5502</v>
      </c>
      <c r="K268" s="167" t="s">
        <v>61</v>
      </c>
      <c r="L268" s="55" t="s">
        <v>1264</v>
      </c>
      <c r="M268" s="55" t="s">
        <v>78</v>
      </c>
      <c r="N268" s="55" t="s">
        <v>69</v>
      </c>
      <c r="O268" s="55" t="s">
        <v>4350</v>
      </c>
      <c r="P268" s="55" t="s">
        <v>110</v>
      </c>
      <c r="Q268" s="67" t="str">
        <f>IFERROR(__xludf.DUMMYFUNCTION("""COMPUTED_VALUE"""),"Europe.Giaotiep.M48C54_LHV.9822_CVS_DungNT_081223")</f>
        <v>Europe.Giaotiep.M48C54_LHV.9822_CVS_DungNT_081223</v>
      </c>
      <c r="R268" s="67" t="str">
        <f>IFERROR(__xludf.DUMMYFUNCTION("""COMPUTED_VALUE"""),"NEW_Europe_2555_none_081223")</f>
        <v>NEW_Europe_2555_none_081223</v>
      </c>
      <c r="S268" s="67" t="str">
        <f>IFERROR(__xludf.DUMMYFUNCTION("""COMPUTED_VALUE"""),"saletructiep_Europe.M48C54.2555.Giaotiep_PTATDNDL_LD203")</f>
        <v>saletructiep_Europe.M48C54.2555.Giaotiep_PTATDNDL_LD203</v>
      </c>
      <c r="T268" s="107" t="str">
        <f>IFERROR(__xludf.DUMMYFUNCTION("""COMPUTED_VALUE"""),"https://patadovietnam.edu.vn/tienganhtoandienpatado/?utm_source=Facebook&amp;utm_medium=CVS&amp;utm_term=NEW_Europe_2555_none_081223&amp;utm_content=saletructiep_Europe.M48C54.2555.Giaotiep_PTATDNDL_LD203&amp;utm_campaign=Europe.Giaotiep.M48C54_LHV.9822_CVS_DungNT_081223")</f>
        <v>https://patadovietnam.edu.vn/tienganhtoandienpatado/?utm_source=Facebook&amp;utm_medium=CVS&amp;utm_term=NEW_Europe_2555_none_081223&amp;utm_content=saletructiep_Europe.M48C54.2555.Giaotiep_PTATDNDL_LD203&amp;utm_campaign=Europe.Giaotiep.M48C54_LHV.9822_CVS_DungNT_081223</v>
      </c>
      <c r="U268" s="110" t="s">
        <v>5507</v>
      </c>
    </row>
    <row r="269">
      <c r="A269" s="72">
        <v>45275.0</v>
      </c>
      <c r="B269" s="194" t="s">
        <v>4315</v>
      </c>
      <c r="C269" s="67" t="str">
        <f>IFERROR(__xludf.DUMMYFUNCTION("""COMPUTED_VALUE"""),"LD183")</f>
        <v>LD183</v>
      </c>
      <c r="D269" s="55" t="s">
        <v>42</v>
      </c>
      <c r="E269" s="55" t="s">
        <v>69</v>
      </c>
      <c r="F269" s="55" t="s">
        <v>133</v>
      </c>
      <c r="G269" s="55">
        <v>1840.0</v>
      </c>
      <c r="H269" s="55" t="s">
        <v>3306</v>
      </c>
      <c r="I269" s="55" t="s">
        <v>5510</v>
      </c>
      <c r="J269" s="168" t="s">
        <v>5512</v>
      </c>
      <c r="K269" s="167" t="s">
        <v>61</v>
      </c>
      <c r="L269" s="55" t="s">
        <v>1264</v>
      </c>
      <c r="M269" s="55" t="s">
        <v>78</v>
      </c>
      <c r="N269" s="55" t="s">
        <v>69</v>
      </c>
      <c r="O269" s="55" t="s">
        <v>4350</v>
      </c>
      <c r="P269" s="55" t="s">
        <v>110</v>
      </c>
      <c r="Q269" s="67" t="str">
        <f>IFERROR(__xludf.DUMMYFUNCTION("""COMPUTED_VALUE"""),"Japan.Giaotiep.M97C72_LHV.9822_CVS_DungNT_151223")</f>
        <v>Japan.Giaotiep.M97C72_LHV.9822_CVS_DungNT_151223</v>
      </c>
      <c r="R269" s="67" t="str">
        <f>IFERROR(__xludf.DUMMYFUNCTION("""COMPUTED_VALUE"""),"NEW_Japan_1840_none_151223")</f>
        <v>NEW_Japan_1840_none_151223</v>
      </c>
      <c r="S269" s="67" t="str">
        <f>IFERROR(__xludf.DUMMYFUNCTION("""COMPUTED_VALUE"""),"saletructiep_Japan.M97C72.1840.Giaotiep_PTATDNDL_LD183")</f>
        <v>saletructiep_Japan.M97C72.1840.Giaotiep_PTATDNDL_LD183</v>
      </c>
      <c r="T269" s="107" t="str">
        <f>IFERROR(__xludf.DUMMYFUNCTION("""COMPUTED_VALUE"""),"https://patadovietnam.edu.vn/tienganhpatado_ptatdndl/?utm_source=Facebook&amp;utm_medium=CVS&amp;utm_term=NEW_Japan_1840_none_151223&amp;utm_content=saletructiep_Japan.M97C72.1840.Giaotiep_PTATDNDL_LD183&amp;utm_campaign=Japan.Giaotiep.M97C72_LHV.9822_CVS_DungNT_151223")</f>
        <v>https://patadovietnam.edu.vn/tienganhpatado_ptatdndl/?utm_source=Facebook&amp;utm_medium=CVS&amp;utm_term=NEW_Japan_1840_none_151223&amp;utm_content=saletructiep_Japan.M97C72.1840.Giaotiep_PTATDNDL_LD183&amp;utm_campaign=Japan.Giaotiep.M97C72_LHV.9822_CVS_DungNT_151223</v>
      </c>
      <c r="U269" s="110" t="s">
        <v>5516</v>
      </c>
    </row>
    <row r="270">
      <c r="A270" s="72">
        <v>45275.0</v>
      </c>
      <c r="B270" s="194" t="s">
        <v>4315</v>
      </c>
      <c r="C270" s="67" t="str">
        <f>IFERROR(__xludf.DUMMYFUNCTION("""COMPUTED_VALUE"""),"LD183")</f>
        <v>LD183</v>
      </c>
      <c r="D270" s="55" t="s">
        <v>42</v>
      </c>
      <c r="E270" s="55" t="s">
        <v>79</v>
      </c>
      <c r="F270" s="55" t="s">
        <v>174</v>
      </c>
      <c r="G270" s="55">
        <v>2045.0</v>
      </c>
      <c r="H270" s="55" t="s">
        <v>3306</v>
      </c>
      <c r="I270" s="55" t="s">
        <v>5519</v>
      </c>
      <c r="J270" s="168" t="s">
        <v>5520</v>
      </c>
      <c r="K270" s="167" t="s">
        <v>61</v>
      </c>
      <c r="L270" s="55" t="s">
        <v>1264</v>
      </c>
      <c r="M270" s="55" t="s">
        <v>78</v>
      </c>
      <c r="N270" s="55" t="s">
        <v>79</v>
      </c>
      <c r="O270" s="55" t="s">
        <v>4350</v>
      </c>
      <c r="P270" s="55" t="s">
        <v>110</v>
      </c>
      <c r="Q270" s="67" t="str">
        <f>IFERROR(__xludf.DUMMYFUNCTION("""COMPUTED_VALUE"""),"Philippines.Giaotiep.M97C72_LHV.9822_MES_DungNT_151223")</f>
        <v>Philippines.Giaotiep.M97C72_LHV.9822_MES_DungNT_151223</v>
      </c>
      <c r="R270" s="67" t="str">
        <f>IFERROR(__xludf.DUMMYFUNCTION("""COMPUTED_VALUE"""),"NEW_Philippines_2045_none_151223")</f>
        <v>NEW_Philippines_2045_none_151223</v>
      </c>
      <c r="S270" s="67" t="str">
        <f>IFERROR(__xludf.DUMMYFUNCTION("""COMPUTED_VALUE"""),"saletructiep_Philippines.M97C72.2045.Giaotiep_PTATDNDL_LD183")</f>
        <v>saletructiep_Philippines.M97C72.2045.Giaotiep_PTATDNDL_LD183</v>
      </c>
      <c r="T270" s="107" t="str">
        <f>IFERROR(__xludf.DUMMYFUNCTION("""COMPUTED_VALUE"""),"https://patadovietnam.edu.vn/tienganhpatado_ptatdndl/?utm_source=Facebook&amp;utm_medium=MES&amp;utm_term=NEW_Philippines_2045_none_151223&amp;utm_content=saletructiep_Philippines.M97C72.2045.Giaotiep_PTATDNDL_LD183&amp;utm_campaign=Philippines.Giaotiep.M97C72_LHV.9822_M"&amp;"ES_DungNT_151223")</f>
        <v>https://patadovietnam.edu.vn/tienganhpatado_ptatdndl/?utm_source=Facebook&amp;utm_medium=MES&amp;utm_term=NEW_Philippines_2045_none_151223&amp;utm_content=saletructiep_Philippines.M97C72.2045.Giaotiep_PTATDNDL_LD183&amp;utm_campaign=Philippines.Giaotiep.M97C72_LHV.9822_MES_DungNT_151223</v>
      </c>
      <c r="U270" s="111" t="s">
        <v>5524</v>
      </c>
    </row>
    <row r="271">
      <c r="A271" s="72">
        <v>45275.0</v>
      </c>
      <c r="B271" s="194" t="s">
        <v>4315</v>
      </c>
      <c r="C271" s="67" t="str">
        <f>IFERROR(__xludf.DUMMYFUNCTION("""COMPUTED_VALUE"""),"LD183")</f>
        <v>LD183</v>
      </c>
      <c r="D271" s="55" t="s">
        <v>42</v>
      </c>
      <c r="E271" s="55" t="s">
        <v>79</v>
      </c>
      <c r="F271" s="55" t="s">
        <v>164</v>
      </c>
      <c r="G271" s="55">
        <v>2045.0</v>
      </c>
      <c r="H271" s="55" t="s">
        <v>3306</v>
      </c>
      <c r="I271" s="55" t="s">
        <v>5527</v>
      </c>
      <c r="J271" s="168" t="s">
        <v>5528</v>
      </c>
      <c r="K271" s="167" t="s">
        <v>61</v>
      </c>
      <c r="L271" s="55" t="s">
        <v>1264</v>
      </c>
      <c r="M271" s="55" t="s">
        <v>78</v>
      </c>
      <c r="N271" s="55" t="s">
        <v>79</v>
      </c>
      <c r="O271" s="55" t="s">
        <v>4350</v>
      </c>
      <c r="P271" s="55" t="s">
        <v>110</v>
      </c>
      <c r="Q271" s="67" t="str">
        <f>IFERROR(__xludf.DUMMYFUNCTION("""COMPUTED_VALUE"""),"Taiwan.Giaotiep.M97C72_LHV.9822_MES_DungNT_151223")</f>
        <v>Taiwan.Giaotiep.M97C72_LHV.9822_MES_DungNT_151223</v>
      </c>
      <c r="R271" s="67" t="str">
        <f>IFERROR(__xludf.DUMMYFUNCTION("""COMPUTED_VALUE"""),"NEW_Taiwan_2045_none_151223")</f>
        <v>NEW_Taiwan_2045_none_151223</v>
      </c>
      <c r="S271" s="67" t="str">
        <f>IFERROR(__xludf.DUMMYFUNCTION("""COMPUTED_VALUE"""),"saletructiep_Taiwan.M97C72.2045.Giaotiep_PTATDNDL_LD183")</f>
        <v>saletructiep_Taiwan.M97C72.2045.Giaotiep_PTATDNDL_LD183</v>
      </c>
      <c r="T271" s="107" t="str">
        <f>IFERROR(__xludf.DUMMYFUNCTION("""COMPUTED_VALUE"""),"https://patadovietnam.edu.vn/tienganhpatado_ptatdndl/?utm_source=Facebook&amp;utm_medium=MES&amp;utm_term=NEW_Taiwan_2045_none_151223&amp;utm_content=saletructiep_Taiwan.M97C72.2045.Giaotiep_PTATDNDL_LD183&amp;utm_campaign=Taiwan.Giaotiep.M97C72_LHV.9822_MES_DungNT_15122"&amp;"3")</f>
        <v>https://patadovietnam.edu.vn/tienganhpatado_ptatdndl/?utm_source=Facebook&amp;utm_medium=MES&amp;utm_term=NEW_Taiwan_2045_none_151223&amp;utm_content=saletructiep_Taiwan.M97C72.2045.Giaotiep_PTATDNDL_LD183&amp;utm_campaign=Taiwan.Giaotiep.M97C72_LHV.9822_MES_DungNT_151223</v>
      </c>
      <c r="U271" s="111" t="s">
        <v>5534</v>
      </c>
    </row>
    <row r="272">
      <c r="A272" s="72">
        <v>45280.0</v>
      </c>
      <c r="B272" s="194" t="s">
        <v>5536</v>
      </c>
      <c r="C272" s="67" t="str">
        <f>IFERROR(__xludf.DUMMYFUNCTION("""COMPUTED_VALUE"""),"LD206")</f>
        <v>LD206</v>
      </c>
      <c r="D272" s="55" t="s">
        <v>42</v>
      </c>
      <c r="E272" s="55" t="s">
        <v>69</v>
      </c>
      <c r="F272" s="55" t="s">
        <v>133</v>
      </c>
      <c r="G272" s="55">
        <v>2050.0</v>
      </c>
      <c r="H272" s="55" t="s">
        <v>3306</v>
      </c>
      <c r="I272" s="55" t="s">
        <v>5538</v>
      </c>
      <c r="J272" s="168" t="s">
        <v>5539</v>
      </c>
      <c r="K272" s="167" t="s">
        <v>61</v>
      </c>
      <c r="L272" s="55" t="s">
        <v>1264</v>
      </c>
      <c r="M272" s="55" t="s">
        <v>78</v>
      </c>
      <c r="N272" s="55" t="s">
        <v>69</v>
      </c>
      <c r="O272" s="55" t="s">
        <v>218</v>
      </c>
      <c r="P272" s="55" t="s">
        <v>110</v>
      </c>
      <c r="Q272" s="67" t="str">
        <f>IFERROR(__xludf.DUMMYFUNCTION("""COMPUTED_VALUE"""),"Japan.Giaotiep.M57C62_LHV.9822_CVS_DungNT_201223")</f>
        <v>Japan.Giaotiep.M57C62_LHV.9822_CVS_DungNT_201223</v>
      </c>
      <c r="R272" s="67" t="str">
        <f>IFERROR(__xludf.DUMMYFUNCTION("""COMPUTED_VALUE"""),"NEW_Japan_2050_none_201223")</f>
        <v>NEW_Japan_2050_none_201223</v>
      </c>
      <c r="S272" s="67" t="str">
        <f>IFERROR(__xludf.DUMMYFUNCTION("""COMPUTED_VALUE"""),"saletructiep_Japan.M57C62.2050.Giaotiep_PTATTNDL_LD206")</f>
        <v>saletructiep_Japan.M57C62.2050.Giaotiep_PTATTNDL_LD206</v>
      </c>
      <c r="T272" s="107" t="str">
        <f>IFERROR(__xludf.DUMMYFUNCTION("""COMPUTED_VALUE"""),"https://patadovietnam.edu.vn/phong_van_doc_quyen_vicky_thao_dnguyen_nhat/?utm_source=Facebook&amp;utm_medium=CVS&amp;utm_term=NEW_Japan_2050_none_201223&amp;utm_content=saletructiep_Japan.M57C62.2050.Giaotiep_PTATTNDL_LD206&amp;utm_campaign=Japan.Giaotiep.M57C62_LHV.9822"&amp;"_CVS_DungNT_201223")</f>
        <v>https://patadovietnam.edu.vn/phong_van_doc_quyen_vicky_thao_dnguyen_nhat/?utm_source=Facebook&amp;utm_medium=CVS&amp;utm_term=NEW_Japan_2050_none_201223&amp;utm_content=saletructiep_Japan.M57C62.2050.Giaotiep_PTATTNDL_LD206&amp;utm_campaign=Japan.Giaotiep.M57C62_LHV.9822_CVS_DungNT_201223</v>
      </c>
      <c r="U272" s="110" t="s">
        <v>5545</v>
      </c>
    </row>
    <row r="273">
      <c r="A273" s="72">
        <v>45280.0</v>
      </c>
      <c r="B273" s="194" t="s">
        <v>5547</v>
      </c>
      <c r="C273" s="67" t="str">
        <f>IFERROR(__xludf.DUMMYFUNCTION("""COMPUTED_VALUE"""),"LD207")</f>
        <v>LD207</v>
      </c>
      <c r="D273" s="55" t="s">
        <v>42</v>
      </c>
      <c r="E273" s="55" t="s">
        <v>79</v>
      </c>
      <c r="F273" s="55" t="s">
        <v>164</v>
      </c>
      <c r="G273" s="55">
        <v>1845.0</v>
      </c>
      <c r="H273" s="55" t="s">
        <v>3306</v>
      </c>
      <c r="I273" s="55" t="s">
        <v>5552</v>
      </c>
      <c r="J273" s="168" t="s">
        <v>5553</v>
      </c>
      <c r="K273" s="167" t="s">
        <v>61</v>
      </c>
      <c r="L273" s="55" t="s">
        <v>1264</v>
      </c>
      <c r="M273" s="55" t="s">
        <v>78</v>
      </c>
      <c r="N273" s="55" t="s">
        <v>79</v>
      </c>
      <c r="O273" s="55" t="s">
        <v>218</v>
      </c>
      <c r="P273" s="55" t="s">
        <v>110</v>
      </c>
      <c r="Q273" s="67" t="str">
        <f>IFERROR(__xludf.DUMMYFUNCTION("""COMPUTED_VALUE"""),"Taiwan.Giaotiep.M57C62_LHV.9822_MES_DungNT_201223")</f>
        <v>Taiwan.Giaotiep.M57C62_LHV.9822_MES_DungNT_201223</v>
      </c>
      <c r="R273" s="67" t="str">
        <f>IFERROR(__xludf.DUMMYFUNCTION("""COMPUTED_VALUE"""),"NEW_Taiwan_1845_none_201223")</f>
        <v>NEW_Taiwan_1845_none_201223</v>
      </c>
      <c r="S273" s="67" t="str">
        <f>IFERROR(__xludf.DUMMYFUNCTION("""COMPUTED_VALUE"""),"saletructiep_Taiwan.M57C62.1845.Giaotiep_PTATTNDL_LD207")</f>
        <v>saletructiep_Taiwan.M57C62.1845.Giaotiep_PTATTNDL_LD207</v>
      </c>
      <c r="T273" s="107" t="str">
        <f>IFERROR(__xludf.DUMMYFUNCTION("""COMPUTED_VALUE"""),"https://patadovietnam.edu.vn/phong_van_doc_quyen_vicky_thao_dnguyen_dai/?utm_source=Facebook&amp;utm_medium=MES&amp;utm_term=NEW_Taiwan_1845_none_201223&amp;utm_content=saletructiep_Taiwan.M57C62.1845.Giaotiep_PTATTNDL_LD207&amp;utm_campaign=Taiwan.Giaotiep.M57C62_LHV.98"&amp;"22_MES_DungNT_201223")</f>
        <v>https://patadovietnam.edu.vn/phong_van_doc_quyen_vicky_thao_dnguyen_dai/?utm_source=Facebook&amp;utm_medium=MES&amp;utm_term=NEW_Taiwan_1845_none_201223&amp;utm_content=saletructiep_Taiwan.M57C62.1845.Giaotiep_PTATTNDL_LD207&amp;utm_campaign=Taiwan.Giaotiep.M57C62_LHV.9822_MES_DungNT_201223</v>
      </c>
      <c r="U273" s="230" t="s">
        <v>5560</v>
      </c>
    </row>
    <row r="274">
      <c r="A274" s="72">
        <v>45280.0</v>
      </c>
      <c r="B274" s="194" t="s">
        <v>5561</v>
      </c>
      <c r="C274" s="67" t="str">
        <f>IFERROR(__xludf.DUMMYFUNCTION("""COMPUTED_VALUE"""),"LD213")</f>
        <v>LD213</v>
      </c>
      <c r="D274" s="55" t="s">
        <v>42</v>
      </c>
      <c r="E274" s="55" t="s">
        <v>79</v>
      </c>
      <c r="F274" s="55" t="s">
        <v>174</v>
      </c>
      <c r="G274" s="55">
        <v>1845.0</v>
      </c>
      <c r="H274" s="55" t="s">
        <v>3306</v>
      </c>
      <c r="I274" s="55" t="s">
        <v>5563</v>
      </c>
      <c r="J274" s="168" t="s">
        <v>5564</v>
      </c>
      <c r="K274" s="167" t="s">
        <v>61</v>
      </c>
      <c r="L274" s="55" t="s">
        <v>1264</v>
      </c>
      <c r="M274" s="55" t="s">
        <v>78</v>
      </c>
      <c r="N274" s="55" t="s">
        <v>79</v>
      </c>
      <c r="O274" s="55" t="s">
        <v>218</v>
      </c>
      <c r="P274" s="55" t="s">
        <v>110</v>
      </c>
      <c r="Q274" s="67" t="str">
        <f>IFERROR(__xludf.DUMMYFUNCTION("""COMPUTED_VALUE"""),"Philippines.Giaotiep.M57C62_LHV.9822_MES_DungNT_201223")</f>
        <v>Philippines.Giaotiep.M57C62_LHV.9822_MES_DungNT_201223</v>
      </c>
      <c r="R274" s="67" t="str">
        <f>IFERROR(__xludf.DUMMYFUNCTION("""COMPUTED_VALUE"""),"NEW_Philippines_1845_none_201223")</f>
        <v>NEW_Philippines_1845_none_201223</v>
      </c>
      <c r="S274" s="67" t="str">
        <f>IFERROR(__xludf.DUMMYFUNCTION("""COMPUTED_VALUE"""),"saletructiep_Philippines.M57C62.1845.Giaotiep_PTATTNDL_LD213")</f>
        <v>saletructiep_Philippines.M57C62.1845.Giaotiep_PTATTNDL_LD213</v>
      </c>
      <c r="T274" s="107" t="str">
        <f>IFERROR(__xludf.DUMMYFUNCTION("""COMPUTED_VALUE"""),"https://patadovietnam.edu.vn/phong_van_doc_quyen_vicky_thao_dnguyen_phi/?utm_source=Facebook&amp;utm_medium=MES&amp;utm_term=NEW_Philippines_1845_none_201223&amp;utm_content=saletructiep_Philippines.M57C62.1845.Giaotiep_PTATTNDL_LD213&amp;utm_campaign=Philippines.Giaotie"&amp;"p.M57C62_LHV.9822_MES_DungNT_201223")</f>
        <v>https://patadovietnam.edu.vn/phong_van_doc_quyen_vicky_thao_dnguyen_phi/?utm_source=Facebook&amp;utm_medium=MES&amp;utm_term=NEW_Philippines_1845_none_201223&amp;utm_content=saletructiep_Philippines.M57C62.1845.Giaotiep_PTATTNDL_LD213&amp;utm_campaign=Philippines.Giaotiep.M57C62_LHV.9822_MES_DungNT_201223</v>
      </c>
      <c r="U274" s="110" t="s">
        <v>5571</v>
      </c>
    </row>
    <row r="275">
      <c r="A275" s="72">
        <v>45283.0</v>
      </c>
      <c r="B275" s="112" t="s">
        <v>5572</v>
      </c>
      <c r="C275" s="67" t="str">
        <f>IFERROR(__xludf.DUMMYFUNCTION("""COMPUTED_VALUE"""),"LD214")</f>
        <v>LD214</v>
      </c>
      <c r="D275" s="55" t="s">
        <v>42</v>
      </c>
      <c r="E275" s="55" t="s">
        <v>69</v>
      </c>
      <c r="F275" s="55" t="s">
        <v>539</v>
      </c>
      <c r="G275" s="55">
        <v>1850.0</v>
      </c>
      <c r="H275" s="55" t="s">
        <v>3306</v>
      </c>
      <c r="I275" s="55" t="s">
        <v>5576</v>
      </c>
      <c r="J275" s="168" t="s">
        <v>5577</v>
      </c>
      <c r="K275" s="167" t="s">
        <v>61</v>
      </c>
      <c r="L275" s="55" t="s">
        <v>1264</v>
      </c>
      <c r="M275" s="55" t="s">
        <v>78</v>
      </c>
      <c r="N275" s="55" t="s">
        <v>69</v>
      </c>
      <c r="O275" s="55" t="s">
        <v>218</v>
      </c>
      <c r="P275" s="55" t="s">
        <v>110</v>
      </c>
      <c r="Q275" s="67" t="str">
        <f>IFERROR(__xludf.DUMMYFUNCTION("""COMPUTED_VALUE"""),"ALL.IELTS.M109C86_LHV.9822_CVS_DungNT_231223")</f>
        <v>ALL.IELTS.M109C86_LHV.9822_CVS_DungNT_231223</v>
      </c>
      <c r="R275" s="67" t="str">
        <f>IFERROR(__xludf.DUMMYFUNCTION("""COMPUTED_VALUE"""),"NEW_ALL_1850_none_231223")</f>
        <v>NEW_ALL_1850_none_231223</v>
      </c>
      <c r="S275" s="67" t="str">
        <f>IFERROR(__xludf.DUMMYFUNCTION("""COMPUTED_VALUE"""),"saletructiep_ALL.M109C86.1850.IELTS_PTATTNDL_LD214")</f>
        <v>saletructiep_ALL.M109C86.1850.IELTS_PTATTNDL_LD214</v>
      </c>
      <c r="T275" s="107" t="str">
        <f>IFERROR(__xludf.DUMMYFUNCTION("""COMPUTED_VALUE"""),"https://patadovietnam.edu.vn/khoaieltscaptoc_dnt/?utm_source=Facebook&amp;utm_medium=CVS&amp;utm_term=NEW_ALL_1850_none_231223&amp;utm_content=saletructiep_ALL.M109C86.1850.IELTS_PTATTNDL_LD214&amp;utm_campaign=ALL.IELTS.M109C86_LHV.9822_CVS_DungNT_231223")</f>
        <v>https://patadovietnam.edu.vn/khoaieltscaptoc_dnt/?utm_source=Facebook&amp;utm_medium=CVS&amp;utm_term=NEW_ALL_1850_none_231223&amp;utm_content=saletructiep_ALL.M109C86.1850.IELTS_PTATTNDL_LD214&amp;utm_campaign=ALL.IELTS.M109C86_LHV.9822_CVS_DungNT_231223</v>
      </c>
      <c r="U275" s="110" t="s">
        <v>5583</v>
      </c>
    </row>
    <row r="276">
      <c r="A276" s="72">
        <v>45294.0</v>
      </c>
      <c r="B276" s="194" t="s">
        <v>4315</v>
      </c>
      <c r="C276" s="67" t="str">
        <f>IFERROR(__xludf.DUMMYFUNCTION("""COMPUTED_VALUE"""),"LD183")</f>
        <v>LD183</v>
      </c>
      <c r="D276" s="55" t="s">
        <v>42</v>
      </c>
      <c r="E276" s="55" t="s">
        <v>79</v>
      </c>
      <c r="F276" s="55" t="s">
        <v>539</v>
      </c>
      <c r="G276" s="55">
        <v>1850.0</v>
      </c>
      <c r="H276" s="55" t="s">
        <v>3306</v>
      </c>
      <c r="I276" s="55" t="s">
        <v>5585</v>
      </c>
      <c r="J276" s="168" t="s">
        <v>5586</v>
      </c>
      <c r="K276" s="167" t="s">
        <v>61</v>
      </c>
      <c r="L276" s="55" t="s">
        <v>1264</v>
      </c>
      <c r="M276" s="55" t="s">
        <v>78</v>
      </c>
      <c r="N276" s="55" t="s">
        <v>79</v>
      </c>
      <c r="O276" s="55" t="s">
        <v>218</v>
      </c>
      <c r="P276" s="55" t="s">
        <v>110</v>
      </c>
      <c r="Q276" s="67" t="str">
        <f>IFERROR(__xludf.DUMMYFUNCTION("""COMPUTED_VALUE"""),"ALL.Giaotiep.M111C89_LHV.9822_MES_DungNT_030124")</f>
        <v>ALL.Giaotiep.M111C89_LHV.9822_MES_DungNT_030124</v>
      </c>
      <c r="R276" s="67" t="str">
        <f>IFERROR(__xludf.DUMMYFUNCTION("""COMPUTED_VALUE"""),"NEW_ALL_1850_none_030124")</f>
        <v>NEW_ALL_1850_none_030124</v>
      </c>
      <c r="S276" s="67" t="str">
        <f>IFERROR(__xludf.DUMMYFUNCTION("""COMPUTED_VALUE"""),"saletructiep_ALL.M111C89.1850.Giaotiep_PTATTNDL_LD183")</f>
        <v>saletructiep_ALL.M111C89.1850.Giaotiep_PTATTNDL_LD183</v>
      </c>
      <c r="T276" s="107" t="str">
        <f>IFERROR(__xludf.DUMMYFUNCTION("""COMPUTED_VALUE"""),"https://patadovietnam.edu.vn/tienganhpatado_ptatdndl/?utm_source=Facebook&amp;utm_medium=MES&amp;utm_term=NEW_ALL_1850_none_030124&amp;utm_content=saletructiep_ALL.M111C89.1850.Giaotiep_PTATTNDL_LD183&amp;utm_campaign=ALL.Giaotiep.M111C89_LHV.9822_MES_DungNT_030124")</f>
        <v>https://patadovietnam.edu.vn/tienganhpatado_ptatdndl/?utm_source=Facebook&amp;utm_medium=MES&amp;utm_term=NEW_ALL_1850_none_030124&amp;utm_content=saletructiep_ALL.M111C89.1850.Giaotiep_PTATTNDL_LD183&amp;utm_campaign=ALL.Giaotiep.M111C89_LHV.9822_MES_DungNT_030124</v>
      </c>
      <c r="U276" s="110" t="s">
        <v>5590</v>
      </c>
    </row>
    <row r="277">
      <c r="A277" s="72">
        <v>45294.0</v>
      </c>
      <c r="B277" s="194" t="s">
        <v>3782</v>
      </c>
      <c r="C277" s="67" t="str">
        <f>IFERROR(__xludf.DUMMYFUNCTION("""COMPUTED_VALUE"""),"LD167")</f>
        <v>LD167</v>
      </c>
      <c r="D277" s="55" t="s">
        <v>42</v>
      </c>
      <c r="E277" s="55" t="s">
        <v>79</v>
      </c>
      <c r="F277" s="55" t="s">
        <v>539</v>
      </c>
      <c r="G277" s="55">
        <v>1850.0</v>
      </c>
      <c r="H277" s="55" t="s">
        <v>3306</v>
      </c>
      <c r="I277" s="55" t="s">
        <v>5593</v>
      </c>
      <c r="J277" s="168" t="s">
        <v>5594</v>
      </c>
      <c r="K277" s="167" t="s">
        <v>61</v>
      </c>
      <c r="L277" s="55" t="s">
        <v>1264</v>
      </c>
      <c r="M277" s="55" t="s">
        <v>78</v>
      </c>
      <c r="N277" s="55" t="s">
        <v>79</v>
      </c>
      <c r="O277" s="55" t="s">
        <v>218</v>
      </c>
      <c r="P277" s="55" t="s">
        <v>110</v>
      </c>
      <c r="Q277" s="67" t="str">
        <f>IFERROR(__xludf.DUMMYFUNCTION("""COMPUTED_VALUE"""),"ALL.Giaotiep.M89C73_LHV.9822_MES_DungNT_030124")</f>
        <v>ALL.Giaotiep.M89C73_LHV.9822_MES_DungNT_030124</v>
      </c>
      <c r="R277" s="67" t="str">
        <f>IFERROR(__xludf.DUMMYFUNCTION("""COMPUTED_VALUE"""),"NEW_ALL_1850_none_030124")</f>
        <v>NEW_ALL_1850_none_030124</v>
      </c>
      <c r="S277" s="67" t="str">
        <f>IFERROR(__xludf.DUMMYFUNCTION("""COMPUTED_VALUE"""),"saletructiep_ALL.M89C73.1850.Giaotiep_PTATTNDL_LD167")</f>
        <v>saletructiep_ALL.M89C73.1850.Giaotiep_PTATTNDL_LD167</v>
      </c>
      <c r="T277" s="107" t="str">
        <f>IFERROR(__xludf.DUMMYFUNCTION("""COMPUTED_VALUE"""),"https://patadovietnam.edu.vn/tienganhnguoidilam_dnt/?utm_source=Facebook&amp;utm_medium=MES&amp;utm_term=NEW_ALL_1850_none_030124&amp;utm_content=saletructiep_ALL.M89C73.1850.Giaotiep_PTATTNDL_LD167&amp;utm_campaign=ALL.Giaotiep.M89C73_LHV.9822_MES_DungNT_030124")</f>
        <v>https://patadovietnam.edu.vn/tienganhnguoidilam_dnt/?utm_source=Facebook&amp;utm_medium=MES&amp;utm_term=NEW_ALL_1850_none_030124&amp;utm_content=saletructiep_ALL.M89C73.1850.Giaotiep_PTATTNDL_LD167&amp;utm_campaign=ALL.Giaotiep.M89C73_LHV.9822_MES_DungNT_030124</v>
      </c>
      <c r="U277" s="110" t="s">
        <v>5599</v>
      </c>
    </row>
    <row r="278">
      <c r="A278" s="72">
        <v>45294.0</v>
      </c>
      <c r="B278" s="194" t="s">
        <v>4315</v>
      </c>
      <c r="C278" s="67" t="str">
        <f>IFERROR(__xludf.DUMMYFUNCTION("""COMPUTED_VALUE"""),"LD183")</f>
        <v>LD183</v>
      </c>
      <c r="D278" s="55" t="s">
        <v>42</v>
      </c>
      <c r="E278" s="55" t="s">
        <v>79</v>
      </c>
      <c r="F278" s="55" t="s">
        <v>107</v>
      </c>
      <c r="G278" s="55">
        <v>2055.0</v>
      </c>
      <c r="H278" s="55" t="s">
        <v>3306</v>
      </c>
      <c r="I278" s="55" t="s">
        <v>5604</v>
      </c>
      <c r="J278" s="168" t="s">
        <v>5605</v>
      </c>
      <c r="K278" s="167" t="s">
        <v>61</v>
      </c>
      <c r="L278" s="55" t="s">
        <v>1264</v>
      </c>
      <c r="M278" s="55" t="s">
        <v>78</v>
      </c>
      <c r="N278" s="55" t="s">
        <v>79</v>
      </c>
      <c r="O278" s="55" t="s">
        <v>4350</v>
      </c>
      <c r="P278" s="55" t="s">
        <v>110</v>
      </c>
      <c r="Q278" s="67" t="str">
        <f>IFERROR(__xludf.DUMMYFUNCTION("""COMPUTED_VALUE"""),"UnitedStates.Giaotiep.M96C52_LHV.9822_MES_DungNT_030124")</f>
        <v>UnitedStates.Giaotiep.M96C52_LHV.9822_MES_DungNT_030124</v>
      </c>
      <c r="R278" s="67" t="str">
        <f>IFERROR(__xludf.DUMMYFUNCTION("""COMPUTED_VALUE"""),"NEW_UnitedStates_2055_none_030124")</f>
        <v>NEW_UnitedStates_2055_none_030124</v>
      </c>
      <c r="S278" s="67" t="str">
        <f>IFERROR(__xludf.DUMMYFUNCTION("""COMPUTED_VALUE"""),"saletructiep_UnitedStates.M96C52.2055.Giaotiep_PTATDNDL_LD183")</f>
        <v>saletructiep_UnitedStates.M96C52.2055.Giaotiep_PTATDNDL_LD183</v>
      </c>
      <c r="T278" s="107" t="str">
        <f>IFERROR(__xludf.DUMMYFUNCTION("""COMPUTED_VALUE"""),"https://patadovietnam.edu.vn/tienganhpatado_ptatdndl/?utm_source=Facebook&amp;utm_medium=MES&amp;utm_term=NEW_UnitedStates_2055_none_030124&amp;utm_content=saletructiep_UnitedStates.M96C52.2055.Giaotiep_PTATDNDL_LD183&amp;utm_campaign=UnitedStates.Giaotiep.M96C52_LHV.982"&amp;"2_MES_DungNT_030124")</f>
        <v>https://patadovietnam.edu.vn/tienganhpatado_ptatdndl/?utm_source=Facebook&amp;utm_medium=MES&amp;utm_term=NEW_UnitedStates_2055_none_030124&amp;utm_content=saletructiep_UnitedStates.M96C52.2055.Giaotiep_PTATDNDL_LD183&amp;utm_campaign=UnitedStates.Giaotiep.M96C52_LHV.9822_MES_DungNT_030124</v>
      </c>
      <c r="U278" s="110" t="s">
        <v>5610</v>
      </c>
    </row>
    <row r="279">
      <c r="A279" s="72">
        <v>45294.0</v>
      </c>
      <c r="B279" s="194" t="s">
        <v>4315</v>
      </c>
      <c r="C279" s="67" t="str">
        <f>IFERROR(__xludf.DUMMYFUNCTION("""COMPUTED_VALUE"""),"LD183")</f>
        <v>LD183</v>
      </c>
      <c r="D279" s="55" t="s">
        <v>42</v>
      </c>
      <c r="E279" s="55" t="s">
        <v>79</v>
      </c>
      <c r="F279" s="55" t="s">
        <v>112</v>
      </c>
      <c r="G279" s="55">
        <v>2055.0</v>
      </c>
      <c r="H279" s="55" t="s">
        <v>3306</v>
      </c>
      <c r="I279" s="55" t="s">
        <v>5615</v>
      </c>
      <c r="J279" s="168" t="s">
        <v>5616</v>
      </c>
      <c r="K279" s="167" t="s">
        <v>61</v>
      </c>
      <c r="L279" s="55" t="s">
        <v>1264</v>
      </c>
      <c r="M279" s="55" t="s">
        <v>78</v>
      </c>
      <c r="N279" s="55" t="s">
        <v>79</v>
      </c>
      <c r="O279" s="55" t="s">
        <v>4350</v>
      </c>
      <c r="P279" s="55" t="s">
        <v>110</v>
      </c>
      <c r="Q279" s="67" t="str">
        <f>IFERROR(__xludf.DUMMYFUNCTION("""COMPUTED_VALUE"""),"Canada.Giaotiep.M96C52_LHV.9822_MES_DungNT_030124")</f>
        <v>Canada.Giaotiep.M96C52_LHV.9822_MES_DungNT_030124</v>
      </c>
      <c r="R279" s="67" t="str">
        <f>IFERROR(__xludf.DUMMYFUNCTION("""COMPUTED_VALUE"""),"NEW_Canada_2055_none_030124")</f>
        <v>NEW_Canada_2055_none_030124</v>
      </c>
      <c r="S279" s="67" t="str">
        <f>IFERROR(__xludf.DUMMYFUNCTION("""COMPUTED_VALUE"""),"saletructiep_Canada.M96C52.2055.Giaotiep_PTATDNDL_LD183")</f>
        <v>saletructiep_Canada.M96C52.2055.Giaotiep_PTATDNDL_LD183</v>
      </c>
      <c r="T279" s="107" t="str">
        <f>IFERROR(__xludf.DUMMYFUNCTION("""COMPUTED_VALUE"""),"https://patadovietnam.edu.vn/tienganhpatado_ptatdndl/?utm_source=Facebook&amp;utm_medium=MES&amp;utm_term=NEW_Canada_2055_none_030124&amp;utm_content=saletructiep_Canada.M96C52.2055.Giaotiep_PTATDNDL_LD183&amp;utm_campaign=Canada.Giaotiep.M96C52_LHV.9822_MES_DungNT_03012"&amp;"4")</f>
        <v>https://patadovietnam.edu.vn/tienganhpatado_ptatdndl/?utm_source=Facebook&amp;utm_medium=MES&amp;utm_term=NEW_Canada_2055_none_030124&amp;utm_content=saletructiep_Canada.M96C52.2055.Giaotiep_PTATDNDL_LD183&amp;utm_campaign=Canada.Giaotiep.M96C52_LHV.9822_MES_DungNT_030124</v>
      </c>
      <c r="U279" s="110" t="s">
        <v>5621</v>
      </c>
    </row>
    <row r="280">
      <c r="A280" s="72">
        <v>45294.0</v>
      </c>
      <c r="B280" s="194" t="s">
        <v>4315</v>
      </c>
      <c r="C280" s="67" t="str">
        <f>IFERROR(__xludf.DUMMYFUNCTION("""COMPUTED_VALUE"""),"LD183")</f>
        <v>LD183</v>
      </c>
      <c r="D280" s="55" t="s">
        <v>42</v>
      </c>
      <c r="E280" s="55" t="s">
        <v>79</v>
      </c>
      <c r="F280" s="55" t="s">
        <v>129</v>
      </c>
      <c r="G280" s="55">
        <v>2055.0</v>
      </c>
      <c r="H280" s="55" t="s">
        <v>3306</v>
      </c>
      <c r="I280" s="55" t="s">
        <v>5623</v>
      </c>
      <c r="J280" s="168" t="s">
        <v>5624</v>
      </c>
      <c r="K280" s="167" t="s">
        <v>61</v>
      </c>
      <c r="L280" s="55" t="s">
        <v>1264</v>
      </c>
      <c r="M280" s="55" t="s">
        <v>78</v>
      </c>
      <c r="N280" s="55" t="s">
        <v>79</v>
      </c>
      <c r="O280" s="55" t="s">
        <v>4350</v>
      </c>
      <c r="P280" s="55" t="s">
        <v>110</v>
      </c>
      <c r="Q280" s="67" t="str">
        <f>IFERROR(__xludf.DUMMYFUNCTION("""COMPUTED_VALUE"""),"Australia.Giaotiep.M96C52_LHV.9822_MES_DungNT_030124")</f>
        <v>Australia.Giaotiep.M96C52_LHV.9822_MES_DungNT_030124</v>
      </c>
      <c r="R280" s="67" t="str">
        <f>IFERROR(__xludf.DUMMYFUNCTION("""COMPUTED_VALUE"""),"NEW_Australia_2055_none_030124")</f>
        <v>NEW_Australia_2055_none_030124</v>
      </c>
      <c r="S280" s="67" t="str">
        <f>IFERROR(__xludf.DUMMYFUNCTION("""COMPUTED_VALUE"""),"saletructiep_Australia.M96C52.2055.Giaotiep_PTATDNDL_LD183")</f>
        <v>saletructiep_Australia.M96C52.2055.Giaotiep_PTATDNDL_LD183</v>
      </c>
      <c r="T280" s="107" t="str">
        <f>IFERROR(__xludf.DUMMYFUNCTION("""COMPUTED_VALUE"""),"https://patadovietnam.edu.vn/tienganhpatado_ptatdndl/?utm_source=Facebook&amp;utm_medium=MES&amp;utm_term=NEW_Australia_2055_none_030124&amp;utm_content=saletructiep_Australia.M96C52.2055.Giaotiep_PTATDNDL_LD183&amp;utm_campaign=Australia.Giaotiep.M96C52_LHV.9822_MES_Dun"&amp;"gNT_030124")</f>
        <v>https://patadovietnam.edu.vn/tienganhpatado_ptatdndl/?utm_source=Facebook&amp;utm_medium=MES&amp;utm_term=NEW_Australia_2055_none_030124&amp;utm_content=saletructiep_Australia.M96C52.2055.Giaotiep_PTATDNDL_LD183&amp;utm_campaign=Australia.Giaotiep.M96C52_LHV.9822_MES_DungNT_030124</v>
      </c>
      <c r="U280" s="110" t="s">
        <v>5629</v>
      </c>
    </row>
    <row r="281">
      <c r="A281" s="72">
        <v>45294.0</v>
      </c>
      <c r="B281" s="194" t="s">
        <v>4315</v>
      </c>
      <c r="C281" s="67" t="str">
        <f>IFERROR(__xludf.DUMMYFUNCTION("""COMPUTED_VALUE"""),"LD183")</f>
        <v>LD183</v>
      </c>
      <c r="D281" s="55" t="s">
        <v>42</v>
      </c>
      <c r="E281" s="55" t="s">
        <v>79</v>
      </c>
      <c r="F281" s="55" t="s">
        <v>174</v>
      </c>
      <c r="G281" s="55">
        <v>1845.0</v>
      </c>
      <c r="H281" s="55" t="s">
        <v>3306</v>
      </c>
      <c r="I281" s="55" t="s">
        <v>5631</v>
      </c>
      <c r="J281" s="168" t="s">
        <v>5632</v>
      </c>
      <c r="K281" s="167" t="s">
        <v>61</v>
      </c>
      <c r="L281" s="55" t="s">
        <v>1264</v>
      </c>
      <c r="M281" s="55" t="s">
        <v>78</v>
      </c>
      <c r="N281" s="55" t="s">
        <v>79</v>
      </c>
      <c r="O281" s="55" t="s">
        <v>4350</v>
      </c>
      <c r="P281" s="55" t="s">
        <v>110</v>
      </c>
      <c r="Q281" s="67" t="str">
        <f>IFERROR(__xludf.DUMMYFUNCTION("""COMPUTED_VALUE"""),"Philippines.Giaotiep.M96C52_LHV.9822_MES_DungNT_030124")</f>
        <v>Philippines.Giaotiep.M96C52_LHV.9822_MES_DungNT_030124</v>
      </c>
      <c r="R281" s="67" t="str">
        <f>IFERROR(__xludf.DUMMYFUNCTION("""COMPUTED_VALUE"""),"NEW_Philippines_1845_none_030124")</f>
        <v>NEW_Philippines_1845_none_030124</v>
      </c>
      <c r="S281" s="67" t="str">
        <f>IFERROR(__xludf.DUMMYFUNCTION("""COMPUTED_VALUE"""),"saletructiep_Philippines.M96C52.2055.Giaotiep_PTATDNDL_LD183")</f>
        <v>saletructiep_Philippines.M96C52.2055.Giaotiep_PTATDNDL_LD183</v>
      </c>
      <c r="T281" s="107" t="str">
        <f>IFERROR(__xludf.DUMMYFUNCTION("""COMPUTED_VALUE"""),"https://patadovietnam.edu.vn/tienganhpatado_ptatdndl/?utm_source=Facebook&amp;utm_medium=MES&amp;utm_term=NEW_Philippines_1845_none_030124&amp;utm_content=saletructiep_Philippines.M96C52.2055.Giaotiep_PTATDNDL_LD183&amp;utm_campaign=Philippines.Giaotiep.M96C52_LHV.9822_M"&amp;"ES_DungNT_030124")</f>
        <v>https://patadovietnam.edu.vn/tienganhpatado_ptatdndl/?utm_source=Facebook&amp;utm_medium=MES&amp;utm_term=NEW_Philippines_1845_none_030124&amp;utm_content=saletructiep_Philippines.M96C52.2055.Giaotiep_PTATDNDL_LD183&amp;utm_campaign=Philippines.Giaotiep.M96C52_LHV.9822_MES_DungNT_030124</v>
      </c>
      <c r="U281" s="110" t="s">
        <v>5637</v>
      </c>
    </row>
    <row r="282">
      <c r="A282" s="72">
        <v>45295.0</v>
      </c>
      <c r="B282" s="112" t="s">
        <v>5295</v>
      </c>
      <c r="C282" s="67" t="str">
        <f>IFERROR(__xludf.DUMMYFUNCTION("""COMPUTED_VALUE"""),"LD210")</f>
        <v>LD210</v>
      </c>
      <c r="D282" s="55" t="s">
        <v>42</v>
      </c>
      <c r="E282" s="55" t="s">
        <v>79</v>
      </c>
      <c r="F282" s="55" t="s">
        <v>129</v>
      </c>
      <c r="G282" s="55">
        <v>2055.0</v>
      </c>
      <c r="H282" s="55" t="s">
        <v>3306</v>
      </c>
      <c r="I282" s="55" t="s">
        <v>5642</v>
      </c>
      <c r="J282" s="168" t="s">
        <v>5643</v>
      </c>
      <c r="K282" s="167" t="s">
        <v>61</v>
      </c>
      <c r="L282" s="55" t="s">
        <v>1264</v>
      </c>
      <c r="M282" s="55" t="s">
        <v>78</v>
      </c>
      <c r="N282" s="55" t="s">
        <v>79</v>
      </c>
      <c r="O282" s="55" t="s">
        <v>4350</v>
      </c>
      <c r="P282" s="55" t="s">
        <v>110</v>
      </c>
      <c r="Q282" s="67" t="str">
        <f>IFERROR(__xludf.DUMMYFUNCTION("""COMPUTED_VALUE"""),"Australia.Giaotiep.M117C93_LHV.9822_MES_DungNT_040124")</f>
        <v>Australia.Giaotiep.M117C93_LHV.9822_MES_DungNT_040124</v>
      </c>
      <c r="R282" s="67" t="str">
        <f>IFERROR(__xludf.DUMMYFUNCTION("""COMPUTED_VALUE"""),"NEW_Australia_2055_none_040124")</f>
        <v>NEW_Australia_2055_none_040124</v>
      </c>
      <c r="S282" s="67" t="str">
        <f>IFERROR(__xludf.DUMMYFUNCTION("""COMPUTED_VALUE"""),"saletructiep_Australia.M117C93.2055.Giaotiep_PTATDNDL_LD210")</f>
        <v>saletructiep_Australia.M117C93.2055.Giaotiep_PTATDNDL_LD210</v>
      </c>
      <c r="T282" s="107" t="str">
        <f>IFERROR(__xludf.DUMMYFUNCTION("""COMPUTED_VALUE"""),"https://patadovietnam.edu.vn/tienganhtoandienpatado_ptattndl/?utm_source=Facebook&amp;utm_medium=MES&amp;utm_term=NEW_Australia_2055_none_040124&amp;utm_content=saletructiep_Australia.M117C93.2055.Giaotiep_PTATDNDL_LD210&amp;utm_campaign=Australia.Giaotiep.M117C93_LHV.98"&amp;"22_MES_DungNT_040124")</f>
        <v>https://patadovietnam.edu.vn/tienganhtoandienpatado_ptattndl/?utm_source=Facebook&amp;utm_medium=MES&amp;utm_term=NEW_Australia_2055_none_040124&amp;utm_content=saletructiep_Australia.M117C93.2055.Giaotiep_PTATDNDL_LD210&amp;utm_campaign=Australia.Giaotiep.M117C93_LHV.9822_MES_DungNT_040124</v>
      </c>
      <c r="U282" s="110" t="s">
        <v>5647</v>
      </c>
    </row>
    <row r="283">
      <c r="A283" s="72">
        <v>45295.0</v>
      </c>
      <c r="B283" s="112" t="s">
        <v>5295</v>
      </c>
      <c r="C283" s="67" t="str">
        <f>IFERROR(__xludf.DUMMYFUNCTION("""COMPUTED_VALUE"""),"LD210")</f>
        <v>LD210</v>
      </c>
      <c r="D283" s="55" t="s">
        <v>42</v>
      </c>
      <c r="E283" s="55" t="s">
        <v>79</v>
      </c>
      <c r="F283" s="55" t="s">
        <v>107</v>
      </c>
      <c r="G283" s="55">
        <v>2055.0</v>
      </c>
      <c r="H283" s="55" t="s">
        <v>3306</v>
      </c>
      <c r="I283" s="55" t="s">
        <v>5651</v>
      </c>
      <c r="J283" s="168" t="s">
        <v>5653</v>
      </c>
      <c r="K283" s="167" t="s">
        <v>61</v>
      </c>
      <c r="L283" s="55" t="s">
        <v>1264</v>
      </c>
      <c r="M283" s="55" t="s">
        <v>78</v>
      </c>
      <c r="N283" s="55" t="s">
        <v>79</v>
      </c>
      <c r="O283" s="55" t="s">
        <v>4350</v>
      </c>
      <c r="P283" s="55" t="s">
        <v>110</v>
      </c>
      <c r="Q283" s="67" t="str">
        <f>IFERROR(__xludf.DUMMYFUNCTION("""COMPUTED_VALUE"""),"UnitedStates.Giaotiep.M117C93_LHV.9822_MES_DungNT_040124")</f>
        <v>UnitedStates.Giaotiep.M117C93_LHV.9822_MES_DungNT_040124</v>
      </c>
      <c r="R283" s="67" t="str">
        <f>IFERROR(__xludf.DUMMYFUNCTION("""COMPUTED_VALUE"""),"NEW_UnitedStates_2055_none_040124")</f>
        <v>NEW_UnitedStates_2055_none_040124</v>
      </c>
      <c r="S283" s="67" t="str">
        <f>IFERROR(__xludf.DUMMYFUNCTION("""COMPUTED_VALUE"""),"saletructiep_UnitedStates.M117C93.2055.Giaotiep_PTATDNDL_LD210")</f>
        <v>saletructiep_UnitedStates.M117C93.2055.Giaotiep_PTATDNDL_LD210</v>
      </c>
      <c r="T283" s="107" t="str">
        <f>IFERROR(__xludf.DUMMYFUNCTION("""COMPUTED_VALUE"""),"https://patadovietnam.edu.vn/tienganhtoandienpatado_ptattndl/?utm_source=Facebook&amp;utm_medium=MES&amp;utm_term=NEW_UnitedStates_2055_none_040124&amp;utm_content=saletructiep_UnitedStates.M117C93.2055.Giaotiep_PTATDNDL_LD210&amp;utm_campaign=UnitedStates.Giaotiep.M117C"&amp;"93_LHV.9822_MES_DungNT_040124")</f>
        <v>https://patadovietnam.edu.vn/tienganhtoandienpatado_ptattndl/?utm_source=Facebook&amp;utm_medium=MES&amp;utm_term=NEW_UnitedStates_2055_none_040124&amp;utm_content=saletructiep_UnitedStates.M117C93.2055.Giaotiep_PTATDNDL_LD210&amp;utm_campaign=UnitedStates.Giaotiep.M117C93_LHV.9822_MES_DungNT_040124</v>
      </c>
      <c r="U283" s="110" t="s">
        <v>5656</v>
      </c>
    </row>
    <row r="284">
      <c r="A284" s="72">
        <v>45295.0</v>
      </c>
      <c r="B284" s="112" t="s">
        <v>5295</v>
      </c>
      <c r="C284" s="67" t="str">
        <f>IFERROR(__xludf.DUMMYFUNCTION("""COMPUTED_VALUE"""),"LD210")</f>
        <v>LD210</v>
      </c>
      <c r="D284" s="55" t="s">
        <v>42</v>
      </c>
      <c r="E284" s="55" t="s">
        <v>79</v>
      </c>
      <c r="F284" s="55" t="s">
        <v>112</v>
      </c>
      <c r="G284" s="55">
        <v>2055.0</v>
      </c>
      <c r="H284" s="55" t="s">
        <v>3306</v>
      </c>
      <c r="I284" s="55" t="s">
        <v>5659</v>
      </c>
      <c r="J284" s="168" t="s">
        <v>5660</v>
      </c>
      <c r="K284" s="167" t="s">
        <v>61</v>
      </c>
      <c r="L284" s="55" t="s">
        <v>1264</v>
      </c>
      <c r="M284" s="55" t="s">
        <v>78</v>
      </c>
      <c r="N284" s="55" t="s">
        <v>79</v>
      </c>
      <c r="O284" s="55" t="s">
        <v>4350</v>
      </c>
      <c r="P284" s="55" t="s">
        <v>110</v>
      </c>
      <c r="Q284" s="67" t="str">
        <f>IFERROR(__xludf.DUMMYFUNCTION("""COMPUTED_VALUE"""),"Canada.Giaotiep.M117C93_LHV.9822_MES_DungNT_040124")</f>
        <v>Canada.Giaotiep.M117C93_LHV.9822_MES_DungNT_040124</v>
      </c>
      <c r="R284" s="67" t="str">
        <f>IFERROR(__xludf.DUMMYFUNCTION("""COMPUTED_VALUE"""),"NEW_Canada_2055_none_040124")</f>
        <v>NEW_Canada_2055_none_040124</v>
      </c>
      <c r="S284" s="67" t="str">
        <f>IFERROR(__xludf.DUMMYFUNCTION("""COMPUTED_VALUE"""),"saletructiep_Canada.M117C93.2055.Giaotiep_PTATDNDL_LD210")</f>
        <v>saletructiep_Canada.M117C93.2055.Giaotiep_PTATDNDL_LD210</v>
      </c>
      <c r="T284" s="107" t="str">
        <f>IFERROR(__xludf.DUMMYFUNCTION("""COMPUTED_VALUE"""),"https://patadovietnam.edu.vn/tienganhtoandienpatado_ptattndl/?utm_source=Facebook&amp;utm_medium=MES&amp;utm_term=NEW_Canada_2055_none_040124&amp;utm_content=saletructiep_Canada.M117C93.2055.Giaotiep_PTATDNDL_LD210&amp;utm_campaign=Canada.Giaotiep.M117C93_LHV.9822_MES_Du"&amp;"ngNT_040124")</f>
        <v>https://patadovietnam.edu.vn/tienganhtoandienpatado_ptattndl/?utm_source=Facebook&amp;utm_medium=MES&amp;utm_term=NEW_Canada_2055_none_040124&amp;utm_content=saletructiep_Canada.M117C93.2055.Giaotiep_PTATDNDL_LD210&amp;utm_campaign=Canada.Giaotiep.M117C93_LHV.9822_MES_DungNT_040124</v>
      </c>
      <c r="U284" s="110" t="s">
        <v>5662</v>
      </c>
    </row>
    <row r="285">
      <c r="A285" s="72">
        <v>45295.0</v>
      </c>
      <c r="B285" s="112" t="s">
        <v>5295</v>
      </c>
      <c r="C285" s="67" t="str">
        <f>IFERROR(__xludf.DUMMYFUNCTION("""COMPUTED_VALUE"""),"LD210")</f>
        <v>LD210</v>
      </c>
      <c r="D285" s="55" t="s">
        <v>42</v>
      </c>
      <c r="E285" s="55" t="s">
        <v>79</v>
      </c>
      <c r="F285" s="55" t="s">
        <v>164</v>
      </c>
      <c r="G285" s="55">
        <v>2045.0</v>
      </c>
      <c r="H285" s="55" t="s">
        <v>3306</v>
      </c>
      <c r="I285" s="55" t="s">
        <v>5663</v>
      </c>
      <c r="J285" s="168" t="s">
        <v>5664</v>
      </c>
      <c r="K285" s="167" t="s">
        <v>61</v>
      </c>
      <c r="L285" s="55" t="s">
        <v>1264</v>
      </c>
      <c r="M285" s="55" t="s">
        <v>78</v>
      </c>
      <c r="N285" s="55" t="s">
        <v>79</v>
      </c>
      <c r="O285" s="55" t="s">
        <v>4350</v>
      </c>
      <c r="P285" s="55" t="s">
        <v>110</v>
      </c>
      <c r="Q285" s="67" t="str">
        <f>IFERROR(__xludf.DUMMYFUNCTION("""COMPUTED_VALUE"""),"Taiwan.Giaotiep.M117C93_LHV.9822_MES_DungNT_040124")</f>
        <v>Taiwan.Giaotiep.M117C93_LHV.9822_MES_DungNT_040124</v>
      </c>
      <c r="R285" s="67" t="str">
        <f>IFERROR(__xludf.DUMMYFUNCTION("""COMPUTED_VALUE"""),"NEW_Taiwan_2045_none_040124")</f>
        <v>NEW_Taiwan_2045_none_040124</v>
      </c>
      <c r="S285" s="67" t="str">
        <f>IFERROR(__xludf.DUMMYFUNCTION("""COMPUTED_VALUE"""),"saletructiep_Taiwan.M117C93.2045.Giaotiep_PTATDNDL_LD210")</f>
        <v>saletructiep_Taiwan.M117C93.2045.Giaotiep_PTATDNDL_LD210</v>
      </c>
      <c r="T285" s="107" t="str">
        <f>IFERROR(__xludf.DUMMYFUNCTION("""COMPUTED_VALUE"""),"https://patadovietnam.edu.vn/tienganhtoandienpatado_ptattndl/?utm_source=Facebook&amp;utm_medium=MES&amp;utm_term=NEW_Taiwan_2045_none_040124&amp;utm_content=saletructiep_Taiwan.M117C93.2045.Giaotiep_PTATDNDL_LD210&amp;utm_campaign=Taiwan.Giaotiep.M117C93_LHV.9822_MES_Du"&amp;"ngNT_040124")</f>
        <v>https://patadovietnam.edu.vn/tienganhtoandienpatado_ptattndl/?utm_source=Facebook&amp;utm_medium=MES&amp;utm_term=NEW_Taiwan_2045_none_040124&amp;utm_content=saletructiep_Taiwan.M117C93.2045.Giaotiep_PTATDNDL_LD210&amp;utm_campaign=Taiwan.Giaotiep.M117C93_LHV.9822_MES_DungNT_040124</v>
      </c>
      <c r="U285" s="110" t="s">
        <v>5669</v>
      </c>
    </row>
    <row r="286">
      <c r="A286" s="72">
        <v>45295.0</v>
      </c>
      <c r="B286" s="112" t="s">
        <v>5295</v>
      </c>
      <c r="C286" s="67" t="str">
        <f>IFERROR(__xludf.DUMMYFUNCTION("""COMPUTED_VALUE"""),"LD210")</f>
        <v>LD210</v>
      </c>
      <c r="D286" s="55" t="s">
        <v>42</v>
      </c>
      <c r="E286" s="55" t="s">
        <v>79</v>
      </c>
      <c r="F286" s="55" t="s">
        <v>174</v>
      </c>
      <c r="G286" s="55">
        <v>2045.0</v>
      </c>
      <c r="H286" s="55" t="s">
        <v>3306</v>
      </c>
      <c r="I286" s="55" t="s">
        <v>5673</v>
      </c>
      <c r="J286" s="168" t="s">
        <v>5674</v>
      </c>
      <c r="K286" s="167" t="s">
        <v>61</v>
      </c>
      <c r="L286" s="55" t="s">
        <v>1264</v>
      </c>
      <c r="M286" s="55" t="s">
        <v>78</v>
      </c>
      <c r="N286" s="55" t="s">
        <v>79</v>
      </c>
      <c r="O286" s="55" t="s">
        <v>4350</v>
      </c>
      <c r="P286" s="55" t="s">
        <v>110</v>
      </c>
      <c r="Q286" s="67" t="str">
        <f>IFERROR(__xludf.DUMMYFUNCTION("""COMPUTED_VALUE"""),"Philippines.Giaotiep.M117C93_LHV.9822_MES_DungNT_040124")</f>
        <v>Philippines.Giaotiep.M117C93_LHV.9822_MES_DungNT_040124</v>
      </c>
      <c r="R286" s="67" t="str">
        <f>IFERROR(__xludf.DUMMYFUNCTION("""COMPUTED_VALUE"""),"NEW_Philippines_2045_none_040124")</f>
        <v>NEW_Philippines_2045_none_040124</v>
      </c>
      <c r="S286" s="67" t="str">
        <f>IFERROR(__xludf.DUMMYFUNCTION("""COMPUTED_VALUE"""),"saletructiep_Philippines.M117C93.2045.Giaotiep_PTATDNDL_LD210")</f>
        <v>saletructiep_Philippines.M117C93.2045.Giaotiep_PTATDNDL_LD210</v>
      </c>
      <c r="T286" s="107" t="str">
        <f>IFERROR(__xludf.DUMMYFUNCTION("""COMPUTED_VALUE"""),"https://patadovietnam.edu.vn/tienganhtoandienpatado_ptattndl/?utm_source=Facebook&amp;utm_medium=MES&amp;utm_term=NEW_Philippines_2045_none_040124&amp;utm_content=saletructiep_Philippines.M117C93.2045.Giaotiep_PTATDNDL_LD210&amp;utm_campaign=Philippines.Giaotiep.M117C93_"&amp;"LHV.9822_MES_DungNT_040124")</f>
        <v>https://patadovietnam.edu.vn/tienganhtoandienpatado_ptattndl/?utm_source=Facebook&amp;utm_medium=MES&amp;utm_term=NEW_Philippines_2045_none_040124&amp;utm_content=saletructiep_Philippines.M117C93.2045.Giaotiep_PTATDNDL_LD210&amp;utm_campaign=Philippines.Giaotiep.M117C93_LHV.9822_MES_DungNT_040124</v>
      </c>
      <c r="U286" s="110" t="s">
        <v>5678</v>
      </c>
    </row>
    <row r="287">
      <c r="A287" s="72">
        <v>45295.0</v>
      </c>
      <c r="B287" s="112" t="s">
        <v>5295</v>
      </c>
      <c r="C287" s="67" t="str">
        <f>IFERROR(__xludf.DUMMYFUNCTION("""COMPUTED_VALUE"""),"LD210")</f>
        <v>LD210</v>
      </c>
      <c r="D287" s="55" t="s">
        <v>42</v>
      </c>
      <c r="E287" s="55" t="s">
        <v>69</v>
      </c>
      <c r="F287" s="55" t="s">
        <v>133</v>
      </c>
      <c r="G287" s="55">
        <v>1840.0</v>
      </c>
      <c r="H287" s="55" t="s">
        <v>3306</v>
      </c>
      <c r="I287" s="55" t="s">
        <v>5682</v>
      </c>
      <c r="J287" s="168" t="s">
        <v>5683</v>
      </c>
      <c r="K287" s="167" t="s">
        <v>61</v>
      </c>
      <c r="L287" s="55" t="s">
        <v>1264</v>
      </c>
      <c r="M287" s="55" t="s">
        <v>78</v>
      </c>
      <c r="N287" s="55" t="s">
        <v>69</v>
      </c>
      <c r="O287" s="55" t="s">
        <v>4350</v>
      </c>
      <c r="P287" s="55" t="s">
        <v>110</v>
      </c>
      <c r="Q287" s="67" t="str">
        <f>IFERROR(__xludf.DUMMYFUNCTION("""COMPUTED_VALUE"""),"Japan.Giaotiep.M117C93_LHV.9822_CVS_DungNT_040124")</f>
        <v>Japan.Giaotiep.M117C93_LHV.9822_CVS_DungNT_040124</v>
      </c>
      <c r="R287" s="67" t="str">
        <f>IFERROR(__xludf.DUMMYFUNCTION("""COMPUTED_VALUE"""),"NEW_Japan_1840_none_040124")</f>
        <v>NEW_Japan_1840_none_040124</v>
      </c>
      <c r="S287" s="67" t="str">
        <f>IFERROR(__xludf.DUMMYFUNCTION("""COMPUTED_VALUE"""),"saletructiep_Japan.M117C93.1840.Giaotiep_PTATDNDL_LD210")</f>
        <v>saletructiep_Japan.M117C93.1840.Giaotiep_PTATDNDL_LD210</v>
      </c>
      <c r="T287" s="107" t="str">
        <f>IFERROR(__xludf.DUMMYFUNCTION("""COMPUTED_VALUE"""),"https://patadovietnam.edu.vn/tienganhtoandienpatado_ptattndl/?utm_source=Facebook&amp;utm_medium=CVS&amp;utm_term=NEW_Japan_1840_none_040124&amp;utm_content=saletructiep_Japan.M117C93.1840.Giaotiep_PTATDNDL_LD210&amp;utm_campaign=Japan.Giaotiep.M117C93_LHV.9822_CVS_DungN"&amp;"T_040124")</f>
        <v>https://patadovietnam.edu.vn/tienganhtoandienpatado_ptattndl/?utm_source=Facebook&amp;utm_medium=CVS&amp;utm_term=NEW_Japan_1840_none_040124&amp;utm_content=saletructiep_Japan.M117C93.1840.Giaotiep_PTATDNDL_LD210&amp;utm_campaign=Japan.Giaotiep.M117C93_LHV.9822_CVS_DungNT_040124</v>
      </c>
      <c r="U287" s="110" t="s">
        <v>5687</v>
      </c>
    </row>
    <row r="288">
      <c r="A288" s="72">
        <v>45295.0</v>
      </c>
      <c r="B288" s="112" t="s">
        <v>5295</v>
      </c>
      <c r="C288" s="67" t="str">
        <f>IFERROR(__xludf.DUMMYFUNCTION("""COMPUTED_VALUE"""),"LD210")</f>
        <v>LD210</v>
      </c>
      <c r="D288" s="55" t="s">
        <v>42</v>
      </c>
      <c r="E288" s="55" t="s">
        <v>69</v>
      </c>
      <c r="F288" s="55" t="s">
        <v>625</v>
      </c>
      <c r="G288" s="55">
        <v>1840.0</v>
      </c>
      <c r="H288" s="55" t="s">
        <v>3306</v>
      </c>
      <c r="I288" s="55" t="s">
        <v>5691</v>
      </c>
      <c r="J288" s="168" t="s">
        <v>5692</v>
      </c>
      <c r="K288" s="167" t="s">
        <v>61</v>
      </c>
      <c r="L288" s="55" t="s">
        <v>1264</v>
      </c>
      <c r="M288" s="55" t="s">
        <v>78</v>
      </c>
      <c r="N288" s="55" t="s">
        <v>69</v>
      </c>
      <c r="O288" s="55" t="s">
        <v>4350</v>
      </c>
      <c r="P288" s="55" t="s">
        <v>110</v>
      </c>
      <c r="Q288" s="67" t="str">
        <f>IFERROR(__xludf.DUMMYFUNCTION("""COMPUTED_VALUE"""),"KoreaSouth.Giaotiep.M117C93_LHV.9822_CVS_DungNT_040124")</f>
        <v>KoreaSouth.Giaotiep.M117C93_LHV.9822_CVS_DungNT_040124</v>
      </c>
      <c r="R288" s="67" t="str">
        <f>IFERROR(__xludf.DUMMYFUNCTION("""COMPUTED_VALUE"""),"NEW_KoreaSouth_1840_none_040124")</f>
        <v>NEW_KoreaSouth_1840_none_040124</v>
      </c>
      <c r="S288" s="67" t="str">
        <f>IFERROR(__xludf.DUMMYFUNCTION("""COMPUTED_VALUE"""),"saletructiep_KoreaSouth.M117C93.1840.Giaotiep_PTATDNDL_LD210")</f>
        <v>saletructiep_KoreaSouth.M117C93.1840.Giaotiep_PTATDNDL_LD210</v>
      </c>
      <c r="T288" s="107" t="str">
        <f>IFERROR(__xludf.DUMMYFUNCTION("""COMPUTED_VALUE"""),"https://patadovietnam.edu.vn/tienganhtoandienpatado_ptattndl/?utm_source=Facebook&amp;utm_medium=CVS&amp;utm_term=NEW_KoreaSouth_1840_none_040124&amp;utm_content=saletructiep_KoreaSouth.M117C93.1840.Giaotiep_PTATDNDL_LD210&amp;utm_campaign=KoreaSouth.Giaotiep.M117C93_LHV"&amp;".9822_CVS_DungNT_040124")</f>
        <v>https://patadovietnam.edu.vn/tienganhtoandienpatado_ptattndl/?utm_source=Facebook&amp;utm_medium=CVS&amp;utm_term=NEW_KoreaSouth_1840_none_040124&amp;utm_content=saletructiep_KoreaSouth.M117C93.1840.Giaotiep_PTATDNDL_LD210&amp;utm_campaign=KoreaSouth.Giaotiep.M117C93_LHV.9822_CVS_DungNT_040124</v>
      </c>
      <c r="U288" s="110" t="s">
        <v>5695</v>
      </c>
    </row>
    <row r="289">
      <c r="A289" s="72">
        <v>45295.0</v>
      </c>
      <c r="B289" s="112" t="s">
        <v>3502</v>
      </c>
      <c r="C289" s="67" t="str">
        <f>IFERROR(__xludf.DUMMYFUNCTION("""COMPUTED_VALUE"""),"LD144")</f>
        <v>LD144</v>
      </c>
      <c r="D289" s="55" t="s">
        <v>42</v>
      </c>
      <c r="E289" s="55" t="s">
        <v>79</v>
      </c>
      <c r="F289" s="55" t="s">
        <v>107</v>
      </c>
      <c r="G289" s="55">
        <v>2055.0</v>
      </c>
      <c r="H289" s="55" t="s">
        <v>3306</v>
      </c>
      <c r="I289" s="55" t="s">
        <v>5698</v>
      </c>
      <c r="J289" s="168" t="s">
        <v>5699</v>
      </c>
      <c r="K289" s="167" t="s">
        <v>61</v>
      </c>
      <c r="L289" s="55" t="s">
        <v>1264</v>
      </c>
      <c r="M289" s="55" t="s">
        <v>78</v>
      </c>
      <c r="N289" s="55" t="s">
        <v>79</v>
      </c>
      <c r="O289" s="55" t="s">
        <v>4350</v>
      </c>
      <c r="P289" s="55" t="s">
        <v>110</v>
      </c>
      <c r="Q289" s="67" t="str">
        <f>IFERROR(__xludf.DUMMYFUNCTION("""COMPUTED_VALUE"""),"UnitedStates.Giaotiep.M99C76_LHV.9822_MES_DungNT_040124")</f>
        <v>UnitedStates.Giaotiep.M99C76_LHV.9822_MES_DungNT_040124</v>
      </c>
      <c r="R289" s="67" t="str">
        <f>IFERROR(__xludf.DUMMYFUNCTION("""COMPUTED_VALUE"""),"NEW_UnitedStates_2055_none_040124")</f>
        <v>NEW_UnitedStates_2055_none_040124</v>
      </c>
      <c r="S289" s="67" t="str">
        <f>IFERROR(__xludf.DUMMYFUNCTION("""COMPUTED_VALUE"""),"saletructiep_UnitedStates.M99C76.2055.Giaotiep_PTATDNDL_LD144")</f>
        <v>saletructiep_UnitedStates.M99C76.2055.Giaotiep_PTATDNDL_LD144</v>
      </c>
      <c r="T289" s="107" t="str">
        <f>IFERROR(__xludf.DUMMYFUNCTION("""COMPUTED_VALUE"""),"https://patadovietnam.edu.vn/tienganhpatado_d1/?utm_source=Facebook&amp;utm_medium=MES&amp;utm_term=NEW_UnitedStates_2055_none_040124&amp;utm_content=saletructiep_UnitedStates.M99C76.2055.Giaotiep_PTATDNDL_LD144&amp;utm_campaign=UnitedStates.Giaotiep.M99C76_LHV.9822_MES_"&amp;"DungNT_040124")</f>
        <v>https://patadovietnam.edu.vn/tienganhpatado_d1/?utm_source=Facebook&amp;utm_medium=MES&amp;utm_term=NEW_UnitedStates_2055_none_040124&amp;utm_content=saletructiep_UnitedStates.M99C76.2055.Giaotiep_PTATDNDL_LD144&amp;utm_campaign=UnitedStates.Giaotiep.M99C76_LHV.9822_MES_DungNT_040124</v>
      </c>
      <c r="U289" s="110" t="s">
        <v>5704</v>
      </c>
    </row>
    <row r="290">
      <c r="A290" s="72">
        <v>45295.0</v>
      </c>
      <c r="B290" s="112" t="s">
        <v>3502</v>
      </c>
      <c r="C290" s="67" t="str">
        <f>IFERROR(__xludf.DUMMYFUNCTION("""COMPUTED_VALUE"""),"LD144")</f>
        <v>LD144</v>
      </c>
      <c r="D290" s="55" t="s">
        <v>42</v>
      </c>
      <c r="E290" s="55" t="s">
        <v>79</v>
      </c>
      <c r="F290" s="55" t="s">
        <v>112</v>
      </c>
      <c r="G290" s="55">
        <v>2055.0</v>
      </c>
      <c r="H290" s="55" t="s">
        <v>3306</v>
      </c>
      <c r="I290" s="55" t="s">
        <v>5706</v>
      </c>
      <c r="J290" s="168" t="s">
        <v>5707</v>
      </c>
      <c r="K290" s="167" t="s">
        <v>61</v>
      </c>
      <c r="L290" s="55" t="s">
        <v>1264</v>
      </c>
      <c r="M290" s="55" t="s">
        <v>78</v>
      </c>
      <c r="N290" s="55" t="s">
        <v>79</v>
      </c>
      <c r="O290" s="55" t="s">
        <v>4350</v>
      </c>
      <c r="P290" s="55" t="s">
        <v>110</v>
      </c>
      <c r="Q290" s="67" t="str">
        <f>IFERROR(__xludf.DUMMYFUNCTION("""COMPUTED_VALUE"""),"Canada.Giaotiep.M99C76_LHV.9822_MES_DungNT_040124")</f>
        <v>Canada.Giaotiep.M99C76_LHV.9822_MES_DungNT_040124</v>
      </c>
      <c r="R290" s="67" t="str">
        <f>IFERROR(__xludf.DUMMYFUNCTION("""COMPUTED_VALUE"""),"NEW_Canada_2055_none_040124")</f>
        <v>NEW_Canada_2055_none_040124</v>
      </c>
      <c r="S290" s="67" t="str">
        <f>IFERROR(__xludf.DUMMYFUNCTION("""COMPUTED_VALUE"""),"saletructiep_Canada.M99C76.2055.Giaotiep_PTATDNDL_LD144")</f>
        <v>saletructiep_Canada.M99C76.2055.Giaotiep_PTATDNDL_LD144</v>
      </c>
      <c r="T290" s="107" t="str">
        <f>IFERROR(__xludf.DUMMYFUNCTION("""COMPUTED_VALUE"""),"https://patadovietnam.edu.vn/tienganhpatado_d1/?utm_source=Facebook&amp;utm_medium=MES&amp;utm_term=NEW_Canada_2055_none_040124&amp;utm_content=saletructiep_Canada.M99C76.2055.Giaotiep_PTATDNDL_LD144&amp;utm_campaign=Canada.Giaotiep.M99C76_LHV.9822_MES_DungNT_040124")</f>
        <v>https://patadovietnam.edu.vn/tienganhpatado_d1/?utm_source=Facebook&amp;utm_medium=MES&amp;utm_term=NEW_Canada_2055_none_040124&amp;utm_content=saletructiep_Canada.M99C76.2055.Giaotiep_PTATDNDL_LD144&amp;utm_campaign=Canada.Giaotiep.M99C76_LHV.9822_MES_DungNT_040124</v>
      </c>
      <c r="U290" s="110" t="s">
        <v>5711</v>
      </c>
    </row>
    <row r="291">
      <c r="A291" s="72">
        <v>45295.0</v>
      </c>
      <c r="B291" s="112" t="s">
        <v>3502</v>
      </c>
      <c r="C291" s="67" t="str">
        <f>IFERROR(__xludf.DUMMYFUNCTION("""COMPUTED_VALUE"""),"LD144")</f>
        <v>LD144</v>
      </c>
      <c r="D291" s="55" t="s">
        <v>42</v>
      </c>
      <c r="E291" s="55" t="s">
        <v>79</v>
      </c>
      <c r="F291" s="55" t="s">
        <v>129</v>
      </c>
      <c r="G291" s="55">
        <v>2055.0</v>
      </c>
      <c r="H291" s="55" t="s">
        <v>3306</v>
      </c>
      <c r="I291" s="55" t="s">
        <v>5713</v>
      </c>
      <c r="J291" s="168" t="s">
        <v>5714</v>
      </c>
      <c r="K291" s="167" t="s">
        <v>61</v>
      </c>
      <c r="L291" s="55" t="s">
        <v>1264</v>
      </c>
      <c r="M291" s="55" t="s">
        <v>78</v>
      </c>
      <c r="N291" s="55" t="s">
        <v>79</v>
      </c>
      <c r="O291" s="55" t="s">
        <v>4350</v>
      </c>
      <c r="P291" s="55" t="s">
        <v>110</v>
      </c>
      <c r="Q291" s="67" t="str">
        <f>IFERROR(__xludf.DUMMYFUNCTION("""COMPUTED_VALUE"""),"Australia.Giaotiep.M99C76_LHV.9822_MES_DungNT_040124")</f>
        <v>Australia.Giaotiep.M99C76_LHV.9822_MES_DungNT_040124</v>
      </c>
      <c r="R291" s="67" t="str">
        <f>IFERROR(__xludf.DUMMYFUNCTION("""COMPUTED_VALUE"""),"NEW_Australia_2055_none_040124")</f>
        <v>NEW_Australia_2055_none_040124</v>
      </c>
      <c r="S291" s="67" t="str">
        <f>IFERROR(__xludf.DUMMYFUNCTION("""COMPUTED_VALUE"""),"saletructiep_Australia.M99C76.2055.Giaotiep_PTATDNDL_LD144")</f>
        <v>saletructiep_Australia.M99C76.2055.Giaotiep_PTATDNDL_LD144</v>
      </c>
      <c r="T291" s="107" t="str">
        <f>IFERROR(__xludf.DUMMYFUNCTION("""COMPUTED_VALUE"""),"https://patadovietnam.edu.vn/tienganhpatado_d1/?utm_source=Facebook&amp;utm_medium=MES&amp;utm_term=NEW_Australia_2055_none_040124&amp;utm_content=saletructiep_Australia.M99C76.2055.Giaotiep_PTATDNDL_LD144&amp;utm_campaign=Australia.Giaotiep.M99C76_LHV.9822_MES_DungNT_04"&amp;"0124")</f>
        <v>https://patadovietnam.edu.vn/tienganhpatado_d1/?utm_source=Facebook&amp;utm_medium=MES&amp;utm_term=NEW_Australia_2055_none_040124&amp;utm_content=saletructiep_Australia.M99C76.2055.Giaotiep_PTATDNDL_LD144&amp;utm_campaign=Australia.Giaotiep.M99C76_LHV.9822_MES_DungNT_040124</v>
      </c>
      <c r="U291" s="110" t="s">
        <v>5718</v>
      </c>
    </row>
    <row r="292">
      <c r="A292" s="72">
        <v>45295.0</v>
      </c>
      <c r="B292" s="112" t="s">
        <v>3502</v>
      </c>
      <c r="C292" s="67" t="str">
        <f>IFERROR(__xludf.DUMMYFUNCTION("""COMPUTED_VALUE"""),"LD144")</f>
        <v>LD144</v>
      </c>
      <c r="D292" s="55" t="s">
        <v>42</v>
      </c>
      <c r="E292" s="55" t="s">
        <v>79</v>
      </c>
      <c r="F292" s="55" t="s">
        <v>164</v>
      </c>
      <c r="G292" s="55">
        <v>2045.0</v>
      </c>
      <c r="H292" s="55" t="s">
        <v>3306</v>
      </c>
      <c r="I292" s="55" t="s">
        <v>5719</v>
      </c>
      <c r="J292" s="168" t="s">
        <v>5720</v>
      </c>
      <c r="K292" s="167" t="s">
        <v>61</v>
      </c>
      <c r="L292" s="55" t="s">
        <v>1264</v>
      </c>
      <c r="M292" s="55" t="s">
        <v>78</v>
      </c>
      <c r="N292" s="55" t="s">
        <v>79</v>
      </c>
      <c r="O292" s="55" t="s">
        <v>4350</v>
      </c>
      <c r="P292" s="55" t="s">
        <v>110</v>
      </c>
      <c r="Q292" s="67" t="str">
        <f>IFERROR(__xludf.DUMMYFUNCTION("""COMPUTED_VALUE"""),"Taiwan.Giaotiep.M99C76_LHV.9822_MES_DungNT_040124")</f>
        <v>Taiwan.Giaotiep.M99C76_LHV.9822_MES_DungNT_040124</v>
      </c>
      <c r="R292" s="67" t="str">
        <f>IFERROR(__xludf.DUMMYFUNCTION("""COMPUTED_VALUE"""),"NEW_Taiwan_2045_none_040124")</f>
        <v>NEW_Taiwan_2045_none_040124</v>
      </c>
      <c r="S292" s="67" t="str">
        <f>IFERROR(__xludf.DUMMYFUNCTION("""COMPUTED_VALUE"""),"saletructiep_Taiwan.M99C76.2045.Giaotiep_PTATDNDL_LD144")</f>
        <v>saletructiep_Taiwan.M99C76.2045.Giaotiep_PTATDNDL_LD144</v>
      </c>
      <c r="T292" s="107" t="str">
        <f>IFERROR(__xludf.DUMMYFUNCTION("""COMPUTED_VALUE"""),"https://patadovietnam.edu.vn/tienganhpatado_d1/?utm_source=Facebook&amp;utm_medium=MES&amp;utm_term=NEW_Taiwan_2045_none_040124&amp;utm_content=saletructiep_Taiwan.M99C76.2045.Giaotiep_PTATDNDL_LD144&amp;utm_campaign=Taiwan.Giaotiep.M99C76_LHV.9822_MES_DungNT_040124")</f>
        <v>https://patadovietnam.edu.vn/tienganhpatado_d1/?utm_source=Facebook&amp;utm_medium=MES&amp;utm_term=NEW_Taiwan_2045_none_040124&amp;utm_content=saletructiep_Taiwan.M99C76.2045.Giaotiep_PTATDNDL_LD144&amp;utm_campaign=Taiwan.Giaotiep.M99C76_LHV.9822_MES_DungNT_040124</v>
      </c>
      <c r="U292" s="110" t="s">
        <v>5723</v>
      </c>
    </row>
    <row r="293">
      <c r="A293" s="72">
        <v>45295.0</v>
      </c>
      <c r="B293" s="112" t="s">
        <v>3502</v>
      </c>
      <c r="C293" s="67" t="str">
        <f>IFERROR(__xludf.DUMMYFUNCTION("""COMPUTED_VALUE"""),"LD144")</f>
        <v>LD144</v>
      </c>
      <c r="D293" s="55" t="s">
        <v>42</v>
      </c>
      <c r="E293" s="55" t="s">
        <v>79</v>
      </c>
      <c r="F293" s="55" t="s">
        <v>174</v>
      </c>
      <c r="G293" s="55">
        <v>2045.0</v>
      </c>
      <c r="H293" s="55" t="s">
        <v>3306</v>
      </c>
      <c r="I293" s="55" t="s">
        <v>5725</v>
      </c>
      <c r="J293" s="168" t="s">
        <v>5726</v>
      </c>
      <c r="K293" s="167" t="s">
        <v>61</v>
      </c>
      <c r="L293" s="55" t="s">
        <v>1264</v>
      </c>
      <c r="M293" s="55" t="s">
        <v>78</v>
      </c>
      <c r="N293" s="55" t="s">
        <v>79</v>
      </c>
      <c r="O293" s="55" t="s">
        <v>4350</v>
      </c>
      <c r="P293" s="55" t="s">
        <v>110</v>
      </c>
      <c r="Q293" s="67" t="str">
        <f>IFERROR(__xludf.DUMMYFUNCTION("""COMPUTED_VALUE"""),"Philippines.Giaotiep.M99C76_LHV.9822_MES_DungNT_040124")</f>
        <v>Philippines.Giaotiep.M99C76_LHV.9822_MES_DungNT_040124</v>
      </c>
      <c r="R293" s="67" t="str">
        <f>IFERROR(__xludf.DUMMYFUNCTION("""COMPUTED_VALUE"""),"NEW_Philippines_2045_none_040124")</f>
        <v>NEW_Philippines_2045_none_040124</v>
      </c>
      <c r="S293" s="67" t="str">
        <f>IFERROR(__xludf.DUMMYFUNCTION("""COMPUTED_VALUE"""),"saletructiep_Philippines.M99C76.2045.Giaotiep_PTATDNDL_LD144")</f>
        <v>saletructiep_Philippines.M99C76.2045.Giaotiep_PTATDNDL_LD144</v>
      </c>
      <c r="T293" s="107" t="str">
        <f>IFERROR(__xludf.DUMMYFUNCTION("""COMPUTED_VALUE"""),"https://patadovietnam.edu.vn/tienganhpatado_d1/?utm_source=Facebook&amp;utm_medium=MES&amp;utm_term=NEW_Philippines_2045_none_040124&amp;utm_content=saletructiep_Philippines.M99C76.2045.Giaotiep_PTATDNDL_LD144&amp;utm_campaign=Philippines.Giaotiep.M99C76_LHV.9822_MES_Dun"&amp;"gNT_040124")</f>
        <v>https://patadovietnam.edu.vn/tienganhpatado_d1/?utm_source=Facebook&amp;utm_medium=MES&amp;utm_term=NEW_Philippines_2045_none_040124&amp;utm_content=saletructiep_Philippines.M99C76.2045.Giaotiep_PTATDNDL_LD144&amp;utm_campaign=Philippines.Giaotiep.M99C76_LHV.9822_MES_DungNT_040124</v>
      </c>
      <c r="U293" s="110" t="s">
        <v>5733</v>
      </c>
    </row>
    <row r="294">
      <c r="A294" s="72">
        <v>45295.0</v>
      </c>
      <c r="B294" s="112" t="s">
        <v>3502</v>
      </c>
      <c r="C294" s="67" t="str">
        <f>IFERROR(__xludf.DUMMYFUNCTION("""COMPUTED_VALUE"""),"LD144")</f>
        <v>LD144</v>
      </c>
      <c r="D294" s="55" t="s">
        <v>42</v>
      </c>
      <c r="E294" s="55" t="s">
        <v>69</v>
      </c>
      <c r="F294" s="55" t="s">
        <v>133</v>
      </c>
      <c r="G294" s="55">
        <v>1840.0</v>
      </c>
      <c r="H294" s="55" t="s">
        <v>3306</v>
      </c>
      <c r="I294" s="55" t="s">
        <v>5736</v>
      </c>
      <c r="J294" s="168" t="s">
        <v>5737</v>
      </c>
      <c r="K294" s="167" t="s">
        <v>61</v>
      </c>
      <c r="L294" s="55" t="s">
        <v>1264</v>
      </c>
      <c r="M294" s="55" t="s">
        <v>78</v>
      </c>
      <c r="N294" s="55" t="s">
        <v>69</v>
      </c>
      <c r="O294" s="55" t="s">
        <v>4350</v>
      </c>
      <c r="P294" s="55" t="s">
        <v>110</v>
      </c>
      <c r="Q294" s="67" t="str">
        <f>IFERROR(__xludf.DUMMYFUNCTION("""COMPUTED_VALUE"""),"Japan.Giaotiep.M99C76_LHV.9822_CVS_DungNT_040124")</f>
        <v>Japan.Giaotiep.M99C76_LHV.9822_CVS_DungNT_040124</v>
      </c>
      <c r="R294" s="67" t="str">
        <f>IFERROR(__xludf.DUMMYFUNCTION("""COMPUTED_VALUE"""),"NEW_Japan_1840_none_040124")</f>
        <v>NEW_Japan_1840_none_040124</v>
      </c>
      <c r="S294" s="67" t="str">
        <f>IFERROR(__xludf.DUMMYFUNCTION("""COMPUTED_VALUE"""),"saletructiep_Japan.M99C76.1840.Giaotiep_PTATDNDL_LD144")</f>
        <v>saletructiep_Japan.M99C76.1840.Giaotiep_PTATDNDL_LD144</v>
      </c>
      <c r="T294" s="107" t="str">
        <f>IFERROR(__xludf.DUMMYFUNCTION("""COMPUTED_VALUE"""),"https://patadovietnam.edu.vn/tienganhpatado_d1/?utm_source=Facebook&amp;utm_medium=CVS&amp;utm_term=NEW_Japan_1840_none_040124&amp;utm_content=saletructiep_Japan.M99C76.1840.Giaotiep_PTATDNDL_LD144&amp;utm_campaign=Japan.Giaotiep.M99C76_LHV.9822_CVS_DungNT_040124")</f>
        <v>https://patadovietnam.edu.vn/tienganhpatado_d1/?utm_source=Facebook&amp;utm_medium=CVS&amp;utm_term=NEW_Japan_1840_none_040124&amp;utm_content=saletructiep_Japan.M99C76.1840.Giaotiep_PTATDNDL_LD144&amp;utm_campaign=Japan.Giaotiep.M99C76_LHV.9822_CVS_DungNT_040124</v>
      </c>
      <c r="U294" s="110" t="s">
        <v>5739</v>
      </c>
    </row>
    <row r="295">
      <c r="A295" s="72">
        <v>45295.0</v>
      </c>
      <c r="B295" s="112" t="s">
        <v>3502</v>
      </c>
      <c r="C295" s="67" t="str">
        <f>IFERROR(__xludf.DUMMYFUNCTION("""COMPUTED_VALUE"""),"LD144")</f>
        <v>LD144</v>
      </c>
      <c r="D295" s="55" t="s">
        <v>42</v>
      </c>
      <c r="E295" s="55" t="s">
        <v>69</v>
      </c>
      <c r="F295" s="55" t="s">
        <v>625</v>
      </c>
      <c r="G295" s="55">
        <v>1840.0</v>
      </c>
      <c r="H295" s="55" t="s">
        <v>3306</v>
      </c>
      <c r="I295" s="55" t="s">
        <v>5743</v>
      </c>
      <c r="J295" s="168" t="s">
        <v>5744</v>
      </c>
      <c r="K295" s="167" t="s">
        <v>61</v>
      </c>
      <c r="L295" s="55" t="s">
        <v>1264</v>
      </c>
      <c r="M295" s="55" t="s">
        <v>78</v>
      </c>
      <c r="N295" s="55" t="s">
        <v>69</v>
      </c>
      <c r="O295" s="55" t="s">
        <v>4350</v>
      </c>
      <c r="P295" s="55" t="s">
        <v>110</v>
      </c>
      <c r="Q295" s="67" t="str">
        <f>IFERROR(__xludf.DUMMYFUNCTION("""COMPUTED_VALUE"""),"KoreaSouth.Giaotiep.M99C76_LHV.9822_CVS_DungNT_040124")</f>
        <v>KoreaSouth.Giaotiep.M99C76_LHV.9822_CVS_DungNT_040124</v>
      </c>
      <c r="R295" s="67" t="str">
        <f>IFERROR(__xludf.DUMMYFUNCTION("""COMPUTED_VALUE"""),"NEW_KoreaSouth_1840_none_040124")</f>
        <v>NEW_KoreaSouth_1840_none_040124</v>
      </c>
      <c r="S295" s="67" t="str">
        <f>IFERROR(__xludf.DUMMYFUNCTION("""COMPUTED_VALUE"""),"saletructiep_KoreaSouth.M99C76.1840.Giaotiep_PTATDNDL_LD144")</f>
        <v>saletructiep_KoreaSouth.M99C76.1840.Giaotiep_PTATDNDL_LD144</v>
      </c>
      <c r="T295" s="107" t="str">
        <f>IFERROR(__xludf.DUMMYFUNCTION("""COMPUTED_VALUE"""),"https://patadovietnam.edu.vn/tienganhpatado_d1/?utm_source=Facebook&amp;utm_medium=CVS&amp;utm_term=NEW_KoreaSouth_1840_none_040124&amp;utm_content=saletructiep_KoreaSouth.M99C76.1840.Giaotiep_PTATDNDL_LD144&amp;utm_campaign=KoreaSouth.Giaotiep.M99C76_LHV.9822_CVS_DungNT"&amp;"_040124")</f>
        <v>https://patadovietnam.edu.vn/tienganhpatado_d1/?utm_source=Facebook&amp;utm_medium=CVS&amp;utm_term=NEW_KoreaSouth_1840_none_040124&amp;utm_content=saletructiep_KoreaSouth.M99C76.1840.Giaotiep_PTATDNDL_LD144&amp;utm_campaign=KoreaSouth.Giaotiep.M99C76_LHV.9822_CVS_DungNT_040124</v>
      </c>
      <c r="U295" s="110" t="s">
        <v>5747</v>
      </c>
    </row>
    <row r="296">
      <c r="A296" s="72">
        <v>45296.0</v>
      </c>
      <c r="B296" s="112" t="s">
        <v>3616</v>
      </c>
      <c r="C296" s="67" t="str">
        <f>IFERROR(__xludf.DUMMYFUNCTION("""COMPUTED_VALUE"""),"LD151")</f>
        <v>LD151</v>
      </c>
      <c r="D296" s="55" t="s">
        <v>42</v>
      </c>
      <c r="E296" s="55" t="s">
        <v>69</v>
      </c>
      <c r="F296" s="55" t="s">
        <v>674</v>
      </c>
      <c r="G296" s="55">
        <v>2055.0</v>
      </c>
      <c r="H296" s="55" t="s">
        <v>3306</v>
      </c>
      <c r="I296" s="55" t="s">
        <v>5750</v>
      </c>
      <c r="J296" s="168" t="s">
        <v>5751</v>
      </c>
      <c r="K296" s="167" t="s">
        <v>61</v>
      </c>
      <c r="L296" s="55" t="s">
        <v>1264</v>
      </c>
      <c r="M296" s="55" t="s">
        <v>78</v>
      </c>
      <c r="N296" s="55" t="s">
        <v>69</v>
      </c>
      <c r="O296" s="55" t="s">
        <v>218</v>
      </c>
      <c r="P296" s="55" t="s">
        <v>110</v>
      </c>
      <c r="Q296" s="67" t="str">
        <f>IFERROR(__xludf.DUMMYFUNCTION("""COMPUTED_VALUE"""),"Europe.Giaotiep.M74C36_LHV.9822_CVS_DungNT_050124")</f>
        <v>Europe.Giaotiep.M74C36_LHV.9822_CVS_DungNT_050124</v>
      </c>
      <c r="R296" s="67" t="str">
        <f>IFERROR(__xludf.DUMMYFUNCTION("""COMPUTED_VALUE"""),"NEW_Europe_2055_none_050124")</f>
        <v>NEW_Europe_2055_none_050124</v>
      </c>
      <c r="S296" s="67" t="str">
        <f>IFERROR(__xludf.DUMMYFUNCTION("""COMPUTED_VALUE"""),"saletructiep_Europe.M74C36.1840.Giaotiep_PTATTNDL_LD151")</f>
        <v>saletructiep_Europe.M74C36.1840.Giaotiep_PTATTNDL_LD151</v>
      </c>
      <c r="T296" s="107" t="str">
        <f>IFERROR(__xludf.DUMMYFUNCTION("""COMPUTED_VALUE"""),"https://patadovietnam.edu.vn/tienganheurope_dnt/?utm_source=Facebook&amp;utm_medium=CVS&amp;utm_term=NEW_Europe_2055_none_050124&amp;utm_content=saletructiep_Europe.M74C36.1840.Giaotiep_PTATTNDL_LD151&amp;utm_campaign=Europe.Giaotiep.M74C36_LHV.9822_CVS_DungNT_050124")</f>
        <v>https://patadovietnam.edu.vn/tienganheurope_dnt/?utm_source=Facebook&amp;utm_medium=CVS&amp;utm_term=NEW_Europe_2055_none_050124&amp;utm_content=saletructiep_Europe.M74C36.1840.Giaotiep_PTATTNDL_LD151&amp;utm_campaign=Europe.Giaotiep.M74C36_LHV.9822_CVS_DungNT_050124</v>
      </c>
      <c r="U296" s="110" t="s">
        <v>5755</v>
      </c>
    </row>
    <row r="297">
      <c r="A297" s="72">
        <v>45299.0</v>
      </c>
      <c r="B297" s="194" t="s">
        <v>3782</v>
      </c>
      <c r="C297" s="67" t="str">
        <f>IFERROR(__xludf.DUMMYFUNCTION("""COMPUTED_VALUE"""),"LD167")</f>
        <v>LD167</v>
      </c>
      <c r="D297" s="55" t="s">
        <v>42</v>
      </c>
      <c r="E297" s="55" t="s">
        <v>79</v>
      </c>
      <c r="F297" s="55" t="s">
        <v>107</v>
      </c>
      <c r="G297" s="55">
        <v>2055.0</v>
      </c>
      <c r="H297" s="55" t="s">
        <v>3306</v>
      </c>
      <c r="I297" s="55" t="s">
        <v>5758</v>
      </c>
      <c r="J297" s="168" t="s">
        <v>5759</v>
      </c>
      <c r="K297" s="167" t="s">
        <v>61</v>
      </c>
      <c r="L297" s="55" t="s">
        <v>1264</v>
      </c>
      <c r="M297" s="55" t="s">
        <v>78</v>
      </c>
      <c r="N297" s="55" t="s">
        <v>79</v>
      </c>
      <c r="O297" s="55" t="s">
        <v>4350</v>
      </c>
      <c r="P297" s="55" t="s">
        <v>110</v>
      </c>
      <c r="Q297" s="67" t="str">
        <f>IFERROR(__xludf.DUMMYFUNCTION("""COMPUTED_VALUE"""),"UnitedStates.Giaotiep.3bpatado_LHV.9822_MES_DungNT_080124")</f>
        <v>UnitedStates.Giaotiep.3bpatado_LHV.9822_MES_DungNT_080124</v>
      </c>
      <c r="R297" s="67" t="str">
        <f>IFERROR(__xludf.DUMMYFUNCTION("""COMPUTED_VALUE"""),"NEW_UnitedStates_2055_none_080124")</f>
        <v>NEW_UnitedStates_2055_none_080124</v>
      </c>
      <c r="S297" s="67" t="str">
        <f>IFERROR(__xludf.DUMMYFUNCTION("""COMPUTED_VALUE"""),"saletructiep_UnitedStates.3bpatado.2055.Giaotiep_PTATDNDL_LD167")</f>
        <v>saletructiep_UnitedStates.3bpatado.2055.Giaotiep_PTATDNDL_LD167</v>
      </c>
      <c r="T297" s="107" t="str">
        <f>IFERROR(__xludf.DUMMYFUNCTION("""COMPUTED_VALUE"""),"https://patadovietnam.edu.vn/tienganhnguoidilam_dnt/?utm_source=Facebook&amp;utm_medium=MES&amp;utm_term=NEW_UnitedStates_2055_none_080124&amp;utm_content=saletructiep_UnitedStates.3bpatado.2055.Giaotiep_PTATDNDL_LD167&amp;utm_campaign=UnitedStates.Giaotiep.3bpatado_LHV."&amp;"9822_MES_DungNT_080124")</f>
        <v>https://patadovietnam.edu.vn/tienganhnguoidilam_dnt/?utm_source=Facebook&amp;utm_medium=MES&amp;utm_term=NEW_UnitedStates_2055_none_080124&amp;utm_content=saletructiep_UnitedStates.3bpatado.2055.Giaotiep_PTATDNDL_LD167&amp;utm_campaign=UnitedStates.Giaotiep.3bpatado_LHV.9822_MES_DungNT_080124</v>
      </c>
      <c r="U297" s="111" t="s">
        <v>5764</v>
      </c>
    </row>
    <row r="298">
      <c r="A298" s="72">
        <v>45299.0</v>
      </c>
      <c r="B298" s="194" t="s">
        <v>3782</v>
      </c>
      <c r="C298" s="67" t="str">
        <f>IFERROR(__xludf.DUMMYFUNCTION("""COMPUTED_VALUE"""),"LD167")</f>
        <v>LD167</v>
      </c>
      <c r="D298" s="55" t="s">
        <v>42</v>
      </c>
      <c r="E298" s="55" t="s">
        <v>79</v>
      </c>
      <c r="F298" s="55" t="s">
        <v>112</v>
      </c>
      <c r="G298" s="55">
        <v>2055.0</v>
      </c>
      <c r="H298" s="55" t="s">
        <v>3306</v>
      </c>
      <c r="I298" s="55" t="s">
        <v>5768</v>
      </c>
      <c r="J298" s="168" t="s">
        <v>5769</v>
      </c>
      <c r="K298" s="167" t="s">
        <v>61</v>
      </c>
      <c r="L298" s="55" t="s">
        <v>1264</v>
      </c>
      <c r="M298" s="55" t="s">
        <v>78</v>
      </c>
      <c r="N298" s="55" t="s">
        <v>79</v>
      </c>
      <c r="O298" s="55" t="s">
        <v>4350</v>
      </c>
      <c r="P298" s="55" t="s">
        <v>110</v>
      </c>
      <c r="Q298" s="67" t="str">
        <f>IFERROR(__xludf.DUMMYFUNCTION("""COMPUTED_VALUE"""),"Canada.Giaotiep.3bpatado_LHV.9822_MES_DungNT_080124")</f>
        <v>Canada.Giaotiep.3bpatado_LHV.9822_MES_DungNT_080124</v>
      </c>
      <c r="R298" s="67" t="str">
        <f>IFERROR(__xludf.DUMMYFUNCTION("""COMPUTED_VALUE"""),"NEW_Canada_2055_none_080124")</f>
        <v>NEW_Canada_2055_none_080124</v>
      </c>
      <c r="S298" s="67" t="str">
        <f>IFERROR(__xludf.DUMMYFUNCTION("""COMPUTED_VALUE"""),"saletructiep_Canada.3bpatado.2055.Giaotiep_PTATDNDL_LD167")</f>
        <v>saletructiep_Canada.3bpatado.2055.Giaotiep_PTATDNDL_LD167</v>
      </c>
      <c r="T298" s="107" t="str">
        <f>IFERROR(__xludf.DUMMYFUNCTION("""COMPUTED_VALUE"""),"https://patadovietnam.edu.vn/tienganhnguoidilam_dnt/?utm_source=Facebook&amp;utm_medium=MES&amp;utm_term=NEW_Canada_2055_none_080124&amp;utm_content=saletructiep_Canada.3bpatado.2055.Giaotiep_PTATDNDL_LD167&amp;utm_campaign=Canada.Giaotiep.3bpatado_LHV.9822_MES_DungNT_08"&amp;"0124")</f>
        <v>https://patadovietnam.edu.vn/tienganhnguoidilam_dnt/?utm_source=Facebook&amp;utm_medium=MES&amp;utm_term=NEW_Canada_2055_none_080124&amp;utm_content=saletructiep_Canada.3bpatado.2055.Giaotiep_PTATDNDL_LD167&amp;utm_campaign=Canada.Giaotiep.3bpatado_LHV.9822_MES_DungNT_080124</v>
      </c>
      <c r="U298" s="110" t="s">
        <v>5772</v>
      </c>
    </row>
    <row r="299">
      <c r="A299" s="72">
        <v>45299.0</v>
      </c>
      <c r="B299" s="194" t="s">
        <v>3782</v>
      </c>
      <c r="C299" s="67" t="str">
        <f>IFERROR(__xludf.DUMMYFUNCTION("""COMPUTED_VALUE"""),"LD167")</f>
        <v>LD167</v>
      </c>
      <c r="D299" s="55" t="s">
        <v>42</v>
      </c>
      <c r="E299" s="55" t="s">
        <v>79</v>
      </c>
      <c r="F299" s="55" t="s">
        <v>129</v>
      </c>
      <c r="G299" s="55">
        <v>2055.0</v>
      </c>
      <c r="H299" s="55" t="s">
        <v>3306</v>
      </c>
      <c r="I299" s="55" t="s">
        <v>5773</v>
      </c>
      <c r="J299" s="168" t="s">
        <v>5774</v>
      </c>
      <c r="K299" s="167" t="s">
        <v>61</v>
      </c>
      <c r="L299" s="55" t="s">
        <v>1264</v>
      </c>
      <c r="M299" s="55" t="s">
        <v>78</v>
      </c>
      <c r="N299" s="55" t="s">
        <v>79</v>
      </c>
      <c r="O299" s="55" t="s">
        <v>4350</v>
      </c>
      <c r="P299" s="55" t="s">
        <v>110</v>
      </c>
      <c r="Q299" s="67" t="str">
        <f>IFERROR(__xludf.DUMMYFUNCTION("""COMPUTED_VALUE"""),"Australia.Giaotiep.3bpatado_LHV.9822_MES_DungNT_080124")</f>
        <v>Australia.Giaotiep.3bpatado_LHV.9822_MES_DungNT_080124</v>
      </c>
      <c r="R299" s="67" t="str">
        <f>IFERROR(__xludf.DUMMYFUNCTION("""COMPUTED_VALUE"""),"NEW_Australia_2055_none_080124")</f>
        <v>NEW_Australia_2055_none_080124</v>
      </c>
      <c r="S299" s="67" t="str">
        <f>IFERROR(__xludf.DUMMYFUNCTION("""COMPUTED_VALUE"""),"saletructiep_Australia.3bpatado.2055.Giaotiep_PTATDNDL_LD167")</f>
        <v>saletructiep_Australia.3bpatado.2055.Giaotiep_PTATDNDL_LD167</v>
      </c>
      <c r="T299" s="107" t="str">
        <f>IFERROR(__xludf.DUMMYFUNCTION("""COMPUTED_VALUE"""),"https://patadovietnam.edu.vn/tienganhnguoidilam_dnt/?utm_source=Facebook&amp;utm_medium=MES&amp;utm_term=NEW_Australia_2055_none_080124&amp;utm_content=saletructiep_Australia.3bpatado.2055.Giaotiep_PTATDNDL_LD167&amp;utm_campaign=Australia.Giaotiep.3bpatado_LHV.9822_MES_"&amp;"DungNT_080124")</f>
        <v>https://patadovietnam.edu.vn/tienganhnguoidilam_dnt/?utm_source=Facebook&amp;utm_medium=MES&amp;utm_term=NEW_Australia_2055_none_080124&amp;utm_content=saletructiep_Australia.3bpatado.2055.Giaotiep_PTATDNDL_LD167&amp;utm_campaign=Australia.Giaotiep.3bpatado_LHV.9822_MES_DungNT_080124</v>
      </c>
      <c r="U299" s="110" t="s">
        <v>5780</v>
      </c>
    </row>
    <row r="300">
      <c r="A300" s="72">
        <v>45299.0</v>
      </c>
      <c r="B300" s="194" t="s">
        <v>3782</v>
      </c>
      <c r="C300" s="67" t="str">
        <f>IFERROR(__xludf.DUMMYFUNCTION("""COMPUTED_VALUE"""),"LD167")</f>
        <v>LD167</v>
      </c>
      <c r="D300" s="55" t="s">
        <v>42</v>
      </c>
      <c r="E300" s="55" t="s">
        <v>79</v>
      </c>
      <c r="F300" s="55" t="s">
        <v>164</v>
      </c>
      <c r="G300" s="55">
        <v>2045.0</v>
      </c>
      <c r="H300" s="55" t="s">
        <v>3306</v>
      </c>
      <c r="I300" s="55" t="s">
        <v>5783</v>
      </c>
      <c r="J300" s="168" t="s">
        <v>5784</v>
      </c>
      <c r="K300" s="167" t="s">
        <v>61</v>
      </c>
      <c r="L300" s="55" t="s">
        <v>1264</v>
      </c>
      <c r="M300" s="55" t="s">
        <v>78</v>
      </c>
      <c r="N300" s="55" t="s">
        <v>79</v>
      </c>
      <c r="O300" s="55" t="s">
        <v>4350</v>
      </c>
      <c r="P300" s="55" t="s">
        <v>110</v>
      </c>
      <c r="Q300" s="67" t="str">
        <f>IFERROR(__xludf.DUMMYFUNCTION("""COMPUTED_VALUE"""),"Taiwan.Giaotiep.3bpatado_LHV.9822_MES_DungNT_080124")</f>
        <v>Taiwan.Giaotiep.3bpatado_LHV.9822_MES_DungNT_080124</v>
      </c>
      <c r="R300" s="67" t="str">
        <f>IFERROR(__xludf.DUMMYFUNCTION("""COMPUTED_VALUE"""),"NEW_Taiwan_2045_none_080124")</f>
        <v>NEW_Taiwan_2045_none_080124</v>
      </c>
      <c r="S300" s="67" t="str">
        <f>IFERROR(__xludf.DUMMYFUNCTION("""COMPUTED_VALUE"""),"saletructiep_Taiwan.3bpatado.2045.Giaotiep_PTATDNDL_LD167")</f>
        <v>saletructiep_Taiwan.3bpatado.2045.Giaotiep_PTATDNDL_LD167</v>
      </c>
      <c r="T300" s="107" t="str">
        <f>IFERROR(__xludf.DUMMYFUNCTION("""COMPUTED_VALUE"""),"https://patadovietnam.edu.vn/tienganhnguoidilam_dnt/?utm_source=Facebook&amp;utm_medium=MES&amp;utm_term=NEW_Taiwan_2045_none_080124&amp;utm_content=saletructiep_Taiwan.3bpatado.2045.Giaotiep_PTATDNDL_LD167&amp;utm_campaign=Taiwan.Giaotiep.3bpatado_LHV.9822_MES_DungNT_08"&amp;"0124")</f>
        <v>https://patadovietnam.edu.vn/tienganhnguoidilam_dnt/?utm_source=Facebook&amp;utm_medium=MES&amp;utm_term=NEW_Taiwan_2045_none_080124&amp;utm_content=saletructiep_Taiwan.3bpatado.2045.Giaotiep_PTATDNDL_LD167&amp;utm_campaign=Taiwan.Giaotiep.3bpatado_LHV.9822_MES_DungNT_080124</v>
      </c>
      <c r="U300" s="111" t="s">
        <v>5788</v>
      </c>
    </row>
    <row r="301">
      <c r="A301" s="72">
        <v>45299.0</v>
      </c>
      <c r="B301" s="194" t="s">
        <v>3782</v>
      </c>
      <c r="C301" s="67" t="str">
        <f>IFERROR(__xludf.DUMMYFUNCTION("""COMPUTED_VALUE"""),"LD167")</f>
        <v>LD167</v>
      </c>
      <c r="D301" s="55" t="s">
        <v>42</v>
      </c>
      <c r="E301" s="55" t="s">
        <v>79</v>
      </c>
      <c r="F301" s="55" t="s">
        <v>174</v>
      </c>
      <c r="G301" s="55">
        <v>2045.0</v>
      </c>
      <c r="H301" s="55" t="s">
        <v>3306</v>
      </c>
      <c r="I301" s="55" t="s">
        <v>5791</v>
      </c>
      <c r="J301" s="168" t="s">
        <v>5792</v>
      </c>
      <c r="K301" s="167" t="s">
        <v>61</v>
      </c>
      <c r="L301" s="55" t="s">
        <v>1264</v>
      </c>
      <c r="M301" s="55" t="s">
        <v>78</v>
      </c>
      <c r="N301" s="55" t="s">
        <v>79</v>
      </c>
      <c r="O301" s="55" t="s">
        <v>4350</v>
      </c>
      <c r="P301" s="55" t="s">
        <v>110</v>
      </c>
      <c r="Q301" s="67" t="str">
        <f>IFERROR(__xludf.DUMMYFUNCTION("""COMPUTED_VALUE"""),"Philippines.Giaotiep.3bpatado_LHV.9822_MES_DungNT_080124")</f>
        <v>Philippines.Giaotiep.3bpatado_LHV.9822_MES_DungNT_080124</v>
      </c>
      <c r="R301" s="67" t="str">
        <f>IFERROR(__xludf.DUMMYFUNCTION("""COMPUTED_VALUE"""),"NEW_Philippines_2045_none_080124")</f>
        <v>NEW_Philippines_2045_none_080124</v>
      </c>
      <c r="S301" s="67" t="str">
        <f>IFERROR(__xludf.DUMMYFUNCTION("""COMPUTED_VALUE"""),"saletructiep_Philippines.3bpatado.2045.Giaotiep_PTATDNDL_LD167")</f>
        <v>saletructiep_Philippines.3bpatado.2045.Giaotiep_PTATDNDL_LD167</v>
      </c>
      <c r="T301" s="107" t="str">
        <f>IFERROR(__xludf.DUMMYFUNCTION("""COMPUTED_VALUE"""),"https://patadovietnam.edu.vn/tienganhnguoidilam_dnt/?utm_source=Facebook&amp;utm_medium=MES&amp;utm_term=NEW_Philippines_2045_none_080124&amp;utm_content=saletructiep_Philippines.3bpatado.2045.Giaotiep_PTATDNDL_LD167&amp;utm_campaign=Philippines.Giaotiep.3bpatado_LHV.982"&amp;"2_MES_DungNT_080124")</f>
        <v>https://patadovietnam.edu.vn/tienganhnguoidilam_dnt/?utm_source=Facebook&amp;utm_medium=MES&amp;utm_term=NEW_Philippines_2045_none_080124&amp;utm_content=saletructiep_Philippines.3bpatado.2045.Giaotiep_PTATDNDL_LD167&amp;utm_campaign=Philippines.Giaotiep.3bpatado_LHV.9822_MES_DungNT_080124</v>
      </c>
      <c r="U301" s="110" t="s">
        <v>5797</v>
      </c>
    </row>
    <row r="302">
      <c r="A302" s="72">
        <v>45299.0</v>
      </c>
      <c r="B302" s="194" t="s">
        <v>3782</v>
      </c>
      <c r="C302" s="67" t="str">
        <f>IFERROR(__xludf.DUMMYFUNCTION("""COMPUTED_VALUE"""),"LD167")</f>
        <v>LD167</v>
      </c>
      <c r="D302" s="55" t="s">
        <v>42</v>
      </c>
      <c r="E302" s="55" t="s">
        <v>79</v>
      </c>
      <c r="F302" s="55" t="s">
        <v>133</v>
      </c>
      <c r="G302" s="55">
        <v>1840.0</v>
      </c>
      <c r="H302" s="55" t="s">
        <v>3306</v>
      </c>
      <c r="I302" s="55" t="s">
        <v>5798</v>
      </c>
      <c r="J302" s="168" t="s">
        <v>5799</v>
      </c>
      <c r="K302" s="167" t="s">
        <v>61</v>
      </c>
      <c r="L302" s="55" t="s">
        <v>1264</v>
      </c>
      <c r="M302" s="55" t="s">
        <v>78</v>
      </c>
      <c r="N302" s="55" t="s">
        <v>79</v>
      </c>
      <c r="O302" s="55" t="s">
        <v>4350</v>
      </c>
      <c r="P302" s="55" t="s">
        <v>110</v>
      </c>
      <c r="Q302" s="67" t="str">
        <f>IFERROR(__xludf.DUMMYFUNCTION("""COMPUTED_VALUE"""),"Japan.Giaotiep.3bpatado_LHV.9822_MES_DungNT_080124")</f>
        <v>Japan.Giaotiep.3bpatado_LHV.9822_MES_DungNT_080124</v>
      </c>
      <c r="R302" s="67" t="str">
        <f>IFERROR(__xludf.DUMMYFUNCTION("""COMPUTED_VALUE"""),"NEW_Japan_1840_none_080124")</f>
        <v>NEW_Japan_1840_none_080124</v>
      </c>
      <c r="S302" s="67" t="str">
        <f>IFERROR(__xludf.DUMMYFUNCTION("""COMPUTED_VALUE"""),"saletructiep_Japan.3bpatado.1840.Giaotiep_PTATDNDL_LD167")</f>
        <v>saletructiep_Japan.3bpatado.1840.Giaotiep_PTATDNDL_LD167</v>
      </c>
      <c r="T302" s="107" t="str">
        <f>IFERROR(__xludf.DUMMYFUNCTION("""COMPUTED_VALUE"""),"https://patadovietnam.edu.vn/tienganhnguoidilam_dnt/?utm_source=Facebook&amp;utm_medium=MES&amp;utm_term=NEW_Japan_1840_none_080124&amp;utm_content=saletructiep_Japan.3bpatado.1840.Giaotiep_PTATDNDL_LD167&amp;utm_campaign=Japan.Giaotiep.3bpatado_LHV.9822_MES_DungNT_08012"&amp;"4")</f>
        <v>https://patadovietnam.edu.vn/tienganhnguoidilam_dnt/?utm_source=Facebook&amp;utm_medium=MES&amp;utm_term=NEW_Japan_1840_none_080124&amp;utm_content=saletructiep_Japan.3bpatado.1840.Giaotiep_PTATDNDL_LD167&amp;utm_campaign=Japan.Giaotiep.3bpatado_LHV.9822_MES_DungNT_080124</v>
      </c>
      <c r="U302" s="110" t="s">
        <v>5801</v>
      </c>
    </row>
    <row r="303">
      <c r="A303" s="210">
        <v>45299.0</v>
      </c>
      <c r="B303" s="228" t="s">
        <v>3782</v>
      </c>
      <c r="C303" s="58" t="str">
        <f>IFERROR(__xludf.DUMMYFUNCTION("""COMPUTED_VALUE"""),"LD167")</f>
        <v>LD167</v>
      </c>
      <c r="D303" s="86" t="s">
        <v>42</v>
      </c>
      <c r="E303" s="86" t="s">
        <v>79</v>
      </c>
      <c r="F303" s="87" t="s">
        <v>625</v>
      </c>
      <c r="G303" s="163">
        <v>1840.0</v>
      </c>
      <c r="H303" s="86" t="s">
        <v>3306</v>
      </c>
      <c r="I303" s="87" t="s">
        <v>5805</v>
      </c>
      <c r="J303" s="87" t="s">
        <v>5806</v>
      </c>
      <c r="K303" s="86" t="s">
        <v>61</v>
      </c>
      <c r="L303" s="86" t="s">
        <v>1264</v>
      </c>
      <c r="M303" s="86" t="s">
        <v>78</v>
      </c>
      <c r="N303" s="86" t="s">
        <v>79</v>
      </c>
      <c r="O303" s="86" t="s">
        <v>4350</v>
      </c>
      <c r="P303" s="86" t="s">
        <v>110</v>
      </c>
      <c r="Q303" s="58" t="str">
        <f>IFERROR(__xludf.DUMMYFUNCTION("""COMPUTED_VALUE"""),"KoreaSouth.Giaotiep.3bpatado_LHV.9822_MES_DungNT_080124")</f>
        <v>KoreaSouth.Giaotiep.3bpatado_LHV.9822_MES_DungNT_080124</v>
      </c>
      <c r="R303" s="58" t="str">
        <f>IFERROR(__xludf.DUMMYFUNCTION("""COMPUTED_VALUE"""),"NEW_KoreaSouth_1840_none_080124")</f>
        <v>NEW_KoreaSouth_1840_none_080124</v>
      </c>
      <c r="S303" s="58" t="str">
        <f>IFERROR(__xludf.DUMMYFUNCTION("""COMPUTED_VALUE"""),"saletructiep_KoreaSouth.3bpatado.2045.Giaotiep_PTATDNDL_LD167")</f>
        <v>saletructiep_KoreaSouth.3bpatado.2045.Giaotiep_PTATDNDL_LD167</v>
      </c>
      <c r="T303" s="214" t="str">
        <f>IFERROR(__xludf.DUMMYFUNCTION("""COMPUTED_VALUE"""),"https://patadovietnam.edu.vn/tienganhnguoidilam_dnt/?utm_source=Facebook&amp;utm_medium=MES&amp;utm_term=NEW_KoreaSouth_1840_none_080124&amp;utm_content=saletructiep_KoreaSouth.3bpatado.2045.Giaotiep_PTATDNDL_LD167&amp;utm_campaign=KoreaSouth.Giaotiep.3bpatado_LHV.9822_M"&amp;"ES_DungNT_080124")</f>
        <v>https://patadovietnam.edu.vn/tienganhnguoidilam_dnt/?utm_source=Facebook&amp;utm_medium=MES&amp;utm_term=NEW_KoreaSouth_1840_none_080124&amp;utm_content=saletructiep_KoreaSouth.3bpatado.2045.Giaotiep_PTATDNDL_LD167&amp;utm_campaign=KoreaSouth.Giaotiep.3bpatado_LHV.9822_MES_DungNT_080124</v>
      </c>
      <c r="U303" s="215" t="s">
        <v>5809</v>
      </c>
    </row>
    <row r="304">
      <c r="A304" s="72">
        <v>45299.0</v>
      </c>
      <c r="B304" s="112" t="s">
        <v>3616</v>
      </c>
      <c r="C304" s="67" t="str">
        <f>IFERROR(__xludf.DUMMYFUNCTION("""COMPUTED_VALUE"""),"LD151")</f>
        <v>LD151</v>
      </c>
      <c r="D304" s="55" t="s">
        <v>42</v>
      </c>
      <c r="E304" s="55" t="s">
        <v>69</v>
      </c>
      <c r="F304" s="55" t="s">
        <v>674</v>
      </c>
      <c r="G304" s="55">
        <v>2055.0</v>
      </c>
      <c r="H304" s="55" t="s">
        <v>3306</v>
      </c>
      <c r="I304" s="55" t="s">
        <v>5812</v>
      </c>
      <c r="J304" s="168" t="s">
        <v>5813</v>
      </c>
      <c r="K304" s="167" t="s">
        <v>61</v>
      </c>
      <c r="L304" s="55" t="s">
        <v>1264</v>
      </c>
      <c r="M304" s="55" t="s">
        <v>78</v>
      </c>
      <c r="N304" s="55" t="s">
        <v>69</v>
      </c>
      <c r="O304" s="55" t="s">
        <v>218</v>
      </c>
      <c r="P304" s="55" t="s">
        <v>110</v>
      </c>
      <c r="Q304" s="67" t="str">
        <f>IFERROR(__xludf.DUMMYFUNCTION("""COMPUTED_VALUE"""),"Europe.Giaotiep.3bpatado_LHV.9822_CVS_DungNT_080124")</f>
        <v>Europe.Giaotiep.3bpatado_LHV.9822_CVS_DungNT_080124</v>
      </c>
      <c r="R304" s="67" t="str">
        <f>IFERROR(__xludf.DUMMYFUNCTION("""COMPUTED_VALUE"""),"NEW_Europe_2055_none_080124")</f>
        <v>NEW_Europe_2055_none_080124</v>
      </c>
      <c r="S304" s="67" t="str">
        <f>IFERROR(__xludf.DUMMYFUNCTION("""COMPUTED_VALUE"""),"saletructiep_Europe.3bpatado.2055.Giaotiep_PTATTNDL_LD151")</f>
        <v>saletructiep_Europe.3bpatado.2055.Giaotiep_PTATTNDL_LD151</v>
      </c>
      <c r="T304" s="107" t="str">
        <f>IFERROR(__xludf.DUMMYFUNCTION("""COMPUTED_VALUE"""),"https://patadovietnam.edu.vn/tienganheurope_dnt/?utm_source=Facebook&amp;utm_medium=CVS&amp;utm_term=NEW_Europe_2055_none_080124&amp;utm_content=saletructiep_Europe.3bpatado.2055.Giaotiep_PTATTNDL_LD151&amp;utm_campaign=Europe.Giaotiep.3bpatado_LHV.9822_CVS_DungNT_080124")</f>
        <v>https://patadovietnam.edu.vn/tienganheurope_dnt/?utm_source=Facebook&amp;utm_medium=CVS&amp;utm_term=NEW_Europe_2055_none_080124&amp;utm_content=saletructiep_Europe.3bpatado.2055.Giaotiep_PTATTNDL_LD151&amp;utm_campaign=Europe.Giaotiep.3bpatado_LHV.9822_CVS_DungNT_080124</v>
      </c>
      <c r="U304" s="110" t="s">
        <v>5816</v>
      </c>
    </row>
    <row r="305">
      <c r="A305" s="72">
        <v>45305.0</v>
      </c>
      <c r="B305" s="112" t="s">
        <v>3502</v>
      </c>
      <c r="C305" s="67" t="str">
        <f>IFERROR(__xludf.DUMMYFUNCTION("""COMPUTED_VALUE"""),"LD144")</f>
        <v>LD144</v>
      </c>
      <c r="D305" s="55" t="s">
        <v>42</v>
      </c>
      <c r="E305" s="55" t="s">
        <v>69</v>
      </c>
      <c r="F305" s="55" t="s">
        <v>133</v>
      </c>
      <c r="G305" s="55">
        <v>1840.0</v>
      </c>
      <c r="H305" s="55" t="s">
        <v>3306</v>
      </c>
      <c r="I305" s="55" t="s">
        <v>5820</v>
      </c>
      <c r="J305" s="168" t="s">
        <v>5821</v>
      </c>
      <c r="K305" s="167" t="s">
        <v>61</v>
      </c>
      <c r="L305" s="55" t="s">
        <v>1264</v>
      </c>
      <c r="M305" s="55" t="s">
        <v>78</v>
      </c>
      <c r="N305" s="55" t="s">
        <v>69</v>
      </c>
      <c r="O305" s="55" t="s">
        <v>4350</v>
      </c>
      <c r="P305" s="55" t="s">
        <v>110</v>
      </c>
      <c r="Q305" s="67" t="str">
        <f>IFERROR(__xludf.DUMMYFUNCTION("""COMPUTED_VALUE"""),"Japan.Giaotiep.ht3t_LHV.9822_CVS_DungNT_140124")</f>
        <v>Japan.Giaotiep.ht3t_LHV.9822_CVS_DungNT_140124</v>
      </c>
      <c r="R305" s="67" t="str">
        <f>IFERROR(__xludf.DUMMYFUNCTION("""COMPUTED_VALUE"""),"NEW_Japan_1840_none_140124")</f>
        <v>NEW_Japan_1840_none_140124</v>
      </c>
      <c r="S305" s="67" t="str">
        <f>IFERROR(__xludf.DUMMYFUNCTION("""COMPUTED_VALUE"""),"saletructiep_Japan.ht3t.1840.Giaotiep_PTATDNDL_LD144")</f>
        <v>saletructiep_Japan.ht3t.1840.Giaotiep_PTATDNDL_LD144</v>
      </c>
      <c r="T305" s="107" t="str">
        <f>IFERROR(__xludf.DUMMYFUNCTION("""COMPUTED_VALUE"""),"https://patadovietnam.edu.vn/tienganhpatado_d1/?utm_source=Facebook&amp;utm_medium=CVS&amp;utm_term=NEW_Japan_1840_none_140124&amp;utm_content=saletructiep_Japan.ht3t.1840.Giaotiep_PTATDNDL_LD144&amp;utm_campaign=Japan.Giaotiep.ht3t_LHV.9822_CVS_DungNT_140124")</f>
        <v>https://patadovietnam.edu.vn/tienganhpatado_d1/?utm_source=Facebook&amp;utm_medium=CVS&amp;utm_term=NEW_Japan_1840_none_140124&amp;utm_content=saletructiep_Japan.ht3t.1840.Giaotiep_PTATDNDL_LD144&amp;utm_campaign=Japan.Giaotiep.ht3t_LHV.9822_CVS_DungNT_140124</v>
      </c>
      <c r="U305" s="110" t="s">
        <v>5824</v>
      </c>
    </row>
    <row r="306">
      <c r="A306" s="72">
        <v>45305.0</v>
      </c>
      <c r="B306" s="112" t="s">
        <v>3502</v>
      </c>
      <c r="C306" s="67" t="str">
        <f>IFERROR(__xludf.DUMMYFUNCTION("""COMPUTED_VALUE"""),"LD144")</f>
        <v>LD144</v>
      </c>
      <c r="D306" s="55" t="s">
        <v>42</v>
      </c>
      <c r="E306" s="55" t="s">
        <v>69</v>
      </c>
      <c r="F306" s="55" t="s">
        <v>625</v>
      </c>
      <c r="G306" s="55">
        <v>1840.0</v>
      </c>
      <c r="H306" s="55" t="s">
        <v>3306</v>
      </c>
      <c r="I306" s="55" t="s">
        <v>5826</v>
      </c>
      <c r="J306" s="168" t="s">
        <v>5827</v>
      </c>
      <c r="K306" s="167" t="s">
        <v>61</v>
      </c>
      <c r="L306" s="55" t="s">
        <v>1264</v>
      </c>
      <c r="M306" s="55" t="s">
        <v>78</v>
      </c>
      <c r="N306" s="55" t="s">
        <v>69</v>
      </c>
      <c r="O306" s="55" t="s">
        <v>4350</v>
      </c>
      <c r="P306" s="55" t="s">
        <v>110</v>
      </c>
      <c r="Q306" s="67" t="str">
        <f>IFERROR(__xludf.DUMMYFUNCTION("""COMPUTED_VALUE"""),"KoreaSouth.Giaotiep.ht3t_LHV.9822_CVS_DungNT_140124")</f>
        <v>KoreaSouth.Giaotiep.ht3t_LHV.9822_CVS_DungNT_140124</v>
      </c>
      <c r="R306" s="67" t="str">
        <f>IFERROR(__xludf.DUMMYFUNCTION("""COMPUTED_VALUE"""),"NEW_KoreaSouth_1840_none_140124")</f>
        <v>NEW_KoreaSouth_1840_none_140124</v>
      </c>
      <c r="S306" s="67" t="str">
        <f>IFERROR(__xludf.DUMMYFUNCTION("""COMPUTED_VALUE"""),"saletructiep_KoreaSouth.ht3t.1840.Giaotiep_PTATDNDL_LD144")</f>
        <v>saletructiep_KoreaSouth.ht3t.1840.Giaotiep_PTATDNDL_LD144</v>
      </c>
      <c r="T306" s="107" t="str">
        <f>IFERROR(__xludf.DUMMYFUNCTION("""COMPUTED_VALUE"""),"https://patadovietnam.edu.vn/tienganhpatado_d1/?utm_source=Facebook&amp;utm_medium=CVS&amp;utm_term=NEW_KoreaSouth_1840_none_140124&amp;utm_content=saletructiep_KoreaSouth.ht3t.1840.Giaotiep_PTATDNDL_LD144&amp;utm_campaign=KoreaSouth.Giaotiep.ht3t_LHV.9822_CVS_DungNT_140"&amp;"124")</f>
        <v>https://patadovietnam.edu.vn/tienganhpatado_d1/?utm_source=Facebook&amp;utm_medium=CVS&amp;utm_term=NEW_KoreaSouth_1840_none_140124&amp;utm_content=saletructiep_KoreaSouth.ht3t.1840.Giaotiep_PTATDNDL_LD144&amp;utm_campaign=KoreaSouth.Giaotiep.ht3t_LHV.9822_CVS_DungNT_140124</v>
      </c>
      <c r="U306" s="110" t="s">
        <v>5831</v>
      </c>
    </row>
    <row r="307">
      <c r="A307" s="72">
        <v>45305.0</v>
      </c>
      <c r="B307" s="112" t="s">
        <v>3502</v>
      </c>
      <c r="C307" s="67" t="str">
        <f>IFERROR(__xludf.DUMMYFUNCTION("""COMPUTED_VALUE"""),"LD144")</f>
        <v>LD144</v>
      </c>
      <c r="D307" s="55" t="s">
        <v>42</v>
      </c>
      <c r="E307" s="55" t="s">
        <v>79</v>
      </c>
      <c r="F307" s="55" t="s">
        <v>107</v>
      </c>
      <c r="G307" s="55">
        <v>2055.0</v>
      </c>
      <c r="H307" s="55" t="s">
        <v>3306</v>
      </c>
      <c r="I307" s="55" t="s">
        <v>5833</v>
      </c>
      <c r="J307" s="168" t="s">
        <v>5834</v>
      </c>
      <c r="K307" s="167" t="s">
        <v>61</v>
      </c>
      <c r="L307" s="55" t="s">
        <v>1264</v>
      </c>
      <c r="M307" s="55" t="s">
        <v>78</v>
      </c>
      <c r="N307" s="55" t="s">
        <v>79</v>
      </c>
      <c r="O307" s="55" t="s">
        <v>4350</v>
      </c>
      <c r="P307" s="55" t="s">
        <v>110</v>
      </c>
      <c r="Q307" s="67" t="str">
        <f>IFERROR(__xludf.DUMMYFUNCTION("""COMPUTED_VALUE"""),"UnitedStates.Giaotiep.vdgd_LHV.9822_MES_DungNT_140124")</f>
        <v>UnitedStates.Giaotiep.vdgd_LHV.9822_MES_DungNT_140124</v>
      </c>
      <c r="R307" s="67" t="str">
        <f>IFERROR(__xludf.DUMMYFUNCTION("""COMPUTED_VALUE"""),"NEW_UnitedStates_2055_none_140124")</f>
        <v>NEW_UnitedStates_2055_none_140124</v>
      </c>
      <c r="S307" s="67" t="str">
        <f>IFERROR(__xludf.DUMMYFUNCTION("""COMPUTED_VALUE"""),"saletructiep_UnitedStates.vdgd.2055.Giaotiep_PTATDNDL_LD144")</f>
        <v>saletructiep_UnitedStates.vdgd.2055.Giaotiep_PTATDNDL_LD144</v>
      </c>
      <c r="T307" s="107" t="str">
        <f>IFERROR(__xludf.DUMMYFUNCTION("""COMPUTED_VALUE"""),"https://patadovietnam.edu.vn/tienganhpatado_d1/?utm_source=Facebook&amp;utm_medium=MES&amp;utm_term=NEW_UnitedStates_2055_none_140124&amp;utm_content=saletructiep_UnitedStates.vdgd.2055.Giaotiep_PTATDNDL_LD144&amp;utm_campaign=UnitedStates.Giaotiep.vdgd_LHV.9822_MES_Dung"&amp;"NT_140124")</f>
        <v>https://patadovietnam.edu.vn/tienganhpatado_d1/?utm_source=Facebook&amp;utm_medium=MES&amp;utm_term=NEW_UnitedStates_2055_none_140124&amp;utm_content=saletructiep_UnitedStates.vdgd.2055.Giaotiep_PTATDNDL_LD144&amp;utm_campaign=UnitedStates.Giaotiep.vdgd_LHV.9822_MES_DungNT_140124</v>
      </c>
      <c r="U307" s="111" t="s">
        <v>5836</v>
      </c>
    </row>
    <row r="308">
      <c r="A308" s="72">
        <v>45305.0</v>
      </c>
      <c r="B308" s="112" t="s">
        <v>3502</v>
      </c>
      <c r="C308" s="67" t="str">
        <f>IFERROR(__xludf.DUMMYFUNCTION("""COMPUTED_VALUE"""),"LD144")</f>
        <v>LD144</v>
      </c>
      <c r="D308" s="55" t="s">
        <v>42</v>
      </c>
      <c r="E308" s="55" t="s">
        <v>79</v>
      </c>
      <c r="F308" s="55" t="s">
        <v>164</v>
      </c>
      <c r="G308" s="55">
        <v>2045.0</v>
      </c>
      <c r="H308" s="55" t="s">
        <v>3306</v>
      </c>
      <c r="I308" s="55" t="s">
        <v>5838</v>
      </c>
      <c r="J308" s="168" t="s">
        <v>5839</v>
      </c>
      <c r="K308" s="167" t="s">
        <v>61</v>
      </c>
      <c r="L308" s="55" t="s">
        <v>1264</v>
      </c>
      <c r="M308" s="55" t="s">
        <v>78</v>
      </c>
      <c r="N308" s="55" t="s">
        <v>79</v>
      </c>
      <c r="O308" s="55" t="s">
        <v>4350</v>
      </c>
      <c r="P308" s="55" t="s">
        <v>110</v>
      </c>
      <c r="Q308" s="67" t="str">
        <f>IFERROR(__xludf.DUMMYFUNCTION("""COMPUTED_VALUE"""),"Taiwan.Giaotiep.ht3t_LHV.9822_MES_DungNT_140124")</f>
        <v>Taiwan.Giaotiep.ht3t_LHV.9822_MES_DungNT_140124</v>
      </c>
      <c r="R308" s="67" t="str">
        <f>IFERROR(__xludf.DUMMYFUNCTION("""COMPUTED_VALUE"""),"NEW_Taiwan_2045_none_140124")</f>
        <v>NEW_Taiwan_2045_none_140124</v>
      </c>
      <c r="S308" s="67" t="str">
        <f>IFERROR(__xludf.DUMMYFUNCTION("""COMPUTED_VALUE"""),"saletructiep_Taiwan.ht3t.2045.Giaotiep_PTATDNDL_LD144")</f>
        <v>saletructiep_Taiwan.ht3t.2045.Giaotiep_PTATDNDL_LD144</v>
      </c>
      <c r="T308" s="107" t="str">
        <f>IFERROR(__xludf.DUMMYFUNCTION("""COMPUTED_VALUE"""),"https://patadovietnam.edu.vn/tienganhpatado_d1/?utm_source=Facebook&amp;utm_medium=MES&amp;utm_term=NEW_Taiwan_2045_none_140124&amp;utm_content=saletructiep_Taiwan.ht3t.2045.Giaotiep_PTATDNDL_LD144&amp;utm_campaign=Taiwan.Giaotiep.ht3t_LHV.9822_MES_DungNT_140124")</f>
        <v>https://patadovietnam.edu.vn/tienganhpatado_d1/?utm_source=Facebook&amp;utm_medium=MES&amp;utm_term=NEW_Taiwan_2045_none_140124&amp;utm_content=saletructiep_Taiwan.ht3t.2045.Giaotiep_PTATDNDL_LD144&amp;utm_campaign=Taiwan.Giaotiep.ht3t_LHV.9822_MES_DungNT_140124</v>
      </c>
      <c r="U308" s="111" t="s">
        <v>5842</v>
      </c>
    </row>
    <row r="309">
      <c r="A309" s="72">
        <v>45305.0</v>
      </c>
      <c r="B309" s="112" t="s">
        <v>3502</v>
      </c>
      <c r="C309" s="67" t="str">
        <f>IFERROR(__xludf.DUMMYFUNCTION("""COMPUTED_VALUE"""),"LD144")</f>
        <v>LD144</v>
      </c>
      <c r="D309" s="55" t="s">
        <v>42</v>
      </c>
      <c r="E309" s="55" t="s">
        <v>79</v>
      </c>
      <c r="F309" s="55" t="s">
        <v>174</v>
      </c>
      <c r="G309" s="55">
        <v>2045.0</v>
      </c>
      <c r="H309" s="55" t="s">
        <v>3306</v>
      </c>
      <c r="I309" s="55" t="s">
        <v>5844</v>
      </c>
      <c r="J309" s="168" t="s">
        <v>5845</v>
      </c>
      <c r="K309" s="167" t="s">
        <v>61</v>
      </c>
      <c r="L309" s="55" t="s">
        <v>1264</v>
      </c>
      <c r="M309" s="55" t="s">
        <v>78</v>
      </c>
      <c r="N309" s="55" t="s">
        <v>79</v>
      </c>
      <c r="O309" s="55" t="s">
        <v>4350</v>
      </c>
      <c r="P309" s="55" t="s">
        <v>110</v>
      </c>
      <c r="Q309" s="67" t="str">
        <f>IFERROR(__xludf.DUMMYFUNCTION("""COMPUTED_VALUE"""),"Philippines.Giaotiep.ht3t_LHV.9822_MES_DungNT_140124")</f>
        <v>Philippines.Giaotiep.ht3t_LHV.9822_MES_DungNT_140124</v>
      </c>
      <c r="R309" s="67" t="str">
        <f>IFERROR(__xludf.DUMMYFUNCTION("""COMPUTED_VALUE"""),"NEW_Philippines_2045_none_140124")</f>
        <v>NEW_Philippines_2045_none_140124</v>
      </c>
      <c r="S309" s="67" t="str">
        <f>IFERROR(__xludf.DUMMYFUNCTION("""COMPUTED_VALUE"""),"saletructiep_Philippines.ht3t.2045.Giaotiep_PTATDNDL_LD144")</f>
        <v>saletructiep_Philippines.ht3t.2045.Giaotiep_PTATDNDL_LD144</v>
      </c>
      <c r="T309" s="107" t="str">
        <f>IFERROR(__xludf.DUMMYFUNCTION("""COMPUTED_VALUE"""),"https://patadovietnam.edu.vn/tienganhpatado_d1/?utm_source=Facebook&amp;utm_medium=MES&amp;utm_term=NEW_Philippines_2045_none_140124&amp;utm_content=saletructiep_Philippines.ht3t.2045.Giaotiep_PTATDNDL_LD144&amp;utm_campaign=Philippines.Giaotiep.ht3t_LHV.9822_MES_DungNT_"&amp;"140124")</f>
        <v>https://patadovietnam.edu.vn/tienganhpatado_d1/?utm_source=Facebook&amp;utm_medium=MES&amp;utm_term=NEW_Philippines_2045_none_140124&amp;utm_content=saletructiep_Philippines.ht3t.2045.Giaotiep_PTATDNDL_LD144&amp;utm_campaign=Philippines.Giaotiep.ht3t_LHV.9822_MES_DungNT_140124</v>
      </c>
      <c r="U309" s="110" t="s">
        <v>5848</v>
      </c>
    </row>
    <row r="310">
      <c r="A310" s="72">
        <v>45305.0</v>
      </c>
      <c r="B310" s="112" t="s">
        <v>3616</v>
      </c>
      <c r="C310" s="67" t="str">
        <f>IFERROR(__xludf.DUMMYFUNCTION("""COMPUTED_VALUE"""),"LD151")</f>
        <v>LD151</v>
      </c>
      <c r="D310" s="55" t="s">
        <v>42</v>
      </c>
      <c r="E310" s="55" t="s">
        <v>69</v>
      </c>
      <c r="F310" s="55" t="s">
        <v>674</v>
      </c>
      <c r="G310" s="55">
        <v>2055.0</v>
      </c>
      <c r="H310" s="55" t="s">
        <v>3306</v>
      </c>
      <c r="I310" s="55" t="s">
        <v>5849</v>
      </c>
      <c r="J310" s="168" t="s">
        <v>5850</v>
      </c>
      <c r="K310" s="167" t="s">
        <v>61</v>
      </c>
      <c r="L310" s="55" t="s">
        <v>1264</v>
      </c>
      <c r="M310" s="55" t="s">
        <v>78</v>
      </c>
      <c r="N310" s="55" t="s">
        <v>69</v>
      </c>
      <c r="O310" s="55" t="s">
        <v>218</v>
      </c>
      <c r="P310" s="55" t="s">
        <v>110</v>
      </c>
      <c r="Q310" s="67" t="str">
        <f>IFERROR(__xludf.DUMMYFUNCTION("""COMPUTED_VALUE"""),"Europe.Giaotiep.vdgd_LHV.9822_CVS_DungNT_140124")</f>
        <v>Europe.Giaotiep.vdgd_LHV.9822_CVS_DungNT_140124</v>
      </c>
      <c r="R310" s="67" t="str">
        <f>IFERROR(__xludf.DUMMYFUNCTION("""COMPUTED_VALUE"""),"NEW_Europe_2055_none_140124")</f>
        <v>NEW_Europe_2055_none_140124</v>
      </c>
      <c r="S310" s="67" t="str">
        <f>IFERROR(__xludf.DUMMYFUNCTION("""COMPUTED_VALUE"""),"saletructiep_Europe.vdgd.2055.Giaotiep_PTATTNDL_LD151")</f>
        <v>saletructiep_Europe.vdgd.2055.Giaotiep_PTATTNDL_LD151</v>
      </c>
      <c r="T310" s="107" t="str">
        <f>IFERROR(__xludf.DUMMYFUNCTION("""COMPUTED_VALUE"""),"https://patadovietnam.edu.vn/tienganheurope_dnt/?utm_source=Facebook&amp;utm_medium=CVS&amp;utm_term=NEW_Europe_2055_none_140124&amp;utm_content=saletructiep_Europe.vdgd.2055.Giaotiep_PTATTNDL_LD151&amp;utm_campaign=Europe.Giaotiep.vdgd_LHV.9822_CVS_DungNT_140124")</f>
        <v>https://patadovietnam.edu.vn/tienganheurope_dnt/?utm_source=Facebook&amp;utm_medium=CVS&amp;utm_term=NEW_Europe_2055_none_140124&amp;utm_content=saletructiep_Europe.vdgd.2055.Giaotiep_PTATTNDL_LD151&amp;utm_campaign=Europe.Giaotiep.vdgd_LHV.9822_CVS_DungNT_140124</v>
      </c>
      <c r="U310" s="110" t="s">
        <v>5852</v>
      </c>
    </row>
    <row r="311">
      <c r="A311" s="72">
        <v>45310.0</v>
      </c>
      <c r="B311" s="112" t="s">
        <v>3502</v>
      </c>
      <c r="C311" s="67" t="str">
        <f>IFERROR(__xludf.DUMMYFUNCTION("""COMPUTED_VALUE"""),"LD144")</f>
        <v>LD144</v>
      </c>
      <c r="D311" s="55" t="s">
        <v>42</v>
      </c>
      <c r="E311" s="55" t="s">
        <v>79</v>
      </c>
      <c r="F311" s="55" t="s">
        <v>133</v>
      </c>
      <c r="G311" s="55">
        <v>1840.0</v>
      </c>
      <c r="H311" s="55" t="s">
        <v>3306</v>
      </c>
      <c r="I311" s="55" t="s">
        <v>5855</v>
      </c>
      <c r="J311" s="168" t="s">
        <v>5856</v>
      </c>
      <c r="K311" s="167" t="s">
        <v>61</v>
      </c>
      <c r="L311" s="55" t="s">
        <v>1264</v>
      </c>
      <c r="M311" s="55" t="s">
        <v>78</v>
      </c>
      <c r="N311" s="55" t="s">
        <v>79</v>
      </c>
      <c r="O311" s="55" t="s">
        <v>4350</v>
      </c>
      <c r="P311" s="55" t="s">
        <v>110</v>
      </c>
      <c r="Q311" s="67" t="str">
        <f>IFERROR(__xludf.DUMMYFUNCTION("""COMPUTED_VALUE"""),"Japan.Giaotiep.anhfb_LHV.9822_MES_DungNT_190124")</f>
        <v>Japan.Giaotiep.anhfb_LHV.9822_MES_DungNT_190124</v>
      </c>
      <c r="R311" s="67" t="str">
        <f>IFERROR(__xludf.DUMMYFUNCTION("""COMPUTED_VALUE"""),"NEW_Japan_1840_none_190124")</f>
        <v>NEW_Japan_1840_none_190124</v>
      </c>
      <c r="S311" s="67" t="str">
        <f>IFERROR(__xludf.DUMMYFUNCTION("""COMPUTED_VALUE"""),"saletructiep_Japan.anhfb.1840.Giaotiep_PTATDNDL_LD144")</f>
        <v>saletructiep_Japan.anhfb.1840.Giaotiep_PTATDNDL_LD144</v>
      </c>
      <c r="T311" s="107" t="str">
        <f>IFERROR(__xludf.DUMMYFUNCTION("""COMPUTED_VALUE"""),"https://patadovietnam.edu.vn/tienganhpatado_d1/?utm_source=Facebook&amp;utm_medium=MES&amp;utm_term=NEW_Japan_1840_none_190124&amp;utm_content=saletructiep_Japan.anhfb.1840.Giaotiep_PTATDNDL_LD144&amp;utm_campaign=Japan.Giaotiep.anhfb_LHV.9822_MES_DungNT_190124")</f>
        <v>https://patadovietnam.edu.vn/tienganhpatado_d1/?utm_source=Facebook&amp;utm_medium=MES&amp;utm_term=NEW_Japan_1840_none_190124&amp;utm_content=saletructiep_Japan.anhfb.1840.Giaotiep_PTATDNDL_LD144&amp;utm_campaign=Japan.Giaotiep.anhfb_LHV.9822_MES_DungNT_190124</v>
      </c>
      <c r="U311" s="110" t="s">
        <v>5857</v>
      </c>
    </row>
    <row r="312">
      <c r="A312" s="72">
        <v>45310.0</v>
      </c>
      <c r="B312" s="112" t="s">
        <v>3502</v>
      </c>
      <c r="C312" s="67" t="str">
        <f>IFERROR(__xludf.DUMMYFUNCTION("""COMPUTED_VALUE"""),"LD144")</f>
        <v>LD144</v>
      </c>
      <c r="D312" s="55" t="s">
        <v>42</v>
      </c>
      <c r="E312" s="55" t="s">
        <v>79</v>
      </c>
      <c r="F312" s="55" t="s">
        <v>625</v>
      </c>
      <c r="G312" s="55">
        <v>1840.0</v>
      </c>
      <c r="H312" s="55" t="s">
        <v>3306</v>
      </c>
      <c r="I312" s="55" t="s">
        <v>5860</v>
      </c>
      <c r="J312" s="168" t="s">
        <v>5861</v>
      </c>
      <c r="K312" s="167" t="s">
        <v>61</v>
      </c>
      <c r="L312" s="55" t="s">
        <v>1264</v>
      </c>
      <c r="M312" s="55" t="s">
        <v>78</v>
      </c>
      <c r="N312" s="55" t="s">
        <v>79</v>
      </c>
      <c r="O312" s="55" t="s">
        <v>4350</v>
      </c>
      <c r="P312" s="55" t="s">
        <v>110</v>
      </c>
      <c r="Q312" s="67" t="str">
        <f>IFERROR(__xludf.DUMMYFUNCTION("""COMPUTED_VALUE"""),"KoreaSouth.Giaotiep.anhfb_LHV.9822_MES_DungNT_190124")</f>
        <v>KoreaSouth.Giaotiep.anhfb_LHV.9822_MES_DungNT_190124</v>
      </c>
      <c r="R312" s="67" t="str">
        <f>IFERROR(__xludf.DUMMYFUNCTION("""COMPUTED_VALUE"""),"NEW_KoreaSouth_1840_none_190124")</f>
        <v>NEW_KoreaSouth_1840_none_190124</v>
      </c>
      <c r="S312" s="67" t="str">
        <f>IFERROR(__xludf.DUMMYFUNCTION("""COMPUTED_VALUE"""),"saletructiep_KoreaSouth.anhfb.1840.Giaotiep_PTATDNDL_LD144")</f>
        <v>saletructiep_KoreaSouth.anhfb.1840.Giaotiep_PTATDNDL_LD144</v>
      </c>
      <c r="T312" s="107" t="str">
        <f>IFERROR(__xludf.DUMMYFUNCTION("""COMPUTED_VALUE"""),"https://patadovietnam.edu.vn/tienganhpatado_d1/?utm_source=Facebook&amp;utm_medium=MES&amp;utm_term=NEW_KoreaSouth_1840_none_190124&amp;utm_content=saletructiep_KoreaSouth.anhfb.1840.Giaotiep_PTATDNDL_LD144&amp;utm_campaign=KoreaSouth.Giaotiep.anhfb_LHV.9822_MES_DungNT_1"&amp;"90124")</f>
        <v>https://patadovietnam.edu.vn/tienganhpatado_d1/?utm_source=Facebook&amp;utm_medium=MES&amp;utm_term=NEW_KoreaSouth_1840_none_190124&amp;utm_content=saletructiep_KoreaSouth.anhfb.1840.Giaotiep_PTATDNDL_LD144&amp;utm_campaign=KoreaSouth.Giaotiep.anhfb_LHV.9822_MES_DungNT_190124</v>
      </c>
      <c r="U312" s="110" t="s">
        <v>5864</v>
      </c>
    </row>
    <row r="313">
      <c r="A313" s="72">
        <v>45310.0</v>
      </c>
      <c r="B313" s="112" t="s">
        <v>3502</v>
      </c>
      <c r="C313" s="67" t="str">
        <f>IFERROR(__xludf.DUMMYFUNCTION("""COMPUTED_VALUE"""),"LD144")</f>
        <v>LD144</v>
      </c>
      <c r="D313" s="55" t="s">
        <v>42</v>
      </c>
      <c r="E313" s="55" t="s">
        <v>79</v>
      </c>
      <c r="F313" s="55" t="s">
        <v>164</v>
      </c>
      <c r="G313" s="55">
        <v>1840.0</v>
      </c>
      <c r="H313" s="55" t="s">
        <v>3306</v>
      </c>
      <c r="I313" s="55" t="s">
        <v>5866</v>
      </c>
      <c r="J313" s="168" t="s">
        <v>5867</v>
      </c>
      <c r="K313" s="167" t="s">
        <v>61</v>
      </c>
      <c r="L313" s="55" t="s">
        <v>1264</v>
      </c>
      <c r="M313" s="55" t="s">
        <v>78</v>
      </c>
      <c r="N313" s="55" t="s">
        <v>79</v>
      </c>
      <c r="O313" s="55" t="s">
        <v>4350</v>
      </c>
      <c r="P313" s="55" t="s">
        <v>110</v>
      </c>
      <c r="Q313" s="67" t="str">
        <f>IFERROR(__xludf.DUMMYFUNCTION("""COMPUTED_VALUE"""),"Taiwan.Giaotiep.anhfb_LHV.9822_MES_DungNT_190124")</f>
        <v>Taiwan.Giaotiep.anhfb_LHV.9822_MES_DungNT_190124</v>
      </c>
      <c r="R313" s="67" t="str">
        <f>IFERROR(__xludf.DUMMYFUNCTION("""COMPUTED_VALUE"""),"NEW_Taiwan_1840_none_190124")</f>
        <v>NEW_Taiwan_1840_none_190124</v>
      </c>
      <c r="S313" s="67" t="str">
        <f>IFERROR(__xludf.DUMMYFUNCTION("""COMPUTED_VALUE"""),"saletructiep_Taiwan.anhfb.1840.Giaotiep_PTATDNDL_LD144")</f>
        <v>saletructiep_Taiwan.anhfb.1840.Giaotiep_PTATDNDL_LD144</v>
      </c>
      <c r="T313" s="107" t="str">
        <f>IFERROR(__xludf.DUMMYFUNCTION("""COMPUTED_VALUE"""),"https://patadovietnam.edu.vn/tienganhpatado_d1/?utm_source=Facebook&amp;utm_medium=MES&amp;utm_term=NEW_Taiwan_1840_none_190124&amp;utm_content=saletructiep_Taiwan.anhfb.1840.Giaotiep_PTATDNDL_LD144&amp;utm_campaign=Taiwan.Giaotiep.anhfb_LHV.9822_MES_DungNT_190124")</f>
        <v>https://patadovietnam.edu.vn/tienganhpatado_d1/?utm_source=Facebook&amp;utm_medium=MES&amp;utm_term=NEW_Taiwan_1840_none_190124&amp;utm_content=saletructiep_Taiwan.anhfb.1840.Giaotiep_PTATDNDL_LD144&amp;utm_campaign=Taiwan.Giaotiep.anhfb_LHV.9822_MES_DungNT_190124</v>
      </c>
      <c r="U313" s="110" t="s">
        <v>5872</v>
      </c>
    </row>
    <row r="314">
      <c r="A314" s="210">
        <v>45310.0</v>
      </c>
      <c r="B314" s="231" t="s">
        <v>3502</v>
      </c>
      <c r="C314" s="58" t="str">
        <f>IFERROR(__xludf.DUMMYFUNCTION("""COMPUTED_VALUE"""),"LD144")</f>
        <v>LD144</v>
      </c>
      <c r="D314" s="86" t="s">
        <v>42</v>
      </c>
      <c r="E314" s="86" t="s">
        <v>79</v>
      </c>
      <c r="F314" s="87" t="s">
        <v>174</v>
      </c>
      <c r="G314" s="163">
        <v>2045.0</v>
      </c>
      <c r="H314" s="86" t="s">
        <v>3306</v>
      </c>
      <c r="I314" s="87" t="s">
        <v>5875</v>
      </c>
      <c r="J314" s="87" t="s">
        <v>5876</v>
      </c>
      <c r="K314" s="86" t="s">
        <v>61</v>
      </c>
      <c r="L314" s="86" t="s">
        <v>1264</v>
      </c>
      <c r="M314" s="86" t="s">
        <v>78</v>
      </c>
      <c r="N314" s="86" t="s">
        <v>79</v>
      </c>
      <c r="O314" s="86" t="s">
        <v>4350</v>
      </c>
      <c r="P314" s="86" t="s">
        <v>110</v>
      </c>
      <c r="Q314" s="58" t="str">
        <f>IFERROR(__xludf.DUMMYFUNCTION("""COMPUTED_VALUE"""),"Philippines.Giaotiep.anhfb_LHV.9822_MES_DungNT_190124")</f>
        <v>Philippines.Giaotiep.anhfb_LHV.9822_MES_DungNT_190124</v>
      </c>
      <c r="R314" s="58" t="str">
        <f>IFERROR(__xludf.DUMMYFUNCTION("""COMPUTED_VALUE"""),"NEW_Philippines_2045_none_190124")</f>
        <v>NEW_Philippines_2045_none_190124</v>
      </c>
      <c r="S314" s="58" t="str">
        <f>IFERROR(__xludf.DUMMYFUNCTION("""COMPUTED_VALUE"""),"saletructiep_Philippines.anhfb.1840.Giaotiep_PTATDNDL_LD144")</f>
        <v>saletructiep_Philippines.anhfb.1840.Giaotiep_PTATDNDL_LD144</v>
      </c>
      <c r="T314" s="214" t="str">
        <f>IFERROR(__xludf.DUMMYFUNCTION("""COMPUTED_VALUE"""),"https://patadovietnam.edu.vn/tienganhpatado_d1/?utm_source=Facebook&amp;utm_medium=MES&amp;utm_term=NEW_Philippines_2045_none_190124&amp;utm_content=saletructiep_Philippines.anhfb.1840.Giaotiep_PTATDNDL_LD144&amp;utm_campaign=Philippines.Giaotiep.anhfb_LHV.9822_MES_DungN"&amp;"T_190124")</f>
        <v>https://patadovietnam.edu.vn/tienganhpatado_d1/?utm_source=Facebook&amp;utm_medium=MES&amp;utm_term=NEW_Philippines_2045_none_190124&amp;utm_content=saletructiep_Philippines.anhfb.1840.Giaotiep_PTATDNDL_LD144&amp;utm_campaign=Philippines.Giaotiep.anhfb_LHV.9822_MES_DungNT_190124</v>
      </c>
      <c r="U314" s="215" t="s">
        <v>5880</v>
      </c>
    </row>
    <row r="315">
      <c r="A315" s="72">
        <v>45310.0</v>
      </c>
      <c r="B315" s="112" t="s">
        <v>3600</v>
      </c>
      <c r="C315" s="67" t="str">
        <f>IFERROR(__xludf.DUMMYFUNCTION("""COMPUTED_VALUE"""),"LD150")</f>
        <v>LD150</v>
      </c>
      <c r="D315" s="55" t="s">
        <v>42</v>
      </c>
      <c r="E315" s="55" t="s">
        <v>79</v>
      </c>
      <c r="F315" s="55" t="s">
        <v>107</v>
      </c>
      <c r="G315" s="55">
        <v>2055.0</v>
      </c>
      <c r="H315" s="55" t="s">
        <v>3306</v>
      </c>
      <c r="I315" s="55" t="s">
        <v>5882</v>
      </c>
      <c r="J315" s="168" t="s">
        <v>5883</v>
      </c>
      <c r="K315" s="167" t="s">
        <v>61</v>
      </c>
      <c r="L315" s="55" t="s">
        <v>1264</v>
      </c>
      <c r="M315" s="55" t="s">
        <v>78</v>
      </c>
      <c r="N315" s="55" t="s">
        <v>79</v>
      </c>
      <c r="O315" s="55" t="s">
        <v>4350</v>
      </c>
      <c r="P315" s="55" t="s">
        <v>110</v>
      </c>
      <c r="Q315" s="67" t="str">
        <f>IFERROR(__xludf.DUMMYFUNCTION("""COMPUTED_VALUE"""),"UnitedStates.videofb_LHV.9822_MES_DungNT_190124")</f>
        <v>UnitedStates.videofb_LHV.9822_MES_DungNT_190124</v>
      </c>
      <c r="R315" s="67" t="str">
        <f>IFERROR(__xludf.DUMMYFUNCTION("""COMPUTED_VALUE"""),"NEW_UnitedStates_2055_none_190124")</f>
        <v>NEW_UnitedStates_2055_none_190124</v>
      </c>
      <c r="S315" s="67" t="str">
        <f>IFERROR(__xludf.DUMMYFUNCTION("""COMPUTED_VALUE"""),"saletructiep_UnitedStates.anhfb.2055.Giaotiep_PTATDNDL_LD150")</f>
        <v>saletructiep_UnitedStates.anhfb.2055.Giaotiep_PTATDNDL_LD150</v>
      </c>
      <c r="T315" s="107" t="str">
        <f>IFERROR(__xludf.DUMMYFUNCTION("""COMPUTED_VALUE"""),"https://patadovietnam.edu.vn/tienganhusa_dntt/?utm_source=Facebook&amp;utm_medium=MES&amp;utm_term=NEW_UnitedStates_2055_none_190124&amp;utm_content=saletructiep_UnitedStates.anhfb.2055.Giaotiep_PTATDNDL_LD150&amp;utm_campaign=UnitedStates.videofb_LHV.9822_MES_DungNT_190"&amp;"124")</f>
        <v>https://patadovietnam.edu.vn/tienganhusa_dntt/?utm_source=Facebook&amp;utm_medium=MES&amp;utm_term=NEW_UnitedStates_2055_none_190124&amp;utm_content=saletructiep_UnitedStates.anhfb.2055.Giaotiep_PTATDNDL_LD150&amp;utm_campaign=UnitedStates.videofb_LHV.9822_MES_DungNT_190124</v>
      </c>
      <c r="U315" s="110" t="s">
        <v>5889</v>
      </c>
    </row>
    <row r="316">
      <c r="A316" s="72">
        <v>45310.0</v>
      </c>
      <c r="B316" s="231" t="s">
        <v>3502</v>
      </c>
      <c r="C316" s="67" t="str">
        <f>IFERROR(__xludf.DUMMYFUNCTION("""COMPUTED_VALUE"""),"LD144")</f>
        <v>LD144</v>
      </c>
      <c r="D316" s="55" t="s">
        <v>42</v>
      </c>
      <c r="E316" s="55" t="s">
        <v>79</v>
      </c>
      <c r="F316" s="55" t="s">
        <v>112</v>
      </c>
      <c r="G316" s="55">
        <v>2055.0</v>
      </c>
      <c r="H316" s="55" t="s">
        <v>3306</v>
      </c>
      <c r="I316" s="55" t="s">
        <v>5891</v>
      </c>
      <c r="J316" s="168" t="s">
        <v>5892</v>
      </c>
      <c r="K316" s="167" t="s">
        <v>61</v>
      </c>
      <c r="L316" s="55" t="s">
        <v>1264</v>
      </c>
      <c r="M316" s="55" t="s">
        <v>78</v>
      </c>
      <c r="N316" s="55" t="s">
        <v>79</v>
      </c>
      <c r="O316" s="55" t="s">
        <v>4350</v>
      </c>
      <c r="P316" s="55" t="s">
        <v>110</v>
      </c>
      <c r="Q316" s="67" t="str">
        <f>IFERROR(__xludf.DUMMYFUNCTION("""COMPUTED_VALUE"""),"Canada.videofb_LHV.9822_MES_DungNT_190124")</f>
        <v>Canada.videofb_LHV.9822_MES_DungNT_190124</v>
      </c>
      <c r="R316" s="67" t="str">
        <f>IFERROR(__xludf.DUMMYFUNCTION("""COMPUTED_VALUE"""),"NEW_Canada_2055_none_190124")</f>
        <v>NEW_Canada_2055_none_190124</v>
      </c>
      <c r="S316" s="67" t="str">
        <f>IFERROR(__xludf.DUMMYFUNCTION("""COMPUTED_VALUE"""),"saletructiep_Canada.anhfb.2055.Giaotiep_PTATDNDL_LD144")</f>
        <v>saletructiep_Canada.anhfb.2055.Giaotiep_PTATDNDL_LD144</v>
      </c>
      <c r="T316" s="107" t="str">
        <f>IFERROR(__xludf.DUMMYFUNCTION("""COMPUTED_VALUE"""),"https://patadovietnam.edu.vn/tienganhpatado_d1/?utm_source=Facebook&amp;utm_medium=MES&amp;utm_term=NEW_Canada_2055_none_190124&amp;utm_content=saletructiep_Canada.anhfb.2055.Giaotiep_PTATDNDL_LD144&amp;utm_campaign=Canada.videofb_LHV.9822_MES_DungNT_190124")</f>
        <v>https://patadovietnam.edu.vn/tienganhpatado_d1/?utm_source=Facebook&amp;utm_medium=MES&amp;utm_term=NEW_Canada_2055_none_190124&amp;utm_content=saletructiep_Canada.anhfb.2055.Giaotiep_PTATDNDL_LD144&amp;utm_campaign=Canada.videofb_LHV.9822_MES_DungNT_190124</v>
      </c>
      <c r="U316" s="110" t="s">
        <v>5896</v>
      </c>
    </row>
    <row r="317">
      <c r="A317" s="72">
        <v>45310.0</v>
      </c>
      <c r="B317" s="112" t="s">
        <v>3600</v>
      </c>
      <c r="C317" s="67" t="str">
        <f>IFERROR(__xludf.DUMMYFUNCTION("""COMPUTED_VALUE"""),"LD150")</f>
        <v>LD150</v>
      </c>
      <c r="D317" s="55" t="s">
        <v>42</v>
      </c>
      <c r="E317" s="55" t="s">
        <v>79</v>
      </c>
      <c r="F317" s="55" t="s">
        <v>107</v>
      </c>
      <c r="G317" s="55">
        <v>2055.0</v>
      </c>
      <c r="H317" s="55" t="s">
        <v>3306</v>
      </c>
      <c r="I317" s="55" t="s">
        <v>5901</v>
      </c>
      <c r="J317" s="168" t="s">
        <v>5902</v>
      </c>
      <c r="K317" s="167" t="s">
        <v>61</v>
      </c>
      <c r="L317" s="55" t="s">
        <v>1264</v>
      </c>
      <c r="M317" s="55" t="s">
        <v>78</v>
      </c>
      <c r="N317" s="55" t="s">
        <v>79</v>
      </c>
      <c r="O317" s="55" t="s">
        <v>4350</v>
      </c>
      <c r="P317" s="55" t="s">
        <v>110</v>
      </c>
      <c r="Q317" s="67" t="str">
        <f>IFERROR(__xludf.DUMMYFUNCTION("""COMPUTED_VALUE"""),"UnitedStates.Giaotiep.vdjh_LHV.9822_MES_DungNT_190124")</f>
        <v>UnitedStates.Giaotiep.vdjh_LHV.9822_MES_DungNT_190124</v>
      </c>
      <c r="R317" s="67" t="str">
        <f>IFERROR(__xludf.DUMMYFUNCTION("""COMPUTED_VALUE"""),"NEW_UnitedStates_2055_none_190124")</f>
        <v>NEW_UnitedStates_2055_none_190124</v>
      </c>
      <c r="S317" s="67" t="str">
        <f>IFERROR(__xludf.DUMMYFUNCTION("""COMPUTED_VALUE"""),"saletructiep_UnitedStates.vdjh.2055.Giaotiep_PTATDNDL_LD150")</f>
        <v>saletructiep_UnitedStates.vdjh.2055.Giaotiep_PTATDNDL_LD150</v>
      </c>
      <c r="T317" s="107" t="str">
        <f>IFERROR(__xludf.DUMMYFUNCTION("""COMPUTED_VALUE"""),"https://patadovietnam.edu.vn/tienganhusa_dntt/?utm_source=Facebook&amp;utm_medium=MES&amp;utm_term=NEW_UnitedStates_2055_none_190124&amp;utm_content=saletructiep_UnitedStates.vdjh.2055.Giaotiep_PTATDNDL_LD150&amp;utm_campaign=UnitedStates.Giaotiep.vdjh_LHV.9822_MES_DungN"&amp;"T_190124")</f>
        <v>https://patadovietnam.edu.vn/tienganhusa_dntt/?utm_source=Facebook&amp;utm_medium=MES&amp;utm_term=NEW_UnitedStates_2055_none_190124&amp;utm_content=saletructiep_UnitedStates.vdjh.2055.Giaotiep_PTATDNDL_LD150&amp;utm_campaign=UnitedStates.Giaotiep.vdjh_LHV.9822_MES_DungNT_190124</v>
      </c>
      <c r="U317" s="110" t="s">
        <v>5906</v>
      </c>
    </row>
    <row r="318">
      <c r="A318" s="210">
        <v>45310.0</v>
      </c>
      <c r="B318" s="231" t="s">
        <v>5295</v>
      </c>
      <c r="C318" s="58" t="str">
        <f>IFERROR(__xludf.DUMMYFUNCTION("""COMPUTED_VALUE"""),"LD210")</f>
        <v>LD210</v>
      </c>
      <c r="D318" s="86" t="s">
        <v>42</v>
      </c>
      <c r="E318" s="86" t="s">
        <v>79</v>
      </c>
      <c r="F318" s="87" t="s">
        <v>112</v>
      </c>
      <c r="G318" s="211">
        <v>2055.0</v>
      </c>
      <c r="H318" s="86" t="s">
        <v>3306</v>
      </c>
      <c r="I318" s="87" t="s">
        <v>5909</v>
      </c>
      <c r="J318" s="87" t="s">
        <v>5910</v>
      </c>
      <c r="K318" s="86" t="s">
        <v>61</v>
      </c>
      <c r="L318" s="86" t="s">
        <v>1264</v>
      </c>
      <c r="M318" s="86" t="s">
        <v>78</v>
      </c>
      <c r="N318" s="86" t="s">
        <v>79</v>
      </c>
      <c r="O318" s="86" t="s">
        <v>4350</v>
      </c>
      <c r="P318" s="86" t="s">
        <v>110</v>
      </c>
      <c r="Q318" s="58" t="str">
        <f>IFERROR(__xludf.DUMMYFUNCTION("""COMPUTED_VALUE"""),"Canada.Giaotiep.vdjh_LHV.9822_MES_DungNT_190124")</f>
        <v>Canada.Giaotiep.vdjh_LHV.9822_MES_DungNT_190124</v>
      </c>
      <c r="R318" s="58" t="str">
        <f>IFERROR(__xludf.DUMMYFUNCTION("""COMPUTED_VALUE"""),"NEW_Canada_2055_none_190124")</f>
        <v>NEW_Canada_2055_none_190124</v>
      </c>
      <c r="S318" s="58" t="str">
        <f>IFERROR(__xludf.DUMMYFUNCTION("""COMPUTED_VALUE"""),"saletructiep_Canada.vdjh.2055.Giaotiep_PTATDNDL_LD210")</f>
        <v>saletructiep_Canada.vdjh.2055.Giaotiep_PTATDNDL_LD210</v>
      </c>
      <c r="T318" s="214" t="str">
        <f>IFERROR(__xludf.DUMMYFUNCTION("""COMPUTED_VALUE"""),"https://patadovietnam.edu.vn/tienganhtoandienpatado_ptattndl/?utm_source=Facebook&amp;utm_medium=MES&amp;utm_term=NEW_Canada_2055_none_190124&amp;utm_content=saletructiep_Canada.vdjh.2055.Giaotiep_PTATDNDL_LD210&amp;utm_campaign=Canada.Giaotiep.vdjh_LHV.9822_MES_DungNT_1"&amp;"90124")</f>
        <v>https://patadovietnam.edu.vn/tienganhtoandienpatado_ptattndl/?utm_source=Facebook&amp;utm_medium=MES&amp;utm_term=NEW_Canada_2055_none_190124&amp;utm_content=saletructiep_Canada.vdjh.2055.Giaotiep_PTATDNDL_LD210&amp;utm_campaign=Canada.Giaotiep.vdjh_LHV.9822_MES_DungNT_190124</v>
      </c>
      <c r="U318" s="205" t="s">
        <v>5917</v>
      </c>
    </row>
    <row r="319">
      <c r="A319" s="72">
        <v>45310.0</v>
      </c>
      <c r="B319" s="231" t="s">
        <v>5295</v>
      </c>
      <c r="C319" s="67" t="str">
        <f>IFERROR(__xludf.DUMMYFUNCTION("""COMPUTED_VALUE"""),"LD210")</f>
        <v>LD210</v>
      </c>
      <c r="D319" s="55" t="s">
        <v>42</v>
      </c>
      <c r="E319" s="55" t="s">
        <v>79</v>
      </c>
      <c r="F319" s="55" t="s">
        <v>164</v>
      </c>
      <c r="G319" s="55">
        <v>1840.0</v>
      </c>
      <c r="H319" s="55" t="s">
        <v>3306</v>
      </c>
      <c r="I319" s="55" t="s">
        <v>5918</v>
      </c>
      <c r="J319" s="168" t="s">
        <v>5867</v>
      </c>
      <c r="K319" s="167" t="s">
        <v>61</v>
      </c>
      <c r="L319" s="55" t="s">
        <v>1264</v>
      </c>
      <c r="M319" s="55" t="s">
        <v>78</v>
      </c>
      <c r="N319" s="55" t="s">
        <v>79</v>
      </c>
      <c r="O319" s="55" t="s">
        <v>4350</v>
      </c>
      <c r="P319" s="55" t="s">
        <v>110</v>
      </c>
      <c r="Q319" s="67" t="str">
        <f>IFERROR(__xludf.DUMMYFUNCTION("""COMPUTED_VALUE"""),"Taiwan.Giaotiep.vdjh_LHV.9822_MES_DungNT_190124")</f>
        <v>Taiwan.Giaotiep.vdjh_LHV.9822_MES_DungNT_190124</v>
      </c>
      <c r="R319" s="67" t="str">
        <f>IFERROR(__xludf.DUMMYFUNCTION("""COMPUTED_VALUE"""),"NEW_Taiwan_1840_none_190124")</f>
        <v>NEW_Taiwan_1840_none_190124</v>
      </c>
      <c r="S319" s="67" t="str">
        <f>IFERROR(__xludf.DUMMYFUNCTION("""COMPUTED_VALUE"""),"saletructiep_Taiwan.anhfb.1840.Giaotiep_PTATDNDL_LD210")</f>
        <v>saletructiep_Taiwan.anhfb.1840.Giaotiep_PTATDNDL_LD210</v>
      </c>
      <c r="T319" s="107" t="str">
        <f>IFERROR(__xludf.DUMMYFUNCTION("""COMPUTED_VALUE"""),"https://patadovietnam.edu.vn/tienganhtoandienpatado_ptattndl/?utm_source=Facebook&amp;utm_medium=MES&amp;utm_term=NEW_Taiwan_1840_none_190124&amp;utm_content=saletructiep_Taiwan.anhfb.1840.Giaotiep_PTATDNDL_LD210&amp;utm_campaign=Taiwan.Giaotiep.vdjh_LHV.9822_MES_DungNT_"&amp;"190124")</f>
        <v>https://patadovietnam.edu.vn/tienganhtoandienpatado_ptattndl/?utm_source=Facebook&amp;utm_medium=MES&amp;utm_term=NEW_Taiwan_1840_none_190124&amp;utm_content=saletructiep_Taiwan.anhfb.1840.Giaotiep_PTATDNDL_LD210&amp;utm_campaign=Taiwan.Giaotiep.vdjh_LHV.9822_MES_DungNT_190124</v>
      </c>
      <c r="U319" s="110" t="s">
        <v>5925</v>
      </c>
    </row>
    <row r="320">
      <c r="A320" s="210">
        <v>45310.0</v>
      </c>
      <c r="B320" s="231" t="s">
        <v>5295</v>
      </c>
      <c r="C320" s="58" t="str">
        <f>IFERROR(__xludf.DUMMYFUNCTION("""COMPUTED_VALUE"""),"LD210")</f>
        <v>LD210</v>
      </c>
      <c r="D320" s="86" t="s">
        <v>42</v>
      </c>
      <c r="E320" s="86" t="s">
        <v>79</v>
      </c>
      <c r="F320" s="87" t="s">
        <v>174</v>
      </c>
      <c r="G320" s="163">
        <v>2045.0</v>
      </c>
      <c r="H320" s="86" t="s">
        <v>3306</v>
      </c>
      <c r="I320" s="87" t="s">
        <v>5926</v>
      </c>
      <c r="J320" s="87" t="s">
        <v>5927</v>
      </c>
      <c r="K320" s="86" t="s">
        <v>61</v>
      </c>
      <c r="L320" s="86" t="s">
        <v>1264</v>
      </c>
      <c r="M320" s="86" t="s">
        <v>78</v>
      </c>
      <c r="N320" s="86" t="s">
        <v>79</v>
      </c>
      <c r="O320" s="86" t="s">
        <v>4350</v>
      </c>
      <c r="P320" s="86" t="s">
        <v>110</v>
      </c>
      <c r="Q320" s="58" t="str">
        <f>IFERROR(__xludf.DUMMYFUNCTION("""COMPUTED_VALUE"""),"Philippines.Giaotiep.vdjh_LHV.9822_MES_DungNT_190124")</f>
        <v>Philippines.Giaotiep.vdjh_LHV.9822_MES_DungNT_190124</v>
      </c>
      <c r="R320" s="58" t="str">
        <f>IFERROR(__xludf.DUMMYFUNCTION("""COMPUTED_VALUE"""),"NEW_Philippines_2045_none_190124")</f>
        <v>NEW_Philippines_2045_none_190124</v>
      </c>
      <c r="S320" s="58" t="str">
        <f>IFERROR(__xludf.DUMMYFUNCTION("""COMPUTED_VALUE"""),"saletructiep_Philippines.vdjh.1840.Giaotiep_PTATDNDL_LD210")</f>
        <v>saletructiep_Philippines.vdjh.1840.Giaotiep_PTATDNDL_LD210</v>
      </c>
      <c r="T320" s="214" t="str">
        <f>IFERROR(__xludf.DUMMYFUNCTION("""COMPUTED_VALUE"""),"https://patadovietnam.edu.vn/tienganhtoandienpatado_ptattndl/?utm_source=Facebook&amp;utm_medium=MES&amp;utm_term=NEW_Philippines_2045_none_190124&amp;utm_content=saletructiep_Philippines.vdjh.1840.Giaotiep_PTATDNDL_LD210&amp;utm_campaign=Philippines.Giaotiep.vdjh_LHV.98"&amp;"22_MES_DungNT_190124")</f>
        <v>https://patadovietnam.edu.vn/tienganhtoandienpatado_ptattndl/?utm_source=Facebook&amp;utm_medium=MES&amp;utm_term=NEW_Philippines_2045_none_190124&amp;utm_content=saletructiep_Philippines.vdjh.1840.Giaotiep_PTATDNDL_LD210&amp;utm_campaign=Philippines.Giaotiep.vdjh_LHV.9822_MES_DungNT_190124</v>
      </c>
      <c r="U320" s="215" t="s">
        <v>5929</v>
      </c>
    </row>
    <row r="321">
      <c r="A321" s="72">
        <v>45310.0</v>
      </c>
      <c r="B321" s="231" t="s">
        <v>5295</v>
      </c>
      <c r="C321" s="67" t="str">
        <f>IFERROR(__xludf.DUMMYFUNCTION("""COMPUTED_VALUE"""),"LD210")</f>
        <v>LD210</v>
      </c>
      <c r="D321" s="55" t="s">
        <v>42</v>
      </c>
      <c r="E321" s="55" t="s">
        <v>69</v>
      </c>
      <c r="F321" s="55" t="s">
        <v>133</v>
      </c>
      <c r="G321" s="55">
        <v>1840.0</v>
      </c>
      <c r="H321" s="55" t="s">
        <v>3306</v>
      </c>
      <c r="I321" s="55" t="s">
        <v>5933</v>
      </c>
      <c r="J321" s="168" t="s">
        <v>5934</v>
      </c>
      <c r="K321" s="167" t="s">
        <v>61</v>
      </c>
      <c r="L321" s="55" t="s">
        <v>1264</v>
      </c>
      <c r="M321" s="55" t="s">
        <v>78</v>
      </c>
      <c r="N321" s="55" t="s">
        <v>69</v>
      </c>
      <c r="O321" s="55" t="s">
        <v>4350</v>
      </c>
      <c r="P321" s="55" t="s">
        <v>110</v>
      </c>
      <c r="Q321" s="67" t="str">
        <f>IFERROR(__xludf.DUMMYFUNCTION("""COMPUTED_VALUE"""),"Japan.Giaotiep.vdjh_LHV.9822_CVS_DungNT_190124")</f>
        <v>Japan.Giaotiep.vdjh_LHV.9822_CVS_DungNT_190124</v>
      </c>
      <c r="R321" s="67" t="str">
        <f>IFERROR(__xludf.DUMMYFUNCTION("""COMPUTED_VALUE"""),"NEW_Japan_1840_none_190124")</f>
        <v>NEW_Japan_1840_none_190124</v>
      </c>
      <c r="S321" s="67" t="str">
        <f>IFERROR(__xludf.DUMMYFUNCTION("""COMPUTED_VALUE"""),"saletructiep_Japan.vdjh.1840.Giaotiep_PTATDNDL_LD210")</f>
        <v>saletructiep_Japan.vdjh.1840.Giaotiep_PTATDNDL_LD210</v>
      </c>
      <c r="T321" s="107" t="str">
        <f>IFERROR(__xludf.DUMMYFUNCTION("""COMPUTED_VALUE"""),"https://patadovietnam.edu.vn/tienganhtoandienpatado_ptattndl/?utm_source=Facebook&amp;utm_medium=CVS&amp;utm_term=NEW_Japan_1840_none_190124&amp;utm_content=saletructiep_Japan.vdjh.1840.Giaotiep_PTATDNDL_LD210&amp;utm_campaign=Japan.Giaotiep.vdjh_LHV.9822_CVS_DungNT_1901"&amp;"24")</f>
        <v>https://patadovietnam.edu.vn/tienganhtoandienpatado_ptattndl/?utm_source=Facebook&amp;utm_medium=CVS&amp;utm_term=NEW_Japan_1840_none_190124&amp;utm_content=saletructiep_Japan.vdjh.1840.Giaotiep_PTATDNDL_LD210&amp;utm_campaign=Japan.Giaotiep.vdjh_LHV.9822_CVS_DungNT_190124</v>
      </c>
      <c r="U321" s="110" t="s">
        <v>5937</v>
      </c>
    </row>
    <row r="322">
      <c r="A322" s="72">
        <v>45310.0</v>
      </c>
      <c r="B322" s="231" t="s">
        <v>5295</v>
      </c>
      <c r="C322" s="67" t="str">
        <f>IFERROR(__xludf.DUMMYFUNCTION("""COMPUTED_VALUE"""),"LD210")</f>
        <v>LD210</v>
      </c>
      <c r="D322" s="55" t="s">
        <v>42</v>
      </c>
      <c r="E322" s="55" t="s">
        <v>69</v>
      </c>
      <c r="F322" s="55" t="s">
        <v>625</v>
      </c>
      <c r="G322" s="55">
        <v>1840.0</v>
      </c>
      <c r="H322" s="55" t="s">
        <v>3306</v>
      </c>
      <c r="I322" s="55" t="s">
        <v>5942</v>
      </c>
      <c r="J322" s="168" t="s">
        <v>5943</v>
      </c>
      <c r="K322" s="167" t="s">
        <v>61</v>
      </c>
      <c r="L322" s="55" t="s">
        <v>1264</v>
      </c>
      <c r="M322" s="55" t="s">
        <v>78</v>
      </c>
      <c r="N322" s="55" t="s">
        <v>69</v>
      </c>
      <c r="O322" s="55" t="s">
        <v>4350</v>
      </c>
      <c r="P322" s="55" t="s">
        <v>110</v>
      </c>
      <c r="Q322" s="67" t="str">
        <f>IFERROR(__xludf.DUMMYFUNCTION("""COMPUTED_VALUE"""),"KoreaSouth.Giaotiep.vdjh_LHV.9822_CVS_DungNT_190124")</f>
        <v>KoreaSouth.Giaotiep.vdjh_LHV.9822_CVS_DungNT_190124</v>
      </c>
      <c r="R322" s="67" t="str">
        <f>IFERROR(__xludf.DUMMYFUNCTION("""COMPUTED_VALUE"""),"NEW_KoreaSouth_1840_none_190124")</f>
        <v>NEW_KoreaSouth_1840_none_190124</v>
      </c>
      <c r="S322" s="67" t="str">
        <f>IFERROR(__xludf.DUMMYFUNCTION("""COMPUTED_VALUE"""),"saletructiep_KoreaSouth.vdjh.1840.Giaotiep_PTATDNDL_LD210")</f>
        <v>saletructiep_KoreaSouth.vdjh.1840.Giaotiep_PTATDNDL_LD210</v>
      </c>
      <c r="T322" s="107" t="str">
        <f>IFERROR(__xludf.DUMMYFUNCTION("""COMPUTED_VALUE"""),"https://patadovietnam.edu.vn/tienganhtoandienpatado_ptattndl/?utm_source=Facebook&amp;utm_medium=CVS&amp;utm_term=NEW_KoreaSouth_1840_none_190124&amp;utm_content=saletructiep_KoreaSouth.vdjh.1840.Giaotiep_PTATDNDL_LD210&amp;utm_campaign=KoreaSouth.Giaotiep.vdjh_LHV.9822_"&amp;"CVS_DungNT_190124")</f>
        <v>https://patadovietnam.edu.vn/tienganhtoandienpatado_ptattndl/?utm_source=Facebook&amp;utm_medium=CVS&amp;utm_term=NEW_KoreaSouth_1840_none_190124&amp;utm_content=saletructiep_KoreaSouth.vdjh.1840.Giaotiep_PTATDNDL_LD210&amp;utm_campaign=KoreaSouth.Giaotiep.vdjh_LHV.9822_CVS_DungNT_190124</v>
      </c>
      <c r="U322" s="110" t="s">
        <v>5944</v>
      </c>
    </row>
    <row r="323">
      <c r="A323" s="72">
        <v>45310.0</v>
      </c>
      <c r="B323" s="232" t="s">
        <v>5945</v>
      </c>
      <c r="C323" s="67" t="str">
        <f>IFERROR(__xludf.DUMMYFUNCTION("""COMPUTED_VALUE"""),"LD218")</f>
        <v>LD218</v>
      </c>
      <c r="D323" s="55" t="s">
        <v>42</v>
      </c>
      <c r="E323" s="55" t="s">
        <v>69</v>
      </c>
      <c r="F323" s="55" t="s">
        <v>674</v>
      </c>
      <c r="G323" s="55">
        <v>1840.0</v>
      </c>
      <c r="H323" s="55" t="s">
        <v>3306</v>
      </c>
      <c r="I323" s="55" t="s">
        <v>5950</v>
      </c>
      <c r="J323" s="168" t="s">
        <v>5951</v>
      </c>
      <c r="K323" s="167" t="s">
        <v>61</v>
      </c>
      <c r="L323" s="55" t="s">
        <v>1264</v>
      </c>
      <c r="M323" s="55" t="s">
        <v>78</v>
      </c>
      <c r="N323" s="55" t="s">
        <v>69</v>
      </c>
      <c r="O323" s="55" t="s">
        <v>4350</v>
      </c>
      <c r="P323" s="55" t="s">
        <v>110</v>
      </c>
      <c r="Q323" s="67" t="str">
        <f>IFERROR(__xludf.DUMMYFUNCTION("""COMPUTED_VALUE"""),"Europe.Giaotiep.vdjh_LHV.9822_CVS_DungNT_190124")</f>
        <v>Europe.Giaotiep.vdjh_LHV.9822_CVS_DungNT_190124</v>
      </c>
      <c r="R323" s="67" t="str">
        <f>IFERROR(__xludf.DUMMYFUNCTION("""COMPUTED_VALUE"""),"NEW_Europe_1840_none_190124")</f>
        <v>NEW_Europe_1840_none_190124</v>
      </c>
      <c r="S323" s="67" t="str">
        <f>IFERROR(__xludf.DUMMYFUNCTION("""COMPUTED_VALUE"""),"saletructiep_Europe.vdjh.1840.Giaotiep_PTATDNDL_LD218")</f>
        <v>saletructiep_Europe.vdjh.1840.Giaotiep_PTATDNDL_LD218</v>
      </c>
      <c r="T323" s="107" t="str">
        <f>IFERROR(__xludf.DUMMYFUNCTION("""COMPUTED_VALUE"""),"https://patadovietnam.edu.vn/tienganhtoandienpatado_ptattndlscb/?utm_source=Facebook&amp;utm_medium=CVS&amp;utm_term=NEW_Europe_1840_none_190124&amp;utm_content=saletructiep_Europe.vdjh.1840.Giaotiep_PTATDNDL_LD218&amp;utm_campaign=Europe.Giaotiep.vdjh_LHV.9822_CVS_DungN"&amp;"T_190124")</f>
        <v>https://patadovietnam.edu.vn/tienganhtoandienpatado_ptattndlscb/?utm_source=Facebook&amp;utm_medium=CVS&amp;utm_term=NEW_Europe_1840_none_190124&amp;utm_content=saletructiep_Europe.vdjh.1840.Giaotiep_PTATDNDL_LD218&amp;utm_campaign=Europe.Giaotiep.vdjh_LHV.9822_CVS_DungNT_190124</v>
      </c>
      <c r="U323" s="110" t="s">
        <v>5957</v>
      </c>
    </row>
    <row r="324">
      <c r="A324" s="72">
        <v>45322.0</v>
      </c>
      <c r="B324" s="231" t="s">
        <v>5295</v>
      </c>
      <c r="C324" s="67" t="str">
        <f>IFERROR(__xludf.DUMMYFUNCTION("""COMPUTED_VALUE"""),"LD210")</f>
        <v>LD210</v>
      </c>
      <c r="D324" s="55" t="s">
        <v>42</v>
      </c>
      <c r="E324" s="55" t="s">
        <v>69</v>
      </c>
      <c r="F324" s="55" t="s">
        <v>133</v>
      </c>
      <c r="G324" s="55">
        <v>1840.0</v>
      </c>
      <c r="H324" s="55" t="s">
        <v>3306</v>
      </c>
      <c r="I324" s="55" t="s">
        <v>5961</v>
      </c>
      <c r="J324" s="168" t="s">
        <v>5962</v>
      </c>
      <c r="K324" s="167" t="s">
        <v>61</v>
      </c>
      <c r="L324" s="55" t="s">
        <v>1264</v>
      </c>
      <c r="M324" s="55" t="s">
        <v>78</v>
      </c>
      <c r="N324" s="55" t="s">
        <v>69</v>
      </c>
      <c r="O324" s="55" t="s">
        <v>4350</v>
      </c>
      <c r="P324" s="55" t="s">
        <v>110</v>
      </c>
      <c r="Q324" s="67" t="str">
        <f>IFERROR(__xludf.DUMMYFUNCTION("""COMPUTED_VALUE"""),"Japan.Giaotiep.mendl_LHV.9822_CVS_DungNT_310124")</f>
        <v>Japan.Giaotiep.mendl_LHV.9822_CVS_DungNT_310124</v>
      </c>
      <c r="R324" s="67" t="str">
        <f>IFERROR(__xludf.DUMMYFUNCTION("""COMPUTED_VALUE"""),"NEW_Japan_1840_none_310124")</f>
        <v>NEW_Japan_1840_none_310124</v>
      </c>
      <c r="S324" s="67" t="str">
        <f>IFERROR(__xludf.DUMMYFUNCTION("""COMPUTED_VALUE"""),"saletructiep_Japan.mendl.1840.Giaotiep_PTATDNDL_LD210")</f>
        <v>saletructiep_Japan.mendl.1840.Giaotiep_PTATDNDL_LD210</v>
      </c>
      <c r="T324" s="107" t="str">
        <f>IFERROR(__xludf.DUMMYFUNCTION("""COMPUTED_VALUE"""),"https://patadovietnam.edu.vn/tienganhtoandienpatado_ptattndl/?utm_source=Facebook&amp;utm_medium=CVS&amp;utm_term=NEW_Japan_1840_none_310124&amp;utm_content=saletructiep_Japan.mendl.1840.Giaotiep_PTATDNDL_LD210&amp;utm_campaign=Japan.Giaotiep.mendl_LHV.9822_CVS_DungNT_31"&amp;"0124")</f>
        <v>https://patadovietnam.edu.vn/tienganhtoandienpatado_ptattndl/?utm_source=Facebook&amp;utm_medium=CVS&amp;utm_term=NEW_Japan_1840_none_310124&amp;utm_content=saletructiep_Japan.mendl.1840.Giaotiep_PTATDNDL_LD210&amp;utm_campaign=Japan.Giaotiep.mendl_LHV.9822_CVS_DungNT_310124</v>
      </c>
      <c r="U324" s="110" t="s">
        <v>5966</v>
      </c>
    </row>
    <row r="325">
      <c r="A325" s="72">
        <v>45322.0</v>
      </c>
      <c r="B325" s="231" t="s">
        <v>5295</v>
      </c>
      <c r="C325" s="67" t="str">
        <f>IFERROR(__xludf.DUMMYFUNCTION("""COMPUTED_VALUE"""),"LD210")</f>
        <v>LD210</v>
      </c>
      <c r="D325" s="55" t="s">
        <v>42</v>
      </c>
      <c r="E325" s="55" t="s">
        <v>69</v>
      </c>
      <c r="F325" s="55" t="s">
        <v>625</v>
      </c>
      <c r="G325" s="55">
        <v>1840.0</v>
      </c>
      <c r="H325" s="55" t="s">
        <v>3306</v>
      </c>
      <c r="I325" s="55" t="s">
        <v>5968</v>
      </c>
      <c r="J325" s="168" t="s">
        <v>5969</v>
      </c>
      <c r="K325" s="167" t="s">
        <v>61</v>
      </c>
      <c r="L325" s="55" t="s">
        <v>1264</v>
      </c>
      <c r="M325" s="55" t="s">
        <v>78</v>
      </c>
      <c r="N325" s="55" t="s">
        <v>69</v>
      </c>
      <c r="O325" s="55" t="s">
        <v>4350</v>
      </c>
      <c r="P325" s="55" t="s">
        <v>110</v>
      </c>
      <c r="Q325" s="67" t="str">
        <f>IFERROR(__xludf.DUMMYFUNCTION("""COMPUTED_VALUE"""),"KoreaSouth.Giaotiep.mendl_LHV.9822_CVS_DungNT_310124")</f>
        <v>KoreaSouth.Giaotiep.mendl_LHV.9822_CVS_DungNT_310124</v>
      </c>
      <c r="R325" s="67" t="str">
        <f>IFERROR(__xludf.DUMMYFUNCTION("""COMPUTED_VALUE"""),"NEW_KoreaSouth_1840_none_310124")</f>
        <v>NEW_KoreaSouth_1840_none_310124</v>
      </c>
      <c r="S325" s="67" t="str">
        <f>IFERROR(__xludf.DUMMYFUNCTION("""COMPUTED_VALUE"""),"saletructiep_KoreaSouth.mendl.1840.Giaotiep_PTATDNDL_LD210")</f>
        <v>saletructiep_KoreaSouth.mendl.1840.Giaotiep_PTATDNDL_LD210</v>
      </c>
      <c r="T325" s="107" t="str">
        <f>IFERROR(__xludf.DUMMYFUNCTION("""COMPUTED_VALUE"""),"https://patadovietnam.edu.vn/tienganhtoandienpatado_ptattndl/?utm_source=Facebook&amp;utm_medium=CVS&amp;utm_term=NEW_KoreaSouth_1840_none_310124&amp;utm_content=saletructiep_KoreaSouth.mendl.1840.Giaotiep_PTATDNDL_LD210&amp;utm_campaign=KoreaSouth.Giaotiep.mendl_LHV.982"&amp;"2_CVS_DungNT_310124")</f>
        <v>https://patadovietnam.edu.vn/tienganhtoandienpatado_ptattndl/?utm_source=Facebook&amp;utm_medium=CVS&amp;utm_term=NEW_KoreaSouth_1840_none_310124&amp;utm_content=saletructiep_KoreaSouth.mendl.1840.Giaotiep_PTATDNDL_LD210&amp;utm_campaign=KoreaSouth.Giaotiep.mendl_LHV.9822_CVS_DungNT_310124</v>
      </c>
      <c r="U325" s="110" t="s">
        <v>5972</v>
      </c>
    </row>
    <row r="326">
      <c r="A326" s="72">
        <v>45322.0</v>
      </c>
      <c r="B326" s="231" t="s">
        <v>5295</v>
      </c>
      <c r="C326" s="67" t="str">
        <f>IFERROR(__xludf.DUMMYFUNCTION("""COMPUTED_VALUE"""),"LD210")</f>
        <v>LD210</v>
      </c>
      <c r="D326" s="55" t="s">
        <v>42</v>
      </c>
      <c r="E326" s="55" t="s">
        <v>79</v>
      </c>
      <c r="F326" s="55" t="s">
        <v>164</v>
      </c>
      <c r="G326" s="55">
        <v>1840.0</v>
      </c>
      <c r="H326" s="55" t="s">
        <v>3306</v>
      </c>
      <c r="I326" s="55" t="s">
        <v>5974</v>
      </c>
      <c r="J326" s="168" t="s">
        <v>5975</v>
      </c>
      <c r="K326" s="167" t="s">
        <v>61</v>
      </c>
      <c r="L326" s="55" t="s">
        <v>1264</v>
      </c>
      <c r="M326" s="55" t="s">
        <v>78</v>
      </c>
      <c r="N326" s="55" t="s">
        <v>79</v>
      </c>
      <c r="O326" s="55" t="s">
        <v>4350</v>
      </c>
      <c r="P326" s="55" t="s">
        <v>110</v>
      </c>
      <c r="Q326" s="67" t="str">
        <f>IFERROR(__xludf.DUMMYFUNCTION("""COMPUTED_VALUE"""),"Taiwan.Giaotiep.mendl_LHV.9822_MES_DungNT_310124")</f>
        <v>Taiwan.Giaotiep.mendl_LHV.9822_MES_DungNT_310124</v>
      </c>
      <c r="R326" s="67" t="str">
        <f>IFERROR(__xludf.DUMMYFUNCTION("""COMPUTED_VALUE"""),"NEW_Taiwan_1840_none_310124")</f>
        <v>NEW_Taiwan_1840_none_310124</v>
      </c>
      <c r="S326" s="67" t="str">
        <f>IFERROR(__xludf.DUMMYFUNCTION("""COMPUTED_VALUE"""),"saletructiep_Taiwan.mendl.1840.Giaotiep_PTATDNDL_LD210")</f>
        <v>saletructiep_Taiwan.mendl.1840.Giaotiep_PTATDNDL_LD210</v>
      </c>
      <c r="T326" s="107" t="str">
        <f>IFERROR(__xludf.DUMMYFUNCTION("""COMPUTED_VALUE"""),"https://patadovietnam.edu.vn/tienganhtoandienpatado_ptattndl/?utm_source=Facebook&amp;utm_medium=MES&amp;utm_term=NEW_Taiwan_1840_none_310124&amp;utm_content=saletructiep_Taiwan.mendl.1840.Giaotiep_PTATDNDL_LD210&amp;utm_campaign=Taiwan.Giaotiep.mendl_LHV.9822_MES_DungNT"&amp;"_310124")</f>
        <v>https://patadovietnam.edu.vn/tienganhtoandienpatado_ptattndl/?utm_source=Facebook&amp;utm_medium=MES&amp;utm_term=NEW_Taiwan_1840_none_310124&amp;utm_content=saletructiep_Taiwan.mendl.1840.Giaotiep_PTATDNDL_LD210&amp;utm_campaign=Taiwan.Giaotiep.mendl_LHV.9822_MES_DungNT_310124</v>
      </c>
      <c r="U326" s="110" t="s">
        <v>5982</v>
      </c>
    </row>
    <row r="327">
      <c r="A327" s="72">
        <v>45322.0</v>
      </c>
      <c r="B327" s="231" t="s">
        <v>5295</v>
      </c>
      <c r="C327" s="67" t="str">
        <f>IFERROR(__xludf.DUMMYFUNCTION("""COMPUTED_VALUE"""),"LD210")</f>
        <v>LD210</v>
      </c>
      <c r="D327" s="55" t="s">
        <v>42</v>
      </c>
      <c r="E327" s="55" t="s">
        <v>79</v>
      </c>
      <c r="F327" s="55" t="s">
        <v>174</v>
      </c>
      <c r="G327" s="55">
        <v>1840.0</v>
      </c>
      <c r="H327" s="55" t="s">
        <v>3306</v>
      </c>
      <c r="I327" s="55" t="s">
        <v>5984</v>
      </c>
      <c r="J327" s="168" t="s">
        <v>5985</v>
      </c>
      <c r="K327" s="167" t="s">
        <v>61</v>
      </c>
      <c r="L327" s="55" t="s">
        <v>1264</v>
      </c>
      <c r="M327" s="55" t="s">
        <v>78</v>
      </c>
      <c r="N327" s="55" t="s">
        <v>79</v>
      </c>
      <c r="O327" s="55" t="s">
        <v>4350</v>
      </c>
      <c r="P327" s="55" t="s">
        <v>110</v>
      </c>
      <c r="Q327" s="67" t="str">
        <f>IFERROR(__xludf.DUMMYFUNCTION("""COMPUTED_VALUE"""),"Philippines.Giaotiep.mendl_LHV.9822_MES_DungNT_310124")</f>
        <v>Philippines.Giaotiep.mendl_LHV.9822_MES_DungNT_310124</v>
      </c>
      <c r="R327" s="67" t="str">
        <f>IFERROR(__xludf.DUMMYFUNCTION("""COMPUTED_VALUE"""),"NEW_Philippines_1840_none_310124")</f>
        <v>NEW_Philippines_1840_none_310124</v>
      </c>
      <c r="S327" s="67" t="str">
        <f>IFERROR(__xludf.DUMMYFUNCTION("""COMPUTED_VALUE"""),"saletructiep_Philippines.mendl.1840.Giaotiep_PTATDNDL_LD210")</f>
        <v>saletructiep_Philippines.mendl.1840.Giaotiep_PTATDNDL_LD210</v>
      </c>
      <c r="T327" s="107" t="str">
        <f>IFERROR(__xludf.DUMMYFUNCTION("""COMPUTED_VALUE"""),"https://patadovietnam.edu.vn/tienganhtoandienpatado_ptattndl/?utm_source=Facebook&amp;utm_medium=MES&amp;utm_term=NEW_Philippines_1840_none_310124&amp;utm_content=saletructiep_Philippines.mendl.1840.Giaotiep_PTATDNDL_LD210&amp;utm_campaign=Philippines.Giaotiep.mendl_LHV."&amp;"9822_MES_DungNT_310124")</f>
        <v>https://patadovietnam.edu.vn/tienganhtoandienpatado_ptattndl/?utm_source=Facebook&amp;utm_medium=MES&amp;utm_term=NEW_Philippines_1840_none_310124&amp;utm_content=saletructiep_Philippines.mendl.1840.Giaotiep_PTATDNDL_LD210&amp;utm_campaign=Philippines.Giaotiep.mendl_LHV.9822_MES_DungNT_310124</v>
      </c>
      <c r="U327" s="110" t="s">
        <v>5992</v>
      </c>
    </row>
    <row r="328">
      <c r="A328" s="72">
        <v>45322.0</v>
      </c>
      <c r="B328" s="112" t="s">
        <v>3600</v>
      </c>
      <c r="C328" s="67" t="str">
        <f>IFERROR(__xludf.DUMMYFUNCTION("""COMPUTED_VALUE"""),"LD150")</f>
        <v>LD150</v>
      </c>
      <c r="D328" s="55" t="s">
        <v>42</v>
      </c>
      <c r="E328" s="55" t="s">
        <v>79</v>
      </c>
      <c r="F328" s="55" t="s">
        <v>107</v>
      </c>
      <c r="G328" s="55">
        <v>2055.0</v>
      </c>
      <c r="H328" s="55" t="s">
        <v>3306</v>
      </c>
      <c r="I328" s="55" t="s">
        <v>5833</v>
      </c>
      <c r="J328" s="168" t="s">
        <v>5834</v>
      </c>
      <c r="K328" s="167" t="s">
        <v>61</v>
      </c>
      <c r="L328" s="55" t="s">
        <v>1264</v>
      </c>
      <c r="M328" s="55" t="s">
        <v>78</v>
      </c>
      <c r="N328" s="55" t="s">
        <v>79</v>
      </c>
      <c r="O328" s="55" t="s">
        <v>4350</v>
      </c>
      <c r="P328" s="55" t="s">
        <v>110</v>
      </c>
      <c r="Q328" s="67" t="str">
        <f>IFERROR(__xludf.DUMMYFUNCTION("""COMPUTED_VALUE"""),"UnitedStates.Giaotiep.vdgd_LHV.9822_MES_DungNT_310124")</f>
        <v>UnitedStates.Giaotiep.vdgd_LHV.9822_MES_DungNT_310124</v>
      </c>
      <c r="R328" s="67" t="str">
        <f>IFERROR(__xludf.DUMMYFUNCTION("""COMPUTED_VALUE"""),"NEW_UnitedStates_2055_none_310124")</f>
        <v>NEW_UnitedStates_2055_none_310124</v>
      </c>
      <c r="S328" s="67" t="str">
        <f>IFERROR(__xludf.DUMMYFUNCTION("""COMPUTED_VALUE"""),"saletructiep_UnitedStates.vdgd.2055.Giaotiep_PTATDNDL_LD150")</f>
        <v>saletructiep_UnitedStates.vdgd.2055.Giaotiep_PTATDNDL_LD150</v>
      </c>
      <c r="T328" s="107" t="str">
        <f>IFERROR(__xludf.DUMMYFUNCTION("""COMPUTED_VALUE"""),"https://patadovietnam.edu.vn/tienganhusa_dntt/?utm_source=Facebook&amp;utm_medium=MES&amp;utm_term=NEW_UnitedStates_2055_none_310124&amp;utm_content=saletructiep_UnitedStates.vdgd.2055.Giaotiep_PTATDNDL_LD150&amp;utm_campaign=UnitedStates.Giaotiep.vdgd_LHV.9822_MES_DungN"&amp;"T_310124")</f>
        <v>https://patadovietnam.edu.vn/tienganhusa_dntt/?utm_source=Facebook&amp;utm_medium=MES&amp;utm_term=NEW_UnitedStates_2055_none_310124&amp;utm_content=saletructiep_UnitedStates.vdgd.2055.Giaotiep_PTATDNDL_LD150&amp;utm_campaign=UnitedStates.Giaotiep.vdgd_LHV.9822_MES_DungNT_310124</v>
      </c>
      <c r="U328" s="110" t="s">
        <v>5836</v>
      </c>
    </row>
    <row r="329">
      <c r="A329" s="72">
        <v>45330.0</v>
      </c>
      <c r="B329" s="231" t="s">
        <v>3502</v>
      </c>
      <c r="C329" s="67" t="str">
        <f>IFERROR(__xludf.DUMMYFUNCTION("""COMPUTED_VALUE"""),"LD144")</f>
        <v>LD144</v>
      </c>
      <c r="D329" s="55" t="s">
        <v>42</v>
      </c>
      <c r="E329" s="55" t="s">
        <v>79</v>
      </c>
      <c r="F329" s="55" t="s">
        <v>112</v>
      </c>
      <c r="G329" s="55">
        <v>2055.0</v>
      </c>
      <c r="H329" s="55" t="s">
        <v>3306</v>
      </c>
      <c r="I329" s="55" t="s">
        <v>5999</v>
      </c>
      <c r="J329" s="168" t="s">
        <v>6000</v>
      </c>
      <c r="K329" s="167" t="s">
        <v>61</v>
      </c>
      <c r="L329" s="55" t="s">
        <v>1264</v>
      </c>
      <c r="M329" s="55" t="s">
        <v>78</v>
      </c>
      <c r="N329" s="55" t="s">
        <v>79</v>
      </c>
      <c r="O329" s="55" t="s">
        <v>4350</v>
      </c>
      <c r="P329" s="55" t="s">
        <v>110</v>
      </c>
      <c r="Q329" s="67" t="str">
        <f>IFERROR(__xludf.DUMMYFUNCTION("""COMPUTED_VALUE"""),"Canada.Giaotiep.vdgd_LHV.9822_MES_DungNT_080224")</f>
        <v>Canada.Giaotiep.vdgd_LHV.9822_MES_DungNT_080224</v>
      </c>
      <c r="R329" s="67" t="str">
        <f>IFERROR(__xludf.DUMMYFUNCTION("""COMPUTED_VALUE"""),"NEW_Canada_2055_none_080224")</f>
        <v>NEW_Canada_2055_none_080224</v>
      </c>
      <c r="S329" s="67" t="str">
        <f>IFERROR(__xludf.DUMMYFUNCTION("""COMPUTED_VALUE"""),"saletructiep_Canada.vdgd.2055.Giaotiep_PTATDNDL_LD144")</f>
        <v>saletructiep_Canada.vdgd.2055.Giaotiep_PTATDNDL_LD144</v>
      </c>
      <c r="T329" s="107" t="str">
        <f>IFERROR(__xludf.DUMMYFUNCTION("""COMPUTED_VALUE"""),"https://patadovietnam.edu.vn/tienganhpatado_d1/?utm_source=Facebook&amp;utm_medium=MES&amp;utm_term=NEW_Canada_2055_none_080224&amp;utm_content=saletructiep_Canada.vdgd.2055.Giaotiep_PTATDNDL_LD144&amp;utm_campaign=Canada.Giaotiep.vdgd_LHV.9822_MES_DungNT_080224")</f>
        <v>https://patadovietnam.edu.vn/tienganhpatado_d1/?utm_source=Facebook&amp;utm_medium=MES&amp;utm_term=NEW_Canada_2055_none_080224&amp;utm_content=saletructiep_Canada.vdgd.2055.Giaotiep_PTATDNDL_LD144&amp;utm_campaign=Canada.Giaotiep.vdgd_LHV.9822_MES_DungNT_080224</v>
      </c>
      <c r="U329" s="110" t="s">
        <v>6005</v>
      </c>
    </row>
    <row r="330">
      <c r="A330" s="72">
        <v>45322.0</v>
      </c>
      <c r="B330" s="231" t="s">
        <v>3502</v>
      </c>
      <c r="C330" s="67" t="str">
        <f>IFERROR(__xludf.DUMMYFUNCTION("""COMPUTED_VALUE"""),"LD144")</f>
        <v>LD144</v>
      </c>
      <c r="D330" s="55" t="s">
        <v>42</v>
      </c>
      <c r="E330" s="55" t="s">
        <v>79</v>
      </c>
      <c r="F330" s="55" t="s">
        <v>129</v>
      </c>
      <c r="G330" s="55">
        <v>2055.0</v>
      </c>
      <c r="H330" s="55" t="s">
        <v>3306</v>
      </c>
      <c r="I330" s="55" t="s">
        <v>6008</v>
      </c>
      <c r="J330" s="168" t="s">
        <v>6009</v>
      </c>
      <c r="K330" s="167" t="s">
        <v>61</v>
      </c>
      <c r="L330" s="55" t="s">
        <v>1264</v>
      </c>
      <c r="M330" s="55" t="s">
        <v>78</v>
      </c>
      <c r="N330" s="55" t="s">
        <v>79</v>
      </c>
      <c r="O330" s="55" t="s">
        <v>4350</v>
      </c>
      <c r="P330" s="55" t="s">
        <v>110</v>
      </c>
      <c r="Q330" s="67" t="str">
        <f>IFERROR(__xludf.DUMMYFUNCTION("""COMPUTED_VALUE"""),"Australia.Giaotiep.vdgd_LHV.9822_MES_DungNT_310124")</f>
        <v>Australia.Giaotiep.vdgd_LHV.9822_MES_DungNT_310124</v>
      </c>
      <c r="R330" s="67" t="str">
        <f>IFERROR(__xludf.DUMMYFUNCTION("""COMPUTED_VALUE"""),"NEW_Australia_2055_none_310124")</f>
        <v>NEW_Australia_2055_none_310124</v>
      </c>
      <c r="S330" s="67" t="str">
        <f>IFERROR(__xludf.DUMMYFUNCTION("""COMPUTED_VALUE"""),"saletructiep_Australia.vdgd.2055.Giaotiep_PTATDNDL_LD144")</f>
        <v>saletructiep_Australia.vdgd.2055.Giaotiep_PTATDNDL_LD144</v>
      </c>
      <c r="T330" s="107" t="str">
        <f>IFERROR(__xludf.DUMMYFUNCTION("""COMPUTED_VALUE"""),"https://patadovietnam.edu.vn/tienganhpatado_d1/?utm_source=Facebook&amp;utm_medium=MES&amp;utm_term=NEW_Australia_2055_none_310124&amp;utm_content=saletructiep_Australia.vdgd.2055.Giaotiep_PTATDNDL_LD144&amp;utm_campaign=Australia.Giaotiep.vdgd_LHV.9822_MES_DungNT_310124")</f>
        <v>https://patadovietnam.edu.vn/tienganhpatado_d1/?utm_source=Facebook&amp;utm_medium=MES&amp;utm_term=NEW_Australia_2055_none_310124&amp;utm_content=saletructiep_Australia.vdgd.2055.Giaotiep_PTATDNDL_LD144&amp;utm_campaign=Australia.Giaotiep.vdgd_LHV.9822_MES_DungNT_310124</v>
      </c>
      <c r="U330" s="110" t="s">
        <v>6016</v>
      </c>
    </row>
    <row r="331">
      <c r="A331" s="226">
        <v>45324.0</v>
      </c>
      <c r="B331" s="112" t="s">
        <v>3600</v>
      </c>
      <c r="C331" s="58" t="str">
        <f>IFERROR(__xludf.DUMMYFUNCTION("""COMPUTED_VALUE"""),"LD150")</f>
        <v>LD150</v>
      </c>
      <c r="D331" s="86" t="s">
        <v>42</v>
      </c>
      <c r="E331" s="86" t="s">
        <v>79</v>
      </c>
      <c r="F331" s="87" t="s">
        <v>107</v>
      </c>
      <c r="G331" s="163">
        <v>2055.0</v>
      </c>
      <c r="H331" s="86" t="s">
        <v>3306</v>
      </c>
      <c r="I331" s="87" t="s">
        <v>6017</v>
      </c>
      <c r="J331" s="87" t="s">
        <v>6018</v>
      </c>
      <c r="K331" s="86" t="s">
        <v>61</v>
      </c>
      <c r="L331" s="86" t="s">
        <v>1264</v>
      </c>
      <c r="M331" s="86" t="s">
        <v>78</v>
      </c>
      <c r="N331" s="86" t="s">
        <v>79</v>
      </c>
      <c r="O331" s="55" t="s">
        <v>218</v>
      </c>
      <c r="P331" s="86" t="s">
        <v>110</v>
      </c>
      <c r="Q331" s="58" t="str">
        <f>IFERROR(__xludf.DUMMYFUNCTION("""COMPUTED_VALUE"""),"UnitedStates.Giaotiep.Anhaz_LHV.9822_MES_DungNT_020224")</f>
        <v>UnitedStates.Giaotiep.Anhaz_LHV.9822_MES_DungNT_020224</v>
      </c>
      <c r="R331" s="58" t="str">
        <f>IFERROR(__xludf.DUMMYFUNCTION("""COMPUTED_VALUE"""),"NEW_UnitedStates_2055_none_020224")</f>
        <v>NEW_UnitedStates_2055_none_020224</v>
      </c>
      <c r="S331" s="58" t="str">
        <f>IFERROR(__xludf.DUMMYFUNCTION("""COMPUTED_VALUE"""),"saletructiep_UnitedStates.Anhaz.2055.Giaotiep_PTATTNDL_LD150")</f>
        <v>saletructiep_UnitedStates.Anhaz.2055.Giaotiep_PTATTNDL_LD150</v>
      </c>
      <c r="T331" s="214" t="str">
        <f>IFERROR(__xludf.DUMMYFUNCTION("""COMPUTED_VALUE"""),"https://patadovietnam.edu.vn/tienganhusa_dntt/?utm_source=Facebook&amp;utm_medium=MES&amp;utm_term=NEW_UnitedStates_2055_none_020224&amp;utm_content=saletructiep_UnitedStates.Anhaz.2055.Giaotiep_PTATTNDL_LD150&amp;utm_campaign=UnitedStates.Giaotiep.Anhaz_LHV.9822_MES_Dun"&amp;"gNT_020224")</f>
        <v>https://patadovietnam.edu.vn/tienganhusa_dntt/?utm_source=Facebook&amp;utm_medium=MES&amp;utm_term=NEW_UnitedStates_2055_none_020224&amp;utm_content=saletructiep_UnitedStates.Anhaz.2055.Giaotiep_PTATTNDL_LD150&amp;utm_campaign=UnitedStates.Giaotiep.Anhaz_LHV.9822_MES_DungNT_020224</v>
      </c>
      <c r="U331" s="215" t="s">
        <v>6022</v>
      </c>
    </row>
    <row r="332">
      <c r="A332" s="226">
        <v>45324.0</v>
      </c>
      <c r="B332" s="231" t="s">
        <v>3502</v>
      </c>
      <c r="C332" s="58" t="str">
        <f>IFERROR(__xludf.DUMMYFUNCTION("""COMPUTED_VALUE"""),"LD144")</f>
        <v>LD144</v>
      </c>
      <c r="D332" s="86" t="s">
        <v>42</v>
      </c>
      <c r="E332" s="86" t="s">
        <v>79</v>
      </c>
      <c r="F332" s="87" t="s">
        <v>112</v>
      </c>
      <c r="G332" s="163">
        <v>2055.0</v>
      </c>
      <c r="H332" s="86" t="s">
        <v>3306</v>
      </c>
      <c r="I332" s="87" t="s">
        <v>6024</v>
      </c>
      <c r="J332" s="87" t="s">
        <v>6025</v>
      </c>
      <c r="K332" s="86" t="s">
        <v>61</v>
      </c>
      <c r="L332" s="86" t="s">
        <v>1264</v>
      </c>
      <c r="M332" s="86" t="s">
        <v>78</v>
      </c>
      <c r="N332" s="86" t="s">
        <v>79</v>
      </c>
      <c r="O332" s="55" t="s">
        <v>218</v>
      </c>
      <c r="P332" s="86" t="s">
        <v>110</v>
      </c>
      <c r="Q332" s="58" t="str">
        <f>IFERROR(__xludf.DUMMYFUNCTION("""COMPUTED_VALUE"""),"Canada.Giaotiep.Anhaz_LHV.9822_MES_DungNT_020224")</f>
        <v>Canada.Giaotiep.Anhaz_LHV.9822_MES_DungNT_020224</v>
      </c>
      <c r="R332" s="58" t="str">
        <f>IFERROR(__xludf.DUMMYFUNCTION("""COMPUTED_VALUE"""),"NEW_Canada_2055_none_020224")</f>
        <v>NEW_Canada_2055_none_020224</v>
      </c>
      <c r="S332" s="58" t="str">
        <f>IFERROR(__xludf.DUMMYFUNCTION("""COMPUTED_VALUE"""),"saletructiep_Canada.Anhaz.2055.Giaotiep_PTATTNDL_LD144")</f>
        <v>saletructiep_Canada.Anhaz.2055.Giaotiep_PTATTNDL_LD144</v>
      </c>
      <c r="T332" s="214" t="str">
        <f>IFERROR(__xludf.DUMMYFUNCTION("""COMPUTED_VALUE"""),"https://patadovietnam.edu.vn/tienganhpatado_d1/?utm_source=Facebook&amp;utm_medium=MES&amp;utm_term=NEW_Canada_2055_none_020224&amp;utm_content=saletructiep_Canada.Anhaz.2055.Giaotiep_PTATTNDL_LD144&amp;utm_campaign=Canada.Giaotiep.Anhaz_LHV.9822_MES_DungNT_020224")</f>
        <v>https://patadovietnam.edu.vn/tienganhpatado_d1/?utm_source=Facebook&amp;utm_medium=MES&amp;utm_term=NEW_Canada_2055_none_020224&amp;utm_content=saletructiep_Canada.Anhaz.2055.Giaotiep_PTATTNDL_LD144&amp;utm_campaign=Canada.Giaotiep.Anhaz_LHV.9822_MES_DungNT_020224</v>
      </c>
      <c r="U332" s="215" t="s">
        <v>6029</v>
      </c>
    </row>
    <row r="333">
      <c r="A333" s="72">
        <v>45328.0</v>
      </c>
      <c r="B333" s="194" t="s">
        <v>3782</v>
      </c>
      <c r="C333" s="67" t="str">
        <f>IFERROR(__xludf.DUMMYFUNCTION("""COMPUTED_VALUE"""),"LD167")</f>
        <v>LD167</v>
      </c>
      <c r="D333" s="55" t="s">
        <v>42</v>
      </c>
      <c r="E333" s="55" t="s">
        <v>79</v>
      </c>
      <c r="F333" s="55" t="s">
        <v>112</v>
      </c>
      <c r="G333" s="55">
        <v>2050.0</v>
      </c>
      <c r="H333" s="55" t="s">
        <v>3306</v>
      </c>
      <c r="I333" s="55" t="s">
        <v>4091</v>
      </c>
      <c r="J333" s="168" t="s">
        <v>4092</v>
      </c>
      <c r="K333" s="167" t="s">
        <v>61</v>
      </c>
      <c r="L333" s="55" t="s">
        <v>1264</v>
      </c>
      <c r="M333" s="55" t="s">
        <v>78</v>
      </c>
      <c r="N333" s="55" t="s">
        <v>79</v>
      </c>
      <c r="O333" s="55" t="s">
        <v>218</v>
      </c>
      <c r="P333" s="55" t="s">
        <v>110</v>
      </c>
      <c r="Q333" s="67" t="str">
        <f>IFERROR(__xludf.DUMMYFUNCTION("""COMPUTED_VALUE"""),"Canada.Giaotiep.Anhkg_LHV.9822_MES_DungNT_060224")</f>
        <v>Canada.Giaotiep.Anhkg_LHV.9822_MES_DungNT_060224</v>
      </c>
      <c r="R333" s="67" t="str">
        <f>IFERROR(__xludf.DUMMYFUNCTION("""COMPUTED_VALUE"""),"NEW_Canada_2050_none_060224")</f>
        <v>NEW_Canada_2050_none_060224</v>
      </c>
      <c r="S333" s="67" t="str">
        <f>IFERROR(__xludf.DUMMYFUNCTION("""COMPUTED_VALUE"""),"saletructiep_Canada.Anhkg.2050.Giaotiep_PTATTNDL_LD167")</f>
        <v>saletructiep_Canada.Anhkg.2050.Giaotiep_PTATTNDL_LD167</v>
      </c>
      <c r="T333" s="107" t="str">
        <f>IFERROR(__xludf.DUMMYFUNCTION("""COMPUTED_VALUE"""),"https://patadovietnam.edu.vn/tienganhnguoidilam_dnt/?utm_source=Facebook&amp;utm_medium=MES&amp;utm_term=NEW_Canada_2050_none_060224&amp;utm_content=saletructiep_Canada.Anhkg.2050.Giaotiep_PTATTNDL_LD167&amp;utm_campaign=Canada.Giaotiep.Anhkg_LHV.9822_MES_DungNT_060224")</f>
        <v>https://patadovietnam.edu.vn/tienganhnguoidilam_dnt/?utm_source=Facebook&amp;utm_medium=MES&amp;utm_term=NEW_Canada_2050_none_060224&amp;utm_content=saletructiep_Canada.Anhkg.2050.Giaotiep_PTATTNDL_LD167&amp;utm_campaign=Canada.Giaotiep.Anhkg_LHV.9822_MES_DungNT_060224</v>
      </c>
      <c r="U333" s="111" t="s">
        <v>4030</v>
      </c>
    </row>
    <row r="334">
      <c r="A334" s="72">
        <v>45328.0</v>
      </c>
      <c r="B334" s="231" t="s">
        <v>5295</v>
      </c>
      <c r="C334" s="67" t="str">
        <f>IFERROR(__xludf.DUMMYFUNCTION("""COMPUTED_VALUE"""),"LD210")</f>
        <v>LD210</v>
      </c>
      <c r="D334" s="55" t="s">
        <v>42</v>
      </c>
      <c r="E334" s="55" t="s">
        <v>79</v>
      </c>
      <c r="F334" s="55" t="s">
        <v>164</v>
      </c>
      <c r="G334" s="55">
        <v>2050.0</v>
      </c>
      <c r="H334" s="55" t="s">
        <v>3306</v>
      </c>
      <c r="I334" s="55" t="s">
        <v>6038</v>
      </c>
      <c r="J334" s="168" t="s">
        <v>6039</v>
      </c>
      <c r="K334" s="167" t="s">
        <v>61</v>
      </c>
      <c r="L334" s="55" t="s">
        <v>1264</v>
      </c>
      <c r="M334" s="55" t="s">
        <v>78</v>
      </c>
      <c r="N334" s="55" t="s">
        <v>79</v>
      </c>
      <c r="O334" s="55" t="s">
        <v>218</v>
      </c>
      <c r="P334" s="55" t="s">
        <v>110</v>
      </c>
      <c r="Q334" s="67" t="str">
        <f>IFERROR(__xludf.DUMMYFUNCTION("""COMPUTED_VALUE"""),"Taiwan.Giaotiep.Anhkg_LHV.9822_MES_DungNT_060224")</f>
        <v>Taiwan.Giaotiep.Anhkg_LHV.9822_MES_DungNT_060224</v>
      </c>
      <c r="R334" s="67" t="str">
        <f>IFERROR(__xludf.DUMMYFUNCTION("""COMPUTED_VALUE"""),"NEW_Taiwan_2050_none_060224")</f>
        <v>NEW_Taiwan_2050_none_060224</v>
      </c>
      <c r="S334" s="67" t="str">
        <f>IFERROR(__xludf.DUMMYFUNCTION("""COMPUTED_VALUE"""),"saletructiep_Taiwan.Anhkg.2050.Giaotiep_PTATTNDL_LD210")</f>
        <v>saletructiep_Taiwan.Anhkg.2050.Giaotiep_PTATTNDL_LD210</v>
      </c>
      <c r="T334" s="107" t="str">
        <f>IFERROR(__xludf.DUMMYFUNCTION("""COMPUTED_VALUE"""),"https://patadovietnam.edu.vn/tienganhtoandienpatado_ptattndl/?utm_source=Facebook&amp;utm_medium=MES&amp;utm_term=NEW_Taiwan_2050_none_060224&amp;utm_content=saletructiep_Taiwan.Anhkg.2050.Giaotiep_PTATTNDL_LD210&amp;utm_campaign=Taiwan.Giaotiep.Anhkg_LHV.9822_MES_DungNT"&amp;"_060224")</f>
        <v>https://patadovietnam.edu.vn/tienganhtoandienpatado_ptattndl/?utm_source=Facebook&amp;utm_medium=MES&amp;utm_term=NEW_Taiwan_2050_none_060224&amp;utm_content=saletructiep_Taiwan.Anhkg.2050.Giaotiep_PTATTNDL_LD210&amp;utm_campaign=Taiwan.Giaotiep.Anhkg_LHV.9822_MES_DungNT_060224</v>
      </c>
      <c r="U334" s="111" t="s">
        <v>6044</v>
      </c>
    </row>
    <row r="335">
      <c r="A335" s="72">
        <v>45328.0</v>
      </c>
      <c r="B335" s="231" t="s">
        <v>5295</v>
      </c>
      <c r="C335" s="67" t="str">
        <f>IFERROR(__xludf.DUMMYFUNCTION("""COMPUTED_VALUE"""),"LD210")</f>
        <v>LD210</v>
      </c>
      <c r="D335" s="55" t="s">
        <v>42</v>
      </c>
      <c r="E335" s="55" t="s">
        <v>79</v>
      </c>
      <c r="F335" s="55" t="s">
        <v>129</v>
      </c>
      <c r="G335" s="55">
        <v>2050.0</v>
      </c>
      <c r="H335" s="55" t="s">
        <v>3306</v>
      </c>
      <c r="I335" s="55" t="s">
        <v>4100</v>
      </c>
      <c r="J335" s="168" t="s">
        <v>4101</v>
      </c>
      <c r="K335" s="167" t="s">
        <v>61</v>
      </c>
      <c r="L335" s="55" t="s">
        <v>1264</v>
      </c>
      <c r="M335" s="55" t="s">
        <v>78</v>
      </c>
      <c r="N335" s="55" t="s">
        <v>79</v>
      </c>
      <c r="O335" s="55" t="s">
        <v>218</v>
      </c>
      <c r="P335" s="55" t="s">
        <v>110</v>
      </c>
      <c r="Q335" s="67" t="str">
        <f>IFERROR(__xludf.DUMMYFUNCTION("""COMPUTED_VALUE"""),"Australia.Giaotiep.Anhkg_LHV.9822_MES_DungNT_060224")</f>
        <v>Australia.Giaotiep.Anhkg_LHV.9822_MES_DungNT_060224</v>
      </c>
      <c r="R335" s="67" t="str">
        <f>IFERROR(__xludf.DUMMYFUNCTION("""COMPUTED_VALUE"""),"NEW_Australia_2050_none_060224")</f>
        <v>NEW_Australia_2050_none_060224</v>
      </c>
      <c r="S335" s="67" t="str">
        <f>IFERROR(__xludf.DUMMYFUNCTION("""COMPUTED_VALUE"""),"saletructiep_Australia.Anhkg.2050.Giaotiep_PTATTNDL_LD210")</f>
        <v>saletructiep_Australia.Anhkg.2050.Giaotiep_PTATTNDL_LD210</v>
      </c>
      <c r="T335" s="107" t="str">
        <f>IFERROR(__xludf.DUMMYFUNCTION("""COMPUTED_VALUE"""),"https://patadovietnam.edu.vn/tienganhtoandienpatado_ptattndl/?utm_source=Facebook&amp;utm_medium=MES&amp;utm_term=NEW_Australia_2050_none_060224&amp;utm_content=saletructiep_Australia.Anhkg.2050.Giaotiep_PTATTNDL_LD210&amp;utm_campaign=Australia.Giaotiep.Anhkg_LHV.9822_M"&amp;"ES_DungNT_060224")</f>
        <v>https://patadovietnam.edu.vn/tienganhtoandienpatado_ptattndl/?utm_source=Facebook&amp;utm_medium=MES&amp;utm_term=NEW_Australia_2050_none_060224&amp;utm_content=saletructiep_Australia.Anhkg.2050.Giaotiep_PTATTNDL_LD210&amp;utm_campaign=Australia.Giaotiep.Anhkg_LHV.9822_MES_DungNT_060224</v>
      </c>
      <c r="U335" s="111" t="s">
        <v>6052</v>
      </c>
    </row>
    <row r="336">
      <c r="A336" s="72">
        <v>45328.0</v>
      </c>
      <c r="B336" s="112" t="s">
        <v>3974</v>
      </c>
      <c r="C336" s="67" t="str">
        <f>IFERROR(__xludf.DUMMYFUNCTION("""COMPUTED_VALUE"""),"LD176")</f>
        <v>LD176</v>
      </c>
      <c r="D336" s="55" t="s">
        <v>42</v>
      </c>
      <c r="E336" s="55" t="s">
        <v>69</v>
      </c>
      <c r="F336" s="55" t="s">
        <v>133</v>
      </c>
      <c r="G336" s="55">
        <v>2050.0</v>
      </c>
      <c r="H336" s="55" t="s">
        <v>3306</v>
      </c>
      <c r="I336" s="55" t="s">
        <v>4075</v>
      </c>
      <c r="J336" s="168" t="s">
        <v>6056</v>
      </c>
      <c r="K336" s="167" t="s">
        <v>61</v>
      </c>
      <c r="L336" s="55" t="s">
        <v>1264</v>
      </c>
      <c r="M336" s="55" t="s">
        <v>78</v>
      </c>
      <c r="N336" s="55" t="s">
        <v>69</v>
      </c>
      <c r="O336" s="55" t="s">
        <v>218</v>
      </c>
      <c r="P336" s="55" t="s">
        <v>110</v>
      </c>
      <c r="Q336" s="67" t="str">
        <f>IFERROR(__xludf.DUMMYFUNCTION("""COMPUTED_VALUE"""),"Japan.Giaotiep.Anhkg_LHV.9822_CVS_DungNT_060224")</f>
        <v>Japan.Giaotiep.Anhkg_LHV.9822_CVS_DungNT_060224</v>
      </c>
      <c r="R336" s="67" t="str">
        <f>IFERROR(__xludf.DUMMYFUNCTION("""COMPUTED_VALUE"""),"NEW_Japan_2050_none_060224")</f>
        <v>NEW_Japan_2050_none_060224</v>
      </c>
      <c r="S336" s="67" t="str">
        <f>IFERROR(__xludf.DUMMYFUNCTION("""COMPUTED_VALUE"""),"saletructiep_Japan.Anhkg.2050.Giaotiep_PTATTNDL_LD176")</f>
        <v>saletructiep_Japan.Anhkg.2050.Giaotiep_PTATTNDL_LD176</v>
      </c>
      <c r="T336" s="107" t="str">
        <f>IFERROR(__xludf.DUMMYFUNCTION("""COMPUTED_VALUE"""),"https://patadovietnam.edu.vn/tienganhnguoidilamjapan/?utm_source=Facebook&amp;utm_medium=CVS&amp;utm_term=NEW_Japan_2050_none_060224&amp;utm_content=saletructiep_Japan.Anhkg.2050.Giaotiep_PTATTNDL_LD176&amp;utm_campaign=Japan.Giaotiep.Anhkg_LHV.9822_CVS_DungNT_060224")</f>
        <v>https://patadovietnam.edu.vn/tienganhnguoidilamjapan/?utm_source=Facebook&amp;utm_medium=CVS&amp;utm_term=NEW_Japan_2050_none_060224&amp;utm_content=saletructiep_Japan.Anhkg.2050.Giaotiep_PTATTNDL_LD176&amp;utm_campaign=Japan.Giaotiep.Anhkg_LHV.9822_CVS_DungNT_060224</v>
      </c>
      <c r="U336" s="111" t="s">
        <v>6059</v>
      </c>
    </row>
    <row r="337">
      <c r="A337" s="72">
        <v>45328.0</v>
      </c>
      <c r="B337" s="194" t="s">
        <v>3957</v>
      </c>
      <c r="C337" s="67" t="str">
        <f>IFERROR(__xludf.DUMMYFUNCTION("""COMPUTED_VALUE"""),"LD174")</f>
        <v>LD174</v>
      </c>
      <c r="D337" s="55" t="s">
        <v>42</v>
      </c>
      <c r="E337" s="55" t="s">
        <v>69</v>
      </c>
      <c r="F337" s="55" t="s">
        <v>625</v>
      </c>
      <c r="G337" s="55">
        <v>2050.0</v>
      </c>
      <c r="H337" s="55" t="s">
        <v>3306</v>
      </c>
      <c r="I337" s="55" t="s">
        <v>4771</v>
      </c>
      <c r="J337" s="168" t="s">
        <v>6063</v>
      </c>
      <c r="K337" s="167" t="s">
        <v>61</v>
      </c>
      <c r="L337" s="55" t="s">
        <v>1264</v>
      </c>
      <c r="M337" s="55" t="s">
        <v>78</v>
      </c>
      <c r="N337" s="55" t="s">
        <v>69</v>
      </c>
      <c r="O337" s="55" t="s">
        <v>218</v>
      </c>
      <c r="P337" s="55" t="s">
        <v>110</v>
      </c>
      <c r="Q337" s="67" t="str">
        <f>IFERROR(__xludf.DUMMYFUNCTION("""COMPUTED_VALUE"""),"KoreaSouth.Giaotiep.Anhkg_LHV.9822_CVS_DungNT_060224")</f>
        <v>KoreaSouth.Giaotiep.Anhkg_LHV.9822_CVS_DungNT_060224</v>
      </c>
      <c r="R337" s="67" t="str">
        <f>IFERROR(__xludf.DUMMYFUNCTION("""COMPUTED_VALUE"""),"NEW_KoreaSouth_2050_none_060224")</f>
        <v>NEW_KoreaSouth_2050_none_060224</v>
      </c>
      <c r="S337" s="67" t="str">
        <f>IFERROR(__xludf.DUMMYFUNCTION("""COMPUTED_VALUE"""),"saletructiep_KoreaSouth.Anhkg.2050.Giaotiep_PTATTNDL_LD174")</f>
        <v>saletructiep_KoreaSouth.Anhkg.2050.Giaotiep_PTATTNDL_LD174</v>
      </c>
      <c r="T337" s="107" t="str">
        <f>IFERROR(__xludf.DUMMYFUNCTION("""COMPUTED_VALUE"""),"https://patadovietnam.edu.vn/tienganhnguoidilamkorea/?utm_source=Facebook&amp;utm_medium=CVS&amp;utm_term=NEW_KoreaSouth_2050_none_060224&amp;utm_content=saletructiep_KoreaSouth.Anhkg.2050.Giaotiep_PTATTNDL_LD174&amp;utm_campaign=KoreaSouth.Giaotiep.Anhkg_LHV.9822_CVS_Du"&amp;"ngNT_060224")</f>
        <v>https://patadovietnam.edu.vn/tienganhnguoidilamkorea/?utm_source=Facebook&amp;utm_medium=CVS&amp;utm_term=NEW_KoreaSouth_2050_none_060224&amp;utm_content=saletructiep_KoreaSouth.Anhkg.2050.Giaotiep_PTATTNDL_LD174&amp;utm_campaign=KoreaSouth.Giaotiep.Anhkg_LHV.9822_CVS_DungNT_060224</v>
      </c>
      <c r="U337" s="111" t="s">
        <v>6067</v>
      </c>
    </row>
    <row r="338">
      <c r="A338" s="72">
        <v>45328.0</v>
      </c>
      <c r="B338" s="231" t="s">
        <v>5295</v>
      </c>
      <c r="C338" s="67" t="str">
        <f>IFERROR(__xludf.DUMMYFUNCTION("""COMPUTED_VALUE"""),"LD210")</f>
        <v>LD210</v>
      </c>
      <c r="D338" s="55" t="s">
        <v>42</v>
      </c>
      <c r="E338" s="55" t="s">
        <v>79</v>
      </c>
      <c r="F338" s="55" t="s">
        <v>174</v>
      </c>
      <c r="G338" s="55">
        <v>2050.0</v>
      </c>
      <c r="H338" s="55" t="s">
        <v>3306</v>
      </c>
      <c r="I338" s="55" t="s">
        <v>4122</v>
      </c>
      <c r="J338" s="168" t="s">
        <v>4123</v>
      </c>
      <c r="K338" s="167" t="s">
        <v>61</v>
      </c>
      <c r="L338" s="55" t="s">
        <v>1264</v>
      </c>
      <c r="M338" s="55" t="s">
        <v>78</v>
      </c>
      <c r="N338" s="55" t="s">
        <v>79</v>
      </c>
      <c r="O338" s="55" t="s">
        <v>218</v>
      </c>
      <c r="P338" s="55" t="s">
        <v>110</v>
      </c>
      <c r="Q338" s="67" t="str">
        <f>IFERROR(__xludf.DUMMYFUNCTION("""COMPUTED_VALUE"""),"Philippines.Giaotiep.Anhkg_LHV.9822_MES_DungNT_060224")</f>
        <v>Philippines.Giaotiep.Anhkg_LHV.9822_MES_DungNT_060224</v>
      </c>
      <c r="R338" s="67" t="str">
        <f>IFERROR(__xludf.DUMMYFUNCTION("""COMPUTED_VALUE"""),"NEW_Philippines_2050_none_060224")</f>
        <v>NEW_Philippines_2050_none_060224</v>
      </c>
      <c r="S338" s="67" t="str">
        <f>IFERROR(__xludf.DUMMYFUNCTION("""COMPUTED_VALUE"""),"saletructiep_Philippines.Anhkg.2050.Giaotiep_PTATTNDL_LD210")</f>
        <v>saletructiep_Philippines.Anhkg.2050.Giaotiep_PTATTNDL_LD210</v>
      </c>
      <c r="T338" s="107" t="str">
        <f>IFERROR(__xludf.DUMMYFUNCTION("""COMPUTED_VALUE"""),"https://patadovietnam.edu.vn/tienganhtoandienpatado_ptattndl/?utm_source=Facebook&amp;utm_medium=MES&amp;utm_term=NEW_Philippines_2050_none_060224&amp;utm_content=saletructiep_Philippines.Anhkg.2050.Giaotiep_PTATTNDL_LD210&amp;utm_campaign=Philippines.Giaotiep.Anhkg_LHV."&amp;"9822_MES_DungNT_060224")</f>
        <v>https://patadovietnam.edu.vn/tienganhtoandienpatado_ptattndl/?utm_source=Facebook&amp;utm_medium=MES&amp;utm_term=NEW_Philippines_2050_none_060224&amp;utm_content=saletructiep_Philippines.Anhkg.2050.Giaotiep_PTATTNDL_LD210&amp;utm_campaign=Philippines.Giaotiep.Anhkg_LHV.9822_MES_DungNT_060224</v>
      </c>
      <c r="U338" s="111" t="s">
        <v>6073</v>
      </c>
    </row>
    <row r="339">
      <c r="A339" s="72">
        <v>45330.0</v>
      </c>
      <c r="B339" s="112" t="s">
        <v>3600</v>
      </c>
      <c r="C339" s="67" t="str">
        <f>IFERROR(__xludf.DUMMYFUNCTION("""COMPUTED_VALUE"""),"LD150")</f>
        <v>LD150</v>
      </c>
      <c r="D339" s="55" t="s">
        <v>42</v>
      </c>
      <c r="E339" s="55" t="s">
        <v>79</v>
      </c>
      <c r="F339" s="55" t="s">
        <v>107</v>
      </c>
      <c r="G339" s="55">
        <v>2055.0</v>
      </c>
      <c r="H339" s="55" t="s">
        <v>3306</v>
      </c>
      <c r="I339" s="55" t="s">
        <v>5901</v>
      </c>
      <c r="J339" s="168" t="s">
        <v>5902</v>
      </c>
      <c r="K339" s="167" t="s">
        <v>61</v>
      </c>
      <c r="L339" s="55" t="s">
        <v>1264</v>
      </c>
      <c r="M339" s="55" t="s">
        <v>78</v>
      </c>
      <c r="N339" s="55" t="s">
        <v>79</v>
      </c>
      <c r="O339" s="55" t="s">
        <v>4350</v>
      </c>
      <c r="P339" s="55" t="s">
        <v>110</v>
      </c>
      <c r="Q339" s="67" t="str">
        <f>IFERROR(__xludf.DUMMYFUNCTION("""COMPUTED_VALUE"""),"UnitedStates.Giaotiep.vdjh_LHV.9822_MES_DungNT_080224")</f>
        <v>UnitedStates.Giaotiep.vdjh_LHV.9822_MES_DungNT_080224</v>
      </c>
      <c r="R339" s="67" t="str">
        <f>IFERROR(__xludf.DUMMYFUNCTION("""COMPUTED_VALUE"""),"NEW_UnitedStates_2055_none_080224")</f>
        <v>NEW_UnitedStates_2055_none_080224</v>
      </c>
      <c r="S339" s="67" t="str">
        <f>IFERROR(__xludf.DUMMYFUNCTION("""COMPUTED_VALUE"""),"saletructiep_UnitedStates.vdjh.2055.Giaotiep_PTATDNDL_LD150")</f>
        <v>saletructiep_UnitedStates.vdjh.2055.Giaotiep_PTATDNDL_LD150</v>
      </c>
      <c r="T339" s="107" t="str">
        <f>IFERROR(__xludf.DUMMYFUNCTION("""COMPUTED_VALUE"""),"https://patadovietnam.edu.vn/tienganhusa_dntt/?utm_source=Facebook&amp;utm_medium=MES&amp;utm_term=NEW_UnitedStates_2055_none_080224&amp;utm_content=saletructiep_UnitedStates.vdjh.2055.Giaotiep_PTATDNDL_LD150&amp;utm_campaign=UnitedStates.Giaotiep.vdjh_LHV.9822_MES_DungN"&amp;"T_080224")</f>
        <v>https://patadovietnam.edu.vn/tienganhusa_dntt/?utm_source=Facebook&amp;utm_medium=MES&amp;utm_term=NEW_UnitedStates_2055_none_080224&amp;utm_content=saletructiep_UnitedStates.vdjh.2055.Giaotiep_PTATDNDL_LD150&amp;utm_campaign=UnitedStates.Giaotiep.vdjh_LHV.9822_MES_DungNT_080224</v>
      </c>
      <c r="U339" s="110" t="s">
        <v>5906</v>
      </c>
    </row>
    <row r="340">
      <c r="A340" s="72">
        <v>45330.0</v>
      </c>
      <c r="B340" s="112" t="s">
        <v>3616</v>
      </c>
      <c r="C340" s="67" t="str">
        <f>IFERROR(__xludf.DUMMYFUNCTION("""COMPUTED_VALUE"""),"LD151")</f>
        <v>LD151</v>
      </c>
      <c r="D340" s="55" t="s">
        <v>42</v>
      </c>
      <c r="E340" s="55" t="s">
        <v>69</v>
      </c>
      <c r="F340" s="55" t="s">
        <v>674</v>
      </c>
      <c r="G340" s="55">
        <v>2055.0</v>
      </c>
      <c r="H340" s="55" t="s">
        <v>3306</v>
      </c>
      <c r="I340" s="55" t="s">
        <v>5849</v>
      </c>
      <c r="J340" s="168" t="s">
        <v>5850</v>
      </c>
      <c r="K340" s="167" t="s">
        <v>61</v>
      </c>
      <c r="L340" s="55" t="s">
        <v>1264</v>
      </c>
      <c r="M340" s="55" t="s">
        <v>78</v>
      </c>
      <c r="N340" s="55" t="s">
        <v>69</v>
      </c>
      <c r="O340" s="55" t="s">
        <v>4350</v>
      </c>
      <c r="P340" s="55" t="s">
        <v>110</v>
      </c>
      <c r="Q340" s="67" t="str">
        <f>IFERROR(__xludf.DUMMYFUNCTION("""COMPUTED_VALUE"""),"Europe.Giaotiep.vdgd_LHV.9822_CVS_DungNT_080224")</f>
        <v>Europe.Giaotiep.vdgd_LHV.9822_CVS_DungNT_080224</v>
      </c>
      <c r="R340" s="84" t="str">
        <f>IFERROR(__xludf.DUMMYFUNCTION("""COMPUTED_VALUE"""),"NEW_Europe_2055_none_080224")</f>
        <v>NEW_Europe_2055_none_080224</v>
      </c>
      <c r="S340" s="67" t="str">
        <f>IFERROR(__xludf.DUMMYFUNCTION("""COMPUTED_VALUE"""),"saletructiep_Europe.vdgd.2055.Giaotiep_PTATDNDL_LD151")</f>
        <v>saletructiep_Europe.vdgd.2055.Giaotiep_PTATDNDL_LD151</v>
      </c>
      <c r="T340" s="107" t="str">
        <f>IFERROR(__xludf.DUMMYFUNCTION("""COMPUTED_VALUE"""),"https://patadovietnam.edu.vn/tienganheurope_dnt/?utm_source=Facebook&amp;utm_medium=CVS&amp;utm_term=NEW_Europe_2055_none_080224&amp;utm_content=saletructiep_Europe.vdgd.2055.Giaotiep_PTATDNDL_LD151&amp;utm_campaign=Europe.Giaotiep.vdgd_LHV.9822_CVS_DungNT_080224")</f>
        <v>https://patadovietnam.edu.vn/tienganheurope_dnt/?utm_source=Facebook&amp;utm_medium=CVS&amp;utm_term=NEW_Europe_2055_none_080224&amp;utm_content=saletructiep_Europe.vdgd.2055.Giaotiep_PTATDNDL_LD151&amp;utm_campaign=Europe.Giaotiep.vdgd_LHV.9822_CVS_DungNT_080224</v>
      </c>
      <c r="U340" s="110" t="s">
        <v>5852</v>
      </c>
    </row>
    <row r="341">
      <c r="A341" s="72">
        <v>45330.0</v>
      </c>
      <c r="B341" s="231" t="s">
        <v>3502</v>
      </c>
      <c r="C341" s="67" t="str">
        <f>IFERROR(__xludf.DUMMYFUNCTION("""COMPUTED_VALUE"""),"LD144")</f>
        <v>LD144</v>
      </c>
      <c r="D341" s="55" t="s">
        <v>42</v>
      </c>
      <c r="E341" s="55" t="s">
        <v>69</v>
      </c>
      <c r="F341" s="55" t="s">
        <v>674</v>
      </c>
      <c r="G341" s="55">
        <v>2055.0</v>
      </c>
      <c r="H341" s="55" t="s">
        <v>3306</v>
      </c>
      <c r="I341" s="55" t="s">
        <v>6084</v>
      </c>
      <c r="J341" s="168" t="s">
        <v>6085</v>
      </c>
      <c r="K341" s="167" t="s">
        <v>61</v>
      </c>
      <c r="L341" s="55" t="s">
        <v>1264</v>
      </c>
      <c r="M341" s="55" t="s">
        <v>78</v>
      </c>
      <c r="N341" s="55" t="s">
        <v>69</v>
      </c>
      <c r="O341" s="55" t="s">
        <v>4350</v>
      </c>
      <c r="P341" s="55" t="s">
        <v>110</v>
      </c>
      <c r="Q341" s="67" t="str">
        <f>IFERROR(__xludf.DUMMYFUNCTION("""COMPUTED_VALUE"""),"Europe.Giaotiep.Anhkg_LHV.9822_CVS_DungNT_080224")</f>
        <v>Europe.Giaotiep.Anhkg_LHV.9822_CVS_DungNT_080224</v>
      </c>
      <c r="R341" s="84" t="str">
        <f>IFERROR(__xludf.DUMMYFUNCTION("""COMPUTED_VALUE"""),"NEW_Europe_2055_none_080224")</f>
        <v>NEW_Europe_2055_none_080224</v>
      </c>
      <c r="S341" s="67" t="str">
        <f>IFERROR(__xludf.DUMMYFUNCTION("""COMPUTED_VALUE"""),"saletructiep_Europe.Anhkg.2055.Giaotiep_PTATDNDL_LD144")</f>
        <v>saletructiep_Europe.Anhkg.2055.Giaotiep_PTATDNDL_LD144</v>
      </c>
      <c r="T341" s="107" t="str">
        <f>IFERROR(__xludf.DUMMYFUNCTION("""COMPUTED_VALUE"""),"https://patadovietnam.edu.vn/tienganhpatado_d1/?utm_source=Facebook&amp;utm_medium=CVS&amp;utm_term=NEW_Europe_2055_none_080224&amp;utm_content=saletructiep_Europe.Anhkg.2055.Giaotiep_PTATDNDL_LD144&amp;utm_campaign=Europe.Giaotiep.Anhkg_LHV.9822_CVS_DungNT_080224")</f>
        <v>https://patadovietnam.edu.vn/tienganhpatado_d1/?utm_source=Facebook&amp;utm_medium=CVS&amp;utm_term=NEW_Europe_2055_none_080224&amp;utm_content=saletructiep_Europe.Anhkg.2055.Giaotiep_PTATDNDL_LD144&amp;utm_campaign=Europe.Giaotiep.Anhkg_LHV.9822_CVS_DungNT_080224</v>
      </c>
      <c r="U341" s="110" t="s">
        <v>6089</v>
      </c>
    </row>
    <row r="342">
      <c r="A342" s="72">
        <v>45328.0</v>
      </c>
      <c r="B342" s="112" t="s">
        <v>3974</v>
      </c>
      <c r="C342" s="67" t="str">
        <f>IFERROR(__xludf.DUMMYFUNCTION("""COMPUTED_VALUE"""),"LD176")</f>
        <v>LD176</v>
      </c>
      <c r="D342" s="55" t="s">
        <v>42</v>
      </c>
      <c r="E342" s="55" t="s">
        <v>69</v>
      </c>
      <c r="F342" s="55" t="s">
        <v>133</v>
      </c>
      <c r="G342" s="55">
        <v>2050.0</v>
      </c>
      <c r="H342" s="55" t="s">
        <v>3306</v>
      </c>
      <c r="I342" s="55" t="s">
        <v>6091</v>
      </c>
      <c r="J342" s="168" t="s">
        <v>6092</v>
      </c>
      <c r="K342" s="167" t="s">
        <v>61</v>
      </c>
      <c r="L342" s="55" t="s">
        <v>1264</v>
      </c>
      <c r="M342" s="55" t="s">
        <v>78</v>
      </c>
      <c r="N342" s="55" t="s">
        <v>69</v>
      </c>
      <c r="O342" s="55" t="s">
        <v>218</v>
      </c>
      <c r="P342" s="55" t="s">
        <v>110</v>
      </c>
      <c r="Q342" s="67" t="str">
        <f>IFERROR(__xludf.DUMMYFUNCTION("""COMPUTED_VALUE"""),"Japan.Giaotiep.metatt_LHV.9822_CVS_DungNT_060224")</f>
        <v>Japan.Giaotiep.metatt_LHV.9822_CVS_DungNT_060224</v>
      </c>
      <c r="R342" s="67" t="str">
        <f>IFERROR(__xludf.DUMMYFUNCTION("""COMPUTED_VALUE"""),"NEW_Japan_2050_none_060224")</f>
        <v>NEW_Japan_2050_none_060224</v>
      </c>
      <c r="S342" s="67" t="str">
        <f>IFERROR(__xludf.DUMMYFUNCTION("""COMPUTED_VALUE"""),"saletructiep_Japan.metatt.2050.Giaotiep_PTATTNDL_LD176")</f>
        <v>saletructiep_Japan.metatt.2050.Giaotiep_PTATTNDL_LD176</v>
      </c>
      <c r="T342" s="107" t="str">
        <f>IFERROR(__xludf.DUMMYFUNCTION("""COMPUTED_VALUE"""),"https://patadovietnam.edu.vn/tienganhnguoidilamjapan/?utm_source=Facebook&amp;utm_medium=CVS&amp;utm_term=NEW_Japan_2050_none_060224&amp;utm_content=saletructiep_Japan.metatt.2050.Giaotiep_PTATTNDL_LD176&amp;utm_campaign=Japan.Giaotiep.metatt_LHV.9822_CVS_DungNT_060224")</f>
        <v>https://patadovietnam.edu.vn/tienganhnguoidilamjapan/?utm_source=Facebook&amp;utm_medium=CVS&amp;utm_term=NEW_Japan_2050_none_060224&amp;utm_content=saletructiep_Japan.metatt.2050.Giaotiep_PTATTNDL_LD176&amp;utm_campaign=Japan.Giaotiep.metatt_LHV.9822_CVS_DungNT_060224</v>
      </c>
      <c r="U342" s="111" t="s">
        <v>6099</v>
      </c>
    </row>
    <row r="343">
      <c r="A343" s="72">
        <v>45328.0</v>
      </c>
      <c r="B343" s="194" t="s">
        <v>3957</v>
      </c>
      <c r="C343" s="67" t="str">
        <f>IFERROR(__xludf.DUMMYFUNCTION("""COMPUTED_VALUE"""),"LD174")</f>
        <v>LD174</v>
      </c>
      <c r="D343" s="55" t="s">
        <v>42</v>
      </c>
      <c r="E343" s="55" t="s">
        <v>69</v>
      </c>
      <c r="F343" s="55" t="s">
        <v>625</v>
      </c>
      <c r="G343" s="55">
        <v>2050.0</v>
      </c>
      <c r="H343" s="55" t="s">
        <v>3306</v>
      </c>
      <c r="I343" s="55" t="s">
        <v>6100</v>
      </c>
      <c r="J343" s="168" t="s">
        <v>6101</v>
      </c>
      <c r="K343" s="167" t="s">
        <v>61</v>
      </c>
      <c r="L343" s="55" t="s">
        <v>1264</v>
      </c>
      <c r="M343" s="55" t="s">
        <v>78</v>
      </c>
      <c r="N343" s="55" t="s">
        <v>69</v>
      </c>
      <c r="O343" s="55" t="s">
        <v>218</v>
      </c>
      <c r="P343" s="55" t="s">
        <v>110</v>
      </c>
      <c r="Q343" s="67" t="str">
        <f>IFERROR(__xludf.DUMMYFUNCTION("""COMPUTED_VALUE"""),"KoreaSouth.Giaotiep.metatt_LHV.9822_CVS_DungNT_060224")</f>
        <v>KoreaSouth.Giaotiep.metatt_LHV.9822_CVS_DungNT_060224</v>
      </c>
      <c r="R343" s="67" t="str">
        <f>IFERROR(__xludf.DUMMYFUNCTION("""COMPUTED_VALUE"""),"NEW_KoreaSouth_2050_none_060224")</f>
        <v>NEW_KoreaSouth_2050_none_060224</v>
      </c>
      <c r="S343" s="67" t="str">
        <f>IFERROR(__xludf.DUMMYFUNCTION("""COMPUTED_VALUE"""),"saletructiep_KoreaSouth.metatt.2050.Giaotiep_PTATTNDL_LD174")</f>
        <v>saletructiep_KoreaSouth.metatt.2050.Giaotiep_PTATTNDL_LD174</v>
      </c>
      <c r="T343" s="107" t="str">
        <f>IFERROR(__xludf.DUMMYFUNCTION("""COMPUTED_VALUE"""),"https://patadovietnam.edu.vn/tienganhnguoidilamkorea/?utm_source=Facebook&amp;utm_medium=CVS&amp;utm_term=NEW_KoreaSouth_2050_none_060224&amp;utm_content=saletructiep_KoreaSouth.metatt.2050.Giaotiep_PTATTNDL_LD174&amp;utm_campaign=KoreaSouth.Giaotiep.metatt_LHV.9822_CVS_"&amp;"DungNT_060224")</f>
        <v>https://patadovietnam.edu.vn/tienganhnguoidilamkorea/?utm_source=Facebook&amp;utm_medium=CVS&amp;utm_term=NEW_KoreaSouth_2050_none_060224&amp;utm_content=saletructiep_KoreaSouth.metatt.2050.Giaotiep_PTATTNDL_LD174&amp;utm_campaign=KoreaSouth.Giaotiep.metatt_LHV.9822_CVS_DungNT_060224</v>
      </c>
      <c r="U343" s="111" t="s">
        <v>6108</v>
      </c>
    </row>
    <row r="344">
      <c r="A344" s="72">
        <v>45328.0</v>
      </c>
      <c r="B344" s="231" t="s">
        <v>5295</v>
      </c>
      <c r="C344" s="67" t="str">
        <f>IFERROR(__xludf.DUMMYFUNCTION("""COMPUTED_VALUE"""),"LD210")</f>
        <v>LD210</v>
      </c>
      <c r="D344" s="55" t="s">
        <v>42</v>
      </c>
      <c r="E344" s="55" t="s">
        <v>79</v>
      </c>
      <c r="F344" s="55" t="s">
        <v>164</v>
      </c>
      <c r="G344" s="55">
        <v>2050.0</v>
      </c>
      <c r="H344" s="55" t="s">
        <v>3306</v>
      </c>
      <c r="I344" s="55" t="s">
        <v>6110</v>
      </c>
      <c r="J344" s="168" t="s">
        <v>6111</v>
      </c>
      <c r="K344" s="167" t="s">
        <v>61</v>
      </c>
      <c r="L344" s="55" t="s">
        <v>1264</v>
      </c>
      <c r="M344" s="55" t="s">
        <v>78</v>
      </c>
      <c r="N344" s="55" t="s">
        <v>79</v>
      </c>
      <c r="O344" s="55" t="s">
        <v>218</v>
      </c>
      <c r="P344" s="55" t="s">
        <v>110</v>
      </c>
      <c r="Q344" s="67" t="str">
        <f>IFERROR(__xludf.DUMMYFUNCTION("""COMPUTED_VALUE"""),"Taiwan.Giaotiep.metatt_LHV.9822_MES_DungNT_060224")</f>
        <v>Taiwan.Giaotiep.metatt_LHV.9822_MES_DungNT_060224</v>
      </c>
      <c r="R344" s="67" t="str">
        <f>IFERROR(__xludf.DUMMYFUNCTION("""COMPUTED_VALUE"""),"NEW_Taiwan_2050_none_060224")</f>
        <v>NEW_Taiwan_2050_none_060224</v>
      </c>
      <c r="S344" s="67" t="str">
        <f>IFERROR(__xludf.DUMMYFUNCTION("""COMPUTED_VALUE"""),"saletructiep_Taiwan.metatt.2050.Giaotiep_PTATTNDL_LD210")</f>
        <v>saletructiep_Taiwan.metatt.2050.Giaotiep_PTATTNDL_LD210</v>
      </c>
      <c r="T344" s="107" t="str">
        <f>IFERROR(__xludf.DUMMYFUNCTION("""COMPUTED_VALUE"""),"https://patadovietnam.edu.vn/tienganhtoandienpatado_ptattndl/?utm_source=Facebook&amp;utm_medium=MES&amp;utm_term=NEW_Taiwan_2050_none_060224&amp;utm_content=saletructiep_Taiwan.metatt.2050.Giaotiep_PTATTNDL_LD210&amp;utm_campaign=Taiwan.Giaotiep.metatt_LHV.9822_MES_Dung"&amp;"NT_060224")</f>
        <v>https://patadovietnam.edu.vn/tienganhtoandienpatado_ptattndl/?utm_source=Facebook&amp;utm_medium=MES&amp;utm_term=NEW_Taiwan_2050_none_060224&amp;utm_content=saletructiep_Taiwan.metatt.2050.Giaotiep_PTATTNDL_LD210&amp;utm_campaign=Taiwan.Giaotiep.metatt_LHV.9822_MES_DungNT_060224</v>
      </c>
      <c r="U344" s="111" t="s">
        <v>6115</v>
      </c>
    </row>
    <row r="345">
      <c r="A345" s="72">
        <v>45328.0</v>
      </c>
      <c r="B345" s="194" t="s">
        <v>3782</v>
      </c>
      <c r="C345" s="67" t="str">
        <f>IFERROR(__xludf.DUMMYFUNCTION("""COMPUTED_VALUE"""),"LD167")</f>
        <v>LD167</v>
      </c>
      <c r="D345" s="55" t="s">
        <v>42</v>
      </c>
      <c r="E345" s="55" t="s">
        <v>79</v>
      </c>
      <c r="F345" s="55" t="s">
        <v>174</v>
      </c>
      <c r="G345" s="55">
        <v>2050.0</v>
      </c>
      <c r="H345" s="55" t="s">
        <v>3306</v>
      </c>
      <c r="I345" s="55" t="s">
        <v>6116</v>
      </c>
      <c r="J345" s="168" t="s">
        <v>6117</v>
      </c>
      <c r="K345" s="167" t="s">
        <v>61</v>
      </c>
      <c r="L345" s="55" t="s">
        <v>1264</v>
      </c>
      <c r="M345" s="55" t="s">
        <v>78</v>
      </c>
      <c r="N345" s="55" t="s">
        <v>79</v>
      </c>
      <c r="O345" s="55" t="s">
        <v>218</v>
      </c>
      <c r="P345" s="55" t="s">
        <v>110</v>
      </c>
      <c r="Q345" s="67" t="str">
        <f>IFERROR(__xludf.DUMMYFUNCTION("""COMPUTED_VALUE"""),"Philippines.Giaotiep.metatt_LHV.9822_MES_DungNT_060224")</f>
        <v>Philippines.Giaotiep.metatt_LHV.9822_MES_DungNT_060224</v>
      </c>
      <c r="R345" s="84" t="str">
        <f>IFERROR(__xludf.DUMMYFUNCTION("""COMPUTED_VALUE"""),"NEW_Philippines_2050_none_060224")</f>
        <v>NEW_Philippines_2050_none_060224</v>
      </c>
      <c r="S345" s="67" t="str">
        <f>IFERROR(__xludf.DUMMYFUNCTION("""COMPUTED_VALUE"""),"saletructiep_Philippines.metatt.2050.Giaotiep_PTATTNDL_LD167")</f>
        <v>saletructiep_Philippines.metatt.2050.Giaotiep_PTATTNDL_LD167</v>
      </c>
      <c r="T345" s="107" t="str">
        <f>IFERROR(__xludf.DUMMYFUNCTION("""COMPUTED_VALUE"""),"https://patadovietnam.edu.vn/tienganhnguoidilam_dnt/?utm_source=Facebook&amp;utm_medium=MES&amp;utm_term=NEW_Philippines_2050_none_060224&amp;utm_content=saletructiep_Philippines.metatt.2050.Giaotiep_PTATTNDL_LD167&amp;utm_campaign=Philippines.Giaotiep.metatt_LHV.9822_ME"&amp;"S_DungNT_060224")</f>
        <v>https://patadovietnam.edu.vn/tienganhnguoidilam_dnt/?utm_source=Facebook&amp;utm_medium=MES&amp;utm_term=NEW_Philippines_2050_none_060224&amp;utm_content=saletructiep_Philippines.metatt.2050.Giaotiep_PTATTNDL_LD167&amp;utm_campaign=Philippines.Giaotiep.metatt_LHV.9822_MES_DungNT_060224</v>
      </c>
      <c r="U345" s="161" t="s">
        <v>6121</v>
      </c>
    </row>
    <row r="346">
      <c r="A346" s="72"/>
      <c r="B346" s="54"/>
      <c r="C346" s="67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67"/>
      <c r="R346" s="67"/>
      <c r="S346" s="67"/>
      <c r="T346" s="67"/>
      <c r="U346" s="118"/>
    </row>
    <row r="347">
      <c r="A347" s="72"/>
      <c r="B347" s="54"/>
      <c r="C347" s="67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67"/>
      <c r="R347" s="67"/>
      <c r="S347" s="67"/>
      <c r="T347" s="67"/>
      <c r="U347" s="118"/>
    </row>
    <row r="348">
      <c r="A348" s="72"/>
      <c r="B348" s="54"/>
      <c r="C348" s="67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67"/>
      <c r="R348" s="67"/>
      <c r="S348" s="67"/>
      <c r="T348" s="67"/>
      <c r="U348" s="118"/>
    </row>
    <row r="349">
      <c r="A349" s="72"/>
      <c r="B349" s="54"/>
      <c r="C349" s="67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67"/>
      <c r="R349" s="67"/>
      <c r="S349" s="67"/>
      <c r="T349" s="67"/>
      <c r="U349" s="118"/>
    </row>
    <row r="350">
      <c r="A350" s="72"/>
      <c r="B350" s="54"/>
      <c r="C350" s="67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67"/>
      <c r="R350" s="67"/>
      <c r="S350" s="67"/>
      <c r="T350" s="67"/>
      <c r="U350" s="118"/>
    </row>
    <row r="351">
      <c r="A351" s="72"/>
      <c r="B351" s="54"/>
      <c r="C351" s="67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67"/>
      <c r="R351" s="67"/>
      <c r="S351" s="67"/>
      <c r="T351" s="67"/>
      <c r="U351" s="118"/>
    </row>
    <row r="352">
      <c r="A352" s="72"/>
      <c r="B352" s="54"/>
      <c r="C352" s="67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67"/>
      <c r="R352" s="67"/>
      <c r="S352" s="67"/>
      <c r="T352" s="67"/>
      <c r="U352" s="118"/>
    </row>
    <row r="353">
      <c r="A353" s="72"/>
      <c r="B353" s="54"/>
      <c r="C353" s="67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67"/>
      <c r="R353" s="67"/>
      <c r="S353" s="67"/>
      <c r="T353" s="67"/>
      <c r="U353" s="118"/>
    </row>
    <row r="354">
      <c r="A354" s="72"/>
      <c r="B354" s="54"/>
      <c r="C354" s="67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67"/>
      <c r="R354" s="67"/>
      <c r="S354" s="67"/>
      <c r="T354" s="67"/>
      <c r="U354" s="118"/>
    </row>
    <row r="355">
      <c r="A355" s="72"/>
      <c r="B355" s="54"/>
      <c r="C355" s="67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67"/>
      <c r="R355" s="67"/>
      <c r="S355" s="67"/>
      <c r="T355" s="67"/>
      <c r="U355" s="118"/>
    </row>
    <row r="356">
      <c r="A356" s="72"/>
      <c r="B356" s="54"/>
      <c r="C356" s="67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67"/>
      <c r="R356" s="67"/>
      <c r="S356" s="67"/>
      <c r="T356" s="67"/>
      <c r="U356" s="118"/>
    </row>
    <row r="357">
      <c r="A357" s="72"/>
      <c r="B357" s="54"/>
      <c r="C357" s="67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67"/>
      <c r="R357" s="67"/>
      <c r="S357" s="67"/>
      <c r="T357" s="67"/>
      <c r="U357" s="118"/>
    </row>
    <row r="358">
      <c r="A358" s="72"/>
      <c r="B358" s="54"/>
      <c r="C358" s="67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67"/>
      <c r="R358" s="67"/>
      <c r="S358" s="67"/>
      <c r="T358" s="67"/>
      <c r="U358" s="118"/>
    </row>
    <row r="359">
      <c r="A359" s="72"/>
      <c r="B359" s="54"/>
      <c r="C359" s="67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67"/>
      <c r="R359" s="67"/>
      <c r="S359" s="67"/>
      <c r="T359" s="67"/>
      <c r="U359" s="118"/>
    </row>
    <row r="360">
      <c r="A360" s="72"/>
      <c r="B360" s="54"/>
      <c r="C360" s="67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67"/>
      <c r="R360" s="67"/>
      <c r="S360" s="67"/>
      <c r="T360" s="67"/>
      <c r="U360" s="118"/>
    </row>
    <row r="361">
      <c r="A361" s="72"/>
      <c r="B361" s="54"/>
      <c r="C361" s="67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67"/>
      <c r="R361" s="67"/>
      <c r="S361" s="67"/>
      <c r="T361" s="67"/>
      <c r="U361" s="118"/>
    </row>
    <row r="362">
      <c r="A362" s="72"/>
      <c r="B362" s="54"/>
      <c r="C362" s="67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67"/>
      <c r="R362" s="67"/>
      <c r="S362" s="67"/>
      <c r="T362" s="67"/>
      <c r="U362" s="118"/>
    </row>
    <row r="363">
      <c r="A363" s="72"/>
      <c r="B363" s="54"/>
      <c r="C363" s="67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67"/>
      <c r="R363" s="67"/>
      <c r="S363" s="67"/>
      <c r="T363" s="67"/>
      <c r="U363" s="118"/>
    </row>
    <row r="364">
      <c r="A364" s="72"/>
      <c r="B364" s="54"/>
      <c r="C364" s="67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67"/>
      <c r="R364" s="67"/>
      <c r="S364" s="67"/>
      <c r="T364" s="67"/>
      <c r="U364" s="118"/>
    </row>
    <row r="365">
      <c r="A365" s="72"/>
      <c r="B365" s="54"/>
      <c r="C365" s="67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67"/>
      <c r="R365" s="67"/>
      <c r="S365" s="67"/>
      <c r="T365" s="67"/>
      <c r="U365" s="118"/>
    </row>
    <row r="366">
      <c r="A366" s="72"/>
      <c r="B366" s="54"/>
      <c r="C366" s="67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67"/>
      <c r="R366" s="67"/>
      <c r="S366" s="67"/>
      <c r="T366" s="67"/>
      <c r="U366" s="118"/>
    </row>
    <row r="367">
      <c r="A367" s="72"/>
      <c r="B367" s="54"/>
      <c r="C367" s="67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67"/>
      <c r="R367" s="67"/>
      <c r="S367" s="67"/>
      <c r="T367" s="67"/>
      <c r="U367" s="118"/>
    </row>
    <row r="368">
      <c r="A368" s="72"/>
      <c r="B368" s="54"/>
      <c r="C368" s="67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67"/>
      <c r="R368" s="67"/>
      <c r="S368" s="67"/>
      <c r="T368" s="67"/>
      <c r="U368" s="118"/>
    </row>
    <row r="369">
      <c r="A369" s="72"/>
      <c r="B369" s="54"/>
      <c r="C369" s="67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67"/>
      <c r="R369" s="67"/>
      <c r="S369" s="67"/>
      <c r="T369" s="67"/>
      <c r="U369" s="118"/>
    </row>
    <row r="370">
      <c r="A370" s="72"/>
      <c r="B370" s="54"/>
      <c r="C370" s="67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67"/>
      <c r="R370" s="67"/>
      <c r="S370" s="67"/>
      <c r="T370" s="67"/>
      <c r="U370" s="118"/>
    </row>
    <row r="371">
      <c r="A371" s="72"/>
      <c r="B371" s="54"/>
      <c r="C371" s="67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67"/>
      <c r="R371" s="67"/>
      <c r="S371" s="67"/>
      <c r="T371" s="67"/>
      <c r="U371" s="118"/>
    </row>
    <row r="372">
      <c r="A372" s="72"/>
      <c r="B372" s="54"/>
      <c r="C372" s="67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67"/>
      <c r="R372" s="67"/>
      <c r="S372" s="67"/>
      <c r="T372" s="67"/>
      <c r="U372" s="118"/>
    </row>
    <row r="373">
      <c r="A373" s="72"/>
      <c r="B373" s="54"/>
      <c r="C373" s="67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67"/>
      <c r="R373" s="67"/>
      <c r="S373" s="67"/>
      <c r="T373" s="67"/>
      <c r="U373" s="118"/>
    </row>
    <row r="374">
      <c r="A374" s="72"/>
      <c r="B374" s="54"/>
      <c r="C374" s="67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67"/>
      <c r="R374" s="67"/>
      <c r="S374" s="67"/>
      <c r="T374" s="67"/>
      <c r="U374" s="118"/>
    </row>
    <row r="375">
      <c r="A375" s="72"/>
      <c r="B375" s="54"/>
      <c r="C375" s="67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67"/>
      <c r="R375" s="67"/>
      <c r="S375" s="67"/>
      <c r="T375" s="67"/>
      <c r="U375" s="118"/>
    </row>
    <row r="376">
      <c r="A376" s="72"/>
      <c r="B376" s="54"/>
      <c r="C376" s="67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67"/>
      <c r="R376" s="67"/>
      <c r="S376" s="67"/>
      <c r="T376" s="67"/>
      <c r="U376" s="118"/>
    </row>
    <row r="377">
      <c r="A377" s="72"/>
      <c r="B377" s="54"/>
      <c r="C377" s="67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67"/>
      <c r="R377" s="67"/>
      <c r="S377" s="67"/>
      <c r="T377" s="67"/>
      <c r="U377" s="118"/>
    </row>
    <row r="378">
      <c r="A378" s="72"/>
      <c r="B378" s="54"/>
      <c r="C378" s="67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67"/>
      <c r="R378" s="67"/>
      <c r="S378" s="67"/>
      <c r="T378" s="67"/>
      <c r="U378" s="118"/>
    </row>
    <row r="379">
      <c r="A379" s="72"/>
      <c r="B379" s="54"/>
      <c r="C379" s="67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67"/>
      <c r="R379" s="67"/>
      <c r="S379" s="67"/>
      <c r="T379" s="67"/>
      <c r="U379" s="118"/>
    </row>
    <row r="380">
      <c r="A380" s="72"/>
      <c r="B380" s="54"/>
      <c r="C380" s="67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67"/>
      <c r="R380" s="67"/>
      <c r="S380" s="67"/>
      <c r="T380" s="67"/>
      <c r="U380" s="118"/>
    </row>
    <row r="381">
      <c r="A381" s="72"/>
      <c r="B381" s="54"/>
      <c r="C381" s="67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67"/>
      <c r="R381" s="67"/>
      <c r="S381" s="67"/>
      <c r="T381" s="67"/>
      <c r="U381" s="118"/>
    </row>
    <row r="382">
      <c r="A382" s="72"/>
      <c r="B382" s="54"/>
      <c r="C382" s="67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67"/>
      <c r="R382" s="67"/>
      <c r="S382" s="67"/>
      <c r="T382" s="67"/>
      <c r="U382" s="118"/>
    </row>
    <row r="383">
      <c r="A383" s="72"/>
      <c r="B383" s="54"/>
      <c r="C383" s="67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67"/>
      <c r="R383" s="67"/>
      <c r="S383" s="67"/>
      <c r="T383" s="67"/>
      <c r="U383" s="118"/>
    </row>
    <row r="384">
      <c r="A384" s="72"/>
      <c r="B384" s="54"/>
      <c r="C384" s="67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67"/>
      <c r="R384" s="67"/>
      <c r="S384" s="67"/>
      <c r="T384" s="67"/>
      <c r="U384" s="118"/>
    </row>
    <row r="385">
      <c r="A385" s="72"/>
      <c r="B385" s="54"/>
      <c r="C385" s="67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67"/>
      <c r="R385" s="67"/>
      <c r="S385" s="67"/>
      <c r="T385" s="67"/>
      <c r="U385" s="118"/>
    </row>
    <row r="386">
      <c r="A386" s="72"/>
      <c r="B386" s="54"/>
      <c r="C386" s="67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67"/>
      <c r="R386" s="67"/>
      <c r="S386" s="67"/>
      <c r="T386" s="67"/>
      <c r="U386" s="118"/>
    </row>
    <row r="387">
      <c r="A387" s="72"/>
      <c r="B387" s="54"/>
      <c r="C387" s="67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67"/>
      <c r="R387" s="67"/>
      <c r="S387" s="67"/>
      <c r="T387" s="67"/>
      <c r="U387" s="118"/>
    </row>
    <row r="388">
      <c r="A388" s="72"/>
      <c r="B388" s="54"/>
      <c r="C388" s="67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67"/>
      <c r="R388" s="67"/>
      <c r="S388" s="67"/>
      <c r="T388" s="67"/>
      <c r="U388" s="118"/>
    </row>
    <row r="389">
      <c r="A389" s="72"/>
      <c r="B389" s="54"/>
      <c r="C389" s="67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67"/>
      <c r="R389" s="67"/>
      <c r="S389" s="67"/>
      <c r="T389" s="67"/>
      <c r="U389" s="118"/>
    </row>
    <row r="390">
      <c r="A390" s="72"/>
      <c r="B390" s="54"/>
      <c r="C390" s="67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67"/>
      <c r="R390" s="67"/>
      <c r="S390" s="67"/>
      <c r="T390" s="67"/>
      <c r="U390" s="118"/>
    </row>
    <row r="391">
      <c r="A391" s="72"/>
      <c r="B391" s="54"/>
      <c r="C391" s="67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67"/>
      <c r="R391" s="67"/>
      <c r="S391" s="67"/>
      <c r="T391" s="67"/>
      <c r="U391" s="118"/>
    </row>
    <row r="392">
      <c r="A392" s="72"/>
      <c r="B392" s="54"/>
      <c r="C392" s="67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67"/>
      <c r="R392" s="67"/>
      <c r="S392" s="67"/>
      <c r="T392" s="67"/>
      <c r="U392" s="118"/>
    </row>
    <row r="393">
      <c r="A393" s="72"/>
      <c r="B393" s="54"/>
      <c r="C393" s="67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67"/>
      <c r="R393" s="67"/>
      <c r="S393" s="67"/>
      <c r="T393" s="67"/>
      <c r="U393" s="118"/>
    </row>
    <row r="394">
      <c r="A394" s="72"/>
      <c r="B394" s="54"/>
      <c r="C394" s="67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67"/>
      <c r="R394" s="67"/>
      <c r="S394" s="67"/>
      <c r="T394" s="67"/>
      <c r="U394" s="118"/>
    </row>
    <row r="395">
      <c r="A395" s="72"/>
      <c r="B395" s="54"/>
      <c r="C395" s="67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67"/>
      <c r="R395" s="67"/>
      <c r="S395" s="67"/>
      <c r="T395" s="67"/>
      <c r="U395" s="118"/>
    </row>
    <row r="396">
      <c r="A396" s="72"/>
      <c r="B396" s="54"/>
      <c r="C396" s="67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67"/>
      <c r="R396" s="67"/>
      <c r="S396" s="67"/>
      <c r="T396" s="67"/>
      <c r="U396" s="118"/>
    </row>
    <row r="397">
      <c r="A397" s="72"/>
      <c r="B397" s="54"/>
      <c r="C397" s="67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67"/>
      <c r="R397" s="67"/>
      <c r="S397" s="67"/>
      <c r="T397" s="67"/>
      <c r="U397" s="118"/>
    </row>
    <row r="398">
      <c r="A398" s="72"/>
      <c r="B398" s="54"/>
      <c r="C398" s="67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67"/>
      <c r="R398" s="67"/>
      <c r="S398" s="67"/>
      <c r="T398" s="67"/>
      <c r="U398" s="118"/>
    </row>
    <row r="399">
      <c r="A399" s="72"/>
      <c r="B399" s="54"/>
      <c r="C399" s="67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67"/>
      <c r="R399" s="67"/>
      <c r="S399" s="67"/>
      <c r="T399" s="67"/>
      <c r="U399" s="118"/>
    </row>
    <row r="400">
      <c r="A400" s="72"/>
      <c r="B400" s="54"/>
      <c r="C400" s="67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67"/>
      <c r="R400" s="67"/>
      <c r="S400" s="67"/>
      <c r="T400" s="67"/>
      <c r="U400" s="118"/>
    </row>
    <row r="401">
      <c r="A401" s="72"/>
      <c r="B401" s="54"/>
      <c r="C401" s="67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67"/>
      <c r="R401" s="67"/>
      <c r="S401" s="67"/>
      <c r="T401" s="67"/>
      <c r="U401" s="118"/>
    </row>
    <row r="402">
      <c r="A402" s="72"/>
      <c r="B402" s="54"/>
      <c r="C402" s="67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67"/>
      <c r="R402" s="67"/>
      <c r="S402" s="67"/>
      <c r="T402" s="67"/>
      <c r="U402" s="118"/>
    </row>
    <row r="403">
      <c r="A403" s="72"/>
      <c r="B403" s="54"/>
      <c r="C403" s="67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67"/>
      <c r="R403" s="67"/>
      <c r="S403" s="67"/>
      <c r="T403" s="67"/>
      <c r="U403" s="118"/>
    </row>
    <row r="404">
      <c r="A404" s="72"/>
      <c r="B404" s="54"/>
      <c r="C404" s="67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67"/>
      <c r="R404" s="67"/>
      <c r="S404" s="67"/>
      <c r="T404" s="67"/>
      <c r="U404" s="118"/>
    </row>
    <row r="405">
      <c r="A405" s="72"/>
      <c r="B405" s="54"/>
      <c r="C405" s="67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67"/>
      <c r="R405" s="67"/>
      <c r="S405" s="67"/>
      <c r="T405" s="67"/>
      <c r="U405" s="118"/>
    </row>
    <row r="406">
      <c r="A406" s="72"/>
      <c r="B406" s="54"/>
      <c r="C406" s="67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67"/>
      <c r="R406" s="67"/>
      <c r="S406" s="67"/>
      <c r="T406" s="67"/>
      <c r="U406" s="118"/>
    </row>
    <row r="407">
      <c r="A407" s="72"/>
      <c r="B407" s="54"/>
      <c r="C407" s="67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67"/>
      <c r="R407" s="67"/>
      <c r="S407" s="67"/>
      <c r="T407" s="67"/>
      <c r="U407" s="118"/>
    </row>
    <row r="408">
      <c r="A408" s="72"/>
      <c r="B408" s="54"/>
      <c r="C408" s="67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67"/>
      <c r="R408" s="67"/>
      <c r="S408" s="67"/>
      <c r="T408" s="67"/>
      <c r="U408" s="118"/>
    </row>
    <row r="409">
      <c r="A409" s="72"/>
      <c r="B409" s="54"/>
      <c r="C409" s="67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67"/>
      <c r="R409" s="67"/>
      <c r="S409" s="67"/>
      <c r="T409" s="67"/>
      <c r="U409" s="118"/>
    </row>
    <row r="410">
      <c r="A410" s="72"/>
      <c r="B410" s="54"/>
      <c r="C410" s="67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67"/>
      <c r="R410" s="67"/>
      <c r="S410" s="67"/>
      <c r="T410" s="67"/>
      <c r="U410" s="118"/>
    </row>
    <row r="411">
      <c r="A411" s="72"/>
      <c r="B411" s="54"/>
      <c r="C411" s="67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67"/>
      <c r="R411" s="67"/>
      <c r="S411" s="67"/>
      <c r="T411" s="67"/>
      <c r="U411" s="118"/>
    </row>
    <row r="412">
      <c r="A412" s="72"/>
      <c r="B412" s="54"/>
      <c r="C412" s="67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67"/>
      <c r="R412" s="67"/>
      <c r="S412" s="67"/>
      <c r="T412" s="67"/>
      <c r="U412" s="118"/>
    </row>
    <row r="413">
      <c r="A413" s="72"/>
      <c r="B413" s="54"/>
      <c r="C413" s="67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67"/>
      <c r="R413" s="67"/>
      <c r="S413" s="67"/>
      <c r="T413" s="67"/>
      <c r="U413" s="118"/>
    </row>
    <row r="414">
      <c r="A414" s="72"/>
      <c r="B414" s="54"/>
      <c r="C414" s="67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67"/>
      <c r="R414" s="67"/>
      <c r="S414" s="67"/>
      <c r="T414" s="67"/>
      <c r="U414" s="118"/>
    </row>
    <row r="415">
      <c r="A415" s="72"/>
      <c r="B415" s="54"/>
      <c r="C415" s="67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67"/>
      <c r="R415" s="67"/>
      <c r="S415" s="67"/>
      <c r="T415" s="67"/>
      <c r="U415" s="118"/>
    </row>
    <row r="416">
      <c r="A416" s="72"/>
      <c r="B416" s="54"/>
      <c r="C416" s="67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67"/>
      <c r="R416" s="67"/>
      <c r="S416" s="67"/>
      <c r="T416" s="67"/>
      <c r="U416" s="118"/>
    </row>
    <row r="417">
      <c r="A417" s="72"/>
      <c r="B417" s="54"/>
      <c r="C417" s="67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67"/>
      <c r="R417" s="67"/>
      <c r="S417" s="67"/>
      <c r="T417" s="67"/>
      <c r="U417" s="118"/>
    </row>
    <row r="418">
      <c r="A418" s="72"/>
      <c r="B418" s="54"/>
      <c r="C418" s="67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67"/>
      <c r="R418" s="67"/>
      <c r="S418" s="67"/>
      <c r="T418" s="67"/>
      <c r="U418" s="118"/>
    </row>
    <row r="419">
      <c r="A419" s="72"/>
      <c r="B419" s="54"/>
      <c r="C419" s="67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67"/>
      <c r="R419" s="67"/>
      <c r="S419" s="67"/>
      <c r="T419" s="67"/>
      <c r="U419" s="118"/>
    </row>
    <row r="420">
      <c r="A420" s="72"/>
      <c r="B420" s="54"/>
      <c r="C420" s="67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67"/>
      <c r="R420" s="67"/>
      <c r="S420" s="67"/>
      <c r="T420" s="67"/>
      <c r="U420" s="118"/>
    </row>
    <row r="421">
      <c r="A421" s="72"/>
      <c r="B421" s="54"/>
      <c r="C421" s="67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67"/>
      <c r="R421" s="67"/>
      <c r="S421" s="67"/>
      <c r="T421" s="67"/>
      <c r="U421" s="118"/>
    </row>
    <row r="422">
      <c r="A422" s="72"/>
      <c r="B422" s="54"/>
      <c r="C422" s="67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67"/>
      <c r="R422" s="67"/>
      <c r="S422" s="67"/>
      <c r="T422" s="67"/>
      <c r="U422" s="118"/>
    </row>
    <row r="423">
      <c r="A423" s="72"/>
      <c r="B423" s="54"/>
      <c r="C423" s="67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67"/>
      <c r="R423" s="67"/>
      <c r="S423" s="67"/>
      <c r="T423" s="67"/>
      <c r="U423" s="118"/>
    </row>
    <row r="424">
      <c r="A424" s="72"/>
      <c r="B424" s="54"/>
      <c r="C424" s="67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67"/>
      <c r="R424" s="67"/>
      <c r="S424" s="67"/>
      <c r="T424" s="67"/>
      <c r="U424" s="118"/>
    </row>
    <row r="425">
      <c r="A425" s="72"/>
      <c r="B425" s="54"/>
      <c r="C425" s="67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67"/>
      <c r="R425" s="67"/>
      <c r="S425" s="67"/>
      <c r="T425" s="67"/>
      <c r="U425" s="118"/>
    </row>
    <row r="426">
      <c r="A426" s="72"/>
      <c r="B426" s="54"/>
      <c r="C426" s="67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67"/>
      <c r="R426" s="67"/>
      <c r="S426" s="67"/>
      <c r="T426" s="67"/>
      <c r="U426" s="118"/>
    </row>
    <row r="427">
      <c r="A427" s="72"/>
      <c r="B427" s="54"/>
      <c r="C427" s="67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67"/>
      <c r="R427" s="67"/>
      <c r="S427" s="67"/>
      <c r="T427" s="67"/>
      <c r="U427" s="118"/>
    </row>
    <row r="428">
      <c r="A428" s="72"/>
      <c r="B428" s="54"/>
      <c r="C428" s="67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67"/>
      <c r="R428" s="67"/>
      <c r="S428" s="67"/>
      <c r="T428" s="67"/>
      <c r="U428" s="118"/>
    </row>
    <row r="429">
      <c r="A429" s="72"/>
      <c r="B429" s="54"/>
      <c r="C429" s="67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67"/>
      <c r="R429" s="67"/>
      <c r="S429" s="67"/>
      <c r="T429" s="67"/>
      <c r="U429" s="118"/>
    </row>
    <row r="430">
      <c r="A430" s="72"/>
      <c r="B430" s="54"/>
      <c r="C430" s="67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67"/>
      <c r="R430" s="67"/>
      <c r="S430" s="67"/>
      <c r="T430" s="67"/>
      <c r="U430" s="118"/>
    </row>
    <row r="431">
      <c r="A431" s="72"/>
      <c r="B431" s="54"/>
      <c r="C431" s="67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67"/>
      <c r="R431" s="67"/>
      <c r="S431" s="67"/>
      <c r="T431" s="67"/>
      <c r="U431" s="118"/>
    </row>
    <row r="432">
      <c r="A432" s="72"/>
      <c r="B432" s="54"/>
      <c r="C432" s="67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67"/>
      <c r="R432" s="67"/>
      <c r="S432" s="67"/>
      <c r="T432" s="67"/>
      <c r="U432" s="118"/>
    </row>
    <row r="433">
      <c r="A433" s="72"/>
      <c r="B433" s="54"/>
      <c r="C433" s="67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67"/>
      <c r="R433" s="67"/>
      <c r="S433" s="67"/>
      <c r="T433" s="67"/>
      <c r="U433" s="118"/>
    </row>
    <row r="434">
      <c r="A434" s="72"/>
      <c r="B434" s="54"/>
      <c r="C434" s="67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67"/>
      <c r="R434" s="67"/>
      <c r="S434" s="67"/>
      <c r="T434" s="67"/>
      <c r="U434" s="118"/>
    </row>
    <row r="435">
      <c r="A435" s="72"/>
      <c r="B435" s="54"/>
      <c r="C435" s="67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67"/>
      <c r="R435" s="67"/>
      <c r="S435" s="67"/>
      <c r="T435" s="67"/>
      <c r="U435" s="118"/>
    </row>
    <row r="436">
      <c r="A436" s="72"/>
      <c r="B436" s="54"/>
      <c r="C436" s="67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67"/>
      <c r="R436" s="67"/>
      <c r="S436" s="67"/>
      <c r="T436" s="67"/>
      <c r="U436" s="118"/>
    </row>
    <row r="437">
      <c r="A437" s="72"/>
      <c r="B437" s="54"/>
      <c r="C437" s="67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67"/>
      <c r="R437" s="67"/>
      <c r="S437" s="67"/>
      <c r="T437" s="67"/>
      <c r="U437" s="118"/>
    </row>
    <row r="438">
      <c r="A438" s="72"/>
      <c r="B438" s="54"/>
      <c r="C438" s="67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67"/>
      <c r="R438" s="67"/>
      <c r="S438" s="67"/>
      <c r="T438" s="67"/>
      <c r="U438" s="118"/>
    </row>
    <row r="439">
      <c r="A439" s="72"/>
      <c r="B439" s="54"/>
      <c r="C439" s="67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67"/>
      <c r="R439" s="67"/>
      <c r="S439" s="67"/>
      <c r="T439" s="67"/>
      <c r="U439" s="118"/>
    </row>
    <row r="440">
      <c r="A440" s="72"/>
      <c r="B440" s="54"/>
      <c r="C440" s="67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67"/>
      <c r="R440" s="67"/>
      <c r="S440" s="67"/>
      <c r="T440" s="67"/>
      <c r="U440" s="118"/>
    </row>
    <row r="441">
      <c r="A441" s="72"/>
      <c r="B441" s="54"/>
      <c r="C441" s="67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67"/>
      <c r="R441" s="67"/>
      <c r="S441" s="67"/>
      <c r="T441" s="67"/>
      <c r="U441" s="118"/>
    </row>
    <row r="442">
      <c r="A442" s="72"/>
      <c r="B442" s="54"/>
      <c r="C442" s="67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67"/>
      <c r="R442" s="67"/>
      <c r="S442" s="67"/>
      <c r="T442" s="67"/>
      <c r="U442" s="118"/>
    </row>
    <row r="443">
      <c r="A443" s="72"/>
      <c r="B443" s="54"/>
      <c r="C443" s="67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67"/>
      <c r="R443" s="67"/>
      <c r="S443" s="67"/>
      <c r="T443" s="67"/>
      <c r="U443" s="118"/>
    </row>
    <row r="444">
      <c r="A444" s="72"/>
      <c r="B444" s="54"/>
      <c r="C444" s="67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67"/>
      <c r="R444" s="67"/>
      <c r="S444" s="67"/>
      <c r="T444" s="67"/>
      <c r="U444" s="118"/>
    </row>
    <row r="445">
      <c r="A445" s="72"/>
      <c r="B445" s="54"/>
      <c r="C445" s="67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67"/>
      <c r="R445" s="67"/>
      <c r="S445" s="67"/>
      <c r="T445" s="67"/>
      <c r="U445" s="118"/>
    </row>
    <row r="446">
      <c r="A446" s="72"/>
      <c r="B446" s="54"/>
      <c r="C446" s="67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67"/>
      <c r="R446" s="67"/>
      <c r="S446" s="67"/>
      <c r="T446" s="67"/>
      <c r="U446" s="118"/>
    </row>
    <row r="447">
      <c r="A447" s="72"/>
      <c r="B447" s="54"/>
      <c r="C447" s="67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67"/>
      <c r="R447" s="67"/>
      <c r="S447" s="67"/>
      <c r="T447" s="67"/>
      <c r="U447" s="118"/>
    </row>
    <row r="448">
      <c r="A448" s="72"/>
      <c r="B448" s="54"/>
      <c r="C448" s="67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67"/>
      <c r="R448" s="67"/>
      <c r="S448" s="67"/>
      <c r="T448" s="67"/>
      <c r="U448" s="118"/>
    </row>
    <row r="449">
      <c r="A449" s="72"/>
      <c r="B449" s="54"/>
      <c r="C449" s="67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67"/>
      <c r="R449" s="67"/>
      <c r="S449" s="67"/>
      <c r="T449" s="67"/>
      <c r="U449" s="118"/>
    </row>
    <row r="450">
      <c r="A450" s="72"/>
      <c r="B450" s="54"/>
      <c r="C450" s="67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67"/>
      <c r="R450" s="67"/>
      <c r="S450" s="67"/>
      <c r="T450" s="67"/>
      <c r="U450" s="118"/>
    </row>
    <row r="451">
      <c r="A451" s="72"/>
      <c r="B451" s="54"/>
      <c r="C451" s="67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67"/>
      <c r="R451" s="67"/>
      <c r="S451" s="67"/>
      <c r="T451" s="67"/>
      <c r="U451" s="118"/>
    </row>
    <row r="452">
      <c r="A452" s="72"/>
      <c r="B452" s="54"/>
      <c r="C452" s="67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67"/>
      <c r="R452" s="67"/>
      <c r="S452" s="67"/>
      <c r="T452" s="67"/>
      <c r="U452" s="118"/>
    </row>
    <row r="453">
      <c r="A453" s="72"/>
      <c r="B453" s="54"/>
      <c r="C453" s="67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67"/>
      <c r="R453" s="67"/>
      <c r="S453" s="67"/>
      <c r="T453" s="67"/>
      <c r="U453" s="118"/>
    </row>
    <row r="454">
      <c r="A454" s="72"/>
      <c r="B454" s="54"/>
      <c r="C454" s="67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67"/>
      <c r="R454" s="67"/>
      <c r="S454" s="67"/>
      <c r="T454" s="67"/>
      <c r="U454" s="118"/>
    </row>
    <row r="455">
      <c r="A455" s="72"/>
      <c r="B455" s="54"/>
      <c r="C455" s="67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67"/>
      <c r="R455" s="67"/>
      <c r="S455" s="67"/>
      <c r="T455" s="67"/>
      <c r="U455" s="118"/>
    </row>
    <row r="456">
      <c r="A456" s="72"/>
      <c r="B456" s="54"/>
      <c r="C456" s="67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67"/>
      <c r="R456" s="67"/>
      <c r="S456" s="67"/>
      <c r="T456" s="67"/>
      <c r="U456" s="118"/>
    </row>
    <row r="457">
      <c r="A457" s="72"/>
      <c r="B457" s="54"/>
      <c r="C457" s="67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67"/>
      <c r="R457" s="67"/>
      <c r="S457" s="67"/>
      <c r="T457" s="67"/>
      <c r="U457" s="118"/>
    </row>
    <row r="458">
      <c r="A458" s="72"/>
      <c r="B458" s="54"/>
      <c r="C458" s="67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67"/>
      <c r="R458" s="67"/>
      <c r="S458" s="67"/>
      <c r="T458" s="67"/>
      <c r="U458" s="118"/>
    </row>
    <row r="459">
      <c r="A459" s="72"/>
      <c r="B459" s="54"/>
      <c r="C459" s="67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67"/>
      <c r="R459" s="67"/>
      <c r="S459" s="67"/>
      <c r="T459" s="67"/>
      <c r="U459" s="118"/>
    </row>
    <row r="460">
      <c r="A460" s="72"/>
      <c r="B460" s="54"/>
      <c r="C460" s="67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67"/>
      <c r="R460" s="67"/>
      <c r="S460" s="67"/>
      <c r="T460" s="67"/>
      <c r="U460" s="118"/>
    </row>
    <row r="461">
      <c r="A461" s="72"/>
      <c r="B461" s="54"/>
      <c r="C461" s="67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67"/>
      <c r="R461" s="67"/>
      <c r="S461" s="67"/>
      <c r="T461" s="67"/>
      <c r="U461" s="118"/>
    </row>
    <row r="462">
      <c r="A462" s="72"/>
      <c r="B462" s="54"/>
      <c r="C462" s="67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67"/>
      <c r="R462" s="67"/>
      <c r="S462" s="67"/>
      <c r="T462" s="67"/>
      <c r="U462" s="118"/>
    </row>
    <row r="463">
      <c r="A463" s="72"/>
      <c r="B463" s="54"/>
      <c r="C463" s="67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67"/>
      <c r="R463" s="67"/>
      <c r="S463" s="67"/>
      <c r="T463" s="67"/>
      <c r="U463" s="118"/>
    </row>
    <row r="464">
      <c r="A464" s="72"/>
      <c r="B464" s="54"/>
      <c r="C464" s="67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67"/>
      <c r="R464" s="67"/>
      <c r="S464" s="67"/>
      <c r="T464" s="67"/>
      <c r="U464" s="118"/>
    </row>
    <row r="465">
      <c r="A465" s="72"/>
      <c r="B465" s="54"/>
      <c r="C465" s="67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67"/>
      <c r="R465" s="67"/>
      <c r="S465" s="67"/>
      <c r="T465" s="67"/>
      <c r="U465" s="118"/>
    </row>
    <row r="466">
      <c r="A466" s="72"/>
      <c r="B466" s="54"/>
      <c r="C466" s="67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67"/>
      <c r="R466" s="67"/>
      <c r="S466" s="67"/>
      <c r="T466" s="67"/>
      <c r="U466" s="118"/>
    </row>
    <row r="467">
      <c r="A467" s="72"/>
      <c r="B467" s="54"/>
      <c r="C467" s="67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67"/>
      <c r="R467" s="67"/>
      <c r="S467" s="67"/>
      <c r="T467" s="67"/>
      <c r="U467" s="118"/>
    </row>
    <row r="468">
      <c r="A468" s="72"/>
      <c r="B468" s="54"/>
      <c r="C468" s="67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67"/>
      <c r="R468" s="67"/>
      <c r="S468" s="67"/>
      <c r="T468" s="67"/>
      <c r="U468" s="118"/>
    </row>
    <row r="469">
      <c r="A469" s="72"/>
      <c r="B469" s="54"/>
      <c r="C469" s="67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67"/>
      <c r="R469" s="67"/>
      <c r="S469" s="67"/>
      <c r="T469" s="67"/>
      <c r="U469" s="118"/>
    </row>
    <row r="470">
      <c r="A470" s="72"/>
      <c r="B470" s="54"/>
      <c r="C470" s="67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67"/>
      <c r="R470" s="67"/>
      <c r="S470" s="67"/>
      <c r="T470" s="67"/>
      <c r="U470" s="118"/>
    </row>
    <row r="471">
      <c r="A471" s="72"/>
      <c r="B471" s="54"/>
      <c r="C471" s="67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67"/>
      <c r="R471" s="67"/>
      <c r="S471" s="67"/>
      <c r="T471" s="67"/>
      <c r="U471" s="118"/>
    </row>
    <row r="472">
      <c r="A472" s="72"/>
      <c r="B472" s="54"/>
      <c r="C472" s="67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67"/>
      <c r="R472" s="67"/>
      <c r="S472" s="67"/>
      <c r="T472" s="67"/>
      <c r="U472" s="118"/>
    </row>
    <row r="473">
      <c r="A473" s="72"/>
      <c r="B473" s="54"/>
      <c r="C473" s="67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67"/>
      <c r="R473" s="67"/>
      <c r="S473" s="67"/>
      <c r="T473" s="67"/>
      <c r="U473" s="118"/>
    </row>
    <row r="474">
      <c r="A474" s="72"/>
      <c r="B474" s="54"/>
      <c r="C474" s="67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67"/>
      <c r="R474" s="67"/>
      <c r="S474" s="67"/>
      <c r="T474" s="67"/>
      <c r="U474" s="118"/>
    </row>
    <row r="475">
      <c r="A475" s="72"/>
      <c r="B475" s="54"/>
      <c r="C475" s="67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67"/>
      <c r="R475" s="67"/>
      <c r="S475" s="67"/>
      <c r="T475" s="67"/>
      <c r="U475" s="118"/>
    </row>
    <row r="476">
      <c r="A476" s="72"/>
      <c r="B476" s="54"/>
      <c r="C476" s="67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67"/>
      <c r="R476" s="67"/>
      <c r="S476" s="67"/>
      <c r="T476" s="67"/>
      <c r="U476" s="118"/>
    </row>
    <row r="477">
      <c r="A477" s="72"/>
      <c r="B477" s="54"/>
      <c r="C477" s="67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67"/>
      <c r="R477" s="67"/>
      <c r="S477" s="67"/>
      <c r="T477" s="67"/>
      <c r="U477" s="118"/>
    </row>
    <row r="478">
      <c r="A478" s="72"/>
      <c r="B478" s="54"/>
      <c r="C478" s="67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67"/>
      <c r="R478" s="67"/>
      <c r="S478" s="67"/>
      <c r="T478" s="67"/>
      <c r="U478" s="118"/>
    </row>
    <row r="479">
      <c r="A479" s="72"/>
      <c r="B479" s="54"/>
      <c r="C479" s="67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67"/>
      <c r="R479" s="67"/>
      <c r="S479" s="67"/>
      <c r="T479" s="67"/>
      <c r="U479" s="118"/>
    </row>
    <row r="480">
      <c r="A480" s="72"/>
      <c r="B480" s="54"/>
      <c r="C480" s="67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67"/>
      <c r="R480" s="67"/>
      <c r="S480" s="67"/>
      <c r="T480" s="67"/>
      <c r="U480" s="118"/>
    </row>
    <row r="481">
      <c r="A481" s="72"/>
      <c r="B481" s="54"/>
      <c r="C481" s="67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67"/>
      <c r="R481" s="67"/>
      <c r="S481" s="67"/>
      <c r="T481" s="67"/>
      <c r="U481" s="118"/>
    </row>
    <row r="482">
      <c r="A482" s="72"/>
      <c r="B482" s="54"/>
      <c r="C482" s="67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67"/>
      <c r="R482" s="67"/>
      <c r="S482" s="67"/>
      <c r="T482" s="67"/>
      <c r="U482" s="118"/>
    </row>
    <row r="483">
      <c r="A483" s="72"/>
      <c r="B483" s="54"/>
      <c r="C483" s="67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67"/>
      <c r="R483" s="67"/>
      <c r="S483" s="67"/>
      <c r="T483" s="67"/>
      <c r="U483" s="118"/>
    </row>
    <row r="484">
      <c r="A484" s="72"/>
      <c r="B484" s="54"/>
      <c r="C484" s="67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67"/>
      <c r="R484" s="67"/>
      <c r="S484" s="67"/>
      <c r="T484" s="67"/>
      <c r="U484" s="118"/>
    </row>
    <row r="485">
      <c r="A485" s="72"/>
      <c r="B485" s="54"/>
      <c r="C485" s="67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67"/>
      <c r="R485" s="67"/>
      <c r="S485" s="67"/>
      <c r="T485" s="67"/>
      <c r="U485" s="118"/>
    </row>
    <row r="486">
      <c r="A486" s="72"/>
      <c r="B486" s="54"/>
      <c r="C486" s="67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67"/>
      <c r="R486" s="67"/>
      <c r="S486" s="67"/>
      <c r="T486" s="67"/>
      <c r="U486" s="118"/>
    </row>
    <row r="487">
      <c r="A487" s="72"/>
      <c r="B487" s="54"/>
      <c r="C487" s="67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67"/>
      <c r="R487" s="67"/>
      <c r="S487" s="67"/>
      <c r="T487" s="67"/>
      <c r="U487" s="118"/>
    </row>
    <row r="488">
      <c r="A488" s="72"/>
      <c r="B488" s="54"/>
      <c r="C488" s="67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67"/>
      <c r="R488" s="67"/>
      <c r="S488" s="67"/>
      <c r="T488" s="67"/>
      <c r="U488" s="118"/>
    </row>
    <row r="489">
      <c r="A489" s="72"/>
      <c r="B489" s="54"/>
      <c r="C489" s="67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67"/>
      <c r="R489" s="67"/>
      <c r="S489" s="67"/>
      <c r="T489" s="67"/>
      <c r="U489" s="118"/>
    </row>
    <row r="490">
      <c r="A490" s="72"/>
      <c r="B490" s="54"/>
      <c r="C490" s="67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67"/>
      <c r="R490" s="67"/>
      <c r="S490" s="67"/>
      <c r="T490" s="67"/>
      <c r="U490" s="118"/>
    </row>
    <row r="491">
      <c r="A491" s="72"/>
      <c r="B491" s="54"/>
      <c r="C491" s="67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67"/>
      <c r="R491" s="67"/>
      <c r="S491" s="67"/>
      <c r="T491" s="67"/>
      <c r="U491" s="118"/>
    </row>
    <row r="492">
      <c r="A492" s="72"/>
      <c r="B492" s="54"/>
      <c r="C492" s="67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67"/>
      <c r="R492" s="67"/>
      <c r="S492" s="67"/>
      <c r="T492" s="67"/>
      <c r="U492" s="118"/>
    </row>
    <row r="493">
      <c r="A493" s="72"/>
      <c r="B493" s="54"/>
      <c r="C493" s="67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67"/>
      <c r="R493" s="67"/>
      <c r="S493" s="67"/>
      <c r="T493" s="67"/>
      <c r="U493" s="118"/>
    </row>
    <row r="494">
      <c r="A494" s="72"/>
      <c r="B494" s="54"/>
      <c r="C494" s="67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67"/>
      <c r="R494" s="67"/>
      <c r="S494" s="67"/>
      <c r="T494" s="67"/>
      <c r="U494" s="118"/>
    </row>
    <row r="495">
      <c r="A495" s="72"/>
      <c r="B495" s="54"/>
      <c r="C495" s="67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67"/>
      <c r="R495" s="67"/>
      <c r="S495" s="67"/>
      <c r="T495" s="67"/>
      <c r="U495" s="118"/>
    </row>
    <row r="496">
      <c r="A496" s="72"/>
      <c r="B496" s="54"/>
      <c r="C496" s="67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67"/>
      <c r="R496" s="67"/>
      <c r="S496" s="67"/>
      <c r="T496" s="67"/>
      <c r="U496" s="118"/>
    </row>
    <row r="497">
      <c r="A497" s="72"/>
      <c r="B497" s="54"/>
      <c r="C497" s="67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67"/>
      <c r="R497" s="67"/>
      <c r="S497" s="67"/>
      <c r="T497" s="67"/>
      <c r="U497" s="118"/>
    </row>
    <row r="498">
      <c r="A498" s="72"/>
      <c r="B498" s="54"/>
      <c r="C498" s="67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67"/>
      <c r="R498" s="67"/>
      <c r="S498" s="67"/>
      <c r="T498" s="67"/>
      <c r="U498" s="118"/>
    </row>
    <row r="499">
      <c r="A499" s="72"/>
      <c r="B499" s="54"/>
      <c r="C499" s="67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67"/>
      <c r="R499" s="67"/>
      <c r="S499" s="67"/>
      <c r="T499" s="67"/>
      <c r="U499" s="118"/>
    </row>
    <row r="500">
      <c r="A500" s="72"/>
      <c r="B500" s="54"/>
      <c r="C500" s="67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67"/>
      <c r="R500" s="67"/>
      <c r="S500" s="67"/>
      <c r="T500" s="67"/>
      <c r="U500" s="118"/>
    </row>
    <row r="501">
      <c r="A501" s="72"/>
      <c r="B501" s="54"/>
      <c r="C501" s="67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67"/>
      <c r="R501" s="67"/>
      <c r="S501" s="67"/>
      <c r="T501" s="67"/>
      <c r="U501" s="118"/>
    </row>
    <row r="502">
      <c r="A502" s="72"/>
      <c r="B502" s="54"/>
      <c r="C502" s="67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67"/>
      <c r="R502" s="67"/>
      <c r="S502" s="67"/>
      <c r="T502" s="67"/>
      <c r="U502" s="118"/>
    </row>
    <row r="503">
      <c r="A503" s="72"/>
      <c r="B503" s="54"/>
      <c r="C503" s="67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67"/>
      <c r="R503" s="67"/>
      <c r="S503" s="67"/>
      <c r="T503" s="67"/>
      <c r="U503" s="118"/>
    </row>
    <row r="504">
      <c r="A504" s="72"/>
      <c r="B504" s="54"/>
      <c r="C504" s="67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67"/>
      <c r="R504" s="67"/>
      <c r="S504" s="67"/>
      <c r="T504" s="67"/>
      <c r="U504" s="118"/>
    </row>
    <row r="505">
      <c r="A505" s="72"/>
      <c r="B505" s="54"/>
      <c r="C505" s="67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67"/>
      <c r="R505" s="67"/>
      <c r="S505" s="67"/>
      <c r="T505" s="67"/>
      <c r="U505" s="118"/>
    </row>
    <row r="506">
      <c r="A506" s="72"/>
      <c r="B506" s="54"/>
      <c r="C506" s="67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67"/>
      <c r="R506" s="67"/>
      <c r="S506" s="67"/>
      <c r="T506" s="67"/>
      <c r="U506" s="118"/>
    </row>
    <row r="507">
      <c r="A507" s="72"/>
      <c r="B507" s="54"/>
      <c r="C507" s="67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67"/>
      <c r="R507" s="67"/>
      <c r="S507" s="67"/>
      <c r="T507" s="67"/>
      <c r="U507" s="118"/>
    </row>
    <row r="508">
      <c r="A508" s="72"/>
      <c r="B508" s="54"/>
      <c r="C508" s="67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67"/>
      <c r="R508" s="67"/>
      <c r="S508" s="67"/>
      <c r="T508" s="67"/>
      <c r="U508" s="118"/>
    </row>
    <row r="509">
      <c r="A509" s="72"/>
      <c r="B509" s="54"/>
      <c r="C509" s="67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67"/>
      <c r="R509" s="67"/>
      <c r="S509" s="67"/>
      <c r="T509" s="67"/>
      <c r="U509" s="118"/>
    </row>
    <row r="510">
      <c r="A510" s="72"/>
      <c r="B510" s="54"/>
      <c r="C510" s="67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67"/>
      <c r="R510" s="67"/>
      <c r="S510" s="67"/>
      <c r="T510" s="67"/>
      <c r="U510" s="118"/>
    </row>
    <row r="511">
      <c r="A511" s="72"/>
      <c r="B511" s="54"/>
      <c r="C511" s="67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67"/>
      <c r="R511" s="67"/>
      <c r="S511" s="67"/>
      <c r="T511" s="67"/>
      <c r="U511" s="118"/>
    </row>
    <row r="512">
      <c r="A512" s="72"/>
      <c r="B512" s="54"/>
      <c r="C512" s="67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67"/>
      <c r="R512" s="67"/>
      <c r="S512" s="67"/>
      <c r="T512" s="67"/>
      <c r="U512" s="118"/>
    </row>
    <row r="513">
      <c r="A513" s="72"/>
      <c r="B513" s="54"/>
      <c r="C513" s="67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67"/>
      <c r="R513" s="67"/>
      <c r="S513" s="67"/>
      <c r="T513" s="67"/>
      <c r="U513" s="118"/>
    </row>
    <row r="514">
      <c r="A514" s="72"/>
      <c r="B514" s="54"/>
      <c r="C514" s="67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67"/>
      <c r="R514" s="67"/>
      <c r="S514" s="67"/>
      <c r="T514" s="67"/>
      <c r="U514" s="118"/>
    </row>
    <row r="515">
      <c r="A515" s="72"/>
      <c r="B515" s="54"/>
      <c r="C515" s="67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67"/>
      <c r="R515" s="67"/>
      <c r="S515" s="67"/>
      <c r="T515" s="67"/>
      <c r="U515" s="118"/>
    </row>
    <row r="516">
      <c r="A516" s="72"/>
      <c r="B516" s="54"/>
      <c r="C516" s="67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67"/>
      <c r="R516" s="67"/>
      <c r="S516" s="67"/>
      <c r="T516" s="67"/>
      <c r="U516" s="118"/>
    </row>
    <row r="517">
      <c r="A517" s="72"/>
      <c r="B517" s="54"/>
      <c r="C517" s="67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67"/>
      <c r="R517" s="67"/>
      <c r="S517" s="67"/>
      <c r="T517" s="67"/>
      <c r="U517" s="118"/>
    </row>
    <row r="518">
      <c r="A518" s="72"/>
      <c r="B518" s="54"/>
      <c r="C518" s="67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67"/>
      <c r="R518" s="67"/>
      <c r="S518" s="67"/>
      <c r="T518" s="67"/>
      <c r="U518" s="118"/>
    </row>
    <row r="519">
      <c r="A519" s="72"/>
      <c r="B519" s="54"/>
      <c r="C519" s="67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67"/>
      <c r="R519" s="67"/>
      <c r="S519" s="67"/>
      <c r="T519" s="67"/>
      <c r="U519" s="118"/>
    </row>
    <row r="520">
      <c r="A520" s="72"/>
      <c r="B520" s="54"/>
      <c r="C520" s="67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67"/>
      <c r="R520" s="67"/>
      <c r="S520" s="67"/>
      <c r="T520" s="67"/>
      <c r="U520" s="118"/>
    </row>
    <row r="521">
      <c r="A521" s="72"/>
      <c r="B521" s="54"/>
      <c r="C521" s="67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67"/>
      <c r="R521" s="67"/>
      <c r="S521" s="67"/>
      <c r="T521" s="67"/>
      <c r="U521" s="118"/>
    </row>
    <row r="522">
      <c r="A522" s="72"/>
      <c r="B522" s="54"/>
      <c r="C522" s="67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67"/>
      <c r="R522" s="67"/>
      <c r="S522" s="67"/>
      <c r="T522" s="67"/>
      <c r="U522" s="118"/>
    </row>
    <row r="523">
      <c r="A523" s="72"/>
      <c r="B523" s="54"/>
      <c r="C523" s="67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67"/>
      <c r="R523" s="67"/>
      <c r="S523" s="67"/>
      <c r="T523" s="67"/>
      <c r="U523" s="118"/>
    </row>
    <row r="524">
      <c r="A524" s="72"/>
      <c r="B524" s="54"/>
      <c r="C524" s="67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67"/>
      <c r="R524" s="67"/>
      <c r="S524" s="67"/>
      <c r="T524" s="67"/>
      <c r="U524" s="118"/>
    </row>
    <row r="525">
      <c r="A525" s="72"/>
      <c r="B525" s="54"/>
      <c r="C525" s="67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67"/>
      <c r="R525" s="67"/>
      <c r="S525" s="67"/>
      <c r="T525" s="67"/>
      <c r="U525" s="118"/>
    </row>
    <row r="526">
      <c r="A526" s="72"/>
      <c r="B526" s="54"/>
      <c r="C526" s="67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67"/>
      <c r="R526" s="67"/>
      <c r="S526" s="67"/>
      <c r="T526" s="67"/>
      <c r="U526" s="118"/>
    </row>
    <row r="527">
      <c r="A527" s="72"/>
      <c r="B527" s="54"/>
      <c r="C527" s="67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67"/>
      <c r="R527" s="67"/>
      <c r="S527" s="67"/>
      <c r="T527" s="67"/>
      <c r="U527" s="118"/>
    </row>
    <row r="528">
      <c r="A528" s="72"/>
      <c r="B528" s="54"/>
      <c r="C528" s="67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67"/>
      <c r="R528" s="67"/>
      <c r="S528" s="67"/>
      <c r="T528" s="67"/>
      <c r="U528" s="118"/>
    </row>
    <row r="529">
      <c r="A529" s="72"/>
      <c r="B529" s="54"/>
      <c r="C529" s="67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67"/>
      <c r="R529" s="67"/>
      <c r="S529" s="67"/>
      <c r="T529" s="67"/>
      <c r="U529" s="118"/>
    </row>
    <row r="530">
      <c r="A530" s="72"/>
      <c r="B530" s="54"/>
      <c r="C530" s="67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67"/>
      <c r="R530" s="67"/>
      <c r="S530" s="67"/>
      <c r="T530" s="67"/>
      <c r="U530" s="118"/>
    </row>
    <row r="531">
      <c r="A531" s="72"/>
      <c r="B531" s="54"/>
      <c r="C531" s="67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67"/>
      <c r="R531" s="67"/>
      <c r="S531" s="67"/>
      <c r="T531" s="67"/>
      <c r="U531" s="118"/>
    </row>
    <row r="532">
      <c r="A532" s="72"/>
      <c r="B532" s="54"/>
      <c r="C532" s="67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67"/>
      <c r="R532" s="67"/>
      <c r="S532" s="67"/>
      <c r="T532" s="67"/>
      <c r="U532" s="118"/>
    </row>
    <row r="533">
      <c r="A533" s="72"/>
      <c r="B533" s="54"/>
      <c r="C533" s="67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67"/>
      <c r="R533" s="67"/>
      <c r="S533" s="67"/>
      <c r="T533" s="67"/>
      <c r="U533" s="118"/>
    </row>
    <row r="534">
      <c r="A534" s="72"/>
      <c r="B534" s="54"/>
      <c r="C534" s="67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67"/>
      <c r="R534" s="67"/>
      <c r="S534" s="67"/>
      <c r="T534" s="67"/>
      <c r="U534" s="118"/>
    </row>
    <row r="535">
      <c r="A535" s="72"/>
      <c r="B535" s="54"/>
      <c r="C535" s="67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67"/>
      <c r="R535" s="67"/>
      <c r="S535" s="67"/>
      <c r="T535" s="67"/>
      <c r="U535" s="118"/>
    </row>
    <row r="536">
      <c r="A536" s="72"/>
      <c r="B536" s="54"/>
      <c r="C536" s="67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67"/>
      <c r="R536" s="67"/>
      <c r="S536" s="67"/>
      <c r="T536" s="67"/>
      <c r="U536" s="118"/>
    </row>
    <row r="537">
      <c r="A537" s="72"/>
      <c r="B537" s="54"/>
      <c r="C537" s="67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67"/>
      <c r="R537" s="67"/>
      <c r="S537" s="67"/>
      <c r="T537" s="67"/>
      <c r="U537" s="118"/>
    </row>
    <row r="538">
      <c r="A538" s="72"/>
      <c r="B538" s="54"/>
      <c r="C538" s="67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67"/>
      <c r="R538" s="67"/>
      <c r="S538" s="67"/>
      <c r="T538" s="67"/>
      <c r="U538" s="118"/>
    </row>
    <row r="539">
      <c r="A539" s="72"/>
      <c r="B539" s="54"/>
      <c r="C539" s="67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67"/>
      <c r="R539" s="67"/>
      <c r="S539" s="67"/>
      <c r="T539" s="67"/>
      <c r="U539" s="118"/>
    </row>
    <row r="540">
      <c r="A540" s="72"/>
      <c r="B540" s="54"/>
      <c r="C540" s="67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67"/>
      <c r="R540" s="67"/>
      <c r="S540" s="67"/>
      <c r="T540" s="67"/>
      <c r="U540" s="118"/>
    </row>
    <row r="541">
      <c r="A541" s="72"/>
      <c r="B541" s="54"/>
      <c r="C541" s="67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67"/>
      <c r="R541" s="67"/>
      <c r="S541" s="67"/>
      <c r="T541" s="67"/>
      <c r="U541" s="118"/>
    </row>
    <row r="542">
      <c r="A542" s="72"/>
      <c r="B542" s="54"/>
      <c r="C542" s="67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67"/>
      <c r="R542" s="67"/>
      <c r="S542" s="67"/>
      <c r="T542" s="67"/>
      <c r="U542" s="118"/>
    </row>
    <row r="543">
      <c r="A543" s="72"/>
      <c r="B543" s="54"/>
      <c r="C543" s="67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67"/>
      <c r="R543" s="67"/>
      <c r="S543" s="67"/>
      <c r="T543" s="67"/>
      <c r="U543" s="118"/>
    </row>
    <row r="544">
      <c r="A544" s="72"/>
      <c r="B544" s="54"/>
      <c r="C544" s="67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67"/>
      <c r="R544" s="67"/>
      <c r="S544" s="67"/>
      <c r="T544" s="67"/>
      <c r="U544" s="118"/>
    </row>
    <row r="545">
      <c r="A545" s="72"/>
      <c r="B545" s="54"/>
      <c r="C545" s="67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67"/>
      <c r="R545" s="67"/>
      <c r="S545" s="67"/>
      <c r="T545" s="67"/>
      <c r="U545" s="118"/>
    </row>
    <row r="546">
      <c r="A546" s="72"/>
      <c r="B546" s="54"/>
      <c r="C546" s="67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67"/>
      <c r="R546" s="67"/>
      <c r="S546" s="67"/>
      <c r="T546" s="67"/>
      <c r="U546" s="118"/>
    </row>
    <row r="547">
      <c r="A547" s="72"/>
      <c r="B547" s="54"/>
      <c r="C547" s="67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67"/>
      <c r="R547" s="67"/>
      <c r="S547" s="67"/>
      <c r="T547" s="67"/>
      <c r="U547" s="118"/>
    </row>
    <row r="548">
      <c r="A548" s="72"/>
      <c r="B548" s="54"/>
      <c r="C548" s="67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67"/>
      <c r="R548" s="67"/>
      <c r="S548" s="67"/>
      <c r="T548" s="67"/>
      <c r="U548" s="118"/>
    </row>
    <row r="549">
      <c r="A549" s="72"/>
      <c r="B549" s="54"/>
      <c r="C549" s="67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67"/>
      <c r="R549" s="67"/>
      <c r="S549" s="67"/>
      <c r="T549" s="67"/>
      <c r="U549" s="118"/>
    </row>
    <row r="550">
      <c r="A550" s="72"/>
      <c r="B550" s="54"/>
      <c r="C550" s="67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67"/>
      <c r="R550" s="67"/>
      <c r="S550" s="67"/>
      <c r="T550" s="67"/>
      <c r="U550" s="118"/>
    </row>
    <row r="551">
      <c r="A551" s="72"/>
      <c r="B551" s="54"/>
      <c r="C551" s="67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67"/>
      <c r="R551" s="67"/>
      <c r="S551" s="67"/>
      <c r="T551" s="67"/>
      <c r="U551" s="118"/>
    </row>
    <row r="552">
      <c r="A552" s="72"/>
      <c r="B552" s="54"/>
      <c r="C552" s="67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67"/>
      <c r="R552" s="67"/>
      <c r="S552" s="67"/>
      <c r="T552" s="67"/>
      <c r="U552" s="118"/>
    </row>
    <row r="553">
      <c r="A553" s="72"/>
      <c r="B553" s="54"/>
      <c r="C553" s="67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67"/>
      <c r="R553" s="67"/>
      <c r="S553" s="67"/>
      <c r="T553" s="67"/>
      <c r="U553" s="118"/>
    </row>
    <row r="554">
      <c r="A554" s="72"/>
      <c r="B554" s="54"/>
      <c r="C554" s="67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67"/>
      <c r="R554" s="67"/>
      <c r="S554" s="67"/>
      <c r="T554" s="67"/>
      <c r="U554" s="118"/>
    </row>
    <row r="555">
      <c r="A555" s="72"/>
      <c r="B555" s="54"/>
      <c r="C555" s="67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67"/>
      <c r="R555" s="67"/>
      <c r="S555" s="67"/>
      <c r="T555" s="67"/>
      <c r="U555" s="118"/>
    </row>
    <row r="556">
      <c r="A556" s="72"/>
      <c r="B556" s="54"/>
      <c r="C556" s="67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67"/>
      <c r="R556" s="67"/>
      <c r="S556" s="67"/>
      <c r="T556" s="67"/>
      <c r="U556" s="118"/>
    </row>
    <row r="557">
      <c r="A557" s="72"/>
      <c r="B557" s="54"/>
      <c r="C557" s="67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67"/>
      <c r="R557" s="67"/>
      <c r="S557" s="67"/>
      <c r="T557" s="67"/>
      <c r="U557" s="118"/>
    </row>
    <row r="558">
      <c r="A558" s="72"/>
      <c r="B558" s="54"/>
      <c r="C558" s="67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67"/>
      <c r="R558" s="67"/>
      <c r="S558" s="67"/>
      <c r="T558" s="67"/>
      <c r="U558" s="118"/>
    </row>
    <row r="559">
      <c r="A559" s="72"/>
      <c r="B559" s="54"/>
      <c r="C559" s="67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67"/>
      <c r="R559" s="67"/>
      <c r="S559" s="67"/>
      <c r="T559" s="67"/>
      <c r="U559" s="118"/>
    </row>
    <row r="560">
      <c r="A560" s="72"/>
      <c r="B560" s="54"/>
      <c r="C560" s="67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67"/>
      <c r="R560" s="67"/>
      <c r="S560" s="67"/>
      <c r="T560" s="67"/>
      <c r="U560" s="118"/>
    </row>
    <row r="561">
      <c r="A561" s="72"/>
      <c r="B561" s="54"/>
      <c r="C561" s="67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67"/>
      <c r="R561" s="67"/>
      <c r="S561" s="67"/>
      <c r="T561" s="67"/>
      <c r="U561" s="118"/>
    </row>
    <row r="562">
      <c r="A562" s="72"/>
      <c r="B562" s="54"/>
      <c r="C562" s="67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67"/>
      <c r="R562" s="67"/>
      <c r="S562" s="67"/>
      <c r="T562" s="67"/>
      <c r="U562" s="118"/>
    </row>
    <row r="563">
      <c r="A563" s="72"/>
      <c r="B563" s="54"/>
      <c r="C563" s="67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67"/>
      <c r="R563" s="67"/>
      <c r="S563" s="67"/>
      <c r="T563" s="67"/>
      <c r="U563" s="118"/>
    </row>
    <row r="564">
      <c r="A564" s="72"/>
      <c r="B564" s="54"/>
      <c r="C564" s="67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67"/>
      <c r="R564" s="67"/>
      <c r="S564" s="67"/>
      <c r="T564" s="67"/>
      <c r="U564" s="118"/>
    </row>
    <row r="565">
      <c r="A565" s="72"/>
      <c r="B565" s="54"/>
      <c r="C565" s="67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67"/>
      <c r="R565" s="67"/>
      <c r="S565" s="67"/>
      <c r="T565" s="67"/>
      <c r="U565" s="118"/>
    </row>
    <row r="566">
      <c r="A566" s="72"/>
      <c r="B566" s="54"/>
      <c r="C566" s="67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67"/>
      <c r="R566" s="67"/>
      <c r="S566" s="67"/>
      <c r="T566" s="67"/>
      <c r="U566" s="118"/>
    </row>
    <row r="567">
      <c r="A567" s="72"/>
      <c r="B567" s="54"/>
      <c r="C567" s="67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67"/>
      <c r="R567" s="67"/>
      <c r="S567" s="67"/>
      <c r="T567" s="67"/>
      <c r="U567" s="118"/>
    </row>
    <row r="568">
      <c r="A568" s="72"/>
      <c r="B568" s="54"/>
      <c r="C568" s="67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67"/>
      <c r="R568" s="67"/>
      <c r="S568" s="67"/>
      <c r="T568" s="67"/>
      <c r="U568" s="118"/>
    </row>
    <row r="569">
      <c r="A569" s="72"/>
      <c r="B569" s="54"/>
      <c r="C569" s="67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67"/>
      <c r="R569" s="67"/>
      <c r="S569" s="67"/>
      <c r="T569" s="67"/>
      <c r="U569" s="118"/>
    </row>
    <row r="570">
      <c r="A570" s="72"/>
      <c r="B570" s="54"/>
      <c r="C570" s="67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67"/>
      <c r="R570" s="67"/>
      <c r="S570" s="67"/>
      <c r="T570" s="67"/>
      <c r="U570" s="118"/>
    </row>
    <row r="571">
      <c r="A571" s="72"/>
      <c r="B571" s="54"/>
      <c r="C571" s="67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67"/>
      <c r="R571" s="67"/>
      <c r="S571" s="67"/>
      <c r="T571" s="67"/>
      <c r="U571" s="118"/>
    </row>
    <row r="572">
      <c r="A572" s="72"/>
      <c r="B572" s="54"/>
      <c r="C572" s="67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67"/>
      <c r="R572" s="67"/>
      <c r="S572" s="67"/>
      <c r="T572" s="67"/>
      <c r="U572" s="118"/>
    </row>
    <row r="573">
      <c r="A573" s="72"/>
      <c r="B573" s="54"/>
      <c r="C573" s="67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67"/>
      <c r="R573" s="67"/>
      <c r="S573" s="67"/>
      <c r="T573" s="67"/>
      <c r="U573" s="118"/>
    </row>
    <row r="574">
      <c r="A574" s="72"/>
      <c r="B574" s="54"/>
      <c r="C574" s="67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67"/>
      <c r="R574" s="67"/>
      <c r="S574" s="67"/>
      <c r="T574" s="67"/>
      <c r="U574" s="118"/>
    </row>
    <row r="575">
      <c r="A575" s="72"/>
      <c r="B575" s="54"/>
      <c r="C575" s="67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67"/>
      <c r="R575" s="67"/>
      <c r="S575" s="67"/>
      <c r="T575" s="67"/>
      <c r="U575" s="118"/>
    </row>
    <row r="576">
      <c r="A576" s="72"/>
      <c r="B576" s="54"/>
      <c r="C576" s="67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67"/>
      <c r="R576" s="67"/>
      <c r="S576" s="67"/>
      <c r="T576" s="67"/>
      <c r="U576" s="118"/>
    </row>
    <row r="577">
      <c r="A577" s="72"/>
      <c r="B577" s="54"/>
      <c r="C577" s="67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67"/>
      <c r="R577" s="67"/>
      <c r="S577" s="67"/>
      <c r="T577" s="67"/>
      <c r="U577" s="118"/>
    </row>
    <row r="578">
      <c r="A578" s="72"/>
      <c r="B578" s="54"/>
      <c r="C578" s="67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67"/>
      <c r="R578" s="67"/>
      <c r="S578" s="67"/>
      <c r="T578" s="67"/>
      <c r="U578" s="118"/>
    </row>
    <row r="579">
      <c r="A579" s="72"/>
      <c r="B579" s="54"/>
      <c r="C579" s="67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67"/>
      <c r="R579" s="67"/>
      <c r="S579" s="67"/>
      <c r="T579" s="67"/>
      <c r="U579" s="118"/>
    </row>
    <row r="580">
      <c r="A580" s="72"/>
      <c r="B580" s="54"/>
      <c r="C580" s="67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67"/>
      <c r="R580" s="67"/>
      <c r="S580" s="67"/>
      <c r="T580" s="67"/>
      <c r="U580" s="118"/>
    </row>
    <row r="581">
      <c r="A581" s="72"/>
      <c r="B581" s="54"/>
      <c r="C581" s="67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67"/>
      <c r="R581" s="67"/>
      <c r="S581" s="67"/>
      <c r="T581" s="67"/>
      <c r="U581" s="118"/>
    </row>
    <row r="582">
      <c r="A582" s="72"/>
      <c r="B582" s="54"/>
      <c r="C582" s="67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67"/>
      <c r="R582" s="67"/>
      <c r="S582" s="67"/>
      <c r="T582" s="67"/>
      <c r="U582" s="118"/>
    </row>
    <row r="583">
      <c r="A583" s="72"/>
      <c r="B583" s="54"/>
      <c r="C583" s="67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67"/>
      <c r="R583" s="67"/>
      <c r="S583" s="67"/>
      <c r="T583" s="67"/>
      <c r="U583" s="118"/>
    </row>
    <row r="584">
      <c r="A584" s="72"/>
      <c r="B584" s="54"/>
      <c r="C584" s="67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67"/>
      <c r="R584" s="67"/>
      <c r="S584" s="67"/>
      <c r="T584" s="67"/>
      <c r="U584" s="118"/>
    </row>
    <row r="585">
      <c r="A585" s="72"/>
      <c r="B585" s="54"/>
      <c r="C585" s="67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67"/>
      <c r="R585" s="67"/>
      <c r="S585" s="67"/>
      <c r="T585" s="67"/>
      <c r="U585" s="118"/>
    </row>
    <row r="586">
      <c r="A586" s="72"/>
      <c r="B586" s="54"/>
      <c r="C586" s="67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67"/>
      <c r="R586" s="67"/>
      <c r="S586" s="67"/>
      <c r="T586" s="67"/>
      <c r="U586" s="118"/>
    </row>
    <row r="587">
      <c r="A587" s="72"/>
      <c r="B587" s="54"/>
      <c r="C587" s="67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67"/>
      <c r="R587" s="67"/>
      <c r="S587" s="67"/>
      <c r="T587" s="67"/>
      <c r="U587" s="118"/>
    </row>
    <row r="588">
      <c r="A588" s="72"/>
      <c r="B588" s="54"/>
      <c r="C588" s="67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67"/>
      <c r="R588" s="67"/>
      <c r="S588" s="67"/>
      <c r="T588" s="67"/>
      <c r="U588" s="118"/>
    </row>
    <row r="589">
      <c r="A589" s="72"/>
      <c r="B589" s="54"/>
      <c r="C589" s="67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67"/>
      <c r="R589" s="67"/>
      <c r="S589" s="67"/>
      <c r="T589" s="67"/>
      <c r="U589" s="118"/>
    </row>
    <row r="590">
      <c r="A590" s="72"/>
      <c r="B590" s="54"/>
      <c r="C590" s="67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67"/>
      <c r="R590" s="67"/>
      <c r="S590" s="67"/>
      <c r="T590" s="67"/>
      <c r="U590" s="118"/>
    </row>
    <row r="591">
      <c r="A591" s="72"/>
      <c r="B591" s="54"/>
      <c r="C591" s="67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67"/>
      <c r="R591" s="67"/>
      <c r="S591" s="67"/>
      <c r="T591" s="67"/>
      <c r="U591" s="118"/>
    </row>
    <row r="592">
      <c r="A592" s="72"/>
      <c r="B592" s="54"/>
      <c r="C592" s="67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67"/>
      <c r="R592" s="67"/>
      <c r="S592" s="67"/>
      <c r="T592" s="67"/>
      <c r="U592" s="118"/>
    </row>
    <row r="593">
      <c r="A593" s="72"/>
      <c r="B593" s="54"/>
      <c r="C593" s="67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67"/>
      <c r="R593" s="67"/>
      <c r="S593" s="67"/>
      <c r="T593" s="67"/>
      <c r="U593" s="118"/>
    </row>
    <row r="594">
      <c r="A594" s="72"/>
      <c r="B594" s="54"/>
      <c r="C594" s="67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67"/>
      <c r="R594" s="67"/>
      <c r="S594" s="67"/>
      <c r="T594" s="67"/>
      <c r="U594" s="118"/>
    </row>
    <row r="595">
      <c r="A595" s="72"/>
      <c r="B595" s="54"/>
      <c r="C595" s="67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67"/>
      <c r="R595" s="67"/>
      <c r="S595" s="67"/>
      <c r="T595" s="67"/>
      <c r="U595" s="118"/>
    </row>
    <row r="596">
      <c r="A596" s="72"/>
      <c r="B596" s="54"/>
      <c r="C596" s="67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67"/>
      <c r="R596" s="67"/>
      <c r="S596" s="67"/>
      <c r="T596" s="67"/>
      <c r="U596" s="118"/>
    </row>
    <row r="597">
      <c r="A597" s="72"/>
      <c r="B597" s="54"/>
      <c r="C597" s="67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67"/>
      <c r="R597" s="67"/>
      <c r="S597" s="67"/>
      <c r="T597" s="67"/>
      <c r="U597" s="118"/>
    </row>
    <row r="598">
      <c r="A598" s="72"/>
      <c r="B598" s="54"/>
      <c r="C598" s="67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67"/>
      <c r="R598" s="67"/>
      <c r="S598" s="67"/>
      <c r="T598" s="67"/>
      <c r="U598" s="118"/>
    </row>
    <row r="599">
      <c r="A599" s="72"/>
      <c r="B599" s="54"/>
      <c r="C599" s="67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67"/>
      <c r="R599" s="67"/>
      <c r="S599" s="67"/>
      <c r="T599" s="67"/>
      <c r="U599" s="118"/>
    </row>
    <row r="600">
      <c r="A600" s="72"/>
      <c r="B600" s="54"/>
      <c r="C600" s="67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67"/>
      <c r="R600" s="67"/>
      <c r="S600" s="67"/>
      <c r="T600" s="67"/>
      <c r="U600" s="118"/>
    </row>
    <row r="601">
      <c r="A601" s="72"/>
      <c r="B601" s="54"/>
      <c r="C601" s="67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67"/>
      <c r="R601" s="67"/>
      <c r="S601" s="67"/>
      <c r="T601" s="67"/>
      <c r="U601" s="118"/>
    </row>
    <row r="602">
      <c r="A602" s="72"/>
      <c r="B602" s="54"/>
      <c r="C602" s="67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67"/>
      <c r="R602" s="67"/>
      <c r="S602" s="67"/>
      <c r="T602" s="67"/>
      <c r="U602" s="118"/>
    </row>
    <row r="603">
      <c r="A603" s="72"/>
      <c r="B603" s="54"/>
      <c r="C603" s="67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67"/>
      <c r="R603" s="67"/>
      <c r="S603" s="67"/>
      <c r="T603" s="67"/>
      <c r="U603" s="118"/>
    </row>
    <row r="604">
      <c r="A604" s="72"/>
      <c r="B604" s="54"/>
      <c r="C604" s="67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67"/>
      <c r="R604" s="67"/>
      <c r="S604" s="67"/>
      <c r="T604" s="67"/>
      <c r="U604" s="118"/>
    </row>
    <row r="605">
      <c r="A605" s="72"/>
      <c r="B605" s="54"/>
      <c r="C605" s="67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67"/>
      <c r="R605" s="67"/>
      <c r="S605" s="67"/>
      <c r="T605" s="67"/>
      <c r="U605" s="118"/>
    </row>
    <row r="606">
      <c r="A606" s="72"/>
      <c r="B606" s="54"/>
      <c r="C606" s="67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67"/>
      <c r="R606" s="67"/>
      <c r="S606" s="67"/>
      <c r="T606" s="67"/>
      <c r="U606" s="118"/>
    </row>
    <row r="607">
      <c r="A607" s="72"/>
      <c r="B607" s="54"/>
      <c r="C607" s="67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67"/>
      <c r="R607" s="67"/>
      <c r="S607" s="67"/>
      <c r="T607" s="67"/>
      <c r="U607" s="118"/>
    </row>
    <row r="608">
      <c r="A608" s="72"/>
      <c r="B608" s="54"/>
      <c r="C608" s="67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67"/>
      <c r="R608" s="67"/>
      <c r="S608" s="67"/>
      <c r="T608" s="67"/>
      <c r="U608" s="118"/>
    </row>
    <row r="609">
      <c r="A609" s="72"/>
      <c r="B609" s="54"/>
      <c r="C609" s="67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67"/>
      <c r="R609" s="67"/>
      <c r="S609" s="67"/>
      <c r="T609" s="67"/>
      <c r="U609" s="118"/>
    </row>
    <row r="610">
      <c r="A610" s="72"/>
      <c r="B610" s="54"/>
      <c r="C610" s="67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67"/>
      <c r="R610" s="67"/>
      <c r="S610" s="67"/>
      <c r="T610" s="67"/>
      <c r="U610" s="118"/>
    </row>
    <row r="611">
      <c r="A611" s="72"/>
      <c r="B611" s="54"/>
      <c r="C611" s="67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67"/>
      <c r="R611" s="67"/>
      <c r="S611" s="67"/>
      <c r="T611" s="67"/>
      <c r="U611" s="118"/>
    </row>
    <row r="612">
      <c r="A612" s="72"/>
      <c r="B612" s="54"/>
      <c r="C612" s="67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67"/>
      <c r="R612" s="67"/>
      <c r="S612" s="67"/>
      <c r="T612" s="67"/>
      <c r="U612" s="118"/>
    </row>
    <row r="613">
      <c r="A613" s="72"/>
      <c r="B613" s="54"/>
      <c r="C613" s="67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67"/>
      <c r="R613" s="67"/>
      <c r="S613" s="67"/>
      <c r="T613" s="67"/>
      <c r="U613" s="118"/>
    </row>
    <row r="614">
      <c r="A614" s="72"/>
      <c r="B614" s="54"/>
      <c r="C614" s="67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67"/>
      <c r="R614" s="67"/>
      <c r="S614" s="67"/>
      <c r="T614" s="67"/>
      <c r="U614" s="118"/>
    </row>
    <row r="615">
      <c r="A615" s="72"/>
      <c r="B615" s="54"/>
      <c r="C615" s="67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67"/>
      <c r="R615" s="67"/>
      <c r="S615" s="67"/>
      <c r="T615" s="67"/>
      <c r="U615" s="118"/>
    </row>
    <row r="616">
      <c r="A616" s="72"/>
      <c r="B616" s="54"/>
      <c r="C616" s="67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67"/>
      <c r="R616" s="67"/>
      <c r="S616" s="67"/>
      <c r="T616" s="67"/>
      <c r="U616" s="118"/>
    </row>
    <row r="617">
      <c r="A617" s="72"/>
      <c r="B617" s="54"/>
      <c r="C617" s="67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67"/>
      <c r="R617" s="67"/>
      <c r="S617" s="67"/>
      <c r="T617" s="67"/>
      <c r="U617" s="118"/>
    </row>
    <row r="618">
      <c r="A618" s="72"/>
      <c r="B618" s="54"/>
      <c r="C618" s="67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67"/>
      <c r="R618" s="67"/>
      <c r="S618" s="67"/>
      <c r="T618" s="67"/>
      <c r="U618" s="118"/>
    </row>
    <row r="619">
      <c r="A619" s="72"/>
      <c r="B619" s="54"/>
      <c r="C619" s="67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67"/>
      <c r="R619" s="67"/>
      <c r="S619" s="67"/>
      <c r="T619" s="67"/>
      <c r="U619" s="118"/>
    </row>
    <row r="620">
      <c r="A620" s="72"/>
      <c r="B620" s="54"/>
      <c r="C620" s="67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67"/>
      <c r="R620" s="67"/>
      <c r="S620" s="67"/>
      <c r="T620" s="67"/>
      <c r="U620" s="118"/>
    </row>
    <row r="621">
      <c r="A621" s="72"/>
      <c r="B621" s="54"/>
      <c r="C621" s="67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67"/>
      <c r="R621" s="67"/>
      <c r="S621" s="67"/>
      <c r="T621" s="67"/>
      <c r="U621" s="118"/>
    </row>
    <row r="622">
      <c r="A622" s="72"/>
      <c r="B622" s="54"/>
      <c r="C622" s="67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67"/>
      <c r="R622" s="67"/>
      <c r="S622" s="67"/>
      <c r="T622" s="67"/>
      <c r="U622" s="118"/>
    </row>
    <row r="623">
      <c r="A623" s="72"/>
      <c r="B623" s="54"/>
      <c r="C623" s="67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67"/>
      <c r="R623" s="67"/>
      <c r="S623" s="67"/>
      <c r="T623" s="67"/>
      <c r="U623" s="118"/>
    </row>
    <row r="624">
      <c r="A624" s="72"/>
      <c r="B624" s="54"/>
      <c r="C624" s="67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67"/>
      <c r="R624" s="67"/>
      <c r="S624" s="67"/>
      <c r="T624" s="67"/>
      <c r="U624" s="118"/>
    </row>
    <row r="625">
      <c r="A625" s="72"/>
      <c r="B625" s="54"/>
      <c r="C625" s="67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67"/>
      <c r="R625" s="67"/>
      <c r="S625" s="67"/>
      <c r="T625" s="67"/>
      <c r="U625" s="118"/>
    </row>
    <row r="626">
      <c r="A626" s="72"/>
      <c r="B626" s="54"/>
      <c r="C626" s="67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67"/>
      <c r="R626" s="67"/>
      <c r="S626" s="67"/>
      <c r="T626" s="67"/>
      <c r="U626" s="118"/>
    </row>
    <row r="627">
      <c r="A627" s="72"/>
      <c r="B627" s="54"/>
      <c r="C627" s="67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67"/>
      <c r="R627" s="67"/>
      <c r="S627" s="67"/>
      <c r="T627" s="67"/>
      <c r="U627" s="118"/>
    </row>
    <row r="628">
      <c r="A628" s="72"/>
      <c r="B628" s="54"/>
      <c r="C628" s="67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67"/>
      <c r="R628" s="67"/>
      <c r="S628" s="67"/>
      <c r="T628" s="67"/>
      <c r="U628" s="118"/>
    </row>
    <row r="629">
      <c r="A629" s="72"/>
      <c r="B629" s="54"/>
      <c r="C629" s="67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67"/>
      <c r="R629" s="67"/>
      <c r="S629" s="67"/>
      <c r="T629" s="67"/>
      <c r="U629" s="118"/>
    </row>
    <row r="630">
      <c r="A630" s="72"/>
      <c r="B630" s="54"/>
      <c r="C630" s="67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67"/>
      <c r="R630" s="67"/>
      <c r="S630" s="67"/>
      <c r="T630" s="67"/>
      <c r="U630" s="118"/>
    </row>
    <row r="631">
      <c r="A631" s="72"/>
      <c r="B631" s="54"/>
      <c r="C631" s="67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67"/>
      <c r="R631" s="67"/>
      <c r="S631" s="67"/>
      <c r="T631" s="67"/>
      <c r="U631" s="118"/>
    </row>
    <row r="632">
      <c r="A632" s="72"/>
      <c r="B632" s="54"/>
      <c r="C632" s="67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67"/>
      <c r="R632" s="67"/>
      <c r="S632" s="67"/>
      <c r="T632" s="67"/>
      <c r="U632" s="118"/>
    </row>
    <row r="633">
      <c r="A633" s="72"/>
      <c r="B633" s="54"/>
      <c r="C633" s="67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67"/>
      <c r="R633" s="67"/>
      <c r="S633" s="67"/>
      <c r="T633" s="67"/>
      <c r="U633" s="118"/>
    </row>
    <row r="634">
      <c r="A634" s="72"/>
      <c r="B634" s="54"/>
      <c r="C634" s="67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67"/>
      <c r="R634" s="67"/>
      <c r="S634" s="67"/>
      <c r="T634" s="67"/>
      <c r="U634" s="118"/>
    </row>
    <row r="635">
      <c r="A635" s="72"/>
      <c r="B635" s="54"/>
      <c r="C635" s="67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67"/>
      <c r="R635" s="67"/>
      <c r="S635" s="67"/>
      <c r="T635" s="67"/>
      <c r="U635" s="118"/>
    </row>
    <row r="636">
      <c r="A636" s="72"/>
      <c r="B636" s="54"/>
      <c r="C636" s="67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67"/>
      <c r="R636" s="67"/>
      <c r="S636" s="67"/>
      <c r="T636" s="67"/>
      <c r="U636" s="118"/>
    </row>
    <row r="637">
      <c r="A637" s="72"/>
      <c r="B637" s="54"/>
      <c r="C637" s="67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67"/>
      <c r="R637" s="67"/>
      <c r="S637" s="67"/>
      <c r="T637" s="67"/>
      <c r="U637" s="118"/>
    </row>
    <row r="638">
      <c r="A638" s="72"/>
      <c r="B638" s="54"/>
      <c r="C638" s="67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67"/>
      <c r="R638" s="67"/>
      <c r="S638" s="67"/>
      <c r="T638" s="67"/>
      <c r="U638" s="118"/>
    </row>
    <row r="639">
      <c r="A639" s="72"/>
      <c r="B639" s="54"/>
      <c r="C639" s="67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67"/>
      <c r="R639" s="67"/>
      <c r="S639" s="67"/>
      <c r="T639" s="67"/>
      <c r="U639" s="118"/>
    </row>
    <row r="640">
      <c r="A640" s="72"/>
      <c r="B640" s="54"/>
      <c r="C640" s="67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67"/>
      <c r="R640" s="67"/>
      <c r="S640" s="67"/>
      <c r="T640" s="67"/>
      <c r="U640" s="118"/>
    </row>
    <row r="641">
      <c r="A641" s="72"/>
      <c r="B641" s="54"/>
      <c r="C641" s="67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67"/>
      <c r="R641" s="67"/>
      <c r="S641" s="67"/>
      <c r="T641" s="67"/>
      <c r="U641" s="118"/>
    </row>
    <row r="642">
      <c r="A642" s="72"/>
      <c r="B642" s="54"/>
      <c r="C642" s="67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67"/>
      <c r="R642" s="67"/>
      <c r="S642" s="67"/>
      <c r="T642" s="67"/>
      <c r="U642" s="118"/>
    </row>
    <row r="643">
      <c r="A643" s="72"/>
      <c r="B643" s="54"/>
      <c r="C643" s="67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67"/>
      <c r="R643" s="67"/>
      <c r="S643" s="67"/>
      <c r="T643" s="67"/>
      <c r="U643" s="118"/>
    </row>
    <row r="644">
      <c r="A644" s="72"/>
      <c r="B644" s="54"/>
      <c r="C644" s="67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67"/>
      <c r="R644" s="67"/>
      <c r="S644" s="67"/>
      <c r="T644" s="67"/>
      <c r="U644" s="118"/>
    </row>
    <row r="645">
      <c r="A645" s="72"/>
      <c r="B645" s="54"/>
      <c r="C645" s="67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67"/>
      <c r="R645" s="67"/>
      <c r="S645" s="67"/>
      <c r="T645" s="67"/>
      <c r="U645" s="118"/>
    </row>
    <row r="646">
      <c r="A646" s="72"/>
      <c r="B646" s="54"/>
      <c r="C646" s="67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67"/>
      <c r="R646" s="67"/>
      <c r="S646" s="67"/>
      <c r="T646" s="67"/>
      <c r="U646" s="118"/>
    </row>
    <row r="647">
      <c r="A647" s="72"/>
      <c r="B647" s="54"/>
      <c r="C647" s="67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67"/>
      <c r="R647" s="67"/>
      <c r="S647" s="67"/>
      <c r="T647" s="67"/>
      <c r="U647" s="118"/>
    </row>
    <row r="648">
      <c r="A648" s="72"/>
      <c r="B648" s="54"/>
      <c r="C648" s="67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67"/>
      <c r="R648" s="67"/>
      <c r="S648" s="67"/>
      <c r="T648" s="67"/>
      <c r="U648" s="118"/>
    </row>
    <row r="649">
      <c r="A649" s="72"/>
      <c r="B649" s="54"/>
      <c r="C649" s="67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67"/>
      <c r="R649" s="67"/>
      <c r="S649" s="67"/>
      <c r="T649" s="67"/>
      <c r="U649" s="118"/>
    </row>
    <row r="650">
      <c r="A650" s="72"/>
      <c r="B650" s="54"/>
      <c r="C650" s="67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67"/>
      <c r="R650" s="67"/>
      <c r="S650" s="67"/>
      <c r="T650" s="67"/>
      <c r="U650" s="118"/>
    </row>
    <row r="651">
      <c r="A651" s="72"/>
      <c r="B651" s="54"/>
      <c r="C651" s="67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67"/>
      <c r="R651" s="67"/>
      <c r="S651" s="67"/>
      <c r="T651" s="67"/>
      <c r="U651" s="118"/>
    </row>
    <row r="652">
      <c r="A652" s="72"/>
      <c r="B652" s="54"/>
      <c r="C652" s="67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67"/>
      <c r="R652" s="67"/>
      <c r="S652" s="67"/>
      <c r="T652" s="67"/>
      <c r="U652" s="118"/>
    </row>
    <row r="653">
      <c r="A653" s="72"/>
      <c r="B653" s="54"/>
      <c r="C653" s="67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67"/>
      <c r="R653" s="67"/>
      <c r="S653" s="67"/>
      <c r="T653" s="67"/>
      <c r="U653" s="118"/>
    </row>
    <row r="654">
      <c r="A654" s="72"/>
      <c r="B654" s="54"/>
      <c r="C654" s="67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67"/>
      <c r="R654" s="67"/>
      <c r="S654" s="67"/>
      <c r="T654" s="67"/>
      <c r="U654" s="118"/>
    </row>
    <row r="655">
      <c r="A655" s="72"/>
      <c r="B655" s="54"/>
      <c r="C655" s="67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67"/>
      <c r="R655" s="67"/>
      <c r="S655" s="67"/>
      <c r="T655" s="67"/>
      <c r="U655" s="118"/>
    </row>
    <row r="656">
      <c r="A656" s="72"/>
      <c r="B656" s="54"/>
      <c r="C656" s="67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67"/>
      <c r="R656" s="67"/>
      <c r="S656" s="67"/>
      <c r="T656" s="67"/>
      <c r="U656" s="118"/>
    </row>
    <row r="657">
      <c r="A657" s="72"/>
      <c r="B657" s="54"/>
      <c r="C657" s="67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67"/>
      <c r="R657" s="67"/>
      <c r="S657" s="67"/>
      <c r="T657" s="67"/>
      <c r="U657" s="118"/>
    </row>
    <row r="658">
      <c r="A658" s="72"/>
      <c r="B658" s="54"/>
      <c r="C658" s="67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67"/>
      <c r="R658" s="67"/>
      <c r="S658" s="67"/>
      <c r="T658" s="67"/>
      <c r="U658" s="118"/>
    </row>
    <row r="659">
      <c r="A659" s="72"/>
      <c r="B659" s="54"/>
      <c r="C659" s="67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67"/>
      <c r="R659" s="67"/>
      <c r="S659" s="67"/>
      <c r="T659" s="67"/>
      <c r="U659" s="118"/>
    </row>
    <row r="660">
      <c r="A660" s="72"/>
      <c r="B660" s="54"/>
      <c r="C660" s="67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67"/>
      <c r="R660" s="67"/>
      <c r="S660" s="67"/>
      <c r="T660" s="67"/>
      <c r="U660" s="118"/>
    </row>
    <row r="661">
      <c r="A661" s="72"/>
      <c r="B661" s="54"/>
      <c r="C661" s="67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67"/>
      <c r="R661" s="67"/>
      <c r="S661" s="67"/>
      <c r="T661" s="67"/>
      <c r="U661" s="118"/>
    </row>
    <row r="662">
      <c r="A662" s="72"/>
      <c r="B662" s="54"/>
      <c r="C662" s="67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67"/>
      <c r="R662" s="67"/>
      <c r="S662" s="67"/>
      <c r="T662" s="67"/>
      <c r="U662" s="118"/>
    </row>
    <row r="663">
      <c r="A663" s="72"/>
      <c r="B663" s="54"/>
      <c r="C663" s="67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67"/>
      <c r="R663" s="67"/>
      <c r="S663" s="67"/>
      <c r="T663" s="67"/>
      <c r="U663" s="118"/>
    </row>
    <row r="664">
      <c r="A664" s="72"/>
      <c r="B664" s="54"/>
      <c r="C664" s="67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67"/>
      <c r="R664" s="67"/>
      <c r="S664" s="67"/>
      <c r="T664" s="67"/>
      <c r="U664" s="118"/>
    </row>
    <row r="665">
      <c r="A665" s="72"/>
      <c r="B665" s="54"/>
      <c r="C665" s="67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67"/>
      <c r="R665" s="67"/>
      <c r="S665" s="67"/>
      <c r="T665" s="67"/>
      <c r="U665" s="118"/>
    </row>
    <row r="666">
      <c r="A666" s="72"/>
      <c r="B666" s="54"/>
      <c r="C666" s="67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67"/>
      <c r="R666" s="67"/>
      <c r="S666" s="67"/>
      <c r="T666" s="67"/>
      <c r="U666" s="118"/>
    </row>
    <row r="667">
      <c r="A667" s="72"/>
      <c r="B667" s="54"/>
      <c r="C667" s="67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67"/>
      <c r="R667" s="67"/>
      <c r="S667" s="67"/>
      <c r="T667" s="67"/>
      <c r="U667" s="118"/>
    </row>
    <row r="668">
      <c r="A668" s="72"/>
      <c r="B668" s="54"/>
      <c r="C668" s="67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67"/>
      <c r="R668" s="67"/>
      <c r="S668" s="67"/>
      <c r="T668" s="67"/>
      <c r="U668" s="118"/>
    </row>
    <row r="669">
      <c r="A669" s="72"/>
      <c r="B669" s="54"/>
      <c r="C669" s="67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67"/>
      <c r="R669" s="67"/>
      <c r="S669" s="67"/>
      <c r="T669" s="67"/>
      <c r="U669" s="118"/>
    </row>
    <row r="670">
      <c r="A670" s="72"/>
      <c r="B670" s="54"/>
      <c r="C670" s="67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67"/>
      <c r="R670" s="67"/>
      <c r="S670" s="67"/>
      <c r="T670" s="67"/>
      <c r="U670" s="118"/>
    </row>
    <row r="671">
      <c r="A671" s="72"/>
      <c r="B671" s="54"/>
      <c r="C671" s="67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67"/>
      <c r="R671" s="67"/>
      <c r="S671" s="67"/>
      <c r="T671" s="67"/>
      <c r="U671" s="118"/>
    </row>
    <row r="672">
      <c r="A672" s="72"/>
      <c r="B672" s="54"/>
      <c r="C672" s="67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67"/>
      <c r="R672" s="67"/>
      <c r="S672" s="67"/>
      <c r="T672" s="67"/>
      <c r="U672" s="118"/>
    </row>
    <row r="673">
      <c r="A673" s="72"/>
      <c r="B673" s="54"/>
      <c r="C673" s="67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67"/>
      <c r="R673" s="67"/>
      <c r="S673" s="67"/>
      <c r="T673" s="67"/>
      <c r="U673" s="118"/>
    </row>
    <row r="674">
      <c r="A674" s="72"/>
      <c r="B674" s="54"/>
      <c r="C674" s="67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67"/>
      <c r="R674" s="67"/>
      <c r="S674" s="67"/>
      <c r="T674" s="67"/>
      <c r="U674" s="118"/>
    </row>
    <row r="675">
      <c r="A675" s="72"/>
      <c r="B675" s="54"/>
      <c r="C675" s="67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67"/>
      <c r="R675" s="67"/>
      <c r="S675" s="67"/>
      <c r="T675" s="67"/>
      <c r="U675" s="118"/>
    </row>
    <row r="676">
      <c r="A676" s="72"/>
      <c r="B676" s="54"/>
      <c r="C676" s="67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67"/>
      <c r="R676" s="67"/>
      <c r="S676" s="67"/>
      <c r="T676" s="67"/>
      <c r="U676" s="118"/>
    </row>
    <row r="677">
      <c r="A677" s="72"/>
      <c r="B677" s="54"/>
      <c r="C677" s="67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67"/>
      <c r="R677" s="67"/>
      <c r="S677" s="67"/>
      <c r="T677" s="67"/>
      <c r="U677" s="118"/>
    </row>
    <row r="678">
      <c r="A678" s="72"/>
      <c r="B678" s="54"/>
      <c r="C678" s="67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67"/>
      <c r="R678" s="67"/>
      <c r="S678" s="67"/>
      <c r="T678" s="67"/>
      <c r="U678" s="118"/>
    </row>
    <row r="679">
      <c r="A679" s="72"/>
      <c r="B679" s="54"/>
      <c r="C679" s="67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67"/>
      <c r="R679" s="67"/>
      <c r="S679" s="67"/>
      <c r="T679" s="67"/>
      <c r="U679" s="118"/>
    </row>
    <row r="680">
      <c r="A680" s="72"/>
      <c r="B680" s="54"/>
      <c r="C680" s="67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67"/>
      <c r="R680" s="67"/>
      <c r="S680" s="67"/>
      <c r="T680" s="67"/>
      <c r="U680" s="118"/>
    </row>
    <row r="681">
      <c r="A681" s="72"/>
      <c r="B681" s="54"/>
      <c r="C681" s="67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67"/>
      <c r="R681" s="67"/>
      <c r="S681" s="67"/>
      <c r="T681" s="67"/>
      <c r="U681" s="118"/>
    </row>
    <row r="682">
      <c r="A682" s="72"/>
      <c r="B682" s="54"/>
      <c r="C682" s="67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67"/>
      <c r="R682" s="67"/>
      <c r="S682" s="67"/>
      <c r="T682" s="67"/>
      <c r="U682" s="118"/>
    </row>
    <row r="683">
      <c r="A683" s="72"/>
      <c r="B683" s="54"/>
      <c r="C683" s="67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67"/>
      <c r="R683" s="67"/>
      <c r="S683" s="67"/>
      <c r="T683" s="67"/>
      <c r="U683" s="118"/>
    </row>
    <row r="684">
      <c r="A684" s="72"/>
      <c r="B684" s="54"/>
      <c r="C684" s="67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67"/>
      <c r="R684" s="67"/>
      <c r="S684" s="67"/>
      <c r="T684" s="67"/>
      <c r="U684" s="118"/>
    </row>
    <row r="685">
      <c r="A685" s="72"/>
      <c r="B685" s="54"/>
      <c r="C685" s="67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67"/>
      <c r="R685" s="67"/>
      <c r="S685" s="67"/>
      <c r="T685" s="67"/>
      <c r="U685" s="118"/>
    </row>
    <row r="686">
      <c r="A686" s="72"/>
      <c r="B686" s="54"/>
      <c r="C686" s="67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67"/>
      <c r="R686" s="67"/>
      <c r="S686" s="67"/>
      <c r="T686" s="67"/>
      <c r="U686" s="118"/>
    </row>
    <row r="687">
      <c r="A687" s="72"/>
      <c r="B687" s="54"/>
      <c r="C687" s="67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67"/>
      <c r="R687" s="67"/>
      <c r="S687" s="67"/>
      <c r="T687" s="67"/>
      <c r="U687" s="118"/>
    </row>
    <row r="688">
      <c r="A688" s="72"/>
      <c r="B688" s="54"/>
      <c r="C688" s="67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67"/>
      <c r="R688" s="67"/>
      <c r="S688" s="67"/>
      <c r="T688" s="67"/>
      <c r="U688" s="118"/>
    </row>
    <row r="689">
      <c r="A689" s="72"/>
      <c r="B689" s="54"/>
      <c r="C689" s="67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67"/>
      <c r="R689" s="67"/>
      <c r="S689" s="67"/>
      <c r="T689" s="67"/>
      <c r="U689" s="118"/>
    </row>
    <row r="690">
      <c r="A690" s="72"/>
      <c r="B690" s="54"/>
      <c r="C690" s="67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67"/>
      <c r="R690" s="67"/>
      <c r="S690" s="67"/>
      <c r="T690" s="67"/>
      <c r="U690" s="118"/>
    </row>
    <row r="691">
      <c r="A691" s="72"/>
      <c r="B691" s="54"/>
      <c r="C691" s="67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67"/>
      <c r="R691" s="67"/>
      <c r="S691" s="67"/>
      <c r="T691" s="67"/>
      <c r="U691" s="118"/>
    </row>
    <row r="692">
      <c r="A692" s="72"/>
      <c r="B692" s="54"/>
      <c r="C692" s="67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67"/>
      <c r="R692" s="67"/>
      <c r="S692" s="67"/>
      <c r="T692" s="67"/>
      <c r="U692" s="118"/>
    </row>
    <row r="693">
      <c r="A693" s="72"/>
      <c r="B693" s="54"/>
      <c r="C693" s="67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67"/>
      <c r="R693" s="67"/>
      <c r="S693" s="67"/>
      <c r="T693" s="67"/>
      <c r="U693" s="118"/>
    </row>
    <row r="694">
      <c r="A694" s="72"/>
      <c r="B694" s="54"/>
      <c r="C694" s="67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67"/>
      <c r="R694" s="67"/>
      <c r="S694" s="67"/>
      <c r="T694" s="67"/>
      <c r="U694" s="118"/>
    </row>
    <row r="695">
      <c r="A695" s="72"/>
      <c r="B695" s="54"/>
      <c r="C695" s="67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67"/>
      <c r="R695" s="67"/>
      <c r="S695" s="67"/>
      <c r="T695" s="67"/>
      <c r="U695" s="118"/>
    </row>
    <row r="696">
      <c r="A696" s="72"/>
      <c r="B696" s="54"/>
      <c r="C696" s="67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67"/>
      <c r="R696" s="67"/>
      <c r="S696" s="67"/>
      <c r="T696" s="67"/>
      <c r="U696" s="118"/>
    </row>
    <row r="697">
      <c r="A697" s="72"/>
      <c r="B697" s="54"/>
      <c r="C697" s="67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67"/>
      <c r="R697" s="67"/>
      <c r="S697" s="67"/>
      <c r="T697" s="67"/>
      <c r="U697" s="118"/>
    </row>
    <row r="698">
      <c r="A698" s="72"/>
      <c r="B698" s="54"/>
      <c r="C698" s="67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67"/>
      <c r="R698" s="67"/>
      <c r="S698" s="67"/>
      <c r="T698" s="67"/>
      <c r="U698" s="118"/>
    </row>
    <row r="699">
      <c r="A699" s="72"/>
      <c r="B699" s="54"/>
      <c r="C699" s="67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67"/>
      <c r="R699" s="67"/>
      <c r="S699" s="67"/>
      <c r="T699" s="67"/>
      <c r="U699" s="118"/>
    </row>
    <row r="700">
      <c r="A700" s="72"/>
      <c r="B700" s="54"/>
      <c r="C700" s="67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67"/>
      <c r="R700" s="67"/>
      <c r="S700" s="67"/>
      <c r="T700" s="67"/>
      <c r="U700" s="118"/>
    </row>
    <row r="701">
      <c r="A701" s="72"/>
      <c r="B701" s="54"/>
      <c r="C701" s="67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67"/>
      <c r="R701" s="67"/>
      <c r="S701" s="67"/>
      <c r="T701" s="67"/>
      <c r="U701" s="118"/>
    </row>
    <row r="702">
      <c r="A702" s="72"/>
      <c r="B702" s="54"/>
      <c r="C702" s="67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67"/>
      <c r="R702" s="67"/>
      <c r="S702" s="67"/>
      <c r="T702" s="67"/>
      <c r="U702" s="118"/>
    </row>
    <row r="703">
      <c r="A703" s="72"/>
      <c r="B703" s="54"/>
      <c r="C703" s="67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67"/>
      <c r="R703" s="67"/>
      <c r="S703" s="67"/>
      <c r="T703" s="67"/>
      <c r="U703" s="118"/>
    </row>
    <row r="704">
      <c r="A704" s="72"/>
      <c r="B704" s="54"/>
      <c r="C704" s="67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67"/>
      <c r="R704" s="67"/>
      <c r="S704" s="67"/>
      <c r="T704" s="67"/>
      <c r="U704" s="118"/>
    </row>
    <row r="705">
      <c r="A705" s="72"/>
      <c r="B705" s="54"/>
      <c r="C705" s="67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67"/>
      <c r="R705" s="67"/>
      <c r="S705" s="67"/>
      <c r="T705" s="67"/>
      <c r="U705" s="118"/>
    </row>
    <row r="706">
      <c r="A706" s="72"/>
      <c r="B706" s="54"/>
      <c r="C706" s="67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67"/>
      <c r="R706" s="67"/>
      <c r="S706" s="67"/>
      <c r="T706" s="67"/>
      <c r="U706" s="118"/>
    </row>
    <row r="707">
      <c r="A707" s="72"/>
      <c r="B707" s="54"/>
      <c r="C707" s="67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67"/>
      <c r="R707" s="67"/>
      <c r="S707" s="67"/>
      <c r="T707" s="67"/>
      <c r="U707" s="118"/>
    </row>
    <row r="708">
      <c r="A708" s="72"/>
      <c r="B708" s="54"/>
      <c r="C708" s="67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67"/>
      <c r="R708" s="67"/>
      <c r="S708" s="67"/>
      <c r="T708" s="67"/>
      <c r="U708" s="118"/>
    </row>
    <row r="709">
      <c r="A709" s="72"/>
      <c r="B709" s="54"/>
      <c r="C709" s="67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67"/>
      <c r="R709" s="67"/>
      <c r="S709" s="67"/>
      <c r="T709" s="67"/>
      <c r="U709" s="118"/>
    </row>
    <row r="710">
      <c r="A710" s="72"/>
      <c r="B710" s="54"/>
      <c r="C710" s="67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67"/>
      <c r="R710" s="67"/>
      <c r="S710" s="67"/>
      <c r="T710" s="67"/>
      <c r="U710" s="118"/>
    </row>
    <row r="711">
      <c r="A711" s="72"/>
      <c r="B711" s="54"/>
      <c r="C711" s="67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67"/>
      <c r="R711" s="67"/>
      <c r="S711" s="67"/>
      <c r="T711" s="67"/>
      <c r="U711" s="118"/>
    </row>
    <row r="712">
      <c r="A712" s="72"/>
      <c r="B712" s="54"/>
      <c r="C712" s="67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67"/>
      <c r="R712" s="67"/>
      <c r="S712" s="67"/>
      <c r="T712" s="67"/>
      <c r="U712" s="118"/>
    </row>
    <row r="713">
      <c r="A713" s="72"/>
      <c r="B713" s="54"/>
      <c r="C713" s="67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67"/>
      <c r="R713" s="67"/>
      <c r="S713" s="67"/>
      <c r="T713" s="67"/>
      <c r="U713" s="118"/>
    </row>
    <row r="714">
      <c r="A714" s="72"/>
      <c r="B714" s="54"/>
      <c r="C714" s="67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67"/>
      <c r="R714" s="67"/>
      <c r="S714" s="67"/>
      <c r="T714" s="67"/>
      <c r="U714" s="118"/>
    </row>
    <row r="715">
      <c r="A715" s="72"/>
      <c r="B715" s="54"/>
      <c r="C715" s="67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67"/>
      <c r="R715" s="67"/>
      <c r="S715" s="67"/>
      <c r="T715" s="67"/>
      <c r="U715" s="118"/>
    </row>
    <row r="716">
      <c r="A716" s="72"/>
      <c r="B716" s="54"/>
      <c r="C716" s="67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67"/>
      <c r="R716" s="67"/>
      <c r="S716" s="67"/>
      <c r="T716" s="67"/>
      <c r="U716" s="118"/>
    </row>
    <row r="717">
      <c r="A717" s="72"/>
      <c r="B717" s="54"/>
      <c r="C717" s="67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67"/>
      <c r="R717" s="67"/>
      <c r="S717" s="67"/>
      <c r="T717" s="67"/>
      <c r="U717" s="118"/>
    </row>
    <row r="718">
      <c r="A718" s="72"/>
      <c r="B718" s="54"/>
      <c r="C718" s="67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67"/>
      <c r="R718" s="67"/>
      <c r="S718" s="67"/>
      <c r="T718" s="67"/>
      <c r="U718" s="118"/>
    </row>
    <row r="719">
      <c r="A719" s="72"/>
      <c r="B719" s="54"/>
      <c r="C719" s="67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67"/>
      <c r="R719" s="67"/>
      <c r="S719" s="67"/>
      <c r="T719" s="67"/>
      <c r="U719" s="118"/>
    </row>
    <row r="720">
      <c r="A720" s="72"/>
      <c r="B720" s="54"/>
      <c r="C720" s="67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67"/>
      <c r="R720" s="67"/>
      <c r="S720" s="67"/>
      <c r="T720" s="67"/>
      <c r="U720" s="118"/>
    </row>
    <row r="721">
      <c r="A721" s="72"/>
      <c r="B721" s="54"/>
      <c r="C721" s="67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67"/>
      <c r="R721" s="67"/>
      <c r="S721" s="67"/>
      <c r="T721" s="67"/>
      <c r="U721" s="118"/>
    </row>
    <row r="722">
      <c r="A722" s="72"/>
      <c r="B722" s="54"/>
      <c r="C722" s="67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67"/>
      <c r="R722" s="67"/>
      <c r="S722" s="67"/>
      <c r="T722" s="67"/>
      <c r="U722" s="118"/>
    </row>
    <row r="723">
      <c r="A723" s="72"/>
      <c r="B723" s="54"/>
      <c r="C723" s="67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67"/>
      <c r="R723" s="67"/>
      <c r="S723" s="67"/>
      <c r="T723" s="67"/>
      <c r="U723" s="118"/>
    </row>
    <row r="724">
      <c r="A724" s="72"/>
      <c r="B724" s="54"/>
      <c r="C724" s="67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67"/>
      <c r="R724" s="67"/>
      <c r="S724" s="67"/>
      <c r="T724" s="67"/>
      <c r="U724" s="118"/>
    </row>
    <row r="725">
      <c r="A725" s="72"/>
      <c r="B725" s="54"/>
      <c r="C725" s="67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67"/>
      <c r="R725" s="67"/>
      <c r="S725" s="67"/>
      <c r="T725" s="67"/>
      <c r="U725" s="118"/>
    </row>
    <row r="726">
      <c r="A726" s="72"/>
      <c r="B726" s="54"/>
      <c r="C726" s="67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67"/>
      <c r="R726" s="67"/>
      <c r="S726" s="67"/>
      <c r="T726" s="67"/>
      <c r="U726" s="118"/>
    </row>
    <row r="727">
      <c r="A727" s="72"/>
      <c r="B727" s="54"/>
      <c r="C727" s="67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67"/>
      <c r="R727" s="67"/>
      <c r="S727" s="67"/>
      <c r="T727" s="67"/>
      <c r="U727" s="118"/>
    </row>
    <row r="728">
      <c r="A728" s="72"/>
      <c r="B728" s="54"/>
      <c r="C728" s="67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67"/>
      <c r="R728" s="67"/>
      <c r="S728" s="67"/>
      <c r="T728" s="67"/>
      <c r="U728" s="118"/>
    </row>
    <row r="729">
      <c r="A729" s="72"/>
      <c r="B729" s="54"/>
      <c r="C729" s="67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67"/>
      <c r="R729" s="67"/>
      <c r="S729" s="67"/>
      <c r="T729" s="67"/>
      <c r="U729" s="118"/>
    </row>
    <row r="730">
      <c r="A730" s="72"/>
      <c r="B730" s="54"/>
      <c r="C730" s="67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67"/>
      <c r="R730" s="67"/>
      <c r="S730" s="67"/>
      <c r="T730" s="67"/>
      <c r="U730" s="118"/>
    </row>
    <row r="731">
      <c r="A731" s="72"/>
      <c r="B731" s="54"/>
      <c r="C731" s="67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67"/>
      <c r="R731" s="67"/>
      <c r="S731" s="67"/>
      <c r="T731" s="67"/>
      <c r="U731" s="118"/>
    </row>
    <row r="732">
      <c r="A732" s="72"/>
      <c r="B732" s="54"/>
      <c r="C732" s="67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67"/>
      <c r="R732" s="67"/>
      <c r="S732" s="67"/>
      <c r="T732" s="67"/>
      <c r="U732" s="118"/>
    </row>
    <row r="733">
      <c r="A733" s="72"/>
      <c r="B733" s="54"/>
      <c r="C733" s="67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67"/>
      <c r="R733" s="67"/>
      <c r="S733" s="67"/>
      <c r="T733" s="67"/>
      <c r="U733" s="118"/>
    </row>
    <row r="734">
      <c r="A734" s="72"/>
      <c r="B734" s="54"/>
      <c r="C734" s="67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67"/>
      <c r="R734" s="67"/>
      <c r="S734" s="67"/>
      <c r="T734" s="67"/>
      <c r="U734" s="118"/>
    </row>
    <row r="735">
      <c r="A735" s="72"/>
      <c r="B735" s="54"/>
      <c r="C735" s="67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67"/>
      <c r="R735" s="67"/>
      <c r="S735" s="67"/>
      <c r="T735" s="67"/>
      <c r="U735" s="118"/>
    </row>
    <row r="736">
      <c r="A736" s="72"/>
      <c r="B736" s="54"/>
      <c r="C736" s="67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67"/>
      <c r="R736" s="67"/>
      <c r="S736" s="67"/>
      <c r="T736" s="67"/>
      <c r="U736" s="118"/>
    </row>
    <row r="737">
      <c r="A737" s="72"/>
      <c r="B737" s="54"/>
      <c r="C737" s="67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67"/>
      <c r="R737" s="67"/>
      <c r="S737" s="67"/>
      <c r="T737" s="67"/>
      <c r="U737" s="118"/>
    </row>
    <row r="738">
      <c r="A738" s="72"/>
      <c r="B738" s="54"/>
      <c r="C738" s="67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67"/>
      <c r="R738" s="67"/>
      <c r="S738" s="67"/>
      <c r="T738" s="67"/>
      <c r="U738" s="118"/>
    </row>
    <row r="739">
      <c r="A739" s="72"/>
      <c r="B739" s="54"/>
      <c r="C739" s="67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67"/>
      <c r="R739" s="67"/>
      <c r="S739" s="67"/>
      <c r="T739" s="67"/>
      <c r="U739" s="118"/>
    </row>
    <row r="740">
      <c r="A740" s="72"/>
      <c r="B740" s="54"/>
      <c r="C740" s="67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67"/>
      <c r="R740" s="67"/>
      <c r="S740" s="67"/>
      <c r="T740" s="67"/>
      <c r="U740" s="118"/>
    </row>
    <row r="741">
      <c r="A741" s="72"/>
      <c r="B741" s="54"/>
      <c r="C741" s="67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67"/>
      <c r="R741" s="67"/>
      <c r="S741" s="67"/>
      <c r="T741" s="67"/>
      <c r="U741" s="118"/>
    </row>
    <row r="742">
      <c r="A742" s="72"/>
      <c r="B742" s="54"/>
      <c r="C742" s="67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67"/>
      <c r="R742" s="67"/>
      <c r="S742" s="67"/>
      <c r="T742" s="67"/>
      <c r="U742" s="118"/>
    </row>
    <row r="743">
      <c r="A743" s="72"/>
      <c r="B743" s="54"/>
      <c r="C743" s="67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67"/>
      <c r="R743" s="67"/>
      <c r="S743" s="67"/>
      <c r="T743" s="67"/>
      <c r="U743" s="118"/>
    </row>
    <row r="744">
      <c r="A744" s="72"/>
      <c r="B744" s="54"/>
      <c r="C744" s="67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67"/>
      <c r="R744" s="67"/>
      <c r="S744" s="67"/>
      <c r="T744" s="67"/>
      <c r="U744" s="118"/>
    </row>
    <row r="745">
      <c r="A745" s="72"/>
      <c r="B745" s="54"/>
      <c r="C745" s="67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67"/>
      <c r="R745" s="67"/>
      <c r="S745" s="67"/>
      <c r="T745" s="67"/>
      <c r="U745" s="118"/>
    </row>
    <row r="746">
      <c r="A746" s="72"/>
      <c r="B746" s="54"/>
      <c r="C746" s="67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67"/>
      <c r="R746" s="67"/>
      <c r="S746" s="67"/>
      <c r="T746" s="67"/>
      <c r="U746" s="118"/>
    </row>
    <row r="747">
      <c r="A747" s="72"/>
      <c r="B747" s="54"/>
      <c r="C747" s="67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67"/>
      <c r="R747" s="67"/>
      <c r="S747" s="67"/>
      <c r="T747" s="67"/>
      <c r="U747" s="118"/>
    </row>
    <row r="748">
      <c r="A748" s="72"/>
      <c r="B748" s="54"/>
      <c r="C748" s="67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67"/>
      <c r="R748" s="67"/>
      <c r="S748" s="67"/>
      <c r="T748" s="67"/>
      <c r="U748" s="118"/>
    </row>
    <row r="749">
      <c r="A749" s="72"/>
      <c r="B749" s="54"/>
      <c r="C749" s="67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67"/>
      <c r="R749" s="67"/>
      <c r="S749" s="67"/>
      <c r="T749" s="67"/>
      <c r="U749" s="118"/>
    </row>
    <row r="750">
      <c r="A750" s="72"/>
      <c r="B750" s="54"/>
      <c r="C750" s="67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67"/>
      <c r="R750" s="67"/>
      <c r="S750" s="67"/>
      <c r="T750" s="67"/>
      <c r="U750" s="118"/>
    </row>
    <row r="751">
      <c r="A751" s="72"/>
      <c r="B751" s="54"/>
      <c r="C751" s="67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67"/>
      <c r="R751" s="67"/>
      <c r="S751" s="67"/>
      <c r="T751" s="67"/>
      <c r="U751" s="118"/>
    </row>
    <row r="752">
      <c r="A752" s="72"/>
      <c r="B752" s="54"/>
      <c r="C752" s="67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67"/>
      <c r="R752" s="67"/>
      <c r="S752" s="67"/>
      <c r="T752" s="67"/>
      <c r="U752" s="118"/>
    </row>
    <row r="753">
      <c r="A753" s="72"/>
      <c r="B753" s="54"/>
      <c r="C753" s="67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67"/>
      <c r="R753" s="67"/>
      <c r="S753" s="67"/>
      <c r="T753" s="67"/>
      <c r="U753" s="118"/>
    </row>
    <row r="754">
      <c r="A754" s="72"/>
      <c r="B754" s="54"/>
      <c r="C754" s="67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67"/>
      <c r="R754" s="67"/>
      <c r="S754" s="67"/>
      <c r="T754" s="67"/>
      <c r="U754" s="118"/>
    </row>
    <row r="755">
      <c r="A755" s="72"/>
      <c r="B755" s="54"/>
      <c r="C755" s="67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67"/>
      <c r="R755" s="67"/>
      <c r="S755" s="67"/>
      <c r="T755" s="67"/>
      <c r="U755" s="118"/>
    </row>
    <row r="756">
      <c r="A756" s="72"/>
      <c r="B756" s="54"/>
      <c r="C756" s="67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67"/>
      <c r="R756" s="67"/>
      <c r="S756" s="67"/>
      <c r="T756" s="67"/>
      <c r="U756" s="118"/>
    </row>
    <row r="757">
      <c r="A757" s="72"/>
      <c r="B757" s="54"/>
      <c r="C757" s="67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67"/>
      <c r="R757" s="67"/>
      <c r="S757" s="67"/>
      <c r="T757" s="67"/>
      <c r="U757" s="118"/>
    </row>
    <row r="758">
      <c r="A758" s="72"/>
      <c r="B758" s="54"/>
      <c r="C758" s="67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67"/>
      <c r="R758" s="67"/>
      <c r="S758" s="67"/>
      <c r="T758" s="67"/>
      <c r="U758" s="118"/>
    </row>
    <row r="759">
      <c r="A759" s="72"/>
      <c r="B759" s="54"/>
      <c r="C759" s="67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67"/>
      <c r="R759" s="67"/>
      <c r="S759" s="67"/>
      <c r="T759" s="67"/>
      <c r="U759" s="118"/>
    </row>
    <row r="760">
      <c r="A760" s="72"/>
      <c r="B760" s="54"/>
      <c r="C760" s="67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67"/>
      <c r="R760" s="67"/>
      <c r="S760" s="67"/>
      <c r="T760" s="67"/>
      <c r="U760" s="118"/>
    </row>
    <row r="761">
      <c r="A761" s="72"/>
      <c r="B761" s="54"/>
      <c r="C761" s="67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67"/>
      <c r="R761" s="67"/>
      <c r="S761" s="67"/>
      <c r="T761" s="67"/>
      <c r="U761" s="118"/>
    </row>
    <row r="762">
      <c r="A762" s="72"/>
      <c r="B762" s="54"/>
      <c r="C762" s="67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67"/>
      <c r="R762" s="67"/>
      <c r="S762" s="67"/>
      <c r="T762" s="67"/>
      <c r="U762" s="118"/>
    </row>
    <row r="763">
      <c r="A763" s="72"/>
      <c r="B763" s="54"/>
      <c r="C763" s="67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67"/>
      <c r="R763" s="67"/>
      <c r="S763" s="67"/>
      <c r="T763" s="67"/>
      <c r="U763" s="118"/>
    </row>
    <row r="764">
      <c r="A764" s="72"/>
      <c r="B764" s="54"/>
      <c r="C764" s="67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67"/>
      <c r="R764" s="67"/>
      <c r="S764" s="67"/>
      <c r="T764" s="67"/>
      <c r="U764" s="118"/>
    </row>
    <row r="765">
      <c r="A765" s="72"/>
      <c r="B765" s="54"/>
      <c r="C765" s="67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67"/>
      <c r="R765" s="67"/>
      <c r="S765" s="67"/>
      <c r="T765" s="67"/>
      <c r="U765" s="118"/>
    </row>
  </sheetData>
  <dataValidations>
    <dataValidation type="list" allowBlank="1" showErrorMessage="1" sqref="D9:D765">
      <formula1>Data!$C$2:$C765</formula1>
    </dataValidation>
    <dataValidation type="list" allowBlank="1" showErrorMessage="1" sqref="E9:E765">
      <formula1>Data!$D$2:$D765</formula1>
    </dataValidation>
    <dataValidation type="list" allowBlank="1" showErrorMessage="1" sqref="N9:N765">
      <formula1>Data!$K$3:$K765</formula1>
    </dataValidation>
    <dataValidation type="list" allowBlank="1" showErrorMessage="1" sqref="B9:B33 B38:B39 B41 B49:B50 B54 B60 B68 B73 B76 B83 B96 B222 B303 B314 B316 B318:B327 B329:B330 B332 B334:B335 B338 B341:B342 B344 B346:B765">
      <formula1>Data!$A$2:$A765</formula1>
    </dataValidation>
    <dataValidation type="list" allowBlank="1" showErrorMessage="1" sqref="O9:O765">
      <formula1>Data!$O$2:$O765</formula1>
    </dataValidation>
    <dataValidation type="list" allowBlank="1" showErrorMessage="1" sqref="M9:M765">
      <formula1>Data!$P$2:$P765</formula1>
    </dataValidation>
    <dataValidation type="custom" allowBlank="1" showDropDown="1" sqref="A9:A765">
      <formula1>OR(NOT(ISERROR(DATEVALUE(A9))), AND(ISNUMBER(A9), LEFT(CELL("format", A9))="D"))</formula1>
    </dataValidation>
    <dataValidation type="list" allowBlank="1" showErrorMessage="1" sqref="L9:L765">
      <formula1>Data!$I$2:$I765</formula1>
    </dataValidation>
    <dataValidation type="list" allowBlank="1" showErrorMessage="1" sqref="F9:F765">
      <formula1>Data!$F$2:$F765</formula1>
    </dataValidation>
    <dataValidation type="list" allowBlank="1" showErrorMessage="1" sqref="H9:H765">
      <formula1>Data!$H$2:$H765</formula1>
    </dataValidation>
    <dataValidation type="list" allowBlank="1" showErrorMessage="1" sqref="P9:P765">
      <formula1>Data!$M$2:$M765</formula1>
    </dataValidation>
  </dataValidations>
  <hyperlinks>
    <hyperlink r:id="rId1" ref="C3"/>
    <hyperlink r:id="rId2" ref="B9"/>
    <hyperlink r:id="rId3" ref="B10"/>
    <hyperlink r:id="rId4" ref="T10"/>
    <hyperlink r:id="rId5" ref="B11"/>
    <hyperlink r:id="rId6" ref="T11"/>
    <hyperlink r:id="rId7" ref="B12"/>
    <hyperlink r:id="rId8" ref="T12"/>
    <hyperlink r:id="rId9" ref="B13"/>
    <hyperlink r:id="rId10" ref="T13"/>
    <hyperlink r:id="rId11" ref="B14"/>
    <hyperlink r:id="rId12" ref="T14"/>
    <hyperlink r:id="rId13" ref="B15"/>
    <hyperlink r:id="rId14" ref="T15"/>
    <hyperlink r:id="rId15" ref="B16"/>
    <hyperlink r:id="rId16" ref="T16"/>
    <hyperlink r:id="rId17" ref="B17"/>
    <hyperlink r:id="rId18" ref="T17"/>
    <hyperlink r:id="rId19" ref="B18"/>
    <hyperlink r:id="rId20" ref="T18"/>
    <hyperlink r:id="rId21" ref="B19"/>
    <hyperlink r:id="rId22" ref="T19"/>
    <hyperlink r:id="rId23" ref="B20"/>
    <hyperlink r:id="rId24" ref="T20"/>
    <hyperlink r:id="rId25" ref="B21"/>
    <hyperlink r:id="rId26" ref="T21"/>
    <hyperlink r:id="rId27" ref="B22"/>
    <hyperlink r:id="rId28" ref="T22"/>
    <hyperlink r:id="rId29" ref="B23"/>
    <hyperlink r:id="rId30" ref="T23"/>
    <hyperlink r:id="rId31" ref="B24"/>
    <hyperlink r:id="rId32" ref="T24"/>
    <hyperlink r:id="rId33" ref="B25"/>
    <hyperlink r:id="rId34" ref="T25"/>
    <hyperlink r:id="rId35" ref="B26"/>
    <hyperlink r:id="rId36" ref="T26"/>
    <hyperlink r:id="rId37" ref="B27"/>
    <hyperlink r:id="rId38" ref="T27"/>
    <hyperlink r:id="rId39" ref="B28"/>
    <hyperlink r:id="rId40" ref="T28"/>
    <hyperlink r:id="rId41" ref="B29"/>
    <hyperlink r:id="rId42" ref="T29"/>
    <hyperlink r:id="rId43" ref="B30"/>
    <hyperlink r:id="rId44" ref="T30"/>
    <hyperlink r:id="rId45" ref="B31"/>
    <hyperlink r:id="rId46" ref="T31"/>
    <hyperlink r:id="rId47" ref="B32"/>
    <hyperlink r:id="rId48" ref="T32"/>
    <hyperlink r:id="rId49" ref="B33"/>
    <hyperlink r:id="rId50" ref="T33"/>
    <hyperlink r:id="rId51" ref="B34"/>
    <hyperlink r:id="rId52" ref="T34"/>
    <hyperlink r:id="rId53" ref="U34"/>
    <hyperlink r:id="rId54" ref="B35"/>
    <hyperlink r:id="rId55" ref="T35"/>
    <hyperlink r:id="rId56" ref="B36"/>
    <hyperlink r:id="rId57" ref="T36"/>
    <hyperlink r:id="rId58" ref="U36"/>
    <hyperlink r:id="rId59" ref="B37"/>
    <hyperlink r:id="rId60" ref="T37"/>
    <hyperlink r:id="rId61" ref="B38"/>
    <hyperlink r:id="rId62" ref="T38"/>
    <hyperlink r:id="rId63" ref="U38"/>
    <hyperlink r:id="rId64" ref="B39"/>
    <hyperlink r:id="rId65" ref="T39"/>
    <hyperlink r:id="rId66" ref="B40"/>
    <hyperlink r:id="rId67" ref="T40"/>
    <hyperlink r:id="rId68" ref="B41"/>
    <hyperlink r:id="rId69" ref="T41"/>
    <hyperlink r:id="rId70" ref="U41"/>
    <hyperlink r:id="rId71" ref="B42"/>
    <hyperlink r:id="rId72" ref="T42"/>
    <hyperlink r:id="rId73" ref="B43"/>
    <hyperlink r:id="rId74" ref="T43"/>
    <hyperlink r:id="rId75" ref="B44"/>
    <hyperlink r:id="rId76" ref="T44"/>
    <hyperlink r:id="rId77" ref="B45"/>
    <hyperlink r:id="rId78" ref="T45"/>
    <hyperlink r:id="rId79" ref="B46"/>
    <hyperlink r:id="rId80" ref="T46"/>
    <hyperlink r:id="rId81" ref="B47"/>
    <hyperlink r:id="rId82" ref="T47"/>
    <hyperlink r:id="rId83" ref="B48"/>
    <hyperlink r:id="rId84" ref="T48"/>
    <hyperlink r:id="rId85" ref="U48"/>
    <hyperlink r:id="rId86" ref="B49"/>
    <hyperlink r:id="rId87" ref="T49"/>
    <hyperlink r:id="rId88" ref="U49"/>
    <hyperlink r:id="rId89" ref="B50"/>
    <hyperlink r:id="rId90" ref="T50"/>
    <hyperlink r:id="rId91" ref="U50"/>
    <hyperlink r:id="rId92" ref="B51"/>
    <hyperlink r:id="rId93" ref="T51"/>
    <hyperlink r:id="rId94" ref="U51"/>
    <hyperlink r:id="rId95" ref="B52"/>
    <hyperlink r:id="rId96" ref="T52"/>
    <hyperlink r:id="rId97" ref="U52"/>
    <hyperlink r:id="rId98" ref="B53"/>
    <hyperlink r:id="rId99" ref="T53"/>
    <hyperlink r:id="rId100" ref="U53"/>
    <hyperlink r:id="rId101" ref="B54"/>
    <hyperlink r:id="rId102" ref="B55"/>
    <hyperlink r:id="rId103" ref="B56"/>
    <hyperlink r:id="rId104" ref="B57"/>
    <hyperlink r:id="rId105" ref="T57"/>
    <hyperlink r:id="rId106" ref="U57"/>
    <hyperlink r:id="rId107" ref="B58"/>
    <hyperlink r:id="rId108" ref="T58"/>
    <hyperlink r:id="rId109" ref="U58"/>
    <hyperlink r:id="rId110" ref="B59"/>
    <hyperlink r:id="rId111" ref="T59"/>
    <hyperlink r:id="rId112" ref="U59"/>
    <hyperlink r:id="rId113" ref="B60"/>
    <hyperlink r:id="rId114" ref="T60"/>
    <hyperlink r:id="rId115" ref="B61"/>
    <hyperlink r:id="rId116" ref="T61"/>
    <hyperlink r:id="rId117" ref="U61"/>
    <hyperlink r:id="rId118" ref="B62"/>
    <hyperlink r:id="rId119" ref="T62"/>
    <hyperlink r:id="rId120" ref="U62"/>
    <hyperlink r:id="rId121" ref="B63"/>
    <hyperlink r:id="rId122" ref="T63"/>
    <hyperlink r:id="rId123" ref="B64"/>
    <hyperlink r:id="rId124" ref="T64"/>
    <hyperlink r:id="rId125" ref="U64"/>
    <hyperlink r:id="rId126" ref="B65"/>
    <hyperlink r:id="rId127" ref="T65"/>
    <hyperlink r:id="rId128" ref="U65"/>
    <hyperlink r:id="rId129" ref="B66"/>
    <hyperlink r:id="rId130" ref="T66"/>
    <hyperlink r:id="rId131" ref="U66"/>
    <hyperlink r:id="rId132" ref="B67"/>
    <hyperlink r:id="rId133" ref="T67"/>
    <hyperlink r:id="rId134" ref="U67"/>
    <hyperlink r:id="rId135" ref="B68"/>
    <hyperlink r:id="rId136" ref="T68"/>
    <hyperlink r:id="rId137" ref="U68"/>
    <hyperlink r:id="rId138" ref="B69"/>
    <hyperlink r:id="rId139" ref="T69"/>
    <hyperlink r:id="rId140" ref="U69"/>
    <hyperlink r:id="rId141" ref="B70"/>
    <hyperlink r:id="rId142" ref="T70"/>
    <hyperlink r:id="rId143" ref="U70"/>
    <hyperlink r:id="rId144" ref="B71"/>
    <hyperlink r:id="rId145" ref="T71"/>
    <hyperlink r:id="rId146" ref="U71"/>
    <hyperlink r:id="rId147" ref="B72"/>
    <hyperlink r:id="rId148" ref="T72"/>
    <hyperlink r:id="rId149" ref="U72"/>
    <hyperlink r:id="rId150" ref="B73"/>
    <hyperlink r:id="rId151" ref="T73"/>
    <hyperlink r:id="rId152" ref="U73"/>
    <hyperlink r:id="rId153" ref="B74"/>
    <hyperlink r:id="rId154" ref="T74"/>
    <hyperlink r:id="rId155" ref="B75"/>
    <hyperlink r:id="rId156" ref="T75"/>
    <hyperlink r:id="rId157" ref="U75"/>
    <hyperlink r:id="rId158" ref="B76"/>
    <hyperlink r:id="rId159" ref="T76"/>
    <hyperlink r:id="rId160" ref="U76"/>
    <hyperlink r:id="rId161" ref="B77"/>
    <hyperlink r:id="rId162" ref="T77"/>
    <hyperlink r:id="rId163" ref="B78"/>
    <hyperlink r:id="rId164" ref="T78"/>
    <hyperlink r:id="rId165" ref="U78"/>
    <hyperlink r:id="rId166" ref="B79"/>
    <hyperlink r:id="rId167" ref="T79"/>
    <hyperlink r:id="rId168" ref="U79"/>
    <hyperlink r:id="rId169" ref="B80"/>
    <hyperlink r:id="rId170" ref="T80"/>
    <hyperlink r:id="rId171" ref="U80"/>
    <hyperlink r:id="rId172" ref="B81"/>
    <hyperlink r:id="rId173" ref="T81"/>
    <hyperlink r:id="rId174" ref="U81"/>
    <hyperlink r:id="rId175" ref="B82"/>
    <hyperlink r:id="rId176" ref="T82"/>
    <hyperlink r:id="rId177" ref="U82"/>
    <hyperlink r:id="rId178" ref="B83"/>
    <hyperlink r:id="rId179" ref="T83"/>
    <hyperlink r:id="rId180" ref="U83"/>
    <hyperlink r:id="rId181" ref="B84"/>
    <hyperlink r:id="rId182" ref="T84"/>
    <hyperlink r:id="rId183" ref="U84"/>
    <hyperlink r:id="rId184" ref="B85"/>
    <hyperlink r:id="rId185" ref="T85"/>
    <hyperlink r:id="rId186" ref="U85"/>
    <hyperlink r:id="rId187" ref="B86"/>
    <hyperlink r:id="rId188" ref="T86"/>
    <hyperlink r:id="rId189" ref="U86"/>
    <hyperlink r:id="rId190" ref="B87"/>
    <hyperlink r:id="rId191" ref="T87"/>
    <hyperlink r:id="rId192" ref="U87"/>
    <hyperlink r:id="rId193" ref="B88"/>
    <hyperlink r:id="rId194" ref="T88"/>
    <hyperlink r:id="rId195" ref="U88"/>
    <hyperlink r:id="rId196" ref="B89"/>
    <hyperlink r:id="rId197" ref="T89"/>
    <hyperlink r:id="rId198" ref="U89"/>
    <hyperlink r:id="rId199" ref="B90"/>
    <hyperlink r:id="rId200" ref="T90"/>
    <hyperlink r:id="rId201" ref="U90"/>
    <hyperlink r:id="rId202" ref="B91"/>
    <hyperlink r:id="rId203" ref="T91"/>
    <hyperlink r:id="rId204" ref="U91"/>
    <hyperlink r:id="rId205" ref="B92"/>
    <hyperlink r:id="rId206" ref="T92"/>
    <hyperlink r:id="rId207" ref="U92"/>
    <hyperlink r:id="rId208" ref="B93"/>
    <hyperlink r:id="rId209" ref="T93"/>
    <hyperlink r:id="rId210" ref="U93"/>
    <hyperlink r:id="rId211" ref="B94"/>
    <hyperlink r:id="rId212" ref="T94"/>
    <hyperlink r:id="rId213" ref="U94"/>
    <hyperlink r:id="rId214" ref="B95"/>
    <hyperlink r:id="rId215" ref="T95"/>
    <hyperlink r:id="rId216" ref="U95"/>
    <hyperlink r:id="rId217" ref="B96"/>
    <hyperlink r:id="rId218" ref="T96"/>
    <hyperlink r:id="rId219" ref="U96"/>
    <hyperlink r:id="rId220" ref="B97"/>
    <hyperlink r:id="rId221" ref="T97"/>
    <hyperlink r:id="rId222" ref="U97"/>
    <hyperlink r:id="rId223" ref="B98"/>
    <hyperlink r:id="rId224" ref="T98"/>
    <hyperlink r:id="rId225" ref="U98"/>
    <hyperlink r:id="rId226" ref="B99"/>
    <hyperlink r:id="rId227" ref="T99"/>
    <hyperlink r:id="rId228" ref="U99"/>
    <hyperlink r:id="rId229" ref="B100"/>
    <hyperlink r:id="rId230" ref="T100"/>
    <hyperlink r:id="rId231" ref="U100"/>
    <hyperlink r:id="rId232" ref="B101"/>
    <hyperlink r:id="rId233" ref="T101"/>
    <hyperlink r:id="rId234" ref="U101"/>
    <hyperlink r:id="rId235" ref="B102"/>
    <hyperlink r:id="rId236" ref="T102"/>
    <hyperlink r:id="rId237" ref="U102"/>
    <hyperlink r:id="rId238" ref="B103"/>
    <hyperlink r:id="rId239" ref="T103"/>
    <hyperlink r:id="rId240" ref="U103"/>
    <hyperlink r:id="rId241" ref="B104"/>
    <hyperlink r:id="rId242" ref="T104"/>
    <hyperlink r:id="rId243" ref="U104"/>
    <hyperlink r:id="rId244" ref="B105"/>
    <hyperlink r:id="rId245" ref="T105"/>
    <hyperlink r:id="rId246" ref="U105"/>
    <hyperlink r:id="rId247" ref="B106"/>
    <hyperlink r:id="rId248" ref="T106"/>
    <hyperlink r:id="rId249" ref="U106"/>
    <hyperlink r:id="rId250" ref="B107"/>
    <hyperlink r:id="rId251" ref="T107"/>
    <hyperlink r:id="rId252" ref="U107"/>
    <hyperlink r:id="rId253" ref="B108"/>
    <hyperlink r:id="rId254" ref="T108"/>
    <hyperlink r:id="rId255" ref="U108"/>
    <hyperlink r:id="rId256" ref="B109"/>
    <hyperlink r:id="rId257" ref="T109"/>
    <hyperlink r:id="rId258" ref="U109"/>
    <hyperlink r:id="rId259" ref="B110"/>
    <hyperlink r:id="rId260" ref="T110"/>
    <hyperlink r:id="rId261" ref="U110"/>
    <hyperlink r:id="rId262" ref="B111"/>
    <hyperlink r:id="rId263" ref="T111"/>
    <hyperlink r:id="rId264" ref="U111"/>
    <hyperlink r:id="rId265" ref="B112"/>
    <hyperlink r:id="rId266" ref="T112"/>
    <hyperlink r:id="rId267" ref="U112"/>
    <hyperlink r:id="rId268" ref="B113"/>
    <hyperlink r:id="rId269" ref="T113"/>
    <hyperlink r:id="rId270" ref="U113"/>
    <hyperlink r:id="rId271" ref="B114"/>
    <hyperlink r:id="rId272" ref="T114"/>
    <hyperlink r:id="rId273" ref="U114"/>
    <hyperlink r:id="rId274" ref="B115"/>
    <hyperlink r:id="rId275" ref="T115"/>
    <hyperlink r:id="rId276" ref="U115"/>
    <hyperlink r:id="rId277" ref="B116"/>
    <hyperlink r:id="rId278" ref="T116"/>
    <hyperlink r:id="rId279" ref="U116"/>
    <hyperlink r:id="rId280" ref="B117"/>
    <hyperlink r:id="rId281" ref="T117"/>
    <hyperlink r:id="rId282" ref="U117"/>
    <hyperlink r:id="rId283" ref="B118"/>
    <hyperlink r:id="rId284" ref="T118"/>
    <hyperlink r:id="rId285" ref="B119"/>
    <hyperlink r:id="rId286" ref="T119"/>
    <hyperlink r:id="rId287" ref="U119"/>
    <hyperlink r:id="rId288" ref="B120"/>
    <hyperlink r:id="rId289" ref="T120"/>
    <hyperlink r:id="rId290" ref="U120"/>
    <hyperlink r:id="rId291" ref="B121"/>
    <hyperlink r:id="rId292" ref="T121"/>
    <hyperlink r:id="rId293" ref="U121"/>
    <hyperlink r:id="rId294" ref="B122"/>
    <hyperlink r:id="rId295" ref="T122"/>
    <hyperlink r:id="rId296" ref="U122"/>
    <hyperlink r:id="rId297" ref="B123"/>
    <hyperlink r:id="rId298" ref="T123"/>
    <hyperlink r:id="rId299" ref="U123"/>
    <hyperlink r:id="rId300" ref="B124"/>
    <hyperlink r:id="rId301" ref="T124"/>
    <hyperlink r:id="rId302" ref="U124"/>
    <hyperlink r:id="rId303" ref="B125"/>
    <hyperlink r:id="rId304" ref="T125"/>
    <hyperlink r:id="rId305" ref="U125"/>
    <hyperlink r:id="rId306" ref="B126"/>
    <hyperlink r:id="rId307" ref="T126"/>
    <hyperlink r:id="rId308" ref="U126"/>
    <hyperlink r:id="rId309" ref="B127"/>
    <hyperlink r:id="rId310" ref="T127"/>
    <hyperlink r:id="rId311" ref="U127"/>
    <hyperlink r:id="rId312" ref="B128"/>
    <hyperlink r:id="rId313" ref="T128"/>
    <hyperlink r:id="rId314" ref="U128"/>
    <hyperlink r:id="rId315" ref="B129"/>
    <hyperlink r:id="rId316" ref="T129"/>
    <hyperlink r:id="rId317" ref="U129"/>
    <hyperlink r:id="rId318" ref="B130"/>
    <hyperlink r:id="rId319" ref="T130"/>
    <hyperlink r:id="rId320" ref="B131"/>
    <hyperlink r:id="rId321" ref="T131"/>
    <hyperlink r:id="rId322" ref="B132"/>
    <hyperlink r:id="rId323" ref="T132"/>
    <hyperlink r:id="rId324" ref="U132"/>
    <hyperlink r:id="rId325" ref="B133"/>
    <hyperlink r:id="rId326" ref="T133"/>
    <hyperlink r:id="rId327" ref="U133"/>
    <hyperlink r:id="rId328" ref="B134"/>
    <hyperlink r:id="rId329" ref="T134"/>
    <hyperlink r:id="rId330" ref="U134"/>
    <hyperlink r:id="rId331" ref="B135"/>
    <hyperlink r:id="rId332" ref="T135"/>
    <hyperlink r:id="rId333" ref="U135"/>
    <hyperlink r:id="rId334" ref="B136"/>
    <hyperlink r:id="rId335" ref="T136"/>
    <hyperlink r:id="rId336" ref="U136"/>
    <hyperlink r:id="rId337" ref="B137"/>
    <hyperlink r:id="rId338" ref="T137"/>
    <hyperlink r:id="rId339" ref="B138"/>
    <hyperlink r:id="rId340" ref="T138"/>
    <hyperlink r:id="rId341" ref="U138"/>
    <hyperlink r:id="rId342" ref="B139"/>
    <hyperlink r:id="rId343" ref="T139"/>
    <hyperlink r:id="rId344" ref="B140"/>
    <hyperlink r:id="rId345" ref="T140"/>
    <hyperlink r:id="rId346" ref="B141"/>
    <hyperlink r:id="rId347" ref="T141"/>
    <hyperlink r:id="rId348" ref="U141"/>
    <hyperlink r:id="rId349" ref="B142"/>
    <hyperlink r:id="rId350" ref="T142"/>
    <hyperlink r:id="rId351" ref="U142"/>
    <hyperlink r:id="rId352" ref="B143"/>
    <hyperlink r:id="rId353" ref="T143"/>
    <hyperlink r:id="rId354" ref="U143"/>
    <hyperlink r:id="rId355" ref="B144"/>
    <hyperlink r:id="rId356" ref="T144"/>
    <hyperlink r:id="rId357" ref="B145"/>
    <hyperlink r:id="rId358" ref="T145"/>
    <hyperlink r:id="rId359" ref="U145"/>
    <hyperlink r:id="rId360" ref="B146"/>
    <hyperlink r:id="rId361" ref="T146"/>
    <hyperlink r:id="rId362" ref="U146"/>
    <hyperlink r:id="rId363" ref="B147"/>
    <hyperlink r:id="rId364" ref="T147"/>
    <hyperlink r:id="rId365" ref="B148"/>
    <hyperlink r:id="rId366" ref="T148"/>
    <hyperlink r:id="rId367" ref="U148"/>
    <hyperlink r:id="rId368" ref="B149"/>
    <hyperlink r:id="rId369" ref="T149"/>
    <hyperlink r:id="rId370" ref="U149"/>
    <hyperlink r:id="rId371" ref="B150"/>
    <hyperlink r:id="rId372" ref="T150"/>
    <hyperlink r:id="rId373" ref="U150"/>
    <hyperlink r:id="rId374" ref="B151"/>
    <hyperlink r:id="rId375" ref="T151"/>
    <hyperlink r:id="rId376" ref="U151"/>
    <hyperlink r:id="rId377" ref="B152"/>
    <hyperlink r:id="rId378" ref="T152"/>
    <hyperlink r:id="rId379" ref="B153"/>
    <hyperlink r:id="rId380" ref="T153"/>
    <hyperlink r:id="rId381" ref="B154"/>
    <hyperlink r:id="rId382" ref="T154"/>
    <hyperlink r:id="rId383" ref="B155"/>
    <hyperlink r:id="rId384" ref="T155"/>
    <hyperlink r:id="rId385" ref="B156"/>
    <hyperlink r:id="rId386" ref="T156"/>
    <hyperlink r:id="rId387" ref="U156"/>
    <hyperlink r:id="rId388" ref="B157"/>
    <hyperlink r:id="rId389" ref="T157"/>
    <hyperlink r:id="rId390" ref="B158"/>
    <hyperlink r:id="rId391" ref="T158"/>
    <hyperlink r:id="rId392" ref="U158"/>
    <hyperlink r:id="rId393" ref="B159"/>
    <hyperlink r:id="rId394" ref="T159"/>
    <hyperlink r:id="rId395" ref="B160"/>
    <hyperlink r:id="rId396" ref="T160"/>
    <hyperlink r:id="rId397" ref="U160"/>
    <hyperlink r:id="rId398" ref="B161"/>
    <hyperlink r:id="rId399" ref="T161"/>
    <hyperlink r:id="rId400" ref="U161"/>
    <hyperlink r:id="rId401" ref="B162"/>
    <hyperlink r:id="rId402" ref="T162"/>
    <hyperlink r:id="rId403" ref="B163"/>
    <hyperlink r:id="rId404" ref="T163"/>
    <hyperlink r:id="rId405" ref="U163"/>
    <hyperlink r:id="rId406" ref="B164"/>
    <hyperlink r:id="rId407" ref="T164"/>
    <hyperlink r:id="rId408" ref="U164"/>
    <hyperlink r:id="rId409" ref="B165"/>
    <hyperlink r:id="rId410" ref="T165"/>
    <hyperlink r:id="rId411" ref="U165"/>
    <hyperlink r:id="rId412" ref="B166"/>
    <hyperlink r:id="rId413" ref="T166"/>
    <hyperlink r:id="rId414" ref="U166"/>
    <hyperlink r:id="rId415" ref="B167"/>
    <hyperlink r:id="rId416" ref="T167"/>
    <hyperlink r:id="rId417" ref="U167"/>
    <hyperlink r:id="rId418" ref="B168"/>
    <hyperlink r:id="rId419" ref="T168"/>
    <hyperlink r:id="rId420" ref="B169"/>
    <hyperlink r:id="rId421" ref="T169"/>
    <hyperlink r:id="rId422" ref="B170"/>
    <hyperlink r:id="rId423" ref="T170"/>
    <hyperlink r:id="rId424" ref="B171"/>
    <hyperlink r:id="rId425" ref="T171"/>
    <hyperlink r:id="rId426" ref="B172"/>
    <hyperlink r:id="rId427" ref="T172"/>
    <hyperlink r:id="rId428" ref="B173"/>
    <hyperlink r:id="rId429" ref="T173"/>
    <hyperlink r:id="rId430" ref="U173"/>
    <hyperlink r:id="rId431" ref="B174"/>
    <hyperlink r:id="rId432" ref="T174"/>
    <hyperlink r:id="rId433" ref="U174"/>
    <hyperlink r:id="rId434" ref="B175"/>
    <hyperlink r:id="rId435" ref="T175"/>
    <hyperlink r:id="rId436" ref="U175"/>
    <hyperlink r:id="rId437" ref="B176"/>
    <hyperlink r:id="rId438" ref="T176"/>
    <hyperlink r:id="rId439" ref="B177"/>
    <hyperlink r:id="rId440" ref="T177"/>
    <hyperlink r:id="rId441" ref="U177"/>
    <hyperlink r:id="rId442" ref="B178"/>
    <hyperlink r:id="rId443" ref="T178"/>
    <hyperlink r:id="rId444" ref="U178"/>
    <hyperlink r:id="rId445" ref="B179"/>
    <hyperlink r:id="rId446" ref="T179"/>
    <hyperlink r:id="rId447" ref="U179"/>
    <hyperlink r:id="rId448" ref="B180"/>
    <hyperlink r:id="rId449" ref="T180"/>
    <hyperlink r:id="rId450" ref="B181"/>
    <hyperlink r:id="rId451" ref="T181"/>
    <hyperlink r:id="rId452" ref="B182"/>
    <hyperlink r:id="rId453" ref="T182"/>
    <hyperlink r:id="rId454" ref="B183"/>
    <hyperlink r:id="rId455" ref="T183"/>
    <hyperlink r:id="rId456" ref="B184"/>
    <hyperlink r:id="rId457" ref="T184"/>
    <hyperlink r:id="rId458" ref="U184"/>
    <hyperlink r:id="rId459" ref="B185"/>
    <hyperlink r:id="rId460" ref="T185"/>
    <hyperlink r:id="rId461" ref="U185"/>
    <hyperlink r:id="rId462" ref="B186"/>
    <hyperlink r:id="rId463" ref="T186"/>
    <hyperlink r:id="rId464" ref="U186"/>
    <hyperlink r:id="rId465" ref="B187"/>
    <hyperlink r:id="rId466" ref="T187"/>
    <hyperlink r:id="rId467" ref="U187"/>
    <hyperlink r:id="rId468" ref="B188"/>
    <hyperlink r:id="rId469" ref="T188"/>
    <hyperlink r:id="rId470" ref="U188"/>
    <hyperlink r:id="rId471" ref="B189"/>
    <hyperlink r:id="rId472" ref="T189"/>
    <hyperlink r:id="rId473" ref="U189"/>
    <hyperlink r:id="rId474" ref="B190"/>
    <hyperlink r:id="rId475" ref="T190"/>
    <hyperlink r:id="rId476" ref="U190"/>
    <hyperlink r:id="rId477" ref="B191"/>
    <hyperlink r:id="rId478" ref="T191"/>
    <hyperlink r:id="rId479" ref="U191"/>
    <hyperlink r:id="rId480" ref="B192"/>
    <hyperlink r:id="rId481" ref="T192"/>
    <hyperlink r:id="rId482" ref="U192"/>
    <hyperlink r:id="rId483" ref="B193"/>
    <hyperlink r:id="rId484" ref="T193"/>
    <hyperlink r:id="rId485" ref="U193"/>
    <hyperlink r:id="rId486" ref="B194"/>
    <hyperlink r:id="rId487" ref="T194"/>
    <hyperlink r:id="rId488" ref="U194"/>
    <hyperlink r:id="rId489" ref="B195"/>
    <hyperlink r:id="rId490" ref="T195"/>
    <hyperlink r:id="rId491" ref="U195"/>
    <hyperlink r:id="rId492" ref="B196"/>
    <hyperlink r:id="rId493" ref="T196"/>
    <hyperlink r:id="rId494" ref="U196"/>
    <hyperlink r:id="rId495" ref="B197"/>
    <hyperlink r:id="rId496" ref="T197"/>
    <hyperlink r:id="rId497" ref="U197"/>
    <hyperlink r:id="rId498" ref="B198"/>
    <hyperlink r:id="rId499" ref="T198"/>
    <hyperlink r:id="rId500" ref="U198"/>
    <hyperlink r:id="rId501" ref="B199"/>
    <hyperlink r:id="rId502" ref="T199"/>
    <hyperlink r:id="rId503" ref="U199"/>
    <hyperlink r:id="rId504" ref="B200"/>
    <hyperlink r:id="rId505" ref="T200"/>
    <hyperlink r:id="rId506" ref="U200"/>
    <hyperlink r:id="rId507" ref="B201"/>
    <hyperlink r:id="rId508" ref="T201"/>
    <hyperlink r:id="rId509" ref="U201"/>
    <hyperlink r:id="rId510" ref="B202"/>
    <hyperlink r:id="rId511" ref="T202"/>
    <hyperlink r:id="rId512" ref="U202"/>
    <hyperlink r:id="rId513" ref="B203"/>
    <hyperlink r:id="rId514" ref="T203"/>
    <hyperlink r:id="rId515" ref="U203"/>
    <hyperlink r:id="rId516" ref="B204"/>
    <hyperlink r:id="rId517" ref="T204"/>
    <hyperlink r:id="rId518" ref="U204"/>
    <hyperlink r:id="rId519" ref="B205"/>
    <hyperlink r:id="rId520" ref="T205"/>
    <hyperlink r:id="rId521" ref="U205"/>
    <hyperlink r:id="rId522" ref="B206"/>
    <hyperlink r:id="rId523" ref="T206"/>
    <hyperlink r:id="rId524" ref="U206"/>
    <hyperlink r:id="rId525" ref="B207"/>
    <hyperlink r:id="rId526" ref="T207"/>
    <hyperlink r:id="rId527" ref="U207"/>
    <hyperlink r:id="rId528" ref="B208"/>
    <hyperlink r:id="rId529" ref="T208"/>
    <hyperlink r:id="rId530" ref="U208"/>
    <hyperlink r:id="rId531" ref="B209"/>
    <hyperlink r:id="rId532" ref="T209"/>
    <hyperlink r:id="rId533" ref="U209"/>
    <hyperlink r:id="rId534" ref="B210"/>
    <hyperlink r:id="rId535" ref="T210"/>
    <hyperlink r:id="rId536" ref="U210"/>
    <hyperlink r:id="rId537" ref="B211"/>
    <hyperlink r:id="rId538" ref="T211"/>
    <hyperlink r:id="rId539" ref="U211"/>
    <hyperlink r:id="rId540" ref="B212"/>
    <hyperlink r:id="rId541" ref="T212"/>
    <hyperlink r:id="rId542" ref="U212"/>
    <hyperlink r:id="rId543" ref="B213"/>
    <hyperlink r:id="rId544" ref="T213"/>
    <hyperlink r:id="rId545" ref="U213"/>
    <hyperlink r:id="rId546" ref="B214"/>
    <hyperlink r:id="rId547" ref="T214"/>
    <hyperlink r:id="rId548" ref="U214"/>
    <hyperlink r:id="rId549" ref="B215"/>
    <hyperlink r:id="rId550" ref="T215"/>
    <hyperlink r:id="rId551" ref="U215"/>
    <hyperlink r:id="rId552" ref="B216"/>
    <hyperlink r:id="rId553" ref="T216"/>
    <hyperlink r:id="rId554" ref="U216"/>
    <hyperlink r:id="rId555" ref="B217"/>
    <hyperlink r:id="rId556" ref="T217"/>
    <hyperlink r:id="rId557" ref="U217"/>
    <hyperlink r:id="rId558" ref="B218"/>
    <hyperlink r:id="rId559" ref="T218"/>
    <hyperlink r:id="rId560" ref="U218"/>
    <hyperlink r:id="rId561" ref="B219"/>
    <hyperlink r:id="rId562" ref="T219"/>
    <hyperlink r:id="rId563" ref="U219"/>
    <hyperlink r:id="rId564" ref="B220"/>
    <hyperlink r:id="rId565" ref="T220"/>
    <hyperlink r:id="rId566" ref="U220"/>
    <hyperlink r:id="rId567" ref="B221"/>
    <hyperlink r:id="rId568" ref="T221"/>
    <hyperlink r:id="rId569" ref="U221"/>
    <hyperlink r:id="rId570" ref="B222"/>
    <hyperlink r:id="rId571" ref="T222"/>
    <hyperlink r:id="rId572" ref="U222"/>
    <hyperlink r:id="rId573" ref="B223"/>
    <hyperlink r:id="rId574" ref="T223"/>
    <hyperlink r:id="rId575" ref="U223"/>
    <hyperlink r:id="rId576" ref="B224"/>
    <hyperlink r:id="rId577" ref="T224"/>
    <hyperlink r:id="rId578" ref="U224"/>
    <hyperlink r:id="rId579" ref="B225"/>
    <hyperlink r:id="rId580" ref="T225"/>
    <hyperlink r:id="rId581" ref="U225"/>
    <hyperlink r:id="rId582" ref="B226"/>
    <hyperlink r:id="rId583" ref="T226"/>
    <hyperlink r:id="rId584" ref="U226"/>
    <hyperlink r:id="rId585" ref="B227"/>
    <hyperlink r:id="rId586" ref="T227"/>
    <hyperlink r:id="rId587" ref="U227"/>
    <hyperlink r:id="rId588" ref="B228"/>
    <hyperlink r:id="rId589" ref="T228"/>
    <hyperlink r:id="rId590" ref="U228"/>
    <hyperlink r:id="rId591" ref="B229"/>
    <hyperlink r:id="rId592" ref="T229"/>
    <hyperlink r:id="rId593" ref="U229"/>
    <hyperlink r:id="rId594" ref="B230"/>
    <hyperlink r:id="rId595" ref="T230"/>
    <hyperlink r:id="rId596" ref="U230"/>
    <hyperlink r:id="rId597" ref="B231"/>
    <hyperlink r:id="rId598" ref="T231"/>
    <hyperlink r:id="rId599" ref="U231"/>
    <hyperlink r:id="rId600" ref="B232"/>
    <hyperlink r:id="rId601" ref="T232"/>
    <hyperlink r:id="rId602" ref="U232"/>
    <hyperlink r:id="rId603" ref="B233"/>
    <hyperlink r:id="rId604" ref="T233"/>
    <hyperlink r:id="rId605" ref="U233"/>
    <hyperlink r:id="rId606" ref="B234"/>
    <hyperlink r:id="rId607" ref="T234"/>
    <hyperlink r:id="rId608" ref="U234"/>
    <hyperlink r:id="rId609" ref="B235"/>
    <hyperlink r:id="rId610" ref="T235"/>
    <hyperlink r:id="rId611" ref="U235"/>
    <hyperlink r:id="rId612" ref="B236"/>
    <hyperlink r:id="rId613" ref="T236"/>
    <hyperlink r:id="rId614" ref="U236"/>
    <hyperlink r:id="rId615" ref="B237"/>
    <hyperlink r:id="rId616" ref="T237"/>
    <hyperlink r:id="rId617" ref="U237"/>
    <hyperlink r:id="rId618" ref="B238"/>
    <hyperlink r:id="rId619" ref="T238"/>
    <hyperlink r:id="rId620" ref="U238"/>
    <hyperlink r:id="rId621" ref="B239"/>
    <hyperlink r:id="rId622" ref="T239"/>
    <hyperlink r:id="rId623" ref="U239"/>
    <hyperlink r:id="rId624" ref="B240"/>
    <hyperlink r:id="rId625" ref="T240"/>
    <hyperlink r:id="rId626" ref="U240"/>
    <hyperlink r:id="rId627" ref="B241"/>
    <hyperlink r:id="rId628" ref="U241"/>
    <hyperlink r:id="rId629" ref="B242"/>
    <hyperlink r:id="rId630" ref="U242"/>
    <hyperlink r:id="rId631" ref="B243"/>
    <hyperlink r:id="rId632" ref="U243"/>
    <hyperlink r:id="rId633" ref="B244"/>
    <hyperlink r:id="rId634" ref="U244"/>
    <hyperlink r:id="rId635" ref="B245"/>
    <hyperlink r:id="rId636" ref="U245"/>
    <hyperlink r:id="rId637" ref="B246"/>
    <hyperlink r:id="rId638" ref="U246"/>
    <hyperlink r:id="rId639" ref="B247"/>
    <hyperlink r:id="rId640" ref="U247"/>
    <hyperlink r:id="rId641" ref="B248"/>
    <hyperlink r:id="rId642" ref="U248"/>
    <hyperlink r:id="rId643" ref="B249"/>
    <hyperlink r:id="rId644" ref="T249"/>
    <hyperlink r:id="rId645" ref="U249"/>
    <hyperlink r:id="rId646" ref="B250"/>
    <hyperlink r:id="rId647" ref="T250"/>
    <hyperlink r:id="rId648" ref="U250"/>
    <hyperlink r:id="rId649" ref="B251"/>
    <hyperlink r:id="rId650" ref="T251"/>
    <hyperlink r:id="rId651" ref="U251"/>
    <hyperlink r:id="rId652" ref="B252"/>
    <hyperlink r:id="rId653" ref="T252"/>
    <hyperlink r:id="rId654" ref="U252"/>
    <hyperlink r:id="rId655" ref="B253"/>
    <hyperlink r:id="rId656" ref="T253"/>
    <hyperlink r:id="rId657" ref="U253"/>
    <hyperlink r:id="rId658" ref="B254"/>
    <hyperlink r:id="rId659" ref="T254"/>
    <hyperlink r:id="rId660" ref="U254"/>
    <hyperlink r:id="rId661" ref="B255"/>
    <hyperlink r:id="rId662" ref="T255"/>
    <hyperlink r:id="rId663" ref="U255"/>
    <hyperlink r:id="rId664" ref="B256"/>
    <hyperlink r:id="rId665" ref="T256"/>
    <hyperlink r:id="rId666" ref="U256"/>
    <hyperlink r:id="rId667" ref="B257"/>
    <hyperlink r:id="rId668" ref="T257"/>
    <hyperlink r:id="rId669" ref="U257"/>
    <hyperlink r:id="rId670" ref="B258"/>
    <hyperlink r:id="rId671" ref="T258"/>
    <hyperlink r:id="rId672" ref="U258"/>
    <hyperlink r:id="rId673" ref="B259"/>
    <hyperlink r:id="rId674" ref="T259"/>
    <hyperlink r:id="rId675" ref="U259"/>
    <hyperlink r:id="rId676" ref="B260"/>
    <hyperlink r:id="rId677" ref="T260"/>
    <hyperlink r:id="rId678" ref="U260"/>
    <hyperlink r:id="rId679" ref="B261"/>
    <hyperlink r:id="rId680" ref="T261"/>
    <hyperlink r:id="rId681" ref="U261"/>
    <hyperlink r:id="rId682" ref="B262"/>
    <hyperlink r:id="rId683" ref="T262"/>
    <hyperlink r:id="rId684" ref="U262"/>
    <hyperlink r:id="rId685" ref="B263"/>
    <hyperlink r:id="rId686" ref="T263"/>
    <hyperlink r:id="rId687" ref="U263"/>
    <hyperlink r:id="rId688" ref="B264"/>
    <hyperlink r:id="rId689" ref="T264"/>
    <hyperlink r:id="rId690" ref="U264"/>
    <hyperlink r:id="rId691" ref="B265"/>
    <hyperlink r:id="rId692" ref="T265"/>
    <hyperlink r:id="rId693" ref="U265"/>
    <hyperlink r:id="rId694" ref="B266"/>
    <hyperlink r:id="rId695" ref="T266"/>
    <hyperlink r:id="rId696" ref="U266"/>
    <hyperlink r:id="rId697" ref="B267"/>
    <hyperlink r:id="rId698" ref="T267"/>
    <hyperlink r:id="rId699" ref="U267"/>
    <hyperlink r:id="rId700" ref="B268"/>
    <hyperlink r:id="rId701" ref="T268"/>
    <hyperlink r:id="rId702" ref="U268"/>
    <hyperlink r:id="rId703" ref="B269"/>
    <hyperlink r:id="rId704" ref="T269"/>
    <hyperlink r:id="rId705" ref="U269"/>
    <hyperlink r:id="rId706" ref="B270"/>
    <hyperlink r:id="rId707" ref="T270"/>
    <hyperlink r:id="rId708" ref="U270"/>
    <hyperlink r:id="rId709" ref="B271"/>
    <hyperlink r:id="rId710" ref="T271"/>
    <hyperlink r:id="rId711" ref="U271"/>
    <hyperlink r:id="rId712" ref="B272"/>
    <hyperlink r:id="rId713" ref="T272"/>
    <hyperlink r:id="rId714" ref="U272"/>
    <hyperlink r:id="rId715" ref="B273"/>
    <hyperlink r:id="rId716" ref="T273"/>
    <hyperlink r:id="rId717" ref="B274"/>
    <hyperlink r:id="rId718" ref="T274"/>
    <hyperlink r:id="rId719" ref="U274"/>
    <hyperlink r:id="rId720" ref="B275"/>
    <hyperlink r:id="rId721" ref="T275"/>
    <hyperlink r:id="rId722" ref="U275"/>
    <hyperlink r:id="rId723" ref="B276"/>
    <hyperlink r:id="rId724" ref="T276"/>
    <hyperlink r:id="rId725" ref="U276"/>
    <hyperlink r:id="rId726" ref="B277"/>
    <hyperlink r:id="rId727" ref="T277"/>
    <hyperlink r:id="rId728" ref="U277"/>
    <hyperlink r:id="rId729" ref="B278"/>
    <hyperlink r:id="rId730" ref="T278"/>
    <hyperlink r:id="rId731" ref="U278"/>
    <hyperlink r:id="rId732" ref="B279"/>
    <hyperlink r:id="rId733" ref="T279"/>
    <hyperlink r:id="rId734" ref="U279"/>
    <hyperlink r:id="rId735" ref="B280"/>
    <hyperlink r:id="rId736" ref="T280"/>
    <hyperlink r:id="rId737" ref="U280"/>
    <hyperlink r:id="rId738" ref="B281"/>
    <hyperlink r:id="rId739" ref="T281"/>
    <hyperlink r:id="rId740" ref="U281"/>
    <hyperlink r:id="rId741" ref="B282"/>
    <hyperlink r:id="rId742" ref="T282"/>
    <hyperlink r:id="rId743" ref="U282"/>
    <hyperlink r:id="rId744" ref="B283"/>
    <hyperlink r:id="rId745" ref="T283"/>
    <hyperlink r:id="rId746" ref="U283"/>
    <hyperlink r:id="rId747" ref="B284"/>
    <hyperlink r:id="rId748" ref="T284"/>
    <hyperlink r:id="rId749" ref="U284"/>
    <hyperlink r:id="rId750" ref="B285"/>
    <hyperlink r:id="rId751" ref="T285"/>
    <hyperlink r:id="rId752" ref="U285"/>
    <hyperlink r:id="rId753" ref="B286"/>
    <hyperlink r:id="rId754" ref="T286"/>
    <hyperlink r:id="rId755" ref="U286"/>
    <hyperlink r:id="rId756" ref="B287"/>
    <hyperlink r:id="rId757" ref="T287"/>
    <hyperlink r:id="rId758" ref="U287"/>
    <hyperlink r:id="rId759" ref="B288"/>
    <hyperlink r:id="rId760" ref="T288"/>
    <hyperlink r:id="rId761" ref="U288"/>
    <hyperlink r:id="rId762" ref="B289"/>
    <hyperlink r:id="rId763" ref="T289"/>
    <hyperlink r:id="rId764" ref="U289"/>
    <hyperlink r:id="rId765" ref="B290"/>
    <hyperlink r:id="rId766" ref="T290"/>
    <hyperlink r:id="rId767" ref="U290"/>
    <hyperlink r:id="rId768" ref="B291"/>
    <hyperlink r:id="rId769" ref="T291"/>
    <hyperlink r:id="rId770" ref="U291"/>
    <hyperlink r:id="rId771" ref="B292"/>
    <hyperlink r:id="rId772" ref="T292"/>
    <hyperlink r:id="rId773" ref="U292"/>
    <hyperlink r:id="rId774" ref="B293"/>
    <hyperlink r:id="rId775" ref="T293"/>
    <hyperlink r:id="rId776" ref="U293"/>
    <hyperlink r:id="rId777" ref="B294"/>
    <hyperlink r:id="rId778" ref="T294"/>
    <hyperlink r:id="rId779" ref="U294"/>
    <hyperlink r:id="rId780" ref="B295"/>
    <hyperlink r:id="rId781" ref="T295"/>
    <hyperlink r:id="rId782" ref="U295"/>
    <hyperlink r:id="rId783" ref="B296"/>
    <hyperlink r:id="rId784" ref="T296"/>
    <hyperlink r:id="rId785" ref="U296"/>
    <hyperlink r:id="rId786" ref="B297"/>
    <hyperlink r:id="rId787" ref="T297"/>
    <hyperlink r:id="rId788" ref="U297"/>
    <hyperlink r:id="rId789" ref="B298"/>
    <hyperlink r:id="rId790" ref="T298"/>
    <hyperlink r:id="rId791" ref="U298"/>
    <hyperlink r:id="rId792" ref="B299"/>
    <hyperlink r:id="rId793" ref="T299"/>
    <hyperlink r:id="rId794" ref="U299"/>
    <hyperlink r:id="rId795" ref="B300"/>
    <hyperlink r:id="rId796" ref="T300"/>
    <hyperlink r:id="rId797" ref="U300"/>
    <hyperlink r:id="rId798" ref="B301"/>
    <hyperlink r:id="rId799" ref="T301"/>
    <hyperlink r:id="rId800" ref="U301"/>
    <hyperlink r:id="rId801" ref="B302"/>
    <hyperlink r:id="rId802" ref="T302"/>
    <hyperlink r:id="rId803" ref="U302"/>
    <hyperlink r:id="rId804" ref="B303"/>
    <hyperlink r:id="rId805" ref="T303"/>
    <hyperlink r:id="rId806" ref="U303"/>
    <hyperlink r:id="rId807" ref="B304"/>
    <hyperlink r:id="rId808" ref="T304"/>
    <hyperlink r:id="rId809" ref="U304"/>
    <hyperlink r:id="rId810" ref="B305"/>
    <hyperlink r:id="rId811" ref="T305"/>
    <hyperlink r:id="rId812" ref="U305"/>
    <hyperlink r:id="rId813" ref="B306"/>
    <hyperlink r:id="rId814" ref="T306"/>
    <hyperlink r:id="rId815" ref="U306"/>
    <hyperlink r:id="rId816" ref="B307"/>
    <hyperlink r:id="rId817" ref="T307"/>
    <hyperlink r:id="rId818" ref="U307"/>
    <hyperlink r:id="rId819" ref="B308"/>
    <hyperlink r:id="rId820" ref="T308"/>
    <hyperlink r:id="rId821" ref="U308"/>
    <hyperlink r:id="rId822" ref="B309"/>
    <hyperlink r:id="rId823" ref="T309"/>
    <hyperlink r:id="rId824" ref="U309"/>
    <hyperlink r:id="rId825" ref="B310"/>
    <hyperlink r:id="rId826" ref="T310"/>
    <hyperlink r:id="rId827" ref="U310"/>
    <hyperlink r:id="rId828" ref="B311"/>
    <hyperlink r:id="rId829" ref="T311"/>
    <hyperlink r:id="rId830" ref="U311"/>
    <hyperlink r:id="rId831" ref="B312"/>
    <hyperlink r:id="rId832" ref="T312"/>
    <hyperlink r:id="rId833" ref="U312"/>
    <hyperlink r:id="rId834" ref="B313"/>
    <hyperlink r:id="rId835" ref="T313"/>
    <hyperlink r:id="rId836" ref="U313"/>
    <hyperlink r:id="rId837" ref="B314"/>
    <hyperlink r:id="rId838" ref="T314"/>
    <hyperlink r:id="rId839" ref="U314"/>
    <hyperlink r:id="rId840" ref="B315"/>
    <hyperlink r:id="rId841" ref="T315"/>
    <hyperlink r:id="rId842" ref="U315"/>
    <hyperlink r:id="rId843" ref="B316"/>
    <hyperlink r:id="rId844" ref="T316"/>
    <hyperlink r:id="rId845" ref="U316"/>
    <hyperlink r:id="rId846" ref="B317"/>
    <hyperlink r:id="rId847" ref="T317"/>
    <hyperlink r:id="rId848" ref="U317"/>
    <hyperlink r:id="rId849" ref="B318"/>
    <hyperlink r:id="rId850" ref="T318"/>
    <hyperlink r:id="rId851" ref="U318"/>
    <hyperlink r:id="rId852" ref="B319"/>
    <hyperlink r:id="rId853" ref="T319"/>
    <hyperlink r:id="rId854" ref="U319"/>
    <hyperlink r:id="rId855" ref="B320"/>
    <hyperlink r:id="rId856" ref="T320"/>
    <hyperlink r:id="rId857" ref="U320"/>
    <hyperlink r:id="rId858" ref="B321"/>
    <hyperlink r:id="rId859" ref="T321"/>
    <hyperlink r:id="rId860" ref="U321"/>
    <hyperlink r:id="rId861" ref="B322"/>
    <hyperlink r:id="rId862" ref="T322"/>
    <hyperlink r:id="rId863" ref="U322"/>
    <hyperlink r:id="rId864" ref="B323"/>
    <hyperlink r:id="rId865" ref="T323"/>
    <hyperlink r:id="rId866" ref="U323"/>
    <hyperlink r:id="rId867" ref="B324"/>
    <hyperlink r:id="rId868" ref="T324"/>
    <hyperlink r:id="rId869" ref="U324"/>
    <hyperlink r:id="rId870" ref="B325"/>
    <hyperlink r:id="rId871" ref="T325"/>
    <hyperlink r:id="rId872" ref="U325"/>
    <hyperlink r:id="rId873" ref="B326"/>
    <hyperlink r:id="rId874" ref="T326"/>
    <hyperlink r:id="rId875" ref="U326"/>
    <hyperlink r:id="rId876" ref="B327"/>
    <hyperlink r:id="rId877" ref="T327"/>
    <hyperlink r:id="rId878" ref="U327"/>
    <hyperlink r:id="rId879" ref="B328"/>
    <hyperlink r:id="rId880" ref="T328"/>
    <hyperlink r:id="rId881" ref="U328"/>
    <hyperlink r:id="rId882" ref="B329"/>
    <hyperlink r:id="rId883" ref="T329"/>
    <hyperlink r:id="rId884" ref="U329"/>
    <hyperlink r:id="rId885" ref="B330"/>
    <hyperlink r:id="rId886" ref="T330"/>
    <hyperlink r:id="rId887" ref="U330"/>
    <hyperlink r:id="rId888" ref="B331"/>
    <hyperlink r:id="rId889" ref="T331"/>
    <hyperlink r:id="rId890" ref="U331"/>
    <hyperlink r:id="rId891" ref="B332"/>
    <hyperlink r:id="rId892" ref="T332"/>
    <hyperlink r:id="rId893" ref="U332"/>
    <hyperlink r:id="rId894" ref="B333"/>
    <hyperlink r:id="rId895" ref="T333"/>
    <hyperlink r:id="rId896" ref="U333"/>
    <hyperlink r:id="rId897" ref="B334"/>
    <hyperlink r:id="rId898" ref="T334"/>
    <hyperlink r:id="rId899" ref="U334"/>
    <hyperlink r:id="rId900" ref="B335"/>
    <hyperlink r:id="rId901" ref="T335"/>
    <hyperlink r:id="rId902" ref="U335"/>
    <hyperlink r:id="rId903" ref="B336"/>
    <hyperlink r:id="rId904" ref="T336"/>
    <hyperlink r:id="rId905" ref="U336"/>
    <hyperlink r:id="rId906" ref="B337"/>
    <hyperlink r:id="rId907" ref="T337"/>
    <hyperlink r:id="rId908" ref="U337"/>
    <hyperlink r:id="rId909" ref="B338"/>
    <hyperlink r:id="rId910" ref="T338"/>
    <hyperlink r:id="rId911" ref="U338"/>
    <hyperlink r:id="rId912" ref="B339"/>
    <hyperlink r:id="rId913" ref="T339"/>
    <hyperlink r:id="rId914" ref="U339"/>
    <hyperlink r:id="rId915" ref="B340"/>
    <hyperlink r:id="rId916" ref="T340"/>
    <hyperlink r:id="rId917" ref="U340"/>
    <hyperlink r:id="rId918" ref="B341"/>
    <hyperlink r:id="rId919" ref="T341"/>
    <hyperlink r:id="rId920" ref="U341"/>
    <hyperlink r:id="rId921" ref="B342"/>
    <hyperlink r:id="rId922" ref="T342"/>
    <hyperlink r:id="rId923" ref="U342"/>
    <hyperlink r:id="rId924" ref="B343"/>
    <hyperlink r:id="rId925" ref="T343"/>
    <hyperlink r:id="rId926" ref="U343"/>
    <hyperlink r:id="rId927" ref="B344"/>
    <hyperlink r:id="rId928" ref="T344"/>
    <hyperlink r:id="rId929" ref="U344"/>
    <hyperlink r:id="rId930" ref="B345"/>
    <hyperlink r:id="rId931" ref="T345"/>
    <hyperlink r:id="rId932" ref="U345"/>
  </hyperlinks>
  <drawing r:id="rId93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13" t="s">
        <v>4114</v>
      </c>
      <c r="E1" s="201" t="s">
        <v>4116</v>
      </c>
    </row>
    <row r="2">
      <c r="E2" s="202" t="s">
        <v>4120</v>
      </c>
    </row>
    <row r="3">
      <c r="E3" s="202" t="s">
        <v>4121</v>
      </c>
    </row>
    <row r="4">
      <c r="A4" s="84" t="str">
        <f t="array" ref="A4:A200">UNIQUE(MID(UNIQUE(INDIRECT($B$1)),IFERROR(SEARCH("(",UNIQUE(INDIRECT($B$1)))+1,1),IFERROR(SEARCH(")",UNIQUE(INDIRECT($B$1)))- SEARCH("(",UNIQUE(INDIRECT($B$1)))-1,999)))</f>
        <v>cxd</v>
      </c>
      <c r="E4" s="202" t="s">
        <v>4137</v>
      </c>
    </row>
    <row r="5">
      <c r="A5" s="84" t="s">
        <v>199</v>
      </c>
      <c r="E5" s="202" t="s">
        <v>4138</v>
      </c>
    </row>
    <row r="6">
      <c r="A6" s="84" t="s">
        <v>4139</v>
      </c>
      <c r="E6" s="202" t="s">
        <v>4140</v>
      </c>
    </row>
    <row r="7">
      <c r="A7" s="84" t="s">
        <v>4141</v>
      </c>
      <c r="E7" s="202" t="s">
        <v>4142</v>
      </c>
    </row>
    <row r="8">
      <c r="A8" s="84" t="s">
        <v>4143</v>
      </c>
      <c r="E8" s="202" t="s">
        <v>4144</v>
      </c>
    </row>
    <row r="9">
      <c r="A9" s="84" t="s">
        <v>4145</v>
      </c>
      <c r="E9" s="202" t="s">
        <v>4146</v>
      </c>
    </row>
    <row r="10">
      <c r="A10" s="84" t="s">
        <v>4147</v>
      </c>
      <c r="E10" s="202" t="s">
        <v>4149</v>
      </c>
    </row>
    <row r="11">
      <c r="A11" s="84" t="s">
        <v>4150</v>
      </c>
      <c r="E11" s="202" t="s">
        <v>4151</v>
      </c>
    </row>
    <row r="12">
      <c r="A12" s="84" t="s">
        <v>3092</v>
      </c>
      <c r="E12" s="202" t="s">
        <v>4152</v>
      </c>
    </row>
    <row r="13">
      <c r="A13" s="84" t="s">
        <v>4153</v>
      </c>
      <c r="E13" s="202" t="s">
        <v>4154</v>
      </c>
    </row>
    <row r="14">
      <c r="A14" s="84" t="s">
        <v>129</v>
      </c>
      <c r="E14" s="202" t="s">
        <v>4155</v>
      </c>
    </row>
    <row r="15">
      <c r="A15" s="84" t="s">
        <v>465</v>
      </c>
      <c r="E15" s="202" t="s">
        <v>4156</v>
      </c>
    </row>
    <row r="16">
      <c r="A16" s="84" t="s">
        <v>4157</v>
      </c>
      <c r="E16" s="202" t="s">
        <v>4158</v>
      </c>
    </row>
    <row r="17">
      <c r="A17" s="84" t="s">
        <v>4160</v>
      </c>
      <c r="E17" s="202" t="s">
        <v>4162</v>
      </c>
    </row>
    <row r="18">
      <c r="A18" s="84" t="s">
        <v>4163</v>
      </c>
      <c r="E18" s="202" t="s">
        <v>4164</v>
      </c>
    </row>
    <row r="19">
      <c r="A19" s="84" t="s">
        <v>4165</v>
      </c>
      <c r="E19" s="202" t="s">
        <v>4166</v>
      </c>
    </row>
    <row r="20">
      <c r="A20" s="84" t="s">
        <v>4167</v>
      </c>
      <c r="E20" s="202" t="s">
        <v>4168</v>
      </c>
    </row>
    <row r="21">
      <c r="A21" s="84" t="s">
        <v>4169</v>
      </c>
      <c r="E21" s="202" t="s">
        <v>4170</v>
      </c>
    </row>
    <row r="22">
      <c r="A22" s="84" t="s">
        <v>469</v>
      </c>
      <c r="E22" s="202" t="s">
        <v>4171</v>
      </c>
    </row>
    <row r="23">
      <c r="A23" s="84" t="s">
        <v>4172</v>
      </c>
      <c r="E23" s="202" t="s">
        <v>4173</v>
      </c>
    </row>
    <row r="24">
      <c r="A24" s="84" t="s">
        <v>4174</v>
      </c>
      <c r="E24" s="202" t="s">
        <v>4175</v>
      </c>
    </row>
    <row r="25">
      <c r="A25" s="84" t="s">
        <v>4176</v>
      </c>
      <c r="E25" s="202" t="s">
        <v>4177</v>
      </c>
    </row>
    <row r="26">
      <c r="A26" s="84" t="s">
        <v>4178</v>
      </c>
      <c r="E26" s="202" t="s">
        <v>4180</v>
      </c>
    </row>
    <row r="27">
      <c r="A27" s="84" t="s">
        <v>4182</v>
      </c>
      <c r="E27" s="202" t="s">
        <v>4183</v>
      </c>
    </row>
    <row r="28">
      <c r="A28" s="84" t="s">
        <v>4184</v>
      </c>
      <c r="E28" s="202" t="s">
        <v>4185</v>
      </c>
    </row>
    <row r="29">
      <c r="A29" s="84" t="s">
        <v>4186</v>
      </c>
      <c r="E29" s="202" t="s">
        <v>4188</v>
      </c>
    </row>
    <row r="30">
      <c r="A30" s="84" t="s">
        <v>4189</v>
      </c>
      <c r="E30" s="202" t="s">
        <v>4190</v>
      </c>
    </row>
    <row r="31">
      <c r="A31" s="84" t="s">
        <v>4191</v>
      </c>
      <c r="E31" s="202" t="s">
        <v>4192</v>
      </c>
    </row>
    <row r="32">
      <c r="A32" s="84" t="s">
        <v>4193</v>
      </c>
      <c r="E32" s="202" t="s">
        <v>4194</v>
      </c>
    </row>
    <row r="33">
      <c r="A33" s="84" t="s">
        <v>4195</v>
      </c>
      <c r="E33" s="202" t="s">
        <v>4196</v>
      </c>
    </row>
    <row r="34">
      <c r="A34" s="84" t="s">
        <v>303</v>
      </c>
      <c r="E34" s="202" t="s">
        <v>4197</v>
      </c>
    </row>
    <row r="35">
      <c r="A35" s="84" t="s">
        <v>4198</v>
      </c>
      <c r="E35" s="202" t="s">
        <v>4199</v>
      </c>
    </row>
    <row r="36">
      <c r="A36" s="84" t="s">
        <v>112</v>
      </c>
      <c r="E36" s="202" t="s">
        <v>4200</v>
      </c>
    </row>
    <row r="37">
      <c r="A37" s="84" t="s">
        <v>4201</v>
      </c>
      <c r="E37" s="202" t="s">
        <v>4202</v>
      </c>
    </row>
    <row r="38">
      <c r="A38" s="84" t="s">
        <v>4203</v>
      </c>
      <c r="E38" s="202" t="s">
        <v>4204</v>
      </c>
    </row>
    <row r="39">
      <c r="A39" s="84" t="s">
        <v>4205</v>
      </c>
      <c r="E39" s="202" t="s">
        <v>4206</v>
      </c>
    </row>
    <row r="40">
      <c r="A40" s="84" t="s">
        <v>4207</v>
      </c>
      <c r="E40" s="202" t="s">
        <v>4208</v>
      </c>
    </row>
    <row r="41">
      <c r="A41" s="84" t="s">
        <v>444</v>
      </c>
      <c r="E41" s="202" t="s">
        <v>4209</v>
      </c>
    </row>
    <row r="42">
      <c r="A42" s="84" t="s">
        <v>4210</v>
      </c>
      <c r="E42" s="202" t="s">
        <v>4211</v>
      </c>
    </row>
    <row r="43">
      <c r="A43" s="84" t="s">
        <v>4212</v>
      </c>
      <c r="E43" s="202" t="s">
        <v>4213</v>
      </c>
    </row>
    <row r="44">
      <c r="A44" s="84" t="s">
        <v>4214</v>
      </c>
      <c r="E44" s="202" t="s">
        <v>4215</v>
      </c>
    </row>
    <row r="45">
      <c r="A45" s="84" t="s">
        <v>4216</v>
      </c>
      <c r="E45" s="202" t="s">
        <v>4217</v>
      </c>
    </row>
    <row r="46">
      <c r="A46" s="84" t="s">
        <v>4218</v>
      </c>
      <c r="E46" s="202" t="s">
        <v>4220</v>
      </c>
    </row>
    <row r="47">
      <c r="A47" s="84" t="s">
        <v>4221</v>
      </c>
      <c r="E47" s="202" t="s">
        <v>4222</v>
      </c>
    </row>
    <row r="48">
      <c r="A48" s="84" t="s">
        <v>4223</v>
      </c>
      <c r="E48" s="202" t="s">
        <v>4224</v>
      </c>
    </row>
    <row r="49">
      <c r="A49" s="84" t="s">
        <v>4225</v>
      </c>
      <c r="E49" s="202" t="s">
        <v>4226</v>
      </c>
    </row>
    <row r="50">
      <c r="A50" s="84" t="s">
        <v>4227</v>
      </c>
      <c r="E50" s="202" t="s">
        <v>4228</v>
      </c>
    </row>
    <row r="51">
      <c r="A51" s="84" t="s">
        <v>461</v>
      </c>
      <c r="E51" s="202" t="s">
        <v>4229</v>
      </c>
    </row>
    <row r="52">
      <c r="A52" s="84" t="s">
        <v>1104</v>
      </c>
      <c r="E52" s="202" t="s">
        <v>4230</v>
      </c>
    </row>
    <row r="53">
      <c r="A53" s="84" t="s">
        <v>4231</v>
      </c>
      <c r="E53" s="202" t="s">
        <v>4232</v>
      </c>
    </row>
    <row r="54">
      <c r="A54" s="84" t="s">
        <v>4233</v>
      </c>
      <c r="E54" s="202" t="s">
        <v>4234</v>
      </c>
    </row>
    <row r="55">
      <c r="A55" s="84" t="s">
        <v>4235</v>
      </c>
      <c r="E55" s="202" t="s">
        <v>4236</v>
      </c>
    </row>
    <row r="56">
      <c r="A56" s="84" t="s">
        <v>4237</v>
      </c>
      <c r="E56" s="202" t="s">
        <v>4238</v>
      </c>
    </row>
    <row r="57">
      <c r="A57" s="84" t="s">
        <v>4239</v>
      </c>
      <c r="E57" s="202" t="s">
        <v>4240</v>
      </c>
    </row>
    <row r="58">
      <c r="A58" s="84" t="s">
        <v>4241</v>
      </c>
      <c r="E58" s="202" t="s">
        <v>4242</v>
      </c>
    </row>
    <row r="59">
      <c r="A59" s="84" t="s">
        <v>4243</v>
      </c>
      <c r="E59" s="202" t="s">
        <v>4244</v>
      </c>
    </row>
    <row r="60">
      <c r="A60" s="84" t="s">
        <v>4246</v>
      </c>
      <c r="E60" s="202" t="s">
        <v>4247</v>
      </c>
    </row>
    <row r="61">
      <c r="A61" s="84" t="s">
        <v>4248</v>
      </c>
      <c r="E61" s="202" t="s">
        <v>4249</v>
      </c>
    </row>
    <row r="62">
      <c r="A62" s="84" t="s">
        <v>4250</v>
      </c>
      <c r="E62" s="202" t="s">
        <v>4251</v>
      </c>
    </row>
    <row r="63">
      <c r="A63" s="84" t="s">
        <v>4252</v>
      </c>
      <c r="E63" s="202" t="s">
        <v>4253</v>
      </c>
    </row>
    <row r="64">
      <c r="A64" s="84" t="s">
        <v>4254</v>
      </c>
      <c r="E64" s="202" t="s">
        <v>4255</v>
      </c>
    </row>
    <row r="65">
      <c r="A65" s="84" t="s">
        <v>272</v>
      </c>
      <c r="E65" s="202" t="s">
        <v>4256</v>
      </c>
    </row>
    <row r="66">
      <c r="A66" s="84" t="s">
        <v>4257</v>
      </c>
      <c r="E66" s="202" t="s">
        <v>4258</v>
      </c>
    </row>
    <row r="67">
      <c r="A67" s="84" t="s">
        <v>4259</v>
      </c>
      <c r="E67" s="202" t="s">
        <v>4260</v>
      </c>
    </row>
    <row r="68">
      <c r="A68" s="84" t="s">
        <v>4261</v>
      </c>
      <c r="E68" s="202" t="s">
        <v>4262</v>
      </c>
    </row>
    <row r="69">
      <c r="A69" s="84" t="s">
        <v>4263</v>
      </c>
      <c r="E69" s="202" t="s">
        <v>4264</v>
      </c>
    </row>
    <row r="70">
      <c r="A70" s="84" t="s">
        <v>258</v>
      </c>
      <c r="E70" s="202" t="s">
        <v>4265</v>
      </c>
    </row>
    <row r="71">
      <c r="A71" s="84" t="s">
        <v>4266</v>
      </c>
      <c r="E71" s="202" t="s">
        <v>4267</v>
      </c>
    </row>
    <row r="72">
      <c r="A72" s="84" t="s">
        <v>4268</v>
      </c>
      <c r="E72" s="202" t="s">
        <v>4270</v>
      </c>
    </row>
    <row r="73">
      <c r="A73" s="84" t="s">
        <v>4271</v>
      </c>
      <c r="E73" s="202" t="s">
        <v>4272</v>
      </c>
    </row>
    <row r="74">
      <c r="A74" s="84" t="s">
        <v>4274</v>
      </c>
      <c r="E74" s="202" t="s">
        <v>4276</v>
      </c>
    </row>
    <row r="75">
      <c r="A75" s="84" t="s">
        <v>4277</v>
      </c>
      <c r="E75" s="202" t="s">
        <v>4278</v>
      </c>
    </row>
    <row r="76">
      <c r="A76" s="84" t="s">
        <v>4279</v>
      </c>
      <c r="E76" s="202" t="s">
        <v>4280</v>
      </c>
    </row>
    <row r="77">
      <c r="A77" s="84" t="s">
        <v>4281</v>
      </c>
      <c r="E77" s="202" t="s">
        <v>4282</v>
      </c>
    </row>
    <row r="78">
      <c r="A78" s="84" t="s">
        <v>4283</v>
      </c>
      <c r="E78" s="202" t="s">
        <v>4284</v>
      </c>
    </row>
    <row r="79">
      <c r="A79" s="84" t="s">
        <v>4285</v>
      </c>
      <c r="E79" s="202" t="s">
        <v>4286</v>
      </c>
    </row>
    <row r="80">
      <c r="A80" s="84" t="s">
        <v>1166</v>
      </c>
      <c r="E80" s="202" t="s">
        <v>4287</v>
      </c>
    </row>
    <row r="81">
      <c r="A81" s="84" t="s">
        <v>4288</v>
      </c>
      <c r="E81" s="202" t="s">
        <v>4289</v>
      </c>
    </row>
    <row r="82">
      <c r="A82" s="84" t="s">
        <v>616</v>
      </c>
      <c r="E82" s="202" t="s">
        <v>4290</v>
      </c>
    </row>
    <row r="83">
      <c r="A83" s="84" t="s">
        <v>280</v>
      </c>
      <c r="E83" s="202" t="s">
        <v>4291</v>
      </c>
    </row>
    <row r="84">
      <c r="A84" s="84" t="s">
        <v>4292</v>
      </c>
      <c r="E84" s="202" t="s">
        <v>4293</v>
      </c>
    </row>
    <row r="85">
      <c r="A85" s="84" t="s">
        <v>4294</v>
      </c>
      <c r="E85" s="202" t="s">
        <v>4295</v>
      </c>
    </row>
    <row r="86">
      <c r="A86" s="84" t="s">
        <v>3556</v>
      </c>
      <c r="E86" s="202" t="s">
        <v>4296</v>
      </c>
    </row>
    <row r="87">
      <c r="A87" s="84" t="s">
        <v>4297</v>
      </c>
      <c r="E87" s="202" t="s">
        <v>4298</v>
      </c>
    </row>
    <row r="88">
      <c r="A88" s="84" t="s">
        <v>514</v>
      </c>
      <c r="E88" s="202" t="s">
        <v>4301</v>
      </c>
    </row>
    <row r="89">
      <c r="A89" s="84" t="s">
        <v>4302</v>
      </c>
      <c r="E89" s="202" t="s">
        <v>4303</v>
      </c>
    </row>
    <row r="90">
      <c r="A90" s="84" t="s">
        <v>133</v>
      </c>
      <c r="E90" s="202" t="s">
        <v>4304</v>
      </c>
    </row>
    <row r="91">
      <c r="A91" s="84" t="s">
        <v>4305</v>
      </c>
      <c r="E91" s="202" t="s">
        <v>4306</v>
      </c>
    </row>
    <row r="92">
      <c r="A92" s="84" t="s">
        <v>549</v>
      </c>
      <c r="E92" s="202" t="s">
        <v>4307</v>
      </c>
    </row>
    <row r="93">
      <c r="A93" s="84" t="s">
        <v>4308</v>
      </c>
      <c r="E93" s="202" t="s">
        <v>4309</v>
      </c>
    </row>
    <row r="94">
      <c r="A94" s="84" t="s">
        <v>4310</v>
      </c>
      <c r="E94" s="202" t="s">
        <v>4311</v>
      </c>
    </row>
    <row r="95">
      <c r="A95" s="84" t="s">
        <v>625</v>
      </c>
      <c r="E95" s="202" t="s">
        <v>4312</v>
      </c>
    </row>
    <row r="96">
      <c r="A96" s="84" t="s">
        <v>4313</v>
      </c>
      <c r="E96" s="202" t="s">
        <v>4314</v>
      </c>
    </row>
    <row r="97">
      <c r="A97" s="84" t="s">
        <v>4316</v>
      </c>
      <c r="E97" s="202" t="s">
        <v>4317</v>
      </c>
    </row>
    <row r="98">
      <c r="A98" s="84" t="s">
        <v>4318</v>
      </c>
      <c r="E98" s="202" t="s">
        <v>4319</v>
      </c>
    </row>
    <row r="99">
      <c r="A99" s="84" t="s">
        <v>518</v>
      </c>
      <c r="E99" s="202" t="s">
        <v>4320</v>
      </c>
    </row>
    <row r="100">
      <c r="A100" s="84" t="s">
        <v>4321</v>
      </c>
      <c r="E100" s="202" t="s">
        <v>4322</v>
      </c>
    </row>
    <row r="101">
      <c r="A101" s="84" t="s">
        <v>4323</v>
      </c>
      <c r="E101" s="202" t="s">
        <v>4324</v>
      </c>
    </row>
    <row r="102">
      <c r="A102" s="84" t="s">
        <v>4325</v>
      </c>
      <c r="E102" s="202" t="s">
        <v>4326</v>
      </c>
    </row>
    <row r="103">
      <c r="A103" s="84" t="s">
        <v>4327</v>
      </c>
      <c r="E103" s="202" t="s">
        <v>4328</v>
      </c>
    </row>
    <row r="104">
      <c r="A104" s="84" t="s">
        <v>4329</v>
      </c>
      <c r="E104" s="202" t="s">
        <v>4330</v>
      </c>
    </row>
    <row r="105">
      <c r="A105" s="84" t="s">
        <v>4331</v>
      </c>
      <c r="E105" s="202" t="s">
        <v>4332</v>
      </c>
    </row>
    <row r="106">
      <c r="A106" s="84" t="s">
        <v>4333</v>
      </c>
      <c r="E106" s="202" t="s">
        <v>4334</v>
      </c>
    </row>
    <row r="107">
      <c r="A107" s="84" t="s">
        <v>4335</v>
      </c>
      <c r="E107" s="202" t="s">
        <v>4336</v>
      </c>
    </row>
    <row r="108">
      <c r="A108" s="84" t="s">
        <v>4337</v>
      </c>
      <c r="E108" s="202" t="s">
        <v>4338</v>
      </c>
    </row>
    <row r="109">
      <c r="A109" s="84" t="s">
        <v>4339</v>
      </c>
      <c r="E109" s="202" t="s">
        <v>4340</v>
      </c>
    </row>
    <row r="110">
      <c r="A110" s="84" t="s">
        <v>182</v>
      </c>
      <c r="E110" s="202" t="s">
        <v>4341</v>
      </c>
    </row>
    <row r="111">
      <c r="A111" s="84" t="s">
        <v>4342</v>
      </c>
      <c r="E111" s="202" t="s">
        <v>4343</v>
      </c>
    </row>
    <row r="112">
      <c r="A112" s="84" t="s">
        <v>4344</v>
      </c>
      <c r="E112" s="202" t="s">
        <v>4345</v>
      </c>
    </row>
    <row r="113">
      <c r="A113" s="84" t="s">
        <v>4347</v>
      </c>
      <c r="E113" s="202" t="s">
        <v>4348</v>
      </c>
    </row>
    <row r="114">
      <c r="A114" s="84" t="s">
        <v>4349</v>
      </c>
      <c r="E114" s="202" t="s">
        <v>4351</v>
      </c>
    </row>
    <row r="115">
      <c r="A115" s="84" t="s">
        <v>4352</v>
      </c>
      <c r="E115" s="202" t="s">
        <v>4353</v>
      </c>
    </row>
    <row r="116">
      <c r="A116" s="84" t="s">
        <v>4354</v>
      </c>
      <c r="E116" s="202" t="s">
        <v>4355</v>
      </c>
    </row>
    <row r="117">
      <c r="A117" s="84" t="s">
        <v>311</v>
      </c>
      <c r="E117" s="202" t="s">
        <v>4356</v>
      </c>
    </row>
    <row r="118">
      <c r="A118" s="84" t="s">
        <v>4357</v>
      </c>
      <c r="E118" s="202" t="s">
        <v>4358</v>
      </c>
    </row>
    <row r="119">
      <c r="A119" s="84" t="s">
        <v>4359</v>
      </c>
      <c r="E119" s="202" t="s">
        <v>4360</v>
      </c>
    </row>
    <row r="120">
      <c r="A120" s="84" t="s">
        <v>4361</v>
      </c>
      <c r="E120" s="202" t="s">
        <v>4362</v>
      </c>
    </row>
    <row r="121">
      <c r="A121" s="84" t="s">
        <v>4363</v>
      </c>
      <c r="E121" s="202" t="s">
        <v>4364</v>
      </c>
    </row>
    <row r="122">
      <c r="A122" s="84" t="s">
        <v>4365</v>
      </c>
      <c r="E122" s="202" t="s">
        <v>4366</v>
      </c>
    </row>
    <row r="123">
      <c r="A123" s="84" t="s">
        <v>4367</v>
      </c>
      <c r="E123" s="202" t="s">
        <v>4368</v>
      </c>
    </row>
    <row r="124">
      <c r="A124" s="84" t="s">
        <v>4369</v>
      </c>
      <c r="E124" s="202" t="s">
        <v>4370</v>
      </c>
    </row>
    <row r="125">
      <c r="A125" s="84" t="s">
        <v>584</v>
      </c>
      <c r="E125" s="202" t="s">
        <v>4371</v>
      </c>
    </row>
    <row r="126">
      <c r="A126" s="84" t="s">
        <v>4372</v>
      </c>
      <c r="E126" s="202" t="s">
        <v>4373</v>
      </c>
    </row>
    <row r="127">
      <c r="A127" s="84" t="s">
        <v>4375</v>
      </c>
      <c r="E127" s="202" t="s">
        <v>4377</v>
      </c>
    </row>
    <row r="128">
      <c r="A128" s="84" t="s">
        <v>4378</v>
      </c>
      <c r="E128" s="202" t="s">
        <v>4379</v>
      </c>
    </row>
    <row r="129">
      <c r="A129" s="84" t="s">
        <v>3465</v>
      </c>
      <c r="E129" s="202" t="s">
        <v>4380</v>
      </c>
    </row>
    <row r="130">
      <c r="A130" s="84" t="s">
        <v>119</v>
      </c>
      <c r="E130" s="202" t="s">
        <v>4381</v>
      </c>
    </row>
    <row r="131">
      <c r="A131" s="84" t="s">
        <v>4382</v>
      </c>
      <c r="E131" s="202" t="s">
        <v>4383</v>
      </c>
    </row>
    <row r="132">
      <c r="A132" s="84" t="s">
        <v>4384</v>
      </c>
      <c r="E132" s="202" t="s">
        <v>4385</v>
      </c>
    </row>
    <row r="133">
      <c r="A133" s="84" t="s">
        <v>4386</v>
      </c>
      <c r="E133" s="202" t="s">
        <v>4387</v>
      </c>
    </row>
    <row r="134">
      <c r="A134" s="84" t="s">
        <v>3457</v>
      </c>
      <c r="E134" s="202" t="s">
        <v>4388</v>
      </c>
    </row>
    <row r="135">
      <c r="A135" s="84" t="s">
        <v>4389</v>
      </c>
      <c r="E135" s="202" t="s">
        <v>4390</v>
      </c>
    </row>
    <row r="136">
      <c r="A136" s="84" t="s">
        <v>4392</v>
      </c>
      <c r="E136" s="202" t="s">
        <v>4393</v>
      </c>
    </row>
    <row r="137">
      <c r="A137" s="84" t="s">
        <v>4394</v>
      </c>
      <c r="E137" s="202" t="s">
        <v>4395</v>
      </c>
    </row>
    <row r="138">
      <c r="A138" s="84" t="s">
        <v>4396</v>
      </c>
      <c r="E138" s="202" t="s">
        <v>4397</v>
      </c>
    </row>
    <row r="139">
      <c r="A139" s="84" t="s">
        <v>4398</v>
      </c>
      <c r="E139" s="202" t="s">
        <v>4399</v>
      </c>
    </row>
    <row r="140">
      <c r="A140" s="84" t="s">
        <v>4400</v>
      </c>
      <c r="E140" s="202" t="s">
        <v>4401</v>
      </c>
    </row>
    <row r="141">
      <c r="A141" s="84" t="s">
        <v>4402</v>
      </c>
      <c r="E141" s="202" t="s">
        <v>4403</v>
      </c>
    </row>
    <row r="142">
      <c r="A142" s="84" t="s">
        <v>174</v>
      </c>
      <c r="E142" s="202" t="s">
        <v>4404</v>
      </c>
    </row>
    <row r="143">
      <c r="A143" s="84" t="s">
        <v>467</v>
      </c>
      <c r="E143" s="202" t="s">
        <v>4405</v>
      </c>
    </row>
    <row r="144">
      <c r="A144" s="84" t="s">
        <v>471</v>
      </c>
      <c r="E144" s="202" t="s">
        <v>4406</v>
      </c>
    </row>
    <row r="145">
      <c r="A145" s="84" t="s">
        <v>610</v>
      </c>
      <c r="E145" s="202" t="s">
        <v>4407</v>
      </c>
    </row>
    <row r="146">
      <c r="A146" s="84" t="s">
        <v>4408</v>
      </c>
      <c r="E146" s="202" t="s">
        <v>4409</v>
      </c>
    </row>
    <row r="147">
      <c r="A147" s="84" t="s">
        <v>264</v>
      </c>
      <c r="E147" s="202" t="s">
        <v>4410</v>
      </c>
    </row>
    <row r="148">
      <c r="A148" s="84" t="s">
        <v>4411</v>
      </c>
      <c r="E148" s="202" t="s">
        <v>4412</v>
      </c>
    </row>
    <row r="149">
      <c r="A149" s="84" t="s">
        <v>4413</v>
      </c>
      <c r="E149" s="202" t="s">
        <v>4414</v>
      </c>
    </row>
    <row r="150">
      <c r="A150" s="84" t="s">
        <v>4415</v>
      </c>
      <c r="E150" s="202" t="s">
        <v>4416</v>
      </c>
    </row>
    <row r="151">
      <c r="A151" s="84" t="s">
        <v>4417</v>
      </c>
      <c r="E151" s="202" t="s">
        <v>4418</v>
      </c>
    </row>
    <row r="152">
      <c r="A152" s="84" t="s">
        <v>4419</v>
      </c>
      <c r="E152" s="202" t="s">
        <v>4420</v>
      </c>
    </row>
    <row r="153">
      <c r="A153" s="84" t="s">
        <v>4421</v>
      </c>
      <c r="E153" s="202" t="s">
        <v>4422</v>
      </c>
    </row>
    <row r="154">
      <c r="A154" s="84" t="s">
        <v>4423</v>
      </c>
      <c r="E154" s="202" t="s">
        <v>4424</v>
      </c>
    </row>
    <row r="155">
      <c r="A155" s="84" t="s">
        <v>4425</v>
      </c>
      <c r="E155" s="202" t="s">
        <v>4426</v>
      </c>
    </row>
    <row r="156">
      <c r="A156" s="84" t="s">
        <v>4427</v>
      </c>
      <c r="E156" s="202" t="s">
        <v>4428</v>
      </c>
    </row>
    <row r="157">
      <c r="A157" s="84" t="s">
        <v>4430</v>
      </c>
      <c r="E157" s="202" t="s">
        <v>4431</v>
      </c>
    </row>
    <row r="158">
      <c r="A158" s="84" t="s">
        <v>4432</v>
      </c>
      <c r="E158" s="202" t="s">
        <v>4433</v>
      </c>
    </row>
    <row r="159">
      <c r="A159" s="84" t="s">
        <v>4434</v>
      </c>
      <c r="E159" s="202" t="s">
        <v>4435</v>
      </c>
    </row>
    <row r="160">
      <c r="A160" s="84" t="s">
        <v>162</v>
      </c>
      <c r="E160" s="202" t="s">
        <v>4436</v>
      </c>
    </row>
    <row r="161">
      <c r="A161" s="84" t="s">
        <v>4437</v>
      </c>
      <c r="E161" s="202" t="s">
        <v>4438</v>
      </c>
    </row>
    <row r="162">
      <c r="A162" s="84" t="s">
        <v>4439</v>
      </c>
      <c r="E162" s="202" t="s">
        <v>4440</v>
      </c>
    </row>
    <row r="163">
      <c r="A163" s="84" t="s">
        <v>4441</v>
      </c>
      <c r="E163" s="202" t="s">
        <v>4442</v>
      </c>
    </row>
    <row r="164">
      <c r="A164" s="84" t="s">
        <v>4443</v>
      </c>
      <c r="E164" s="202" t="s">
        <v>4444</v>
      </c>
    </row>
    <row r="165">
      <c r="A165" s="84" t="s">
        <v>4445</v>
      </c>
      <c r="E165" s="202" t="s">
        <v>4446</v>
      </c>
    </row>
    <row r="166">
      <c r="A166" s="84" t="s">
        <v>474</v>
      </c>
      <c r="E166" s="202" t="s">
        <v>4447</v>
      </c>
    </row>
    <row r="167">
      <c r="A167" s="84" t="s">
        <v>4448</v>
      </c>
      <c r="E167" s="202" t="s">
        <v>4449</v>
      </c>
    </row>
    <row r="168">
      <c r="A168" s="84" t="s">
        <v>4450</v>
      </c>
      <c r="E168" s="202" t="s">
        <v>4451</v>
      </c>
    </row>
    <row r="169">
      <c r="A169" s="84" t="s">
        <v>4452</v>
      </c>
      <c r="E169" s="202" t="s">
        <v>4453</v>
      </c>
    </row>
    <row r="170">
      <c r="A170" s="84" t="s">
        <v>4454</v>
      </c>
      <c r="E170" s="202" t="s">
        <v>4455</v>
      </c>
    </row>
    <row r="171">
      <c r="A171" s="84" t="s">
        <v>1101</v>
      </c>
      <c r="E171" s="202" t="s">
        <v>4458</v>
      </c>
    </row>
    <row r="172">
      <c r="A172" s="84" t="s">
        <v>236</v>
      </c>
      <c r="E172" s="202" t="s">
        <v>4459</v>
      </c>
    </row>
    <row r="173">
      <c r="A173" s="84" t="s">
        <v>4460</v>
      </c>
      <c r="E173" s="202" t="s">
        <v>4461</v>
      </c>
    </row>
    <row r="174">
      <c r="A174" s="84" t="s">
        <v>164</v>
      </c>
      <c r="E174" s="202" t="s">
        <v>4462</v>
      </c>
    </row>
    <row r="175">
      <c r="A175" s="84" t="s">
        <v>4463</v>
      </c>
      <c r="E175" s="202" t="s">
        <v>4465</v>
      </c>
    </row>
    <row r="176">
      <c r="A176" s="84" t="s">
        <v>4466</v>
      </c>
      <c r="E176" s="202" t="s">
        <v>4467</v>
      </c>
    </row>
    <row r="177">
      <c r="A177" s="84" t="s">
        <v>488</v>
      </c>
      <c r="E177" s="202" t="s">
        <v>4468</v>
      </c>
    </row>
    <row r="178">
      <c r="A178" s="84" t="s">
        <v>4469</v>
      </c>
      <c r="E178" s="202" t="s">
        <v>4470</v>
      </c>
    </row>
    <row r="179">
      <c r="A179" s="84" t="s">
        <v>4471</v>
      </c>
      <c r="E179" s="202" t="s">
        <v>4472</v>
      </c>
    </row>
    <row r="180">
      <c r="A180" s="84" t="s">
        <v>4474</v>
      </c>
      <c r="E180" s="202" t="s">
        <v>4475</v>
      </c>
    </row>
    <row r="181">
      <c r="A181" s="84" t="s">
        <v>4476</v>
      </c>
      <c r="E181" s="202" t="s">
        <v>4477</v>
      </c>
    </row>
    <row r="182">
      <c r="A182" s="84" t="s">
        <v>4478</v>
      </c>
      <c r="E182" s="202" t="s">
        <v>4479</v>
      </c>
    </row>
    <row r="183">
      <c r="A183" s="84" t="s">
        <v>4480</v>
      </c>
      <c r="E183" s="202" t="s">
        <v>4481</v>
      </c>
    </row>
    <row r="184">
      <c r="A184" s="84" t="s">
        <v>4482</v>
      </c>
      <c r="E184" s="202" t="s">
        <v>4483</v>
      </c>
    </row>
    <row r="185">
      <c r="A185" s="84" t="s">
        <v>4484</v>
      </c>
      <c r="E185" s="202" t="s">
        <v>4485</v>
      </c>
    </row>
    <row r="186">
      <c r="A186" s="84" t="s">
        <v>4486</v>
      </c>
      <c r="E186" s="202" t="s">
        <v>4487</v>
      </c>
    </row>
    <row r="187">
      <c r="A187" s="84" t="s">
        <v>397</v>
      </c>
      <c r="E187" s="202" t="s">
        <v>4488</v>
      </c>
    </row>
    <row r="188">
      <c r="A188" s="84" t="s">
        <v>274</v>
      </c>
      <c r="E188" s="202" t="s">
        <v>4489</v>
      </c>
    </row>
    <row r="189">
      <c r="A189" s="84" t="s">
        <v>107</v>
      </c>
      <c r="E189" s="202" t="s">
        <v>4490</v>
      </c>
    </row>
    <row r="190">
      <c r="A190" s="84" t="s">
        <v>4491</v>
      </c>
      <c r="E190" s="202" t="s">
        <v>4492</v>
      </c>
    </row>
    <row r="191">
      <c r="A191" s="84" t="s">
        <v>4493</v>
      </c>
      <c r="E191" s="202" t="s">
        <v>4494</v>
      </c>
    </row>
    <row r="192">
      <c r="A192" s="84" t="s">
        <v>4495</v>
      </c>
      <c r="E192" s="202" t="s">
        <v>4496</v>
      </c>
    </row>
    <row r="193">
      <c r="A193" s="84" t="s">
        <v>4497</v>
      </c>
      <c r="E193" s="202" t="s">
        <v>4498</v>
      </c>
    </row>
    <row r="194">
      <c r="A194" s="84" t="s">
        <v>4499</v>
      </c>
      <c r="E194" s="202" t="s">
        <v>4500</v>
      </c>
    </row>
    <row r="195">
      <c r="A195" s="84" t="s">
        <v>4501</v>
      </c>
      <c r="E195" s="203" t="s">
        <v>4502</v>
      </c>
    </row>
    <row r="196">
      <c r="A196" s="84" t="s">
        <v>4505</v>
      </c>
      <c r="E196" s="203" t="s">
        <v>4506</v>
      </c>
    </row>
    <row r="197">
      <c r="A197" s="84" t="s">
        <v>4507</v>
      </c>
      <c r="E197" s="204" t="s">
        <v>4508</v>
      </c>
    </row>
    <row r="198">
      <c r="A198" s="84" t="s">
        <v>608</v>
      </c>
      <c r="E198" s="204" t="s">
        <v>4509</v>
      </c>
    </row>
    <row r="199">
      <c r="A199" s="84" t="s">
        <v>307</v>
      </c>
      <c r="E199" s="204" t="s">
        <v>4511</v>
      </c>
    </row>
    <row r="200">
      <c r="A200" s="84" t="s">
        <v>4512</v>
      </c>
      <c r="E200" s="204" t="s">
        <v>4513</v>
      </c>
    </row>
    <row r="201">
      <c r="E201" s="204" t="s">
        <v>4514</v>
      </c>
    </row>
    <row r="202">
      <c r="E202" s="204" t="s">
        <v>4515</v>
      </c>
    </row>
    <row r="203">
      <c r="E203" s="204" t="s">
        <v>4516</v>
      </c>
    </row>
    <row r="204">
      <c r="E204" s="204" t="s">
        <v>4517</v>
      </c>
    </row>
    <row r="205">
      <c r="E205" s="204" t="s">
        <v>4518</v>
      </c>
    </row>
    <row r="206">
      <c r="E206" s="204" t="s">
        <v>4519</v>
      </c>
    </row>
    <row r="207">
      <c r="E207" s="204" t="s">
        <v>4520</v>
      </c>
    </row>
    <row r="208">
      <c r="E208" s="204" t="s">
        <v>4521</v>
      </c>
    </row>
    <row r="209">
      <c r="E209" s="204" t="s">
        <v>4522</v>
      </c>
    </row>
    <row r="210">
      <c r="E210" s="204" t="s">
        <v>4523</v>
      </c>
    </row>
    <row r="211">
      <c r="E211" s="204" t="s">
        <v>4524</v>
      </c>
    </row>
    <row r="212">
      <c r="E212" s="204" t="s">
        <v>4525</v>
      </c>
    </row>
    <row r="213">
      <c r="E213" s="204" t="s">
        <v>4526</v>
      </c>
    </row>
    <row r="214">
      <c r="E214" s="204" t="s">
        <v>4527</v>
      </c>
    </row>
    <row r="215">
      <c r="E215" s="204" t="s">
        <v>4528</v>
      </c>
    </row>
    <row r="216">
      <c r="E216" s="204" t="s">
        <v>4529</v>
      </c>
    </row>
    <row r="217">
      <c r="E217" s="204" t="s">
        <v>4530</v>
      </c>
    </row>
    <row r="218">
      <c r="E218" s="204" t="s">
        <v>4531</v>
      </c>
    </row>
    <row r="219">
      <c r="E219" s="204" t="s">
        <v>4532</v>
      </c>
    </row>
    <row r="220">
      <c r="E220" s="204" t="s">
        <v>4534</v>
      </c>
    </row>
    <row r="221">
      <c r="E221" s="204" t="s">
        <v>4535</v>
      </c>
    </row>
    <row r="222">
      <c r="E222" s="204" t="s">
        <v>4536</v>
      </c>
    </row>
    <row r="223">
      <c r="E223" s="204" t="s">
        <v>4537</v>
      </c>
    </row>
    <row r="224">
      <c r="E224" s="204" t="s">
        <v>4538</v>
      </c>
    </row>
    <row r="225">
      <c r="E225" s="204" t="s">
        <v>4540</v>
      </c>
    </row>
    <row r="226">
      <c r="E226" s="204" t="s">
        <v>4542</v>
      </c>
    </row>
    <row r="227">
      <c r="E227" s="204" t="s">
        <v>4543</v>
      </c>
    </row>
    <row r="228">
      <c r="E228" s="204" t="s">
        <v>4544</v>
      </c>
    </row>
    <row r="229">
      <c r="E229" s="204" t="s">
        <v>4545</v>
      </c>
    </row>
    <row r="230">
      <c r="E230" s="204" t="s">
        <v>4546</v>
      </c>
    </row>
    <row r="231">
      <c r="E231" s="204" t="s">
        <v>4547</v>
      </c>
    </row>
    <row r="232">
      <c r="E232" s="204" t="s">
        <v>4548</v>
      </c>
    </row>
    <row r="233">
      <c r="E233" s="204" t="s">
        <v>4549</v>
      </c>
    </row>
    <row r="234">
      <c r="E234" s="204" t="s">
        <v>4551</v>
      </c>
    </row>
    <row r="235">
      <c r="E235" s="204" t="s">
        <v>4552</v>
      </c>
    </row>
    <row r="236">
      <c r="E236" s="204" t="s">
        <v>4553</v>
      </c>
    </row>
    <row r="237">
      <c r="E237" s="204" t="s">
        <v>4554</v>
      </c>
    </row>
    <row r="238">
      <c r="E238" s="204" t="s">
        <v>4555</v>
      </c>
    </row>
    <row r="239">
      <c r="E239" s="204" t="s">
        <v>4556</v>
      </c>
    </row>
    <row r="240">
      <c r="E240" s="204" t="s">
        <v>4557</v>
      </c>
    </row>
    <row r="241">
      <c r="E241" s="204" t="s">
        <v>4558</v>
      </c>
    </row>
    <row r="242">
      <c r="E242" s="204" t="s">
        <v>4559</v>
      </c>
    </row>
    <row r="243">
      <c r="E243" s="204" t="s">
        <v>4560</v>
      </c>
    </row>
    <row r="244">
      <c r="E244" s="204" t="s">
        <v>4561</v>
      </c>
    </row>
    <row r="245">
      <c r="E245" s="204" t="s">
        <v>4562</v>
      </c>
    </row>
    <row r="246">
      <c r="E246" s="204" t="s">
        <v>4563</v>
      </c>
    </row>
    <row r="247">
      <c r="E247" s="204" t="s">
        <v>4564</v>
      </c>
    </row>
    <row r="248">
      <c r="E248" s="204" t="s">
        <v>4566</v>
      </c>
    </row>
    <row r="249">
      <c r="E249" s="204" t="s">
        <v>4567</v>
      </c>
    </row>
    <row r="250">
      <c r="E250" s="204" t="s">
        <v>4568</v>
      </c>
    </row>
    <row r="251">
      <c r="E251" s="204" t="s">
        <v>4569</v>
      </c>
    </row>
    <row r="252">
      <c r="E252" s="204" t="s">
        <v>4570</v>
      </c>
    </row>
    <row r="253">
      <c r="E253" s="204" t="s">
        <v>4571</v>
      </c>
    </row>
    <row r="254">
      <c r="E254" s="204" t="s">
        <v>4572</v>
      </c>
    </row>
    <row r="255">
      <c r="E255" s="204" t="s">
        <v>4573</v>
      </c>
    </row>
    <row r="256">
      <c r="E256" s="204" t="s">
        <v>4574</v>
      </c>
    </row>
    <row r="257">
      <c r="E257" s="204" t="s">
        <v>4575</v>
      </c>
    </row>
    <row r="258">
      <c r="E258" s="204" t="s">
        <v>4576</v>
      </c>
    </row>
    <row r="259">
      <c r="E259" s="204" t="s">
        <v>4577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2.63"/>
    <col customWidth="1" min="2" max="2" width="37.5"/>
    <col customWidth="1" min="5" max="5" width="13.88"/>
    <col customWidth="1" min="9" max="9" width="31.88"/>
    <col customWidth="1" min="17" max="17" width="34.5"/>
    <col customWidth="1" min="18" max="18" width="26.0"/>
    <col customWidth="1" min="20" max="20" width="25.63"/>
  </cols>
  <sheetData>
    <row r="1" hidden="1">
      <c r="A1" s="1"/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/>
      <c r="H1" s="5" t="s">
        <v>6</v>
      </c>
      <c r="I1" s="5" t="s">
        <v>7</v>
      </c>
      <c r="J1" s="5" t="s">
        <v>9</v>
      </c>
      <c r="K1" s="5"/>
      <c r="L1" s="7"/>
      <c r="M1" s="7"/>
      <c r="N1" s="7"/>
      <c r="O1" s="7"/>
      <c r="P1" s="7"/>
      <c r="Q1" s="7"/>
      <c r="R1" s="7"/>
      <c r="S1" s="7"/>
      <c r="T1" s="7"/>
      <c r="U1" s="97"/>
    </row>
    <row r="2" hidden="1">
      <c r="A2" s="1"/>
      <c r="B2" s="10" t="s">
        <v>12</v>
      </c>
      <c r="C2" s="10" t="s">
        <v>8</v>
      </c>
      <c r="D2" s="10" t="s">
        <v>10</v>
      </c>
      <c r="E2" s="10" t="s">
        <v>16</v>
      </c>
      <c r="F2" s="10" t="s">
        <v>17</v>
      </c>
      <c r="G2" s="10"/>
      <c r="H2" s="11" t="s">
        <v>15</v>
      </c>
      <c r="I2" s="10" t="s">
        <v>22</v>
      </c>
      <c r="J2" s="10" t="s">
        <v>1</v>
      </c>
      <c r="K2" s="10"/>
      <c r="L2" s="10" t="s">
        <v>2</v>
      </c>
      <c r="M2" s="10" t="s">
        <v>24</v>
      </c>
      <c r="N2" s="10" t="s">
        <v>4</v>
      </c>
      <c r="O2" s="12" t="s">
        <v>23</v>
      </c>
      <c r="P2" s="10" t="s">
        <v>5</v>
      </c>
      <c r="Q2" s="13" t="s">
        <v>29</v>
      </c>
      <c r="R2" s="13" t="s">
        <v>31</v>
      </c>
      <c r="S2" s="13" t="s">
        <v>15</v>
      </c>
      <c r="T2" s="14" t="s">
        <v>32</v>
      </c>
      <c r="U2" s="98"/>
    </row>
    <row r="3" hidden="1">
      <c r="A3" s="1"/>
      <c r="B3" s="16">
        <v>221118.0</v>
      </c>
      <c r="C3" s="20" t="s">
        <v>35</v>
      </c>
      <c r="D3" s="22"/>
      <c r="E3" s="22" t="s">
        <v>37</v>
      </c>
      <c r="F3" s="22" t="s">
        <v>39</v>
      </c>
      <c r="G3" s="22"/>
      <c r="H3" s="24" t="s">
        <v>40</v>
      </c>
      <c r="I3" s="22" t="s">
        <v>41</v>
      </c>
      <c r="J3" s="22" t="s">
        <v>42</v>
      </c>
      <c r="K3" s="22"/>
      <c r="L3" s="22" t="s">
        <v>43</v>
      </c>
      <c r="M3" s="22" t="s">
        <v>45</v>
      </c>
      <c r="N3" s="22" t="s">
        <v>46</v>
      </c>
      <c r="O3" s="22"/>
      <c r="P3" s="22" t="s">
        <v>47</v>
      </c>
      <c r="Q3" s="24" t="str">
        <f>J3</f>
        <v>Facebook</v>
      </c>
      <c r="R3" s="26" t="str">
        <f>L3</f>
        <v>FA</v>
      </c>
      <c r="S3" s="28" t="str">
        <f>CONCATENATE(E3,"_",N3,"_",L3,"_",M3,"_",B3,"_",P3)</f>
        <v>Rongfly_HN_FA_TAH_221118_Badt</v>
      </c>
      <c r="T3" s="28" t="str">
        <f>CONCATENATE(F3,"_",E3,B3,"_",P3)</f>
        <v>sinhvien1823_Rongfly221118_Badt</v>
      </c>
      <c r="U3" s="99"/>
    </row>
    <row r="4" hidden="1">
      <c r="A4" s="1"/>
      <c r="B4" s="7"/>
      <c r="C4" s="7"/>
      <c r="D4" s="17"/>
      <c r="E4" s="32" t="s">
        <v>48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97"/>
    </row>
    <row r="5" hidden="1">
      <c r="A5" s="1"/>
      <c r="B5" s="7"/>
      <c r="C5" s="7"/>
      <c r="D5" s="35"/>
      <c r="E5" s="32" t="s">
        <v>49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97"/>
    </row>
    <row r="6" hidden="1">
      <c r="A6" s="1"/>
      <c r="B6" s="7"/>
      <c r="C6" s="7"/>
      <c r="D6" s="36"/>
      <c r="E6" s="37" t="s">
        <v>50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97"/>
    </row>
    <row r="7">
      <c r="A7" s="6" t="s">
        <v>0</v>
      </c>
      <c r="B7" s="6" t="s">
        <v>8</v>
      </c>
      <c r="C7" s="39" t="s">
        <v>10</v>
      </c>
      <c r="D7" s="6" t="s">
        <v>1</v>
      </c>
      <c r="E7" s="6" t="s">
        <v>2</v>
      </c>
      <c r="F7" s="6" t="s">
        <v>4</v>
      </c>
      <c r="G7" s="9" t="s">
        <v>11</v>
      </c>
      <c r="H7" s="6" t="s">
        <v>13</v>
      </c>
      <c r="I7" s="6" t="s">
        <v>14</v>
      </c>
      <c r="J7" s="39" t="s">
        <v>15</v>
      </c>
      <c r="K7" s="42" t="s">
        <v>18</v>
      </c>
      <c r="L7" s="39" t="s">
        <v>19</v>
      </c>
      <c r="M7" s="39" t="s">
        <v>20</v>
      </c>
      <c r="N7" s="39" t="s">
        <v>21</v>
      </c>
      <c r="O7" s="42" t="s">
        <v>23</v>
      </c>
      <c r="P7" s="39" t="s">
        <v>25</v>
      </c>
      <c r="Q7" s="6" t="s">
        <v>26</v>
      </c>
      <c r="R7" s="6" t="s">
        <v>27</v>
      </c>
      <c r="S7" s="6" t="s">
        <v>54</v>
      </c>
      <c r="T7" s="39" t="s">
        <v>30</v>
      </c>
      <c r="U7" s="100" t="s">
        <v>1125</v>
      </c>
    </row>
    <row r="8">
      <c r="A8" s="45" t="s">
        <v>33</v>
      </c>
      <c r="B8" s="17" t="s">
        <v>34</v>
      </c>
      <c r="C8" s="46" t="s">
        <v>55</v>
      </c>
      <c r="D8" s="19" t="s">
        <v>36</v>
      </c>
      <c r="E8" s="21" t="s">
        <v>36</v>
      </c>
      <c r="F8" s="19" t="s">
        <v>36</v>
      </c>
      <c r="G8" s="47"/>
      <c r="H8" s="19" t="s">
        <v>36</v>
      </c>
      <c r="I8" s="25" t="s">
        <v>1126</v>
      </c>
      <c r="J8" s="25" t="s">
        <v>44</v>
      </c>
      <c r="K8" s="23" t="s">
        <v>38</v>
      </c>
      <c r="L8" s="19" t="s">
        <v>36</v>
      </c>
      <c r="M8" s="19" t="s">
        <v>36</v>
      </c>
      <c r="N8" s="19" t="s">
        <v>36</v>
      </c>
      <c r="O8" s="19" t="s">
        <v>36</v>
      </c>
      <c r="P8" s="19" t="s">
        <v>36</v>
      </c>
      <c r="Q8" s="47" t="s">
        <v>62</v>
      </c>
      <c r="R8" s="47" t="s">
        <v>63</v>
      </c>
      <c r="S8" s="48" t="s">
        <v>64</v>
      </c>
      <c r="T8" s="49" t="s">
        <v>67</v>
      </c>
      <c r="U8" s="101"/>
    </row>
    <row r="9">
      <c r="A9" s="50">
        <v>45082.0</v>
      </c>
      <c r="B9" s="112" t="s">
        <v>4612</v>
      </c>
      <c r="C9" s="58" t="str">
        <f>IFERROR(__xludf.DUMMYFUNCTION("FILTER(VLOOKUP(B9:B767,Data!A:B,2,FALSE),B9:B767&lt;&gt;"""")"),"LD168")</f>
        <v>LD168</v>
      </c>
      <c r="D9" s="44" t="s">
        <v>42</v>
      </c>
      <c r="E9" s="44" t="s">
        <v>69</v>
      </c>
      <c r="F9" s="44" t="s">
        <v>199</v>
      </c>
      <c r="G9" s="44">
        <v>2550.0</v>
      </c>
      <c r="H9" s="44" t="s">
        <v>4619</v>
      </c>
      <c r="I9" s="44" t="s">
        <v>4620</v>
      </c>
      <c r="J9" s="44" t="s">
        <v>4621</v>
      </c>
      <c r="K9" s="167" t="s">
        <v>61</v>
      </c>
      <c r="L9" s="55" t="s">
        <v>1264</v>
      </c>
      <c r="M9" s="55" t="s">
        <v>78</v>
      </c>
      <c r="N9" s="55" t="s">
        <v>69</v>
      </c>
      <c r="O9" s="55" t="s">
        <v>4624</v>
      </c>
      <c r="P9" s="55" t="s">
        <v>110</v>
      </c>
      <c r="Q9" s="58" t="str">
        <f>IFERROR(__xludf.DUMMYFUNCTION("FILTER(IF( A9:A767&lt;&gt;"""",IF(H9:H767&lt;&gt;"""",IF(I9:I767&lt;&gt;"""",IF(L9:L767&lt;&gt;"""",IF(N9:N767&lt;&gt;"""",I9:I767&amp;""_""&amp;L9:L767&amp;""_""&amp;N9:N767&amp;""_""&amp;H9:H767&amp;""_""&amp;TRIM(A9:A767),""!!!""),""!!!""),""!!!""),""!!!""),""!!!""),B9:B767&lt;&gt;"""")"),"Vietnam.Kids.Videoben_LHV.9822_CVS_DungNTKids_050623")</f>
        <v>Vietnam.Kids.Videoben_LHV.9822_CVS_DungNTKids_050623</v>
      </c>
      <c r="R9" s="58" t="str">
        <f>IFERROR(__xludf.DUMMYFUNCTION("FILTER(IF( A9:A767&lt;&gt;"""",IF(P9:P767&lt;&gt;"""",IF(F9:F767&lt;&gt;"""",IF(G9:G767&lt;&gt;"""",IF(K9:K767&lt;&gt;"""",P9:P767&amp;""_""&amp;F9:F767&amp;""_""&amp;G9:G767&amp;""_""&amp;K9:K767&amp;""_""&amp;TRIM(A9:A767),""!!!""),""!!!""),""!!!""),""!!!""),""!!!""),B9:B767&lt;&gt;"""")"),"NEW_Vietnam_2550_none_050623")</f>
        <v>NEW_Vietnam_2550_none_050623</v>
      </c>
      <c r="S9" s="58" t="str">
        <f>IFERROR(__xludf.DUMMYFUNCTION("FILTER(IF( M9:M767&lt;&gt;"""",IF(J9:J767&lt;&gt;"""",IF(O9:O767&lt;&gt;"""",IF(C9:C767&lt;&gt;"""",M9:M767&amp;""_""&amp;J9:J767&amp;""_""&amp;O9:O767&amp;""_""&amp;C9:C767,""!!!""),""!!!""),""!!!""),""!!!""),B9:B767&lt;&gt;"""")"),"saletructiep_Vietnam.Videoben.2550.Giaotiep_AEC_LD168")</f>
        <v>saletructiep_Vietnam.Videoben.2550.Giaotiep_AEC_LD168</v>
      </c>
      <c r="T9" s="103" t="str">
        <f>IFERROR(__xludf.DUMMYFUNCTION("FILTER(B9:B767&amp;if(right(B9:B767,1)=""/"",""?"",""/?"")&amp;""utm_source=""&amp;D9:D767&amp;""&amp;utm_medium=""&amp;E9:E767&amp;""&amp;utm_term=""&amp;R9:R767&amp;""&amp;utm_content=""&amp;S9:S767&amp;""&amp;utm_campaign=""&amp;Q9:Q767,B9:B767&lt;&gt;"""")"),"https://pu.englishcoach.vn/tienganhkidsaec/?utm_source=Facebook&amp;utm_medium=CVS&amp;utm_term=NEW_Vietnam_2550_none_050623&amp;utm_content=saletructiep_Vietnam.Videoben.2550.Giaotiep_AEC_LD168&amp;utm_campaign=Vietnam.Kids.Videoben_LHV.9822_CVS_DungNTKids_050623")</f>
        <v>https://pu.englishcoach.vn/tienganhkidsaec/?utm_source=Facebook&amp;utm_medium=CVS&amp;utm_term=NEW_Vietnam_2550_none_050623&amp;utm_content=saletructiep_Vietnam.Videoben.2550.Giaotiep_AEC_LD168&amp;utm_campaign=Vietnam.Kids.Videoben_LHV.9822_CVS_DungNTKids_050623</v>
      </c>
      <c r="U9" s="205" t="s">
        <v>4631</v>
      </c>
    </row>
    <row r="10">
      <c r="A10" s="206">
        <v>45082.0</v>
      </c>
      <c r="B10" s="112" t="s">
        <v>4612</v>
      </c>
      <c r="C10" s="58" t="str">
        <f>IFERROR(__xludf.DUMMYFUNCTION("""COMPUTED_VALUE"""),"LD168")</f>
        <v>LD168</v>
      </c>
      <c r="D10" s="44" t="s">
        <v>42</v>
      </c>
      <c r="E10" s="44" t="s">
        <v>69</v>
      </c>
      <c r="F10" s="44" t="s">
        <v>199</v>
      </c>
      <c r="G10" s="44">
        <v>2550.0</v>
      </c>
      <c r="H10" s="44" t="s">
        <v>4619</v>
      </c>
      <c r="I10" s="44" t="s">
        <v>4637</v>
      </c>
      <c r="J10" s="44" t="s">
        <v>4639</v>
      </c>
      <c r="K10" s="167" t="s">
        <v>61</v>
      </c>
      <c r="L10" s="55" t="s">
        <v>1264</v>
      </c>
      <c r="M10" s="55" t="s">
        <v>78</v>
      </c>
      <c r="N10" s="55" t="s">
        <v>69</v>
      </c>
      <c r="O10" s="55" t="s">
        <v>4624</v>
      </c>
      <c r="P10" s="55" t="s">
        <v>110</v>
      </c>
      <c r="Q10" s="67" t="str">
        <f>IFERROR(__xludf.DUMMYFUNCTION("""COMPUTED_VALUE"""),"Vietnam.Kids.Videoangel_LHV.9822_CVS_DungNTKids_050623")</f>
        <v>Vietnam.Kids.Videoangel_LHV.9822_CVS_DungNTKids_050623</v>
      </c>
      <c r="R10" s="166" t="str">
        <f>IFERROR(__xludf.DUMMYFUNCTION("""COMPUTED_VALUE"""),"NEW_Vietnam_2550_none_050623")</f>
        <v>NEW_Vietnam_2550_none_050623</v>
      </c>
      <c r="S10" s="166" t="str">
        <f>IFERROR(__xludf.DUMMYFUNCTION("""COMPUTED_VALUE"""),"saletructiep_Vietnam.Videoangel.2550.Giaotiep_AEC_LD168")</f>
        <v>saletructiep_Vietnam.Videoangel.2550.Giaotiep_AEC_LD168</v>
      </c>
      <c r="T10" s="169" t="str">
        <f>IFERROR(__xludf.DUMMYFUNCTION("""COMPUTED_VALUE"""),"https://pu.englishcoach.vn/tienganhkidsaec/?utm_source=Facebook&amp;utm_medium=CVS&amp;utm_term=NEW_Vietnam_2550_none_050623&amp;utm_content=saletructiep_Vietnam.Videoangel.2550.Giaotiep_AEC_LD168&amp;utm_campaign=Vietnam.Kids.Videoangel_LHV.9822_CVS_DungNTKids_050623")</f>
        <v>https://pu.englishcoach.vn/tienganhkidsaec/?utm_source=Facebook&amp;utm_medium=CVS&amp;utm_term=NEW_Vietnam_2550_none_050623&amp;utm_content=saletructiep_Vietnam.Videoangel.2550.Giaotiep_AEC_LD168&amp;utm_campaign=Vietnam.Kids.Videoangel_LHV.9822_CVS_DungNTKids_050623</v>
      </c>
      <c r="U10" s="207" t="s">
        <v>4644</v>
      </c>
    </row>
    <row r="11">
      <c r="A11" s="206">
        <v>45082.0</v>
      </c>
      <c r="B11" s="112" t="s">
        <v>4612</v>
      </c>
      <c r="C11" s="58" t="str">
        <f>IFERROR(__xludf.DUMMYFUNCTION("""COMPUTED_VALUE"""),"LD168")</f>
        <v>LD168</v>
      </c>
      <c r="D11" s="55" t="s">
        <v>42</v>
      </c>
      <c r="E11" s="55" t="s">
        <v>79</v>
      </c>
      <c r="F11" s="44" t="s">
        <v>199</v>
      </c>
      <c r="G11" s="44">
        <v>2550.0</v>
      </c>
      <c r="H11" s="44" t="s">
        <v>4619</v>
      </c>
      <c r="I11" s="44" t="s">
        <v>4648</v>
      </c>
      <c r="J11" s="44" t="s">
        <v>4649</v>
      </c>
      <c r="K11" s="167" t="s">
        <v>61</v>
      </c>
      <c r="L11" s="55" t="s">
        <v>1264</v>
      </c>
      <c r="M11" s="55" t="s">
        <v>78</v>
      </c>
      <c r="N11" s="55" t="s">
        <v>79</v>
      </c>
      <c r="O11" s="55" t="s">
        <v>4624</v>
      </c>
      <c r="P11" s="55" t="s">
        <v>110</v>
      </c>
      <c r="Q11" s="67" t="str">
        <f>IFERROR(__xludf.DUMMYFUNCTION("""COMPUTED_VALUE"""),"Vietnam.Kids.Videocamnhan_LHV.9822_MES_DungNTKids_050623")</f>
        <v>Vietnam.Kids.Videocamnhan_LHV.9822_MES_DungNTKids_050623</v>
      </c>
      <c r="R11" s="67" t="str">
        <f>IFERROR(__xludf.DUMMYFUNCTION("""COMPUTED_VALUE"""),"NEW_Vietnam_2550_none_050623")</f>
        <v>NEW_Vietnam_2550_none_050623</v>
      </c>
      <c r="S11" s="67" t="str">
        <f>IFERROR(__xludf.DUMMYFUNCTION("""COMPUTED_VALUE"""),"saletructiep_Vietnam.Videocamnhan.2550.Giaotiep_AEC_LD168")</f>
        <v>saletructiep_Vietnam.Videocamnhan.2550.Giaotiep_AEC_LD168</v>
      </c>
      <c r="T11" s="107" t="str">
        <f>IFERROR(__xludf.DUMMYFUNCTION("""COMPUTED_VALUE"""),"https://pu.englishcoach.vn/tienganhkidsaec/?utm_source=Facebook&amp;utm_medium=MES&amp;utm_term=NEW_Vietnam_2550_none_050623&amp;utm_content=saletructiep_Vietnam.Videocamnhan.2550.Giaotiep_AEC_LD168&amp;utm_campaign=Vietnam.Kids.Videocamnhan_LHV.9822_MES_DungNTKids_05062"&amp;"3")</f>
        <v>https://pu.englishcoach.vn/tienganhkidsaec/?utm_source=Facebook&amp;utm_medium=MES&amp;utm_term=NEW_Vietnam_2550_none_050623&amp;utm_content=saletructiep_Vietnam.Videocamnhan.2550.Giaotiep_AEC_LD168&amp;utm_campaign=Vietnam.Kids.Videocamnhan_LHV.9822_MES_DungNTKids_050623</v>
      </c>
      <c r="U11" s="110" t="s">
        <v>4652</v>
      </c>
    </row>
    <row r="12">
      <c r="A12" s="96">
        <v>45083.0</v>
      </c>
      <c r="B12" s="112" t="s">
        <v>4612</v>
      </c>
      <c r="C12" s="58" t="str">
        <f>IFERROR(__xludf.DUMMYFUNCTION("""COMPUTED_VALUE"""),"LD168")</f>
        <v>LD168</v>
      </c>
      <c r="D12" s="55" t="s">
        <v>42</v>
      </c>
      <c r="E12" s="55" t="s">
        <v>79</v>
      </c>
      <c r="F12" s="44" t="s">
        <v>199</v>
      </c>
      <c r="G12" s="44">
        <v>2550.0</v>
      </c>
      <c r="H12" s="44" t="s">
        <v>4619</v>
      </c>
      <c r="I12" s="44" t="s">
        <v>4653</v>
      </c>
      <c r="J12" s="44" t="s">
        <v>4654</v>
      </c>
      <c r="K12" s="167" t="s">
        <v>61</v>
      </c>
      <c r="L12" s="55" t="s">
        <v>1264</v>
      </c>
      <c r="M12" s="55" t="s">
        <v>78</v>
      </c>
      <c r="N12" s="55" t="s">
        <v>79</v>
      </c>
      <c r="O12" s="55" t="s">
        <v>4624</v>
      </c>
      <c r="P12" s="55" t="s">
        <v>110</v>
      </c>
      <c r="Q12" s="67" t="str">
        <f>IFERROR(__xludf.DUMMYFUNCTION("""COMPUTED_VALUE"""),"Vietnam.Kids.anhkhaigiang_LHV.9822_MES_DungNTKids_6/6/2023")</f>
        <v>Vietnam.Kids.anhkhaigiang_LHV.9822_MES_DungNTKids_6/6/2023</v>
      </c>
      <c r="R12" s="67" t="str">
        <f>IFERROR(__xludf.DUMMYFUNCTION("""COMPUTED_VALUE"""),"NEW_Vietnam_2550_none_6/6/2023")</f>
        <v>NEW_Vietnam_2550_none_6/6/2023</v>
      </c>
      <c r="S12" s="67" t="str">
        <f>IFERROR(__xludf.DUMMYFUNCTION("""COMPUTED_VALUE"""),"saletructiep_Vietnam.anhkhaigiang.2550.Giaotiep_AEC_LD168")</f>
        <v>saletructiep_Vietnam.anhkhaigiang.2550.Giaotiep_AEC_LD168</v>
      </c>
      <c r="T12" s="107" t="str">
        <f>IFERROR(__xludf.DUMMYFUNCTION("""COMPUTED_VALUE"""),"https://pu.englishcoach.vn/tienganhkidsaec/?utm_source=Facebook&amp;utm_medium=MES&amp;utm_term=NEW_Vietnam_2550_none_6/6/2023&amp;utm_content=saletructiep_Vietnam.anhkhaigiang.2550.Giaotiep_AEC_LD168&amp;utm_campaign=Vietnam.Kids.anhkhaigiang_LHV.9822_MES_DungNTKids_6/6"&amp;"/2023")</f>
        <v>https://pu.englishcoach.vn/tienganhkidsaec/?utm_source=Facebook&amp;utm_medium=MES&amp;utm_term=NEW_Vietnam_2550_none_6/6/2023&amp;utm_content=saletructiep_Vietnam.anhkhaigiang.2550.Giaotiep_AEC_LD168&amp;utm_campaign=Vietnam.Kids.anhkhaigiang_LHV.9822_MES_DungNTKids_6/6/2023</v>
      </c>
      <c r="U12" s="110" t="s">
        <v>4659</v>
      </c>
    </row>
    <row r="13">
      <c r="A13" s="206">
        <v>45082.0</v>
      </c>
      <c r="B13" s="112" t="s">
        <v>4612</v>
      </c>
      <c r="C13" s="58" t="str">
        <f>IFERROR(__xludf.DUMMYFUNCTION("""COMPUTED_VALUE"""),"LD168")</f>
        <v>LD168</v>
      </c>
      <c r="D13" s="55" t="s">
        <v>42</v>
      </c>
      <c r="E13" s="44" t="s">
        <v>69</v>
      </c>
      <c r="F13" s="44" t="s">
        <v>199</v>
      </c>
      <c r="G13" s="44">
        <v>2550.0</v>
      </c>
      <c r="H13" s="44" t="s">
        <v>4619</v>
      </c>
      <c r="I13" s="44" t="s">
        <v>4660</v>
      </c>
      <c r="J13" s="44" t="s">
        <v>4661</v>
      </c>
      <c r="K13" s="167" t="s">
        <v>61</v>
      </c>
      <c r="L13" s="55" t="s">
        <v>1264</v>
      </c>
      <c r="M13" s="55" t="s">
        <v>2789</v>
      </c>
      <c r="N13" s="55" t="s">
        <v>69</v>
      </c>
      <c r="O13" s="55" t="s">
        <v>4624</v>
      </c>
      <c r="P13" s="55" t="s">
        <v>110</v>
      </c>
      <c r="Q13" s="67" t="str">
        <f>IFERROR(__xludf.DUMMYFUNCTION("""COMPUTED_VALUE"""),"Vietnam.Kids.storyhuongnoi_LHV.9822_CVS_DungNTKids_050623")</f>
        <v>Vietnam.Kids.storyhuongnoi_LHV.9822_CVS_DungNTKids_050623</v>
      </c>
      <c r="R13" s="67" t="str">
        <f>IFERROR(__xludf.DUMMYFUNCTION("""COMPUTED_VALUE"""),"NEW_Vietnam_2550_none_050623")</f>
        <v>NEW_Vietnam_2550_none_050623</v>
      </c>
      <c r="S13" s="67" t="str">
        <f>IFERROR(__xludf.DUMMYFUNCTION("""COMPUTED_VALUE"""),"Storytelling_Vietnam.storyhuongnoi.2550.Giaotiep_AEC_LD168")</f>
        <v>Storytelling_Vietnam.storyhuongnoi.2550.Giaotiep_AEC_LD168</v>
      </c>
      <c r="T13" s="107" t="str">
        <f>IFERROR(__xludf.DUMMYFUNCTION("""COMPUTED_VALUE"""),"https://pu.englishcoach.vn/tienganhkidsaec/?utm_source=Facebook&amp;utm_medium=CVS&amp;utm_term=NEW_Vietnam_2550_none_050623&amp;utm_content=Storytelling_Vietnam.storyhuongnoi.2550.Giaotiep_AEC_LD168&amp;utm_campaign=Vietnam.Kids.storyhuongnoi_LHV.9822_CVS_DungNTKids_050"&amp;"623")</f>
        <v>https://pu.englishcoach.vn/tienganhkidsaec/?utm_source=Facebook&amp;utm_medium=CVS&amp;utm_term=NEW_Vietnam_2550_none_050623&amp;utm_content=Storytelling_Vietnam.storyhuongnoi.2550.Giaotiep_AEC_LD168&amp;utm_campaign=Vietnam.Kids.storyhuongnoi_LHV.9822_CVS_DungNTKids_050623</v>
      </c>
      <c r="U13" s="118"/>
    </row>
    <row r="14">
      <c r="A14" s="208" t="s">
        <v>4669</v>
      </c>
      <c r="B14" s="112" t="s">
        <v>4612</v>
      </c>
      <c r="C14" s="58" t="str">
        <f>IFERROR(__xludf.DUMMYFUNCTION("""COMPUTED_VALUE"""),"LD168")</f>
        <v>LD168</v>
      </c>
      <c r="D14" s="55" t="s">
        <v>42</v>
      </c>
      <c r="E14" s="55" t="s">
        <v>1409</v>
      </c>
      <c r="F14" s="44" t="s">
        <v>199</v>
      </c>
      <c r="G14" s="44">
        <v>2550.0</v>
      </c>
      <c r="H14" s="44" t="s">
        <v>4619</v>
      </c>
      <c r="I14" s="44" t="s">
        <v>4648</v>
      </c>
      <c r="J14" s="44" t="s">
        <v>4649</v>
      </c>
      <c r="K14" s="167" t="s">
        <v>61</v>
      </c>
      <c r="L14" s="55" t="s">
        <v>1264</v>
      </c>
      <c r="M14" s="55" t="s">
        <v>78</v>
      </c>
      <c r="N14" s="55" t="s">
        <v>1409</v>
      </c>
      <c r="O14" s="55" t="s">
        <v>4624</v>
      </c>
      <c r="P14" s="55" t="s">
        <v>110</v>
      </c>
      <c r="Q14" s="67" t="str">
        <f>IFERROR(__xludf.DUMMYFUNCTION("""COMPUTED_VALUE"""),"Vietnam.Kids.Videocamnhan_LHV.9822_LEAD_DungNTKids_060623")</f>
        <v>Vietnam.Kids.Videocamnhan_LHV.9822_LEAD_DungNTKids_060623</v>
      </c>
      <c r="R14" s="67" t="str">
        <f>IFERROR(__xludf.DUMMYFUNCTION("""COMPUTED_VALUE"""),"NEW_Vietnam_2550_none_060623")</f>
        <v>NEW_Vietnam_2550_none_060623</v>
      </c>
      <c r="S14" s="67" t="str">
        <f>IFERROR(__xludf.DUMMYFUNCTION("""COMPUTED_VALUE"""),"saletructiep_Vietnam.Videocamnhan.2550.Giaotiep_AEC_LD168")</f>
        <v>saletructiep_Vietnam.Videocamnhan.2550.Giaotiep_AEC_LD168</v>
      </c>
      <c r="T14" s="107" t="str">
        <f>IFERROR(__xludf.DUMMYFUNCTION("""COMPUTED_VALUE"""),"https://pu.englishcoach.vn/tienganhkidsaec/?utm_source=Facebook&amp;utm_medium=LEAD&amp;utm_term=NEW_Vietnam_2550_none_060623&amp;utm_content=saletructiep_Vietnam.Videocamnhan.2550.Giaotiep_AEC_LD168&amp;utm_campaign=Vietnam.Kids.Videocamnhan_LHV.9822_LEAD_DungNTKids_060"&amp;"623")</f>
        <v>https://pu.englishcoach.vn/tienganhkidsaec/?utm_source=Facebook&amp;utm_medium=LEAD&amp;utm_term=NEW_Vietnam_2550_none_060623&amp;utm_content=saletructiep_Vietnam.Videocamnhan.2550.Giaotiep_AEC_LD168&amp;utm_campaign=Vietnam.Kids.Videocamnhan_LHV.9822_LEAD_DungNTKids_060623</v>
      </c>
      <c r="U14" s="110" t="s">
        <v>4652</v>
      </c>
    </row>
    <row r="15">
      <c r="A15" s="50">
        <v>45084.0</v>
      </c>
      <c r="B15" s="112" t="s">
        <v>4612</v>
      </c>
      <c r="C15" s="58" t="str">
        <f>IFERROR(__xludf.DUMMYFUNCTION("""COMPUTED_VALUE"""),"LD168")</f>
        <v>LD168</v>
      </c>
      <c r="D15" s="44" t="s">
        <v>42</v>
      </c>
      <c r="E15" s="44" t="s">
        <v>69</v>
      </c>
      <c r="F15" s="44" t="s">
        <v>199</v>
      </c>
      <c r="G15" s="44">
        <v>2550.0</v>
      </c>
      <c r="H15" s="44" t="s">
        <v>4619</v>
      </c>
      <c r="I15" s="44" t="s">
        <v>4620</v>
      </c>
      <c r="J15" s="44" t="s">
        <v>4621</v>
      </c>
      <c r="K15" s="167" t="s">
        <v>61</v>
      </c>
      <c r="L15" s="55" t="s">
        <v>1264</v>
      </c>
      <c r="M15" s="55" t="s">
        <v>78</v>
      </c>
      <c r="N15" s="55" t="s">
        <v>69</v>
      </c>
      <c r="O15" s="55" t="s">
        <v>4624</v>
      </c>
      <c r="P15" s="55" t="s">
        <v>110</v>
      </c>
      <c r="Q15" s="58" t="str">
        <f>IFERROR(__xludf.DUMMYFUNCTION("""COMPUTED_VALUE"""),"Vietnam.Kids.Videoben_LHV.9822_CVS_DungNTKids_070623")</f>
        <v>Vietnam.Kids.Videoben_LHV.9822_CVS_DungNTKids_070623</v>
      </c>
      <c r="R15" s="58" t="str">
        <f>IFERROR(__xludf.DUMMYFUNCTION("""COMPUTED_VALUE"""),"NEW_Vietnam_2550_none_070623")</f>
        <v>NEW_Vietnam_2550_none_070623</v>
      </c>
      <c r="S15" s="58" t="str">
        <f>IFERROR(__xludf.DUMMYFUNCTION("""COMPUTED_VALUE"""),"saletructiep_Vietnam.Videoben.2550.Giaotiep_AEC_LD168")</f>
        <v>saletructiep_Vietnam.Videoben.2550.Giaotiep_AEC_LD168</v>
      </c>
      <c r="T15" s="103" t="str">
        <f>IFERROR(__xludf.DUMMYFUNCTION("""COMPUTED_VALUE"""),"https://pu.englishcoach.vn/tienganhkidsaec/?utm_source=Facebook&amp;utm_medium=CVS&amp;utm_term=NEW_Vietnam_2550_none_070623&amp;utm_content=saletructiep_Vietnam.Videoben.2550.Giaotiep_AEC_LD168&amp;utm_campaign=Vietnam.Kids.Videoben_LHV.9822_CVS_DungNTKids_070623")</f>
        <v>https://pu.englishcoach.vn/tienganhkidsaec/?utm_source=Facebook&amp;utm_medium=CVS&amp;utm_term=NEW_Vietnam_2550_none_070623&amp;utm_content=saletructiep_Vietnam.Videoben.2550.Giaotiep_AEC_LD168&amp;utm_campaign=Vietnam.Kids.Videoben_LHV.9822_CVS_DungNTKids_070623</v>
      </c>
      <c r="U15" s="205" t="s">
        <v>4686</v>
      </c>
    </row>
    <row r="16">
      <c r="A16" s="206">
        <v>45084.0</v>
      </c>
      <c r="B16" s="112" t="s">
        <v>4612</v>
      </c>
      <c r="C16" s="58" t="str">
        <f>IFERROR(__xludf.DUMMYFUNCTION("""COMPUTED_VALUE"""),"LD168")</f>
        <v>LD168</v>
      </c>
      <c r="D16" s="44" t="s">
        <v>42</v>
      </c>
      <c r="E16" s="44" t="s">
        <v>69</v>
      </c>
      <c r="F16" s="44" t="s">
        <v>199</v>
      </c>
      <c r="G16" s="44">
        <v>2550.0</v>
      </c>
      <c r="H16" s="44" t="s">
        <v>4619</v>
      </c>
      <c r="I16" s="44" t="s">
        <v>4637</v>
      </c>
      <c r="J16" s="44" t="s">
        <v>4639</v>
      </c>
      <c r="K16" s="167" t="s">
        <v>61</v>
      </c>
      <c r="L16" s="55" t="s">
        <v>1264</v>
      </c>
      <c r="M16" s="55" t="s">
        <v>78</v>
      </c>
      <c r="N16" s="55" t="s">
        <v>69</v>
      </c>
      <c r="O16" s="55" t="s">
        <v>4624</v>
      </c>
      <c r="P16" s="55" t="s">
        <v>110</v>
      </c>
      <c r="Q16" s="67" t="str">
        <f>IFERROR(__xludf.DUMMYFUNCTION("""COMPUTED_VALUE"""),"Vietnam.Kids.Videoangel_LHV.9822_CVS_DungNTKids_070623")</f>
        <v>Vietnam.Kids.Videoangel_LHV.9822_CVS_DungNTKids_070623</v>
      </c>
      <c r="R16" s="166" t="str">
        <f>IFERROR(__xludf.DUMMYFUNCTION("""COMPUTED_VALUE"""),"NEW_Vietnam_2550_none_070623")</f>
        <v>NEW_Vietnam_2550_none_070623</v>
      </c>
      <c r="S16" s="166" t="str">
        <f>IFERROR(__xludf.DUMMYFUNCTION("""COMPUTED_VALUE"""),"saletructiep_Vietnam.Videoangel.2550.Giaotiep_AEC_LD168")</f>
        <v>saletructiep_Vietnam.Videoangel.2550.Giaotiep_AEC_LD168</v>
      </c>
      <c r="T16" s="169" t="str">
        <f>IFERROR(__xludf.DUMMYFUNCTION("""COMPUTED_VALUE"""),"https://pu.englishcoach.vn/tienganhkidsaec/?utm_source=Facebook&amp;utm_medium=CVS&amp;utm_term=NEW_Vietnam_2550_none_070623&amp;utm_content=saletructiep_Vietnam.Videoangel.2550.Giaotiep_AEC_LD168&amp;utm_campaign=Vietnam.Kids.Videoangel_LHV.9822_CVS_DungNTKids_070623")</f>
        <v>https://pu.englishcoach.vn/tienganhkidsaec/?utm_source=Facebook&amp;utm_medium=CVS&amp;utm_term=NEW_Vietnam_2550_none_070623&amp;utm_content=saletructiep_Vietnam.Videoangel.2550.Giaotiep_AEC_LD168&amp;utm_campaign=Vietnam.Kids.Videoangel_LHV.9822_CVS_DungNTKids_070623</v>
      </c>
      <c r="U16" s="207" t="s">
        <v>4644</v>
      </c>
    </row>
    <row r="17">
      <c r="A17" s="206">
        <v>45084.0</v>
      </c>
      <c r="B17" s="112" t="s">
        <v>4612</v>
      </c>
      <c r="C17" s="58" t="str">
        <f>IFERROR(__xludf.DUMMYFUNCTION("""COMPUTED_VALUE"""),"LD168")</f>
        <v>LD168</v>
      </c>
      <c r="D17" s="55" t="s">
        <v>42</v>
      </c>
      <c r="E17" s="55" t="s">
        <v>79</v>
      </c>
      <c r="F17" s="44" t="s">
        <v>199</v>
      </c>
      <c r="G17" s="44">
        <v>2550.0</v>
      </c>
      <c r="H17" s="44" t="s">
        <v>4619</v>
      </c>
      <c r="I17" s="44" t="s">
        <v>4653</v>
      </c>
      <c r="J17" s="44" t="s">
        <v>4654</v>
      </c>
      <c r="K17" s="167" t="s">
        <v>61</v>
      </c>
      <c r="L17" s="55" t="s">
        <v>1264</v>
      </c>
      <c r="M17" s="55" t="s">
        <v>78</v>
      </c>
      <c r="N17" s="55" t="s">
        <v>79</v>
      </c>
      <c r="O17" s="55" t="s">
        <v>4624</v>
      </c>
      <c r="P17" s="55" t="s">
        <v>110</v>
      </c>
      <c r="Q17" s="67" t="str">
        <f>IFERROR(__xludf.DUMMYFUNCTION("""COMPUTED_VALUE"""),"Vietnam.Kids.anhkhaigiang_LHV.9822_MES_DungNTKids_070623")</f>
        <v>Vietnam.Kids.anhkhaigiang_LHV.9822_MES_DungNTKids_070623</v>
      </c>
      <c r="R17" s="67" t="str">
        <f>IFERROR(__xludf.DUMMYFUNCTION("""COMPUTED_VALUE"""),"NEW_Vietnam_2550_none_070623")</f>
        <v>NEW_Vietnam_2550_none_070623</v>
      </c>
      <c r="S17" s="67" t="str">
        <f>IFERROR(__xludf.DUMMYFUNCTION("""COMPUTED_VALUE"""),"saletructiep_Vietnam.anhkhaigiang.2550.Giaotiep_AEC_LD168")</f>
        <v>saletructiep_Vietnam.anhkhaigiang.2550.Giaotiep_AEC_LD168</v>
      </c>
      <c r="T17" s="107" t="str">
        <f>IFERROR(__xludf.DUMMYFUNCTION("""COMPUTED_VALUE"""),"https://pu.englishcoach.vn/tienganhkidsaec/?utm_source=Facebook&amp;utm_medium=MES&amp;utm_term=NEW_Vietnam_2550_none_070623&amp;utm_content=saletructiep_Vietnam.anhkhaigiang.2550.Giaotiep_AEC_LD168&amp;utm_campaign=Vietnam.Kids.anhkhaigiang_LHV.9822_MES_DungNTKids_07062"&amp;"3")</f>
        <v>https://pu.englishcoach.vn/tienganhkidsaec/?utm_source=Facebook&amp;utm_medium=MES&amp;utm_term=NEW_Vietnam_2550_none_070623&amp;utm_content=saletructiep_Vietnam.anhkhaigiang.2550.Giaotiep_AEC_LD168&amp;utm_campaign=Vietnam.Kids.anhkhaigiang_LHV.9822_MES_DungNTKids_070623</v>
      </c>
      <c r="U17" s="110" t="s">
        <v>4659</v>
      </c>
    </row>
    <row r="18">
      <c r="A18" s="50">
        <v>45085.0</v>
      </c>
      <c r="B18" s="112" t="s">
        <v>4612</v>
      </c>
      <c r="C18" s="58" t="str">
        <f>IFERROR(__xludf.DUMMYFUNCTION("""COMPUTED_VALUE"""),"LD168")</f>
        <v>LD168</v>
      </c>
      <c r="D18" s="44" t="s">
        <v>42</v>
      </c>
      <c r="E18" s="44" t="s">
        <v>69</v>
      </c>
      <c r="F18" s="44" t="s">
        <v>3928</v>
      </c>
      <c r="G18" s="44">
        <v>3555.0</v>
      </c>
      <c r="H18" s="44" t="s">
        <v>4619</v>
      </c>
      <c r="I18" s="44" t="s">
        <v>4710</v>
      </c>
      <c r="J18" s="44" t="s">
        <v>4711</v>
      </c>
      <c r="K18" s="167" t="s">
        <v>61</v>
      </c>
      <c r="L18" s="55" t="s">
        <v>1264</v>
      </c>
      <c r="M18" s="55" t="s">
        <v>78</v>
      </c>
      <c r="N18" s="55" t="s">
        <v>69</v>
      </c>
      <c r="O18" s="55" t="s">
        <v>4624</v>
      </c>
      <c r="P18" s="55" t="s">
        <v>110</v>
      </c>
      <c r="Q18" s="58" t="str">
        <f>IFERROR(__xludf.DUMMYFUNCTION("""COMPUTED_VALUE"""),"Haiphong.Kids.Videoben_LHV.9822_CVS_DungNTKids_080623")</f>
        <v>Haiphong.Kids.Videoben_LHV.9822_CVS_DungNTKids_080623</v>
      </c>
      <c r="R18" s="58" t="str">
        <f>IFERROR(__xludf.DUMMYFUNCTION("""COMPUTED_VALUE"""),"NEW_Haiphong_3555_none_080623")</f>
        <v>NEW_Haiphong_3555_none_080623</v>
      </c>
      <c r="S18" s="58" t="str">
        <f>IFERROR(__xludf.DUMMYFUNCTION("""COMPUTED_VALUE"""),"saletructiep_Haiphong.Videoben.3555.Giaotiep_AEC_LD168")</f>
        <v>saletructiep_Haiphong.Videoben.3555.Giaotiep_AEC_LD168</v>
      </c>
      <c r="T18" s="103" t="str">
        <f>IFERROR(__xludf.DUMMYFUNCTION("""COMPUTED_VALUE"""),"https://pu.englishcoach.vn/tienganhkidsaec/?utm_source=Facebook&amp;utm_medium=CVS&amp;utm_term=NEW_Haiphong_3555_none_080623&amp;utm_content=saletructiep_Haiphong.Videoben.3555.Giaotiep_AEC_LD168&amp;utm_campaign=Haiphong.Kids.Videoben_LHV.9822_CVS_DungNTKids_080623")</f>
        <v>https://pu.englishcoach.vn/tienganhkidsaec/?utm_source=Facebook&amp;utm_medium=CVS&amp;utm_term=NEW_Haiphong_3555_none_080623&amp;utm_content=saletructiep_Haiphong.Videoben.3555.Giaotiep_AEC_LD168&amp;utm_campaign=Haiphong.Kids.Videoben_LHV.9822_CVS_DungNTKids_080623</v>
      </c>
      <c r="U18" s="205" t="s">
        <v>4686</v>
      </c>
    </row>
    <row r="19">
      <c r="A19" s="50">
        <v>45085.0</v>
      </c>
      <c r="B19" s="160" t="s">
        <v>4612</v>
      </c>
      <c r="C19" s="58" t="str">
        <f>IFERROR(__xludf.DUMMYFUNCTION("""COMPUTED_VALUE"""),"LD168")</f>
        <v>LD168</v>
      </c>
      <c r="D19" s="41" t="s">
        <v>42</v>
      </c>
      <c r="E19" s="41" t="s">
        <v>69</v>
      </c>
      <c r="F19" s="44" t="s">
        <v>4666</v>
      </c>
      <c r="G19" s="44">
        <v>3555.0</v>
      </c>
      <c r="H19" s="41" t="s">
        <v>4619</v>
      </c>
      <c r="I19" s="44" t="s">
        <v>4721</v>
      </c>
      <c r="J19" s="44" t="s">
        <v>4722</v>
      </c>
      <c r="K19" s="143" t="s">
        <v>61</v>
      </c>
      <c r="L19" s="143" t="s">
        <v>1264</v>
      </c>
      <c r="M19" s="143" t="s">
        <v>78</v>
      </c>
      <c r="N19" s="143" t="s">
        <v>69</v>
      </c>
      <c r="O19" s="143" t="s">
        <v>4624</v>
      </c>
      <c r="P19" s="143" t="s">
        <v>110</v>
      </c>
      <c r="Q19" s="58" t="str">
        <f>IFERROR(__xludf.DUMMYFUNCTION("""COMPUTED_VALUE"""),"Danang.Kids.Videoangel_LHV.9822_CVS_DungNTKids_080623")</f>
        <v>Danang.Kids.Videoangel_LHV.9822_CVS_DungNTKids_080623</v>
      </c>
      <c r="R19" s="209" t="str">
        <f>IFERROR(__xludf.DUMMYFUNCTION("""COMPUTED_VALUE"""),"NEW_Danang_3555_none_080623")</f>
        <v>NEW_Danang_3555_none_080623</v>
      </c>
      <c r="S19" s="209" t="str">
        <f>IFERROR(__xludf.DUMMYFUNCTION("""COMPUTED_VALUE"""),"saletructiep_Danang.Videoangel.3555.Giaotiep_AEC_LD168")</f>
        <v>saletructiep_Danang.Videoangel.3555.Giaotiep_AEC_LD168</v>
      </c>
      <c r="T19" s="212" t="str">
        <f>IFERROR(__xludf.DUMMYFUNCTION("""COMPUTED_VALUE"""),"https://pu.englishcoach.vn/tienganhkidsaec/?utm_source=Facebook&amp;utm_medium=CVS&amp;utm_term=NEW_Danang_3555_none_080623&amp;utm_content=saletructiep_Danang.Videoangel.3555.Giaotiep_AEC_LD168&amp;utm_campaign=Danang.Kids.Videoangel_LHV.9822_CVS_DungNTKids_080623")</f>
        <v>https://pu.englishcoach.vn/tienganhkidsaec/?utm_source=Facebook&amp;utm_medium=CVS&amp;utm_term=NEW_Danang_3555_none_080623&amp;utm_content=saletructiep_Danang.Videoangel.3555.Giaotiep_AEC_LD168&amp;utm_campaign=Danang.Kids.Videoangel_LHV.9822_CVS_DungNTKids_080623</v>
      </c>
      <c r="U19" s="213" t="s">
        <v>4644</v>
      </c>
    </row>
    <row r="20">
      <c r="A20" s="50">
        <v>45085.0</v>
      </c>
      <c r="B20" s="112" t="s">
        <v>4612</v>
      </c>
      <c r="C20" s="58" t="str">
        <f>IFERROR(__xludf.DUMMYFUNCTION("""COMPUTED_VALUE"""),"LD168")</f>
        <v>LD168</v>
      </c>
      <c r="D20" s="55" t="s">
        <v>42</v>
      </c>
      <c r="E20" s="55" t="s">
        <v>79</v>
      </c>
      <c r="F20" s="44" t="s">
        <v>4730</v>
      </c>
      <c r="G20" s="44">
        <v>3555.0</v>
      </c>
      <c r="H20" s="44" t="s">
        <v>4619</v>
      </c>
      <c r="I20" s="44" t="s">
        <v>4731</v>
      </c>
      <c r="J20" s="44" t="s">
        <v>4732</v>
      </c>
      <c r="K20" s="167" t="s">
        <v>61</v>
      </c>
      <c r="L20" s="55" t="s">
        <v>1264</v>
      </c>
      <c r="M20" s="55" t="s">
        <v>78</v>
      </c>
      <c r="N20" s="55" t="s">
        <v>79</v>
      </c>
      <c r="O20" s="55" t="s">
        <v>4624</v>
      </c>
      <c r="P20" s="55" t="s">
        <v>110</v>
      </c>
      <c r="Q20" s="67" t="str">
        <f>IFERROR(__xludf.DUMMYFUNCTION("""COMPUTED_VALUE"""),"Cantho.Kids.anhkhaigiang_LHV.9822_MES_DungNTKids_080623")</f>
        <v>Cantho.Kids.anhkhaigiang_LHV.9822_MES_DungNTKids_080623</v>
      </c>
      <c r="R20" s="67" t="str">
        <f>IFERROR(__xludf.DUMMYFUNCTION("""COMPUTED_VALUE"""),"NEW_Cantho_3555_none_080623")</f>
        <v>NEW_Cantho_3555_none_080623</v>
      </c>
      <c r="S20" s="67" t="str">
        <f>IFERROR(__xludf.DUMMYFUNCTION("""COMPUTED_VALUE"""),"saletructiep_Cantho.anhkhaigiang.3555.Giaotiep_AEC_LD168")</f>
        <v>saletructiep_Cantho.anhkhaigiang.3555.Giaotiep_AEC_LD168</v>
      </c>
      <c r="T20" s="107" t="str">
        <f>IFERROR(__xludf.DUMMYFUNCTION("""COMPUTED_VALUE"""),"https://pu.englishcoach.vn/tienganhkidsaec/?utm_source=Facebook&amp;utm_medium=MES&amp;utm_term=NEW_Cantho_3555_none_080623&amp;utm_content=saletructiep_Cantho.anhkhaigiang.3555.Giaotiep_AEC_LD168&amp;utm_campaign=Cantho.Kids.anhkhaigiang_LHV.9822_MES_DungNTKids_080623")</f>
        <v>https://pu.englishcoach.vn/tienganhkidsaec/?utm_source=Facebook&amp;utm_medium=MES&amp;utm_term=NEW_Cantho_3555_none_080623&amp;utm_content=saletructiep_Cantho.anhkhaigiang.3555.Giaotiep_AEC_LD168&amp;utm_campaign=Cantho.Kids.anhkhaigiang_LHV.9822_MES_DungNTKids_080623</v>
      </c>
      <c r="U20" s="110" t="s">
        <v>4659</v>
      </c>
    </row>
    <row r="21">
      <c r="A21" s="50">
        <v>45090.0</v>
      </c>
      <c r="B21" s="133" t="s">
        <v>4738</v>
      </c>
      <c r="C21" s="58" t="str">
        <f>IFERROR(__xludf.DUMMYFUNCTION("""COMPUTED_VALUE"""),"LD171")</f>
        <v>LD171</v>
      </c>
      <c r="D21" s="55" t="s">
        <v>42</v>
      </c>
      <c r="E21" s="55" t="s">
        <v>79</v>
      </c>
      <c r="F21" s="44" t="s">
        <v>461</v>
      </c>
      <c r="G21" s="44">
        <v>3555.0</v>
      </c>
      <c r="H21" s="44" t="s">
        <v>4619</v>
      </c>
      <c r="I21" s="44" t="s">
        <v>4743</v>
      </c>
      <c r="J21" s="44" t="s">
        <v>4745</v>
      </c>
      <c r="K21" s="167" t="s">
        <v>61</v>
      </c>
      <c r="L21" s="55" t="s">
        <v>1264</v>
      </c>
      <c r="M21" s="55" t="s">
        <v>78</v>
      </c>
      <c r="N21" s="55" t="s">
        <v>79</v>
      </c>
      <c r="O21" s="55" t="s">
        <v>4624</v>
      </c>
      <c r="P21" s="55" t="s">
        <v>110</v>
      </c>
      <c r="Q21" s="67" t="str">
        <f>IFERROR(__xludf.DUMMYFUNCTION("""COMPUTED_VALUE"""),"CzechRepublic.Kids.anhkhaigiang_LHV.9822_MES_DungNTKids_130623")</f>
        <v>CzechRepublic.Kids.anhkhaigiang_LHV.9822_MES_DungNTKids_130623</v>
      </c>
      <c r="R21" s="67" t="str">
        <f>IFERROR(__xludf.DUMMYFUNCTION("""COMPUTED_VALUE"""),"NEW_CzechRepublic_3555_none_130623")</f>
        <v>NEW_CzechRepublic_3555_none_130623</v>
      </c>
      <c r="S21" s="67" t="str">
        <f>IFERROR(__xludf.DUMMYFUNCTION("""COMPUTED_VALUE"""),"saletructiep_CzechRepublic.anhkhaigiang.3555.Giaotiep_AEC_LD171")</f>
        <v>saletructiep_CzechRepublic.anhkhaigiang.3555.Giaotiep_AEC_LD171</v>
      </c>
      <c r="T21" s="107" t="str">
        <f>IFERROR(__xludf.DUMMYFUNCTION("""COMPUTED_VALUE"""),"https://www.aecenglishkids.edu.vn/?utm_source=Facebook&amp;utm_medium=MES&amp;utm_term=NEW_CzechRepublic_3555_none_130623&amp;utm_content=saletructiep_CzechRepublic.anhkhaigiang.3555.Giaotiep_AEC_LD171&amp;utm_campaign=CzechRepublic.Kids.anhkhaigiang_LHV.9822_MES_DungNTK"&amp;"ids_130623")</f>
        <v>https://www.aecenglishkids.edu.vn/?utm_source=Facebook&amp;utm_medium=MES&amp;utm_term=NEW_CzechRepublic_3555_none_130623&amp;utm_content=saletructiep_CzechRepublic.anhkhaigiang.3555.Giaotiep_AEC_LD171&amp;utm_campaign=CzechRepublic.Kids.anhkhaigiang_LHV.9822_MES_DungNTKids_130623</v>
      </c>
      <c r="U21" s="111" t="s">
        <v>4753</v>
      </c>
    </row>
    <row r="22">
      <c r="A22" s="50">
        <v>45090.0</v>
      </c>
      <c r="B22" s="133" t="s">
        <v>4738</v>
      </c>
      <c r="C22" s="58" t="str">
        <f>IFERROR(__xludf.DUMMYFUNCTION("""COMPUTED_VALUE"""),"LD171")</f>
        <v>LD171</v>
      </c>
      <c r="D22" s="55" t="s">
        <v>42</v>
      </c>
      <c r="E22" s="55" t="s">
        <v>79</v>
      </c>
      <c r="F22" s="44" t="s">
        <v>133</v>
      </c>
      <c r="G22" s="44">
        <v>3555.0</v>
      </c>
      <c r="H22" s="44" t="s">
        <v>4619</v>
      </c>
      <c r="I22" s="44" t="s">
        <v>4757</v>
      </c>
      <c r="J22" s="44" t="s">
        <v>4758</v>
      </c>
      <c r="K22" s="167" t="s">
        <v>61</v>
      </c>
      <c r="L22" s="55" t="s">
        <v>1264</v>
      </c>
      <c r="M22" s="55" t="s">
        <v>78</v>
      </c>
      <c r="N22" s="55" t="s">
        <v>79</v>
      </c>
      <c r="O22" s="55" t="s">
        <v>4624</v>
      </c>
      <c r="P22" s="55" t="s">
        <v>110</v>
      </c>
      <c r="Q22" s="67" t="str">
        <f>IFERROR(__xludf.DUMMYFUNCTION("""COMPUTED_VALUE"""),"Japan.Kids.anhkhaigiang_LHV.9822_MES_DungNTKids_130623")</f>
        <v>Japan.Kids.anhkhaigiang_LHV.9822_MES_DungNTKids_130623</v>
      </c>
      <c r="R22" s="67" t="str">
        <f>IFERROR(__xludf.DUMMYFUNCTION("""COMPUTED_VALUE"""),"NEW_Japan_3555_none_130623")</f>
        <v>NEW_Japan_3555_none_130623</v>
      </c>
      <c r="S22" s="67" t="str">
        <f>IFERROR(__xludf.DUMMYFUNCTION("""COMPUTED_VALUE"""),"saletructiep_Japan.anhkhaigiang.3555.Giaotiep_AEC_LD171")</f>
        <v>saletructiep_Japan.anhkhaigiang.3555.Giaotiep_AEC_LD171</v>
      </c>
      <c r="T22" s="107" t="str">
        <f>IFERROR(__xludf.DUMMYFUNCTION("""COMPUTED_VALUE"""),"https://www.aecenglishkids.edu.vn/?utm_source=Facebook&amp;utm_medium=MES&amp;utm_term=NEW_Japan_3555_none_130623&amp;utm_content=saletructiep_Japan.anhkhaigiang.3555.Giaotiep_AEC_LD171&amp;utm_campaign=Japan.Kids.anhkhaigiang_LHV.9822_MES_DungNTKids_130623")</f>
        <v>https://www.aecenglishkids.edu.vn/?utm_source=Facebook&amp;utm_medium=MES&amp;utm_term=NEW_Japan_3555_none_130623&amp;utm_content=saletructiep_Japan.anhkhaigiang.3555.Giaotiep_AEC_LD171&amp;utm_campaign=Japan.Kids.anhkhaigiang_LHV.9822_MES_DungNTKids_130623</v>
      </c>
      <c r="U22" s="110" t="s">
        <v>4762</v>
      </c>
    </row>
    <row r="23">
      <c r="A23" s="206">
        <v>45088.0</v>
      </c>
      <c r="B23" s="112" t="s">
        <v>4612</v>
      </c>
      <c r="C23" s="58" t="str">
        <f>IFERROR(__xludf.DUMMYFUNCTION("""COMPUTED_VALUE"""),"LD168")</f>
        <v>LD168</v>
      </c>
      <c r="D23" s="55" t="s">
        <v>42</v>
      </c>
      <c r="E23" s="55" t="s">
        <v>79</v>
      </c>
      <c r="F23" s="44" t="s">
        <v>199</v>
      </c>
      <c r="G23" s="44">
        <v>3055.0</v>
      </c>
      <c r="H23" s="44" t="s">
        <v>4619</v>
      </c>
      <c r="I23" s="44" t="s">
        <v>4767</v>
      </c>
      <c r="J23" s="44" t="s">
        <v>4768</v>
      </c>
      <c r="K23" s="167" t="s">
        <v>61</v>
      </c>
      <c r="L23" s="55" t="s">
        <v>1264</v>
      </c>
      <c r="M23" s="55" t="s">
        <v>78</v>
      </c>
      <c r="N23" s="55" t="s">
        <v>79</v>
      </c>
      <c r="O23" s="55" t="s">
        <v>4624</v>
      </c>
      <c r="P23" s="55" t="s">
        <v>110</v>
      </c>
      <c r="Q23" s="67" t="str">
        <f>IFERROR(__xludf.DUMMYFUNCTION("""COMPUTED_VALUE"""),"TTTUKHTN.Kids.anhmolop_LHV.9822_MES_DungNTKids_110623")</f>
        <v>TTTUKHTN.Kids.anhmolop_LHV.9822_MES_DungNTKids_110623</v>
      </c>
      <c r="R23" s="67" t="str">
        <f>IFERROR(__xludf.DUMMYFUNCTION("""COMPUTED_VALUE"""),"NEW_Vietnam_3055_none_110623")</f>
        <v>NEW_Vietnam_3055_none_110623</v>
      </c>
      <c r="S23" s="67" t="str">
        <f>IFERROR(__xludf.DUMMYFUNCTION("""COMPUTED_VALUE"""),"saletructiep_TTTUKHTN.anhmolop.3555.Giaotiep_AEC_LD168")</f>
        <v>saletructiep_TTTUKHTN.anhmolop.3555.Giaotiep_AEC_LD168</v>
      </c>
      <c r="T23" s="107" t="str">
        <f>IFERROR(__xludf.DUMMYFUNCTION("""COMPUTED_VALUE"""),"https://pu.englishcoach.vn/tienganhkidsaec/?utm_source=Facebook&amp;utm_medium=MES&amp;utm_term=NEW_Vietnam_3055_none_110623&amp;utm_content=saletructiep_TTTUKHTN.anhmolop.3555.Giaotiep_AEC_LD168&amp;utm_campaign=TTTUKHTN.Kids.anhmolop_LHV.9822_MES_DungNTKids_110623")</f>
        <v>https://pu.englishcoach.vn/tienganhkidsaec/?utm_source=Facebook&amp;utm_medium=MES&amp;utm_term=NEW_Vietnam_3055_none_110623&amp;utm_content=saletructiep_TTTUKHTN.anhmolop.3555.Giaotiep_AEC_LD168&amp;utm_campaign=TTTUKHTN.Kids.anhmolop_LHV.9822_MES_DungNTKids_110623</v>
      </c>
      <c r="U23" s="110" t="s">
        <v>4770</v>
      </c>
    </row>
    <row r="24">
      <c r="A24" s="72">
        <v>45091.0</v>
      </c>
      <c r="B24" s="133" t="s">
        <v>4738</v>
      </c>
      <c r="C24" s="58" t="str">
        <f>IFERROR(__xludf.DUMMYFUNCTION("""COMPUTED_VALUE"""),"LD171")</f>
        <v>LD171</v>
      </c>
      <c r="D24" s="55" t="s">
        <v>42</v>
      </c>
      <c r="E24" s="55" t="s">
        <v>79</v>
      </c>
      <c r="F24" s="55" t="s">
        <v>4774</v>
      </c>
      <c r="G24" s="44">
        <v>3055.0</v>
      </c>
      <c r="H24" s="44" t="s">
        <v>4619</v>
      </c>
      <c r="I24" s="44" t="s">
        <v>4767</v>
      </c>
      <c r="J24" s="44" t="s">
        <v>4776</v>
      </c>
      <c r="K24" s="167" t="s">
        <v>61</v>
      </c>
      <c r="L24" s="55" t="s">
        <v>1264</v>
      </c>
      <c r="M24" s="55" t="s">
        <v>78</v>
      </c>
      <c r="N24" s="55" t="s">
        <v>79</v>
      </c>
      <c r="O24" s="55" t="s">
        <v>4624</v>
      </c>
      <c r="P24" s="55" t="s">
        <v>110</v>
      </c>
      <c r="Q24" s="67" t="str">
        <f>IFERROR(__xludf.DUMMYFUNCTION("""COMPUTED_VALUE"""),"TTTUKHTN.Kids.anhmolop_LHV.9822_MES_DungNTKids_140623")</f>
        <v>TTTUKHTN.Kids.anhmolop_LHV.9822_MES_DungNTKids_140623</v>
      </c>
      <c r="R24" s="67" t="str">
        <f>IFERROR(__xludf.DUMMYFUNCTION("""COMPUTED_VALUE"""),"NEW_TTTUKHTN_3055_none_140623")</f>
        <v>NEW_TTTUKHTN_3055_none_140623</v>
      </c>
      <c r="S24" s="67" t="str">
        <f>IFERROR(__xludf.DUMMYFUNCTION("""COMPUTED_VALUE"""),"saletructiep_TTTUKHTN.anhmolop.3055.Giaotiep_AEC_LD171")</f>
        <v>saletructiep_TTTUKHTN.anhmolop.3055.Giaotiep_AEC_LD171</v>
      </c>
      <c r="T24" s="107" t="str">
        <f>IFERROR(__xludf.DUMMYFUNCTION("""COMPUTED_VALUE"""),"https://www.aecenglishkids.edu.vn/?utm_source=Facebook&amp;utm_medium=MES&amp;utm_term=NEW_TTTUKHTN_3055_none_140623&amp;utm_content=saletructiep_TTTUKHTN.anhmolop.3055.Giaotiep_AEC_LD171&amp;utm_campaign=TTTUKHTN.Kids.anhmolop_LHV.9822_MES_DungNTKids_140623")</f>
        <v>https://www.aecenglishkids.edu.vn/?utm_source=Facebook&amp;utm_medium=MES&amp;utm_term=NEW_TTTUKHTN_3055_none_140623&amp;utm_content=saletructiep_TTTUKHTN.anhmolop.3055.Giaotiep_AEC_LD171&amp;utm_campaign=TTTUKHTN.Kids.anhmolop_LHV.9822_MES_DungNTKids_140623</v>
      </c>
      <c r="U24" s="110" t="s">
        <v>4780</v>
      </c>
    </row>
    <row r="25">
      <c r="A25" s="72">
        <v>45091.0</v>
      </c>
      <c r="B25" s="160" t="s">
        <v>4738</v>
      </c>
      <c r="C25" s="217" t="str">
        <f>IFERROR(__xludf.DUMMYFUNCTION("""COMPUTED_VALUE"""),"LD171")</f>
        <v>LD171</v>
      </c>
      <c r="D25" s="143" t="s">
        <v>42</v>
      </c>
      <c r="E25" s="87" t="s">
        <v>69</v>
      </c>
      <c r="F25" s="143" t="s">
        <v>4774</v>
      </c>
      <c r="G25" s="218">
        <v>3055.0</v>
      </c>
      <c r="H25" s="41" t="s">
        <v>4619</v>
      </c>
      <c r="I25" s="44" t="s">
        <v>4767</v>
      </c>
      <c r="J25" s="44" t="s">
        <v>4776</v>
      </c>
      <c r="K25" s="143" t="s">
        <v>61</v>
      </c>
      <c r="L25" s="143" t="s">
        <v>1264</v>
      </c>
      <c r="M25" s="143" t="s">
        <v>78</v>
      </c>
      <c r="N25" s="87" t="s">
        <v>69</v>
      </c>
      <c r="O25" s="143" t="s">
        <v>4624</v>
      </c>
      <c r="P25" s="143" t="s">
        <v>110</v>
      </c>
      <c r="Q25" s="58" t="str">
        <f>IFERROR(__xludf.DUMMYFUNCTION("""COMPUTED_VALUE"""),"TTTUKHTN.Kids.anhmolop_LHV.9822_CVS_DungNTKids_140623")</f>
        <v>TTTUKHTN.Kids.anhmolop_LHV.9822_CVS_DungNTKids_140623</v>
      </c>
      <c r="R25" s="58" t="str">
        <f>IFERROR(__xludf.DUMMYFUNCTION("""COMPUTED_VALUE"""),"NEW_TTTUKHTN_3055_none_140623")</f>
        <v>NEW_TTTUKHTN_3055_none_140623</v>
      </c>
      <c r="S25" s="58" t="str">
        <f>IFERROR(__xludf.DUMMYFUNCTION("""COMPUTED_VALUE"""),"saletructiep_TTTUKHTN.anhmolop.3055.Giaotiep_AEC_LD171")</f>
        <v>saletructiep_TTTUKHTN.anhmolop.3055.Giaotiep_AEC_LD171</v>
      </c>
      <c r="T25" s="214" t="str">
        <f>IFERROR(__xludf.DUMMYFUNCTION("""COMPUTED_VALUE"""),"https://www.aecenglishkids.edu.vn/?utm_source=Facebook&amp;utm_medium=CVS&amp;utm_term=NEW_TTTUKHTN_3055_none_140623&amp;utm_content=saletructiep_TTTUKHTN.anhmolop.3055.Giaotiep_AEC_LD171&amp;utm_campaign=TTTUKHTN.Kids.anhmolop_LHV.9822_CVS_DungNTKids_140623")</f>
        <v>https://www.aecenglishkids.edu.vn/?utm_source=Facebook&amp;utm_medium=CVS&amp;utm_term=NEW_TTTUKHTN_3055_none_140623&amp;utm_content=saletructiep_TTTUKHTN.anhmolop.3055.Giaotiep_AEC_LD171&amp;utm_campaign=TTTUKHTN.Kids.anhmolop_LHV.9822_CVS_DungNTKids_140623</v>
      </c>
      <c r="U25" s="205" t="s">
        <v>4786</v>
      </c>
    </row>
    <row r="26">
      <c r="A26" s="72">
        <v>45091.0</v>
      </c>
      <c r="B26" s="160" t="s">
        <v>4738</v>
      </c>
      <c r="C26" s="58" t="str">
        <f>IFERROR(__xludf.DUMMYFUNCTION("""COMPUTED_VALUE"""),"LD171")</f>
        <v>LD171</v>
      </c>
      <c r="D26" s="55" t="s">
        <v>42</v>
      </c>
      <c r="E26" s="55" t="s">
        <v>79</v>
      </c>
      <c r="F26" s="55" t="s">
        <v>4774</v>
      </c>
      <c r="G26" s="44">
        <v>3055.0</v>
      </c>
      <c r="H26" s="44" t="s">
        <v>4619</v>
      </c>
      <c r="I26" s="44" t="s">
        <v>4792</v>
      </c>
      <c r="J26" s="44" t="s">
        <v>4793</v>
      </c>
      <c r="K26" s="167" t="s">
        <v>61</v>
      </c>
      <c r="L26" s="55" t="s">
        <v>1264</v>
      </c>
      <c r="M26" s="55" t="s">
        <v>78</v>
      </c>
      <c r="N26" s="55" t="s">
        <v>79</v>
      </c>
      <c r="O26" s="55" t="s">
        <v>4624</v>
      </c>
      <c r="P26" s="55" t="s">
        <v>110</v>
      </c>
      <c r="Q26" s="67" t="str">
        <f>IFERROR(__xludf.DUMMYFUNCTION("""COMPUTED_VALUE"""),"TTTUKHTN.Kids.anhkhaigiang_LHV.9822_MES_DungNTKids_140623")</f>
        <v>TTTUKHTN.Kids.anhkhaigiang_LHV.9822_MES_DungNTKids_140623</v>
      </c>
      <c r="R26" s="67" t="str">
        <f>IFERROR(__xludf.DUMMYFUNCTION("""COMPUTED_VALUE"""),"NEW_TTTUKHTN_3055_none_140623")</f>
        <v>NEW_TTTUKHTN_3055_none_140623</v>
      </c>
      <c r="S26" s="67" t="str">
        <f>IFERROR(__xludf.DUMMYFUNCTION("""COMPUTED_VALUE"""),"saletructiep_TTTUKHTN.anhkhaigiang.3055.Giaotiep_AEC_LD171")</f>
        <v>saletructiep_TTTUKHTN.anhkhaigiang.3055.Giaotiep_AEC_LD171</v>
      </c>
      <c r="T26" s="107" t="str">
        <f>IFERROR(__xludf.DUMMYFUNCTION("""COMPUTED_VALUE"""),"https://www.aecenglishkids.edu.vn/?utm_source=Facebook&amp;utm_medium=MES&amp;utm_term=NEW_TTTUKHTN_3055_none_140623&amp;utm_content=saletructiep_TTTUKHTN.anhkhaigiang.3055.Giaotiep_AEC_LD171&amp;utm_campaign=TTTUKHTN.Kids.anhkhaigiang_LHV.9822_MES_DungNTKids_140623")</f>
        <v>https://www.aecenglishkids.edu.vn/?utm_source=Facebook&amp;utm_medium=MES&amp;utm_term=NEW_TTTUKHTN_3055_none_140623&amp;utm_content=saletructiep_TTTUKHTN.anhkhaigiang.3055.Giaotiep_AEC_LD171&amp;utm_campaign=TTTUKHTN.Kids.anhkhaigiang_LHV.9822_MES_DungNTKids_140623</v>
      </c>
      <c r="U26" s="110" t="s">
        <v>4796</v>
      </c>
    </row>
    <row r="27">
      <c r="A27" s="72">
        <v>45091.0</v>
      </c>
      <c r="B27" s="160" t="s">
        <v>4738</v>
      </c>
      <c r="C27" s="67" t="str">
        <f>IFERROR(__xludf.DUMMYFUNCTION("""COMPUTED_VALUE"""),"LD171")</f>
        <v>LD171</v>
      </c>
      <c r="D27" s="143" t="s">
        <v>42</v>
      </c>
      <c r="E27" s="87" t="s">
        <v>69</v>
      </c>
      <c r="F27" s="143" t="s">
        <v>4774</v>
      </c>
      <c r="G27" s="218">
        <v>3055.0</v>
      </c>
      <c r="H27" s="41" t="s">
        <v>4619</v>
      </c>
      <c r="I27" s="44" t="s">
        <v>4792</v>
      </c>
      <c r="J27" s="44" t="s">
        <v>4793</v>
      </c>
      <c r="K27" s="143" t="s">
        <v>61</v>
      </c>
      <c r="L27" s="143" t="s">
        <v>1264</v>
      </c>
      <c r="M27" s="143" t="s">
        <v>78</v>
      </c>
      <c r="N27" s="87" t="s">
        <v>69</v>
      </c>
      <c r="O27" s="143" t="s">
        <v>4624</v>
      </c>
      <c r="P27" s="143" t="s">
        <v>110</v>
      </c>
      <c r="Q27" s="67" t="str">
        <f>IFERROR(__xludf.DUMMYFUNCTION("""COMPUTED_VALUE"""),"TTTUKHTN.Kids.anhkhaigiang_LHV.9822_CVS_DungNTKids_140623")</f>
        <v>TTTUKHTN.Kids.anhkhaigiang_LHV.9822_CVS_DungNTKids_140623</v>
      </c>
      <c r="R27" s="67" t="str">
        <f>IFERROR(__xludf.DUMMYFUNCTION("""COMPUTED_VALUE"""),"NEW_TTTUKHTN_3055_none_140623")</f>
        <v>NEW_TTTUKHTN_3055_none_140623</v>
      </c>
      <c r="S27" s="67" t="str">
        <f>IFERROR(__xludf.DUMMYFUNCTION("""COMPUTED_VALUE"""),"saletructiep_TTTUKHTN.anhkhaigiang.3055.Giaotiep_AEC_LD171")</f>
        <v>saletructiep_TTTUKHTN.anhkhaigiang.3055.Giaotiep_AEC_LD171</v>
      </c>
      <c r="T27" s="107" t="str">
        <f>IFERROR(__xludf.DUMMYFUNCTION("""COMPUTED_VALUE"""),"https://www.aecenglishkids.edu.vn/?utm_source=Facebook&amp;utm_medium=CVS&amp;utm_term=NEW_TTTUKHTN_3055_none_140623&amp;utm_content=saletructiep_TTTUKHTN.anhkhaigiang.3055.Giaotiep_AEC_LD171&amp;utm_campaign=TTTUKHTN.Kids.anhkhaigiang_LHV.9822_CVS_DungNTKids_140623")</f>
        <v>https://www.aecenglishkids.edu.vn/?utm_source=Facebook&amp;utm_medium=CVS&amp;utm_term=NEW_TTTUKHTN_3055_none_140623&amp;utm_content=saletructiep_TTTUKHTN.anhkhaigiang.3055.Giaotiep_AEC_LD171&amp;utm_campaign=TTTUKHTN.Kids.anhkhaigiang_LHV.9822_CVS_DungNTKids_140623</v>
      </c>
      <c r="U27" s="110" t="s">
        <v>4806</v>
      </c>
    </row>
    <row r="28">
      <c r="A28" s="72">
        <v>45091.0</v>
      </c>
      <c r="B28" s="160" t="s">
        <v>4738</v>
      </c>
      <c r="C28" s="67" t="str">
        <f>IFERROR(__xludf.DUMMYFUNCTION("""COMPUTED_VALUE"""),"LD171")</f>
        <v>LD171</v>
      </c>
      <c r="D28" s="55" t="s">
        <v>42</v>
      </c>
      <c r="E28" s="55" t="s">
        <v>3916</v>
      </c>
      <c r="F28" s="143" t="s">
        <v>4774</v>
      </c>
      <c r="G28" s="219">
        <v>3555.0</v>
      </c>
      <c r="H28" s="41" t="s">
        <v>4619</v>
      </c>
      <c r="I28" s="44" t="s">
        <v>4812</v>
      </c>
      <c r="J28" s="44" t="s">
        <v>4813</v>
      </c>
      <c r="K28" s="143" t="s">
        <v>61</v>
      </c>
      <c r="L28" s="143" t="s">
        <v>1264</v>
      </c>
      <c r="M28" s="143" t="s">
        <v>78</v>
      </c>
      <c r="N28" s="87" t="s">
        <v>3916</v>
      </c>
      <c r="O28" s="143" t="s">
        <v>4624</v>
      </c>
      <c r="P28" s="143" t="s">
        <v>110</v>
      </c>
      <c r="Q28" s="67" t="str">
        <f>IFERROR(__xludf.DUMMYFUNCTION("""COMPUTED_VALUE"""),"TTTUKHTN.Kids.Videoben_LHV.9822_REEL_DungNTKids_140623")</f>
        <v>TTTUKHTN.Kids.Videoben_LHV.9822_REEL_DungNTKids_140623</v>
      </c>
      <c r="R28" s="67" t="str">
        <f>IFERROR(__xludf.DUMMYFUNCTION("""COMPUTED_VALUE"""),"NEW_TTTUKHTN_3555_none_140623")</f>
        <v>NEW_TTTUKHTN_3555_none_140623</v>
      </c>
      <c r="S28" s="67" t="str">
        <f>IFERROR(__xludf.DUMMYFUNCTION("""COMPUTED_VALUE"""),"saletructiep_TTTUKHTN.Videoben.3555.Giaotiep_AEC_LD171")</f>
        <v>saletructiep_TTTUKHTN.Videoben.3555.Giaotiep_AEC_LD171</v>
      </c>
      <c r="T28" s="107" t="str">
        <f>IFERROR(__xludf.DUMMYFUNCTION("""COMPUTED_VALUE"""),"https://www.aecenglishkids.edu.vn/?utm_source=Facebook&amp;utm_medium=REEL&amp;utm_term=NEW_TTTUKHTN_3555_none_140623&amp;utm_content=saletructiep_TTTUKHTN.Videoben.3555.Giaotiep_AEC_LD171&amp;utm_campaign=TTTUKHTN.Kids.Videoben_LHV.9822_REEL_DungNTKids_140623")</f>
        <v>https://www.aecenglishkids.edu.vn/?utm_source=Facebook&amp;utm_medium=REEL&amp;utm_term=NEW_TTTUKHTN_3555_none_140623&amp;utm_content=saletructiep_TTTUKHTN.Videoben.3555.Giaotiep_AEC_LD171&amp;utm_campaign=TTTUKHTN.Kids.Videoben_LHV.9822_REEL_DungNTKids_140623</v>
      </c>
      <c r="U28" s="110" t="s">
        <v>4818</v>
      </c>
    </row>
    <row r="29">
      <c r="A29" s="72">
        <v>45091.0</v>
      </c>
      <c r="B29" s="160" t="s">
        <v>4738</v>
      </c>
      <c r="C29" s="67" t="str">
        <f>IFERROR(__xludf.DUMMYFUNCTION("""COMPUTED_VALUE"""),"LD171")</f>
        <v>LD171</v>
      </c>
      <c r="D29" s="55" t="s">
        <v>42</v>
      </c>
      <c r="E29" s="55" t="s">
        <v>3916</v>
      </c>
      <c r="F29" s="143" t="s">
        <v>4774</v>
      </c>
      <c r="G29" s="219">
        <v>3555.0</v>
      </c>
      <c r="H29" s="41" t="s">
        <v>4619</v>
      </c>
      <c r="I29" s="44" t="s">
        <v>4824</v>
      </c>
      <c r="J29" s="44" t="s">
        <v>4825</v>
      </c>
      <c r="K29" s="143" t="s">
        <v>61</v>
      </c>
      <c r="L29" s="143" t="s">
        <v>1264</v>
      </c>
      <c r="M29" s="143" t="s">
        <v>78</v>
      </c>
      <c r="N29" s="87" t="s">
        <v>3916</v>
      </c>
      <c r="O29" s="143" t="s">
        <v>4624</v>
      </c>
      <c r="P29" s="143" t="s">
        <v>110</v>
      </c>
      <c r="Q29" s="67" t="str">
        <f>IFERROR(__xludf.DUMMYFUNCTION("""COMPUTED_VALUE"""),"TTTUKHTN.Kids.Videoangel_LHV.9822_REEL_DungNTKids_140623")</f>
        <v>TTTUKHTN.Kids.Videoangel_LHV.9822_REEL_DungNTKids_140623</v>
      </c>
      <c r="R29" s="67" t="str">
        <f>IFERROR(__xludf.DUMMYFUNCTION("""COMPUTED_VALUE"""),"NEW_TTTUKHTN_3555_none_140623")</f>
        <v>NEW_TTTUKHTN_3555_none_140623</v>
      </c>
      <c r="S29" s="67" t="str">
        <f>IFERROR(__xludf.DUMMYFUNCTION("""COMPUTED_VALUE"""),"saletructiep_TTTUKHTN.Videoangel.3555.Giaotiep_AEC_LD171")</f>
        <v>saletructiep_TTTUKHTN.Videoangel.3555.Giaotiep_AEC_LD171</v>
      </c>
      <c r="T29" s="107" t="str">
        <f>IFERROR(__xludf.DUMMYFUNCTION("""COMPUTED_VALUE"""),"https://www.aecenglishkids.edu.vn/?utm_source=Facebook&amp;utm_medium=REEL&amp;utm_term=NEW_TTTUKHTN_3555_none_140623&amp;utm_content=saletructiep_TTTUKHTN.Videoangel.3555.Giaotiep_AEC_LD171&amp;utm_campaign=TTTUKHTN.Kids.Videoangel_LHV.9822_REEL_DungNTKids_140623")</f>
        <v>https://www.aecenglishkids.edu.vn/?utm_source=Facebook&amp;utm_medium=REEL&amp;utm_term=NEW_TTTUKHTN_3555_none_140623&amp;utm_content=saletructiep_TTTUKHTN.Videoangel.3555.Giaotiep_AEC_LD171&amp;utm_campaign=TTTUKHTN.Kids.Videoangel_LHV.9822_REEL_DungNTKids_140623</v>
      </c>
      <c r="U29" s="110" t="s">
        <v>4827</v>
      </c>
    </row>
    <row r="30">
      <c r="A30" s="72">
        <v>45091.0</v>
      </c>
      <c r="B30" s="160" t="s">
        <v>4738</v>
      </c>
      <c r="C30" s="67" t="str">
        <f>IFERROR(__xludf.DUMMYFUNCTION("""COMPUTED_VALUE"""),"LD171")</f>
        <v>LD171</v>
      </c>
      <c r="D30" s="55" t="s">
        <v>42</v>
      </c>
      <c r="E30" s="55" t="s">
        <v>69</v>
      </c>
      <c r="F30" s="55" t="s">
        <v>4774</v>
      </c>
      <c r="G30" s="55">
        <v>3555.0</v>
      </c>
      <c r="H30" s="55" t="s">
        <v>4619</v>
      </c>
      <c r="I30" s="44" t="s">
        <v>4831</v>
      </c>
      <c r="J30" s="44" t="s">
        <v>4832</v>
      </c>
      <c r="K30" s="143" t="s">
        <v>61</v>
      </c>
      <c r="L30" s="143" t="s">
        <v>1264</v>
      </c>
      <c r="M30" s="87" t="s">
        <v>2789</v>
      </c>
      <c r="N30" s="87" t="s">
        <v>69</v>
      </c>
      <c r="O30" s="143" t="s">
        <v>4624</v>
      </c>
      <c r="P30" s="143" t="s">
        <v>110</v>
      </c>
      <c r="Q30" s="67" t="str">
        <f>IFERROR(__xludf.DUMMYFUNCTION("""COMPUTED_VALUE"""),"TTTUKHTN.Kids.anhstory_LHV.9822_CVS_DungNTKids_140623")</f>
        <v>TTTUKHTN.Kids.anhstory_LHV.9822_CVS_DungNTKids_140623</v>
      </c>
      <c r="R30" s="67" t="str">
        <f>IFERROR(__xludf.DUMMYFUNCTION("""COMPUTED_VALUE"""),"NEW_TTTUKHTN_3555_none_140623")</f>
        <v>NEW_TTTUKHTN_3555_none_140623</v>
      </c>
      <c r="S30" s="67" t="str">
        <f>IFERROR(__xludf.DUMMYFUNCTION("""COMPUTED_VALUE"""),"Storytelling_TTTUKHTN.anhstory.3555.Giaotiep_AEC_LD171")</f>
        <v>Storytelling_TTTUKHTN.anhstory.3555.Giaotiep_AEC_LD171</v>
      </c>
      <c r="T30" s="107" t="str">
        <f>IFERROR(__xludf.DUMMYFUNCTION("""COMPUTED_VALUE"""),"https://www.aecenglishkids.edu.vn/?utm_source=Facebook&amp;utm_medium=CVS&amp;utm_term=NEW_TTTUKHTN_3555_none_140623&amp;utm_content=Storytelling_TTTUKHTN.anhstory.3555.Giaotiep_AEC_LD171&amp;utm_campaign=TTTUKHTN.Kids.anhstory_LHV.9822_CVS_DungNTKids_140623")</f>
        <v>https://www.aecenglishkids.edu.vn/?utm_source=Facebook&amp;utm_medium=CVS&amp;utm_term=NEW_TTTUKHTN_3555_none_140623&amp;utm_content=Storytelling_TTTUKHTN.anhstory.3555.Giaotiep_AEC_LD171&amp;utm_campaign=TTTUKHTN.Kids.anhstory_LHV.9822_CVS_DungNTKids_140623</v>
      </c>
      <c r="U30" s="111" t="s">
        <v>4837</v>
      </c>
    </row>
    <row r="31">
      <c r="A31" s="72">
        <v>45096.0</v>
      </c>
      <c r="B31" s="160" t="s">
        <v>4738</v>
      </c>
      <c r="C31" s="58" t="str">
        <f>IFERROR(__xludf.DUMMYFUNCTION("""COMPUTED_VALUE"""),"LD171")</f>
        <v>LD171</v>
      </c>
      <c r="D31" s="55" t="s">
        <v>42</v>
      </c>
      <c r="E31" s="55" t="s">
        <v>79</v>
      </c>
      <c r="F31" s="55" t="s">
        <v>4774</v>
      </c>
      <c r="G31" s="44">
        <v>3555.0</v>
      </c>
      <c r="H31" s="44" t="s">
        <v>4619</v>
      </c>
      <c r="I31" s="44" t="s">
        <v>4792</v>
      </c>
      <c r="J31" s="44" t="s">
        <v>4840</v>
      </c>
      <c r="K31" s="167" t="s">
        <v>61</v>
      </c>
      <c r="L31" s="55" t="s">
        <v>1264</v>
      </c>
      <c r="M31" s="55" t="s">
        <v>78</v>
      </c>
      <c r="N31" s="55" t="s">
        <v>79</v>
      </c>
      <c r="O31" s="55" t="s">
        <v>4624</v>
      </c>
      <c r="P31" s="55" t="s">
        <v>110</v>
      </c>
      <c r="Q31" s="67" t="str">
        <f>IFERROR(__xludf.DUMMYFUNCTION("""COMPUTED_VALUE"""),"TTTUKHTN.Kids.anhkhaigiang_LHV.9822_MES_DungNTKids_190623")</f>
        <v>TTTUKHTN.Kids.anhkhaigiang_LHV.9822_MES_DungNTKids_190623</v>
      </c>
      <c r="R31" s="67" t="str">
        <f>IFERROR(__xludf.DUMMYFUNCTION("""COMPUTED_VALUE"""),"NEW_TTTUKHTN_3555_none_190623")</f>
        <v>NEW_TTTUKHTN_3555_none_190623</v>
      </c>
      <c r="S31" s="67" t="str">
        <f>IFERROR(__xludf.DUMMYFUNCTION("""COMPUTED_VALUE"""),"saletructiep_TTTUKHTN.anhkhaigiang.3555.Giaotiep_AEC_LD171")</f>
        <v>saletructiep_TTTUKHTN.anhkhaigiang.3555.Giaotiep_AEC_LD171</v>
      </c>
      <c r="T31" s="107" t="str">
        <f>IFERROR(__xludf.DUMMYFUNCTION("""COMPUTED_VALUE"""),"https://www.aecenglishkids.edu.vn/?utm_source=Facebook&amp;utm_medium=MES&amp;utm_term=NEW_TTTUKHTN_3555_none_190623&amp;utm_content=saletructiep_TTTUKHTN.anhkhaigiang.3555.Giaotiep_AEC_LD171&amp;utm_campaign=TTTUKHTN.Kids.anhkhaigiang_LHV.9822_MES_DungNTKids_190623")</f>
        <v>https://www.aecenglishkids.edu.vn/?utm_source=Facebook&amp;utm_medium=MES&amp;utm_term=NEW_TTTUKHTN_3555_none_190623&amp;utm_content=saletructiep_TTTUKHTN.anhkhaigiang.3555.Giaotiep_AEC_LD171&amp;utm_campaign=TTTUKHTN.Kids.anhkhaigiang_LHV.9822_MES_DungNTKids_190623</v>
      </c>
      <c r="U31" s="110" t="s">
        <v>4796</v>
      </c>
    </row>
    <row r="32">
      <c r="A32" s="72">
        <v>45096.0</v>
      </c>
      <c r="B32" s="160" t="s">
        <v>4738</v>
      </c>
      <c r="C32" s="67" t="str">
        <f>IFERROR(__xludf.DUMMYFUNCTION("""COMPUTED_VALUE"""),"LD171")</f>
        <v>LD171</v>
      </c>
      <c r="D32" s="143" t="s">
        <v>42</v>
      </c>
      <c r="E32" s="87" t="s">
        <v>69</v>
      </c>
      <c r="F32" s="143" t="s">
        <v>4774</v>
      </c>
      <c r="G32" s="219">
        <v>3555.0</v>
      </c>
      <c r="H32" s="41" t="s">
        <v>4619</v>
      </c>
      <c r="I32" s="44" t="s">
        <v>4792</v>
      </c>
      <c r="J32" s="44" t="s">
        <v>4840</v>
      </c>
      <c r="K32" s="143" t="s">
        <v>61</v>
      </c>
      <c r="L32" s="143" t="s">
        <v>1264</v>
      </c>
      <c r="M32" s="143" t="s">
        <v>78</v>
      </c>
      <c r="N32" s="87" t="s">
        <v>69</v>
      </c>
      <c r="O32" s="143" t="s">
        <v>4624</v>
      </c>
      <c r="P32" s="143" t="s">
        <v>110</v>
      </c>
      <c r="Q32" s="67" t="str">
        <f>IFERROR(__xludf.DUMMYFUNCTION("""COMPUTED_VALUE"""),"TTTUKHTN.Kids.anhkhaigiang_LHV.9822_CVS_DungNTKids_190623")</f>
        <v>TTTUKHTN.Kids.anhkhaigiang_LHV.9822_CVS_DungNTKids_190623</v>
      </c>
      <c r="R32" s="67" t="str">
        <f>IFERROR(__xludf.DUMMYFUNCTION("""COMPUTED_VALUE"""),"NEW_TTTUKHTN_3555_none_190623")</f>
        <v>NEW_TTTUKHTN_3555_none_190623</v>
      </c>
      <c r="S32" s="67" t="str">
        <f>IFERROR(__xludf.DUMMYFUNCTION("""COMPUTED_VALUE"""),"saletructiep_TTTUKHTN.anhkhaigiang.3555.Giaotiep_AEC_LD171")</f>
        <v>saletructiep_TTTUKHTN.anhkhaigiang.3555.Giaotiep_AEC_LD171</v>
      </c>
      <c r="T32" s="107" t="str">
        <f>IFERROR(__xludf.DUMMYFUNCTION("""COMPUTED_VALUE"""),"https://www.aecenglishkids.edu.vn/?utm_source=Facebook&amp;utm_medium=CVS&amp;utm_term=NEW_TTTUKHTN_3555_none_190623&amp;utm_content=saletructiep_TTTUKHTN.anhkhaigiang.3555.Giaotiep_AEC_LD171&amp;utm_campaign=TTTUKHTN.Kids.anhkhaigiang_LHV.9822_CVS_DungNTKids_190623")</f>
        <v>https://www.aecenglishkids.edu.vn/?utm_source=Facebook&amp;utm_medium=CVS&amp;utm_term=NEW_TTTUKHTN_3555_none_190623&amp;utm_content=saletructiep_TTTUKHTN.anhkhaigiang.3555.Giaotiep_AEC_LD171&amp;utm_campaign=TTTUKHTN.Kids.anhkhaigiang_LHV.9822_CVS_DungNTKids_190623</v>
      </c>
      <c r="U32" s="110" t="s">
        <v>4806</v>
      </c>
    </row>
    <row r="33">
      <c r="A33" s="72">
        <v>45096.0</v>
      </c>
      <c r="B33" s="160" t="s">
        <v>4738</v>
      </c>
      <c r="C33" s="217" t="str">
        <f>IFERROR(__xludf.DUMMYFUNCTION("""COMPUTED_VALUE"""),"LD171")</f>
        <v>LD171</v>
      </c>
      <c r="D33" s="143" t="s">
        <v>42</v>
      </c>
      <c r="E33" s="87" t="s">
        <v>69</v>
      </c>
      <c r="F33" s="143" t="s">
        <v>4774</v>
      </c>
      <c r="G33" s="219">
        <v>3555.0</v>
      </c>
      <c r="H33" s="41" t="s">
        <v>4619</v>
      </c>
      <c r="I33" s="44" t="s">
        <v>4767</v>
      </c>
      <c r="J33" s="44" t="s">
        <v>4768</v>
      </c>
      <c r="K33" s="143" t="s">
        <v>61</v>
      </c>
      <c r="L33" s="143" t="s">
        <v>1264</v>
      </c>
      <c r="M33" s="143" t="s">
        <v>78</v>
      </c>
      <c r="N33" s="87" t="s">
        <v>69</v>
      </c>
      <c r="O33" s="143" t="s">
        <v>4624</v>
      </c>
      <c r="P33" s="143" t="s">
        <v>110</v>
      </c>
      <c r="Q33" s="58" t="str">
        <f>IFERROR(__xludf.DUMMYFUNCTION("""COMPUTED_VALUE"""),"TTTUKHTN.Kids.anhmolop_LHV.9822_CVS_DungNTKids_190623")</f>
        <v>TTTUKHTN.Kids.anhmolop_LHV.9822_CVS_DungNTKids_190623</v>
      </c>
      <c r="R33" s="58" t="str">
        <f>IFERROR(__xludf.DUMMYFUNCTION("""COMPUTED_VALUE"""),"NEW_TTTUKHTN_3555_none_190623")</f>
        <v>NEW_TTTUKHTN_3555_none_190623</v>
      </c>
      <c r="S33" s="58" t="str">
        <f>IFERROR(__xludf.DUMMYFUNCTION("""COMPUTED_VALUE"""),"saletructiep_TTTUKHTN.anhmolop.3555.Giaotiep_AEC_LD171")</f>
        <v>saletructiep_TTTUKHTN.anhmolop.3555.Giaotiep_AEC_LD171</v>
      </c>
      <c r="T33" s="214" t="str">
        <f>IFERROR(__xludf.DUMMYFUNCTION("""COMPUTED_VALUE"""),"https://www.aecenglishkids.edu.vn/?utm_source=Facebook&amp;utm_medium=CVS&amp;utm_term=NEW_TTTUKHTN_3555_none_190623&amp;utm_content=saletructiep_TTTUKHTN.anhmolop.3555.Giaotiep_AEC_LD171&amp;utm_campaign=TTTUKHTN.Kids.anhmolop_LHV.9822_CVS_DungNTKids_190623")</f>
        <v>https://www.aecenglishkids.edu.vn/?utm_source=Facebook&amp;utm_medium=CVS&amp;utm_term=NEW_TTTUKHTN_3555_none_190623&amp;utm_content=saletructiep_TTTUKHTN.anhmolop.3555.Giaotiep_AEC_LD171&amp;utm_campaign=TTTUKHTN.Kids.anhmolop_LHV.9822_CVS_DungNTKids_190623</v>
      </c>
      <c r="U33" s="205" t="s">
        <v>4786</v>
      </c>
    </row>
    <row r="34">
      <c r="A34" s="206">
        <v>45096.0</v>
      </c>
      <c r="B34" s="160" t="s">
        <v>4738</v>
      </c>
      <c r="C34" s="58" t="str">
        <f>IFERROR(__xludf.DUMMYFUNCTION("""COMPUTED_VALUE"""),"LD171")</f>
        <v>LD171</v>
      </c>
      <c r="D34" s="55" t="s">
        <v>42</v>
      </c>
      <c r="E34" s="55" t="s">
        <v>79</v>
      </c>
      <c r="F34" s="44" t="s">
        <v>4774</v>
      </c>
      <c r="G34" s="219">
        <v>3555.0</v>
      </c>
      <c r="H34" s="44" t="s">
        <v>4619</v>
      </c>
      <c r="I34" s="44" t="s">
        <v>4858</v>
      </c>
      <c r="J34" s="44" t="s">
        <v>4859</v>
      </c>
      <c r="K34" s="167" t="s">
        <v>61</v>
      </c>
      <c r="L34" s="55" t="s">
        <v>1264</v>
      </c>
      <c r="M34" s="55" t="s">
        <v>78</v>
      </c>
      <c r="N34" s="55" t="s">
        <v>79</v>
      </c>
      <c r="O34" s="55" t="s">
        <v>4624</v>
      </c>
      <c r="P34" s="55" t="s">
        <v>110</v>
      </c>
      <c r="Q34" s="67" t="str">
        <f>IFERROR(__xludf.DUMMYFUNCTION("""COMPUTED_VALUE"""),"TTTUKHTN.Kids.Videocamnhan_LHV.9822_MES_DungNTKids_190623")</f>
        <v>TTTUKHTN.Kids.Videocamnhan_LHV.9822_MES_DungNTKids_190623</v>
      </c>
      <c r="R34" s="67" t="str">
        <f>IFERROR(__xludf.DUMMYFUNCTION("""COMPUTED_VALUE"""),"NEW_TTTUKHTN_3555_none_190623")</f>
        <v>NEW_TTTUKHTN_3555_none_190623</v>
      </c>
      <c r="S34" s="67" t="str">
        <f>IFERROR(__xludf.DUMMYFUNCTION("""COMPUTED_VALUE"""),"saletructiep_TTTUKHTN.Videocamnhan.3555.Giaotiep_AEC_LD171")</f>
        <v>saletructiep_TTTUKHTN.Videocamnhan.3555.Giaotiep_AEC_LD171</v>
      </c>
      <c r="T34" s="107" t="str">
        <f>IFERROR(__xludf.DUMMYFUNCTION("""COMPUTED_VALUE"""),"https://www.aecenglishkids.edu.vn/?utm_source=Facebook&amp;utm_medium=MES&amp;utm_term=NEW_TTTUKHTN_3555_none_190623&amp;utm_content=saletructiep_TTTUKHTN.Videocamnhan.3555.Giaotiep_AEC_LD171&amp;utm_campaign=TTTUKHTN.Kids.Videocamnhan_LHV.9822_MES_DungNTKids_190623")</f>
        <v>https://www.aecenglishkids.edu.vn/?utm_source=Facebook&amp;utm_medium=MES&amp;utm_term=NEW_TTTUKHTN_3555_none_190623&amp;utm_content=saletructiep_TTTUKHTN.Videocamnhan.3555.Giaotiep_AEC_LD171&amp;utm_campaign=TTTUKHTN.Kids.Videocamnhan_LHV.9822_MES_DungNTKids_190623</v>
      </c>
      <c r="U34" s="110" t="s">
        <v>4863</v>
      </c>
    </row>
    <row r="35">
      <c r="A35" s="206">
        <v>45096.0</v>
      </c>
      <c r="B35" s="160" t="s">
        <v>4738</v>
      </c>
      <c r="C35" s="58" t="str">
        <f>IFERROR(__xludf.DUMMYFUNCTION("""COMPUTED_VALUE"""),"LD171")</f>
        <v>LD171</v>
      </c>
      <c r="D35" s="55" t="s">
        <v>42</v>
      </c>
      <c r="E35" s="55" t="s">
        <v>69</v>
      </c>
      <c r="F35" s="44" t="s">
        <v>4774</v>
      </c>
      <c r="G35" s="219">
        <v>3555.0</v>
      </c>
      <c r="H35" s="44" t="s">
        <v>4619</v>
      </c>
      <c r="I35" s="44" t="s">
        <v>4858</v>
      </c>
      <c r="J35" s="44" t="s">
        <v>4859</v>
      </c>
      <c r="K35" s="167" t="s">
        <v>61</v>
      </c>
      <c r="L35" s="55" t="s">
        <v>1264</v>
      </c>
      <c r="M35" s="55" t="s">
        <v>78</v>
      </c>
      <c r="N35" s="55" t="s">
        <v>69</v>
      </c>
      <c r="O35" s="55" t="s">
        <v>4624</v>
      </c>
      <c r="P35" s="55" t="s">
        <v>110</v>
      </c>
      <c r="Q35" s="67" t="str">
        <f>IFERROR(__xludf.DUMMYFUNCTION("""COMPUTED_VALUE"""),"TTTUKHTN.Kids.Videocamnhan_LHV.9822_CVS_DungNTKids_190623")</f>
        <v>TTTUKHTN.Kids.Videocamnhan_LHV.9822_CVS_DungNTKids_190623</v>
      </c>
      <c r="R35" s="67" t="str">
        <f>IFERROR(__xludf.DUMMYFUNCTION("""COMPUTED_VALUE"""),"NEW_TTTUKHTN_3555_none_190623")</f>
        <v>NEW_TTTUKHTN_3555_none_190623</v>
      </c>
      <c r="S35" s="67" t="str">
        <f>IFERROR(__xludf.DUMMYFUNCTION("""COMPUTED_VALUE"""),"saletructiep_TTTUKHTN.Videocamnhan.3555.Giaotiep_AEC_LD171")</f>
        <v>saletructiep_TTTUKHTN.Videocamnhan.3555.Giaotiep_AEC_LD171</v>
      </c>
      <c r="T35" s="107" t="str">
        <f>IFERROR(__xludf.DUMMYFUNCTION("""COMPUTED_VALUE"""),"https://www.aecenglishkids.edu.vn/?utm_source=Facebook&amp;utm_medium=CVS&amp;utm_term=NEW_TTTUKHTN_3555_none_190623&amp;utm_content=saletructiep_TTTUKHTN.Videocamnhan.3555.Giaotiep_AEC_LD171&amp;utm_campaign=TTTUKHTN.Kids.Videocamnhan_LHV.9822_CVS_DungNTKids_190623")</f>
        <v>https://www.aecenglishkids.edu.vn/?utm_source=Facebook&amp;utm_medium=CVS&amp;utm_term=NEW_TTTUKHTN_3555_none_190623&amp;utm_content=saletructiep_TTTUKHTN.Videocamnhan.3555.Giaotiep_AEC_LD171&amp;utm_campaign=TTTUKHTN.Kids.Videocamnhan_LHV.9822_CVS_DungNTKids_190623</v>
      </c>
      <c r="U35" s="110" t="s">
        <v>4871</v>
      </c>
    </row>
    <row r="36">
      <c r="A36" s="72">
        <v>45098.0</v>
      </c>
      <c r="B36" s="160" t="s">
        <v>4738</v>
      </c>
      <c r="C36" s="67" t="str">
        <f>IFERROR(__xludf.DUMMYFUNCTION("""COMPUTED_VALUE"""),"LD171")</f>
        <v>LD171</v>
      </c>
      <c r="D36" s="55" t="s">
        <v>42</v>
      </c>
      <c r="E36" s="55" t="s">
        <v>79</v>
      </c>
      <c r="F36" s="55" t="s">
        <v>4774</v>
      </c>
      <c r="G36" s="219">
        <v>3555.0</v>
      </c>
      <c r="H36" s="44" t="s">
        <v>4619</v>
      </c>
      <c r="I36" s="44" t="s">
        <v>4874</v>
      </c>
      <c r="J36" s="44" t="s">
        <v>4875</v>
      </c>
      <c r="K36" s="167" t="s">
        <v>61</v>
      </c>
      <c r="L36" s="55" t="s">
        <v>1264</v>
      </c>
      <c r="M36" s="55" t="s">
        <v>78</v>
      </c>
      <c r="N36" s="55" t="s">
        <v>79</v>
      </c>
      <c r="O36" s="55" t="s">
        <v>4624</v>
      </c>
      <c r="P36" s="55" t="s">
        <v>110</v>
      </c>
      <c r="Q36" s="67" t="str">
        <f>IFERROR(__xludf.DUMMYFUNCTION("""COMPUTED_VALUE"""),"TTTUKHTN.Kids.anhkhaigiangctdh_LHV.9822_MES_DungNTKids_210623")</f>
        <v>TTTUKHTN.Kids.anhkhaigiangctdh_LHV.9822_MES_DungNTKids_210623</v>
      </c>
      <c r="R36" s="67" t="str">
        <f>IFERROR(__xludf.DUMMYFUNCTION("""COMPUTED_VALUE"""),"NEW_TTTUKHTN_3555_none_210623")</f>
        <v>NEW_TTTUKHTN_3555_none_210623</v>
      </c>
      <c r="S36" s="67" t="str">
        <f>IFERROR(__xludf.DUMMYFUNCTION("""COMPUTED_VALUE"""),"saletructiep_TTTUKHTN.anhkhaigiangctdh.3555.Giaotiep_AEC_LD171")</f>
        <v>saletructiep_TTTUKHTN.anhkhaigiangctdh.3555.Giaotiep_AEC_LD171</v>
      </c>
      <c r="T36" s="107" t="str">
        <f>IFERROR(__xludf.DUMMYFUNCTION("""COMPUTED_VALUE"""),"https://www.aecenglishkids.edu.vn/?utm_source=Facebook&amp;utm_medium=MES&amp;utm_term=NEW_TTTUKHTN_3555_none_210623&amp;utm_content=saletructiep_TTTUKHTN.anhkhaigiangctdh.3555.Giaotiep_AEC_LD171&amp;utm_campaign=TTTUKHTN.Kids.anhkhaigiangctdh_LHV.9822_MES_DungNTKids_210"&amp;"623")</f>
        <v>https://www.aecenglishkids.edu.vn/?utm_source=Facebook&amp;utm_medium=MES&amp;utm_term=NEW_TTTUKHTN_3555_none_210623&amp;utm_content=saletructiep_TTTUKHTN.anhkhaigiangctdh.3555.Giaotiep_AEC_LD171&amp;utm_campaign=TTTUKHTN.Kids.anhkhaigiangctdh_LHV.9822_MES_DungNTKids_210623</v>
      </c>
      <c r="U36" s="110" t="s">
        <v>4877</v>
      </c>
    </row>
    <row r="37">
      <c r="A37" s="72">
        <v>45098.0</v>
      </c>
      <c r="B37" s="160" t="s">
        <v>4738</v>
      </c>
      <c r="C37" s="67" t="str">
        <f>IFERROR(__xludf.DUMMYFUNCTION("""COMPUTED_VALUE"""),"LD171")</f>
        <v>LD171</v>
      </c>
      <c r="D37" s="55" t="s">
        <v>42</v>
      </c>
      <c r="E37" s="55" t="s">
        <v>79</v>
      </c>
      <c r="F37" s="55" t="s">
        <v>4774</v>
      </c>
      <c r="G37" s="219">
        <v>3555.0</v>
      </c>
      <c r="H37" s="44" t="s">
        <v>4619</v>
      </c>
      <c r="I37" s="44" t="s">
        <v>4881</v>
      </c>
      <c r="J37" s="44" t="s">
        <v>4882</v>
      </c>
      <c r="K37" s="167" t="s">
        <v>61</v>
      </c>
      <c r="L37" s="55" t="s">
        <v>1264</v>
      </c>
      <c r="M37" s="55" t="s">
        <v>78</v>
      </c>
      <c r="N37" s="55" t="s">
        <v>79</v>
      </c>
      <c r="O37" s="55" t="s">
        <v>4624</v>
      </c>
      <c r="P37" s="55" t="s">
        <v>110</v>
      </c>
      <c r="Q37" s="67" t="str">
        <f>IFERROR(__xludf.DUMMYFUNCTION("""COMPUTED_VALUE"""),"TTTUKHTN.Kids.videokids1_LHV.9822_MES_DungNTKids_210623")</f>
        <v>TTTUKHTN.Kids.videokids1_LHV.9822_MES_DungNTKids_210623</v>
      </c>
      <c r="R37" s="67" t="str">
        <f>IFERROR(__xludf.DUMMYFUNCTION("""COMPUTED_VALUE"""),"NEW_TTTUKHTN_3555_none_210623")</f>
        <v>NEW_TTTUKHTN_3555_none_210623</v>
      </c>
      <c r="S37" s="67" t="str">
        <f>IFERROR(__xludf.DUMMYFUNCTION("""COMPUTED_VALUE"""),"saletructiep_TTTUKHTN.videokids1.3555.Giaotiep_AEC_LD171")</f>
        <v>saletructiep_TTTUKHTN.videokids1.3555.Giaotiep_AEC_LD171</v>
      </c>
      <c r="T37" s="107" t="str">
        <f>IFERROR(__xludf.DUMMYFUNCTION("""COMPUTED_VALUE"""),"https://www.aecenglishkids.edu.vn/?utm_source=Facebook&amp;utm_medium=MES&amp;utm_term=NEW_TTTUKHTN_3555_none_210623&amp;utm_content=saletructiep_TTTUKHTN.videokids1.3555.Giaotiep_AEC_LD171&amp;utm_campaign=TTTUKHTN.Kids.videokids1_LHV.9822_MES_DungNTKids_210623")</f>
        <v>https://www.aecenglishkids.edu.vn/?utm_source=Facebook&amp;utm_medium=MES&amp;utm_term=NEW_TTTUKHTN_3555_none_210623&amp;utm_content=saletructiep_TTTUKHTN.videokids1.3555.Giaotiep_AEC_LD171&amp;utm_campaign=TTTUKHTN.Kids.videokids1_LHV.9822_MES_DungNTKids_210623</v>
      </c>
      <c r="U37" s="110" t="s">
        <v>4885</v>
      </c>
    </row>
    <row r="38">
      <c r="A38" s="72">
        <v>45098.0</v>
      </c>
      <c r="B38" s="160" t="s">
        <v>4738</v>
      </c>
      <c r="C38" s="67" t="str">
        <f>IFERROR(__xludf.DUMMYFUNCTION("""COMPUTED_VALUE"""),"LD171")</f>
        <v>LD171</v>
      </c>
      <c r="D38" s="55" t="s">
        <v>42</v>
      </c>
      <c r="E38" s="55" t="s">
        <v>69</v>
      </c>
      <c r="F38" s="55" t="s">
        <v>4774</v>
      </c>
      <c r="G38" s="219">
        <v>3555.0</v>
      </c>
      <c r="H38" s="44" t="s">
        <v>4619</v>
      </c>
      <c r="I38" s="44" t="s">
        <v>4881</v>
      </c>
      <c r="J38" s="44" t="s">
        <v>4882</v>
      </c>
      <c r="K38" s="167" t="s">
        <v>61</v>
      </c>
      <c r="L38" s="55" t="s">
        <v>1264</v>
      </c>
      <c r="M38" s="55" t="s">
        <v>78</v>
      </c>
      <c r="N38" s="55" t="s">
        <v>69</v>
      </c>
      <c r="O38" s="55" t="s">
        <v>4624</v>
      </c>
      <c r="P38" s="55" t="s">
        <v>110</v>
      </c>
      <c r="Q38" s="67" t="str">
        <f>IFERROR(__xludf.DUMMYFUNCTION("""COMPUTED_VALUE"""),"TTTUKHTN.Kids.videokids1_LHV.9822_CVS_DungNTKids_210623")</f>
        <v>TTTUKHTN.Kids.videokids1_LHV.9822_CVS_DungNTKids_210623</v>
      </c>
      <c r="R38" s="67" t="str">
        <f>IFERROR(__xludf.DUMMYFUNCTION("""COMPUTED_VALUE"""),"NEW_TTTUKHTN_3555_none_210623")</f>
        <v>NEW_TTTUKHTN_3555_none_210623</v>
      </c>
      <c r="S38" s="67" t="str">
        <f>IFERROR(__xludf.DUMMYFUNCTION("""COMPUTED_VALUE"""),"saletructiep_TTTUKHTN.videokids1.3555.Giaotiep_AEC_LD171")</f>
        <v>saletructiep_TTTUKHTN.videokids1.3555.Giaotiep_AEC_LD171</v>
      </c>
      <c r="T38" s="107" t="str">
        <f>IFERROR(__xludf.DUMMYFUNCTION("""COMPUTED_VALUE"""),"https://www.aecenglishkids.edu.vn/?utm_source=Facebook&amp;utm_medium=CVS&amp;utm_term=NEW_TTTUKHTN_3555_none_210623&amp;utm_content=saletructiep_TTTUKHTN.videokids1.3555.Giaotiep_AEC_LD171&amp;utm_campaign=TTTUKHTN.Kids.videokids1_LHV.9822_CVS_DungNTKids_210623")</f>
        <v>https://www.aecenglishkids.edu.vn/?utm_source=Facebook&amp;utm_medium=CVS&amp;utm_term=NEW_TTTUKHTN_3555_none_210623&amp;utm_content=saletructiep_TTTUKHTN.videokids1.3555.Giaotiep_AEC_LD171&amp;utm_campaign=TTTUKHTN.Kids.videokids1_LHV.9822_CVS_DungNTKids_210623</v>
      </c>
      <c r="U38" s="146" t="s">
        <v>4889</v>
      </c>
    </row>
    <row r="39">
      <c r="A39" s="72">
        <v>45100.0</v>
      </c>
      <c r="B39" s="160" t="s">
        <v>4738</v>
      </c>
      <c r="C39" s="67" t="str">
        <f>IFERROR(__xludf.DUMMYFUNCTION("""COMPUTED_VALUE"""),"LD171")</f>
        <v>LD171</v>
      </c>
      <c r="D39" s="55" t="s">
        <v>42</v>
      </c>
      <c r="E39" s="55" t="s">
        <v>79</v>
      </c>
      <c r="F39" s="55" t="s">
        <v>4774</v>
      </c>
      <c r="G39" s="219">
        <v>3555.0</v>
      </c>
      <c r="H39" s="44" t="s">
        <v>4619</v>
      </c>
      <c r="I39" s="44" t="s">
        <v>4894</v>
      </c>
      <c r="J39" s="44" t="s">
        <v>4895</v>
      </c>
      <c r="K39" s="167" t="s">
        <v>61</v>
      </c>
      <c r="L39" s="55" t="s">
        <v>1264</v>
      </c>
      <c r="M39" s="55" t="s">
        <v>78</v>
      </c>
      <c r="N39" s="55" t="s">
        <v>79</v>
      </c>
      <c r="O39" s="55" t="s">
        <v>4624</v>
      </c>
      <c r="P39" s="55" t="s">
        <v>110</v>
      </c>
      <c r="Q39" s="67" t="str">
        <f>IFERROR(__xludf.DUMMYFUNCTION("""COMPUTED_VALUE"""),"TTTUKHTN.Kids.anhcttuonglai_LHV.9822_MES_DungNTKids_230623")</f>
        <v>TTTUKHTN.Kids.anhcttuonglai_LHV.9822_MES_DungNTKids_230623</v>
      </c>
      <c r="R39" s="67" t="str">
        <f>IFERROR(__xludf.DUMMYFUNCTION("""COMPUTED_VALUE"""),"NEW_TTTUKHTN_3555_none_230623")</f>
        <v>NEW_TTTUKHTN_3555_none_230623</v>
      </c>
      <c r="S39" s="67" t="str">
        <f>IFERROR(__xludf.DUMMYFUNCTION("""COMPUTED_VALUE"""),"saletructiep_TTTUKHTN.anhanhcttuonglai.3555.Giaotiep_AEC_LD171")</f>
        <v>saletructiep_TTTUKHTN.anhanhcttuonglai.3555.Giaotiep_AEC_LD171</v>
      </c>
      <c r="T39" s="107" t="str">
        <f>IFERROR(__xludf.DUMMYFUNCTION("""COMPUTED_VALUE"""),"https://www.aecenglishkids.edu.vn/?utm_source=Facebook&amp;utm_medium=MES&amp;utm_term=NEW_TTTUKHTN_3555_none_230623&amp;utm_content=saletructiep_TTTUKHTN.anhanhcttuonglai.3555.Giaotiep_AEC_LD171&amp;utm_campaign=TTTUKHTN.Kids.anhcttuonglai_LHV.9822_MES_DungNTKids_230623")</f>
        <v>https://www.aecenglishkids.edu.vn/?utm_source=Facebook&amp;utm_medium=MES&amp;utm_term=NEW_TTTUKHTN_3555_none_230623&amp;utm_content=saletructiep_TTTUKHTN.anhanhcttuonglai.3555.Giaotiep_AEC_LD171&amp;utm_campaign=TTTUKHTN.Kids.anhcttuonglai_LHV.9822_MES_DungNTKids_230623</v>
      </c>
      <c r="U39" s="110" t="s">
        <v>4903</v>
      </c>
    </row>
    <row r="40">
      <c r="A40" s="72">
        <v>45100.0</v>
      </c>
      <c r="B40" s="160" t="s">
        <v>4738</v>
      </c>
      <c r="C40" s="67" t="str">
        <f>IFERROR(__xludf.DUMMYFUNCTION("""COMPUTED_VALUE"""),"LD171")</f>
        <v>LD171</v>
      </c>
      <c r="D40" s="55" t="s">
        <v>42</v>
      </c>
      <c r="E40" s="55" t="s">
        <v>79</v>
      </c>
      <c r="F40" s="55" t="s">
        <v>4774</v>
      </c>
      <c r="G40" s="219">
        <v>3555.0</v>
      </c>
      <c r="H40" s="44" t="s">
        <v>4619</v>
      </c>
      <c r="I40" s="44" t="s">
        <v>4881</v>
      </c>
      <c r="J40" s="44" t="s">
        <v>4882</v>
      </c>
      <c r="K40" s="167" t="s">
        <v>61</v>
      </c>
      <c r="L40" s="55" t="s">
        <v>1264</v>
      </c>
      <c r="M40" s="55" t="s">
        <v>78</v>
      </c>
      <c r="N40" s="55" t="s">
        <v>79</v>
      </c>
      <c r="O40" s="55" t="s">
        <v>4624</v>
      </c>
      <c r="P40" s="55" t="s">
        <v>110</v>
      </c>
      <c r="Q40" s="67" t="str">
        <f>IFERROR(__xludf.DUMMYFUNCTION("""COMPUTED_VALUE"""),"TTTUKHTN.Kids.videokids1_LHV.9822_MES_DungNTKids_230623")</f>
        <v>TTTUKHTN.Kids.videokids1_LHV.9822_MES_DungNTKids_230623</v>
      </c>
      <c r="R40" s="67" t="str">
        <f>IFERROR(__xludf.DUMMYFUNCTION("""COMPUTED_VALUE"""),"NEW_TTTUKHTN_3555_none_230623")</f>
        <v>NEW_TTTUKHTN_3555_none_230623</v>
      </c>
      <c r="S40" s="67" t="str">
        <f>IFERROR(__xludf.DUMMYFUNCTION("""COMPUTED_VALUE"""),"saletructiep_TTTUKHTN.videokids1.3555.Giaotiep_AEC_LD171")</f>
        <v>saletructiep_TTTUKHTN.videokids1.3555.Giaotiep_AEC_LD171</v>
      </c>
      <c r="T40" s="107" t="str">
        <f>IFERROR(__xludf.DUMMYFUNCTION("""COMPUTED_VALUE"""),"https://www.aecenglishkids.edu.vn/?utm_source=Facebook&amp;utm_medium=MES&amp;utm_term=NEW_TTTUKHTN_3555_none_230623&amp;utm_content=saletructiep_TTTUKHTN.videokids1.3555.Giaotiep_AEC_LD171&amp;utm_campaign=TTTUKHTN.Kids.videokids1_LHV.9822_MES_DungNTKids_230623")</f>
        <v>https://www.aecenglishkids.edu.vn/?utm_source=Facebook&amp;utm_medium=MES&amp;utm_term=NEW_TTTUKHTN_3555_none_230623&amp;utm_content=saletructiep_TTTUKHTN.videokids1.3555.Giaotiep_AEC_LD171&amp;utm_campaign=TTTUKHTN.Kids.videokids1_LHV.9822_MES_DungNTKids_230623</v>
      </c>
      <c r="U40" s="110" t="s">
        <v>4885</v>
      </c>
    </row>
    <row r="41">
      <c r="A41" s="72">
        <v>45103.0</v>
      </c>
      <c r="B41" s="160" t="s">
        <v>4738</v>
      </c>
      <c r="C41" s="67" t="str">
        <f>IFERROR(__xludf.DUMMYFUNCTION("""COMPUTED_VALUE"""),"LD171")</f>
        <v>LD171</v>
      </c>
      <c r="D41" s="55" t="s">
        <v>42</v>
      </c>
      <c r="E41" s="55" t="s">
        <v>79</v>
      </c>
      <c r="F41" s="55" t="s">
        <v>4774</v>
      </c>
      <c r="G41" s="219">
        <v>3555.0</v>
      </c>
      <c r="H41" s="44" t="s">
        <v>4619</v>
      </c>
      <c r="I41" s="44" t="s">
        <v>4894</v>
      </c>
      <c r="J41" s="44" t="s">
        <v>4895</v>
      </c>
      <c r="K41" s="167" t="s">
        <v>61</v>
      </c>
      <c r="L41" s="55" t="s">
        <v>1264</v>
      </c>
      <c r="M41" s="55" t="s">
        <v>78</v>
      </c>
      <c r="N41" s="55" t="s">
        <v>79</v>
      </c>
      <c r="O41" s="55" t="s">
        <v>4624</v>
      </c>
      <c r="P41" s="55" t="s">
        <v>110</v>
      </c>
      <c r="Q41" s="67" t="str">
        <f>IFERROR(__xludf.DUMMYFUNCTION("""COMPUTED_VALUE"""),"TTTUKHTN.Kids.anhcttuonglai_LHV.9822_MES_DungNTKids_260623")</f>
        <v>TTTUKHTN.Kids.anhcttuonglai_LHV.9822_MES_DungNTKids_260623</v>
      </c>
      <c r="R41" s="67" t="str">
        <f>IFERROR(__xludf.DUMMYFUNCTION("""COMPUTED_VALUE"""),"NEW_TTTUKHTN_3555_none_260623")</f>
        <v>NEW_TTTUKHTN_3555_none_260623</v>
      </c>
      <c r="S41" s="67" t="str">
        <f>IFERROR(__xludf.DUMMYFUNCTION("""COMPUTED_VALUE"""),"saletructiep_TTTUKHTN.anhanhcttuonglai.3555.Giaotiep_AEC_LD171")</f>
        <v>saletructiep_TTTUKHTN.anhanhcttuonglai.3555.Giaotiep_AEC_LD171</v>
      </c>
      <c r="T41" s="107" t="str">
        <f>IFERROR(__xludf.DUMMYFUNCTION("""COMPUTED_VALUE"""),"https://www.aecenglishkids.edu.vn/?utm_source=Facebook&amp;utm_medium=MES&amp;utm_term=NEW_TTTUKHTN_3555_none_260623&amp;utm_content=saletructiep_TTTUKHTN.anhanhcttuonglai.3555.Giaotiep_AEC_LD171&amp;utm_campaign=TTTUKHTN.Kids.anhcttuonglai_LHV.9822_MES_DungNTKids_260623")</f>
        <v>https://www.aecenglishkids.edu.vn/?utm_source=Facebook&amp;utm_medium=MES&amp;utm_term=NEW_TTTUKHTN_3555_none_260623&amp;utm_content=saletructiep_TTTUKHTN.anhanhcttuonglai.3555.Giaotiep_AEC_LD171&amp;utm_campaign=TTTUKHTN.Kids.anhcttuonglai_LHV.9822_MES_DungNTKids_260623</v>
      </c>
      <c r="U41" s="110" t="s">
        <v>4903</v>
      </c>
    </row>
    <row r="42">
      <c r="A42" s="72">
        <v>45104.0</v>
      </c>
      <c r="B42" s="160" t="s">
        <v>4738</v>
      </c>
      <c r="C42" s="67" t="str">
        <f>IFERROR(__xludf.DUMMYFUNCTION("""COMPUTED_VALUE"""),"LD171")</f>
        <v>LD171</v>
      </c>
      <c r="D42" s="55" t="s">
        <v>42</v>
      </c>
      <c r="E42" s="55" t="s">
        <v>79</v>
      </c>
      <c r="F42" s="55" t="s">
        <v>4774</v>
      </c>
      <c r="G42" s="219">
        <v>3555.0</v>
      </c>
      <c r="H42" s="44" t="s">
        <v>4619</v>
      </c>
      <c r="I42" s="44" t="s">
        <v>4923</v>
      </c>
      <c r="J42" s="44" t="s">
        <v>4924</v>
      </c>
      <c r="K42" s="167" t="s">
        <v>61</v>
      </c>
      <c r="L42" s="55" t="s">
        <v>1264</v>
      </c>
      <c r="M42" s="55" t="s">
        <v>78</v>
      </c>
      <c r="N42" s="55" t="s">
        <v>79</v>
      </c>
      <c r="O42" s="55" t="s">
        <v>4624</v>
      </c>
      <c r="P42" s="55" t="s">
        <v>110</v>
      </c>
      <c r="Q42" s="67" t="str">
        <f>IFERROR(__xludf.DUMMYFUNCTION("""COMPUTED_VALUE"""),"TTTUKHTN.Kids.CTCNNT_LHV.9822_MES_DungNTKids_270623")</f>
        <v>TTTUKHTN.Kids.CTCNNT_LHV.9822_MES_DungNTKids_270623</v>
      </c>
      <c r="R42" s="67" t="str">
        <f>IFERROR(__xludf.DUMMYFUNCTION("""COMPUTED_VALUE"""),"NEW_TTTUKHTN_3555_none_270623")</f>
        <v>NEW_TTTUKHTN_3555_none_270623</v>
      </c>
      <c r="S42" s="67" t="str">
        <f>IFERROR(__xludf.DUMMYFUNCTION("""COMPUTED_VALUE"""),"saletructiep_TTTUKHTN.CTCNNT.3555.Giaotiep_AEC_LD171")</f>
        <v>saletructiep_TTTUKHTN.CTCNNT.3555.Giaotiep_AEC_LD171</v>
      </c>
      <c r="T42" s="107" t="str">
        <f>IFERROR(__xludf.DUMMYFUNCTION("""COMPUTED_VALUE"""),"https://www.aecenglishkids.edu.vn/?utm_source=Facebook&amp;utm_medium=MES&amp;utm_term=NEW_TTTUKHTN_3555_none_270623&amp;utm_content=saletructiep_TTTUKHTN.CTCNNT.3555.Giaotiep_AEC_LD171&amp;utm_campaign=TTTUKHTN.Kids.CTCNNT_LHV.9822_MES_DungNTKids_270623")</f>
        <v>https://www.aecenglishkids.edu.vn/?utm_source=Facebook&amp;utm_medium=MES&amp;utm_term=NEW_TTTUKHTN_3555_none_270623&amp;utm_content=saletructiep_TTTUKHTN.CTCNNT.3555.Giaotiep_AEC_LD171&amp;utm_campaign=TTTUKHTN.Kids.CTCNNT_LHV.9822_MES_DungNTKids_270623</v>
      </c>
      <c r="U42" s="118"/>
    </row>
    <row r="43">
      <c r="A43" s="72">
        <v>45111.0</v>
      </c>
      <c r="B43" s="160" t="s">
        <v>4738</v>
      </c>
      <c r="C43" s="67" t="str">
        <f>IFERROR(__xludf.DUMMYFUNCTION("""COMPUTED_VALUE"""),"LD171")</f>
        <v>LD171</v>
      </c>
      <c r="D43" s="55" t="s">
        <v>42</v>
      </c>
      <c r="E43" s="55" t="s">
        <v>79</v>
      </c>
      <c r="F43" s="55" t="s">
        <v>4774</v>
      </c>
      <c r="G43" s="219">
        <v>3555.0</v>
      </c>
      <c r="H43" s="44" t="s">
        <v>4619</v>
      </c>
      <c r="I43" s="44" t="s">
        <v>4923</v>
      </c>
      <c r="J43" s="44" t="s">
        <v>4924</v>
      </c>
      <c r="K43" s="167" t="s">
        <v>61</v>
      </c>
      <c r="L43" s="55" t="s">
        <v>1264</v>
      </c>
      <c r="M43" s="55" t="s">
        <v>78</v>
      </c>
      <c r="N43" s="55" t="s">
        <v>79</v>
      </c>
      <c r="O43" s="55" t="s">
        <v>4624</v>
      </c>
      <c r="P43" s="55" t="s">
        <v>110</v>
      </c>
      <c r="Q43" s="67" t="str">
        <f>IFERROR(__xludf.DUMMYFUNCTION("""COMPUTED_VALUE"""),"TTTUKHTN.Kids.CTCNNT_LHV.9822_MES_DungNTKids_040723")</f>
        <v>TTTUKHTN.Kids.CTCNNT_LHV.9822_MES_DungNTKids_040723</v>
      </c>
      <c r="R43" s="67" t="str">
        <f>IFERROR(__xludf.DUMMYFUNCTION("""COMPUTED_VALUE"""),"NEW_TTTUKHTN_3555_none_040723")</f>
        <v>NEW_TTTUKHTN_3555_none_040723</v>
      </c>
      <c r="S43" s="67" t="str">
        <f>IFERROR(__xludf.DUMMYFUNCTION("""COMPUTED_VALUE"""),"saletructiep_TTTUKHTN.CTCNNT.3555.Giaotiep_AEC_LD171")</f>
        <v>saletructiep_TTTUKHTN.CTCNNT.3555.Giaotiep_AEC_LD171</v>
      </c>
      <c r="T43" s="107" t="str">
        <f>IFERROR(__xludf.DUMMYFUNCTION("""COMPUTED_VALUE"""),"https://www.aecenglishkids.edu.vn/?utm_source=Facebook&amp;utm_medium=MES&amp;utm_term=NEW_TTTUKHTN_3555_none_040723&amp;utm_content=saletructiep_TTTUKHTN.CTCNNT.3555.Giaotiep_AEC_LD171&amp;utm_campaign=TTTUKHTN.Kids.CTCNNT_LHV.9822_MES_DungNTKids_040723")</f>
        <v>https://www.aecenglishkids.edu.vn/?utm_source=Facebook&amp;utm_medium=MES&amp;utm_term=NEW_TTTUKHTN_3555_none_040723&amp;utm_content=saletructiep_TTTUKHTN.CTCNNT.3555.Giaotiep_AEC_LD171&amp;utm_campaign=TTTUKHTN.Kids.CTCNNT_LHV.9822_MES_DungNTKids_040723</v>
      </c>
      <c r="U43" s="118"/>
    </row>
    <row r="44">
      <c r="A44" s="72">
        <v>45111.0</v>
      </c>
      <c r="B44" s="160" t="s">
        <v>4738</v>
      </c>
      <c r="C44" s="67" t="str">
        <f>IFERROR(__xludf.DUMMYFUNCTION("""COMPUTED_VALUE"""),"LD171")</f>
        <v>LD171</v>
      </c>
      <c r="D44" s="55" t="s">
        <v>42</v>
      </c>
      <c r="E44" s="55" t="s">
        <v>79</v>
      </c>
      <c r="F44" s="55" t="s">
        <v>4774</v>
      </c>
      <c r="G44" s="219">
        <v>3555.0</v>
      </c>
      <c r="H44" s="44" t="s">
        <v>4619</v>
      </c>
      <c r="I44" s="44" t="s">
        <v>4894</v>
      </c>
      <c r="J44" s="44" t="s">
        <v>4895</v>
      </c>
      <c r="K44" s="167" t="s">
        <v>61</v>
      </c>
      <c r="L44" s="55" t="s">
        <v>1264</v>
      </c>
      <c r="M44" s="55" t="s">
        <v>78</v>
      </c>
      <c r="N44" s="55" t="s">
        <v>79</v>
      </c>
      <c r="O44" s="55" t="s">
        <v>4624</v>
      </c>
      <c r="P44" s="55" t="s">
        <v>110</v>
      </c>
      <c r="Q44" s="67" t="str">
        <f>IFERROR(__xludf.DUMMYFUNCTION("""COMPUTED_VALUE"""),"TTTUKHTN.Kids.anhcttuonglai_LHV.9822_MES_DungNTKids_040723")</f>
        <v>TTTUKHTN.Kids.anhcttuonglai_LHV.9822_MES_DungNTKids_040723</v>
      </c>
      <c r="R44" s="67" t="str">
        <f>IFERROR(__xludf.DUMMYFUNCTION("""COMPUTED_VALUE"""),"NEW_TTTUKHTN_3555_none_040723")</f>
        <v>NEW_TTTUKHTN_3555_none_040723</v>
      </c>
      <c r="S44" s="67" t="str">
        <f>IFERROR(__xludf.DUMMYFUNCTION("""COMPUTED_VALUE"""),"saletructiep_TTTUKHTN.anhanhcttuonglai.3555.Giaotiep_AEC_LD171")</f>
        <v>saletructiep_TTTUKHTN.anhanhcttuonglai.3555.Giaotiep_AEC_LD171</v>
      </c>
      <c r="T44" s="107" t="str">
        <f>IFERROR(__xludf.DUMMYFUNCTION("""COMPUTED_VALUE"""),"https://www.aecenglishkids.edu.vn/?utm_source=Facebook&amp;utm_medium=MES&amp;utm_term=NEW_TTTUKHTN_3555_none_040723&amp;utm_content=saletructiep_TTTUKHTN.anhanhcttuonglai.3555.Giaotiep_AEC_LD171&amp;utm_campaign=TTTUKHTN.Kids.anhcttuonglai_LHV.9822_MES_DungNTKids_040723")</f>
        <v>https://www.aecenglishkids.edu.vn/?utm_source=Facebook&amp;utm_medium=MES&amp;utm_term=NEW_TTTUKHTN_3555_none_040723&amp;utm_content=saletructiep_TTTUKHTN.anhanhcttuonglai.3555.Giaotiep_AEC_LD171&amp;utm_campaign=TTTUKHTN.Kids.anhcttuonglai_LHV.9822_MES_DungNTKids_040723</v>
      </c>
      <c r="U44" s="110" t="s">
        <v>4903</v>
      </c>
    </row>
    <row r="45">
      <c r="A45" s="72">
        <v>45111.0</v>
      </c>
      <c r="B45" s="133" t="s">
        <v>4738</v>
      </c>
      <c r="C45" s="58" t="str">
        <f>IFERROR(__xludf.DUMMYFUNCTION("""COMPUTED_VALUE"""),"LD171")</f>
        <v>LD171</v>
      </c>
      <c r="D45" s="55" t="s">
        <v>42</v>
      </c>
      <c r="E45" s="55" t="s">
        <v>79</v>
      </c>
      <c r="F45" s="55" t="s">
        <v>461</v>
      </c>
      <c r="G45" s="44">
        <v>3055.0</v>
      </c>
      <c r="H45" s="44" t="s">
        <v>4619</v>
      </c>
      <c r="I45" s="44" t="s">
        <v>4944</v>
      </c>
      <c r="J45" s="44" t="s">
        <v>4945</v>
      </c>
      <c r="K45" s="167" t="s">
        <v>61</v>
      </c>
      <c r="L45" s="55" t="s">
        <v>1264</v>
      </c>
      <c r="M45" s="55" t="s">
        <v>78</v>
      </c>
      <c r="N45" s="55" t="s">
        <v>79</v>
      </c>
      <c r="O45" s="55" t="s">
        <v>4624</v>
      </c>
      <c r="P45" s="55" t="s">
        <v>110</v>
      </c>
      <c r="Q45" s="67" t="str">
        <f>IFERROR(__xludf.DUMMYFUNCTION("""COMPUTED_VALUE"""),"CzechRepublic.Kids.anhmolop_LHV.9822_MES_DungNTKids_040723")</f>
        <v>CzechRepublic.Kids.anhmolop_LHV.9822_MES_DungNTKids_040723</v>
      </c>
      <c r="R45" s="67" t="str">
        <f>IFERROR(__xludf.DUMMYFUNCTION("""COMPUTED_VALUE"""),"NEW_CzechRepublic_3055_none_040723")</f>
        <v>NEW_CzechRepublic_3055_none_040723</v>
      </c>
      <c r="S45" s="67" t="str">
        <f>IFERROR(__xludf.DUMMYFUNCTION("""COMPUTED_VALUE"""),"saletructiep_CzechRepublic.anhmolop.3055.Giaotiep_AEC_LD171")</f>
        <v>saletructiep_CzechRepublic.anhmolop.3055.Giaotiep_AEC_LD171</v>
      </c>
      <c r="T45" s="107" t="str">
        <f>IFERROR(__xludf.DUMMYFUNCTION("""COMPUTED_VALUE"""),"https://www.aecenglishkids.edu.vn/?utm_source=Facebook&amp;utm_medium=MES&amp;utm_term=NEW_CzechRepublic_3055_none_040723&amp;utm_content=saletructiep_CzechRepublic.anhmolop.3055.Giaotiep_AEC_LD171&amp;utm_campaign=CzechRepublic.Kids.anhmolop_LHV.9822_MES_DungNTKids_0407"&amp;"23")</f>
        <v>https://www.aecenglishkids.edu.vn/?utm_source=Facebook&amp;utm_medium=MES&amp;utm_term=NEW_CzechRepublic_3055_none_040723&amp;utm_content=saletructiep_CzechRepublic.anhmolop.3055.Giaotiep_AEC_LD171&amp;utm_campaign=CzechRepublic.Kids.anhmolop_LHV.9822_MES_DungNTKids_040723</v>
      </c>
      <c r="U45" s="110" t="s">
        <v>4949</v>
      </c>
    </row>
    <row r="46">
      <c r="A46" s="72">
        <v>45113.0</v>
      </c>
      <c r="B46" s="133" t="s">
        <v>4738</v>
      </c>
      <c r="C46" s="67" t="str">
        <f>IFERROR(__xludf.DUMMYFUNCTION("""COMPUTED_VALUE"""),"LD171")</f>
        <v>LD171</v>
      </c>
      <c r="D46" s="55" t="s">
        <v>42</v>
      </c>
      <c r="E46" s="55" t="s">
        <v>79</v>
      </c>
      <c r="F46" s="55" t="s">
        <v>4774</v>
      </c>
      <c r="G46" s="219">
        <v>3555.0</v>
      </c>
      <c r="H46" s="44" t="s">
        <v>4619</v>
      </c>
      <c r="I46" s="44" t="s">
        <v>4953</v>
      </c>
      <c r="J46" s="44" t="s">
        <v>4954</v>
      </c>
      <c r="K46" s="167" t="s">
        <v>61</v>
      </c>
      <c r="L46" s="55" t="s">
        <v>1264</v>
      </c>
      <c r="M46" s="55" t="s">
        <v>78</v>
      </c>
      <c r="N46" s="55" t="s">
        <v>79</v>
      </c>
      <c r="O46" s="55" t="s">
        <v>4624</v>
      </c>
      <c r="P46" s="55" t="s">
        <v>110</v>
      </c>
      <c r="Q46" s="67" t="str">
        <f>IFERROR(__xludf.DUMMYFUNCTION("""COMPUTED_VALUE"""),"TTTUKHTN.Kids.anhctthoidiemvang_LHV.9822_MES_DungNTKids_060723")</f>
        <v>TTTUKHTN.Kids.anhctthoidiemvang_LHV.9822_MES_DungNTKids_060723</v>
      </c>
      <c r="R46" s="67" t="str">
        <f>IFERROR(__xludf.DUMMYFUNCTION("""COMPUTED_VALUE"""),"NEW_TTTUKHTN_3555_none_060723")</f>
        <v>NEW_TTTUKHTN_3555_none_060723</v>
      </c>
      <c r="S46" s="67" t="str">
        <f>IFERROR(__xludf.DUMMYFUNCTION("""COMPUTED_VALUE"""),"saletructiep_TTTUKHTN.anhctthoidiemvang.3555.Giaotiep_AEC_LD171")</f>
        <v>saletructiep_TTTUKHTN.anhctthoidiemvang.3555.Giaotiep_AEC_LD171</v>
      </c>
      <c r="T46" s="107" t="str">
        <f>IFERROR(__xludf.DUMMYFUNCTION("""COMPUTED_VALUE"""),"https://www.aecenglishkids.edu.vn/?utm_source=Facebook&amp;utm_medium=MES&amp;utm_term=NEW_TTTUKHTN_3555_none_060723&amp;utm_content=saletructiep_TTTUKHTN.anhctthoidiemvang.3555.Giaotiep_AEC_LD171&amp;utm_campaign=TTTUKHTN.Kids.anhctthoidiemvang_LHV.9822_MES_DungNTKids_0"&amp;"60723")</f>
        <v>https://www.aecenglishkids.edu.vn/?utm_source=Facebook&amp;utm_medium=MES&amp;utm_term=NEW_TTTUKHTN_3555_none_060723&amp;utm_content=saletructiep_TTTUKHTN.anhctthoidiemvang.3555.Giaotiep_AEC_LD171&amp;utm_campaign=TTTUKHTN.Kids.anhctthoidiemvang_LHV.9822_MES_DungNTKids_060723</v>
      </c>
      <c r="U46" s="118"/>
    </row>
    <row r="47">
      <c r="A47" s="72">
        <v>45138.0</v>
      </c>
      <c r="B47" s="133" t="s">
        <v>4738</v>
      </c>
      <c r="C47" s="67" t="str">
        <f>IFERROR(__xludf.DUMMYFUNCTION("""COMPUTED_VALUE"""),"LD171")</f>
        <v>LD171</v>
      </c>
      <c r="D47" s="55" t="s">
        <v>42</v>
      </c>
      <c r="E47" s="55" t="s">
        <v>69</v>
      </c>
      <c r="F47" s="55" t="s">
        <v>674</v>
      </c>
      <c r="G47" s="55">
        <v>2555.0</v>
      </c>
      <c r="H47" s="44" t="s">
        <v>4619</v>
      </c>
      <c r="I47" s="44" t="s">
        <v>4963</v>
      </c>
      <c r="J47" s="44" t="s">
        <v>4964</v>
      </c>
      <c r="K47" s="167" t="s">
        <v>61</v>
      </c>
      <c r="L47" s="55" t="s">
        <v>3607</v>
      </c>
      <c r="M47" s="55" t="s">
        <v>78</v>
      </c>
      <c r="N47" s="55" t="s">
        <v>69</v>
      </c>
      <c r="O47" s="55" t="s">
        <v>4624</v>
      </c>
      <c r="P47" s="55" t="s">
        <v>110</v>
      </c>
      <c r="Q47" s="67" t="str">
        <f>IFERROR(__xludf.DUMMYFUNCTION("""COMPUTED_VALUE"""),"Europe.Kids.anhkhoahoc_SCB.9889_CVS_DungNTKids_310723")</f>
        <v>Europe.Kids.anhkhoahoc_SCB.9889_CVS_DungNTKids_310723</v>
      </c>
      <c r="R47" s="67" t="str">
        <f>IFERROR(__xludf.DUMMYFUNCTION("""COMPUTED_VALUE"""),"NEW_Europe_2555_none_310723")</f>
        <v>NEW_Europe_2555_none_310723</v>
      </c>
      <c r="S47" s="67" t="str">
        <f>IFERROR(__xludf.DUMMYFUNCTION("""COMPUTED_VALUE"""),"saletructiep_Europe.anhkhoahoc.2555.Giaotiep_AEC_LD171")</f>
        <v>saletructiep_Europe.anhkhoahoc.2555.Giaotiep_AEC_LD171</v>
      </c>
      <c r="T47" s="107" t="str">
        <f>IFERROR(__xludf.DUMMYFUNCTION("""COMPUTED_VALUE"""),"https://www.aecenglishkids.edu.vn/?utm_source=Facebook&amp;utm_medium=CVS&amp;utm_term=NEW_Europe_2555_none_310723&amp;utm_content=saletructiep_Europe.anhkhoahoc.2555.Giaotiep_AEC_LD171&amp;utm_campaign=Europe.Kids.anhkhoahoc_SCB.9889_CVS_DungNTKids_310723")</f>
        <v>https://www.aecenglishkids.edu.vn/?utm_source=Facebook&amp;utm_medium=CVS&amp;utm_term=NEW_Europe_2555_none_310723&amp;utm_content=saletructiep_Europe.anhkhoahoc.2555.Giaotiep_AEC_LD171&amp;utm_campaign=Europe.Kids.anhkhoahoc_SCB.9889_CVS_DungNTKids_310723</v>
      </c>
      <c r="U47" s="110" t="s">
        <v>4968</v>
      </c>
    </row>
    <row r="48">
      <c r="A48" s="72">
        <v>45138.0</v>
      </c>
      <c r="B48" s="133" t="s">
        <v>4738</v>
      </c>
      <c r="C48" s="67" t="str">
        <f>IFERROR(__xludf.DUMMYFUNCTION("""COMPUTED_VALUE"""),"LD171")</f>
        <v>LD171</v>
      </c>
      <c r="D48" s="55" t="s">
        <v>42</v>
      </c>
      <c r="E48" s="55" t="s">
        <v>69</v>
      </c>
      <c r="F48" s="55" t="s">
        <v>674</v>
      </c>
      <c r="G48" s="55">
        <v>2555.0</v>
      </c>
      <c r="H48" s="44" t="s">
        <v>4619</v>
      </c>
      <c r="I48" s="44" t="s">
        <v>4973</v>
      </c>
      <c r="J48" s="44" t="s">
        <v>4975</v>
      </c>
      <c r="K48" s="167" t="s">
        <v>61</v>
      </c>
      <c r="L48" s="55" t="s">
        <v>3607</v>
      </c>
      <c r="M48" s="55" t="s">
        <v>78</v>
      </c>
      <c r="N48" s="55" t="s">
        <v>69</v>
      </c>
      <c r="O48" s="55" t="s">
        <v>4624</v>
      </c>
      <c r="P48" s="55" t="s">
        <v>110</v>
      </c>
      <c r="Q48" s="67" t="str">
        <f>IFERROR(__xludf.DUMMYFUNCTION("""COMPUTED_VALUE"""),"Europe.Kids.anhmolop_SCB.9889_CVS_DungNTKids_310723")</f>
        <v>Europe.Kids.anhmolop_SCB.9889_CVS_DungNTKids_310723</v>
      </c>
      <c r="R48" s="67" t="str">
        <f>IFERROR(__xludf.DUMMYFUNCTION("""COMPUTED_VALUE"""),"NEW_Europe_2555_none_310723")</f>
        <v>NEW_Europe_2555_none_310723</v>
      </c>
      <c r="S48" s="67" t="str">
        <f>IFERROR(__xludf.DUMMYFUNCTION("""COMPUTED_VALUE"""),"saletructiep_Europe.anhmolop.2555.Giaotiep_AEC_LD171")</f>
        <v>saletructiep_Europe.anhmolop.2555.Giaotiep_AEC_LD171</v>
      </c>
      <c r="T48" s="107" t="str">
        <f>IFERROR(__xludf.DUMMYFUNCTION("""COMPUTED_VALUE"""),"https://www.aecenglishkids.edu.vn/?utm_source=Facebook&amp;utm_medium=CVS&amp;utm_term=NEW_Europe_2555_none_310723&amp;utm_content=saletructiep_Europe.anhmolop.2555.Giaotiep_AEC_LD171&amp;utm_campaign=Europe.Kids.anhmolop_SCB.9889_CVS_DungNTKids_310723")</f>
        <v>https://www.aecenglishkids.edu.vn/?utm_source=Facebook&amp;utm_medium=CVS&amp;utm_term=NEW_Europe_2555_none_310723&amp;utm_content=saletructiep_Europe.anhmolop.2555.Giaotiep_AEC_LD171&amp;utm_campaign=Europe.Kids.anhmolop_SCB.9889_CVS_DungNTKids_310723</v>
      </c>
      <c r="U48" s="110" t="s">
        <v>4979</v>
      </c>
    </row>
    <row r="49">
      <c r="A49" s="72">
        <v>45138.0</v>
      </c>
      <c r="B49" s="133" t="s">
        <v>4738</v>
      </c>
      <c r="C49" s="67" t="str">
        <f>IFERROR(__xludf.DUMMYFUNCTION("""COMPUTED_VALUE"""),"LD171")</f>
        <v>LD171</v>
      </c>
      <c r="D49" s="55" t="s">
        <v>42</v>
      </c>
      <c r="E49" s="55" t="s">
        <v>69</v>
      </c>
      <c r="F49" s="55" t="s">
        <v>133</v>
      </c>
      <c r="G49" s="55">
        <v>2555.0</v>
      </c>
      <c r="H49" s="44" t="s">
        <v>4619</v>
      </c>
      <c r="I49" s="44" t="s">
        <v>4983</v>
      </c>
      <c r="J49" s="44" t="s">
        <v>4984</v>
      </c>
      <c r="K49" s="167" t="s">
        <v>61</v>
      </c>
      <c r="L49" s="55" t="s">
        <v>3607</v>
      </c>
      <c r="M49" s="55" t="s">
        <v>78</v>
      </c>
      <c r="N49" s="55" t="s">
        <v>69</v>
      </c>
      <c r="O49" s="55" t="s">
        <v>4624</v>
      </c>
      <c r="P49" s="55" t="s">
        <v>110</v>
      </c>
      <c r="Q49" s="67" t="str">
        <f>IFERROR(__xludf.DUMMYFUNCTION("""COMPUTED_VALUE"""),"Japan.Kids.anhmolop_SCB.9889_CVS_DungNTKids_310723")</f>
        <v>Japan.Kids.anhmolop_SCB.9889_CVS_DungNTKids_310723</v>
      </c>
      <c r="R49" s="67" t="str">
        <f>IFERROR(__xludf.DUMMYFUNCTION("""COMPUTED_VALUE"""),"NEW_Japan_2555_none_310723")</f>
        <v>NEW_Japan_2555_none_310723</v>
      </c>
      <c r="S49" s="67" t="str">
        <f>IFERROR(__xludf.DUMMYFUNCTION("""COMPUTED_VALUE"""),"saletructiep_Japan.anhmolop.2555.Giaotiep_AEC_LD171")</f>
        <v>saletructiep_Japan.anhmolop.2555.Giaotiep_AEC_LD171</v>
      </c>
      <c r="T49" s="107" t="str">
        <f>IFERROR(__xludf.DUMMYFUNCTION("""COMPUTED_VALUE"""),"https://www.aecenglishkids.edu.vn/?utm_source=Facebook&amp;utm_medium=CVS&amp;utm_term=NEW_Japan_2555_none_310723&amp;utm_content=saletructiep_Japan.anhmolop.2555.Giaotiep_AEC_LD171&amp;utm_campaign=Japan.Kids.anhmolop_SCB.9889_CVS_DungNTKids_310723")</f>
        <v>https://www.aecenglishkids.edu.vn/?utm_source=Facebook&amp;utm_medium=CVS&amp;utm_term=NEW_Japan_2555_none_310723&amp;utm_content=saletructiep_Japan.anhmolop.2555.Giaotiep_AEC_LD171&amp;utm_campaign=Japan.Kids.anhmolop_SCB.9889_CVS_DungNTKids_310723</v>
      </c>
      <c r="U49" s="110" t="s">
        <v>4990</v>
      </c>
    </row>
    <row r="50">
      <c r="A50" s="72">
        <v>45139.0</v>
      </c>
      <c r="B50" s="133" t="s">
        <v>4738</v>
      </c>
      <c r="C50" s="67" t="str">
        <f>IFERROR(__xludf.DUMMYFUNCTION("""COMPUTED_VALUE"""),"LD171")</f>
        <v>LD171</v>
      </c>
      <c r="D50" s="55" t="s">
        <v>42</v>
      </c>
      <c r="E50" s="55" t="s">
        <v>69</v>
      </c>
      <c r="F50" s="55" t="s">
        <v>133</v>
      </c>
      <c r="G50" s="55">
        <v>2555.0</v>
      </c>
      <c r="H50" s="44" t="s">
        <v>4619</v>
      </c>
      <c r="I50" s="44" t="s">
        <v>4992</v>
      </c>
      <c r="J50" s="44" t="s">
        <v>4995</v>
      </c>
      <c r="K50" s="167" t="s">
        <v>61</v>
      </c>
      <c r="L50" s="55" t="s">
        <v>3607</v>
      </c>
      <c r="M50" s="55" t="s">
        <v>78</v>
      </c>
      <c r="N50" s="55" t="s">
        <v>69</v>
      </c>
      <c r="O50" s="55" t="s">
        <v>4624</v>
      </c>
      <c r="P50" s="55" t="s">
        <v>110</v>
      </c>
      <c r="Q50" s="67" t="str">
        <f>IFERROR(__xludf.DUMMYFUNCTION("""COMPUTED_VALUE"""),"Japan.Kids.anhkhoahoc_SCB.9889_CVS_DungNTKids_010823")</f>
        <v>Japan.Kids.anhkhoahoc_SCB.9889_CVS_DungNTKids_010823</v>
      </c>
      <c r="R50" s="67" t="str">
        <f>IFERROR(__xludf.DUMMYFUNCTION("""COMPUTED_VALUE"""),"NEW_Japan_2555_none_010823")</f>
        <v>NEW_Japan_2555_none_010823</v>
      </c>
      <c r="S50" s="67" t="str">
        <f>IFERROR(__xludf.DUMMYFUNCTION("""COMPUTED_VALUE"""),"saletructiep_Japan.anhkhoahoc.2555.Giaotiep_AEC_LD171")</f>
        <v>saletructiep_Japan.anhkhoahoc.2555.Giaotiep_AEC_LD171</v>
      </c>
      <c r="T50" s="107" t="str">
        <f>IFERROR(__xludf.DUMMYFUNCTION("""COMPUTED_VALUE"""),"https://www.aecenglishkids.edu.vn/?utm_source=Facebook&amp;utm_medium=CVS&amp;utm_term=NEW_Japan_2555_none_010823&amp;utm_content=saletructiep_Japan.anhkhoahoc.2555.Giaotiep_AEC_LD171&amp;utm_campaign=Japan.Kids.anhkhoahoc_SCB.9889_CVS_DungNTKids_010823")</f>
        <v>https://www.aecenglishkids.edu.vn/?utm_source=Facebook&amp;utm_medium=CVS&amp;utm_term=NEW_Japan_2555_none_010823&amp;utm_content=saletructiep_Japan.anhkhoahoc.2555.Giaotiep_AEC_LD171&amp;utm_campaign=Japan.Kids.anhkhoahoc_SCB.9889_CVS_DungNTKids_010823</v>
      </c>
      <c r="U50" s="110" t="s">
        <v>5000</v>
      </c>
    </row>
    <row r="51">
      <c r="A51" s="72">
        <v>45142.0</v>
      </c>
      <c r="B51" s="133" t="s">
        <v>4738</v>
      </c>
      <c r="C51" s="67" t="str">
        <f>IFERROR(__xludf.DUMMYFUNCTION("""COMPUTED_VALUE"""),"LD171")</f>
        <v>LD171</v>
      </c>
      <c r="D51" s="55" t="s">
        <v>42</v>
      </c>
      <c r="E51" s="55" t="s">
        <v>69</v>
      </c>
      <c r="F51" s="55" t="s">
        <v>625</v>
      </c>
      <c r="G51" s="55">
        <v>2555.0</v>
      </c>
      <c r="H51" s="44" t="s">
        <v>4619</v>
      </c>
      <c r="I51" s="44" t="s">
        <v>5002</v>
      </c>
      <c r="J51" s="44" t="s">
        <v>5003</v>
      </c>
      <c r="K51" s="167" t="s">
        <v>61</v>
      </c>
      <c r="L51" s="55" t="s">
        <v>3607</v>
      </c>
      <c r="M51" s="55" t="s">
        <v>78</v>
      </c>
      <c r="N51" s="55" t="s">
        <v>69</v>
      </c>
      <c r="O51" s="55" t="s">
        <v>4624</v>
      </c>
      <c r="P51" s="55" t="s">
        <v>110</v>
      </c>
      <c r="Q51" s="67" t="str">
        <f>IFERROR(__xludf.DUMMYFUNCTION("""COMPUTED_VALUE"""),"KoreaSouth.Kids.anhkhoahoc_SCB.9889_CVS_DungNTKids_040823")</f>
        <v>KoreaSouth.Kids.anhkhoahoc_SCB.9889_CVS_DungNTKids_040823</v>
      </c>
      <c r="R51" s="67" t="str">
        <f>IFERROR(__xludf.DUMMYFUNCTION("""COMPUTED_VALUE"""),"NEW_KoreaSouth_2555_none_040823")</f>
        <v>NEW_KoreaSouth_2555_none_040823</v>
      </c>
      <c r="S51" s="67" t="str">
        <f>IFERROR(__xludf.DUMMYFUNCTION("""COMPUTED_VALUE"""),"saletructiep_KoreaSouth.anhkhoahoc.2555.Giaotiep_AEC_LD171")</f>
        <v>saletructiep_KoreaSouth.anhkhoahoc.2555.Giaotiep_AEC_LD171</v>
      </c>
      <c r="T51" s="107" t="str">
        <f>IFERROR(__xludf.DUMMYFUNCTION("""COMPUTED_VALUE"""),"https://www.aecenglishkids.edu.vn/?utm_source=Facebook&amp;utm_medium=CVS&amp;utm_term=NEW_KoreaSouth_2555_none_040823&amp;utm_content=saletructiep_KoreaSouth.anhkhoahoc.2555.Giaotiep_AEC_LD171&amp;utm_campaign=KoreaSouth.Kids.anhkhoahoc_SCB.9889_CVS_DungNTKids_040823")</f>
        <v>https://www.aecenglishkids.edu.vn/?utm_source=Facebook&amp;utm_medium=CVS&amp;utm_term=NEW_KoreaSouth_2555_none_040823&amp;utm_content=saletructiep_KoreaSouth.anhkhoahoc.2555.Giaotiep_AEC_LD171&amp;utm_campaign=KoreaSouth.Kids.anhkhoahoc_SCB.9889_CVS_DungNTKids_040823</v>
      </c>
      <c r="U51" s="146" t="s">
        <v>5011</v>
      </c>
    </row>
    <row r="52">
      <c r="A52" s="72">
        <v>45142.0</v>
      </c>
      <c r="B52" s="133" t="s">
        <v>4738</v>
      </c>
      <c r="C52" s="67" t="str">
        <f>IFERROR(__xludf.DUMMYFUNCTION("""COMPUTED_VALUE"""),"LD171")</f>
        <v>LD171</v>
      </c>
      <c r="D52" s="55" t="s">
        <v>42</v>
      </c>
      <c r="E52" s="55" t="s">
        <v>69</v>
      </c>
      <c r="F52" s="55" t="s">
        <v>625</v>
      </c>
      <c r="G52" s="55">
        <v>2555.0</v>
      </c>
      <c r="H52" s="44" t="s">
        <v>4619</v>
      </c>
      <c r="I52" s="44" t="s">
        <v>5014</v>
      </c>
      <c r="J52" s="44" t="s">
        <v>5016</v>
      </c>
      <c r="K52" s="167" t="s">
        <v>61</v>
      </c>
      <c r="L52" s="55" t="s">
        <v>3607</v>
      </c>
      <c r="M52" s="55" t="s">
        <v>78</v>
      </c>
      <c r="N52" s="55" t="s">
        <v>69</v>
      </c>
      <c r="O52" s="55" t="s">
        <v>4624</v>
      </c>
      <c r="P52" s="55" t="s">
        <v>110</v>
      </c>
      <c r="Q52" s="67" t="str">
        <f>IFERROR(__xludf.DUMMYFUNCTION("""COMPUTED_VALUE"""),"KoreaSouth.Kids.anhmolop_SCB.9889_CVS_DungNTKids_040823")</f>
        <v>KoreaSouth.Kids.anhmolop_SCB.9889_CVS_DungNTKids_040823</v>
      </c>
      <c r="R52" s="67" t="str">
        <f>IFERROR(__xludf.DUMMYFUNCTION("""COMPUTED_VALUE"""),"NEW_KoreaSouth_2555_none_040823")</f>
        <v>NEW_KoreaSouth_2555_none_040823</v>
      </c>
      <c r="S52" s="67" t="str">
        <f>IFERROR(__xludf.DUMMYFUNCTION("""COMPUTED_VALUE"""),"saletructiep_KoreaSouth.anhmolop.2555.Giaotiep_AEC_LD171")</f>
        <v>saletructiep_KoreaSouth.anhmolop.2555.Giaotiep_AEC_LD171</v>
      </c>
      <c r="T52" s="107" t="str">
        <f>IFERROR(__xludf.DUMMYFUNCTION("""COMPUTED_VALUE"""),"https://www.aecenglishkids.edu.vn/?utm_source=Facebook&amp;utm_medium=CVS&amp;utm_term=NEW_KoreaSouth_2555_none_040823&amp;utm_content=saletructiep_KoreaSouth.anhmolop.2555.Giaotiep_AEC_LD171&amp;utm_campaign=KoreaSouth.Kids.anhmolop_SCB.9889_CVS_DungNTKids_040823")</f>
        <v>https://www.aecenglishkids.edu.vn/?utm_source=Facebook&amp;utm_medium=CVS&amp;utm_term=NEW_KoreaSouth_2555_none_040823&amp;utm_content=saletructiep_KoreaSouth.anhmolop.2555.Giaotiep_AEC_LD171&amp;utm_campaign=KoreaSouth.Kids.anhmolop_SCB.9889_CVS_DungNTKids_040823</v>
      </c>
      <c r="U52" s="110" t="s">
        <v>5021</v>
      </c>
    </row>
    <row r="53">
      <c r="A53" s="72">
        <v>45143.0</v>
      </c>
      <c r="B53" s="133" t="s">
        <v>4738</v>
      </c>
      <c r="C53" s="67" t="str">
        <f>IFERROR(__xludf.DUMMYFUNCTION("""COMPUTED_VALUE"""),"LD171")</f>
        <v>LD171</v>
      </c>
      <c r="D53" s="55" t="s">
        <v>42</v>
      </c>
      <c r="E53" s="55" t="s">
        <v>69</v>
      </c>
      <c r="F53" s="55" t="s">
        <v>828</v>
      </c>
      <c r="G53" s="55">
        <v>2555.0</v>
      </c>
      <c r="H53" s="44" t="s">
        <v>4619</v>
      </c>
      <c r="I53" s="44" t="s">
        <v>5026</v>
      </c>
      <c r="J53" s="44" t="s">
        <v>5027</v>
      </c>
      <c r="K53" s="167" t="s">
        <v>61</v>
      </c>
      <c r="L53" s="55" t="s">
        <v>3607</v>
      </c>
      <c r="M53" s="55" t="s">
        <v>78</v>
      </c>
      <c r="N53" s="55" t="s">
        <v>69</v>
      </c>
      <c r="O53" s="55" t="s">
        <v>4624</v>
      </c>
      <c r="P53" s="55" t="s">
        <v>110</v>
      </c>
      <c r="Q53" s="67" t="str">
        <f>IFERROR(__xludf.DUMMYFUNCTION("""COMPUTED_VALUE"""),"Asia.Kids.anhkhoahoc_SCB.9889_CVS_DungNTKids_050823")</f>
        <v>Asia.Kids.anhkhoahoc_SCB.9889_CVS_DungNTKids_050823</v>
      </c>
      <c r="R53" s="67" t="str">
        <f>IFERROR(__xludf.DUMMYFUNCTION("""COMPUTED_VALUE"""),"NEW_Asia_2555_none_050823")</f>
        <v>NEW_Asia_2555_none_050823</v>
      </c>
      <c r="S53" s="67" t="str">
        <f>IFERROR(__xludf.DUMMYFUNCTION("""COMPUTED_VALUE"""),"saletructiep_Asia.anhkhoahoc.2555.Giaotiep_AEC_LD171")</f>
        <v>saletructiep_Asia.anhkhoahoc.2555.Giaotiep_AEC_LD171</v>
      </c>
      <c r="T53" s="107" t="str">
        <f>IFERROR(__xludf.DUMMYFUNCTION("""COMPUTED_VALUE"""),"https://www.aecenglishkids.edu.vn/?utm_source=Facebook&amp;utm_medium=CVS&amp;utm_term=NEW_Asia_2555_none_050823&amp;utm_content=saletructiep_Asia.anhkhoahoc.2555.Giaotiep_AEC_LD171&amp;utm_campaign=Asia.Kids.anhkhoahoc_SCB.9889_CVS_DungNTKids_050823")</f>
        <v>https://www.aecenglishkids.edu.vn/?utm_source=Facebook&amp;utm_medium=CVS&amp;utm_term=NEW_Asia_2555_none_050823&amp;utm_content=saletructiep_Asia.anhkhoahoc.2555.Giaotiep_AEC_LD171&amp;utm_campaign=Asia.Kids.anhkhoahoc_SCB.9889_CVS_DungNTKids_050823</v>
      </c>
      <c r="U53" s="146" t="s">
        <v>5031</v>
      </c>
    </row>
    <row r="54">
      <c r="A54" s="72">
        <v>45145.0</v>
      </c>
      <c r="B54" s="133" t="s">
        <v>4738</v>
      </c>
      <c r="C54" s="67" t="str">
        <f>IFERROR(__xludf.DUMMYFUNCTION("""COMPUTED_VALUE"""),"LD171")</f>
        <v>LD171</v>
      </c>
      <c r="D54" s="55" t="s">
        <v>42</v>
      </c>
      <c r="E54" s="55" t="s">
        <v>69</v>
      </c>
      <c r="F54" s="55" t="s">
        <v>133</v>
      </c>
      <c r="G54" s="55">
        <v>2555.0</v>
      </c>
      <c r="H54" s="44" t="s">
        <v>4619</v>
      </c>
      <c r="I54" s="44" t="s">
        <v>4992</v>
      </c>
      <c r="J54" s="44" t="s">
        <v>4995</v>
      </c>
      <c r="K54" s="167" t="s">
        <v>61</v>
      </c>
      <c r="L54" s="55" t="s">
        <v>3607</v>
      </c>
      <c r="M54" s="55" t="s">
        <v>78</v>
      </c>
      <c r="N54" s="55" t="s">
        <v>69</v>
      </c>
      <c r="O54" s="55" t="s">
        <v>4624</v>
      </c>
      <c r="P54" s="55" t="s">
        <v>110</v>
      </c>
      <c r="Q54" s="67" t="str">
        <f>IFERROR(__xludf.DUMMYFUNCTION("""COMPUTED_VALUE"""),"Japan.Kids.anhkhoahoc_SCB.9889_CVS_DungNTKids_070823")</f>
        <v>Japan.Kids.anhkhoahoc_SCB.9889_CVS_DungNTKids_070823</v>
      </c>
      <c r="R54" s="67" t="str">
        <f>IFERROR(__xludf.DUMMYFUNCTION("""COMPUTED_VALUE"""),"NEW_Japan_2555_none_070823")</f>
        <v>NEW_Japan_2555_none_070823</v>
      </c>
      <c r="S54" s="67" t="str">
        <f>IFERROR(__xludf.DUMMYFUNCTION("""COMPUTED_VALUE"""),"saletructiep_Japan.anhkhoahoc.2555.Giaotiep_AEC_LD171")</f>
        <v>saletructiep_Japan.anhkhoahoc.2555.Giaotiep_AEC_LD171</v>
      </c>
      <c r="T54" s="107" t="str">
        <f>IFERROR(__xludf.DUMMYFUNCTION("""COMPUTED_VALUE"""),"https://www.aecenglishkids.edu.vn/?utm_source=Facebook&amp;utm_medium=CVS&amp;utm_term=NEW_Japan_2555_none_070823&amp;utm_content=saletructiep_Japan.anhkhoahoc.2555.Giaotiep_AEC_LD171&amp;utm_campaign=Japan.Kids.anhkhoahoc_SCB.9889_CVS_DungNTKids_070823")</f>
        <v>https://www.aecenglishkids.edu.vn/?utm_source=Facebook&amp;utm_medium=CVS&amp;utm_term=NEW_Japan_2555_none_070823&amp;utm_content=saletructiep_Japan.anhkhoahoc.2555.Giaotiep_AEC_LD171&amp;utm_campaign=Japan.Kids.anhkhoahoc_SCB.9889_CVS_DungNTKids_070823</v>
      </c>
      <c r="U54" s="110" t="s">
        <v>5042</v>
      </c>
    </row>
    <row r="55">
      <c r="A55" s="72">
        <v>45148.0</v>
      </c>
      <c r="B55" s="133" t="s">
        <v>4738</v>
      </c>
      <c r="C55" s="67" t="str">
        <f>IFERROR(__xludf.DUMMYFUNCTION("""COMPUTED_VALUE"""),"LD171")</f>
        <v>LD171</v>
      </c>
      <c r="D55" s="55" t="s">
        <v>42</v>
      </c>
      <c r="E55" s="55" t="s">
        <v>69</v>
      </c>
      <c r="F55" s="55" t="s">
        <v>625</v>
      </c>
      <c r="G55" s="55">
        <v>2555.0</v>
      </c>
      <c r="H55" s="44" t="s">
        <v>4619</v>
      </c>
      <c r="I55" s="44" t="s">
        <v>5002</v>
      </c>
      <c r="J55" s="44" t="s">
        <v>5003</v>
      </c>
      <c r="K55" s="167" t="s">
        <v>61</v>
      </c>
      <c r="L55" s="55" t="s">
        <v>3607</v>
      </c>
      <c r="M55" s="55" t="s">
        <v>78</v>
      </c>
      <c r="N55" s="55" t="s">
        <v>69</v>
      </c>
      <c r="O55" s="55" t="s">
        <v>4624</v>
      </c>
      <c r="P55" s="55" t="s">
        <v>110</v>
      </c>
      <c r="Q55" s="67" t="str">
        <f>IFERROR(__xludf.DUMMYFUNCTION("""COMPUTED_VALUE"""),"KoreaSouth.Kids.anhkhoahoc_SCB.9889_CVS_DungNTKids_100823")</f>
        <v>KoreaSouth.Kids.anhkhoahoc_SCB.9889_CVS_DungNTKids_100823</v>
      </c>
      <c r="R55" s="67" t="str">
        <f>IFERROR(__xludf.DUMMYFUNCTION("""COMPUTED_VALUE"""),"NEW_KoreaSouth_2555_none_100823")</f>
        <v>NEW_KoreaSouth_2555_none_100823</v>
      </c>
      <c r="S55" s="67" t="str">
        <f>IFERROR(__xludf.DUMMYFUNCTION("""COMPUTED_VALUE"""),"saletructiep_KoreaSouth.anhkhoahoc.2555.Giaotiep_AEC_LD171")</f>
        <v>saletructiep_KoreaSouth.anhkhoahoc.2555.Giaotiep_AEC_LD171</v>
      </c>
      <c r="T55" s="107" t="str">
        <f>IFERROR(__xludf.DUMMYFUNCTION("""COMPUTED_VALUE"""),"https://www.aecenglishkids.edu.vn/?utm_source=Facebook&amp;utm_medium=CVS&amp;utm_term=NEW_KoreaSouth_2555_none_100823&amp;utm_content=saletructiep_KoreaSouth.anhkhoahoc.2555.Giaotiep_AEC_LD171&amp;utm_campaign=KoreaSouth.Kids.anhkhoahoc_SCB.9889_CVS_DungNTKids_100823")</f>
        <v>https://www.aecenglishkids.edu.vn/?utm_source=Facebook&amp;utm_medium=CVS&amp;utm_term=NEW_KoreaSouth_2555_none_100823&amp;utm_content=saletructiep_KoreaSouth.anhkhoahoc.2555.Giaotiep_AEC_LD171&amp;utm_campaign=KoreaSouth.Kids.anhkhoahoc_SCB.9889_CVS_DungNTKids_100823</v>
      </c>
      <c r="U55" s="110" t="s">
        <v>5052</v>
      </c>
    </row>
    <row r="56">
      <c r="A56" s="72">
        <v>45148.0</v>
      </c>
      <c r="B56" s="133" t="s">
        <v>4738</v>
      </c>
      <c r="C56" s="67" t="str">
        <f>IFERROR(__xludf.DUMMYFUNCTION("""COMPUTED_VALUE"""),"LD171")</f>
        <v>LD171</v>
      </c>
      <c r="D56" s="55" t="s">
        <v>42</v>
      </c>
      <c r="E56" s="55" t="s">
        <v>69</v>
      </c>
      <c r="F56" s="55" t="s">
        <v>828</v>
      </c>
      <c r="G56" s="55">
        <v>2555.0</v>
      </c>
      <c r="H56" s="44" t="s">
        <v>4619</v>
      </c>
      <c r="I56" s="44" t="s">
        <v>5058</v>
      </c>
      <c r="J56" s="44" t="s">
        <v>5059</v>
      </c>
      <c r="K56" s="167" t="s">
        <v>61</v>
      </c>
      <c r="L56" s="55" t="s">
        <v>3607</v>
      </c>
      <c r="M56" s="55" t="s">
        <v>78</v>
      </c>
      <c r="N56" s="55" t="s">
        <v>69</v>
      </c>
      <c r="O56" s="55" t="s">
        <v>4624</v>
      </c>
      <c r="P56" s="55" t="s">
        <v>110</v>
      </c>
      <c r="Q56" s="67" t="str">
        <f>IFERROR(__xludf.DUMMYFUNCTION("""COMPUTED_VALUE"""),"Asia.Kids.anhmolop_SCB.9889_CVS_DungNTKids_100823")</f>
        <v>Asia.Kids.anhmolop_SCB.9889_CVS_DungNTKids_100823</v>
      </c>
      <c r="R56" s="67" t="str">
        <f>IFERROR(__xludf.DUMMYFUNCTION("""COMPUTED_VALUE"""),"NEW_Asia_2555_none_100823")</f>
        <v>NEW_Asia_2555_none_100823</v>
      </c>
      <c r="S56" s="67" t="str">
        <f>IFERROR(__xludf.DUMMYFUNCTION("""COMPUTED_VALUE"""),"saletructiep_Asia.anhmolop.2555.Giaotiep_AEC_LD171")</f>
        <v>saletructiep_Asia.anhmolop.2555.Giaotiep_AEC_LD171</v>
      </c>
      <c r="T56" s="107" t="str">
        <f>IFERROR(__xludf.DUMMYFUNCTION("""COMPUTED_VALUE"""),"https://www.aecenglishkids.edu.vn/?utm_source=Facebook&amp;utm_medium=CVS&amp;utm_term=NEW_Asia_2555_none_100823&amp;utm_content=saletructiep_Asia.anhmolop.2555.Giaotiep_AEC_LD171&amp;utm_campaign=Asia.Kids.anhmolop_SCB.9889_CVS_DungNTKids_100823")</f>
        <v>https://www.aecenglishkids.edu.vn/?utm_source=Facebook&amp;utm_medium=CVS&amp;utm_term=NEW_Asia_2555_none_100823&amp;utm_content=saletructiep_Asia.anhmolop.2555.Giaotiep_AEC_LD171&amp;utm_campaign=Asia.Kids.anhmolop_SCB.9889_CVS_DungNTKids_100823</v>
      </c>
      <c r="U56" s="146" t="s">
        <v>5031</v>
      </c>
    </row>
    <row r="57">
      <c r="A57" s="72"/>
      <c r="B57" s="131"/>
      <c r="C57" s="67"/>
      <c r="D57" s="55"/>
      <c r="E57" s="55"/>
      <c r="F57" s="55"/>
      <c r="G57" s="55"/>
      <c r="H57" s="55"/>
      <c r="I57" s="55"/>
      <c r="J57" s="168"/>
      <c r="K57" s="167"/>
      <c r="L57" s="55"/>
      <c r="M57" s="55"/>
      <c r="N57" s="55"/>
      <c r="O57" s="55"/>
      <c r="P57" s="55"/>
      <c r="Q57" s="67"/>
      <c r="R57" s="67"/>
      <c r="S57" s="67"/>
      <c r="T57" s="67"/>
      <c r="U57" s="116"/>
    </row>
    <row r="58">
      <c r="A58" s="72"/>
      <c r="B58" s="131"/>
      <c r="C58" s="67"/>
      <c r="D58" s="55"/>
      <c r="E58" s="55"/>
      <c r="F58" s="55"/>
      <c r="G58" s="55"/>
      <c r="H58" s="55"/>
      <c r="I58" s="55"/>
      <c r="J58" s="168"/>
      <c r="K58" s="167"/>
      <c r="L58" s="55"/>
      <c r="M58" s="55"/>
      <c r="N58" s="55"/>
      <c r="O58" s="55"/>
      <c r="P58" s="55"/>
      <c r="Q58" s="67"/>
      <c r="R58" s="67"/>
      <c r="S58" s="67"/>
      <c r="T58" s="216"/>
      <c r="U58" s="116"/>
    </row>
    <row r="59">
      <c r="A59" s="72"/>
      <c r="B59" s="131"/>
      <c r="C59" s="67"/>
      <c r="D59" s="55"/>
      <c r="E59" s="55"/>
      <c r="F59" s="55"/>
      <c r="G59" s="55"/>
      <c r="H59" s="55"/>
      <c r="I59" s="55"/>
      <c r="J59" s="168"/>
      <c r="K59" s="167"/>
      <c r="L59" s="55"/>
      <c r="M59" s="55"/>
      <c r="N59" s="55"/>
      <c r="O59" s="55"/>
      <c r="P59" s="55"/>
      <c r="Q59" s="67"/>
      <c r="R59" s="67"/>
      <c r="S59" s="67"/>
      <c r="T59" s="67"/>
      <c r="U59" s="116"/>
    </row>
    <row r="60">
      <c r="A60" s="72"/>
      <c r="B60" s="55"/>
      <c r="C60" s="67"/>
      <c r="D60" s="55"/>
      <c r="E60" s="55"/>
      <c r="F60" s="55"/>
      <c r="G60" s="55"/>
      <c r="H60" s="55"/>
      <c r="I60" s="55"/>
      <c r="J60" s="168"/>
      <c r="K60" s="167"/>
      <c r="L60" s="55"/>
      <c r="M60" s="55"/>
      <c r="N60" s="55"/>
      <c r="O60" s="55"/>
      <c r="P60" s="55"/>
      <c r="Q60" s="67"/>
      <c r="R60" s="67"/>
      <c r="S60" s="67"/>
      <c r="T60" s="67"/>
      <c r="U60" s="118"/>
    </row>
    <row r="61">
      <c r="A61" s="72"/>
      <c r="B61" s="131"/>
      <c r="C61" s="67"/>
      <c r="D61" s="55"/>
      <c r="E61" s="55"/>
      <c r="F61" s="55"/>
      <c r="G61" s="55"/>
      <c r="H61" s="55"/>
      <c r="I61" s="55"/>
      <c r="J61" s="168"/>
      <c r="K61" s="167"/>
      <c r="L61" s="55"/>
      <c r="M61" s="55"/>
      <c r="N61" s="55"/>
      <c r="O61" s="55"/>
      <c r="P61" s="55"/>
      <c r="Q61" s="67"/>
      <c r="R61" s="67"/>
      <c r="S61" s="67"/>
      <c r="T61" s="67"/>
      <c r="U61" s="116"/>
    </row>
    <row r="62">
      <c r="A62" s="72"/>
      <c r="B62" s="131"/>
      <c r="C62" s="67"/>
      <c r="D62" s="55"/>
      <c r="E62" s="55"/>
      <c r="F62" s="55"/>
      <c r="G62" s="55"/>
      <c r="H62" s="55"/>
      <c r="I62" s="55"/>
      <c r="J62" s="168"/>
      <c r="K62" s="167"/>
      <c r="L62" s="55"/>
      <c r="M62" s="55"/>
      <c r="N62" s="55"/>
      <c r="O62" s="55"/>
      <c r="P62" s="55"/>
      <c r="Q62" s="67"/>
      <c r="R62" s="67"/>
      <c r="S62" s="67"/>
      <c r="T62" s="67"/>
      <c r="U62" s="116"/>
    </row>
    <row r="63">
      <c r="A63" s="72"/>
      <c r="B63" s="131"/>
      <c r="C63" s="67"/>
      <c r="D63" s="55"/>
      <c r="E63" s="55"/>
      <c r="F63" s="55"/>
      <c r="G63" s="55"/>
      <c r="H63" s="55"/>
      <c r="I63" s="55"/>
      <c r="J63" s="168"/>
      <c r="K63" s="167"/>
      <c r="L63" s="55"/>
      <c r="M63" s="55"/>
      <c r="N63" s="55"/>
      <c r="O63" s="55"/>
      <c r="P63" s="55"/>
      <c r="Q63" s="67"/>
      <c r="R63" s="67"/>
      <c r="S63" s="67"/>
      <c r="T63" s="67"/>
      <c r="U63" s="118"/>
    </row>
    <row r="64">
      <c r="A64" s="72"/>
      <c r="B64" s="131"/>
      <c r="C64" s="67"/>
      <c r="D64" s="55"/>
      <c r="E64" s="55"/>
      <c r="F64" s="55"/>
      <c r="G64" s="55"/>
      <c r="H64" s="55"/>
      <c r="I64" s="55"/>
      <c r="J64" s="168"/>
      <c r="K64" s="167"/>
      <c r="L64" s="55"/>
      <c r="M64" s="55"/>
      <c r="N64" s="55"/>
      <c r="O64" s="55"/>
      <c r="P64" s="55"/>
      <c r="Q64" s="67"/>
      <c r="R64" s="67"/>
      <c r="S64" s="67"/>
      <c r="T64" s="67"/>
      <c r="U64" s="116"/>
    </row>
    <row r="65">
      <c r="A65" s="72"/>
      <c r="B65" s="131"/>
      <c r="C65" s="67"/>
      <c r="D65" s="55"/>
      <c r="E65" s="55"/>
      <c r="F65" s="55"/>
      <c r="G65" s="55"/>
      <c r="H65" s="55"/>
      <c r="I65" s="55"/>
      <c r="J65" s="168"/>
      <c r="K65" s="167"/>
      <c r="L65" s="55"/>
      <c r="M65" s="55"/>
      <c r="N65" s="55"/>
      <c r="O65" s="55"/>
      <c r="P65" s="55"/>
      <c r="Q65" s="67"/>
      <c r="R65" s="67"/>
      <c r="S65" s="67"/>
      <c r="T65" s="67"/>
      <c r="U65" s="116"/>
    </row>
    <row r="66">
      <c r="A66" s="72"/>
      <c r="B66" s="131"/>
      <c r="C66" s="67"/>
      <c r="D66" s="55"/>
      <c r="E66" s="55"/>
      <c r="F66" s="55"/>
      <c r="G66" s="55"/>
      <c r="H66" s="55"/>
      <c r="I66" s="55"/>
      <c r="J66" s="168"/>
      <c r="K66" s="167"/>
      <c r="L66" s="55"/>
      <c r="M66" s="55"/>
      <c r="N66" s="55"/>
      <c r="O66" s="55"/>
      <c r="P66" s="55"/>
      <c r="Q66" s="67"/>
      <c r="R66" s="67"/>
      <c r="S66" s="67"/>
      <c r="T66" s="67"/>
      <c r="U66" s="116"/>
    </row>
    <row r="67">
      <c r="A67" s="72"/>
      <c r="B67" s="131"/>
      <c r="C67" s="67"/>
      <c r="D67" s="55"/>
      <c r="E67" s="55"/>
      <c r="F67" s="55"/>
      <c r="G67" s="55"/>
      <c r="H67" s="55"/>
      <c r="I67" s="55"/>
      <c r="J67" s="168"/>
      <c r="K67" s="167"/>
      <c r="L67" s="55"/>
      <c r="M67" s="55"/>
      <c r="N67" s="55"/>
      <c r="O67" s="55"/>
      <c r="P67" s="55"/>
      <c r="Q67" s="67"/>
      <c r="R67" s="67"/>
      <c r="S67" s="67"/>
      <c r="T67" s="67"/>
      <c r="U67" s="116"/>
    </row>
    <row r="68">
      <c r="A68" s="72"/>
      <c r="B68" s="55"/>
      <c r="C68" s="67"/>
      <c r="D68" s="55"/>
      <c r="E68" s="55"/>
      <c r="F68" s="55"/>
      <c r="G68" s="55"/>
      <c r="H68" s="55"/>
      <c r="I68" s="55"/>
      <c r="J68" s="168"/>
      <c r="K68" s="167"/>
      <c r="L68" s="55"/>
      <c r="M68" s="55"/>
      <c r="N68" s="55"/>
      <c r="O68" s="55"/>
      <c r="P68" s="55"/>
      <c r="Q68" s="67"/>
      <c r="R68" s="67"/>
      <c r="S68" s="67"/>
      <c r="T68" s="67"/>
      <c r="U68" s="116"/>
    </row>
    <row r="69">
      <c r="A69" s="72"/>
      <c r="B69" s="131"/>
      <c r="C69" s="67"/>
      <c r="D69" s="55"/>
      <c r="E69" s="55"/>
      <c r="F69" s="55"/>
      <c r="G69" s="55"/>
      <c r="H69" s="55"/>
      <c r="I69" s="55"/>
      <c r="J69" s="168"/>
      <c r="K69" s="167"/>
      <c r="L69" s="55"/>
      <c r="M69" s="55"/>
      <c r="N69" s="55"/>
      <c r="O69" s="55"/>
      <c r="P69" s="55"/>
      <c r="Q69" s="67"/>
      <c r="R69" s="67"/>
      <c r="S69" s="67"/>
      <c r="T69" s="67"/>
      <c r="U69" s="116"/>
    </row>
    <row r="70">
      <c r="A70" s="72"/>
      <c r="B70" s="131"/>
      <c r="C70" s="67"/>
      <c r="D70" s="55"/>
      <c r="E70" s="55"/>
      <c r="F70" s="55"/>
      <c r="G70" s="55"/>
      <c r="H70" s="55"/>
      <c r="I70" s="55"/>
      <c r="J70" s="168"/>
      <c r="K70" s="167"/>
      <c r="L70" s="55"/>
      <c r="M70" s="55"/>
      <c r="N70" s="55"/>
      <c r="O70" s="55"/>
      <c r="P70" s="55"/>
      <c r="Q70" s="67"/>
      <c r="R70" s="67"/>
      <c r="S70" s="67"/>
      <c r="T70" s="67"/>
      <c r="U70" s="116"/>
    </row>
    <row r="71">
      <c r="A71" s="96"/>
      <c r="B71" s="131"/>
      <c r="C71" s="67"/>
      <c r="D71" s="55"/>
      <c r="E71" s="55"/>
      <c r="F71" s="55"/>
      <c r="G71" s="55"/>
      <c r="H71" s="55"/>
      <c r="I71" s="55"/>
      <c r="J71" s="168"/>
      <c r="K71" s="167"/>
      <c r="L71" s="55"/>
      <c r="M71" s="55"/>
      <c r="N71" s="55"/>
      <c r="O71" s="55"/>
      <c r="P71" s="55"/>
      <c r="Q71" s="67"/>
      <c r="R71" s="67"/>
      <c r="S71" s="67"/>
      <c r="T71" s="67"/>
      <c r="U71" s="116"/>
    </row>
    <row r="72">
      <c r="A72" s="72"/>
      <c r="B72" s="131"/>
      <c r="C72" s="67"/>
      <c r="D72" s="55"/>
      <c r="E72" s="55"/>
      <c r="F72" s="55"/>
      <c r="G72" s="55"/>
      <c r="H72" s="55"/>
      <c r="I72" s="55"/>
      <c r="J72" s="168"/>
      <c r="K72" s="167"/>
      <c r="L72" s="55"/>
      <c r="M72" s="55"/>
      <c r="N72" s="55"/>
      <c r="O72" s="55"/>
      <c r="P72" s="55"/>
      <c r="Q72" s="67"/>
      <c r="R72" s="67"/>
      <c r="S72" s="67"/>
      <c r="T72" s="67"/>
      <c r="U72" s="116"/>
    </row>
    <row r="73">
      <c r="A73" s="72"/>
      <c r="B73" s="55"/>
      <c r="C73" s="67"/>
      <c r="D73" s="55"/>
      <c r="E73" s="55"/>
      <c r="F73" s="55"/>
      <c r="G73" s="55"/>
      <c r="H73" s="55"/>
      <c r="I73" s="55"/>
      <c r="J73" s="168"/>
      <c r="K73" s="167"/>
      <c r="L73" s="55"/>
      <c r="M73" s="55"/>
      <c r="N73" s="55"/>
      <c r="O73" s="55"/>
      <c r="P73" s="55"/>
      <c r="Q73" s="67"/>
      <c r="R73" s="67"/>
      <c r="S73" s="67"/>
      <c r="T73" s="67"/>
      <c r="U73" s="116"/>
    </row>
    <row r="74">
      <c r="A74" s="72"/>
      <c r="B74" s="131"/>
      <c r="C74" s="67"/>
      <c r="D74" s="55"/>
      <c r="E74" s="55"/>
      <c r="F74" s="55"/>
      <c r="G74" s="55"/>
      <c r="H74" s="55"/>
      <c r="I74" s="55"/>
      <c r="J74" s="168"/>
      <c r="K74" s="167"/>
      <c r="L74" s="55"/>
      <c r="M74" s="55"/>
      <c r="N74" s="55"/>
      <c r="O74" s="55"/>
      <c r="P74" s="55"/>
      <c r="Q74" s="67"/>
      <c r="R74" s="67"/>
      <c r="S74" s="67"/>
      <c r="T74" s="67"/>
      <c r="U74" s="116"/>
    </row>
    <row r="75">
      <c r="A75" s="72"/>
      <c r="B75" s="131"/>
      <c r="C75" s="67"/>
      <c r="D75" s="55"/>
      <c r="E75" s="55"/>
      <c r="F75" s="55"/>
      <c r="G75" s="55"/>
      <c r="H75" s="55"/>
      <c r="I75" s="55"/>
      <c r="J75" s="168"/>
      <c r="K75" s="167"/>
      <c r="L75" s="55"/>
      <c r="M75" s="55"/>
      <c r="N75" s="55"/>
      <c r="O75" s="55"/>
      <c r="P75" s="55"/>
      <c r="Q75" s="67"/>
      <c r="R75" s="67"/>
      <c r="S75" s="67"/>
      <c r="T75" s="67"/>
      <c r="U75" s="116"/>
    </row>
    <row r="76">
      <c r="A76" s="72"/>
      <c r="B76" s="55"/>
      <c r="C76" s="67"/>
      <c r="D76" s="55"/>
      <c r="E76" s="55"/>
      <c r="F76" s="55"/>
      <c r="G76" s="55"/>
      <c r="H76" s="55"/>
      <c r="I76" s="55"/>
      <c r="J76" s="168"/>
      <c r="K76" s="167"/>
      <c r="L76" s="55"/>
      <c r="M76" s="55"/>
      <c r="N76" s="55"/>
      <c r="O76" s="55"/>
      <c r="P76" s="55"/>
      <c r="Q76" s="67"/>
      <c r="R76" s="67"/>
      <c r="S76" s="67"/>
      <c r="T76" s="67"/>
      <c r="U76" s="116"/>
    </row>
    <row r="77">
      <c r="A77" s="72"/>
      <c r="B77" s="131"/>
      <c r="C77" s="67"/>
      <c r="D77" s="55"/>
      <c r="E77" s="55"/>
      <c r="F77" s="55"/>
      <c r="G77" s="55"/>
      <c r="H77" s="55"/>
      <c r="I77" s="55"/>
      <c r="J77" s="168"/>
      <c r="K77" s="167"/>
      <c r="L77" s="55"/>
      <c r="M77" s="55"/>
      <c r="N77" s="55"/>
      <c r="O77" s="55"/>
      <c r="P77" s="55"/>
      <c r="Q77" s="67"/>
      <c r="R77" s="67"/>
      <c r="S77" s="67"/>
      <c r="T77" s="67"/>
      <c r="U77" s="118"/>
    </row>
    <row r="78">
      <c r="A78" s="72"/>
      <c r="B78" s="131"/>
      <c r="C78" s="67"/>
      <c r="D78" s="55"/>
      <c r="E78" s="55"/>
      <c r="F78" s="55"/>
      <c r="G78" s="55"/>
      <c r="H78" s="55"/>
      <c r="I78" s="55"/>
      <c r="J78" s="168"/>
      <c r="K78" s="167"/>
      <c r="L78" s="55"/>
      <c r="M78" s="55"/>
      <c r="N78" s="55"/>
      <c r="O78" s="55"/>
      <c r="P78" s="55"/>
      <c r="Q78" s="67"/>
      <c r="R78" s="67"/>
      <c r="S78" s="67"/>
      <c r="T78" s="67"/>
      <c r="U78" s="116"/>
    </row>
    <row r="79">
      <c r="A79" s="72"/>
      <c r="B79" s="131"/>
      <c r="C79" s="67"/>
      <c r="D79" s="55"/>
      <c r="E79" s="55"/>
      <c r="F79" s="55"/>
      <c r="G79" s="55"/>
      <c r="H79" s="55"/>
      <c r="I79" s="55"/>
      <c r="J79" s="168"/>
      <c r="K79" s="167"/>
      <c r="L79" s="55"/>
      <c r="M79" s="55"/>
      <c r="N79" s="55"/>
      <c r="O79" s="55"/>
      <c r="P79" s="55"/>
      <c r="Q79" s="67"/>
      <c r="R79" s="67"/>
      <c r="S79" s="67"/>
      <c r="T79" s="67"/>
      <c r="U79" s="116"/>
    </row>
    <row r="80">
      <c r="A80" s="72"/>
      <c r="B80" s="131"/>
      <c r="C80" s="67"/>
      <c r="D80" s="55"/>
      <c r="E80" s="55"/>
      <c r="F80" s="55"/>
      <c r="G80" s="55"/>
      <c r="H80" s="55"/>
      <c r="I80" s="55"/>
      <c r="J80" s="168"/>
      <c r="K80" s="167"/>
      <c r="L80" s="55"/>
      <c r="M80" s="55"/>
      <c r="N80" s="55"/>
      <c r="O80" s="55"/>
      <c r="P80" s="55"/>
      <c r="Q80" s="67"/>
      <c r="R80" s="67"/>
      <c r="S80" s="67"/>
      <c r="T80" s="67"/>
      <c r="U80" s="116"/>
    </row>
    <row r="81">
      <c r="A81" s="72"/>
      <c r="B81" s="131"/>
      <c r="C81" s="67"/>
      <c r="D81" s="55"/>
      <c r="E81" s="55"/>
      <c r="F81" s="55"/>
      <c r="G81" s="55"/>
      <c r="H81" s="55"/>
      <c r="I81" s="55"/>
      <c r="J81" s="168"/>
      <c r="K81" s="167"/>
      <c r="L81" s="55"/>
      <c r="M81" s="55"/>
      <c r="N81" s="55"/>
      <c r="O81" s="55"/>
      <c r="P81" s="55"/>
      <c r="Q81" s="67"/>
      <c r="R81" s="67"/>
      <c r="S81" s="67"/>
      <c r="T81" s="67"/>
      <c r="U81" s="116"/>
    </row>
    <row r="82">
      <c r="A82" s="72"/>
      <c r="B82" s="131"/>
      <c r="C82" s="67"/>
      <c r="D82" s="55"/>
      <c r="E82" s="55"/>
      <c r="F82" s="55"/>
      <c r="G82" s="55"/>
      <c r="H82" s="55"/>
      <c r="I82" s="55"/>
      <c r="J82" s="168"/>
      <c r="K82" s="167"/>
      <c r="L82" s="55"/>
      <c r="M82" s="55"/>
      <c r="N82" s="55"/>
      <c r="O82" s="55"/>
      <c r="P82" s="55"/>
      <c r="Q82" s="67"/>
      <c r="R82" s="67"/>
      <c r="S82" s="67"/>
      <c r="T82" s="67"/>
      <c r="U82" s="116"/>
    </row>
    <row r="83">
      <c r="A83" s="72"/>
      <c r="B83" s="55"/>
      <c r="C83" s="67"/>
      <c r="D83" s="55"/>
      <c r="E83" s="55"/>
      <c r="F83" s="55"/>
      <c r="G83" s="55"/>
      <c r="H83" s="55"/>
      <c r="I83" s="55"/>
      <c r="J83" s="55"/>
      <c r="K83" s="167"/>
      <c r="L83" s="55"/>
      <c r="M83" s="55"/>
      <c r="N83" s="55"/>
      <c r="O83" s="55"/>
      <c r="P83" s="55"/>
      <c r="Q83" s="67"/>
      <c r="R83" s="67"/>
      <c r="S83" s="67"/>
      <c r="T83" s="67"/>
      <c r="U83" s="116"/>
    </row>
    <row r="84">
      <c r="A84" s="72"/>
      <c r="B84" s="131"/>
      <c r="C84" s="67"/>
      <c r="D84" s="55"/>
      <c r="E84" s="55"/>
      <c r="F84" s="55"/>
      <c r="G84" s="55"/>
      <c r="H84" s="55"/>
      <c r="I84" s="55"/>
      <c r="J84" s="168"/>
      <c r="K84" s="167"/>
      <c r="L84" s="55"/>
      <c r="M84" s="55"/>
      <c r="N84" s="55"/>
      <c r="O84" s="55"/>
      <c r="P84" s="55"/>
      <c r="Q84" s="67"/>
      <c r="R84" s="67"/>
      <c r="S84" s="67"/>
      <c r="T84" s="67"/>
      <c r="U84" s="116"/>
    </row>
    <row r="85">
      <c r="A85" s="72"/>
      <c r="B85" s="131"/>
      <c r="C85" s="67"/>
      <c r="D85" s="55"/>
      <c r="E85" s="55"/>
      <c r="F85" s="55"/>
      <c r="G85" s="55"/>
      <c r="H85" s="55"/>
      <c r="I85" s="55"/>
      <c r="J85" s="168"/>
      <c r="K85" s="167"/>
      <c r="L85" s="55"/>
      <c r="M85" s="55"/>
      <c r="N85" s="55"/>
      <c r="O85" s="55"/>
      <c r="P85" s="55"/>
      <c r="Q85" s="67"/>
      <c r="R85" s="67"/>
      <c r="S85" s="67"/>
      <c r="T85" s="67"/>
      <c r="U85" s="116"/>
    </row>
    <row r="86">
      <c r="A86" s="72"/>
      <c r="B86" s="131"/>
      <c r="C86" s="67"/>
      <c r="D86" s="55"/>
      <c r="E86" s="55"/>
      <c r="F86" s="55"/>
      <c r="G86" s="55"/>
      <c r="H86" s="55"/>
      <c r="I86" s="55"/>
      <c r="J86" s="168"/>
      <c r="K86" s="167"/>
      <c r="L86" s="55"/>
      <c r="M86" s="55"/>
      <c r="N86" s="55"/>
      <c r="O86" s="55"/>
      <c r="P86" s="55"/>
      <c r="Q86" s="67"/>
      <c r="R86" s="67"/>
      <c r="S86" s="67"/>
      <c r="T86" s="67"/>
      <c r="U86" s="116"/>
    </row>
    <row r="87">
      <c r="A87" s="72"/>
      <c r="B87" s="131"/>
      <c r="C87" s="67"/>
      <c r="D87" s="55"/>
      <c r="E87" s="55"/>
      <c r="F87" s="55"/>
      <c r="G87" s="55"/>
      <c r="H87" s="55"/>
      <c r="I87" s="55"/>
      <c r="J87" s="168"/>
      <c r="K87" s="167"/>
      <c r="L87" s="55"/>
      <c r="M87" s="55"/>
      <c r="N87" s="55"/>
      <c r="O87" s="55"/>
      <c r="P87" s="55"/>
      <c r="Q87" s="67"/>
      <c r="R87" s="67"/>
      <c r="S87" s="67"/>
      <c r="T87" s="67"/>
      <c r="U87" s="116"/>
    </row>
    <row r="88">
      <c r="A88" s="72"/>
      <c r="B88" s="131"/>
      <c r="C88" s="67"/>
      <c r="D88" s="55"/>
      <c r="E88" s="55"/>
      <c r="F88" s="55"/>
      <c r="G88" s="55"/>
      <c r="H88" s="55"/>
      <c r="I88" s="55"/>
      <c r="J88" s="168"/>
      <c r="K88" s="167"/>
      <c r="L88" s="55"/>
      <c r="M88" s="55"/>
      <c r="N88" s="55"/>
      <c r="O88" s="55"/>
      <c r="P88" s="55"/>
      <c r="Q88" s="67"/>
      <c r="R88" s="67"/>
      <c r="S88" s="67"/>
      <c r="T88" s="67"/>
      <c r="U88" s="116"/>
    </row>
    <row r="89">
      <c r="A89" s="72"/>
      <c r="B89" s="131"/>
      <c r="C89" s="67"/>
      <c r="D89" s="55"/>
      <c r="E89" s="55"/>
      <c r="F89" s="55"/>
      <c r="G89" s="55"/>
      <c r="H89" s="55"/>
      <c r="I89" s="55"/>
      <c r="J89" s="168"/>
      <c r="K89" s="167"/>
      <c r="L89" s="55"/>
      <c r="M89" s="55"/>
      <c r="N89" s="55"/>
      <c r="O89" s="55"/>
      <c r="P89" s="55"/>
      <c r="Q89" s="67"/>
      <c r="R89" s="67"/>
      <c r="S89" s="67"/>
      <c r="T89" s="67"/>
      <c r="U89" s="116"/>
    </row>
    <row r="90">
      <c r="A90" s="72"/>
      <c r="B90" s="131"/>
      <c r="C90" s="67"/>
      <c r="D90" s="55"/>
      <c r="E90" s="55"/>
      <c r="F90" s="55"/>
      <c r="G90" s="55"/>
      <c r="H90" s="55"/>
      <c r="I90" s="55"/>
      <c r="J90" s="168"/>
      <c r="K90" s="167"/>
      <c r="L90" s="55"/>
      <c r="M90" s="55"/>
      <c r="N90" s="55"/>
      <c r="O90" s="55"/>
      <c r="P90" s="55"/>
      <c r="Q90" s="67"/>
      <c r="R90" s="67"/>
      <c r="S90" s="67"/>
      <c r="T90" s="67"/>
      <c r="U90" s="216"/>
    </row>
    <row r="91">
      <c r="A91" s="72"/>
      <c r="B91" s="131"/>
      <c r="C91" s="67"/>
      <c r="D91" s="55"/>
      <c r="E91" s="55"/>
      <c r="F91" s="55"/>
      <c r="G91" s="55"/>
      <c r="H91" s="55"/>
      <c r="I91" s="55"/>
      <c r="J91" s="168"/>
      <c r="K91" s="167"/>
      <c r="L91" s="55"/>
      <c r="M91" s="55"/>
      <c r="N91" s="55"/>
      <c r="O91" s="55"/>
      <c r="P91" s="55"/>
      <c r="Q91" s="67"/>
      <c r="R91" s="67"/>
      <c r="S91" s="67"/>
      <c r="T91" s="67"/>
      <c r="U91" s="216"/>
    </row>
    <row r="92">
      <c r="A92" s="72"/>
      <c r="B92" s="131"/>
      <c r="C92" s="67"/>
      <c r="D92" s="55"/>
      <c r="E92" s="55"/>
      <c r="F92" s="55"/>
      <c r="G92" s="55"/>
      <c r="H92" s="55"/>
      <c r="I92" s="55"/>
      <c r="J92" s="168"/>
      <c r="K92" s="167"/>
      <c r="L92" s="55"/>
      <c r="M92" s="55"/>
      <c r="N92" s="55"/>
      <c r="O92" s="55"/>
      <c r="P92" s="55"/>
      <c r="Q92" s="67"/>
      <c r="R92" s="67"/>
      <c r="S92" s="67"/>
      <c r="T92" s="67"/>
      <c r="U92" s="117"/>
    </row>
    <row r="93">
      <c r="A93" s="72"/>
      <c r="B93" s="131"/>
      <c r="C93" s="67"/>
      <c r="D93" s="55"/>
      <c r="E93" s="55"/>
      <c r="F93" s="55"/>
      <c r="G93" s="55"/>
      <c r="H93" s="55"/>
      <c r="I93" s="55"/>
      <c r="J93" s="168"/>
      <c r="K93" s="167"/>
      <c r="L93" s="55"/>
      <c r="M93" s="55"/>
      <c r="N93" s="55"/>
      <c r="O93" s="55"/>
      <c r="P93" s="55"/>
      <c r="Q93" s="67"/>
      <c r="R93" s="67"/>
      <c r="S93" s="67"/>
      <c r="T93" s="67"/>
      <c r="U93" s="216"/>
    </row>
    <row r="94">
      <c r="A94" s="72"/>
      <c r="B94" s="131"/>
      <c r="C94" s="67"/>
      <c r="D94" s="55"/>
      <c r="E94" s="55"/>
      <c r="F94" s="55"/>
      <c r="G94" s="55"/>
      <c r="H94" s="55"/>
      <c r="I94" s="55"/>
      <c r="J94" s="168"/>
      <c r="K94" s="167"/>
      <c r="L94" s="55"/>
      <c r="M94" s="55"/>
      <c r="N94" s="55"/>
      <c r="O94" s="55"/>
      <c r="P94" s="55"/>
      <c r="Q94" s="67"/>
      <c r="R94" s="67"/>
      <c r="S94" s="67"/>
      <c r="T94" s="67"/>
      <c r="U94" s="117"/>
    </row>
    <row r="95">
      <c r="A95" s="72"/>
      <c r="B95" s="131"/>
      <c r="C95" s="67"/>
      <c r="D95" s="55"/>
      <c r="E95" s="55"/>
      <c r="F95" s="55"/>
      <c r="G95" s="55"/>
      <c r="H95" s="55"/>
      <c r="I95" s="55"/>
      <c r="J95" s="168"/>
      <c r="K95" s="167"/>
      <c r="L95" s="55"/>
      <c r="M95" s="55"/>
      <c r="N95" s="55"/>
      <c r="O95" s="55"/>
      <c r="P95" s="55"/>
      <c r="Q95" s="67"/>
      <c r="R95" s="67"/>
      <c r="S95" s="67"/>
      <c r="T95" s="67"/>
      <c r="U95" s="116"/>
    </row>
    <row r="96">
      <c r="A96" s="72"/>
      <c r="B96" s="55"/>
      <c r="C96" s="67"/>
      <c r="D96" s="55"/>
      <c r="E96" s="55"/>
      <c r="F96" s="55"/>
      <c r="G96" s="55"/>
      <c r="H96" s="55"/>
      <c r="I96" s="55"/>
      <c r="J96" s="55"/>
      <c r="K96" s="167"/>
      <c r="L96" s="55"/>
      <c r="M96" s="55"/>
      <c r="N96" s="55"/>
      <c r="O96" s="55"/>
      <c r="P96" s="55"/>
      <c r="Q96" s="67"/>
      <c r="R96" s="67"/>
      <c r="S96" s="67"/>
      <c r="T96" s="67"/>
      <c r="U96" s="116"/>
    </row>
    <row r="97">
      <c r="A97" s="72"/>
      <c r="B97" s="131"/>
      <c r="C97" s="67"/>
      <c r="D97" s="55"/>
      <c r="E97" s="55"/>
      <c r="F97" s="55"/>
      <c r="G97" s="55"/>
      <c r="H97" s="55"/>
      <c r="I97" s="55"/>
      <c r="J97" s="168"/>
      <c r="K97" s="167"/>
      <c r="L97" s="55"/>
      <c r="M97" s="55"/>
      <c r="N97" s="55"/>
      <c r="O97" s="55"/>
      <c r="P97" s="55"/>
      <c r="Q97" s="67"/>
      <c r="R97" s="67"/>
      <c r="S97" s="67"/>
      <c r="T97" s="67"/>
      <c r="U97" s="116"/>
    </row>
    <row r="98">
      <c r="A98" s="72"/>
      <c r="B98" s="227"/>
      <c r="C98" s="67"/>
      <c r="D98" s="55"/>
      <c r="E98" s="55"/>
      <c r="F98" s="55"/>
      <c r="G98" s="55"/>
      <c r="H98" s="55"/>
      <c r="I98" s="55"/>
      <c r="J98" s="168"/>
      <c r="K98" s="167"/>
      <c r="L98" s="55"/>
      <c r="M98" s="55"/>
      <c r="N98" s="55"/>
      <c r="O98" s="55"/>
      <c r="P98" s="55"/>
      <c r="Q98" s="67"/>
      <c r="R98" s="67"/>
      <c r="S98" s="67"/>
      <c r="T98" s="67"/>
      <c r="U98" s="116"/>
    </row>
    <row r="99">
      <c r="A99" s="72"/>
      <c r="B99" s="227"/>
      <c r="C99" s="67"/>
      <c r="D99" s="55"/>
      <c r="E99" s="55"/>
      <c r="F99" s="55"/>
      <c r="G99" s="55"/>
      <c r="H99" s="55"/>
      <c r="I99" s="55"/>
      <c r="J99" s="168"/>
      <c r="K99" s="167"/>
      <c r="L99" s="55"/>
      <c r="M99" s="55"/>
      <c r="N99" s="55"/>
      <c r="O99" s="55"/>
      <c r="P99" s="55"/>
      <c r="Q99" s="67"/>
      <c r="R99" s="67"/>
      <c r="S99" s="67"/>
      <c r="T99" s="67"/>
      <c r="U99" s="116"/>
    </row>
    <row r="100">
      <c r="A100" s="72"/>
      <c r="B100" s="227"/>
      <c r="C100" s="67"/>
      <c r="D100" s="55"/>
      <c r="E100" s="55"/>
      <c r="F100" s="55"/>
      <c r="G100" s="55"/>
      <c r="H100" s="55"/>
      <c r="I100" s="55"/>
      <c r="J100" s="168"/>
      <c r="K100" s="167"/>
      <c r="L100" s="55"/>
      <c r="M100" s="55"/>
      <c r="N100" s="55"/>
      <c r="O100" s="55"/>
      <c r="P100" s="55"/>
      <c r="Q100" s="67"/>
      <c r="R100" s="67"/>
      <c r="S100" s="67"/>
      <c r="T100" s="67"/>
      <c r="U100" s="116"/>
    </row>
    <row r="101">
      <c r="A101" s="72"/>
      <c r="B101" s="227"/>
      <c r="C101" s="67"/>
      <c r="D101" s="55"/>
      <c r="E101" s="55"/>
      <c r="F101" s="55"/>
      <c r="G101" s="55"/>
      <c r="H101" s="55"/>
      <c r="I101" s="55"/>
      <c r="J101" s="168"/>
      <c r="K101" s="167"/>
      <c r="L101" s="55"/>
      <c r="M101" s="55"/>
      <c r="N101" s="55"/>
      <c r="O101" s="55"/>
      <c r="P101" s="55"/>
      <c r="Q101" s="67"/>
      <c r="R101" s="67"/>
      <c r="S101" s="67"/>
      <c r="T101" s="67"/>
      <c r="U101" s="116"/>
    </row>
    <row r="102">
      <c r="A102" s="72"/>
      <c r="B102" s="227"/>
      <c r="C102" s="67"/>
      <c r="D102" s="55"/>
      <c r="E102" s="55"/>
      <c r="F102" s="55"/>
      <c r="G102" s="55"/>
      <c r="H102" s="55"/>
      <c r="I102" s="55"/>
      <c r="J102" s="168"/>
      <c r="K102" s="167"/>
      <c r="L102" s="55"/>
      <c r="M102" s="55"/>
      <c r="N102" s="55"/>
      <c r="O102" s="55"/>
      <c r="P102" s="55"/>
      <c r="Q102" s="67"/>
      <c r="R102" s="67"/>
      <c r="S102" s="67"/>
      <c r="T102" s="67"/>
      <c r="U102" s="116"/>
    </row>
    <row r="103">
      <c r="A103" s="72"/>
      <c r="B103" s="227"/>
      <c r="C103" s="67"/>
      <c r="D103" s="55"/>
      <c r="E103" s="55"/>
      <c r="F103" s="55"/>
      <c r="G103" s="55"/>
      <c r="H103" s="55"/>
      <c r="I103" s="55"/>
      <c r="J103" s="168"/>
      <c r="K103" s="167"/>
      <c r="L103" s="55"/>
      <c r="M103" s="55"/>
      <c r="N103" s="55"/>
      <c r="O103" s="55"/>
      <c r="P103" s="55"/>
      <c r="Q103" s="67"/>
      <c r="R103" s="67"/>
      <c r="S103" s="67"/>
      <c r="T103" s="67"/>
      <c r="U103" s="117"/>
    </row>
    <row r="104">
      <c r="A104" s="72"/>
      <c r="B104" s="54"/>
      <c r="C104" s="67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67"/>
      <c r="R104" s="67"/>
      <c r="S104" s="67"/>
      <c r="T104" s="67"/>
      <c r="U104" s="118"/>
    </row>
    <row r="105">
      <c r="A105" s="72"/>
      <c r="B105" s="54"/>
      <c r="C105" s="67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67"/>
      <c r="R105" s="67"/>
      <c r="S105" s="67"/>
      <c r="T105" s="67"/>
      <c r="U105" s="118"/>
    </row>
    <row r="106">
      <c r="A106" s="72"/>
      <c r="B106" s="54"/>
      <c r="C106" s="67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67"/>
      <c r="R106" s="67"/>
      <c r="S106" s="67"/>
      <c r="T106" s="67"/>
      <c r="U106" s="118"/>
    </row>
    <row r="107">
      <c r="A107" s="72"/>
      <c r="B107" s="54"/>
      <c r="C107" s="67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67"/>
      <c r="R107" s="67"/>
      <c r="S107" s="67"/>
      <c r="T107" s="67"/>
      <c r="U107" s="118"/>
    </row>
    <row r="108">
      <c r="A108" s="72"/>
      <c r="B108" s="54"/>
      <c r="C108" s="67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67"/>
      <c r="R108" s="67"/>
      <c r="S108" s="67"/>
      <c r="T108" s="67"/>
      <c r="U108" s="118"/>
    </row>
    <row r="109">
      <c r="A109" s="72"/>
      <c r="B109" s="54"/>
      <c r="C109" s="67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67"/>
      <c r="R109" s="67"/>
      <c r="S109" s="67"/>
      <c r="T109" s="67"/>
      <c r="U109" s="118"/>
    </row>
    <row r="110">
      <c r="A110" s="72"/>
      <c r="B110" s="54"/>
      <c r="C110" s="67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67"/>
      <c r="R110" s="67"/>
      <c r="S110" s="67"/>
      <c r="T110" s="67"/>
      <c r="U110" s="118"/>
    </row>
    <row r="111">
      <c r="A111" s="72"/>
      <c r="B111" s="54"/>
      <c r="C111" s="67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67"/>
      <c r="R111" s="67"/>
      <c r="S111" s="67"/>
      <c r="T111" s="67"/>
      <c r="U111" s="118"/>
    </row>
    <row r="112">
      <c r="A112" s="72"/>
      <c r="B112" s="54"/>
      <c r="C112" s="67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67"/>
      <c r="R112" s="67"/>
      <c r="S112" s="67"/>
      <c r="T112" s="67"/>
      <c r="U112" s="118"/>
    </row>
    <row r="113">
      <c r="A113" s="72"/>
      <c r="B113" s="54"/>
      <c r="C113" s="67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67"/>
      <c r="R113" s="67"/>
      <c r="S113" s="67"/>
      <c r="T113" s="67"/>
      <c r="U113" s="118"/>
    </row>
    <row r="114">
      <c r="A114" s="72"/>
      <c r="B114" s="54"/>
      <c r="C114" s="67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67"/>
      <c r="R114" s="67"/>
      <c r="S114" s="67"/>
      <c r="T114" s="67"/>
      <c r="U114" s="118"/>
    </row>
    <row r="115">
      <c r="A115" s="72"/>
      <c r="B115" s="54"/>
      <c r="C115" s="67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67"/>
      <c r="R115" s="67"/>
      <c r="S115" s="67"/>
      <c r="T115" s="67"/>
      <c r="U115" s="118"/>
    </row>
    <row r="116">
      <c r="A116" s="72"/>
      <c r="B116" s="54"/>
      <c r="C116" s="67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67"/>
      <c r="R116" s="67"/>
      <c r="S116" s="67"/>
      <c r="T116" s="67"/>
      <c r="U116" s="118"/>
    </row>
    <row r="117">
      <c r="A117" s="72"/>
      <c r="B117" s="54"/>
      <c r="C117" s="67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67"/>
      <c r="R117" s="67"/>
      <c r="S117" s="67"/>
      <c r="T117" s="67"/>
      <c r="U117" s="118"/>
    </row>
    <row r="118">
      <c r="A118" s="72"/>
      <c r="B118" s="54"/>
      <c r="C118" s="67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67"/>
      <c r="R118" s="67"/>
      <c r="S118" s="67"/>
      <c r="T118" s="67"/>
      <c r="U118" s="118"/>
    </row>
    <row r="119">
      <c r="A119" s="72"/>
      <c r="B119" s="54"/>
      <c r="C119" s="67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67"/>
      <c r="R119" s="67"/>
      <c r="S119" s="67"/>
      <c r="T119" s="67"/>
      <c r="U119" s="118"/>
    </row>
    <row r="120">
      <c r="A120" s="72"/>
      <c r="B120" s="54"/>
      <c r="C120" s="67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67"/>
      <c r="R120" s="67"/>
      <c r="S120" s="67"/>
      <c r="T120" s="67"/>
      <c r="U120" s="118"/>
    </row>
    <row r="121">
      <c r="A121" s="72"/>
      <c r="B121" s="54"/>
      <c r="C121" s="67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67"/>
      <c r="R121" s="67"/>
      <c r="S121" s="67"/>
      <c r="T121" s="67"/>
      <c r="U121" s="118"/>
    </row>
    <row r="122">
      <c r="A122" s="72"/>
      <c r="B122" s="54"/>
      <c r="C122" s="67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67"/>
      <c r="R122" s="67"/>
      <c r="S122" s="67"/>
      <c r="T122" s="67"/>
      <c r="U122" s="118"/>
    </row>
    <row r="123">
      <c r="A123" s="72"/>
      <c r="B123" s="54"/>
      <c r="C123" s="67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67"/>
      <c r="R123" s="67"/>
      <c r="S123" s="67"/>
      <c r="T123" s="67"/>
      <c r="U123" s="118"/>
    </row>
    <row r="124">
      <c r="A124" s="72"/>
      <c r="B124" s="54"/>
      <c r="C124" s="67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67"/>
      <c r="R124" s="67"/>
      <c r="S124" s="67"/>
      <c r="T124" s="67"/>
      <c r="U124" s="118"/>
    </row>
    <row r="125">
      <c r="A125" s="72"/>
      <c r="B125" s="54"/>
      <c r="C125" s="67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67"/>
      <c r="R125" s="67"/>
      <c r="S125" s="67"/>
      <c r="T125" s="67"/>
      <c r="U125" s="118"/>
    </row>
    <row r="126">
      <c r="A126" s="72"/>
      <c r="B126" s="54"/>
      <c r="C126" s="67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67"/>
      <c r="R126" s="67"/>
      <c r="S126" s="67"/>
      <c r="T126" s="67"/>
      <c r="U126" s="118"/>
    </row>
    <row r="127">
      <c r="A127" s="72"/>
      <c r="B127" s="54"/>
      <c r="C127" s="67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67"/>
      <c r="R127" s="67"/>
      <c r="S127" s="67"/>
      <c r="T127" s="67"/>
      <c r="U127" s="118"/>
    </row>
    <row r="128">
      <c r="A128" s="72"/>
      <c r="B128" s="54"/>
      <c r="C128" s="67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67"/>
      <c r="R128" s="67"/>
      <c r="S128" s="67"/>
      <c r="T128" s="67"/>
      <c r="U128" s="118"/>
    </row>
    <row r="129">
      <c r="A129" s="72"/>
      <c r="B129" s="54"/>
      <c r="C129" s="67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67"/>
      <c r="R129" s="67"/>
      <c r="S129" s="67"/>
      <c r="T129" s="67"/>
      <c r="U129" s="118"/>
    </row>
    <row r="130">
      <c r="A130" s="72"/>
      <c r="B130" s="54"/>
      <c r="C130" s="67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67"/>
      <c r="R130" s="67"/>
      <c r="S130" s="67"/>
      <c r="T130" s="67"/>
      <c r="U130" s="118"/>
    </row>
    <row r="131">
      <c r="A131" s="72"/>
      <c r="B131" s="54"/>
      <c r="C131" s="67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67"/>
      <c r="R131" s="67"/>
      <c r="S131" s="67"/>
      <c r="T131" s="67"/>
      <c r="U131" s="118"/>
    </row>
    <row r="132">
      <c r="A132" s="72"/>
      <c r="B132" s="54"/>
      <c r="C132" s="67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67"/>
      <c r="R132" s="67"/>
      <c r="S132" s="67"/>
      <c r="T132" s="67"/>
      <c r="U132" s="118"/>
    </row>
    <row r="133">
      <c r="A133" s="72"/>
      <c r="B133" s="54"/>
      <c r="C133" s="67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67"/>
      <c r="R133" s="67"/>
      <c r="S133" s="67"/>
      <c r="T133" s="67"/>
      <c r="U133" s="118"/>
    </row>
    <row r="134">
      <c r="A134" s="72"/>
      <c r="B134" s="54"/>
      <c r="C134" s="67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67"/>
      <c r="R134" s="67"/>
      <c r="S134" s="67"/>
      <c r="T134" s="67"/>
      <c r="U134" s="118"/>
    </row>
    <row r="135">
      <c r="A135" s="72"/>
      <c r="B135" s="54"/>
      <c r="C135" s="67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67"/>
      <c r="R135" s="67"/>
      <c r="S135" s="67"/>
      <c r="T135" s="67"/>
      <c r="U135" s="118"/>
    </row>
    <row r="136">
      <c r="A136" s="72"/>
      <c r="B136" s="54"/>
      <c r="C136" s="67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67"/>
      <c r="R136" s="67"/>
      <c r="S136" s="67"/>
      <c r="T136" s="67"/>
      <c r="U136" s="118"/>
    </row>
    <row r="137">
      <c r="A137" s="72"/>
      <c r="B137" s="54"/>
      <c r="C137" s="67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67"/>
      <c r="R137" s="67"/>
      <c r="S137" s="67"/>
      <c r="T137" s="67"/>
      <c r="U137" s="118"/>
    </row>
    <row r="138">
      <c r="A138" s="72"/>
      <c r="B138" s="54"/>
      <c r="C138" s="67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67"/>
      <c r="R138" s="67"/>
      <c r="S138" s="67"/>
      <c r="T138" s="67"/>
      <c r="U138" s="118"/>
    </row>
    <row r="139">
      <c r="A139" s="72"/>
      <c r="B139" s="54"/>
      <c r="C139" s="67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67"/>
      <c r="R139" s="67"/>
      <c r="S139" s="67"/>
      <c r="T139" s="67"/>
      <c r="U139" s="118"/>
    </row>
    <row r="140">
      <c r="A140" s="72"/>
      <c r="B140" s="54"/>
      <c r="C140" s="67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67"/>
      <c r="R140" s="67"/>
      <c r="S140" s="67"/>
      <c r="T140" s="67"/>
      <c r="U140" s="118"/>
    </row>
    <row r="141">
      <c r="A141" s="72"/>
      <c r="B141" s="54"/>
      <c r="C141" s="67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67"/>
      <c r="R141" s="67"/>
      <c r="S141" s="67"/>
      <c r="T141" s="67"/>
      <c r="U141" s="118"/>
    </row>
    <row r="142">
      <c r="A142" s="72"/>
      <c r="B142" s="54"/>
      <c r="C142" s="67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67"/>
      <c r="R142" s="67"/>
      <c r="S142" s="67"/>
      <c r="T142" s="67"/>
      <c r="U142" s="118"/>
    </row>
    <row r="143">
      <c r="A143" s="72"/>
      <c r="B143" s="54"/>
      <c r="C143" s="67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67"/>
      <c r="R143" s="67"/>
      <c r="S143" s="67"/>
      <c r="T143" s="67"/>
      <c r="U143" s="118"/>
    </row>
    <row r="144">
      <c r="A144" s="72"/>
      <c r="B144" s="54"/>
      <c r="C144" s="67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67"/>
      <c r="R144" s="67"/>
      <c r="S144" s="67"/>
      <c r="T144" s="67"/>
      <c r="U144" s="118"/>
    </row>
    <row r="145">
      <c r="A145" s="72"/>
      <c r="B145" s="54"/>
      <c r="C145" s="67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67"/>
      <c r="R145" s="67"/>
      <c r="S145" s="67"/>
      <c r="T145" s="67"/>
      <c r="U145" s="118"/>
    </row>
    <row r="146">
      <c r="A146" s="72"/>
      <c r="B146" s="54"/>
      <c r="C146" s="67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67"/>
      <c r="R146" s="67"/>
      <c r="S146" s="67"/>
      <c r="T146" s="67"/>
      <c r="U146" s="118"/>
    </row>
    <row r="147">
      <c r="A147" s="72"/>
      <c r="B147" s="54"/>
      <c r="C147" s="67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67"/>
      <c r="R147" s="67"/>
      <c r="S147" s="67"/>
      <c r="T147" s="67"/>
      <c r="U147" s="118"/>
    </row>
    <row r="148">
      <c r="A148" s="72"/>
      <c r="B148" s="54"/>
      <c r="C148" s="67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67"/>
      <c r="R148" s="67"/>
      <c r="S148" s="67"/>
      <c r="T148" s="67"/>
      <c r="U148" s="118"/>
    </row>
    <row r="149">
      <c r="A149" s="72"/>
      <c r="B149" s="54"/>
      <c r="C149" s="67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67"/>
      <c r="R149" s="67"/>
      <c r="S149" s="67"/>
      <c r="T149" s="67"/>
      <c r="U149" s="118"/>
    </row>
    <row r="150">
      <c r="A150" s="72"/>
      <c r="B150" s="54"/>
      <c r="C150" s="67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67"/>
      <c r="R150" s="67"/>
      <c r="S150" s="67"/>
      <c r="T150" s="67"/>
      <c r="U150" s="118"/>
    </row>
    <row r="151">
      <c r="A151" s="72"/>
      <c r="B151" s="54"/>
      <c r="C151" s="67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67"/>
      <c r="R151" s="67"/>
      <c r="S151" s="67"/>
      <c r="T151" s="67"/>
      <c r="U151" s="118"/>
    </row>
    <row r="152">
      <c r="A152" s="72"/>
      <c r="B152" s="54"/>
      <c r="C152" s="67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67"/>
      <c r="R152" s="67"/>
      <c r="S152" s="67"/>
      <c r="T152" s="67"/>
      <c r="U152" s="118"/>
    </row>
    <row r="153">
      <c r="A153" s="72"/>
      <c r="B153" s="54"/>
      <c r="C153" s="67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67"/>
      <c r="R153" s="67"/>
      <c r="S153" s="67"/>
      <c r="T153" s="67"/>
      <c r="U153" s="118"/>
    </row>
    <row r="154">
      <c r="A154" s="72"/>
      <c r="B154" s="54"/>
      <c r="C154" s="67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67"/>
      <c r="R154" s="67"/>
      <c r="S154" s="67"/>
      <c r="T154" s="67"/>
      <c r="U154" s="118"/>
    </row>
    <row r="155">
      <c r="A155" s="72"/>
      <c r="B155" s="54"/>
      <c r="C155" s="67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67"/>
      <c r="R155" s="67"/>
      <c r="S155" s="67"/>
      <c r="T155" s="67"/>
      <c r="U155" s="118"/>
    </row>
    <row r="156">
      <c r="A156" s="72"/>
      <c r="B156" s="54"/>
      <c r="C156" s="67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67"/>
      <c r="R156" s="67"/>
      <c r="S156" s="67"/>
      <c r="T156" s="67"/>
      <c r="U156" s="118"/>
    </row>
    <row r="157">
      <c r="A157" s="72"/>
      <c r="B157" s="54"/>
      <c r="C157" s="67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67"/>
      <c r="R157" s="67"/>
      <c r="S157" s="67"/>
      <c r="T157" s="67"/>
      <c r="U157" s="118"/>
    </row>
    <row r="158">
      <c r="A158" s="72"/>
      <c r="B158" s="54"/>
      <c r="C158" s="67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67"/>
      <c r="R158" s="67"/>
      <c r="S158" s="67"/>
      <c r="T158" s="67"/>
      <c r="U158" s="118"/>
    </row>
    <row r="159">
      <c r="A159" s="72"/>
      <c r="B159" s="54"/>
      <c r="C159" s="67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67"/>
      <c r="R159" s="67"/>
      <c r="S159" s="67"/>
      <c r="T159" s="67"/>
      <c r="U159" s="118"/>
    </row>
    <row r="160">
      <c r="A160" s="72"/>
      <c r="B160" s="54"/>
      <c r="C160" s="67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67"/>
      <c r="R160" s="67"/>
      <c r="S160" s="67"/>
      <c r="T160" s="67"/>
      <c r="U160" s="118"/>
    </row>
    <row r="161">
      <c r="A161" s="72"/>
      <c r="B161" s="54"/>
      <c r="C161" s="67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67"/>
      <c r="R161" s="67"/>
      <c r="S161" s="67"/>
      <c r="T161" s="67"/>
      <c r="U161" s="118"/>
    </row>
    <row r="162">
      <c r="A162" s="72"/>
      <c r="B162" s="54"/>
      <c r="C162" s="67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67"/>
      <c r="R162" s="67"/>
      <c r="S162" s="67"/>
      <c r="T162" s="67"/>
      <c r="U162" s="118"/>
    </row>
    <row r="163">
      <c r="A163" s="72"/>
      <c r="B163" s="54"/>
      <c r="C163" s="67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67"/>
      <c r="R163" s="67"/>
      <c r="S163" s="67"/>
      <c r="T163" s="67"/>
      <c r="U163" s="118"/>
    </row>
    <row r="164">
      <c r="A164" s="72"/>
      <c r="B164" s="54"/>
      <c r="C164" s="67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67"/>
      <c r="R164" s="67"/>
      <c r="S164" s="67"/>
      <c r="T164" s="67"/>
      <c r="U164" s="118"/>
    </row>
    <row r="165">
      <c r="A165" s="72"/>
      <c r="B165" s="54"/>
      <c r="C165" s="67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67"/>
      <c r="R165" s="67"/>
      <c r="S165" s="67"/>
      <c r="T165" s="67"/>
      <c r="U165" s="118"/>
    </row>
    <row r="166">
      <c r="A166" s="72"/>
      <c r="B166" s="54"/>
      <c r="C166" s="67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67"/>
      <c r="R166" s="67"/>
      <c r="S166" s="67"/>
      <c r="T166" s="67"/>
      <c r="U166" s="118"/>
    </row>
    <row r="167">
      <c r="A167" s="72"/>
      <c r="B167" s="54"/>
      <c r="C167" s="67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67"/>
      <c r="R167" s="67"/>
      <c r="S167" s="67"/>
      <c r="T167" s="67"/>
      <c r="U167" s="118"/>
    </row>
    <row r="168">
      <c r="A168" s="72"/>
      <c r="B168" s="54"/>
      <c r="C168" s="67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67"/>
      <c r="R168" s="67"/>
      <c r="S168" s="67"/>
      <c r="T168" s="67"/>
      <c r="U168" s="118"/>
    </row>
    <row r="169">
      <c r="A169" s="72"/>
      <c r="B169" s="54"/>
      <c r="C169" s="67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67"/>
      <c r="R169" s="67"/>
      <c r="S169" s="67"/>
      <c r="T169" s="67"/>
      <c r="U169" s="118"/>
    </row>
    <row r="170">
      <c r="A170" s="72"/>
      <c r="B170" s="54"/>
      <c r="C170" s="67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67"/>
      <c r="R170" s="67"/>
      <c r="S170" s="67"/>
      <c r="T170" s="67"/>
      <c r="U170" s="118"/>
    </row>
    <row r="171">
      <c r="A171" s="72"/>
      <c r="B171" s="54"/>
      <c r="C171" s="67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67"/>
      <c r="R171" s="67"/>
      <c r="S171" s="67"/>
      <c r="T171" s="67"/>
      <c r="U171" s="118"/>
    </row>
    <row r="172">
      <c r="A172" s="72"/>
      <c r="B172" s="54"/>
      <c r="C172" s="67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67"/>
      <c r="R172" s="67"/>
      <c r="S172" s="67"/>
      <c r="T172" s="67"/>
      <c r="U172" s="118"/>
    </row>
    <row r="173">
      <c r="A173" s="72"/>
      <c r="B173" s="54"/>
      <c r="C173" s="67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67"/>
      <c r="R173" s="67"/>
      <c r="S173" s="67"/>
      <c r="T173" s="67"/>
      <c r="U173" s="118"/>
    </row>
    <row r="174">
      <c r="A174" s="72"/>
      <c r="B174" s="54"/>
      <c r="C174" s="67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67"/>
      <c r="R174" s="67"/>
      <c r="S174" s="67"/>
      <c r="T174" s="67"/>
      <c r="U174" s="118"/>
    </row>
    <row r="175">
      <c r="A175" s="72"/>
      <c r="B175" s="54"/>
      <c r="C175" s="67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67"/>
      <c r="R175" s="67"/>
      <c r="S175" s="67"/>
      <c r="T175" s="67"/>
      <c r="U175" s="118"/>
    </row>
    <row r="176">
      <c r="A176" s="72"/>
      <c r="B176" s="54"/>
      <c r="C176" s="67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67"/>
      <c r="R176" s="67"/>
      <c r="S176" s="67"/>
      <c r="T176" s="67"/>
      <c r="U176" s="118"/>
    </row>
    <row r="177">
      <c r="A177" s="72"/>
      <c r="B177" s="54"/>
      <c r="C177" s="67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67"/>
      <c r="R177" s="67"/>
      <c r="S177" s="67"/>
      <c r="T177" s="67"/>
      <c r="U177" s="118"/>
    </row>
    <row r="178">
      <c r="A178" s="72"/>
      <c r="B178" s="54"/>
      <c r="C178" s="67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67"/>
      <c r="R178" s="67"/>
      <c r="S178" s="67"/>
      <c r="T178" s="67"/>
      <c r="U178" s="118"/>
    </row>
    <row r="179">
      <c r="A179" s="72"/>
      <c r="B179" s="54"/>
      <c r="C179" s="67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67"/>
      <c r="R179" s="67"/>
      <c r="S179" s="67"/>
      <c r="T179" s="67"/>
      <c r="U179" s="118"/>
    </row>
    <row r="180">
      <c r="A180" s="72"/>
      <c r="B180" s="54"/>
      <c r="C180" s="67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67"/>
      <c r="R180" s="67"/>
      <c r="S180" s="67"/>
      <c r="T180" s="67"/>
      <c r="U180" s="118"/>
    </row>
    <row r="181">
      <c r="A181" s="72"/>
      <c r="B181" s="54"/>
      <c r="C181" s="67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67"/>
      <c r="R181" s="67"/>
      <c r="S181" s="67"/>
      <c r="T181" s="67"/>
      <c r="U181" s="118"/>
    </row>
    <row r="182">
      <c r="A182" s="72"/>
      <c r="B182" s="54"/>
      <c r="C182" s="67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67"/>
      <c r="R182" s="67"/>
      <c r="S182" s="67"/>
      <c r="T182" s="67"/>
      <c r="U182" s="118"/>
    </row>
    <row r="183">
      <c r="A183" s="72"/>
      <c r="B183" s="54"/>
      <c r="C183" s="67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67"/>
      <c r="R183" s="67"/>
      <c r="S183" s="67"/>
      <c r="T183" s="67"/>
      <c r="U183" s="118"/>
    </row>
    <row r="184">
      <c r="A184" s="72"/>
      <c r="B184" s="54"/>
      <c r="C184" s="67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67"/>
      <c r="R184" s="67"/>
      <c r="S184" s="67"/>
      <c r="T184" s="67"/>
      <c r="U184" s="118"/>
    </row>
    <row r="185">
      <c r="A185" s="72"/>
      <c r="B185" s="54"/>
      <c r="C185" s="67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67"/>
      <c r="R185" s="67"/>
      <c r="S185" s="67"/>
      <c r="T185" s="67"/>
      <c r="U185" s="118"/>
    </row>
    <row r="186">
      <c r="A186" s="72"/>
      <c r="B186" s="54"/>
      <c r="C186" s="67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67"/>
      <c r="R186" s="67"/>
      <c r="S186" s="67"/>
      <c r="T186" s="67"/>
      <c r="U186" s="118"/>
    </row>
    <row r="187">
      <c r="A187" s="72"/>
      <c r="B187" s="54"/>
      <c r="C187" s="67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67"/>
      <c r="R187" s="67"/>
      <c r="S187" s="67"/>
      <c r="T187" s="67"/>
      <c r="U187" s="118"/>
    </row>
    <row r="188">
      <c r="A188" s="72"/>
      <c r="B188" s="54"/>
      <c r="C188" s="67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67"/>
      <c r="R188" s="67"/>
      <c r="S188" s="67"/>
      <c r="T188" s="67"/>
      <c r="U188" s="118"/>
    </row>
    <row r="189">
      <c r="A189" s="72"/>
      <c r="B189" s="54"/>
      <c r="C189" s="67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67"/>
      <c r="R189" s="67"/>
      <c r="S189" s="67"/>
      <c r="T189" s="67"/>
      <c r="U189" s="118"/>
    </row>
    <row r="190">
      <c r="A190" s="72"/>
      <c r="B190" s="54"/>
      <c r="C190" s="67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67"/>
      <c r="R190" s="67"/>
      <c r="S190" s="67"/>
      <c r="T190" s="67"/>
      <c r="U190" s="118"/>
    </row>
    <row r="191">
      <c r="A191" s="72"/>
      <c r="B191" s="54"/>
      <c r="C191" s="67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67"/>
      <c r="R191" s="67"/>
      <c r="S191" s="67"/>
      <c r="T191" s="67"/>
      <c r="U191" s="118"/>
    </row>
    <row r="192">
      <c r="A192" s="72"/>
      <c r="B192" s="54"/>
      <c r="C192" s="67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67"/>
      <c r="R192" s="67"/>
      <c r="S192" s="67"/>
      <c r="T192" s="67"/>
      <c r="U192" s="118"/>
    </row>
    <row r="193">
      <c r="A193" s="72"/>
      <c r="B193" s="54"/>
      <c r="C193" s="67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67"/>
      <c r="R193" s="67"/>
      <c r="S193" s="67"/>
      <c r="T193" s="67"/>
      <c r="U193" s="118"/>
    </row>
    <row r="194">
      <c r="A194" s="72"/>
      <c r="B194" s="54"/>
      <c r="C194" s="67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67"/>
      <c r="R194" s="67"/>
      <c r="S194" s="67"/>
      <c r="T194" s="67"/>
      <c r="U194" s="118"/>
    </row>
    <row r="195">
      <c r="A195" s="72"/>
      <c r="B195" s="54"/>
      <c r="C195" s="67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67"/>
      <c r="R195" s="67"/>
      <c r="S195" s="67"/>
      <c r="T195" s="67"/>
      <c r="U195" s="118"/>
    </row>
    <row r="196">
      <c r="A196" s="72"/>
      <c r="B196" s="54"/>
      <c r="C196" s="67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67"/>
      <c r="R196" s="67"/>
      <c r="S196" s="67"/>
      <c r="T196" s="67"/>
      <c r="U196" s="118"/>
    </row>
    <row r="197">
      <c r="A197" s="72"/>
      <c r="B197" s="54"/>
      <c r="C197" s="67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67"/>
      <c r="R197" s="67"/>
      <c r="S197" s="67"/>
      <c r="T197" s="67"/>
      <c r="U197" s="118"/>
    </row>
    <row r="198">
      <c r="A198" s="72"/>
      <c r="B198" s="54"/>
      <c r="C198" s="67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67"/>
      <c r="R198" s="67"/>
      <c r="S198" s="67"/>
      <c r="T198" s="67"/>
      <c r="U198" s="118"/>
    </row>
    <row r="199">
      <c r="A199" s="72"/>
      <c r="B199" s="54"/>
      <c r="C199" s="67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67"/>
      <c r="R199" s="67"/>
      <c r="S199" s="67"/>
      <c r="T199" s="67"/>
      <c r="U199" s="118"/>
    </row>
    <row r="200">
      <c r="A200" s="72"/>
      <c r="B200" s="54"/>
      <c r="C200" s="67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67"/>
      <c r="R200" s="67"/>
      <c r="S200" s="67"/>
      <c r="T200" s="67"/>
      <c r="U200" s="118"/>
    </row>
    <row r="201">
      <c r="A201" s="72"/>
      <c r="B201" s="54"/>
      <c r="C201" s="67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67"/>
      <c r="R201" s="67"/>
      <c r="S201" s="67"/>
      <c r="T201" s="67"/>
      <c r="U201" s="118"/>
    </row>
    <row r="202">
      <c r="A202" s="72"/>
      <c r="B202" s="54"/>
      <c r="C202" s="67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67"/>
      <c r="R202" s="67"/>
      <c r="S202" s="67"/>
      <c r="T202" s="67"/>
      <c r="U202" s="118"/>
    </row>
    <row r="203">
      <c r="A203" s="72"/>
      <c r="B203" s="54"/>
      <c r="C203" s="67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67"/>
      <c r="R203" s="67"/>
      <c r="S203" s="67"/>
      <c r="T203" s="67"/>
      <c r="U203" s="118"/>
    </row>
    <row r="204">
      <c r="A204" s="72"/>
      <c r="B204" s="54"/>
      <c r="C204" s="67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67"/>
      <c r="R204" s="67"/>
      <c r="S204" s="67"/>
      <c r="T204" s="67"/>
      <c r="U204" s="118"/>
    </row>
    <row r="205">
      <c r="A205" s="72"/>
      <c r="B205" s="54"/>
      <c r="C205" s="67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67"/>
      <c r="R205" s="67"/>
      <c r="S205" s="67"/>
      <c r="T205" s="67"/>
      <c r="U205" s="118"/>
    </row>
    <row r="206">
      <c r="A206" s="72"/>
      <c r="B206" s="54"/>
      <c r="C206" s="67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67"/>
      <c r="R206" s="67"/>
      <c r="S206" s="67"/>
      <c r="T206" s="67"/>
      <c r="U206" s="118"/>
    </row>
    <row r="207">
      <c r="A207" s="72"/>
      <c r="B207" s="54"/>
      <c r="C207" s="67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67"/>
      <c r="R207" s="67"/>
      <c r="S207" s="67"/>
      <c r="T207" s="67"/>
      <c r="U207" s="118"/>
    </row>
    <row r="208">
      <c r="A208" s="72"/>
      <c r="B208" s="54"/>
      <c r="C208" s="67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67"/>
      <c r="R208" s="67"/>
      <c r="S208" s="67"/>
      <c r="T208" s="67"/>
      <c r="U208" s="118"/>
    </row>
    <row r="209">
      <c r="A209" s="72"/>
      <c r="B209" s="54"/>
      <c r="C209" s="67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67"/>
      <c r="R209" s="67"/>
      <c r="S209" s="67"/>
      <c r="T209" s="67"/>
      <c r="U209" s="118"/>
    </row>
    <row r="210">
      <c r="A210" s="72"/>
      <c r="B210" s="54"/>
      <c r="C210" s="67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67"/>
      <c r="R210" s="67"/>
      <c r="S210" s="67"/>
      <c r="T210" s="67"/>
      <c r="U210" s="118"/>
    </row>
    <row r="211">
      <c r="A211" s="72"/>
      <c r="B211" s="54"/>
      <c r="C211" s="67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67"/>
      <c r="R211" s="67"/>
      <c r="S211" s="67"/>
      <c r="T211" s="67"/>
      <c r="U211" s="118"/>
    </row>
    <row r="212">
      <c r="A212" s="72"/>
      <c r="B212" s="54"/>
      <c r="C212" s="67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67"/>
      <c r="R212" s="67"/>
      <c r="S212" s="67"/>
      <c r="T212" s="67"/>
      <c r="U212" s="118"/>
    </row>
    <row r="213">
      <c r="A213" s="72"/>
      <c r="B213" s="54"/>
      <c r="C213" s="67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67"/>
      <c r="R213" s="67"/>
      <c r="S213" s="67"/>
      <c r="T213" s="67"/>
      <c r="U213" s="118"/>
    </row>
    <row r="214">
      <c r="A214" s="72"/>
      <c r="B214" s="54"/>
      <c r="C214" s="67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67"/>
      <c r="R214" s="67"/>
      <c r="S214" s="67"/>
      <c r="T214" s="67"/>
      <c r="U214" s="118"/>
    </row>
    <row r="215">
      <c r="A215" s="72"/>
      <c r="B215" s="54"/>
      <c r="C215" s="67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67"/>
      <c r="R215" s="67"/>
      <c r="S215" s="67"/>
      <c r="T215" s="67"/>
      <c r="U215" s="118"/>
    </row>
    <row r="216">
      <c r="A216" s="72"/>
      <c r="B216" s="54"/>
      <c r="C216" s="67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67"/>
      <c r="R216" s="67"/>
      <c r="S216" s="67"/>
      <c r="T216" s="67"/>
      <c r="U216" s="118"/>
    </row>
    <row r="217">
      <c r="A217" s="72"/>
      <c r="B217" s="54"/>
      <c r="C217" s="67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67"/>
      <c r="R217" s="67"/>
      <c r="S217" s="67"/>
      <c r="T217" s="67"/>
      <c r="U217" s="118"/>
    </row>
    <row r="218">
      <c r="A218" s="72"/>
      <c r="B218" s="54"/>
      <c r="C218" s="67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67"/>
      <c r="R218" s="67"/>
      <c r="S218" s="67"/>
      <c r="T218" s="67"/>
      <c r="U218" s="118"/>
    </row>
    <row r="219">
      <c r="A219" s="72"/>
      <c r="B219" s="54"/>
      <c r="C219" s="67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67"/>
      <c r="R219" s="67"/>
      <c r="S219" s="67"/>
      <c r="T219" s="67"/>
      <c r="U219" s="118"/>
    </row>
    <row r="220">
      <c r="A220" s="72"/>
      <c r="B220" s="54"/>
      <c r="C220" s="67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67"/>
      <c r="R220" s="67"/>
      <c r="S220" s="67"/>
      <c r="T220" s="67"/>
      <c r="U220" s="118"/>
    </row>
    <row r="221">
      <c r="A221" s="72"/>
      <c r="B221" s="54"/>
      <c r="C221" s="67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67"/>
      <c r="R221" s="67"/>
      <c r="S221" s="67"/>
      <c r="T221" s="67"/>
      <c r="U221" s="118"/>
    </row>
    <row r="222">
      <c r="A222" s="72"/>
      <c r="B222" s="54"/>
      <c r="C222" s="67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67"/>
      <c r="R222" s="67"/>
      <c r="S222" s="67"/>
      <c r="T222" s="67"/>
      <c r="U222" s="118"/>
    </row>
    <row r="223">
      <c r="A223" s="72"/>
      <c r="B223" s="54"/>
      <c r="C223" s="67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67"/>
      <c r="R223" s="67"/>
      <c r="S223" s="67"/>
      <c r="T223" s="67"/>
      <c r="U223" s="118"/>
    </row>
    <row r="224">
      <c r="A224" s="72"/>
      <c r="B224" s="54"/>
      <c r="C224" s="67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67"/>
      <c r="R224" s="67"/>
      <c r="S224" s="67"/>
      <c r="T224" s="67"/>
      <c r="U224" s="118"/>
    </row>
    <row r="225">
      <c r="A225" s="72"/>
      <c r="B225" s="54"/>
      <c r="C225" s="67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67"/>
      <c r="R225" s="67"/>
      <c r="S225" s="67"/>
      <c r="T225" s="67"/>
      <c r="U225" s="118"/>
    </row>
    <row r="226">
      <c r="A226" s="72"/>
      <c r="B226" s="54"/>
      <c r="C226" s="67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67"/>
      <c r="R226" s="67"/>
      <c r="S226" s="67"/>
      <c r="T226" s="67"/>
      <c r="U226" s="118"/>
    </row>
    <row r="227">
      <c r="A227" s="72"/>
      <c r="B227" s="54"/>
      <c r="C227" s="67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67"/>
      <c r="R227" s="67"/>
      <c r="S227" s="67"/>
      <c r="T227" s="67"/>
      <c r="U227" s="118"/>
    </row>
    <row r="228">
      <c r="A228" s="72"/>
      <c r="B228" s="54"/>
      <c r="C228" s="67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67"/>
      <c r="R228" s="67"/>
      <c r="S228" s="67"/>
      <c r="T228" s="67"/>
      <c r="U228" s="118"/>
    </row>
    <row r="229">
      <c r="A229" s="72"/>
      <c r="B229" s="54"/>
      <c r="C229" s="67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67"/>
      <c r="R229" s="67"/>
      <c r="S229" s="67"/>
      <c r="T229" s="67"/>
      <c r="U229" s="118"/>
    </row>
    <row r="230">
      <c r="A230" s="72"/>
      <c r="B230" s="54"/>
      <c r="C230" s="67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67"/>
      <c r="R230" s="67"/>
      <c r="S230" s="67"/>
      <c r="T230" s="67"/>
      <c r="U230" s="118"/>
    </row>
    <row r="231">
      <c r="A231" s="72"/>
      <c r="B231" s="54"/>
      <c r="C231" s="67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67"/>
      <c r="R231" s="67"/>
      <c r="S231" s="67"/>
      <c r="T231" s="67"/>
      <c r="U231" s="118"/>
    </row>
    <row r="232">
      <c r="A232" s="72"/>
      <c r="B232" s="54"/>
      <c r="C232" s="67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67"/>
      <c r="R232" s="67"/>
      <c r="S232" s="67"/>
      <c r="T232" s="67"/>
      <c r="U232" s="118"/>
    </row>
    <row r="233">
      <c r="A233" s="72"/>
      <c r="B233" s="54"/>
      <c r="C233" s="67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67"/>
      <c r="R233" s="67"/>
      <c r="S233" s="67"/>
      <c r="T233" s="67"/>
      <c r="U233" s="118"/>
    </row>
    <row r="234">
      <c r="A234" s="72"/>
      <c r="B234" s="54"/>
      <c r="C234" s="67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67"/>
      <c r="R234" s="67"/>
      <c r="S234" s="67"/>
      <c r="T234" s="67"/>
      <c r="U234" s="118"/>
    </row>
    <row r="235">
      <c r="A235" s="72"/>
      <c r="B235" s="54"/>
      <c r="C235" s="67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67"/>
      <c r="R235" s="67"/>
      <c r="S235" s="67"/>
      <c r="T235" s="67"/>
      <c r="U235" s="118"/>
    </row>
    <row r="236">
      <c r="A236" s="72"/>
      <c r="B236" s="54"/>
      <c r="C236" s="67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67"/>
      <c r="R236" s="67"/>
      <c r="S236" s="67"/>
      <c r="T236" s="67"/>
      <c r="U236" s="118"/>
    </row>
    <row r="237">
      <c r="A237" s="72"/>
      <c r="B237" s="54"/>
      <c r="C237" s="67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67"/>
      <c r="R237" s="67"/>
      <c r="S237" s="67"/>
      <c r="T237" s="67"/>
      <c r="U237" s="118"/>
    </row>
    <row r="238">
      <c r="A238" s="72"/>
      <c r="B238" s="54"/>
      <c r="C238" s="67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67"/>
      <c r="R238" s="67"/>
      <c r="S238" s="67"/>
      <c r="T238" s="67"/>
      <c r="U238" s="118"/>
    </row>
    <row r="239">
      <c r="A239" s="72"/>
      <c r="B239" s="54"/>
      <c r="C239" s="67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67"/>
      <c r="R239" s="67"/>
      <c r="S239" s="67"/>
      <c r="T239" s="67"/>
      <c r="U239" s="118"/>
    </row>
    <row r="240">
      <c r="A240" s="72"/>
      <c r="B240" s="54"/>
      <c r="C240" s="67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67"/>
      <c r="R240" s="67"/>
      <c r="S240" s="67"/>
      <c r="T240" s="67"/>
      <c r="U240" s="118"/>
    </row>
    <row r="241">
      <c r="A241" s="72"/>
      <c r="B241" s="54"/>
      <c r="C241" s="67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67"/>
      <c r="R241" s="67"/>
      <c r="S241" s="67"/>
      <c r="T241" s="67"/>
      <c r="U241" s="118"/>
    </row>
    <row r="242">
      <c r="A242" s="72"/>
      <c r="B242" s="54"/>
      <c r="C242" s="67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67"/>
      <c r="R242" s="67"/>
      <c r="S242" s="67"/>
      <c r="T242" s="67"/>
      <c r="U242" s="118"/>
    </row>
    <row r="243">
      <c r="A243" s="72"/>
      <c r="B243" s="54"/>
      <c r="C243" s="67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67"/>
      <c r="R243" s="67"/>
      <c r="S243" s="67"/>
      <c r="T243" s="67"/>
      <c r="U243" s="118"/>
    </row>
    <row r="244">
      <c r="A244" s="72"/>
      <c r="B244" s="54"/>
      <c r="C244" s="67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67"/>
      <c r="R244" s="67"/>
      <c r="S244" s="67"/>
      <c r="T244" s="67"/>
      <c r="U244" s="118"/>
    </row>
    <row r="245">
      <c r="A245" s="72"/>
      <c r="B245" s="54"/>
      <c r="C245" s="67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67"/>
      <c r="R245" s="67"/>
      <c r="S245" s="67"/>
      <c r="T245" s="67"/>
      <c r="U245" s="118"/>
    </row>
    <row r="246">
      <c r="A246" s="72"/>
      <c r="B246" s="54"/>
      <c r="C246" s="67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67"/>
      <c r="R246" s="67"/>
      <c r="S246" s="67"/>
      <c r="T246" s="67"/>
      <c r="U246" s="118"/>
    </row>
    <row r="247">
      <c r="A247" s="72"/>
      <c r="B247" s="54"/>
      <c r="C247" s="67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67"/>
      <c r="R247" s="67"/>
      <c r="S247" s="67"/>
      <c r="T247" s="67"/>
      <c r="U247" s="118"/>
    </row>
    <row r="248">
      <c r="A248" s="72"/>
      <c r="B248" s="54"/>
      <c r="C248" s="67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67"/>
      <c r="R248" s="67"/>
      <c r="S248" s="67"/>
      <c r="T248" s="67"/>
      <c r="U248" s="118"/>
    </row>
    <row r="249">
      <c r="A249" s="72"/>
      <c r="B249" s="54"/>
      <c r="C249" s="67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67"/>
      <c r="R249" s="67"/>
      <c r="S249" s="67"/>
      <c r="T249" s="67"/>
      <c r="U249" s="118"/>
    </row>
    <row r="250">
      <c r="A250" s="72"/>
      <c r="B250" s="54"/>
      <c r="C250" s="67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67"/>
      <c r="R250" s="67"/>
      <c r="S250" s="67"/>
      <c r="T250" s="67"/>
      <c r="U250" s="118"/>
    </row>
    <row r="251">
      <c r="A251" s="72"/>
      <c r="B251" s="54"/>
      <c r="C251" s="67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67"/>
      <c r="R251" s="67"/>
      <c r="S251" s="67"/>
      <c r="T251" s="67"/>
      <c r="U251" s="118"/>
    </row>
    <row r="252">
      <c r="A252" s="72"/>
      <c r="B252" s="54"/>
      <c r="C252" s="67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67"/>
      <c r="R252" s="67"/>
      <c r="S252" s="67"/>
      <c r="T252" s="67"/>
      <c r="U252" s="118"/>
    </row>
    <row r="253">
      <c r="A253" s="72"/>
      <c r="B253" s="54"/>
      <c r="C253" s="67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67"/>
      <c r="R253" s="67"/>
      <c r="S253" s="67"/>
      <c r="T253" s="67"/>
      <c r="U253" s="118"/>
    </row>
    <row r="254">
      <c r="A254" s="72"/>
      <c r="B254" s="54"/>
      <c r="C254" s="67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67"/>
      <c r="R254" s="67"/>
      <c r="S254" s="67"/>
      <c r="T254" s="67"/>
      <c r="U254" s="118"/>
    </row>
    <row r="255">
      <c r="A255" s="72"/>
      <c r="B255" s="54"/>
      <c r="C255" s="67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67"/>
      <c r="R255" s="67"/>
      <c r="S255" s="67"/>
      <c r="T255" s="67"/>
      <c r="U255" s="118"/>
    </row>
    <row r="256">
      <c r="A256" s="72"/>
      <c r="B256" s="54"/>
      <c r="C256" s="67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67"/>
      <c r="R256" s="67"/>
      <c r="S256" s="67"/>
      <c r="T256" s="67"/>
      <c r="U256" s="118"/>
    </row>
    <row r="257">
      <c r="A257" s="72"/>
      <c r="B257" s="54"/>
      <c r="C257" s="67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67"/>
      <c r="R257" s="67"/>
      <c r="S257" s="67"/>
      <c r="T257" s="67"/>
      <c r="U257" s="118"/>
    </row>
    <row r="258">
      <c r="A258" s="72"/>
      <c r="B258" s="54"/>
      <c r="C258" s="67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67"/>
      <c r="R258" s="67"/>
      <c r="S258" s="67"/>
      <c r="T258" s="67"/>
      <c r="U258" s="118"/>
    </row>
    <row r="259">
      <c r="A259" s="72"/>
      <c r="B259" s="54"/>
      <c r="C259" s="67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67"/>
      <c r="R259" s="67"/>
      <c r="S259" s="67"/>
      <c r="T259" s="67"/>
      <c r="U259" s="118"/>
    </row>
    <row r="260">
      <c r="A260" s="72"/>
      <c r="B260" s="54"/>
      <c r="C260" s="67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67"/>
      <c r="R260" s="67"/>
      <c r="S260" s="67"/>
      <c r="T260" s="67"/>
      <c r="U260" s="118"/>
    </row>
    <row r="261">
      <c r="A261" s="72"/>
      <c r="B261" s="54"/>
      <c r="C261" s="67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67"/>
      <c r="R261" s="67"/>
      <c r="S261" s="67"/>
      <c r="T261" s="67"/>
      <c r="U261" s="118"/>
    </row>
    <row r="262">
      <c r="A262" s="72"/>
      <c r="B262" s="54"/>
      <c r="C262" s="67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67"/>
      <c r="R262" s="67"/>
      <c r="S262" s="67"/>
      <c r="T262" s="67"/>
      <c r="U262" s="118"/>
    </row>
    <row r="263">
      <c r="A263" s="72"/>
      <c r="B263" s="54"/>
      <c r="C263" s="67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67"/>
      <c r="R263" s="67"/>
      <c r="S263" s="67"/>
      <c r="T263" s="67"/>
      <c r="U263" s="118"/>
    </row>
    <row r="264">
      <c r="A264" s="72"/>
      <c r="B264" s="54"/>
      <c r="C264" s="67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67"/>
      <c r="R264" s="67"/>
      <c r="S264" s="67"/>
      <c r="T264" s="67"/>
      <c r="U264" s="118"/>
    </row>
    <row r="265">
      <c r="A265" s="72"/>
      <c r="B265" s="54"/>
      <c r="C265" s="67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67"/>
      <c r="R265" s="67"/>
      <c r="S265" s="67"/>
      <c r="T265" s="67"/>
      <c r="U265" s="118"/>
    </row>
    <row r="266">
      <c r="A266" s="72"/>
      <c r="B266" s="54"/>
      <c r="C266" s="67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67"/>
      <c r="R266" s="67"/>
      <c r="S266" s="67"/>
      <c r="T266" s="67"/>
      <c r="U266" s="118"/>
    </row>
    <row r="267">
      <c r="A267" s="72"/>
      <c r="B267" s="54"/>
      <c r="C267" s="67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67"/>
      <c r="R267" s="67"/>
      <c r="S267" s="67"/>
      <c r="T267" s="67"/>
      <c r="U267" s="118"/>
    </row>
    <row r="268">
      <c r="A268" s="72"/>
      <c r="B268" s="54"/>
      <c r="C268" s="67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67"/>
      <c r="R268" s="67"/>
      <c r="S268" s="67"/>
      <c r="T268" s="67"/>
      <c r="U268" s="118"/>
    </row>
    <row r="269">
      <c r="A269" s="72"/>
      <c r="B269" s="54"/>
      <c r="C269" s="67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67"/>
      <c r="R269" s="67"/>
      <c r="S269" s="67"/>
      <c r="T269" s="67"/>
      <c r="U269" s="118"/>
    </row>
    <row r="270">
      <c r="A270" s="72"/>
      <c r="B270" s="54"/>
      <c r="C270" s="67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67"/>
      <c r="R270" s="67"/>
      <c r="S270" s="67"/>
      <c r="T270" s="67"/>
      <c r="U270" s="118"/>
    </row>
    <row r="271">
      <c r="A271" s="72"/>
      <c r="B271" s="54"/>
      <c r="C271" s="67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67"/>
      <c r="R271" s="67"/>
      <c r="S271" s="67"/>
      <c r="T271" s="67"/>
      <c r="U271" s="118"/>
    </row>
    <row r="272">
      <c r="A272" s="72"/>
      <c r="B272" s="54"/>
      <c r="C272" s="67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67"/>
      <c r="R272" s="67"/>
      <c r="S272" s="67"/>
      <c r="T272" s="67"/>
      <c r="U272" s="118"/>
    </row>
    <row r="273">
      <c r="A273" s="72"/>
      <c r="B273" s="54"/>
      <c r="C273" s="67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67"/>
      <c r="R273" s="67"/>
      <c r="S273" s="67"/>
      <c r="T273" s="67"/>
      <c r="U273" s="118"/>
    </row>
    <row r="274">
      <c r="A274" s="72"/>
      <c r="B274" s="54"/>
      <c r="C274" s="67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67"/>
      <c r="R274" s="67"/>
      <c r="S274" s="67"/>
      <c r="T274" s="67"/>
      <c r="U274" s="118"/>
    </row>
    <row r="275">
      <c r="A275" s="72"/>
      <c r="B275" s="54"/>
      <c r="C275" s="67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67"/>
      <c r="R275" s="67"/>
      <c r="S275" s="67"/>
      <c r="T275" s="67"/>
      <c r="U275" s="118"/>
    </row>
    <row r="276">
      <c r="A276" s="72"/>
      <c r="B276" s="54"/>
      <c r="C276" s="67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67"/>
      <c r="R276" s="67"/>
      <c r="S276" s="67"/>
      <c r="T276" s="67"/>
      <c r="U276" s="118"/>
    </row>
    <row r="277">
      <c r="A277" s="72"/>
      <c r="B277" s="54"/>
      <c r="C277" s="67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67"/>
      <c r="R277" s="67"/>
      <c r="S277" s="67"/>
      <c r="T277" s="67"/>
      <c r="U277" s="118"/>
    </row>
    <row r="278">
      <c r="A278" s="72"/>
      <c r="B278" s="54"/>
      <c r="C278" s="67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67"/>
      <c r="R278" s="67"/>
      <c r="S278" s="67"/>
      <c r="T278" s="67"/>
      <c r="U278" s="118"/>
    </row>
    <row r="279">
      <c r="A279" s="72"/>
      <c r="B279" s="54"/>
      <c r="C279" s="67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67"/>
      <c r="R279" s="67"/>
      <c r="S279" s="67"/>
      <c r="T279" s="67"/>
      <c r="U279" s="118"/>
    </row>
    <row r="280">
      <c r="A280" s="72"/>
      <c r="B280" s="54"/>
      <c r="C280" s="67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67"/>
      <c r="R280" s="67"/>
      <c r="S280" s="67"/>
      <c r="T280" s="67"/>
      <c r="U280" s="118"/>
    </row>
    <row r="281">
      <c r="A281" s="72"/>
      <c r="B281" s="54"/>
      <c r="C281" s="67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67"/>
      <c r="R281" s="67"/>
      <c r="S281" s="67"/>
      <c r="T281" s="67"/>
      <c r="U281" s="118"/>
    </row>
    <row r="282">
      <c r="A282" s="72"/>
      <c r="B282" s="54"/>
      <c r="C282" s="67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67"/>
      <c r="R282" s="67"/>
      <c r="S282" s="67"/>
      <c r="T282" s="67"/>
      <c r="U282" s="118"/>
    </row>
    <row r="283">
      <c r="A283" s="72"/>
      <c r="B283" s="54"/>
      <c r="C283" s="67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67"/>
      <c r="R283" s="67"/>
      <c r="S283" s="67"/>
      <c r="T283" s="67"/>
      <c r="U283" s="118"/>
    </row>
    <row r="284">
      <c r="A284" s="72"/>
      <c r="B284" s="54"/>
      <c r="C284" s="67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67"/>
      <c r="R284" s="67"/>
      <c r="S284" s="67"/>
      <c r="T284" s="67"/>
      <c r="U284" s="118"/>
    </row>
    <row r="285">
      <c r="A285" s="72"/>
      <c r="B285" s="54"/>
      <c r="C285" s="67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67"/>
      <c r="R285" s="67"/>
      <c r="S285" s="67"/>
      <c r="T285" s="67"/>
      <c r="U285" s="118"/>
    </row>
    <row r="286">
      <c r="A286" s="72"/>
      <c r="B286" s="54"/>
      <c r="C286" s="67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67"/>
      <c r="R286" s="67"/>
      <c r="S286" s="67"/>
      <c r="T286" s="67"/>
      <c r="U286" s="118"/>
    </row>
    <row r="287">
      <c r="A287" s="72"/>
      <c r="B287" s="54"/>
      <c r="C287" s="67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67"/>
      <c r="R287" s="67"/>
      <c r="S287" s="67"/>
      <c r="T287" s="67"/>
      <c r="U287" s="118"/>
    </row>
    <row r="288">
      <c r="A288" s="72"/>
      <c r="B288" s="54"/>
      <c r="C288" s="67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67"/>
      <c r="R288" s="67"/>
      <c r="S288" s="67"/>
      <c r="T288" s="67"/>
      <c r="U288" s="118"/>
    </row>
    <row r="289">
      <c r="A289" s="72"/>
      <c r="B289" s="54"/>
      <c r="C289" s="67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67"/>
      <c r="R289" s="67"/>
      <c r="S289" s="67"/>
      <c r="T289" s="67"/>
      <c r="U289" s="118"/>
    </row>
    <row r="290">
      <c r="A290" s="72"/>
      <c r="B290" s="54"/>
      <c r="C290" s="67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67"/>
      <c r="R290" s="67"/>
      <c r="S290" s="67"/>
      <c r="T290" s="67"/>
      <c r="U290" s="118"/>
    </row>
    <row r="291">
      <c r="A291" s="72"/>
      <c r="B291" s="54"/>
      <c r="C291" s="67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67"/>
      <c r="R291" s="67"/>
      <c r="S291" s="67"/>
      <c r="T291" s="67"/>
      <c r="U291" s="118"/>
    </row>
    <row r="292">
      <c r="A292" s="72"/>
      <c r="B292" s="54"/>
      <c r="C292" s="67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67"/>
      <c r="R292" s="67"/>
      <c r="S292" s="67"/>
      <c r="T292" s="67"/>
      <c r="U292" s="118"/>
    </row>
    <row r="293">
      <c r="A293" s="72"/>
      <c r="B293" s="54"/>
      <c r="C293" s="67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67"/>
      <c r="R293" s="67"/>
      <c r="S293" s="67"/>
      <c r="T293" s="67"/>
      <c r="U293" s="118"/>
    </row>
    <row r="294">
      <c r="A294" s="72"/>
      <c r="B294" s="54"/>
      <c r="C294" s="67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67"/>
      <c r="R294" s="67"/>
      <c r="S294" s="67"/>
      <c r="T294" s="67"/>
      <c r="U294" s="118"/>
    </row>
    <row r="295">
      <c r="A295" s="72"/>
      <c r="B295" s="54"/>
      <c r="C295" s="67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67"/>
      <c r="R295" s="67"/>
      <c r="S295" s="67"/>
      <c r="T295" s="67"/>
      <c r="U295" s="118"/>
    </row>
    <row r="296">
      <c r="A296" s="72"/>
      <c r="B296" s="54"/>
      <c r="C296" s="67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67"/>
      <c r="R296" s="67"/>
      <c r="S296" s="67"/>
      <c r="T296" s="67"/>
      <c r="U296" s="118"/>
    </row>
    <row r="297">
      <c r="A297" s="72"/>
      <c r="B297" s="54"/>
      <c r="C297" s="67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67"/>
      <c r="R297" s="67"/>
      <c r="S297" s="67"/>
      <c r="T297" s="67"/>
      <c r="U297" s="118"/>
    </row>
    <row r="298">
      <c r="A298" s="72"/>
      <c r="B298" s="54"/>
      <c r="C298" s="67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67"/>
      <c r="R298" s="67"/>
      <c r="S298" s="67"/>
      <c r="T298" s="67"/>
      <c r="U298" s="118"/>
    </row>
    <row r="299">
      <c r="A299" s="72"/>
      <c r="B299" s="54"/>
      <c r="C299" s="67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67"/>
      <c r="R299" s="67"/>
      <c r="S299" s="67"/>
      <c r="T299" s="67"/>
      <c r="U299" s="118"/>
    </row>
    <row r="300">
      <c r="A300" s="72"/>
      <c r="B300" s="54"/>
      <c r="C300" s="67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67"/>
      <c r="R300" s="67"/>
      <c r="S300" s="67"/>
      <c r="T300" s="67"/>
      <c r="U300" s="118"/>
    </row>
    <row r="301">
      <c r="A301" s="72"/>
      <c r="B301" s="54"/>
      <c r="C301" s="67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67"/>
      <c r="R301" s="67"/>
      <c r="S301" s="67"/>
      <c r="T301" s="67"/>
      <c r="U301" s="118"/>
    </row>
    <row r="302">
      <c r="A302" s="72"/>
      <c r="B302" s="54"/>
      <c r="C302" s="67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67"/>
      <c r="R302" s="67"/>
      <c r="S302" s="67"/>
      <c r="T302" s="67"/>
      <c r="U302" s="118"/>
    </row>
    <row r="303">
      <c r="A303" s="72"/>
      <c r="B303" s="54"/>
      <c r="C303" s="67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67"/>
      <c r="R303" s="67"/>
      <c r="S303" s="67"/>
      <c r="T303" s="67"/>
      <c r="U303" s="118"/>
    </row>
    <row r="304">
      <c r="A304" s="72"/>
      <c r="B304" s="54"/>
      <c r="C304" s="67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67"/>
      <c r="R304" s="67"/>
      <c r="S304" s="67"/>
      <c r="T304" s="67"/>
      <c r="U304" s="118"/>
    </row>
    <row r="305">
      <c r="A305" s="72"/>
      <c r="B305" s="54"/>
      <c r="C305" s="67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67"/>
      <c r="R305" s="67"/>
      <c r="S305" s="67"/>
      <c r="T305" s="67"/>
      <c r="U305" s="118"/>
    </row>
    <row r="306">
      <c r="A306" s="72"/>
      <c r="B306" s="54"/>
      <c r="C306" s="67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67"/>
      <c r="R306" s="67"/>
      <c r="S306" s="67"/>
      <c r="T306" s="67"/>
      <c r="U306" s="118"/>
    </row>
    <row r="307">
      <c r="A307" s="72"/>
      <c r="B307" s="54"/>
      <c r="C307" s="67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67"/>
      <c r="R307" s="67"/>
      <c r="S307" s="67"/>
      <c r="T307" s="67"/>
      <c r="U307" s="118"/>
    </row>
    <row r="308">
      <c r="A308" s="72"/>
      <c r="B308" s="54"/>
      <c r="C308" s="67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67"/>
      <c r="R308" s="67"/>
      <c r="S308" s="67"/>
      <c r="T308" s="67"/>
      <c r="U308" s="118"/>
    </row>
    <row r="309">
      <c r="A309" s="72"/>
      <c r="B309" s="54"/>
      <c r="C309" s="67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67"/>
      <c r="R309" s="67"/>
      <c r="S309" s="67"/>
      <c r="T309" s="67"/>
      <c r="U309" s="118"/>
    </row>
    <row r="310">
      <c r="A310" s="72"/>
      <c r="B310" s="54"/>
      <c r="C310" s="67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67"/>
      <c r="R310" s="67"/>
      <c r="S310" s="67"/>
      <c r="T310" s="67"/>
      <c r="U310" s="118"/>
    </row>
    <row r="311">
      <c r="A311" s="72"/>
      <c r="B311" s="54"/>
      <c r="C311" s="67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67"/>
      <c r="R311" s="67"/>
      <c r="S311" s="67"/>
      <c r="T311" s="67"/>
      <c r="U311" s="118"/>
    </row>
    <row r="312">
      <c r="A312" s="72"/>
      <c r="B312" s="54"/>
      <c r="C312" s="67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67"/>
      <c r="R312" s="67"/>
      <c r="S312" s="67"/>
      <c r="T312" s="67"/>
      <c r="U312" s="118"/>
    </row>
    <row r="313">
      <c r="A313" s="72"/>
      <c r="B313" s="54"/>
      <c r="C313" s="67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67"/>
      <c r="R313" s="67"/>
      <c r="S313" s="67"/>
      <c r="T313" s="67"/>
      <c r="U313" s="118"/>
    </row>
    <row r="314">
      <c r="A314" s="72"/>
      <c r="B314" s="54"/>
      <c r="C314" s="67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67"/>
      <c r="R314" s="67"/>
      <c r="S314" s="67"/>
      <c r="T314" s="67"/>
      <c r="U314" s="118"/>
    </row>
    <row r="315">
      <c r="A315" s="72"/>
      <c r="B315" s="54"/>
      <c r="C315" s="67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67"/>
      <c r="R315" s="67"/>
      <c r="S315" s="67"/>
      <c r="T315" s="67"/>
      <c r="U315" s="118"/>
    </row>
    <row r="316">
      <c r="A316" s="72"/>
      <c r="B316" s="54"/>
      <c r="C316" s="67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67"/>
      <c r="R316" s="67"/>
      <c r="S316" s="67"/>
      <c r="T316" s="67"/>
      <c r="U316" s="118"/>
    </row>
    <row r="317">
      <c r="A317" s="72"/>
      <c r="B317" s="54"/>
      <c r="C317" s="67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67"/>
      <c r="R317" s="67"/>
      <c r="S317" s="67"/>
      <c r="T317" s="67"/>
      <c r="U317" s="118"/>
    </row>
    <row r="318">
      <c r="A318" s="72"/>
      <c r="B318" s="54"/>
      <c r="C318" s="67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67"/>
      <c r="R318" s="67"/>
      <c r="S318" s="67"/>
      <c r="T318" s="67"/>
      <c r="U318" s="118"/>
    </row>
    <row r="319">
      <c r="A319" s="72"/>
      <c r="B319" s="54"/>
      <c r="C319" s="67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67"/>
      <c r="R319" s="67"/>
      <c r="S319" s="67"/>
      <c r="T319" s="67"/>
      <c r="U319" s="118"/>
    </row>
    <row r="320">
      <c r="A320" s="72"/>
      <c r="B320" s="54"/>
      <c r="C320" s="67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67"/>
      <c r="R320" s="67"/>
      <c r="S320" s="67"/>
      <c r="T320" s="67"/>
      <c r="U320" s="118"/>
    </row>
    <row r="321">
      <c r="A321" s="72"/>
      <c r="B321" s="54"/>
      <c r="C321" s="67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67"/>
      <c r="R321" s="67"/>
      <c r="S321" s="67"/>
      <c r="T321" s="67"/>
      <c r="U321" s="118"/>
    </row>
    <row r="322">
      <c r="A322" s="72"/>
      <c r="B322" s="54"/>
      <c r="C322" s="67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67"/>
      <c r="R322" s="67"/>
      <c r="S322" s="67"/>
      <c r="T322" s="67"/>
      <c r="U322" s="118"/>
    </row>
    <row r="323">
      <c r="A323" s="72"/>
      <c r="B323" s="54"/>
      <c r="C323" s="67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67"/>
      <c r="R323" s="67"/>
      <c r="S323" s="67"/>
      <c r="T323" s="67"/>
      <c r="U323" s="118"/>
    </row>
    <row r="324">
      <c r="A324" s="72"/>
      <c r="B324" s="54"/>
      <c r="C324" s="67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67"/>
      <c r="R324" s="67"/>
      <c r="S324" s="67"/>
      <c r="T324" s="67"/>
      <c r="U324" s="118"/>
    </row>
    <row r="325">
      <c r="A325" s="72"/>
      <c r="B325" s="54"/>
      <c r="C325" s="67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67"/>
      <c r="R325" s="67"/>
      <c r="S325" s="67"/>
      <c r="T325" s="67"/>
      <c r="U325" s="118"/>
    </row>
    <row r="326">
      <c r="A326" s="72"/>
      <c r="B326" s="54"/>
      <c r="C326" s="67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67"/>
      <c r="R326" s="67"/>
      <c r="S326" s="67"/>
      <c r="T326" s="67"/>
      <c r="U326" s="118"/>
    </row>
    <row r="327">
      <c r="A327" s="72"/>
      <c r="B327" s="54"/>
      <c r="C327" s="67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67"/>
      <c r="R327" s="67"/>
      <c r="S327" s="67"/>
      <c r="T327" s="67"/>
      <c r="U327" s="118"/>
    </row>
    <row r="328">
      <c r="A328" s="72"/>
      <c r="B328" s="54"/>
      <c r="C328" s="67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67"/>
      <c r="R328" s="67"/>
      <c r="S328" s="67"/>
      <c r="T328" s="67"/>
      <c r="U328" s="118"/>
    </row>
    <row r="329">
      <c r="A329" s="72"/>
      <c r="B329" s="54"/>
      <c r="C329" s="67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67"/>
      <c r="R329" s="67"/>
      <c r="S329" s="67"/>
      <c r="T329" s="67"/>
      <c r="U329" s="118"/>
    </row>
    <row r="330">
      <c r="A330" s="72"/>
      <c r="B330" s="54"/>
      <c r="C330" s="67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67"/>
      <c r="R330" s="67"/>
      <c r="S330" s="67"/>
      <c r="T330" s="67"/>
      <c r="U330" s="118"/>
    </row>
    <row r="331">
      <c r="A331" s="72"/>
      <c r="B331" s="54"/>
      <c r="C331" s="67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67"/>
      <c r="R331" s="67"/>
      <c r="S331" s="67"/>
      <c r="T331" s="67"/>
      <c r="U331" s="118"/>
    </row>
    <row r="332">
      <c r="A332" s="72"/>
      <c r="B332" s="54"/>
      <c r="C332" s="67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67"/>
      <c r="R332" s="67"/>
      <c r="S332" s="67"/>
      <c r="T332" s="67"/>
      <c r="U332" s="118"/>
    </row>
    <row r="333">
      <c r="A333" s="72"/>
      <c r="B333" s="54"/>
      <c r="C333" s="67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67"/>
      <c r="R333" s="67"/>
      <c r="S333" s="67"/>
      <c r="T333" s="67"/>
      <c r="U333" s="118"/>
    </row>
    <row r="334">
      <c r="A334" s="72"/>
      <c r="B334" s="54"/>
      <c r="C334" s="67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67"/>
      <c r="R334" s="67"/>
      <c r="S334" s="67"/>
      <c r="T334" s="67"/>
      <c r="U334" s="118"/>
    </row>
    <row r="335">
      <c r="A335" s="72"/>
      <c r="B335" s="54"/>
      <c r="C335" s="67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67"/>
      <c r="R335" s="67"/>
      <c r="S335" s="67"/>
      <c r="T335" s="67"/>
      <c r="U335" s="118"/>
    </row>
    <row r="336">
      <c r="A336" s="72"/>
      <c r="B336" s="54"/>
      <c r="C336" s="67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67"/>
      <c r="R336" s="67"/>
      <c r="S336" s="67"/>
      <c r="T336" s="67"/>
      <c r="U336" s="118"/>
    </row>
    <row r="337">
      <c r="A337" s="72"/>
      <c r="B337" s="54"/>
      <c r="C337" s="67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67"/>
      <c r="R337" s="67"/>
      <c r="S337" s="67"/>
      <c r="T337" s="67"/>
      <c r="U337" s="118"/>
    </row>
    <row r="338">
      <c r="A338" s="72"/>
      <c r="B338" s="54"/>
      <c r="C338" s="67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67"/>
      <c r="R338" s="67"/>
      <c r="S338" s="67"/>
      <c r="T338" s="67"/>
      <c r="U338" s="118"/>
    </row>
    <row r="339">
      <c r="A339" s="72"/>
      <c r="B339" s="54"/>
      <c r="C339" s="67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67"/>
      <c r="R339" s="67"/>
      <c r="S339" s="67"/>
      <c r="T339" s="67"/>
      <c r="U339" s="118"/>
    </row>
    <row r="340">
      <c r="A340" s="72"/>
      <c r="B340" s="54"/>
      <c r="C340" s="67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67"/>
      <c r="R340" s="67"/>
      <c r="S340" s="67"/>
      <c r="T340" s="67"/>
      <c r="U340" s="118"/>
    </row>
    <row r="341">
      <c r="A341" s="72"/>
      <c r="B341" s="54"/>
      <c r="C341" s="67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67"/>
      <c r="R341" s="67"/>
      <c r="S341" s="67"/>
      <c r="T341" s="67"/>
      <c r="U341" s="118"/>
    </row>
    <row r="342">
      <c r="A342" s="72"/>
      <c r="B342" s="54"/>
      <c r="C342" s="67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67"/>
      <c r="R342" s="67"/>
      <c r="S342" s="67"/>
      <c r="T342" s="67"/>
      <c r="U342" s="118"/>
    </row>
    <row r="343">
      <c r="A343" s="72"/>
      <c r="B343" s="54"/>
      <c r="C343" s="67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67"/>
      <c r="R343" s="67"/>
      <c r="S343" s="67"/>
      <c r="T343" s="67"/>
      <c r="U343" s="118"/>
    </row>
    <row r="344">
      <c r="A344" s="72"/>
      <c r="B344" s="54"/>
      <c r="C344" s="67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67"/>
      <c r="R344" s="67"/>
      <c r="S344" s="67"/>
      <c r="T344" s="67"/>
      <c r="U344" s="118"/>
    </row>
    <row r="345">
      <c r="A345" s="72"/>
      <c r="B345" s="54"/>
      <c r="C345" s="67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67"/>
      <c r="R345" s="67"/>
      <c r="S345" s="67"/>
      <c r="T345" s="67"/>
      <c r="U345" s="118"/>
    </row>
    <row r="346">
      <c r="A346" s="72"/>
      <c r="B346" s="54"/>
      <c r="C346" s="67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67"/>
      <c r="R346" s="67"/>
      <c r="S346" s="67"/>
      <c r="T346" s="67"/>
      <c r="U346" s="118"/>
    </row>
    <row r="347">
      <c r="A347" s="72"/>
      <c r="B347" s="54"/>
      <c r="C347" s="67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67"/>
      <c r="R347" s="67"/>
      <c r="S347" s="67"/>
      <c r="T347" s="67"/>
      <c r="U347" s="118"/>
    </row>
    <row r="348">
      <c r="A348" s="72"/>
      <c r="B348" s="54"/>
      <c r="C348" s="67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67"/>
      <c r="R348" s="67"/>
      <c r="S348" s="67"/>
      <c r="T348" s="67"/>
      <c r="U348" s="118"/>
    </row>
    <row r="349">
      <c r="A349" s="72"/>
      <c r="B349" s="54"/>
      <c r="C349" s="67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67"/>
      <c r="R349" s="67"/>
      <c r="S349" s="67"/>
      <c r="T349" s="67"/>
      <c r="U349" s="118"/>
    </row>
    <row r="350">
      <c r="A350" s="72"/>
      <c r="B350" s="54"/>
      <c r="C350" s="67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67"/>
      <c r="R350" s="67"/>
      <c r="S350" s="67"/>
      <c r="T350" s="67"/>
      <c r="U350" s="118"/>
    </row>
    <row r="351">
      <c r="A351" s="72"/>
      <c r="B351" s="54"/>
      <c r="C351" s="67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67"/>
      <c r="R351" s="67"/>
      <c r="S351" s="67"/>
      <c r="T351" s="67"/>
      <c r="U351" s="118"/>
    </row>
    <row r="352">
      <c r="A352" s="72"/>
      <c r="B352" s="54"/>
      <c r="C352" s="67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67"/>
      <c r="R352" s="67"/>
      <c r="S352" s="67"/>
      <c r="T352" s="67"/>
      <c r="U352" s="118"/>
    </row>
    <row r="353">
      <c r="A353" s="72"/>
      <c r="B353" s="54"/>
      <c r="C353" s="67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67"/>
      <c r="R353" s="67"/>
      <c r="S353" s="67"/>
      <c r="T353" s="67"/>
      <c r="U353" s="118"/>
    </row>
    <row r="354">
      <c r="A354" s="72"/>
      <c r="B354" s="54"/>
      <c r="C354" s="67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67"/>
      <c r="R354" s="67"/>
      <c r="S354" s="67"/>
      <c r="T354" s="67"/>
      <c r="U354" s="118"/>
    </row>
    <row r="355">
      <c r="A355" s="72"/>
      <c r="B355" s="54"/>
      <c r="C355" s="67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67"/>
      <c r="R355" s="67"/>
      <c r="S355" s="67"/>
      <c r="T355" s="67"/>
      <c r="U355" s="118"/>
    </row>
    <row r="356">
      <c r="A356" s="72"/>
      <c r="B356" s="54"/>
      <c r="C356" s="67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67"/>
      <c r="R356" s="67"/>
      <c r="S356" s="67"/>
      <c r="T356" s="67"/>
      <c r="U356" s="118"/>
    </row>
    <row r="357">
      <c r="A357" s="72"/>
      <c r="B357" s="54"/>
      <c r="C357" s="67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67"/>
      <c r="R357" s="67"/>
      <c r="S357" s="67"/>
      <c r="T357" s="67"/>
      <c r="U357" s="118"/>
    </row>
    <row r="358">
      <c r="A358" s="72"/>
      <c r="B358" s="54"/>
      <c r="C358" s="67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67"/>
      <c r="R358" s="67"/>
      <c r="S358" s="67"/>
      <c r="T358" s="67"/>
      <c r="U358" s="118"/>
    </row>
    <row r="359">
      <c r="A359" s="72"/>
      <c r="B359" s="54"/>
      <c r="C359" s="67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67"/>
      <c r="R359" s="67"/>
      <c r="S359" s="67"/>
      <c r="T359" s="67"/>
      <c r="U359" s="118"/>
    </row>
    <row r="360">
      <c r="A360" s="72"/>
      <c r="B360" s="54"/>
      <c r="C360" s="67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67"/>
      <c r="R360" s="67"/>
      <c r="S360" s="67"/>
      <c r="T360" s="67"/>
      <c r="U360" s="118"/>
    </row>
    <row r="361">
      <c r="A361" s="72"/>
      <c r="B361" s="54"/>
      <c r="C361" s="67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67"/>
      <c r="R361" s="67"/>
      <c r="S361" s="67"/>
      <c r="T361" s="67"/>
      <c r="U361" s="118"/>
    </row>
    <row r="362">
      <c r="A362" s="72"/>
      <c r="B362" s="54"/>
      <c r="C362" s="67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67"/>
      <c r="R362" s="67"/>
      <c r="S362" s="67"/>
      <c r="T362" s="67"/>
      <c r="U362" s="118"/>
    </row>
    <row r="363">
      <c r="A363" s="72"/>
      <c r="B363" s="54"/>
      <c r="C363" s="67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67"/>
      <c r="R363" s="67"/>
      <c r="S363" s="67"/>
      <c r="T363" s="67"/>
      <c r="U363" s="118"/>
    </row>
    <row r="364">
      <c r="A364" s="72"/>
      <c r="B364" s="54"/>
      <c r="C364" s="67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67"/>
      <c r="R364" s="67"/>
      <c r="S364" s="67"/>
      <c r="T364" s="67"/>
      <c r="U364" s="118"/>
    </row>
    <row r="365">
      <c r="A365" s="72"/>
      <c r="B365" s="54"/>
      <c r="C365" s="67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67"/>
      <c r="R365" s="67"/>
      <c r="S365" s="67"/>
      <c r="T365" s="67"/>
      <c r="U365" s="118"/>
    </row>
    <row r="366">
      <c r="A366" s="72"/>
      <c r="B366" s="54"/>
      <c r="C366" s="67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67"/>
      <c r="R366" s="67"/>
      <c r="S366" s="67"/>
      <c r="T366" s="67"/>
      <c r="U366" s="118"/>
    </row>
    <row r="367">
      <c r="A367" s="72"/>
      <c r="B367" s="54"/>
      <c r="C367" s="67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67"/>
      <c r="R367" s="67"/>
      <c r="S367" s="67"/>
      <c r="T367" s="67"/>
      <c r="U367" s="118"/>
    </row>
    <row r="368">
      <c r="A368" s="72"/>
      <c r="B368" s="54"/>
      <c r="C368" s="67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67"/>
      <c r="R368" s="67"/>
      <c r="S368" s="67"/>
      <c r="T368" s="67"/>
      <c r="U368" s="118"/>
    </row>
    <row r="369">
      <c r="A369" s="72"/>
      <c r="B369" s="54"/>
      <c r="C369" s="67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67"/>
      <c r="R369" s="67"/>
      <c r="S369" s="67"/>
      <c r="T369" s="67"/>
      <c r="U369" s="118"/>
    </row>
    <row r="370">
      <c r="A370" s="72"/>
      <c r="B370" s="54"/>
      <c r="C370" s="67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67"/>
      <c r="R370" s="67"/>
      <c r="S370" s="67"/>
      <c r="T370" s="67"/>
      <c r="U370" s="118"/>
    </row>
    <row r="371">
      <c r="A371" s="72"/>
      <c r="B371" s="54"/>
      <c r="C371" s="67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67"/>
      <c r="R371" s="67"/>
      <c r="S371" s="67"/>
      <c r="T371" s="67"/>
      <c r="U371" s="118"/>
    </row>
    <row r="372">
      <c r="A372" s="72"/>
      <c r="B372" s="54"/>
      <c r="C372" s="67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67"/>
      <c r="R372" s="67"/>
      <c r="S372" s="67"/>
      <c r="T372" s="67"/>
      <c r="U372" s="118"/>
    </row>
    <row r="373">
      <c r="A373" s="72"/>
      <c r="B373" s="54"/>
      <c r="C373" s="67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67"/>
      <c r="R373" s="67"/>
      <c r="S373" s="67"/>
      <c r="T373" s="67"/>
      <c r="U373" s="118"/>
    </row>
    <row r="374">
      <c r="A374" s="72"/>
      <c r="B374" s="54"/>
      <c r="C374" s="67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67"/>
      <c r="R374" s="67"/>
      <c r="S374" s="67"/>
      <c r="T374" s="67"/>
      <c r="U374" s="118"/>
    </row>
    <row r="375">
      <c r="A375" s="72"/>
      <c r="B375" s="54"/>
      <c r="C375" s="67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67"/>
      <c r="R375" s="67"/>
      <c r="S375" s="67"/>
      <c r="T375" s="67"/>
      <c r="U375" s="118"/>
    </row>
    <row r="376">
      <c r="A376" s="72"/>
      <c r="B376" s="54"/>
      <c r="C376" s="67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67"/>
      <c r="R376" s="67"/>
      <c r="S376" s="67"/>
      <c r="T376" s="67"/>
      <c r="U376" s="118"/>
    </row>
    <row r="377">
      <c r="A377" s="72"/>
      <c r="B377" s="54"/>
      <c r="C377" s="67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67"/>
      <c r="R377" s="67"/>
      <c r="S377" s="67"/>
      <c r="T377" s="67"/>
      <c r="U377" s="118"/>
    </row>
    <row r="378">
      <c r="A378" s="72"/>
      <c r="B378" s="54"/>
      <c r="C378" s="67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67"/>
      <c r="R378" s="67"/>
      <c r="S378" s="67"/>
      <c r="T378" s="67"/>
      <c r="U378" s="118"/>
    </row>
    <row r="379">
      <c r="A379" s="72"/>
      <c r="B379" s="54"/>
      <c r="C379" s="67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67"/>
      <c r="R379" s="67"/>
      <c r="S379" s="67"/>
      <c r="T379" s="67"/>
      <c r="U379" s="118"/>
    </row>
    <row r="380">
      <c r="A380" s="72"/>
      <c r="B380" s="54"/>
      <c r="C380" s="67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67"/>
      <c r="R380" s="67"/>
      <c r="S380" s="67"/>
      <c r="T380" s="67"/>
      <c r="U380" s="118"/>
    </row>
    <row r="381">
      <c r="A381" s="72"/>
      <c r="B381" s="54"/>
      <c r="C381" s="67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67"/>
      <c r="R381" s="67"/>
      <c r="S381" s="67"/>
      <c r="T381" s="67"/>
      <c r="U381" s="118"/>
    </row>
    <row r="382">
      <c r="A382" s="72"/>
      <c r="B382" s="54"/>
      <c r="C382" s="67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67"/>
      <c r="R382" s="67"/>
      <c r="S382" s="67"/>
      <c r="T382" s="67"/>
      <c r="U382" s="118"/>
    </row>
    <row r="383">
      <c r="A383" s="72"/>
      <c r="B383" s="54"/>
      <c r="C383" s="67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67"/>
      <c r="R383" s="67"/>
      <c r="S383" s="67"/>
      <c r="T383" s="67"/>
      <c r="U383" s="118"/>
    </row>
    <row r="384">
      <c r="A384" s="72"/>
      <c r="B384" s="54"/>
      <c r="C384" s="67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67"/>
      <c r="R384" s="67"/>
      <c r="S384" s="67"/>
      <c r="T384" s="67"/>
      <c r="U384" s="118"/>
    </row>
    <row r="385">
      <c r="A385" s="72"/>
      <c r="B385" s="54"/>
      <c r="C385" s="67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67"/>
      <c r="R385" s="67"/>
      <c r="S385" s="67"/>
      <c r="T385" s="67"/>
      <c r="U385" s="118"/>
    </row>
    <row r="386">
      <c r="A386" s="72"/>
      <c r="B386" s="54"/>
      <c r="C386" s="67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67"/>
      <c r="R386" s="67"/>
      <c r="S386" s="67"/>
      <c r="T386" s="67"/>
      <c r="U386" s="118"/>
    </row>
    <row r="387">
      <c r="A387" s="72"/>
      <c r="B387" s="54"/>
      <c r="C387" s="67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67"/>
      <c r="R387" s="67"/>
      <c r="S387" s="67"/>
      <c r="T387" s="67"/>
      <c r="U387" s="118"/>
    </row>
    <row r="388">
      <c r="A388" s="72"/>
      <c r="B388" s="54"/>
      <c r="C388" s="67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67"/>
      <c r="R388" s="67"/>
      <c r="S388" s="67"/>
      <c r="T388" s="67"/>
      <c r="U388" s="118"/>
    </row>
    <row r="389">
      <c r="A389" s="72"/>
      <c r="B389" s="54"/>
      <c r="C389" s="67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67"/>
      <c r="R389" s="67"/>
      <c r="S389" s="67"/>
      <c r="T389" s="67"/>
      <c r="U389" s="118"/>
    </row>
    <row r="390">
      <c r="A390" s="72"/>
      <c r="B390" s="54"/>
      <c r="C390" s="67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67"/>
      <c r="R390" s="67"/>
      <c r="S390" s="67"/>
      <c r="T390" s="67"/>
      <c r="U390" s="118"/>
    </row>
    <row r="391">
      <c r="A391" s="72"/>
      <c r="B391" s="54"/>
      <c r="C391" s="67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67"/>
      <c r="R391" s="67"/>
      <c r="S391" s="67"/>
      <c r="T391" s="67"/>
      <c r="U391" s="118"/>
    </row>
    <row r="392">
      <c r="A392" s="72"/>
      <c r="B392" s="54"/>
      <c r="C392" s="67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67"/>
      <c r="R392" s="67"/>
      <c r="S392" s="67"/>
      <c r="T392" s="67"/>
      <c r="U392" s="118"/>
    </row>
    <row r="393">
      <c r="A393" s="72"/>
      <c r="B393" s="54"/>
      <c r="C393" s="67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67"/>
      <c r="R393" s="67"/>
      <c r="S393" s="67"/>
      <c r="T393" s="67"/>
      <c r="U393" s="118"/>
    </row>
    <row r="394">
      <c r="A394" s="72"/>
      <c r="B394" s="54"/>
      <c r="C394" s="67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67"/>
      <c r="R394" s="67"/>
      <c r="S394" s="67"/>
      <c r="T394" s="67"/>
      <c r="U394" s="118"/>
    </row>
    <row r="395">
      <c r="A395" s="72"/>
      <c r="B395" s="54"/>
      <c r="C395" s="67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67"/>
      <c r="R395" s="67"/>
      <c r="S395" s="67"/>
      <c r="T395" s="67"/>
      <c r="U395" s="118"/>
    </row>
    <row r="396">
      <c r="A396" s="72"/>
      <c r="B396" s="54"/>
      <c r="C396" s="67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67"/>
      <c r="R396" s="67"/>
      <c r="S396" s="67"/>
      <c r="T396" s="67"/>
      <c r="U396" s="118"/>
    </row>
    <row r="397">
      <c r="A397" s="72"/>
      <c r="B397" s="54"/>
      <c r="C397" s="67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67"/>
      <c r="R397" s="67"/>
      <c r="S397" s="67"/>
      <c r="T397" s="67"/>
      <c r="U397" s="118"/>
    </row>
    <row r="398">
      <c r="A398" s="72"/>
      <c r="B398" s="54"/>
      <c r="C398" s="67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67"/>
      <c r="R398" s="67"/>
      <c r="S398" s="67"/>
      <c r="T398" s="67"/>
      <c r="U398" s="118"/>
    </row>
    <row r="399">
      <c r="A399" s="72"/>
      <c r="B399" s="54"/>
      <c r="C399" s="67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67"/>
      <c r="R399" s="67"/>
      <c r="S399" s="67"/>
      <c r="T399" s="67"/>
      <c r="U399" s="118"/>
    </row>
    <row r="400">
      <c r="A400" s="72"/>
      <c r="B400" s="54"/>
      <c r="C400" s="67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67"/>
      <c r="R400" s="67"/>
      <c r="S400" s="67"/>
      <c r="T400" s="67"/>
      <c r="U400" s="118"/>
    </row>
    <row r="401">
      <c r="A401" s="72"/>
      <c r="B401" s="54"/>
      <c r="C401" s="67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67"/>
      <c r="R401" s="67"/>
      <c r="S401" s="67"/>
      <c r="T401" s="67"/>
      <c r="U401" s="118"/>
    </row>
    <row r="402">
      <c r="A402" s="72"/>
      <c r="B402" s="54"/>
      <c r="C402" s="67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67"/>
      <c r="R402" s="67"/>
      <c r="S402" s="67"/>
      <c r="T402" s="67"/>
      <c r="U402" s="118"/>
    </row>
    <row r="403">
      <c r="A403" s="72"/>
      <c r="B403" s="54"/>
      <c r="C403" s="67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67"/>
      <c r="R403" s="67"/>
      <c r="S403" s="67"/>
      <c r="T403" s="67"/>
      <c r="U403" s="118"/>
    </row>
    <row r="404">
      <c r="A404" s="72"/>
      <c r="B404" s="54"/>
      <c r="C404" s="67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67"/>
      <c r="R404" s="67"/>
      <c r="S404" s="67"/>
      <c r="T404" s="67"/>
      <c r="U404" s="118"/>
    </row>
    <row r="405">
      <c r="A405" s="72"/>
      <c r="B405" s="54"/>
      <c r="C405" s="67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67"/>
      <c r="R405" s="67"/>
      <c r="S405" s="67"/>
      <c r="T405" s="67"/>
      <c r="U405" s="118"/>
    </row>
    <row r="406">
      <c r="A406" s="72"/>
      <c r="B406" s="54"/>
      <c r="C406" s="67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67"/>
      <c r="R406" s="67"/>
      <c r="S406" s="67"/>
      <c r="T406" s="67"/>
      <c r="U406" s="118"/>
    </row>
    <row r="407">
      <c r="A407" s="72"/>
      <c r="B407" s="54"/>
      <c r="C407" s="67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67"/>
      <c r="R407" s="67"/>
      <c r="S407" s="67"/>
      <c r="T407" s="67"/>
      <c r="U407" s="118"/>
    </row>
    <row r="408">
      <c r="A408" s="72"/>
      <c r="B408" s="54"/>
      <c r="C408" s="67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67"/>
      <c r="R408" s="67"/>
      <c r="S408" s="67"/>
      <c r="T408" s="67"/>
      <c r="U408" s="118"/>
    </row>
    <row r="409">
      <c r="A409" s="72"/>
      <c r="B409" s="54"/>
      <c r="C409" s="67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67"/>
      <c r="R409" s="67"/>
      <c r="S409" s="67"/>
      <c r="T409" s="67"/>
      <c r="U409" s="118"/>
    </row>
    <row r="410">
      <c r="A410" s="72"/>
      <c r="B410" s="54"/>
      <c r="C410" s="67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67"/>
      <c r="R410" s="67"/>
      <c r="S410" s="67"/>
      <c r="T410" s="67"/>
      <c r="U410" s="118"/>
    </row>
    <row r="411">
      <c r="A411" s="72"/>
      <c r="B411" s="54"/>
      <c r="C411" s="67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67"/>
      <c r="R411" s="67"/>
      <c r="S411" s="67"/>
      <c r="T411" s="67"/>
      <c r="U411" s="118"/>
    </row>
    <row r="412">
      <c r="A412" s="72"/>
      <c r="B412" s="54"/>
      <c r="C412" s="67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67"/>
      <c r="R412" s="67"/>
      <c r="S412" s="67"/>
      <c r="T412" s="67"/>
      <c r="U412" s="118"/>
    </row>
    <row r="413">
      <c r="A413" s="72"/>
      <c r="B413" s="54"/>
      <c r="C413" s="67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67"/>
      <c r="R413" s="67"/>
      <c r="S413" s="67"/>
      <c r="T413" s="67"/>
      <c r="U413" s="118"/>
    </row>
    <row r="414">
      <c r="A414" s="72"/>
      <c r="B414" s="54"/>
      <c r="C414" s="67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67"/>
      <c r="R414" s="67"/>
      <c r="S414" s="67"/>
      <c r="T414" s="67"/>
      <c r="U414" s="118"/>
    </row>
    <row r="415">
      <c r="A415" s="72"/>
      <c r="B415" s="54"/>
      <c r="C415" s="67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67"/>
      <c r="R415" s="67"/>
      <c r="S415" s="67"/>
      <c r="T415" s="67"/>
      <c r="U415" s="118"/>
    </row>
    <row r="416">
      <c r="A416" s="72"/>
      <c r="B416" s="54"/>
      <c r="C416" s="67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67"/>
      <c r="R416" s="67"/>
      <c r="S416" s="67"/>
      <c r="T416" s="67"/>
      <c r="U416" s="118"/>
    </row>
    <row r="417">
      <c r="A417" s="72"/>
      <c r="B417" s="54"/>
      <c r="C417" s="67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67"/>
      <c r="R417" s="67"/>
      <c r="S417" s="67"/>
      <c r="T417" s="67"/>
      <c r="U417" s="118"/>
    </row>
    <row r="418">
      <c r="A418" s="72"/>
      <c r="B418" s="54"/>
      <c r="C418" s="67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67"/>
      <c r="R418" s="67"/>
      <c r="S418" s="67"/>
      <c r="T418" s="67"/>
      <c r="U418" s="118"/>
    </row>
    <row r="419">
      <c r="A419" s="72"/>
      <c r="B419" s="54"/>
      <c r="C419" s="67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67"/>
      <c r="R419" s="67"/>
      <c r="S419" s="67"/>
      <c r="T419" s="67"/>
      <c r="U419" s="118"/>
    </row>
    <row r="420">
      <c r="A420" s="72"/>
      <c r="B420" s="54"/>
      <c r="C420" s="67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67"/>
      <c r="R420" s="67"/>
      <c r="S420" s="67"/>
      <c r="T420" s="67"/>
      <c r="U420" s="118"/>
    </row>
    <row r="421">
      <c r="A421" s="72"/>
      <c r="B421" s="54"/>
      <c r="C421" s="67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67"/>
      <c r="R421" s="67"/>
      <c r="S421" s="67"/>
      <c r="T421" s="67"/>
      <c r="U421" s="118"/>
    </row>
    <row r="422">
      <c r="A422" s="72"/>
      <c r="B422" s="54"/>
      <c r="C422" s="67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67"/>
      <c r="R422" s="67"/>
      <c r="S422" s="67"/>
      <c r="T422" s="67"/>
      <c r="U422" s="118"/>
    </row>
    <row r="423">
      <c r="A423" s="72"/>
      <c r="B423" s="54"/>
      <c r="C423" s="67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67"/>
      <c r="R423" s="67"/>
      <c r="S423" s="67"/>
      <c r="T423" s="67"/>
      <c r="U423" s="118"/>
    </row>
    <row r="424">
      <c r="A424" s="72"/>
      <c r="B424" s="54"/>
      <c r="C424" s="67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67"/>
      <c r="R424" s="67"/>
      <c r="S424" s="67"/>
      <c r="T424" s="67"/>
      <c r="U424" s="118"/>
    </row>
    <row r="425">
      <c r="A425" s="72"/>
      <c r="B425" s="54"/>
      <c r="C425" s="67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67"/>
      <c r="R425" s="67"/>
      <c r="S425" s="67"/>
      <c r="T425" s="67"/>
      <c r="U425" s="118"/>
    </row>
    <row r="426">
      <c r="A426" s="72"/>
      <c r="B426" s="54"/>
      <c r="C426" s="67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67"/>
      <c r="R426" s="67"/>
      <c r="S426" s="67"/>
      <c r="T426" s="67"/>
      <c r="U426" s="118"/>
    </row>
    <row r="427">
      <c r="A427" s="72"/>
      <c r="B427" s="54"/>
      <c r="C427" s="67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67"/>
      <c r="R427" s="67"/>
      <c r="S427" s="67"/>
      <c r="T427" s="67"/>
      <c r="U427" s="118"/>
    </row>
    <row r="428">
      <c r="A428" s="72"/>
      <c r="B428" s="54"/>
      <c r="C428" s="67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67"/>
      <c r="R428" s="67"/>
      <c r="S428" s="67"/>
      <c r="T428" s="67"/>
      <c r="U428" s="118"/>
    </row>
    <row r="429">
      <c r="A429" s="72"/>
      <c r="B429" s="54"/>
      <c r="C429" s="67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67"/>
      <c r="R429" s="67"/>
      <c r="S429" s="67"/>
      <c r="T429" s="67"/>
      <c r="U429" s="118"/>
    </row>
    <row r="430">
      <c r="A430" s="72"/>
      <c r="B430" s="54"/>
      <c r="C430" s="67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67"/>
      <c r="R430" s="67"/>
      <c r="S430" s="67"/>
      <c r="T430" s="67"/>
      <c r="U430" s="118"/>
    </row>
    <row r="431">
      <c r="A431" s="72"/>
      <c r="B431" s="54"/>
      <c r="C431" s="67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67"/>
      <c r="R431" s="67"/>
      <c r="S431" s="67"/>
      <c r="T431" s="67"/>
      <c r="U431" s="118"/>
    </row>
    <row r="432">
      <c r="A432" s="72"/>
      <c r="B432" s="54"/>
      <c r="C432" s="67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67"/>
      <c r="R432" s="67"/>
      <c r="S432" s="67"/>
      <c r="T432" s="67"/>
      <c r="U432" s="118"/>
    </row>
    <row r="433">
      <c r="A433" s="72"/>
      <c r="B433" s="54"/>
      <c r="C433" s="67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67"/>
      <c r="R433" s="67"/>
      <c r="S433" s="67"/>
      <c r="T433" s="67"/>
      <c r="U433" s="118"/>
    </row>
    <row r="434">
      <c r="A434" s="72"/>
      <c r="B434" s="54"/>
      <c r="C434" s="67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67"/>
      <c r="R434" s="67"/>
      <c r="S434" s="67"/>
      <c r="T434" s="67"/>
      <c r="U434" s="118"/>
    </row>
    <row r="435">
      <c r="A435" s="72"/>
      <c r="B435" s="54"/>
      <c r="C435" s="67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67"/>
      <c r="R435" s="67"/>
      <c r="S435" s="67"/>
      <c r="T435" s="67"/>
      <c r="U435" s="118"/>
    </row>
    <row r="436">
      <c r="A436" s="72"/>
      <c r="B436" s="54"/>
      <c r="C436" s="67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67"/>
      <c r="R436" s="67"/>
      <c r="S436" s="67"/>
      <c r="T436" s="67"/>
      <c r="U436" s="118"/>
    </row>
    <row r="437">
      <c r="A437" s="72"/>
      <c r="B437" s="54"/>
      <c r="C437" s="67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67"/>
      <c r="R437" s="67"/>
      <c r="S437" s="67"/>
      <c r="T437" s="67"/>
      <c r="U437" s="118"/>
    </row>
    <row r="438">
      <c r="A438" s="72"/>
      <c r="B438" s="54"/>
      <c r="C438" s="67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67"/>
      <c r="R438" s="67"/>
      <c r="S438" s="67"/>
      <c r="T438" s="67"/>
      <c r="U438" s="118"/>
    </row>
    <row r="439">
      <c r="A439" s="72"/>
      <c r="B439" s="54"/>
      <c r="C439" s="67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67"/>
      <c r="R439" s="67"/>
      <c r="S439" s="67"/>
      <c r="T439" s="67"/>
      <c r="U439" s="118"/>
    </row>
    <row r="440">
      <c r="A440" s="72"/>
      <c r="B440" s="54"/>
      <c r="C440" s="67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67"/>
      <c r="R440" s="67"/>
      <c r="S440" s="67"/>
      <c r="T440" s="67"/>
      <c r="U440" s="118"/>
    </row>
    <row r="441">
      <c r="A441" s="72"/>
      <c r="B441" s="54"/>
      <c r="C441" s="67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67"/>
      <c r="R441" s="67"/>
      <c r="S441" s="67"/>
      <c r="T441" s="67"/>
      <c r="U441" s="118"/>
    </row>
    <row r="442">
      <c r="A442" s="72"/>
      <c r="B442" s="54"/>
      <c r="C442" s="67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67"/>
      <c r="R442" s="67"/>
      <c r="S442" s="67"/>
      <c r="T442" s="67"/>
      <c r="U442" s="118"/>
    </row>
    <row r="443">
      <c r="A443" s="72"/>
      <c r="B443" s="54"/>
      <c r="C443" s="67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67"/>
      <c r="R443" s="67"/>
      <c r="S443" s="67"/>
      <c r="T443" s="67"/>
      <c r="U443" s="118"/>
    </row>
    <row r="444">
      <c r="A444" s="72"/>
      <c r="B444" s="54"/>
      <c r="C444" s="67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67"/>
      <c r="R444" s="67"/>
      <c r="S444" s="67"/>
      <c r="T444" s="67"/>
      <c r="U444" s="118"/>
    </row>
    <row r="445">
      <c r="A445" s="72"/>
      <c r="B445" s="54"/>
      <c r="C445" s="67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67"/>
      <c r="R445" s="67"/>
      <c r="S445" s="67"/>
      <c r="T445" s="67"/>
      <c r="U445" s="118"/>
    </row>
    <row r="446">
      <c r="A446" s="72"/>
      <c r="B446" s="54"/>
      <c r="C446" s="67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67"/>
      <c r="R446" s="67"/>
      <c r="S446" s="67"/>
      <c r="T446" s="67"/>
      <c r="U446" s="118"/>
    </row>
    <row r="447">
      <c r="A447" s="72"/>
      <c r="B447" s="54"/>
      <c r="C447" s="67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67"/>
      <c r="R447" s="67"/>
      <c r="S447" s="67"/>
      <c r="T447" s="67"/>
      <c r="U447" s="118"/>
    </row>
    <row r="448">
      <c r="A448" s="72"/>
      <c r="B448" s="54"/>
      <c r="C448" s="67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67"/>
      <c r="R448" s="67"/>
      <c r="S448" s="67"/>
      <c r="T448" s="67"/>
      <c r="U448" s="118"/>
    </row>
    <row r="449">
      <c r="A449" s="72"/>
      <c r="B449" s="54"/>
      <c r="C449" s="67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67"/>
      <c r="R449" s="67"/>
      <c r="S449" s="67"/>
      <c r="T449" s="67"/>
      <c r="U449" s="118"/>
    </row>
    <row r="450">
      <c r="A450" s="72"/>
      <c r="B450" s="54"/>
      <c r="C450" s="67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67"/>
      <c r="R450" s="67"/>
      <c r="S450" s="67"/>
      <c r="T450" s="67"/>
      <c r="U450" s="118"/>
    </row>
    <row r="451">
      <c r="A451" s="72"/>
      <c r="B451" s="54"/>
      <c r="C451" s="67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67"/>
      <c r="R451" s="67"/>
      <c r="S451" s="67"/>
      <c r="T451" s="67"/>
      <c r="U451" s="118"/>
    </row>
    <row r="452">
      <c r="A452" s="72"/>
      <c r="B452" s="54"/>
      <c r="C452" s="67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67"/>
      <c r="R452" s="67"/>
      <c r="S452" s="67"/>
      <c r="T452" s="67"/>
      <c r="U452" s="118"/>
    </row>
    <row r="453">
      <c r="A453" s="72"/>
      <c r="B453" s="54"/>
      <c r="C453" s="67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67"/>
      <c r="R453" s="67"/>
      <c r="S453" s="67"/>
      <c r="T453" s="67"/>
      <c r="U453" s="118"/>
    </row>
    <row r="454">
      <c r="A454" s="72"/>
      <c r="B454" s="54"/>
      <c r="C454" s="67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67"/>
      <c r="R454" s="67"/>
      <c r="S454" s="67"/>
      <c r="T454" s="67"/>
      <c r="U454" s="118"/>
    </row>
    <row r="455">
      <c r="A455" s="72"/>
      <c r="B455" s="54"/>
      <c r="C455" s="67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67"/>
      <c r="R455" s="67"/>
      <c r="S455" s="67"/>
      <c r="T455" s="67"/>
      <c r="U455" s="118"/>
    </row>
    <row r="456">
      <c r="A456" s="72"/>
      <c r="B456" s="54"/>
      <c r="C456" s="67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67"/>
      <c r="R456" s="67"/>
      <c r="S456" s="67"/>
      <c r="T456" s="67"/>
      <c r="U456" s="118"/>
    </row>
    <row r="457">
      <c r="A457" s="72"/>
      <c r="B457" s="54"/>
      <c r="C457" s="67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67"/>
      <c r="R457" s="67"/>
      <c r="S457" s="67"/>
      <c r="T457" s="67"/>
      <c r="U457" s="118"/>
    </row>
    <row r="458">
      <c r="A458" s="72"/>
      <c r="B458" s="54"/>
      <c r="C458" s="67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67"/>
      <c r="R458" s="67"/>
      <c r="S458" s="67"/>
      <c r="T458" s="67"/>
      <c r="U458" s="118"/>
    </row>
    <row r="459">
      <c r="A459" s="72"/>
      <c r="B459" s="54"/>
      <c r="C459" s="67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67"/>
      <c r="R459" s="67"/>
      <c r="S459" s="67"/>
      <c r="T459" s="67"/>
      <c r="U459" s="118"/>
    </row>
    <row r="460">
      <c r="A460" s="72"/>
      <c r="B460" s="54"/>
      <c r="C460" s="67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67"/>
      <c r="R460" s="67"/>
      <c r="S460" s="67"/>
      <c r="T460" s="67"/>
      <c r="U460" s="118"/>
    </row>
    <row r="461">
      <c r="A461" s="72"/>
      <c r="B461" s="54"/>
      <c r="C461" s="67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67"/>
      <c r="R461" s="67"/>
      <c r="S461" s="67"/>
      <c r="T461" s="67"/>
      <c r="U461" s="118"/>
    </row>
    <row r="462">
      <c r="A462" s="72"/>
      <c r="B462" s="54"/>
      <c r="C462" s="67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67"/>
      <c r="R462" s="67"/>
      <c r="S462" s="67"/>
      <c r="T462" s="67"/>
      <c r="U462" s="118"/>
    </row>
    <row r="463">
      <c r="A463" s="72"/>
      <c r="B463" s="54"/>
      <c r="C463" s="67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67"/>
      <c r="R463" s="67"/>
      <c r="S463" s="67"/>
      <c r="T463" s="67"/>
      <c r="U463" s="118"/>
    </row>
    <row r="464">
      <c r="A464" s="72"/>
      <c r="B464" s="54"/>
      <c r="C464" s="67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67"/>
      <c r="R464" s="67"/>
      <c r="S464" s="67"/>
      <c r="T464" s="67"/>
      <c r="U464" s="118"/>
    </row>
    <row r="465">
      <c r="A465" s="72"/>
      <c r="B465" s="54"/>
      <c r="C465" s="67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67"/>
      <c r="R465" s="67"/>
      <c r="S465" s="67"/>
      <c r="T465" s="67"/>
      <c r="U465" s="118"/>
    </row>
    <row r="466">
      <c r="A466" s="72"/>
      <c r="B466" s="54"/>
      <c r="C466" s="67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67"/>
      <c r="R466" s="67"/>
      <c r="S466" s="67"/>
      <c r="T466" s="67"/>
      <c r="U466" s="118"/>
    </row>
    <row r="467">
      <c r="A467" s="72"/>
      <c r="B467" s="54"/>
      <c r="C467" s="67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67"/>
      <c r="R467" s="67"/>
      <c r="S467" s="67"/>
      <c r="T467" s="67"/>
      <c r="U467" s="118"/>
    </row>
    <row r="468">
      <c r="A468" s="72"/>
      <c r="B468" s="54"/>
      <c r="C468" s="67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67"/>
      <c r="R468" s="67"/>
      <c r="S468" s="67"/>
      <c r="T468" s="67"/>
      <c r="U468" s="118"/>
    </row>
    <row r="469">
      <c r="A469" s="72"/>
      <c r="B469" s="54"/>
      <c r="C469" s="67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67"/>
      <c r="R469" s="67"/>
      <c r="S469" s="67"/>
      <c r="T469" s="67"/>
      <c r="U469" s="118"/>
    </row>
    <row r="470">
      <c r="A470" s="72"/>
      <c r="B470" s="54"/>
      <c r="C470" s="67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67"/>
      <c r="R470" s="67"/>
      <c r="S470" s="67"/>
      <c r="T470" s="67"/>
      <c r="U470" s="118"/>
    </row>
    <row r="471">
      <c r="A471" s="72"/>
      <c r="B471" s="54"/>
      <c r="C471" s="67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67"/>
      <c r="R471" s="67"/>
      <c r="S471" s="67"/>
      <c r="T471" s="67"/>
      <c r="U471" s="118"/>
    </row>
    <row r="472">
      <c r="A472" s="72"/>
      <c r="B472" s="54"/>
      <c r="C472" s="67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67"/>
      <c r="R472" s="67"/>
      <c r="S472" s="67"/>
      <c r="T472" s="67"/>
      <c r="U472" s="118"/>
    </row>
    <row r="473">
      <c r="A473" s="72"/>
      <c r="B473" s="54"/>
      <c r="C473" s="67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67"/>
      <c r="R473" s="67"/>
      <c r="S473" s="67"/>
      <c r="T473" s="67"/>
      <c r="U473" s="118"/>
    </row>
    <row r="474">
      <c r="A474" s="72"/>
      <c r="B474" s="54"/>
      <c r="C474" s="67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67"/>
      <c r="R474" s="67"/>
      <c r="S474" s="67"/>
      <c r="T474" s="67"/>
      <c r="U474" s="118"/>
    </row>
    <row r="475">
      <c r="A475" s="72"/>
      <c r="B475" s="54"/>
      <c r="C475" s="67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67"/>
      <c r="R475" s="67"/>
      <c r="S475" s="67"/>
      <c r="T475" s="67"/>
      <c r="U475" s="118"/>
    </row>
    <row r="476">
      <c r="A476" s="72"/>
      <c r="B476" s="54"/>
      <c r="C476" s="67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67"/>
      <c r="R476" s="67"/>
      <c r="S476" s="67"/>
      <c r="T476" s="67"/>
      <c r="U476" s="118"/>
    </row>
    <row r="477">
      <c r="A477" s="72"/>
      <c r="B477" s="54"/>
      <c r="C477" s="67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67"/>
      <c r="R477" s="67"/>
      <c r="S477" s="67"/>
      <c r="T477" s="67"/>
      <c r="U477" s="118"/>
    </row>
    <row r="478">
      <c r="A478" s="72"/>
      <c r="B478" s="54"/>
      <c r="C478" s="67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67"/>
      <c r="R478" s="67"/>
      <c r="S478" s="67"/>
      <c r="T478" s="67"/>
      <c r="U478" s="118"/>
    </row>
    <row r="479">
      <c r="A479" s="72"/>
      <c r="B479" s="54"/>
      <c r="C479" s="67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67"/>
      <c r="R479" s="67"/>
      <c r="S479" s="67"/>
      <c r="T479" s="67"/>
      <c r="U479" s="118"/>
    </row>
    <row r="480">
      <c r="A480" s="72"/>
      <c r="B480" s="54"/>
      <c r="C480" s="67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67"/>
      <c r="R480" s="67"/>
      <c r="S480" s="67"/>
      <c r="T480" s="67"/>
      <c r="U480" s="118"/>
    </row>
    <row r="481">
      <c r="A481" s="72"/>
      <c r="B481" s="54"/>
      <c r="C481" s="67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67"/>
      <c r="R481" s="67"/>
      <c r="S481" s="67"/>
      <c r="T481" s="67"/>
      <c r="U481" s="118"/>
    </row>
    <row r="482">
      <c r="A482" s="72"/>
      <c r="B482" s="54"/>
      <c r="C482" s="67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67"/>
      <c r="R482" s="67"/>
      <c r="S482" s="67"/>
      <c r="T482" s="67"/>
      <c r="U482" s="118"/>
    </row>
    <row r="483">
      <c r="A483" s="72"/>
      <c r="B483" s="54"/>
      <c r="C483" s="67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67"/>
      <c r="R483" s="67"/>
      <c r="S483" s="67"/>
      <c r="T483" s="67"/>
      <c r="U483" s="118"/>
    </row>
    <row r="484">
      <c r="A484" s="72"/>
      <c r="B484" s="54"/>
      <c r="C484" s="67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67"/>
      <c r="R484" s="67"/>
      <c r="S484" s="67"/>
      <c r="T484" s="67"/>
      <c r="U484" s="118"/>
    </row>
    <row r="485">
      <c r="A485" s="72"/>
      <c r="B485" s="54"/>
      <c r="C485" s="67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67"/>
      <c r="R485" s="67"/>
      <c r="S485" s="67"/>
      <c r="T485" s="67"/>
      <c r="U485" s="118"/>
    </row>
    <row r="486">
      <c r="A486" s="72"/>
      <c r="B486" s="54"/>
      <c r="C486" s="67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67"/>
      <c r="R486" s="67"/>
      <c r="S486" s="67"/>
      <c r="T486" s="67"/>
      <c r="U486" s="118"/>
    </row>
    <row r="487">
      <c r="A487" s="72"/>
      <c r="B487" s="54"/>
      <c r="C487" s="67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67"/>
      <c r="R487" s="67"/>
      <c r="S487" s="67"/>
      <c r="T487" s="67"/>
      <c r="U487" s="118"/>
    </row>
    <row r="488">
      <c r="A488" s="72"/>
      <c r="B488" s="54"/>
      <c r="C488" s="67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67"/>
      <c r="R488" s="67"/>
      <c r="S488" s="67"/>
      <c r="T488" s="67"/>
      <c r="U488" s="118"/>
    </row>
    <row r="489">
      <c r="A489" s="72"/>
      <c r="B489" s="54"/>
      <c r="C489" s="67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67"/>
      <c r="R489" s="67"/>
      <c r="S489" s="67"/>
      <c r="T489" s="67"/>
      <c r="U489" s="118"/>
    </row>
    <row r="490">
      <c r="A490" s="72"/>
      <c r="B490" s="54"/>
      <c r="C490" s="67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67"/>
      <c r="R490" s="67"/>
      <c r="S490" s="67"/>
      <c r="T490" s="67"/>
      <c r="U490" s="118"/>
    </row>
    <row r="491">
      <c r="A491" s="72"/>
      <c r="B491" s="54"/>
      <c r="C491" s="67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67"/>
      <c r="R491" s="67"/>
      <c r="S491" s="67"/>
      <c r="T491" s="67"/>
      <c r="U491" s="118"/>
    </row>
    <row r="492">
      <c r="A492" s="72"/>
      <c r="B492" s="54"/>
      <c r="C492" s="67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67"/>
      <c r="R492" s="67"/>
      <c r="S492" s="67"/>
      <c r="T492" s="67"/>
      <c r="U492" s="118"/>
    </row>
    <row r="493">
      <c r="A493" s="72"/>
      <c r="B493" s="54"/>
      <c r="C493" s="67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67"/>
      <c r="R493" s="67"/>
      <c r="S493" s="67"/>
      <c r="T493" s="67"/>
      <c r="U493" s="118"/>
    </row>
    <row r="494">
      <c r="A494" s="72"/>
      <c r="B494" s="54"/>
      <c r="C494" s="67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67"/>
      <c r="R494" s="67"/>
      <c r="S494" s="67"/>
      <c r="T494" s="67"/>
      <c r="U494" s="118"/>
    </row>
    <row r="495">
      <c r="A495" s="72"/>
      <c r="B495" s="54"/>
      <c r="C495" s="67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67"/>
      <c r="R495" s="67"/>
      <c r="S495" s="67"/>
      <c r="T495" s="67"/>
      <c r="U495" s="118"/>
    </row>
    <row r="496">
      <c r="A496" s="72"/>
      <c r="B496" s="54"/>
      <c r="C496" s="67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67"/>
      <c r="R496" s="67"/>
      <c r="S496" s="67"/>
      <c r="T496" s="67"/>
      <c r="U496" s="118"/>
    </row>
    <row r="497">
      <c r="A497" s="72"/>
      <c r="B497" s="54"/>
      <c r="C497" s="67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67"/>
      <c r="R497" s="67"/>
      <c r="S497" s="67"/>
      <c r="T497" s="67"/>
      <c r="U497" s="118"/>
    </row>
    <row r="498">
      <c r="A498" s="72"/>
      <c r="B498" s="54"/>
      <c r="C498" s="67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67"/>
      <c r="R498" s="67"/>
      <c r="S498" s="67"/>
      <c r="T498" s="67"/>
      <c r="U498" s="118"/>
    </row>
    <row r="499">
      <c r="A499" s="72"/>
      <c r="B499" s="54"/>
      <c r="C499" s="67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67"/>
      <c r="R499" s="67"/>
      <c r="S499" s="67"/>
      <c r="T499" s="67"/>
      <c r="U499" s="118"/>
    </row>
    <row r="500">
      <c r="A500" s="72"/>
      <c r="B500" s="54"/>
      <c r="C500" s="67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67"/>
      <c r="R500" s="67"/>
      <c r="S500" s="67"/>
      <c r="T500" s="67"/>
      <c r="U500" s="118"/>
    </row>
    <row r="501">
      <c r="A501" s="72"/>
      <c r="B501" s="54"/>
      <c r="C501" s="67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67"/>
      <c r="R501" s="67"/>
      <c r="S501" s="67"/>
      <c r="T501" s="67"/>
      <c r="U501" s="118"/>
    </row>
    <row r="502">
      <c r="A502" s="72"/>
      <c r="B502" s="54"/>
      <c r="C502" s="67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67"/>
      <c r="R502" s="67"/>
      <c r="S502" s="67"/>
      <c r="T502" s="67"/>
      <c r="U502" s="118"/>
    </row>
    <row r="503">
      <c r="A503" s="72"/>
      <c r="B503" s="54"/>
      <c r="C503" s="67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67"/>
      <c r="R503" s="67"/>
      <c r="S503" s="67"/>
      <c r="T503" s="67"/>
      <c r="U503" s="118"/>
    </row>
    <row r="504">
      <c r="A504" s="72"/>
      <c r="B504" s="54"/>
      <c r="C504" s="67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67"/>
      <c r="R504" s="67"/>
      <c r="S504" s="67"/>
      <c r="T504" s="67"/>
      <c r="U504" s="118"/>
    </row>
    <row r="505">
      <c r="A505" s="72"/>
      <c r="B505" s="54"/>
      <c r="C505" s="67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67"/>
      <c r="R505" s="67"/>
      <c r="S505" s="67"/>
      <c r="T505" s="67"/>
      <c r="U505" s="118"/>
    </row>
    <row r="506">
      <c r="A506" s="72"/>
      <c r="B506" s="54"/>
      <c r="C506" s="67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67"/>
      <c r="R506" s="67"/>
      <c r="S506" s="67"/>
      <c r="T506" s="67"/>
      <c r="U506" s="118"/>
    </row>
    <row r="507">
      <c r="A507" s="72"/>
      <c r="B507" s="54"/>
      <c r="C507" s="67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67"/>
      <c r="R507" s="67"/>
      <c r="S507" s="67"/>
      <c r="T507" s="67"/>
      <c r="U507" s="118"/>
    </row>
    <row r="508">
      <c r="A508" s="72"/>
      <c r="B508" s="54"/>
      <c r="C508" s="67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67"/>
      <c r="R508" s="67"/>
      <c r="S508" s="67"/>
      <c r="T508" s="67"/>
      <c r="U508" s="118"/>
    </row>
    <row r="509">
      <c r="A509" s="72"/>
      <c r="B509" s="54"/>
      <c r="C509" s="67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67"/>
      <c r="R509" s="67"/>
      <c r="S509" s="67"/>
      <c r="T509" s="67"/>
      <c r="U509" s="118"/>
    </row>
    <row r="510">
      <c r="A510" s="72"/>
      <c r="B510" s="54"/>
      <c r="C510" s="67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67"/>
      <c r="R510" s="67"/>
      <c r="S510" s="67"/>
      <c r="T510" s="67"/>
      <c r="U510" s="118"/>
    </row>
    <row r="511">
      <c r="A511" s="72"/>
      <c r="B511" s="54"/>
      <c r="C511" s="67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67"/>
      <c r="R511" s="67"/>
      <c r="S511" s="67"/>
      <c r="T511" s="67"/>
      <c r="U511" s="118"/>
    </row>
    <row r="512">
      <c r="A512" s="72"/>
      <c r="B512" s="54"/>
      <c r="C512" s="67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67"/>
      <c r="R512" s="67"/>
      <c r="S512" s="67"/>
      <c r="T512" s="67"/>
      <c r="U512" s="118"/>
    </row>
    <row r="513">
      <c r="A513" s="72"/>
      <c r="B513" s="54"/>
      <c r="C513" s="67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67"/>
      <c r="R513" s="67"/>
      <c r="S513" s="67"/>
      <c r="T513" s="67"/>
      <c r="U513" s="118"/>
    </row>
    <row r="514">
      <c r="A514" s="72"/>
      <c r="B514" s="54"/>
      <c r="C514" s="67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67"/>
      <c r="R514" s="67"/>
      <c r="S514" s="67"/>
      <c r="T514" s="67"/>
      <c r="U514" s="118"/>
    </row>
    <row r="515">
      <c r="A515" s="72"/>
      <c r="B515" s="54"/>
      <c r="C515" s="67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67"/>
      <c r="R515" s="67"/>
      <c r="S515" s="67"/>
      <c r="T515" s="67"/>
      <c r="U515" s="118"/>
    </row>
    <row r="516">
      <c r="A516" s="72"/>
      <c r="B516" s="54"/>
      <c r="C516" s="67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67"/>
      <c r="R516" s="67"/>
      <c r="S516" s="67"/>
      <c r="T516" s="67"/>
      <c r="U516" s="118"/>
    </row>
    <row r="517">
      <c r="A517" s="72"/>
      <c r="B517" s="54"/>
      <c r="C517" s="67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67"/>
      <c r="R517" s="67"/>
      <c r="S517" s="67"/>
      <c r="T517" s="67"/>
      <c r="U517" s="118"/>
    </row>
    <row r="518">
      <c r="A518" s="72"/>
      <c r="B518" s="54"/>
      <c r="C518" s="67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67"/>
      <c r="R518" s="67"/>
      <c r="S518" s="67"/>
      <c r="T518" s="67"/>
      <c r="U518" s="118"/>
    </row>
    <row r="519">
      <c r="A519" s="72"/>
      <c r="B519" s="54"/>
      <c r="C519" s="67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67"/>
      <c r="R519" s="67"/>
      <c r="S519" s="67"/>
      <c r="T519" s="67"/>
      <c r="U519" s="118"/>
    </row>
    <row r="520">
      <c r="A520" s="72"/>
      <c r="B520" s="54"/>
      <c r="C520" s="67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67"/>
      <c r="R520" s="67"/>
      <c r="S520" s="67"/>
      <c r="T520" s="67"/>
      <c r="U520" s="118"/>
    </row>
    <row r="521">
      <c r="A521" s="72"/>
      <c r="B521" s="54"/>
      <c r="C521" s="67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67"/>
      <c r="R521" s="67"/>
      <c r="S521" s="67"/>
      <c r="T521" s="67"/>
      <c r="U521" s="118"/>
    </row>
    <row r="522">
      <c r="A522" s="72"/>
      <c r="B522" s="54"/>
      <c r="C522" s="67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67"/>
      <c r="R522" s="67"/>
      <c r="S522" s="67"/>
      <c r="T522" s="67"/>
      <c r="U522" s="118"/>
    </row>
    <row r="523">
      <c r="A523" s="72"/>
      <c r="B523" s="54"/>
      <c r="C523" s="67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67"/>
      <c r="R523" s="67"/>
      <c r="S523" s="67"/>
      <c r="T523" s="67"/>
      <c r="U523" s="118"/>
    </row>
    <row r="524">
      <c r="A524" s="72"/>
      <c r="B524" s="54"/>
      <c r="C524" s="67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67"/>
      <c r="R524" s="67"/>
      <c r="S524" s="67"/>
      <c r="T524" s="67"/>
      <c r="U524" s="118"/>
    </row>
    <row r="525">
      <c r="A525" s="72"/>
      <c r="B525" s="54"/>
      <c r="C525" s="67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67"/>
      <c r="R525" s="67"/>
      <c r="S525" s="67"/>
      <c r="T525" s="67"/>
      <c r="U525" s="118"/>
    </row>
    <row r="526">
      <c r="A526" s="72"/>
      <c r="B526" s="54"/>
      <c r="C526" s="67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67"/>
      <c r="R526" s="67"/>
      <c r="S526" s="67"/>
      <c r="T526" s="67"/>
      <c r="U526" s="118"/>
    </row>
    <row r="527">
      <c r="A527" s="72"/>
      <c r="B527" s="54"/>
      <c r="C527" s="67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67"/>
      <c r="R527" s="67"/>
      <c r="S527" s="67"/>
      <c r="T527" s="67"/>
      <c r="U527" s="118"/>
    </row>
    <row r="528">
      <c r="A528" s="72"/>
      <c r="B528" s="54"/>
      <c r="C528" s="67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67"/>
      <c r="R528" s="67"/>
      <c r="S528" s="67"/>
      <c r="T528" s="67"/>
      <c r="U528" s="118"/>
    </row>
    <row r="529">
      <c r="A529" s="72"/>
      <c r="B529" s="54"/>
      <c r="C529" s="67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67"/>
      <c r="R529" s="67"/>
      <c r="S529" s="67"/>
      <c r="T529" s="67"/>
      <c r="U529" s="118"/>
    </row>
    <row r="530">
      <c r="A530" s="72"/>
      <c r="B530" s="54"/>
      <c r="C530" s="67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67"/>
      <c r="R530" s="67"/>
      <c r="S530" s="67"/>
      <c r="T530" s="67"/>
      <c r="U530" s="118"/>
    </row>
    <row r="531">
      <c r="A531" s="72"/>
      <c r="B531" s="54"/>
      <c r="C531" s="67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67"/>
      <c r="R531" s="67"/>
      <c r="S531" s="67"/>
      <c r="T531" s="67"/>
      <c r="U531" s="118"/>
    </row>
    <row r="532">
      <c r="A532" s="72"/>
      <c r="B532" s="54"/>
      <c r="C532" s="67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67"/>
      <c r="R532" s="67"/>
      <c r="S532" s="67"/>
      <c r="T532" s="67"/>
      <c r="U532" s="118"/>
    </row>
    <row r="533">
      <c r="A533" s="72"/>
      <c r="B533" s="54"/>
      <c r="C533" s="67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67"/>
      <c r="R533" s="67"/>
      <c r="S533" s="67"/>
      <c r="T533" s="67"/>
      <c r="U533" s="118"/>
    </row>
    <row r="534">
      <c r="A534" s="72"/>
      <c r="B534" s="54"/>
      <c r="C534" s="67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67"/>
      <c r="R534" s="67"/>
      <c r="S534" s="67"/>
      <c r="T534" s="67"/>
      <c r="U534" s="118"/>
    </row>
    <row r="535">
      <c r="A535" s="72"/>
      <c r="B535" s="54"/>
      <c r="C535" s="67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67"/>
      <c r="R535" s="67"/>
      <c r="S535" s="67"/>
      <c r="T535" s="67"/>
      <c r="U535" s="118"/>
    </row>
    <row r="536">
      <c r="A536" s="72"/>
      <c r="B536" s="54"/>
      <c r="C536" s="67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67"/>
      <c r="R536" s="67"/>
      <c r="S536" s="67"/>
      <c r="T536" s="67"/>
      <c r="U536" s="118"/>
    </row>
    <row r="537">
      <c r="A537" s="72"/>
      <c r="B537" s="54"/>
      <c r="C537" s="67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67"/>
      <c r="R537" s="67"/>
      <c r="S537" s="67"/>
      <c r="T537" s="67"/>
      <c r="U537" s="118"/>
    </row>
    <row r="538">
      <c r="A538" s="72"/>
      <c r="B538" s="54"/>
      <c r="C538" s="67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67"/>
      <c r="R538" s="67"/>
      <c r="S538" s="67"/>
      <c r="T538" s="67"/>
      <c r="U538" s="118"/>
    </row>
    <row r="539">
      <c r="A539" s="72"/>
      <c r="B539" s="54"/>
      <c r="C539" s="67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67"/>
      <c r="R539" s="67"/>
      <c r="S539" s="67"/>
      <c r="T539" s="67"/>
      <c r="U539" s="118"/>
    </row>
    <row r="540">
      <c r="A540" s="72"/>
      <c r="B540" s="54"/>
      <c r="C540" s="67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67"/>
      <c r="R540" s="67"/>
      <c r="S540" s="67"/>
      <c r="T540" s="67"/>
      <c r="U540" s="118"/>
    </row>
    <row r="541">
      <c r="A541" s="72"/>
      <c r="B541" s="54"/>
      <c r="C541" s="67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67"/>
      <c r="R541" s="67"/>
      <c r="S541" s="67"/>
      <c r="T541" s="67"/>
      <c r="U541" s="118"/>
    </row>
    <row r="542">
      <c r="A542" s="72"/>
      <c r="B542" s="54"/>
      <c r="C542" s="67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67"/>
      <c r="R542" s="67"/>
      <c r="S542" s="67"/>
      <c r="T542" s="67"/>
      <c r="U542" s="118"/>
    </row>
    <row r="543">
      <c r="A543" s="72"/>
      <c r="B543" s="54"/>
      <c r="C543" s="67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67"/>
      <c r="R543" s="67"/>
      <c r="S543" s="67"/>
      <c r="T543" s="67"/>
      <c r="U543" s="118"/>
    </row>
    <row r="544">
      <c r="A544" s="72"/>
      <c r="B544" s="54"/>
      <c r="C544" s="67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67"/>
      <c r="R544" s="67"/>
      <c r="S544" s="67"/>
      <c r="T544" s="67"/>
      <c r="U544" s="118"/>
    </row>
    <row r="545">
      <c r="A545" s="72"/>
      <c r="B545" s="54"/>
      <c r="C545" s="67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67"/>
      <c r="R545" s="67"/>
      <c r="S545" s="67"/>
      <c r="T545" s="67"/>
      <c r="U545" s="118"/>
    </row>
    <row r="546">
      <c r="A546" s="72"/>
      <c r="B546" s="54"/>
      <c r="C546" s="67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67"/>
      <c r="R546" s="67"/>
      <c r="S546" s="67"/>
      <c r="T546" s="67"/>
      <c r="U546" s="118"/>
    </row>
    <row r="547">
      <c r="A547" s="72"/>
      <c r="B547" s="54"/>
      <c r="C547" s="67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67"/>
      <c r="R547" s="67"/>
      <c r="S547" s="67"/>
      <c r="T547" s="67"/>
      <c r="U547" s="118"/>
    </row>
    <row r="548">
      <c r="A548" s="72"/>
      <c r="B548" s="54"/>
      <c r="C548" s="67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67"/>
      <c r="R548" s="67"/>
      <c r="S548" s="67"/>
      <c r="T548" s="67"/>
      <c r="U548" s="118"/>
    </row>
    <row r="549">
      <c r="A549" s="72"/>
      <c r="B549" s="54"/>
      <c r="C549" s="67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67"/>
      <c r="R549" s="67"/>
      <c r="S549" s="67"/>
      <c r="T549" s="67"/>
      <c r="U549" s="118"/>
    </row>
    <row r="550">
      <c r="A550" s="72"/>
      <c r="B550" s="54"/>
      <c r="C550" s="67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67"/>
      <c r="R550" s="67"/>
      <c r="S550" s="67"/>
      <c r="T550" s="67"/>
      <c r="U550" s="118"/>
    </row>
    <row r="551">
      <c r="A551" s="72"/>
      <c r="B551" s="54"/>
      <c r="C551" s="67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67"/>
      <c r="R551" s="67"/>
      <c r="S551" s="67"/>
      <c r="T551" s="67"/>
      <c r="U551" s="118"/>
    </row>
    <row r="552">
      <c r="A552" s="72"/>
      <c r="B552" s="54"/>
      <c r="C552" s="67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67"/>
      <c r="R552" s="67"/>
      <c r="S552" s="67"/>
      <c r="T552" s="67"/>
      <c r="U552" s="118"/>
    </row>
    <row r="553">
      <c r="A553" s="72"/>
      <c r="B553" s="54"/>
      <c r="C553" s="67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67"/>
      <c r="R553" s="67"/>
      <c r="S553" s="67"/>
      <c r="T553" s="67"/>
      <c r="U553" s="118"/>
    </row>
    <row r="554">
      <c r="A554" s="72"/>
      <c r="B554" s="54"/>
      <c r="C554" s="67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67"/>
      <c r="R554" s="67"/>
      <c r="S554" s="67"/>
      <c r="T554" s="67"/>
      <c r="U554" s="118"/>
    </row>
    <row r="555">
      <c r="A555" s="72"/>
      <c r="B555" s="54"/>
      <c r="C555" s="67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67"/>
      <c r="R555" s="67"/>
      <c r="S555" s="67"/>
      <c r="T555" s="67"/>
      <c r="U555" s="118"/>
    </row>
    <row r="556">
      <c r="A556" s="72"/>
      <c r="B556" s="54"/>
      <c r="C556" s="67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67"/>
      <c r="R556" s="67"/>
      <c r="S556" s="67"/>
      <c r="T556" s="67"/>
      <c r="U556" s="118"/>
    </row>
    <row r="557">
      <c r="A557" s="72"/>
      <c r="B557" s="54"/>
      <c r="C557" s="67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67"/>
      <c r="R557" s="67"/>
      <c r="S557" s="67"/>
      <c r="T557" s="67"/>
      <c r="U557" s="118"/>
    </row>
    <row r="558">
      <c r="A558" s="72"/>
      <c r="B558" s="54"/>
      <c r="C558" s="67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67"/>
      <c r="R558" s="67"/>
      <c r="S558" s="67"/>
      <c r="T558" s="67"/>
      <c r="U558" s="118"/>
    </row>
    <row r="559">
      <c r="A559" s="72"/>
      <c r="B559" s="54"/>
      <c r="C559" s="67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67"/>
      <c r="R559" s="67"/>
      <c r="S559" s="67"/>
      <c r="T559" s="67"/>
      <c r="U559" s="118"/>
    </row>
    <row r="560">
      <c r="A560" s="72"/>
      <c r="B560" s="54"/>
      <c r="C560" s="67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67"/>
      <c r="R560" s="67"/>
      <c r="S560" s="67"/>
      <c r="T560" s="67"/>
      <c r="U560" s="118"/>
    </row>
    <row r="561">
      <c r="A561" s="72"/>
      <c r="B561" s="54"/>
      <c r="C561" s="67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67"/>
      <c r="R561" s="67"/>
      <c r="S561" s="67"/>
      <c r="T561" s="67"/>
      <c r="U561" s="118"/>
    </row>
    <row r="562">
      <c r="A562" s="72"/>
      <c r="B562" s="54"/>
      <c r="C562" s="67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67"/>
      <c r="R562" s="67"/>
      <c r="S562" s="67"/>
      <c r="T562" s="67"/>
      <c r="U562" s="118"/>
    </row>
    <row r="563">
      <c r="A563" s="72"/>
      <c r="B563" s="54"/>
      <c r="C563" s="67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67"/>
      <c r="R563" s="67"/>
      <c r="S563" s="67"/>
      <c r="T563" s="67"/>
      <c r="U563" s="118"/>
    </row>
    <row r="564">
      <c r="A564" s="72"/>
      <c r="B564" s="54"/>
      <c r="C564" s="67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67"/>
      <c r="R564" s="67"/>
      <c r="S564" s="67"/>
      <c r="T564" s="67"/>
      <c r="U564" s="118"/>
    </row>
    <row r="565">
      <c r="A565" s="72"/>
      <c r="B565" s="54"/>
      <c r="C565" s="67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67"/>
      <c r="R565" s="67"/>
      <c r="S565" s="67"/>
      <c r="T565" s="67"/>
      <c r="U565" s="118"/>
    </row>
    <row r="566">
      <c r="A566" s="72"/>
      <c r="B566" s="54"/>
      <c r="C566" s="67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67"/>
      <c r="R566" s="67"/>
      <c r="S566" s="67"/>
      <c r="T566" s="67"/>
      <c r="U566" s="118"/>
    </row>
    <row r="567">
      <c r="A567" s="72"/>
      <c r="B567" s="54"/>
      <c r="C567" s="67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67"/>
      <c r="R567" s="67"/>
      <c r="S567" s="67"/>
      <c r="T567" s="67"/>
      <c r="U567" s="118"/>
    </row>
    <row r="568">
      <c r="A568" s="72"/>
      <c r="B568" s="54"/>
      <c r="C568" s="67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67"/>
      <c r="R568" s="67"/>
      <c r="S568" s="67"/>
      <c r="T568" s="67"/>
      <c r="U568" s="118"/>
    </row>
    <row r="569">
      <c r="A569" s="72"/>
      <c r="B569" s="54"/>
      <c r="C569" s="67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67"/>
      <c r="R569" s="67"/>
      <c r="S569" s="67"/>
      <c r="T569" s="67"/>
      <c r="U569" s="118"/>
    </row>
    <row r="570">
      <c r="A570" s="72"/>
      <c r="B570" s="54"/>
      <c r="C570" s="67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67"/>
      <c r="R570" s="67"/>
      <c r="S570" s="67"/>
      <c r="T570" s="67"/>
      <c r="U570" s="118"/>
    </row>
    <row r="571">
      <c r="A571" s="72"/>
      <c r="B571" s="54"/>
      <c r="C571" s="67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67"/>
      <c r="R571" s="67"/>
      <c r="S571" s="67"/>
      <c r="T571" s="67"/>
      <c r="U571" s="118"/>
    </row>
    <row r="572">
      <c r="A572" s="72"/>
      <c r="B572" s="54"/>
      <c r="C572" s="67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67"/>
      <c r="R572" s="67"/>
      <c r="S572" s="67"/>
      <c r="T572" s="67"/>
      <c r="U572" s="118"/>
    </row>
    <row r="573">
      <c r="A573" s="72"/>
      <c r="B573" s="54"/>
      <c r="C573" s="67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67"/>
      <c r="R573" s="67"/>
      <c r="S573" s="67"/>
      <c r="T573" s="67"/>
      <c r="U573" s="118"/>
    </row>
    <row r="574">
      <c r="A574" s="72"/>
      <c r="B574" s="54"/>
      <c r="C574" s="67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67"/>
      <c r="R574" s="67"/>
      <c r="S574" s="67"/>
      <c r="T574" s="67"/>
      <c r="U574" s="118"/>
    </row>
    <row r="575">
      <c r="A575" s="72"/>
      <c r="B575" s="54"/>
      <c r="C575" s="67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67"/>
      <c r="R575" s="67"/>
      <c r="S575" s="67"/>
      <c r="T575" s="67"/>
      <c r="U575" s="118"/>
    </row>
    <row r="576">
      <c r="A576" s="72"/>
      <c r="B576" s="54"/>
      <c r="C576" s="67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67"/>
      <c r="R576" s="67"/>
      <c r="S576" s="67"/>
      <c r="T576" s="67"/>
      <c r="U576" s="118"/>
    </row>
    <row r="577">
      <c r="A577" s="72"/>
      <c r="B577" s="54"/>
      <c r="C577" s="67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67"/>
      <c r="R577" s="67"/>
      <c r="S577" s="67"/>
      <c r="T577" s="67"/>
      <c r="U577" s="118"/>
    </row>
    <row r="578">
      <c r="A578" s="72"/>
      <c r="B578" s="54"/>
      <c r="C578" s="67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67"/>
      <c r="R578" s="67"/>
      <c r="S578" s="67"/>
      <c r="T578" s="67"/>
      <c r="U578" s="118"/>
    </row>
    <row r="579">
      <c r="A579" s="72"/>
      <c r="B579" s="54"/>
      <c r="C579" s="67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67"/>
      <c r="R579" s="67"/>
      <c r="S579" s="67"/>
      <c r="T579" s="67"/>
      <c r="U579" s="118"/>
    </row>
    <row r="580">
      <c r="A580" s="72"/>
      <c r="B580" s="54"/>
      <c r="C580" s="67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67"/>
      <c r="R580" s="67"/>
      <c r="S580" s="67"/>
      <c r="T580" s="67"/>
      <c r="U580" s="118"/>
    </row>
    <row r="581">
      <c r="A581" s="72"/>
      <c r="B581" s="54"/>
      <c r="C581" s="67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67"/>
      <c r="R581" s="67"/>
      <c r="S581" s="67"/>
      <c r="T581" s="67"/>
      <c r="U581" s="118"/>
    </row>
    <row r="582">
      <c r="A582" s="72"/>
      <c r="B582" s="54"/>
      <c r="C582" s="67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67"/>
      <c r="R582" s="67"/>
      <c r="S582" s="67"/>
      <c r="T582" s="67"/>
      <c r="U582" s="118"/>
    </row>
    <row r="583">
      <c r="A583" s="72"/>
      <c r="B583" s="54"/>
      <c r="C583" s="67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67"/>
      <c r="R583" s="67"/>
      <c r="S583" s="67"/>
      <c r="T583" s="67"/>
      <c r="U583" s="118"/>
    </row>
    <row r="584">
      <c r="A584" s="72"/>
      <c r="B584" s="54"/>
      <c r="C584" s="67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67"/>
      <c r="R584" s="67"/>
      <c r="S584" s="67"/>
      <c r="T584" s="67"/>
      <c r="U584" s="118"/>
    </row>
    <row r="585">
      <c r="A585" s="72"/>
      <c r="B585" s="54"/>
      <c r="C585" s="67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67"/>
      <c r="R585" s="67"/>
      <c r="S585" s="67"/>
      <c r="T585" s="67"/>
      <c r="U585" s="118"/>
    </row>
    <row r="586">
      <c r="A586" s="72"/>
      <c r="B586" s="54"/>
      <c r="C586" s="67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67"/>
      <c r="R586" s="67"/>
      <c r="S586" s="67"/>
      <c r="T586" s="67"/>
      <c r="U586" s="118"/>
    </row>
    <row r="587">
      <c r="A587" s="72"/>
      <c r="B587" s="54"/>
      <c r="C587" s="67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67"/>
      <c r="R587" s="67"/>
      <c r="S587" s="67"/>
      <c r="T587" s="67"/>
      <c r="U587" s="118"/>
    </row>
    <row r="588">
      <c r="A588" s="72"/>
      <c r="B588" s="54"/>
      <c r="C588" s="67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67"/>
      <c r="R588" s="67"/>
      <c r="S588" s="67"/>
      <c r="T588" s="67"/>
      <c r="U588" s="118"/>
    </row>
    <row r="589">
      <c r="A589" s="72"/>
      <c r="B589" s="54"/>
      <c r="C589" s="67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67"/>
      <c r="R589" s="67"/>
      <c r="S589" s="67"/>
      <c r="T589" s="67"/>
      <c r="U589" s="118"/>
    </row>
    <row r="590">
      <c r="A590" s="72"/>
      <c r="B590" s="54"/>
      <c r="C590" s="67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67"/>
      <c r="R590" s="67"/>
      <c r="S590" s="67"/>
      <c r="T590" s="67"/>
      <c r="U590" s="118"/>
    </row>
    <row r="591">
      <c r="A591" s="72"/>
      <c r="B591" s="54"/>
      <c r="C591" s="67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67"/>
      <c r="R591" s="67"/>
      <c r="S591" s="67"/>
      <c r="T591" s="67"/>
      <c r="U591" s="118"/>
    </row>
    <row r="592">
      <c r="A592" s="72"/>
      <c r="B592" s="54"/>
      <c r="C592" s="67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67"/>
      <c r="R592" s="67"/>
      <c r="S592" s="67"/>
      <c r="T592" s="67"/>
      <c r="U592" s="118"/>
    </row>
    <row r="593">
      <c r="A593" s="72"/>
      <c r="B593" s="54"/>
      <c r="C593" s="67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67"/>
      <c r="R593" s="67"/>
      <c r="S593" s="67"/>
      <c r="T593" s="67"/>
      <c r="U593" s="118"/>
    </row>
    <row r="594">
      <c r="A594" s="72"/>
      <c r="B594" s="54"/>
      <c r="C594" s="67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67"/>
      <c r="R594" s="67"/>
      <c r="S594" s="67"/>
      <c r="T594" s="67"/>
      <c r="U594" s="118"/>
    </row>
    <row r="595">
      <c r="A595" s="72"/>
      <c r="B595" s="54"/>
      <c r="C595" s="67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67"/>
      <c r="R595" s="67"/>
      <c r="S595" s="67"/>
      <c r="T595" s="67"/>
      <c r="U595" s="118"/>
    </row>
    <row r="596">
      <c r="A596" s="72"/>
      <c r="B596" s="54"/>
      <c r="C596" s="67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67"/>
      <c r="R596" s="67"/>
      <c r="S596" s="67"/>
      <c r="T596" s="67"/>
      <c r="U596" s="118"/>
    </row>
    <row r="597">
      <c r="A597" s="72"/>
      <c r="B597" s="54"/>
      <c r="C597" s="67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67"/>
      <c r="R597" s="67"/>
      <c r="S597" s="67"/>
      <c r="T597" s="67"/>
      <c r="U597" s="118"/>
    </row>
    <row r="598">
      <c r="A598" s="72"/>
      <c r="B598" s="54"/>
      <c r="C598" s="67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67"/>
      <c r="R598" s="67"/>
      <c r="S598" s="67"/>
      <c r="T598" s="67"/>
      <c r="U598" s="118"/>
    </row>
    <row r="599">
      <c r="A599" s="72"/>
      <c r="B599" s="54"/>
      <c r="C599" s="67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67"/>
      <c r="R599" s="67"/>
      <c r="S599" s="67"/>
      <c r="T599" s="67"/>
      <c r="U599" s="118"/>
    </row>
    <row r="600">
      <c r="A600" s="72"/>
      <c r="B600" s="54"/>
      <c r="C600" s="67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67"/>
      <c r="R600" s="67"/>
      <c r="S600" s="67"/>
      <c r="T600" s="67"/>
      <c r="U600" s="118"/>
    </row>
    <row r="601">
      <c r="A601" s="72"/>
      <c r="B601" s="54"/>
      <c r="C601" s="67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67"/>
      <c r="R601" s="67"/>
      <c r="S601" s="67"/>
      <c r="T601" s="67"/>
      <c r="U601" s="118"/>
    </row>
    <row r="602">
      <c r="A602" s="72"/>
      <c r="B602" s="54"/>
      <c r="C602" s="67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67"/>
      <c r="R602" s="67"/>
      <c r="S602" s="67"/>
      <c r="T602" s="67"/>
      <c r="U602" s="118"/>
    </row>
    <row r="603">
      <c r="A603" s="72"/>
      <c r="B603" s="54"/>
      <c r="C603" s="67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67"/>
      <c r="R603" s="67"/>
      <c r="S603" s="67"/>
      <c r="T603" s="67"/>
      <c r="U603" s="118"/>
    </row>
    <row r="604">
      <c r="A604" s="72"/>
      <c r="B604" s="54"/>
      <c r="C604" s="67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67"/>
      <c r="R604" s="67"/>
      <c r="S604" s="67"/>
      <c r="T604" s="67"/>
      <c r="U604" s="118"/>
    </row>
    <row r="605">
      <c r="A605" s="72"/>
      <c r="B605" s="54"/>
      <c r="C605" s="67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67"/>
      <c r="R605" s="67"/>
      <c r="S605" s="67"/>
      <c r="T605" s="67"/>
      <c r="U605" s="118"/>
    </row>
    <row r="606">
      <c r="A606" s="72"/>
      <c r="B606" s="54"/>
      <c r="C606" s="67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67"/>
      <c r="R606" s="67"/>
      <c r="S606" s="67"/>
      <c r="T606" s="67"/>
      <c r="U606" s="118"/>
    </row>
    <row r="607">
      <c r="A607" s="72"/>
      <c r="B607" s="54"/>
      <c r="C607" s="67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67"/>
      <c r="R607" s="67"/>
      <c r="S607" s="67"/>
      <c r="T607" s="67"/>
      <c r="U607" s="118"/>
    </row>
    <row r="608">
      <c r="A608" s="72"/>
      <c r="B608" s="54"/>
      <c r="C608" s="67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67"/>
      <c r="R608" s="67"/>
      <c r="S608" s="67"/>
      <c r="T608" s="67"/>
      <c r="U608" s="118"/>
    </row>
    <row r="609">
      <c r="A609" s="72"/>
      <c r="B609" s="54"/>
      <c r="C609" s="67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67"/>
      <c r="R609" s="67"/>
      <c r="S609" s="67"/>
      <c r="T609" s="67"/>
      <c r="U609" s="118"/>
    </row>
    <row r="610">
      <c r="A610" s="72"/>
      <c r="B610" s="54"/>
      <c r="C610" s="67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67"/>
      <c r="R610" s="67"/>
      <c r="S610" s="67"/>
      <c r="T610" s="67"/>
      <c r="U610" s="118"/>
    </row>
    <row r="611">
      <c r="A611" s="72"/>
      <c r="B611" s="54"/>
      <c r="C611" s="67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67"/>
      <c r="R611" s="67"/>
      <c r="S611" s="67"/>
      <c r="T611" s="67"/>
      <c r="U611" s="118"/>
    </row>
    <row r="612">
      <c r="A612" s="72"/>
      <c r="B612" s="54"/>
      <c r="C612" s="67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67"/>
      <c r="R612" s="67"/>
      <c r="S612" s="67"/>
      <c r="T612" s="67"/>
      <c r="U612" s="118"/>
    </row>
    <row r="613">
      <c r="A613" s="72"/>
      <c r="B613" s="54"/>
      <c r="C613" s="67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67"/>
      <c r="R613" s="67"/>
      <c r="S613" s="67"/>
      <c r="T613" s="67"/>
      <c r="U613" s="118"/>
    </row>
    <row r="614">
      <c r="A614" s="72"/>
      <c r="B614" s="54"/>
      <c r="C614" s="67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67"/>
      <c r="R614" s="67"/>
      <c r="S614" s="67"/>
      <c r="T614" s="67"/>
      <c r="U614" s="118"/>
    </row>
    <row r="615">
      <c r="A615" s="72"/>
      <c r="B615" s="54"/>
      <c r="C615" s="67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67"/>
      <c r="R615" s="67"/>
      <c r="S615" s="67"/>
      <c r="T615" s="67"/>
      <c r="U615" s="118"/>
    </row>
    <row r="616">
      <c r="A616" s="72"/>
      <c r="B616" s="54"/>
      <c r="C616" s="67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67"/>
      <c r="R616" s="67"/>
      <c r="S616" s="67"/>
      <c r="T616" s="67"/>
      <c r="U616" s="118"/>
    </row>
    <row r="617">
      <c r="A617" s="72"/>
      <c r="B617" s="54"/>
      <c r="C617" s="67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67"/>
      <c r="R617" s="67"/>
      <c r="S617" s="67"/>
      <c r="T617" s="67"/>
      <c r="U617" s="118"/>
    </row>
    <row r="618">
      <c r="A618" s="72"/>
      <c r="B618" s="54"/>
      <c r="C618" s="67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67"/>
      <c r="R618" s="67"/>
      <c r="S618" s="67"/>
      <c r="T618" s="67"/>
      <c r="U618" s="118"/>
    </row>
    <row r="619">
      <c r="A619" s="72"/>
      <c r="B619" s="54"/>
      <c r="C619" s="67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67"/>
      <c r="R619" s="67"/>
      <c r="S619" s="67"/>
      <c r="T619" s="67"/>
      <c r="U619" s="118"/>
    </row>
    <row r="620">
      <c r="A620" s="72"/>
      <c r="B620" s="54"/>
      <c r="C620" s="67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67"/>
      <c r="R620" s="67"/>
      <c r="S620" s="67"/>
      <c r="T620" s="67"/>
      <c r="U620" s="118"/>
    </row>
    <row r="621">
      <c r="A621" s="72"/>
      <c r="B621" s="54"/>
      <c r="C621" s="67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67"/>
      <c r="R621" s="67"/>
      <c r="S621" s="67"/>
      <c r="T621" s="67"/>
      <c r="U621" s="118"/>
    </row>
    <row r="622">
      <c r="A622" s="72"/>
      <c r="B622" s="54"/>
      <c r="C622" s="67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67"/>
      <c r="R622" s="67"/>
      <c r="S622" s="67"/>
      <c r="T622" s="67"/>
      <c r="U622" s="118"/>
    </row>
    <row r="623">
      <c r="A623" s="72"/>
      <c r="B623" s="54"/>
      <c r="C623" s="67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67"/>
      <c r="R623" s="67"/>
      <c r="S623" s="67"/>
      <c r="T623" s="67"/>
      <c r="U623" s="118"/>
    </row>
    <row r="624">
      <c r="A624" s="72"/>
      <c r="B624" s="54"/>
      <c r="C624" s="67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67"/>
      <c r="R624" s="67"/>
      <c r="S624" s="67"/>
      <c r="T624" s="67"/>
      <c r="U624" s="118"/>
    </row>
    <row r="625">
      <c r="A625" s="72"/>
      <c r="B625" s="54"/>
      <c r="C625" s="67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67"/>
      <c r="R625" s="67"/>
      <c r="S625" s="67"/>
      <c r="T625" s="67"/>
      <c r="U625" s="118"/>
    </row>
    <row r="626">
      <c r="A626" s="72"/>
      <c r="B626" s="54"/>
      <c r="C626" s="67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67"/>
      <c r="R626" s="67"/>
      <c r="S626" s="67"/>
      <c r="T626" s="67"/>
      <c r="U626" s="118"/>
    </row>
    <row r="627">
      <c r="A627" s="72"/>
      <c r="B627" s="54"/>
      <c r="C627" s="67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67"/>
      <c r="R627" s="67"/>
      <c r="S627" s="67"/>
      <c r="T627" s="67"/>
      <c r="U627" s="118"/>
    </row>
    <row r="628">
      <c r="A628" s="72"/>
      <c r="B628" s="54"/>
      <c r="C628" s="67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67"/>
      <c r="R628" s="67"/>
      <c r="S628" s="67"/>
      <c r="T628" s="67"/>
      <c r="U628" s="118"/>
    </row>
    <row r="629">
      <c r="A629" s="72"/>
      <c r="B629" s="54"/>
      <c r="C629" s="67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67"/>
      <c r="R629" s="67"/>
      <c r="S629" s="67"/>
      <c r="T629" s="67"/>
      <c r="U629" s="118"/>
    </row>
    <row r="630">
      <c r="A630" s="72"/>
      <c r="B630" s="54"/>
      <c r="C630" s="67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67"/>
      <c r="R630" s="67"/>
      <c r="S630" s="67"/>
      <c r="T630" s="67"/>
      <c r="U630" s="118"/>
    </row>
    <row r="631">
      <c r="A631" s="72"/>
      <c r="B631" s="54"/>
      <c r="C631" s="67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67"/>
      <c r="R631" s="67"/>
      <c r="S631" s="67"/>
      <c r="T631" s="67"/>
      <c r="U631" s="118"/>
    </row>
    <row r="632">
      <c r="A632" s="72"/>
      <c r="B632" s="54"/>
      <c r="C632" s="67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67"/>
      <c r="R632" s="67"/>
      <c r="S632" s="67"/>
      <c r="T632" s="67"/>
      <c r="U632" s="118"/>
    </row>
    <row r="633">
      <c r="A633" s="72"/>
      <c r="B633" s="54"/>
      <c r="C633" s="67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67"/>
      <c r="R633" s="67"/>
      <c r="S633" s="67"/>
      <c r="T633" s="67"/>
      <c r="U633" s="118"/>
    </row>
    <row r="634">
      <c r="A634" s="72"/>
      <c r="B634" s="54"/>
      <c r="C634" s="67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67"/>
      <c r="R634" s="67"/>
      <c r="S634" s="67"/>
      <c r="T634" s="67"/>
      <c r="U634" s="118"/>
    </row>
    <row r="635">
      <c r="A635" s="72"/>
      <c r="B635" s="54"/>
      <c r="C635" s="67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67"/>
      <c r="R635" s="67"/>
      <c r="S635" s="67"/>
      <c r="T635" s="67"/>
      <c r="U635" s="118"/>
    </row>
    <row r="636">
      <c r="A636" s="72"/>
      <c r="B636" s="54"/>
      <c r="C636" s="67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67"/>
      <c r="R636" s="67"/>
      <c r="S636" s="67"/>
      <c r="T636" s="67"/>
      <c r="U636" s="118"/>
    </row>
    <row r="637">
      <c r="A637" s="72"/>
      <c r="B637" s="54"/>
      <c r="C637" s="67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67"/>
      <c r="R637" s="67"/>
      <c r="S637" s="67"/>
      <c r="T637" s="67"/>
      <c r="U637" s="118"/>
    </row>
    <row r="638">
      <c r="A638" s="72"/>
      <c r="B638" s="54"/>
      <c r="C638" s="67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67"/>
      <c r="R638" s="67"/>
      <c r="S638" s="67"/>
      <c r="T638" s="67"/>
      <c r="U638" s="118"/>
    </row>
    <row r="639">
      <c r="A639" s="72"/>
      <c r="B639" s="54"/>
      <c r="C639" s="67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67"/>
      <c r="R639" s="67"/>
      <c r="S639" s="67"/>
      <c r="T639" s="67"/>
      <c r="U639" s="118"/>
    </row>
    <row r="640">
      <c r="A640" s="72"/>
      <c r="B640" s="54"/>
      <c r="C640" s="67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67"/>
      <c r="R640" s="67"/>
      <c r="S640" s="67"/>
      <c r="T640" s="67"/>
      <c r="U640" s="118"/>
    </row>
    <row r="641">
      <c r="A641" s="72"/>
      <c r="B641" s="54"/>
      <c r="C641" s="67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67"/>
      <c r="R641" s="67"/>
      <c r="S641" s="67"/>
      <c r="T641" s="67"/>
      <c r="U641" s="118"/>
    </row>
    <row r="642">
      <c r="A642" s="72"/>
      <c r="B642" s="54"/>
      <c r="C642" s="67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67"/>
      <c r="R642" s="67"/>
      <c r="S642" s="67"/>
      <c r="T642" s="67"/>
      <c r="U642" s="118"/>
    </row>
    <row r="643">
      <c r="A643" s="72"/>
      <c r="B643" s="54"/>
      <c r="C643" s="67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67"/>
      <c r="R643" s="67"/>
      <c r="S643" s="67"/>
      <c r="T643" s="67"/>
      <c r="U643" s="118"/>
    </row>
    <row r="644">
      <c r="A644" s="72"/>
      <c r="B644" s="54"/>
      <c r="C644" s="67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67"/>
      <c r="R644" s="67"/>
      <c r="S644" s="67"/>
      <c r="T644" s="67"/>
      <c r="U644" s="118"/>
    </row>
    <row r="645">
      <c r="A645" s="72"/>
      <c r="B645" s="54"/>
      <c r="C645" s="67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67"/>
      <c r="R645" s="67"/>
      <c r="S645" s="67"/>
      <c r="T645" s="67"/>
      <c r="U645" s="118"/>
    </row>
    <row r="646">
      <c r="A646" s="72"/>
      <c r="B646" s="54"/>
      <c r="C646" s="67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67"/>
      <c r="R646" s="67"/>
      <c r="S646" s="67"/>
      <c r="T646" s="67"/>
      <c r="U646" s="118"/>
    </row>
    <row r="647">
      <c r="A647" s="72"/>
      <c r="B647" s="54"/>
      <c r="C647" s="67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67"/>
      <c r="R647" s="67"/>
      <c r="S647" s="67"/>
      <c r="T647" s="67"/>
      <c r="U647" s="118"/>
    </row>
    <row r="648">
      <c r="A648" s="72"/>
      <c r="B648" s="54"/>
      <c r="C648" s="67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67"/>
      <c r="R648" s="67"/>
      <c r="S648" s="67"/>
      <c r="T648" s="67"/>
      <c r="U648" s="118"/>
    </row>
    <row r="649">
      <c r="A649" s="72"/>
      <c r="B649" s="54"/>
      <c r="C649" s="67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67"/>
      <c r="R649" s="67"/>
      <c r="S649" s="67"/>
      <c r="T649" s="67"/>
      <c r="U649" s="118"/>
    </row>
    <row r="650">
      <c r="A650" s="72"/>
      <c r="B650" s="54"/>
      <c r="C650" s="67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67"/>
      <c r="R650" s="67"/>
      <c r="S650" s="67"/>
      <c r="T650" s="67"/>
      <c r="U650" s="118"/>
    </row>
    <row r="651">
      <c r="A651" s="72"/>
      <c r="B651" s="54"/>
      <c r="C651" s="67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67"/>
      <c r="R651" s="67"/>
      <c r="S651" s="67"/>
      <c r="T651" s="67"/>
      <c r="U651" s="118"/>
    </row>
    <row r="652">
      <c r="A652" s="72"/>
      <c r="B652" s="54"/>
      <c r="C652" s="67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67"/>
      <c r="R652" s="67"/>
      <c r="S652" s="67"/>
      <c r="T652" s="67"/>
      <c r="U652" s="118"/>
    </row>
    <row r="653">
      <c r="A653" s="72"/>
      <c r="B653" s="54"/>
      <c r="C653" s="67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67"/>
      <c r="R653" s="67"/>
      <c r="S653" s="67"/>
      <c r="T653" s="67"/>
      <c r="U653" s="118"/>
    </row>
    <row r="654">
      <c r="A654" s="72"/>
      <c r="B654" s="54"/>
      <c r="C654" s="67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67"/>
      <c r="R654" s="67"/>
      <c r="S654" s="67"/>
      <c r="T654" s="67"/>
      <c r="U654" s="118"/>
    </row>
    <row r="655">
      <c r="A655" s="72"/>
      <c r="B655" s="54"/>
      <c r="C655" s="67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67"/>
      <c r="R655" s="67"/>
      <c r="S655" s="67"/>
      <c r="T655" s="67"/>
      <c r="U655" s="118"/>
    </row>
    <row r="656">
      <c r="A656" s="72"/>
      <c r="B656" s="54"/>
      <c r="C656" s="67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67"/>
      <c r="R656" s="67"/>
      <c r="S656" s="67"/>
      <c r="T656" s="67"/>
      <c r="U656" s="118"/>
    </row>
    <row r="657">
      <c r="A657" s="72"/>
      <c r="B657" s="54"/>
      <c r="C657" s="67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67"/>
      <c r="R657" s="67"/>
      <c r="S657" s="67"/>
      <c r="T657" s="67"/>
      <c r="U657" s="118"/>
    </row>
    <row r="658">
      <c r="A658" s="72"/>
      <c r="B658" s="54"/>
      <c r="C658" s="67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67"/>
      <c r="R658" s="67"/>
      <c r="S658" s="67"/>
      <c r="T658" s="67"/>
      <c r="U658" s="118"/>
    </row>
    <row r="659">
      <c r="A659" s="72"/>
      <c r="B659" s="54"/>
      <c r="C659" s="67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67"/>
      <c r="R659" s="67"/>
      <c r="S659" s="67"/>
      <c r="T659" s="67"/>
      <c r="U659" s="118"/>
    </row>
    <row r="660">
      <c r="A660" s="72"/>
      <c r="B660" s="54"/>
      <c r="C660" s="67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67"/>
      <c r="R660" s="67"/>
      <c r="S660" s="67"/>
      <c r="T660" s="67"/>
      <c r="U660" s="118"/>
    </row>
    <row r="661">
      <c r="A661" s="72"/>
      <c r="B661" s="54"/>
      <c r="C661" s="67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67"/>
      <c r="R661" s="67"/>
      <c r="S661" s="67"/>
      <c r="T661" s="67"/>
      <c r="U661" s="118"/>
    </row>
    <row r="662">
      <c r="A662" s="72"/>
      <c r="B662" s="54"/>
      <c r="C662" s="67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67"/>
      <c r="R662" s="67"/>
      <c r="S662" s="67"/>
      <c r="T662" s="67"/>
      <c r="U662" s="118"/>
    </row>
    <row r="663">
      <c r="A663" s="72"/>
      <c r="B663" s="54"/>
      <c r="C663" s="67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67"/>
      <c r="R663" s="67"/>
      <c r="S663" s="67"/>
      <c r="T663" s="67"/>
      <c r="U663" s="118"/>
    </row>
    <row r="664">
      <c r="A664" s="72"/>
      <c r="B664" s="54"/>
      <c r="C664" s="67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67"/>
      <c r="R664" s="67"/>
      <c r="S664" s="67"/>
      <c r="T664" s="67"/>
      <c r="U664" s="118"/>
    </row>
    <row r="665">
      <c r="A665" s="72"/>
      <c r="B665" s="54"/>
      <c r="C665" s="67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67"/>
      <c r="R665" s="67"/>
      <c r="S665" s="67"/>
      <c r="T665" s="67"/>
      <c r="U665" s="118"/>
    </row>
    <row r="666">
      <c r="A666" s="72"/>
      <c r="B666" s="54"/>
      <c r="C666" s="67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67"/>
      <c r="R666" s="67"/>
      <c r="S666" s="67"/>
      <c r="T666" s="67"/>
      <c r="U666" s="118"/>
    </row>
    <row r="667">
      <c r="A667" s="72"/>
      <c r="B667" s="54"/>
      <c r="C667" s="67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67"/>
      <c r="R667" s="67"/>
      <c r="S667" s="67"/>
      <c r="T667" s="67"/>
      <c r="U667" s="118"/>
    </row>
    <row r="668">
      <c r="A668" s="72"/>
      <c r="B668" s="54"/>
      <c r="C668" s="67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67"/>
      <c r="R668" s="67"/>
      <c r="S668" s="67"/>
      <c r="T668" s="67"/>
      <c r="U668" s="118"/>
    </row>
    <row r="669">
      <c r="A669" s="72"/>
      <c r="B669" s="54"/>
      <c r="C669" s="67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67"/>
      <c r="R669" s="67"/>
      <c r="S669" s="67"/>
      <c r="T669" s="67"/>
      <c r="U669" s="118"/>
    </row>
    <row r="670">
      <c r="A670" s="72"/>
      <c r="B670" s="54"/>
      <c r="C670" s="67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67"/>
      <c r="R670" s="67"/>
      <c r="S670" s="67"/>
      <c r="T670" s="67"/>
      <c r="U670" s="118"/>
    </row>
    <row r="671">
      <c r="A671" s="72"/>
      <c r="B671" s="54"/>
      <c r="C671" s="67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67"/>
      <c r="R671" s="67"/>
      <c r="S671" s="67"/>
      <c r="T671" s="67"/>
      <c r="U671" s="118"/>
    </row>
    <row r="672">
      <c r="A672" s="72"/>
      <c r="B672" s="54"/>
      <c r="C672" s="67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67"/>
      <c r="R672" s="67"/>
      <c r="S672" s="67"/>
      <c r="T672" s="67"/>
      <c r="U672" s="118"/>
    </row>
    <row r="673">
      <c r="A673" s="72"/>
      <c r="B673" s="54"/>
      <c r="C673" s="67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67"/>
      <c r="R673" s="67"/>
      <c r="S673" s="67"/>
      <c r="T673" s="67"/>
      <c r="U673" s="118"/>
    </row>
    <row r="674">
      <c r="A674" s="72"/>
      <c r="B674" s="54"/>
      <c r="C674" s="67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67"/>
      <c r="R674" s="67"/>
      <c r="S674" s="67"/>
      <c r="T674" s="67"/>
      <c r="U674" s="118"/>
    </row>
    <row r="675">
      <c r="A675" s="72"/>
      <c r="B675" s="54"/>
      <c r="C675" s="67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67"/>
      <c r="R675" s="67"/>
      <c r="S675" s="67"/>
      <c r="T675" s="67"/>
      <c r="U675" s="118"/>
    </row>
    <row r="676">
      <c r="A676" s="72"/>
      <c r="B676" s="54"/>
      <c r="C676" s="67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67"/>
      <c r="R676" s="67"/>
      <c r="S676" s="67"/>
      <c r="T676" s="67"/>
      <c r="U676" s="118"/>
    </row>
    <row r="677">
      <c r="A677" s="72"/>
      <c r="B677" s="54"/>
      <c r="C677" s="67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67"/>
      <c r="R677" s="67"/>
      <c r="S677" s="67"/>
      <c r="T677" s="67"/>
      <c r="U677" s="118"/>
    </row>
    <row r="678">
      <c r="A678" s="72"/>
      <c r="B678" s="54"/>
      <c r="C678" s="67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67"/>
      <c r="R678" s="67"/>
      <c r="S678" s="67"/>
      <c r="T678" s="67"/>
      <c r="U678" s="118"/>
    </row>
    <row r="679">
      <c r="A679" s="72"/>
      <c r="B679" s="54"/>
      <c r="C679" s="67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67"/>
      <c r="R679" s="67"/>
      <c r="S679" s="67"/>
      <c r="T679" s="67"/>
      <c r="U679" s="118"/>
    </row>
    <row r="680">
      <c r="A680" s="72"/>
      <c r="B680" s="54"/>
      <c r="C680" s="67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67"/>
      <c r="R680" s="67"/>
      <c r="S680" s="67"/>
      <c r="T680" s="67"/>
      <c r="U680" s="118"/>
    </row>
    <row r="681">
      <c r="A681" s="72"/>
      <c r="B681" s="54"/>
      <c r="C681" s="67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67"/>
      <c r="R681" s="67"/>
      <c r="S681" s="67"/>
      <c r="T681" s="67"/>
      <c r="U681" s="118"/>
    </row>
    <row r="682">
      <c r="A682" s="72"/>
      <c r="B682" s="54"/>
      <c r="C682" s="67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67"/>
      <c r="R682" s="67"/>
      <c r="S682" s="67"/>
      <c r="T682" s="67"/>
      <c r="U682" s="118"/>
    </row>
    <row r="683">
      <c r="A683" s="72"/>
      <c r="B683" s="54"/>
      <c r="C683" s="67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67"/>
      <c r="R683" s="67"/>
      <c r="S683" s="67"/>
      <c r="T683" s="67"/>
      <c r="U683" s="118"/>
    </row>
    <row r="684">
      <c r="A684" s="72"/>
      <c r="B684" s="54"/>
      <c r="C684" s="67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67"/>
      <c r="R684" s="67"/>
      <c r="S684" s="67"/>
      <c r="T684" s="67"/>
      <c r="U684" s="118"/>
    </row>
    <row r="685">
      <c r="A685" s="72"/>
      <c r="B685" s="54"/>
      <c r="C685" s="67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67"/>
      <c r="R685" s="67"/>
      <c r="S685" s="67"/>
      <c r="T685" s="67"/>
      <c r="U685" s="118"/>
    </row>
    <row r="686">
      <c r="A686" s="72"/>
      <c r="B686" s="54"/>
      <c r="C686" s="67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67"/>
      <c r="R686" s="67"/>
      <c r="S686" s="67"/>
      <c r="T686" s="67"/>
      <c r="U686" s="118"/>
    </row>
    <row r="687">
      <c r="A687" s="72"/>
      <c r="B687" s="54"/>
      <c r="C687" s="67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67"/>
      <c r="R687" s="67"/>
      <c r="S687" s="67"/>
      <c r="T687" s="67"/>
      <c r="U687" s="118"/>
    </row>
    <row r="688">
      <c r="A688" s="72"/>
      <c r="B688" s="54"/>
      <c r="C688" s="67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67"/>
      <c r="R688" s="67"/>
      <c r="S688" s="67"/>
      <c r="T688" s="67"/>
      <c r="U688" s="118"/>
    </row>
    <row r="689">
      <c r="A689" s="72"/>
      <c r="B689" s="54"/>
      <c r="C689" s="67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67"/>
      <c r="R689" s="67"/>
      <c r="S689" s="67"/>
      <c r="T689" s="67"/>
      <c r="U689" s="118"/>
    </row>
    <row r="690">
      <c r="A690" s="72"/>
      <c r="B690" s="54"/>
      <c r="C690" s="67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67"/>
      <c r="R690" s="67"/>
      <c r="S690" s="67"/>
      <c r="T690" s="67"/>
      <c r="U690" s="118"/>
    </row>
    <row r="691">
      <c r="A691" s="72"/>
      <c r="B691" s="54"/>
      <c r="C691" s="67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67"/>
      <c r="R691" s="67"/>
      <c r="S691" s="67"/>
      <c r="T691" s="67"/>
      <c r="U691" s="118"/>
    </row>
    <row r="692">
      <c r="A692" s="72"/>
      <c r="B692" s="54"/>
      <c r="C692" s="67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67"/>
      <c r="R692" s="67"/>
      <c r="S692" s="67"/>
      <c r="T692" s="67"/>
      <c r="U692" s="118"/>
    </row>
    <row r="693">
      <c r="A693" s="72"/>
      <c r="B693" s="54"/>
      <c r="C693" s="67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67"/>
      <c r="R693" s="67"/>
      <c r="S693" s="67"/>
      <c r="T693" s="67"/>
      <c r="U693" s="118"/>
    </row>
    <row r="694">
      <c r="A694" s="72"/>
      <c r="B694" s="54"/>
      <c r="C694" s="67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67"/>
      <c r="R694" s="67"/>
      <c r="S694" s="67"/>
      <c r="T694" s="67"/>
      <c r="U694" s="118"/>
    </row>
    <row r="695">
      <c r="A695" s="72"/>
      <c r="B695" s="54"/>
      <c r="C695" s="67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67"/>
      <c r="R695" s="67"/>
      <c r="S695" s="67"/>
      <c r="T695" s="67"/>
      <c r="U695" s="118"/>
    </row>
    <row r="696">
      <c r="A696" s="72"/>
      <c r="B696" s="54"/>
      <c r="C696" s="67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67"/>
      <c r="R696" s="67"/>
      <c r="S696" s="67"/>
      <c r="T696" s="67"/>
      <c r="U696" s="118"/>
    </row>
    <row r="697">
      <c r="A697" s="72"/>
      <c r="B697" s="54"/>
      <c r="C697" s="67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67"/>
      <c r="R697" s="67"/>
      <c r="S697" s="67"/>
      <c r="T697" s="67"/>
      <c r="U697" s="118"/>
    </row>
    <row r="698">
      <c r="A698" s="72"/>
      <c r="B698" s="54"/>
      <c r="C698" s="67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67"/>
      <c r="R698" s="67"/>
      <c r="S698" s="67"/>
      <c r="T698" s="67"/>
      <c r="U698" s="118"/>
    </row>
    <row r="699">
      <c r="A699" s="72"/>
      <c r="B699" s="54"/>
      <c r="C699" s="67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67"/>
      <c r="R699" s="67"/>
      <c r="S699" s="67"/>
      <c r="T699" s="67"/>
      <c r="U699" s="118"/>
    </row>
    <row r="700">
      <c r="A700" s="72"/>
      <c r="B700" s="54"/>
      <c r="C700" s="67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67"/>
      <c r="R700" s="67"/>
      <c r="S700" s="67"/>
      <c r="T700" s="67"/>
      <c r="U700" s="118"/>
    </row>
    <row r="701">
      <c r="A701" s="72"/>
      <c r="B701" s="54"/>
      <c r="C701" s="67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67"/>
      <c r="R701" s="67"/>
      <c r="S701" s="67"/>
      <c r="T701" s="67"/>
      <c r="U701" s="118"/>
    </row>
    <row r="702">
      <c r="A702" s="72"/>
      <c r="B702" s="54"/>
      <c r="C702" s="67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67"/>
      <c r="R702" s="67"/>
      <c r="S702" s="67"/>
      <c r="T702" s="67"/>
      <c r="U702" s="118"/>
    </row>
    <row r="703">
      <c r="A703" s="72"/>
      <c r="B703" s="54"/>
      <c r="C703" s="67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67"/>
      <c r="R703" s="67"/>
      <c r="S703" s="67"/>
      <c r="T703" s="67"/>
      <c r="U703" s="118"/>
    </row>
    <row r="704">
      <c r="A704" s="72"/>
      <c r="B704" s="54"/>
      <c r="C704" s="67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67"/>
      <c r="R704" s="67"/>
      <c r="S704" s="67"/>
      <c r="T704" s="67"/>
      <c r="U704" s="118"/>
    </row>
    <row r="705">
      <c r="A705" s="72"/>
      <c r="B705" s="54"/>
      <c r="C705" s="67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67"/>
      <c r="R705" s="67"/>
      <c r="S705" s="67"/>
      <c r="T705" s="67"/>
      <c r="U705" s="118"/>
    </row>
    <row r="706">
      <c r="A706" s="72"/>
      <c r="B706" s="54"/>
      <c r="C706" s="67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67"/>
      <c r="R706" s="67"/>
      <c r="S706" s="67"/>
      <c r="T706" s="67"/>
      <c r="U706" s="118"/>
    </row>
    <row r="707">
      <c r="A707" s="72"/>
      <c r="B707" s="54"/>
      <c r="C707" s="67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67"/>
      <c r="R707" s="67"/>
      <c r="S707" s="67"/>
      <c r="T707" s="67"/>
      <c r="U707" s="118"/>
    </row>
    <row r="708">
      <c r="A708" s="72"/>
      <c r="B708" s="54"/>
      <c r="C708" s="67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67"/>
      <c r="R708" s="67"/>
      <c r="S708" s="67"/>
      <c r="T708" s="67"/>
      <c r="U708" s="118"/>
    </row>
    <row r="709">
      <c r="A709" s="72"/>
      <c r="B709" s="54"/>
      <c r="C709" s="67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67"/>
      <c r="R709" s="67"/>
      <c r="S709" s="67"/>
      <c r="T709" s="67"/>
      <c r="U709" s="118"/>
    </row>
    <row r="710">
      <c r="A710" s="72"/>
      <c r="B710" s="54"/>
      <c r="C710" s="67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67"/>
      <c r="R710" s="67"/>
      <c r="S710" s="67"/>
      <c r="T710" s="67"/>
      <c r="U710" s="118"/>
    </row>
    <row r="711">
      <c r="A711" s="72"/>
      <c r="B711" s="54"/>
      <c r="C711" s="67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67"/>
      <c r="R711" s="67"/>
      <c r="S711" s="67"/>
      <c r="T711" s="67"/>
      <c r="U711" s="118"/>
    </row>
    <row r="712">
      <c r="A712" s="72"/>
      <c r="B712" s="54"/>
      <c r="C712" s="67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67"/>
      <c r="R712" s="67"/>
      <c r="S712" s="67"/>
      <c r="T712" s="67"/>
      <c r="U712" s="118"/>
    </row>
    <row r="713">
      <c r="A713" s="72"/>
      <c r="B713" s="54"/>
      <c r="C713" s="67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67"/>
      <c r="R713" s="67"/>
      <c r="S713" s="67"/>
      <c r="T713" s="67"/>
      <c r="U713" s="118"/>
    </row>
    <row r="714">
      <c r="A714" s="72"/>
      <c r="B714" s="54"/>
      <c r="C714" s="67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67"/>
      <c r="R714" s="67"/>
      <c r="S714" s="67"/>
      <c r="T714" s="67"/>
      <c r="U714" s="118"/>
    </row>
    <row r="715">
      <c r="A715" s="72"/>
      <c r="B715" s="54"/>
      <c r="C715" s="67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67"/>
      <c r="R715" s="67"/>
      <c r="S715" s="67"/>
      <c r="T715" s="67"/>
      <c r="U715" s="118"/>
    </row>
    <row r="716">
      <c r="A716" s="72"/>
      <c r="B716" s="54"/>
      <c r="C716" s="67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67"/>
      <c r="R716" s="67"/>
      <c r="S716" s="67"/>
      <c r="T716" s="67"/>
      <c r="U716" s="118"/>
    </row>
    <row r="717">
      <c r="A717" s="72"/>
      <c r="B717" s="54"/>
      <c r="C717" s="67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67"/>
      <c r="R717" s="67"/>
      <c r="S717" s="67"/>
      <c r="T717" s="67"/>
      <c r="U717" s="118"/>
    </row>
    <row r="718">
      <c r="A718" s="72"/>
      <c r="B718" s="54"/>
      <c r="C718" s="67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67"/>
      <c r="R718" s="67"/>
      <c r="S718" s="67"/>
      <c r="T718" s="67"/>
      <c r="U718" s="118"/>
    </row>
    <row r="719">
      <c r="A719" s="72"/>
      <c r="B719" s="54"/>
      <c r="C719" s="67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67"/>
      <c r="R719" s="67"/>
      <c r="S719" s="67"/>
      <c r="T719" s="67"/>
      <c r="U719" s="118"/>
    </row>
    <row r="720">
      <c r="A720" s="72"/>
      <c r="B720" s="54"/>
      <c r="C720" s="67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67"/>
      <c r="R720" s="67"/>
      <c r="S720" s="67"/>
      <c r="T720" s="67"/>
      <c r="U720" s="118"/>
    </row>
    <row r="721">
      <c r="A721" s="72"/>
      <c r="B721" s="54"/>
      <c r="C721" s="67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67"/>
      <c r="R721" s="67"/>
      <c r="S721" s="67"/>
      <c r="T721" s="67"/>
      <c r="U721" s="118"/>
    </row>
    <row r="722">
      <c r="A722" s="72"/>
      <c r="B722" s="54"/>
      <c r="C722" s="67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67"/>
      <c r="R722" s="67"/>
      <c r="S722" s="67"/>
      <c r="T722" s="67"/>
      <c r="U722" s="118"/>
    </row>
    <row r="723">
      <c r="A723" s="72"/>
      <c r="B723" s="54"/>
      <c r="C723" s="67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67"/>
      <c r="R723" s="67"/>
      <c r="S723" s="67"/>
      <c r="T723" s="67"/>
      <c r="U723" s="118"/>
    </row>
    <row r="724">
      <c r="A724" s="72"/>
      <c r="B724" s="54"/>
      <c r="C724" s="67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67"/>
      <c r="R724" s="67"/>
      <c r="S724" s="67"/>
      <c r="T724" s="67"/>
      <c r="U724" s="118"/>
    </row>
    <row r="725">
      <c r="A725" s="72"/>
      <c r="B725" s="54"/>
      <c r="C725" s="67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67"/>
      <c r="R725" s="67"/>
      <c r="S725" s="67"/>
      <c r="T725" s="67"/>
      <c r="U725" s="118"/>
    </row>
    <row r="726">
      <c r="A726" s="72"/>
      <c r="B726" s="54"/>
      <c r="C726" s="67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67"/>
      <c r="R726" s="67"/>
      <c r="S726" s="67"/>
      <c r="T726" s="67"/>
      <c r="U726" s="118"/>
    </row>
    <row r="727">
      <c r="A727" s="72"/>
      <c r="B727" s="54"/>
      <c r="C727" s="67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67"/>
      <c r="R727" s="67"/>
      <c r="S727" s="67"/>
      <c r="T727" s="67"/>
      <c r="U727" s="118"/>
    </row>
    <row r="728">
      <c r="A728" s="72"/>
      <c r="B728" s="54"/>
      <c r="C728" s="67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67"/>
      <c r="R728" s="67"/>
      <c r="S728" s="67"/>
      <c r="T728" s="67"/>
      <c r="U728" s="118"/>
    </row>
    <row r="729">
      <c r="A729" s="72"/>
      <c r="B729" s="54"/>
      <c r="C729" s="67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67"/>
      <c r="R729" s="67"/>
      <c r="S729" s="67"/>
      <c r="T729" s="67"/>
      <c r="U729" s="118"/>
    </row>
    <row r="730">
      <c r="A730" s="72"/>
      <c r="B730" s="54"/>
      <c r="C730" s="67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67"/>
      <c r="R730" s="67"/>
      <c r="S730" s="67"/>
      <c r="T730" s="67"/>
      <c r="U730" s="118"/>
    </row>
    <row r="731">
      <c r="A731" s="72"/>
      <c r="B731" s="54"/>
      <c r="C731" s="67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67"/>
      <c r="R731" s="67"/>
      <c r="S731" s="67"/>
      <c r="T731" s="67"/>
      <c r="U731" s="118"/>
    </row>
    <row r="732">
      <c r="A732" s="72"/>
      <c r="B732" s="54"/>
      <c r="C732" s="67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67"/>
      <c r="R732" s="67"/>
      <c r="S732" s="67"/>
      <c r="T732" s="67"/>
      <c r="U732" s="118"/>
    </row>
    <row r="733">
      <c r="A733" s="72"/>
      <c r="B733" s="54"/>
      <c r="C733" s="67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67"/>
      <c r="R733" s="67"/>
      <c r="S733" s="67"/>
      <c r="T733" s="67"/>
      <c r="U733" s="118"/>
    </row>
    <row r="734">
      <c r="A734" s="72"/>
      <c r="B734" s="54"/>
      <c r="C734" s="67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67"/>
      <c r="R734" s="67"/>
      <c r="S734" s="67"/>
      <c r="T734" s="67"/>
      <c r="U734" s="118"/>
    </row>
    <row r="735">
      <c r="A735" s="72"/>
      <c r="B735" s="54"/>
      <c r="C735" s="67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67"/>
      <c r="R735" s="67"/>
      <c r="S735" s="67"/>
      <c r="T735" s="67"/>
      <c r="U735" s="118"/>
    </row>
    <row r="736">
      <c r="A736" s="72"/>
      <c r="B736" s="54"/>
      <c r="C736" s="67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67"/>
      <c r="R736" s="67"/>
      <c r="S736" s="67"/>
      <c r="T736" s="67"/>
      <c r="U736" s="118"/>
    </row>
    <row r="737">
      <c r="A737" s="72"/>
      <c r="B737" s="54"/>
      <c r="C737" s="67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67"/>
      <c r="R737" s="67"/>
      <c r="S737" s="67"/>
      <c r="T737" s="67"/>
      <c r="U737" s="118"/>
    </row>
    <row r="738">
      <c r="A738" s="72"/>
      <c r="B738" s="54"/>
      <c r="C738" s="67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67"/>
      <c r="R738" s="67"/>
      <c r="S738" s="67"/>
      <c r="T738" s="67"/>
      <c r="U738" s="118"/>
    </row>
    <row r="739">
      <c r="A739" s="72"/>
      <c r="B739" s="54"/>
      <c r="C739" s="67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67"/>
      <c r="R739" s="67"/>
      <c r="S739" s="67"/>
      <c r="T739" s="67"/>
      <c r="U739" s="118"/>
    </row>
    <row r="740">
      <c r="A740" s="72"/>
      <c r="B740" s="54"/>
      <c r="C740" s="67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67"/>
      <c r="R740" s="67"/>
      <c r="S740" s="67"/>
      <c r="T740" s="67"/>
      <c r="U740" s="118"/>
    </row>
    <row r="741">
      <c r="A741" s="72"/>
      <c r="B741" s="54"/>
      <c r="C741" s="67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67"/>
      <c r="R741" s="67"/>
      <c r="S741" s="67"/>
      <c r="T741" s="67"/>
      <c r="U741" s="118"/>
    </row>
    <row r="742">
      <c r="A742" s="72"/>
      <c r="B742" s="54"/>
      <c r="C742" s="67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67"/>
      <c r="R742" s="67"/>
      <c r="S742" s="67"/>
      <c r="T742" s="67"/>
      <c r="U742" s="118"/>
    </row>
    <row r="743">
      <c r="A743" s="72"/>
      <c r="B743" s="54"/>
      <c r="C743" s="67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67"/>
      <c r="R743" s="67"/>
      <c r="S743" s="67"/>
      <c r="T743" s="67"/>
      <c r="U743" s="118"/>
    </row>
    <row r="744">
      <c r="A744" s="72"/>
      <c r="B744" s="54"/>
      <c r="C744" s="67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67"/>
      <c r="R744" s="67"/>
      <c r="S744" s="67"/>
      <c r="T744" s="67"/>
      <c r="U744" s="118"/>
    </row>
    <row r="745">
      <c r="A745" s="72"/>
      <c r="B745" s="54"/>
      <c r="C745" s="67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67"/>
      <c r="R745" s="67"/>
      <c r="S745" s="67"/>
      <c r="T745" s="67"/>
      <c r="U745" s="118"/>
    </row>
    <row r="746">
      <c r="A746" s="72"/>
      <c r="B746" s="54"/>
      <c r="C746" s="67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67"/>
      <c r="R746" s="67"/>
      <c r="S746" s="67"/>
      <c r="T746" s="67"/>
      <c r="U746" s="118"/>
    </row>
    <row r="747">
      <c r="A747" s="72"/>
      <c r="B747" s="54"/>
      <c r="C747" s="67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67"/>
      <c r="R747" s="67"/>
      <c r="S747" s="67"/>
      <c r="T747" s="67"/>
      <c r="U747" s="118"/>
    </row>
    <row r="748">
      <c r="A748" s="72"/>
      <c r="B748" s="54"/>
      <c r="C748" s="67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67"/>
      <c r="R748" s="67"/>
      <c r="S748" s="67"/>
      <c r="T748" s="67"/>
      <c r="U748" s="118"/>
    </row>
    <row r="749">
      <c r="A749" s="72"/>
      <c r="B749" s="54"/>
      <c r="C749" s="67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67"/>
      <c r="R749" s="67"/>
      <c r="S749" s="67"/>
      <c r="T749" s="67"/>
      <c r="U749" s="118"/>
    </row>
    <row r="750">
      <c r="A750" s="72"/>
      <c r="B750" s="54"/>
      <c r="C750" s="67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67"/>
      <c r="R750" s="67"/>
      <c r="S750" s="67"/>
      <c r="T750" s="67"/>
      <c r="U750" s="118"/>
    </row>
    <row r="751">
      <c r="A751" s="72"/>
      <c r="B751" s="54"/>
      <c r="C751" s="67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67"/>
      <c r="R751" s="67"/>
      <c r="S751" s="67"/>
      <c r="T751" s="67"/>
      <c r="U751" s="118"/>
    </row>
    <row r="752">
      <c r="A752" s="72"/>
      <c r="B752" s="54"/>
      <c r="C752" s="67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67"/>
      <c r="R752" s="67"/>
      <c r="S752" s="67"/>
      <c r="T752" s="67"/>
      <c r="U752" s="118"/>
    </row>
    <row r="753">
      <c r="A753" s="72"/>
      <c r="B753" s="54"/>
      <c r="C753" s="67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67"/>
      <c r="R753" s="67"/>
      <c r="S753" s="67"/>
      <c r="T753" s="67"/>
      <c r="U753" s="118"/>
    </row>
    <row r="754">
      <c r="A754" s="72"/>
      <c r="B754" s="54"/>
      <c r="C754" s="67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67"/>
      <c r="R754" s="67"/>
      <c r="S754" s="67"/>
      <c r="T754" s="67"/>
      <c r="U754" s="118"/>
    </row>
    <row r="755">
      <c r="A755" s="72"/>
      <c r="B755" s="54"/>
      <c r="C755" s="67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67"/>
      <c r="R755" s="67"/>
      <c r="S755" s="67"/>
      <c r="T755" s="67"/>
      <c r="U755" s="118"/>
    </row>
    <row r="756">
      <c r="A756" s="72"/>
      <c r="B756" s="54"/>
      <c r="C756" s="67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67"/>
      <c r="R756" s="67"/>
      <c r="S756" s="67"/>
      <c r="T756" s="67"/>
      <c r="U756" s="118"/>
    </row>
    <row r="757">
      <c r="A757" s="72"/>
      <c r="B757" s="54"/>
      <c r="C757" s="67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67"/>
      <c r="R757" s="67"/>
      <c r="S757" s="67"/>
      <c r="T757" s="67"/>
      <c r="U757" s="118"/>
    </row>
    <row r="758">
      <c r="A758" s="72"/>
      <c r="B758" s="54"/>
      <c r="C758" s="67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67"/>
      <c r="R758" s="67"/>
      <c r="S758" s="67"/>
      <c r="T758" s="67"/>
      <c r="U758" s="118"/>
    </row>
    <row r="759">
      <c r="A759" s="72"/>
      <c r="B759" s="54"/>
      <c r="C759" s="67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67"/>
      <c r="R759" s="67"/>
      <c r="S759" s="67"/>
      <c r="T759" s="67"/>
      <c r="U759" s="118"/>
    </row>
    <row r="760">
      <c r="A760" s="72"/>
      <c r="B760" s="54"/>
      <c r="C760" s="67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67"/>
      <c r="R760" s="67"/>
      <c r="S760" s="67"/>
      <c r="T760" s="67"/>
      <c r="U760" s="118"/>
    </row>
    <row r="761">
      <c r="A761" s="72"/>
      <c r="B761" s="54"/>
      <c r="C761" s="67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67"/>
      <c r="R761" s="67"/>
      <c r="S761" s="67"/>
      <c r="T761" s="67"/>
      <c r="U761" s="118"/>
    </row>
    <row r="762">
      <c r="A762" s="72"/>
      <c r="B762" s="54"/>
      <c r="C762" s="67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67"/>
      <c r="R762" s="67"/>
      <c r="S762" s="67"/>
      <c r="T762" s="67"/>
      <c r="U762" s="118"/>
    </row>
    <row r="763">
      <c r="A763" s="72"/>
      <c r="B763" s="54"/>
      <c r="C763" s="67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67"/>
      <c r="R763" s="67"/>
      <c r="S763" s="67"/>
      <c r="T763" s="67"/>
      <c r="U763" s="118"/>
    </row>
    <row r="764">
      <c r="A764" s="72"/>
      <c r="B764" s="54"/>
      <c r="C764" s="67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67"/>
      <c r="R764" s="67"/>
      <c r="S764" s="67"/>
      <c r="T764" s="67"/>
      <c r="U764" s="118"/>
    </row>
    <row r="765">
      <c r="A765" s="72"/>
      <c r="B765" s="54"/>
      <c r="C765" s="67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67"/>
      <c r="R765" s="67"/>
      <c r="S765" s="67"/>
      <c r="T765" s="67"/>
      <c r="U765" s="118"/>
    </row>
    <row r="766">
      <c r="A766" s="72"/>
      <c r="B766" s="54"/>
      <c r="C766" s="67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67"/>
      <c r="R766" s="67"/>
      <c r="S766" s="67"/>
      <c r="T766" s="67"/>
      <c r="U766" s="118"/>
    </row>
    <row r="767">
      <c r="A767" s="72"/>
      <c r="B767" s="54"/>
      <c r="C767" s="67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67"/>
      <c r="R767" s="67"/>
      <c r="S767" s="67"/>
      <c r="T767" s="67"/>
      <c r="U767" s="118"/>
    </row>
  </sheetData>
  <dataValidations>
    <dataValidation type="list" allowBlank="1" showErrorMessage="1" sqref="D9:D767">
      <formula1>Data!$C$2:$C767</formula1>
    </dataValidation>
    <dataValidation type="list" allowBlank="1" showErrorMessage="1" sqref="E9:E767">
      <formula1>Data!$D$2:$D767</formula1>
    </dataValidation>
    <dataValidation type="list" allowBlank="1" showErrorMessage="1" sqref="N9:N767">
      <formula1>Data!$K$3:$K767</formula1>
    </dataValidation>
    <dataValidation type="list" allowBlank="1" showErrorMessage="1" sqref="B19 B25:B44 B60 B68 B73 B76 B83 B96 B104:B767">
      <formula1>Data!$A$2:$A767</formula1>
    </dataValidation>
    <dataValidation type="list" allowBlank="1" showErrorMessage="1" sqref="O9:O767">
      <formula1>Data!$O$2:$O767</formula1>
    </dataValidation>
    <dataValidation type="list" allowBlank="1" showErrorMessage="1" sqref="M9:M767">
      <formula1>Data!$P$2:$P767</formula1>
    </dataValidation>
    <dataValidation type="custom" allowBlank="1" showDropDown="1" sqref="A9:A767">
      <formula1>OR(NOT(ISERROR(DATEVALUE(A9))), AND(ISNUMBER(A9), LEFT(CELL("format", A9))="D"))</formula1>
    </dataValidation>
    <dataValidation type="list" allowBlank="1" showErrorMessage="1" sqref="L9:L767">
      <formula1>Data!$I$2:$I767</formula1>
    </dataValidation>
    <dataValidation type="list" allowBlank="1" showErrorMessage="1" sqref="F9:F767">
      <formula1>Data!$F$2:$F767</formula1>
    </dataValidation>
    <dataValidation type="list" allowBlank="1" showErrorMessage="1" sqref="H9:H767">
      <formula1>Data!$H$2:$H767</formula1>
    </dataValidation>
    <dataValidation type="list" allowBlank="1" showErrorMessage="1" sqref="P9:P767">
      <formula1>Data!$M$2:$M767</formula1>
    </dataValidation>
  </dataValidations>
  <hyperlinks>
    <hyperlink r:id="rId1" ref="C3"/>
    <hyperlink r:id="rId2" ref="B9"/>
    <hyperlink r:id="rId3" ref="U9"/>
    <hyperlink r:id="rId4" ref="B10"/>
    <hyperlink r:id="rId5" ref="T10"/>
    <hyperlink r:id="rId6" ref="U10"/>
    <hyperlink r:id="rId7" ref="B11"/>
    <hyperlink r:id="rId8" ref="T11"/>
    <hyperlink r:id="rId9" ref="U11"/>
    <hyperlink r:id="rId10" ref="B12"/>
    <hyperlink r:id="rId11" ref="T12"/>
    <hyperlink r:id="rId12" ref="U12"/>
    <hyperlink r:id="rId13" ref="B13"/>
    <hyperlink r:id="rId14" ref="T13"/>
    <hyperlink r:id="rId15" ref="B14"/>
    <hyperlink r:id="rId16" ref="T14"/>
    <hyperlink r:id="rId17" ref="U14"/>
    <hyperlink r:id="rId18" ref="B15"/>
    <hyperlink r:id="rId19" ref="T15"/>
    <hyperlink r:id="rId20" ref="U15"/>
    <hyperlink r:id="rId21" ref="B16"/>
    <hyperlink r:id="rId22" ref="T16"/>
    <hyperlink r:id="rId23" ref="U16"/>
    <hyperlink r:id="rId24" ref="B17"/>
    <hyperlink r:id="rId25" ref="T17"/>
    <hyperlink r:id="rId26" ref="U17"/>
    <hyperlink r:id="rId27" ref="B18"/>
    <hyperlink r:id="rId28" ref="T18"/>
    <hyperlink r:id="rId29" ref="U18"/>
    <hyperlink r:id="rId30" ref="B19"/>
    <hyperlink r:id="rId31" ref="T19"/>
    <hyperlink r:id="rId32" ref="U19"/>
    <hyperlink r:id="rId33" ref="B20"/>
    <hyperlink r:id="rId34" ref="T20"/>
    <hyperlink r:id="rId35" ref="U20"/>
    <hyperlink r:id="rId36" ref="B21"/>
    <hyperlink r:id="rId37" ref="T21"/>
    <hyperlink r:id="rId38" ref="U21"/>
    <hyperlink r:id="rId39" ref="B22"/>
    <hyperlink r:id="rId40" ref="T22"/>
    <hyperlink r:id="rId41" ref="U22"/>
    <hyperlink r:id="rId42" ref="B23"/>
    <hyperlink r:id="rId43" ref="T23"/>
    <hyperlink r:id="rId44" ref="U23"/>
    <hyperlink r:id="rId45" ref="B24"/>
    <hyperlink r:id="rId46" ref="T24"/>
    <hyperlink r:id="rId47" ref="U24"/>
    <hyperlink r:id="rId48" ref="B25"/>
    <hyperlink r:id="rId49" ref="T25"/>
    <hyperlink r:id="rId50" ref="U25"/>
    <hyperlink r:id="rId51" ref="B26"/>
    <hyperlink r:id="rId52" ref="T26"/>
    <hyperlink r:id="rId53" ref="U26"/>
    <hyperlink r:id="rId54" ref="B27"/>
    <hyperlink r:id="rId55" ref="T27"/>
    <hyperlink r:id="rId56" ref="U27"/>
    <hyperlink r:id="rId57" ref="B28"/>
    <hyperlink r:id="rId58" ref="T28"/>
    <hyperlink r:id="rId59" ref="U28"/>
    <hyperlink r:id="rId60" ref="B29"/>
    <hyperlink r:id="rId61" ref="T29"/>
    <hyperlink r:id="rId62" ref="U29"/>
    <hyperlink r:id="rId63" ref="B30"/>
    <hyperlink r:id="rId64" ref="T30"/>
    <hyperlink r:id="rId65" ref="U30"/>
    <hyperlink r:id="rId66" ref="B31"/>
    <hyperlink r:id="rId67" ref="T31"/>
    <hyperlink r:id="rId68" ref="U31"/>
    <hyperlink r:id="rId69" ref="B32"/>
    <hyperlink r:id="rId70" ref="T32"/>
    <hyperlink r:id="rId71" ref="U32"/>
    <hyperlink r:id="rId72" ref="B33"/>
    <hyperlink r:id="rId73" ref="T33"/>
    <hyperlink r:id="rId74" ref="U33"/>
    <hyperlink r:id="rId75" ref="B34"/>
    <hyperlink r:id="rId76" ref="T34"/>
    <hyperlink r:id="rId77" ref="U34"/>
    <hyperlink r:id="rId78" ref="B35"/>
    <hyperlink r:id="rId79" ref="T35"/>
    <hyperlink r:id="rId80" ref="U35"/>
    <hyperlink r:id="rId81" ref="B36"/>
    <hyperlink r:id="rId82" ref="T36"/>
    <hyperlink r:id="rId83" ref="U36"/>
    <hyperlink r:id="rId84" ref="B37"/>
    <hyperlink r:id="rId85" ref="T37"/>
    <hyperlink r:id="rId86" ref="U37"/>
    <hyperlink r:id="rId87" ref="B38"/>
    <hyperlink r:id="rId88" ref="T38"/>
    <hyperlink r:id="rId89" ref="U38"/>
    <hyperlink r:id="rId90" ref="B39"/>
    <hyperlink r:id="rId91" ref="T39"/>
    <hyperlink r:id="rId92" ref="U39"/>
    <hyperlink r:id="rId93" ref="B40"/>
    <hyperlink r:id="rId94" ref="T40"/>
    <hyperlink r:id="rId95" ref="U40"/>
    <hyperlink r:id="rId96" ref="B41"/>
    <hyperlink r:id="rId97" ref="T41"/>
    <hyperlink r:id="rId98" ref="U41"/>
    <hyperlink r:id="rId99" ref="B42"/>
    <hyperlink r:id="rId100" ref="T42"/>
    <hyperlink r:id="rId101" ref="B43"/>
    <hyperlink r:id="rId102" ref="T43"/>
    <hyperlink r:id="rId103" ref="B44"/>
    <hyperlink r:id="rId104" ref="T44"/>
    <hyperlink r:id="rId105" ref="U44"/>
    <hyperlink r:id="rId106" ref="B45"/>
    <hyperlink r:id="rId107" ref="T45"/>
    <hyperlink r:id="rId108" ref="U45"/>
    <hyperlink r:id="rId109" ref="B46"/>
    <hyperlink r:id="rId110" ref="T46"/>
    <hyperlink r:id="rId111" ref="B47"/>
    <hyperlink r:id="rId112" ref="T47"/>
    <hyperlink r:id="rId113" ref="U47"/>
    <hyperlink r:id="rId114" ref="B48"/>
    <hyperlink r:id="rId115" ref="T48"/>
    <hyperlink r:id="rId116" ref="U48"/>
    <hyperlink r:id="rId117" ref="B49"/>
    <hyperlink r:id="rId118" ref="T49"/>
    <hyperlink r:id="rId119" ref="U49"/>
    <hyperlink r:id="rId120" ref="B50"/>
    <hyperlink r:id="rId121" ref="T50"/>
    <hyperlink r:id="rId122" ref="U50"/>
    <hyperlink r:id="rId123" ref="B51"/>
    <hyperlink r:id="rId124" ref="T51"/>
    <hyperlink r:id="rId125" ref="U51"/>
    <hyperlink r:id="rId126" ref="B52"/>
    <hyperlink r:id="rId127" ref="T52"/>
    <hyperlink r:id="rId128" ref="U52"/>
    <hyperlink r:id="rId129" ref="B53"/>
    <hyperlink r:id="rId130" ref="T53"/>
    <hyperlink r:id="rId131" ref="U53"/>
    <hyperlink r:id="rId132" ref="B54"/>
    <hyperlink r:id="rId133" ref="T54"/>
    <hyperlink r:id="rId134" ref="U54"/>
    <hyperlink r:id="rId135" ref="B55"/>
    <hyperlink r:id="rId136" ref="T55"/>
    <hyperlink r:id="rId137" ref="U55"/>
    <hyperlink r:id="rId138" ref="B56"/>
    <hyperlink r:id="rId139" ref="T56"/>
    <hyperlink r:id="rId140" ref="U56"/>
  </hyperlinks>
  <drawing r:id="rId14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2.63"/>
    <col customWidth="1" min="2" max="2" width="37.5"/>
    <col customWidth="1" min="5" max="5" width="13.88"/>
    <col customWidth="1" min="9" max="9" width="31.88"/>
    <col customWidth="1" min="17" max="17" width="34.5"/>
    <col customWidth="1" min="18" max="18" width="26.0"/>
    <col customWidth="1" min="20" max="20" width="25.63"/>
  </cols>
  <sheetData>
    <row r="1" hidden="1">
      <c r="A1" s="1"/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/>
      <c r="H1" s="5" t="s">
        <v>6</v>
      </c>
      <c r="I1" s="5" t="s">
        <v>7</v>
      </c>
      <c r="J1" s="5" t="s">
        <v>9</v>
      </c>
      <c r="K1" s="5"/>
      <c r="L1" s="7"/>
      <c r="M1" s="7"/>
      <c r="N1" s="7"/>
      <c r="O1" s="7"/>
      <c r="P1" s="7"/>
      <c r="Q1" s="7"/>
      <c r="R1" s="7"/>
      <c r="S1" s="7"/>
      <c r="T1" s="7"/>
      <c r="U1" s="97"/>
    </row>
    <row r="2" hidden="1">
      <c r="A2" s="1"/>
      <c r="B2" s="10" t="s">
        <v>12</v>
      </c>
      <c r="C2" s="10" t="s">
        <v>8</v>
      </c>
      <c r="D2" s="10" t="s">
        <v>10</v>
      </c>
      <c r="E2" s="10" t="s">
        <v>16</v>
      </c>
      <c r="F2" s="10" t="s">
        <v>17</v>
      </c>
      <c r="G2" s="10"/>
      <c r="H2" s="11" t="s">
        <v>15</v>
      </c>
      <c r="I2" s="10" t="s">
        <v>22</v>
      </c>
      <c r="J2" s="10" t="s">
        <v>1</v>
      </c>
      <c r="K2" s="10"/>
      <c r="L2" s="10" t="s">
        <v>2</v>
      </c>
      <c r="M2" s="10" t="s">
        <v>24</v>
      </c>
      <c r="N2" s="10" t="s">
        <v>4</v>
      </c>
      <c r="O2" s="12" t="s">
        <v>23</v>
      </c>
      <c r="P2" s="10" t="s">
        <v>5</v>
      </c>
      <c r="Q2" s="13" t="s">
        <v>29</v>
      </c>
      <c r="R2" s="13" t="s">
        <v>31</v>
      </c>
      <c r="S2" s="13" t="s">
        <v>15</v>
      </c>
      <c r="T2" s="14" t="s">
        <v>32</v>
      </c>
      <c r="U2" s="98"/>
    </row>
    <row r="3" hidden="1">
      <c r="A3" s="1"/>
      <c r="B3" s="16">
        <v>221118.0</v>
      </c>
      <c r="C3" s="20" t="s">
        <v>35</v>
      </c>
      <c r="D3" s="22"/>
      <c r="E3" s="22" t="s">
        <v>37</v>
      </c>
      <c r="F3" s="22" t="s">
        <v>39</v>
      </c>
      <c r="G3" s="22"/>
      <c r="H3" s="24" t="s">
        <v>40</v>
      </c>
      <c r="I3" s="22" t="s">
        <v>41</v>
      </c>
      <c r="J3" s="22" t="s">
        <v>42</v>
      </c>
      <c r="K3" s="22"/>
      <c r="L3" s="22" t="s">
        <v>43</v>
      </c>
      <c r="M3" s="22" t="s">
        <v>45</v>
      </c>
      <c r="N3" s="22" t="s">
        <v>46</v>
      </c>
      <c r="O3" s="22"/>
      <c r="P3" s="22" t="s">
        <v>47</v>
      </c>
      <c r="Q3" s="24" t="str">
        <f>J3</f>
        <v>Facebook</v>
      </c>
      <c r="R3" s="26" t="str">
        <f>L3</f>
        <v>FA</v>
      </c>
      <c r="S3" s="28" t="str">
        <f>CONCATENATE(E3,"_",N3,"_",L3,"_",M3,"_",B3,"_",P3)</f>
        <v>Rongfly_HN_FA_TAH_221118_Badt</v>
      </c>
      <c r="T3" s="28" t="str">
        <f>CONCATENATE(F3,"_",E3,B3,"_",P3)</f>
        <v>sinhvien1823_Rongfly221118_Badt</v>
      </c>
      <c r="U3" s="99"/>
    </row>
    <row r="4" hidden="1">
      <c r="A4" s="1"/>
      <c r="B4" s="7"/>
      <c r="C4" s="7"/>
      <c r="D4" s="17"/>
      <c r="E4" s="32" t="s">
        <v>48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97"/>
    </row>
    <row r="5" hidden="1">
      <c r="A5" s="1"/>
      <c r="B5" s="7"/>
      <c r="C5" s="7"/>
      <c r="D5" s="35"/>
      <c r="E5" s="32" t="s">
        <v>49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97"/>
    </row>
    <row r="6" hidden="1">
      <c r="A6" s="1"/>
      <c r="B6" s="7"/>
      <c r="C6" s="7"/>
      <c r="D6" s="36"/>
      <c r="E6" s="37" t="s">
        <v>50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97"/>
    </row>
    <row r="7">
      <c r="A7" s="6" t="s">
        <v>0</v>
      </c>
      <c r="B7" s="6" t="s">
        <v>8</v>
      </c>
      <c r="C7" s="39" t="s">
        <v>10</v>
      </c>
      <c r="D7" s="6" t="s">
        <v>1</v>
      </c>
      <c r="E7" s="6" t="s">
        <v>2</v>
      </c>
      <c r="F7" s="6" t="s">
        <v>4</v>
      </c>
      <c r="G7" s="9" t="s">
        <v>11</v>
      </c>
      <c r="H7" s="6" t="s">
        <v>13</v>
      </c>
      <c r="I7" s="6" t="s">
        <v>14</v>
      </c>
      <c r="J7" s="39" t="s">
        <v>15</v>
      </c>
      <c r="K7" s="42" t="s">
        <v>18</v>
      </c>
      <c r="L7" s="39" t="s">
        <v>19</v>
      </c>
      <c r="M7" s="39" t="s">
        <v>20</v>
      </c>
      <c r="N7" s="39" t="s">
        <v>21</v>
      </c>
      <c r="O7" s="42" t="s">
        <v>23</v>
      </c>
      <c r="P7" s="39" t="s">
        <v>25</v>
      </c>
      <c r="Q7" s="6" t="s">
        <v>26</v>
      </c>
      <c r="R7" s="6" t="s">
        <v>27</v>
      </c>
      <c r="S7" s="6" t="s">
        <v>54</v>
      </c>
      <c r="T7" s="39" t="s">
        <v>30</v>
      </c>
      <c r="U7" s="100" t="s">
        <v>1125</v>
      </c>
    </row>
    <row r="8">
      <c r="A8" s="45" t="s">
        <v>33</v>
      </c>
      <c r="B8" s="17" t="s">
        <v>34</v>
      </c>
      <c r="C8" s="46" t="s">
        <v>55</v>
      </c>
      <c r="D8" s="19" t="s">
        <v>36</v>
      </c>
      <c r="E8" s="21" t="s">
        <v>36</v>
      </c>
      <c r="F8" s="19" t="s">
        <v>36</v>
      </c>
      <c r="G8" s="47"/>
      <c r="H8" s="19" t="s">
        <v>36</v>
      </c>
      <c r="I8" s="25" t="s">
        <v>1126</v>
      </c>
      <c r="J8" s="25" t="s">
        <v>44</v>
      </c>
      <c r="K8" s="23" t="s">
        <v>38</v>
      </c>
      <c r="L8" s="19" t="s">
        <v>36</v>
      </c>
      <c r="M8" s="19" t="s">
        <v>36</v>
      </c>
      <c r="N8" s="19" t="s">
        <v>36</v>
      </c>
      <c r="O8" s="19" t="s">
        <v>36</v>
      </c>
      <c r="P8" s="19" t="s">
        <v>36</v>
      </c>
      <c r="Q8" s="47" t="s">
        <v>62</v>
      </c>
      <c r="R8" s="47" t="s">
        <v>63</v>
      </c>
      <c r="S8" s="48" t="s">
        <v>64</v>
      </c>
      <c r="T8" s="49" t="s">
        <v>67</v>
      </c>
      <c r="U8" s="101"/>
    </row>
    <row r="9">
      <c r="A9" s="50">
        <v>44183.0</v>
      </c>
      <c r="B9" s="43" t="s">
        <v>73</v>
      </c>
      <c r="C9" s="58" t="str">
        <f>IFERROR(__xludf.DUMMYFUNCTION("FILTER(VLOOKUP(B9:B727,Data!A:B,2,FALSE),B9:B727&lt;&gt;"""")"),"LD012")</f>
        <v>LD012</v>
      </c>
      <c r="D9" s="44" t="s">
        <v>42</v>
      </c>
      <c r="E9" s="44" t="s">
        <v>53</v>
      </c>
      <c r="F9" s="44" t="s">
        <v>60</v>
      </c>
      <c r="G9" s="44" t="s">
        <v>61</v>
      </c>
      <c r="H9" s="44" t="s">
        <v>1131</v>
      </c>
      <c r="I9" s="44" t="s">
        <v>1132</v>
      </c>
      <c r="J9" s="44" t="s">
        <v>88</v>
      </c>
      <c r="K9" s="44" t="s">
        <v>61</v>
      </c>
      <c r="L9" s="44" t="s">
        <v>70</v>
      </c>
      <c r="M9" s="44" t="s">
        <v>116</v>
      </c>
      <c r="N9" s="44" t="s">
        <v>70</v>
      </c>
      <c r="O9" s="44" t="s">
        <v>70</v>
      </c>
      <c r="P9" s="44" t="s">
        <v>70</v>
      </c>
      <c r="Q9" s="58" t="str">
        <f>IFERROR(__xludf.DUMMYFUNCTION("FILTER(IF( A9:A727&lt;&gt;"""",IF(H9:H727&lt;&gt;"""",IF(I9:I727&lt;&gt;"""",IF(L9:L727&lt;&gt;"""",IF(N9:N727&lt;&gt;"""",I9:I727&amp;""_""&amp;L9:L727&amp;""_""&amp;N9:N727&amp;""_""&amp;H9:H727&amp;""_""&amp;TRIM(A9:A727),""!!!""),""!!!""),""!!!""),""!!!""),""!!!""),B9:B727&lt;&gt;"""")"),"Blog_NON_NON_HuyLG_181220")</f>
        <v>Blog_NON_NON_HuyLG_181220</v>
      </c>
      <c r="R9" s="58" t="str">
        <f>IFERROR(__xludf.DUMMYFUNCTION("FILTER(IF( A9:A727&lt;&gt;"""",IF(P9:P727&lt;&gt;"""",IF(F9:F727&lt;&gt;"""",IF(G9:G727&lt;&gt;"""",IF(K9:K727&lt;&gt;"""",P9:P727&amp;""_""&amp;F9:F727&amp;""_""&amp;G9:G727&amp;""_""&amp;K9:K727&amp;""_""&amp;TRIM(A9:A727),""!!!""),""!!!""),""!!!""),""!!!""),""!!!""),B9:B727&lt;&gt;"""")"),"NON_NONE_none_none_181220")</f>
        <v>NON_NONE_none_none_181220</v>
      </c>
      <c r="S9" s="58" t="str">
        <f>IFERROR(__xludf.DUMMYFUNCTION("FILTER(IF( M9:M727&lt;&gt;"""",IF(J9:J727&lt;&gt;"""",IF(O9:O727&lt;&gt;"""",IF(C9:C727&lt;&gt;"""",M9:M727&amp;""_""&amp;J9:J727&amp;""_""&amp;O9:O727&amp;""_""&amp;C9:C727,""!!!""),""!!!""),""!!!""),""!!!""),B9:B727&lt;&gt;"""")"),"khac_Content2_NON_LD012")</f>
        <v>khac_Content2_NON_LD012</v>
      </c>
      <c r="T9" s="103" t="str">
        <f>IFERROR(__xludf.DUMMYFUNCTION("FILTER(B9:B727&amp;if(right(B9:B727,1)=""/"",""?"",""/?"")&amp;""utm_source=""&amp;D9:D727&amp;""&amp;utm_medium=""&amp;E9:E727&amp;""&amp;utm_term=""&amp;R9:R727&amp;""&amp;utm_content=""&amp;S9:S727&amp;""&amp;utm_campaign=""&amp;Q9:Q727,B9:B727&lt;&gt;"""")"),"https://patadovietnam.edu.vn/blog/?utm_source=Facebook&amp;utm_medium=SEE&amp;utm_term=NON_NONE_none_none_181220&amp;utm_content=khac_Content2_NON_LD012&amp;utm_campaign=Blog_NON_NON_HuyLG_181220")</f>
        <v>https://patadovietnam.edu.vn/blog/?utm_source=Facebook&amp;utm_medium=SEE&amp;utm_term=NON_NONE_none_none_181220&amp;utm_content=khac_Content2_NON_LD012&amp;utm_campaign=Blog_NON_NON_HuyLG_181220</v>
      </c>
      <c r="U9" s="97"/>
    </row>
    <row r="10">
      <c r="A10" s="72">
        <v>45369.0</v>
      </c>
      <c r="B10" s="60" t="s">
        <v>6176</v>
      </c>
      <c r="C10" s="67" t="str">
        <f>IFERROR(__xludf.DUMMYFUNCTION("""COMPUTED_VALUE"""),"LD219")</f>
        <v>LD219</v>
      </c>
      <c r="D10" s="55" t="s">
        <v>42</v>
      </c>
      <c r="E10" s="55" t="s">
        <v>79</v>
      </c>
      <c r="F10" s="55" t="s">
        <v>3556</v>
      </c>
      <c r="G10" s="55">
        <v>2240.0</v>
      </c>
      <c r="H10" s="55" t="s">
        <v>6179</v>
      </c>
      <c r="I10" s="55" t="s">
        <v>6180</v>
      </c>
      <c r="J10" s="233" t="s">
        <v>6182</v>
      </c>
      <c r="K10" s="55" t="s">
        <v>61</v>
      </c>
      <c r="L10" s="55" t="s">
        <v>3607</v>
      </c>
      <c r="M10" s="55" t="s">
        <v>78</v>
      </c>
      <c r="N10" s="55" t="s">
        <v>79</v>
      </c>
      <c r="O10" s="55" t="s">
        <v>218</v>
      </c>
      <c r="P10" s="55" t="s">
        <v>110</v>
      </c>
      <c r="Q10" s="67" t="str">
        <f>IFERROR(__xludf.DUMMYFUNCTION("""COMPUTED_VALUE"""),"Ireland.giaotiep.M26C138_SCB.9889_MES_AnhDP_180324")</f>
        <v>Ireland.giaotiep.M26C138_SCB.9889_MES_AnhDP_180324</v>
      </c>
      <c r="R10" s="67" t="str">
        <f>IFERROR(__xludf.DUMMYFUNCTION("""COMPUTED_VALUE"""),"NEW_Ireland_2240_none_180324")</f>
        <v>NEW_Ireland_2240_none_180324</v>
      </c>
      <c r="S10" s="67" t="str">
        <f>IFERROR(__xludf.DUMMYFUNCTION("""COMPUTED_VALUE"""),"saletructiep_Ireland.M26C138.2240.giaotiep_PTATTNDL_LD219")</f>
        <v>saletructiep_Ireland.M26C138.2240.giaotiep_PTATTNDL_LD219</v>
      </c>
      <c r="T10" s="107" t="str">
        <f>IFERROR(__xludf.DUMMYFUNCTION("""COMPUTED_VALUE"""),"https://patadovietnam.edu.vn/tienganhgiaotiep_adp/?utm_source=Facebook&amp;utm_medium=MES&amp;utm_term=NEW_Ireland_2240_none_180324&amp;utm_content=saletructiep_Ireland.M26C138.2240.giaotiep_PTATTNDL_LD219&amp;utm_campaign=Ireland.giaotiep.M26C138_SCB.9889_MES_AnhDP_1803"&amp;"24")</f>
        <v>https://patadovietnam.edu.vn/tienganhgiaotiep_adp/?utm_source=Facebook&amp;utm_medium=MES&amp;utm_term=NEW_Ireland_2240_none_180324&amp;utm_content=saletructiep_Ireland.M26C138.2240.giaotiep_PTATTNDL_LD219&amp;utm_campaign=Ireland.giaotiep.M26C138_SCB.9889_MES_AnhDP_180324</v>
      </c>
      <c r="U10" s="110" t="s">
        <v>6186</v>
      </c>
    </row>
    <row r="11">
      <c r="A11" s="72">
        <v>45369.0</v>
      </c>
      <c r="B11" s="60" t="s">
        <v>6176</v>
      </c>
      <c r="C11" s="67" t="str">
        <f>IFERROR(__xludf.DUMMYFUNCTION("""COMPUTED_VALUE"""),"LD219")</f>
        <v>LD219</v>
      </c>
      <c r="D11" s="55" t="s">
        <v>42</v>
      </c>
      <c r="E11" s="55" t="s">
        <v>79</v>
      </c>
      <c r="F11" s="55" t="s">
        <v>162</v>
      </c>
      <c r="G11" s="55">
        <v>2235.0</v>
      </c>
      <c r="H11" s="55" t="s">
        <v>6179</v>
      </c>
      <c r="I11" s="55" t="s">
        <v>6190</v>
      </c>
      <c r="J11" s="233" t="s">
        <v>6191</v>
      </c>
      <c r="K11" s="55" t="s">
        <v>61</v>
      </c>
      <c r="L11" s="55" t="s">
        <v>3607</v>
      </c>
      <c r="M11" s="55" t="s">
        <v>78</v>
      </c>
      <c r="N11" s="55" t="s">
        <v>79</v>
      </c>
      <c r="O11" s="55" t="s">
        <v>218</v>
      </c>
      <c r="P11" s="55" t="s">
        <v>110</v>
      </c>
      <c r="Q11" s="84" t="str">
        <f>IFERROR(__xludf.DUMMYFUNCTION("""COMPUTED_VALUE"""),"Singapore.giaotiep.M186C156_SCB.9889_MES_AnhDP_180324")</f>
        <v>Singapore.giaotiep.M186C156_SCB.9889_MES_AnhDP_180324</v>
      </c>
      <c r="R11" s="67" t="str">
        <f>IFERROR(__xludf.DUMMYFUNCTION("""COMPUTED_VALUE"""),"NEW_Singapore_2235_none_180324")</f>
        <v>NEW_Singapore_2235_none_180324</v>
      </c>
      <c r="S11" s="67" t="str">
        <f>IFERROR(__xludf.DUMMYFUNCTION("""COMPUTED_VALUE"""),"saletructiep_Singapore.M186C156.2235.giaotiep_PTATTNDL_LD219")</f>
        <v>saletructiep_Singapore.M186C156.2235.giaotiep_PTATTNDL_LD219</v>
      </c>
      <c r="T11" s="107" t="str">
        <f>IFERROR(__xludf.DUMMYFUNCTION("""COMPUTED_VALUE"""),"https://patadovietnam.edu.vn/tienganhgiaotiep_adp/?utm_source=Facebook&amp;utm_medium=MES&amp;utm_term=NEW_Singapore_2235_none_180324&amp;utm_content=saletructiep_Singapore.M186C156.2235.giaotiep_PTATTNDL_LD219&amp;utm_campaign=Singapore.giaotiep.M186C156_SCB.9889_MES_An"&amp;"hDP_180324")</f>
        <v>https://patadovietnam.edu.vn/tienganhgiaotiep_adp/?utm_source=Facebook&amp;utm_medium=MES&amp;utm_term=NEW_Singapore_2235_none_180324&amp;utm_content=saletructiep_Singapore.M186C156.2235.giaotiep_PTATTNDL_LD219&amp;utm_campaign=Singapore.giaotiep.M186C156_SCB.9889_MES_AnhDP_180324</v>
      </c>
      <c r="U11" s="110" t="s">
        <v>6197</v>
      </c>
    </row>
    <row r="12">
      <c r="A12" s="72">
        <v>45369.0</v>
      </c>
      <c r="B12" s="60" t="s">
        <v>6176</v>
      </c>
      <c r="C12" s="67" t="str">
        <f>IFERROR(__xludf.DUMMYFUNCTION("""COMPUTED_VALUE"""),"LD219")</f>
        <v>LD219</v>
      </c>
      <c r="D12" s="55" t="s">
        <v>42</v>
      </c>
      <c r="E12" s="55" t="s">
        <v>79</v>
      </c>
      <c r="F12" s="55" t="s">
        <v>199</v>
      </c>
      <c r="G12" s="55">
        <v>1840.0</v>
      </c>
      <c r="H12" s="55" t="s">
        <v>6179</v>
      </c>
      <c r="I12" s="55" t="s">
        <v>6199</v>
      </c>
      <c r="J12" s="55" t="s">
        <v>6200</v>
      </c>
      <c r="K12" s="55" t="s">
        <v>61</v>
      </c>
      <c r="L12" s="55" t="s">
        <v>3607</v>
      </c>
      <c r="M12" s="55" t="s">
        <v>78</v>
      </c>
      <c r="N12" s="55" t="s">
        <v>79</v>
      </c>
      <c r="O12" s="55" t="s">
        <v>218</v>
      </c>
      <c r="P12" s="55" t="s">
        <v>110</v>
      </c>
      <c r="Q12" s="67" t="str">
        <f>IFERROR(__xludf.DUMMYFUNCTION("""COMPUTED_VALUE"""),"Vietnam.giaotiep.M191C158_SCB.9889_MES_AnhDP_180324")</f>
        <v>Vietnam.giaotiep.M191C158_SCB.9889_MES_AnhDP_180324</v>
      </c>
      <c r="R12" s="67" t="str">
        <f>IFERROR(__xludf.DUMMYFUNCTION("""COMPUTED_VALUE"""),"NEW_Vietnam_1840_none_180324")</f>
        <v>NEW_Vietnam_1840_none_180324</v>
      </c>
      <c r="S12" s="67" t="str">
        <f>IFERROR(__xludf.DUMMYFUNCTION("""COMPUTED_VALUE"""),"saletructiep_Vietnam.M191C158.giaotiep_PTATTNDL_LD219")</f>
        <v>saletructiep_Vietnam.M191C158.giaotiep_PTATTNDL_LD219</v>
      </c>
      <c r="T12" s="107" t="str">
        <f>IFERROR(__xludf.DUMMYFUNCTION("""COMPUTED_VALUE"""),"https://patadovietnam.edu.vn/tienganhgiaotiep_adp/?utm_source=Facebook&amp;utm_medium=MES&amp;utm_term=NEW_Vietnam_1840_none_180324&amp;utm_content=saletructiep_Vietnam.M191C158.giaotiep_PTATTNDL_LD219&amp;utm_campaign=Vietnam.giaotiep.M191C158_SCB.9889_MES_AnhDP_180324")</f>
        <v>https://patadovietnam.edu.vn/tienganhgiaotiep_adp/?utm_source=Facebook&amp;utm_medium=MES&amp;utm_term=NEW_Vietnam_1840_none_180324&amp;utm_content=saletructiep_Vietnam.M191C158.giaotiep_PTATTNDL_LD219&amp;utm_campaign=Vietnam.giaotiep.M191C158_SCB.9889_MES_AnhDP_180324</v>
      </c>
      <c r="U12" s="110" t="s">
        <v>6206</v>
      </c>
    </row>
    <row r="13">
      <c r="A13" s="72">
        <v>45369.0</v>
      </c>
      <c r="B13" s="60" t="s">
        <v>6176</v>
      </c>
      <c r="C13" s="67" t="str">
        <f>IFERROR(__xludf.DUMMYFUNCTION("""COMPUTED_VALUE"""),"LD219")</f>
        <v>LD219</v>
      </c>
      <c r="D13" s="55" t="s">
        <v>42</v>
      </c>
      <c r="E13" s="55" t="s">
        <v>79</v>
      </c>
      <c r="F13" s="55" t="s">
        <v>129</v>
      </c>
      <c r="G13" s="55">
        <v>1830.0</v>
      </c>
      <c r="H13" s="55" t="s">
        <v>6179</v>
      </c>
      <c r="I13" s="55" t="s">
        <v>6208</v>
      </c>
      <c r="J13" s="55" t="s">
        <v>6209</v>
      </c>
      <c r="K13" s="55" t="s">
        <v>61</v>
      </c>
      <c r="L13" s="55" t="s">
        <v>3607</v>
      </c>
      <c r="M13" s="55" t="s">
        <v>78</v>
      </c>
      <c r="N13" s="55" t="s">
        <v>79</v>
      </c>
      <c r="O13" s="55" t="s">
        <v>218</v>
      </c>
      <c r="P13" s="55" t="s">
        <v>110</v>
      </c>
      <c r="Q13" s="67" t="str">
        <f>IFERROR(__xludf.DUMMYFUNCTION("""COMPUTED_VALUE"""),"Australia.giaotiep.M187C155_SCB.9889_MES_AnhDP_180324")</f>
        <v>Australia.giaotiep.M187C155_SCB.9889_MES_AnhDP_180324</v>
      </c>
      <c r="R13" s="67" t="str">
        <f>IFERROR(__xludf.DUMMYFUNCTION("""COMPUTED_VALUE"""),"NEW_Australia_1830_none_180324")</f>
        <v>NEW_Australia_1830_none_180324</v>
      </c>
      <c r="S13" s="67" t="str">
        <f>IFERROR(__xludf.DUMMYFUNCTION("""COMPUTED_VALUE"""),"saletructiep_Australia.M187C155.giaotiep_PTATTNDL_LD219")</f>
        <v>saletructiep_Australia.M187C155.giaotiep_PTATTNDL_LD219</v>
      </c>
      <c r="T13" s="107" t="str">
        <f>IFERROR(__xludf.DUMMYFUNCTION("""COMPUTED_VALUE"""),"https://patadovietnam.edu.vn/tienganhgiaotiep_adp/?utm_source=Facebook&amp;utm_medium=MES&amp;utm_term=NEW_Australia_1830_none_180324&amp;utm_content=saletructiep_Australia.M187C155.giaotiep_PTATTNDL_LD219&amp;utm_campaign=Australia.giaotiep.M187C155_SCB.9889_MES_AnhDP_1"&amp;"80324")</f>
        <v>https://patadovietnam.edu.vn/tienganhgiaotiep_adp/?utm_source=Facebook&amp;utm_medium=MES&amp;utm_term=NEW_Australia_1830_none_180324&amp;utm_content=saletructiep_Australia.M187C155.giaotiep_PTATTNDL_LD219&amp;utm_campaign=Australia.giaotiep.M187C155_SCB.9889_MES_AnhDP_180324</v>
      </c>
      <c r="U13" s="110" t="s">
        <v>6215</v>
      </c>
    </row>
    <row r="14">
      <c r="A14" s="72">
        <v>45369.0</v>
      </c>
      <c r="B14" s="60" t="s">
        <v>6176</v>
      </c>
      <c r="C14" s="67" t="str">
        <f>IFERROR(__xludf.DUMMYFUNCTION("""COMPUTED_VALUE"""),"LD219")</f>
        <v>LD219</v>
      </c>
      <c r="D14" s="55" t="s">
        <v>42</v>
      </c>
      <c r="E14" s="55" t="s">
        <v>79</v>
      </c>
      <c r="F14" s="55" t="s">
        <v>199</v>
      </c>
      <c r="G14" s="55">
        <v>1840.0</v>
      </c>
      <c r="H14" s="55" t="s">
        <v>6179</v>
      </c>
      <c r="I14" s="55" t="s">
        <v>6217</v>
      </c>
      <c r="J14" s="55" t="s">
        <v>6218</v>
      </c>
      <c r="K14" s="55" t="s">
        <v>61</v>
      </c>
      <c r="L14" s="55" t="s">
        <v>3607</v>
      </c>
      <c r="M14" s="55" t="s">
        <v>78</v>
      </c>
      <c r="N14" s="55" t="s">
        <v>79</v>
      </c>
      <c r="O14" s="55" t="s">
        <v>4350</v>
      </c>
      <c r="P14" s="55" t="s">
        <v>110</v>
      </c>
      <c r="Q14" s="67" t="str">
        <f>IFERROR(__xludf.DUMMYFUNCTION("""COMPUTED_VALUE"""),"Vietnam.giaotiep.M193C160_SCB.9889_MES_AnhDP_180324")</f>
        <v>Vietnam.giaotiep.M193C160_SCB.9889_MES_AnhDP_180324</v>
      </c>
      <c r="R14" s="67" t="str">
        <f>IFERROR(__xludf.DUMMYFUNCTION("""COMPUTED_VALUE"""),"NEW_Vietnam_1840_none_180324")</f>
        <v>NEW_Vietnam_1840_none_180324</v>
      </c>
      <c r="S14" s="67" t="str">
        <f>IFERROR(__xludf.DUMMYFUNCTION("""COMPUTED_VALUE"""),"saletructiep_Vietnam.M193C160.1840.giaotiep_PTATDNDL_LD219")</f>
        <v>saletructiep_Vietnam.M193C160.1840.giaotiep_PTATDNDL_LD219</v>
      </c>
      <c r="T14" s="107" t="str">
        <f>IFERROR(__xludf.DUMMYFUNCTION("""COMPUTED_VALUE"""),"https://patadovietnam.edu.vn/tienganhgiaotiep_adp/?utm_source=Facebook&amp;utm_medium=MES&amp;utm_term=NEW_Vietnam_1840_none_180324&amp;utm_content=saletructiep_Vietnam.M193C160.1840.giaotiep_PTATDNDL_LD219&amp;utm_campaign=Vietnam.giaotiep.M193C160_SCB.9889_MES_AnhDP_18"&amp;"0324")</f>
        <v>https://patadovietnam.edu.vn/tienganhgiaotiep_adp/?utm_source=Facebook&amp;utm_medium=MES&amp;utm_term=NEW_Vietnam_1840_none_180324&amp;utm_content=saletructiep_Vietnam.M193C160.1840.giaotiep_PTATDNDL_LD219&amp;utm_campaign=Vietnam.giaotiep.M193C160_SCB.9889_MES_AnhDP_180324</v>
      </c>
      <c r="U14" s="110" t="s">
        <v>6221</v>
      </c>
    </row>
    <row r="15">
      <c r="A15" s="72">
        <v>45369.0</v>
      </c>
      <c r="B15" s="60" t="s">
        <v>6176</v>
      </c>
      <c r="C15" s="67" t="str">
        <f>IFERROR(__xludf.DUMMYFUNCTION("""COMPUTED_VALUE"""),"LD219")</f>
        <v>LD219</v>
      </c>
      <c r="D15" s="55" t="s">
        <v>42</v>
      </c>
      <c r="E15" s="55" t="s">
        <v>79</v>
      </c>
      <c r="F15" s="55" t="s">
        <v>112</v>
      </c>
      <c r="G15" s="55">
        <v>1830.0</v>
      </c>
      <c r="H15" s="55" t="s">
        <v>6179</v>
      </c>
      <c r="I15" s="55" t="s">
        <v>6223</v>
      </c>
      <c r="J15" s="55" t="s">
        <v>6224</v>
      </c>
      <c r="K15" s="55" t="s">
        <v>61</v>
      </c>
      <c r="L15" s="55" t="s">
        <v>3607</v>
      </c>
      <c r="M15" s="55" t="s">
        <v>78</v>
      </c>
      <c r="N15" s="55" t="s">
        <v>79</v>
      </c>
      <c r="O15" s="55" t="s">
        <v>4350</v>
      </c>
      <c r="P15" s="55" t="s">
        <v>110</v>
      </c>
      <c r="Q15" s="67" t="str">
        <f>IFERROR(__xludf.DUMMYFUNCTION("""COMPUTED_VALUE"""),"Canada.giaotiep.M39C21_SCB.9889_MES_AnhDP_180324")</f>
        <v>Canada.giaotiep.M39C21_SCB.9889_MES_AnhDP_180324</v>
      </c>
      <c r="R15" s="67" t="str">
        <f>IFERROR(__xludf.DUMMYFUNCTION("""COMPUTED_VALUE"""),"NEW_Canada_1830_none_180324")</f>
        <v>NEW_Canada_1830_none_180324</v>
      </c>
      <c r="S15" s="67" t="str">
        <f>IFERROR(__xludf.DUMMYFUNCTION("""COMPUTED_VALUE"""),"saletructiep_Canada.M39C21.giaotiep_PTATDNDL_LD219")</f>
        <v>saletructiep_Canada.M39C21.giaotiep_PTATDNDL_LD219</v>
      </c>
      <c r="T15" s="107" t="str">
        <f>IFERROR(__xludf.DUMMYFUNCTION("""COMPUTED_VALUE"""),"https://patadovietnam.edu.vn/tienganhgiaotiep_adp/?utm_source=Facebook&amp;utm_medium=MES&amp;utm_term=NEW_Canada_1830_none_180324&amp;utm_content=saletructiep_Canada.M39C21.giaotiep_PTATDNDL_LD219&amp;utm_campaign=Canada.giaotiep.M39C21_SCB.9889_MES_AnhDP_180324")</f>
        <v>https://patadovietnam.edu.vn/tienganhgiaotiep_adp/?utm_source=Facebook&amp;utm_medium=MES&amp;utm_term=NEW_Canada_1830_none_180324&amp;utm_content=saletructiep_Canada.M39C21.giaotiep_PTATDNDL_LD219&amp;utm_campaign=Canada.giaotiep.M39C21_SCB.9889_MES_AnhDP_180324</v>
      </c>
      <c r="U15" s="110" t="s">
        <v>6230</v>
      </c>
    </row>
    <row r="16">
      <c r="A16" s="72">
        <v>45372.0</v>
      </c>
      <c r="B16" s="60" t="s">
        <v>6176</v>
      </c>
      <c r="C16" s="67" t="str">
        <f>IFERROR(__xludf.DUMMYFUNCTION("""COMPUTED_VALUE"""),"LD219")</f>
        <v>LD219</v>
      </c>
      <c r="D16" s="55" t="s">
        <v>42</v>
      </c>
      <c r="E16" s="55" t="s">
        <v>79</v>
      </c>
      <c r="F16" s="55" t="s">
        <v>112</v>
      </c>
      <c r="G16" s="55">
        <v>1830.0</v>
      </c>
      <c r="H16" s="55" t="s">
        <v>6179</v>
      </c>
      <c r="I16" s="55" t="s">
        <v>6231</v>
      </c>
      <c r="J16" s="55" t="s">
        <v>6232</v>
      </c>
      <c r="K16" s="55" t="s">
        <v>61</v>
      </c>
      <c r="L16" s="55" t="s">
        <v>3607</v>
      </c>
      <c r="M16" s="55" t="s">
        <v>78</v>
      </c>
      <c r="N16" s="55" t="s">
        <v>79</v>
      </c>
      <c r="O16" s="55" t="s">
        <v>4350</v>
      </c>
      <c r="P16" s="55" t="s">
        <v>110</v>
      </c>
      <c r="Q16" s="67" t="str">
        <f>IFERROR(__xludf.DUMMYFUNCTION("""COMPUTED_VALUE"""),"Canada.giaotiep.M39C45_SCB.9889_MES_AnhDP_210324")</f>
        <v>Canada.giaotiep.M39C45_SCB.9889_MES_AnhDP_210324</v>
      </c>
      <c r="R16" s="67" t="str">
        <f>IFERROR(__xludf.DUMMYFUNCTION("""COMPUTED_VALUE"""),"NEW_Canada_1830_none_210324")</f>
        <v>NEW_Canada_1830_none_210324</v>
      </c>
      <c r="S16" s="67" t="str">
        <f>IFERROR(__xludf.DUMMYFUNCTION("""COMPUTED_VALUE"""),"saletructiep_Canada.M39C45.giaotiep_PTATDNDL_LD219")</f>
        <v>saletructiep_Canada.M39C45.giaotiep_PTATDNDL_LD219</v>
      </c>
      <c r="T16" s="107" t="str">
        <f>IFERROR(__xludf.DUMMYFUNCTION("""COMPUTED_VALUE"""),"https://patadovietnam.edu.vn/tienganhgiaotiep_adp/?utm_source=Facebook&amp;utm_medium=MES&amp;utm_term=NEW_Canada_1830_none_210324&amp;utm_content=saletructiep_Canada.M39C45.giaotiep_PTATDNDL_LD219&amp;utm_campaign=Canada.giaotiep.M39C45_SCB.9889_MES_AnhDP_210324")</f>
        <v>https://patadovietnam.edu.vn/tienganhgiaotiep_adp/?utm_source=Facebook&amp;utm_medium=MES&amp;utm_term=NEW_Canada_1830_none_210324&amp;utm_content=saletructiep_Canada.M39C45.giaotiep_PTATDNDL_LD219&amp;utm_campaign=Canada.giaotiep.M39C45_SCB.9889_MES_AnhDP_210324</v>
      </c>
      <c r="U16" s="110" t="s">
        <v>6238</v>
      </c>
    </row>
    <row r="17">
      <c r="A17" s="72">
        <v>45372.0</v>
      </c>
      <c r="B17" s="60" t="s">
        <v>6176</v>
      </c>
      <c r="C17" s="67" t="str">
        <f>IFERROR(__xludf.DUMMYFUNCTION("""COMPUTED_VALUE"""),"LD219")</f>
        <v>LD219</v>
      </c>
      <c r="D17" s="55" t="s">
        <v>42</v>
      </c>
      <c r="E17" s="55" t="s">
        <v>79</v>
      </c>
      <c r="F17" s="55" t="s">
        <v>112</v>
      </c>
      <c r="G17" s="55">
        <v>1830.0</v>
      </c>
      <c r="H17" s="55" t="s">
        <v>6179</v>
      </c>
      <c r="I17" s="55" t="s">
        <v>6239</v>
      </c>
      <c r="J17" s="55" t="s">
        <v>6240</v>
      </c>
      <c r="K17" s="55" t="s">
        <v>61</v>
      </c>
      <c r="L17" s="55" t="s">
        <v>3607</v>
      </c>
      <c r="M17" s="55" t="s">
        <v>78</v>
      </c>
      <c r="N17" s="55" t="s">
        <v>79</v>
      </c>
      <c r="O17" s="55" t="s">
        <v>4350</v>
      </c>
      <c r="P17" s="55" t="s">
        <v>110</v>
      </c>
      <c r="Q17" s="67" t="str">
        <f>IFERROR(__xludf.DUMMYFUNCTION("""COMPUTED_VALUE"""),"Canada.giaotiep.M189C45_SCB.9889_MES_AnhDP_210324")</f>
        <v>Canada.giaotiep.M189C45_SCB.9889_MES_AnhDP_210324</v>
      </c>
      <c r="R17" s="67" t="str">
        <f>IFERROR(__xludf.DUMMYFUNCTION("""COMPUTED_VALUE"""),"NEW_Canada_1830_none_210324")</f>
        <v>NEW_Canada_1830_none_210324</v>
      </c>
      <c r="S17" s="67" t="str">
        <f>IFERROR(__xludf.DUMMYFUNCTION("""COMPUTED_VALUE"""),"saletructiep_Canada.M189C45.giaotiep_PTATDNDL_LD219")</f>
        <v>saletructiep_Canada.M189C45.giaotiep_PTATDNDL_LD219</v>
      </c>
      <c r="T17" s="107" t="str">
        <f>IFERROR(__xludf.DUMMYFUNCTION("""COMPUTED_VALUE"""),"https://patadovietnam.edu.vn/tienganhgiaotiep_adp/?utm_source=Facebook&amp;utm_medium=MES&amp;utm_term=NEW_Canada_1830_none_210324&amp;utm_content=saletructiep_Canada.M189C45.giaotiep_PTATDNDL_LD219&amp;utm_campaign=Canada.giaotiep.M189C45_SCB.9889_MES_AnhDP_210324")</f>
        <v>https://patadovietnam.edu.vn/tienganhgiaotiep_adp/?utm_source=Facebook&amp;utm_medium=MES&amp;utm_term=NEW_Canada_1830_none_210324&amp;utm_content=saletructiep_Canada.M189C45.giaotiep_PTATDNDL_LD219&amp;utm_campaign=Canada.giaotiep.M189C45_SCB.9889_MES_AnhDP_210324</v>
      </c>
      <c r="U17" s="111" t="s">
        <v>6246</v>
      </c>
    </row>
    <row r="18">
      <c r="A18" s="72">
        <v>45373.0</v>
      </c>
      <c r="B18" s="60" t="s">
        <v>6176</v>
      </c>
      <c r="C18" s="67" t="str">
        <f>IFERROR(__xludf.DUMMYFUNCTION("""COMPUTED_VALUE"""),"LD219")</f>
        <v>LD219</v>
      </c>
      <c r="D18" s="55" t="s">
        <v>42</v>
      </c>
      <c r="E18" s="55" t="s">
        <v>79</v>
      </c>
      <c r="F18" s="55" t="s">
        <v>539</v>
      </c>
      <c r="G18" s="55">
        <v>1845.0</v>
      </c>
      <c r="H18" s="55" t="s">
        <v>6179</v>
      </c>
      <c r="I18" s="55" t="s">
        <v>6247</v>
      </c>
      <c r="J18" s="55" t="s">
        <v>6248</v>
      </c>
      <c r="K18" s="55" t="s">
        <v>61</v>
      </c>
      <c r="L18" s="55" t="s">
        <v>3607</v>
      </c>
      <c r="M18" s="55" t="s">
        <v>78</v>
      </c>
      <c r="N18" s="55" t="s">
        <v>79</v>
      </c>
      <c r="O18" s="55" t="s">
        <v>218</v>
      </c>
      <c r="P18" s="55" t="s">
        <v>110</v>
      </c>
      <c r="Q18" s="67" t="str">
        <f>IFERROR(__xludf.DUMMYFUNCTION("""COMPUTED_VALUE"""),"ALL.giaotiep.M191C162_SCB.9889_MES_AnhDP_220324")</f>
        <v>ALL.giaotiep.M191C162_SCB.9889_MES_AnhDP_220324</v>
      </c>
      <c r="R18" s="67" t="str">
        <f>IFERROR(__xludf.DUMMYFUNCTION("""COMPUTED_VALUE"""),"NEW_ALL_1845_none_220324")</f>
        <v>NEW_ALL_1845_none_220324</v>
      </c>
      <c r="S18" s="84" t="str">
        <f>IFERROR(__xludf.DUMMYFUNCTION("""COMPUTED_VALUE"""),"saletructiep_ALL.M191C162.giaotiep_PTATTNDL_LD219")</f>
        <v>saletructiep_ALL.M191C162.giaotiep_PTATTNDL_LD219</v>
      </c>
      <c r="T18" s="107" t="str">
        <f>IFERROR(__xludf.DUMMYFUNCTION("""COMPUTED_VALUE"""),"https://patadovietnam.edu.vn/tienganhgiaotiep_adp/?utm_source=Facebook&amp;utm_medium=MES&amp;utm_term=NEW_ALL_1845_none_220324&amp;utm_content=saletructiep_ALL.M191C162.giaotiep_PTATTNDL_LD219&amp;utm_campaign=ALL.giaotiep.M191C162_SCB.9889_MES_AnhDP_220324")</f>
        <v>https://patadovietnam.edu.vn/tienganhgiaotiep_adp/?utm_source=Facebook&amp;utm_medium=MES&amp;utm_term=NEW_ALL_1845_none_220324&amp;utm_content=saletructiep_ALL.M191C162.giaotiep_PTATTNDL_LD219&amp;utm_campaign=ALL.giaotiep.M191C162_SCB.9889_MES_AnhDP_220324</v>
      </c>
      <c r="U18" s="110" t="s">
        <v>6252</v>
      </c>
    </row>
    <row r="19">
      <c r="A19" s="72">
        <v>45373.0</v>
      </c>
      <c r="B19" s="60" t="s">
        <v>6176</v>
      </c>
      <c r="C19" s="67" t="str">
        <f>IFERROR(__xludf.DUMMYFUNCTION("""COMPUTED_VALUE"""),"LD219")</f>
        <v>LD219</v>
      </c>
      <c r="D19" s="55" t="s">
        <v>42</v>
      </c>
      <c r="E19" s="55" t="s">
        <v>79</v>
      </c>
      <c r="F19" s="55" t="s">
        <v>625</v>
      </c>
      <c r="G19" s="55">
        <v>1845.0</v>
      </c>
      <c r="H19" s="55" t="s">
        <v>6179</v>
      </c>
      <c r="I19" s="55" t="s">
        <v>6254</v>
      </c>
      <c r="J19" s="55" t="s">
        <v>6255</v>
      </c>
      <c r="K19" s="55" t="s">
        <v>61</v>
      </c>
      <c r="L19" s="55" t="s">
        <v>3607</v>
      </c>
      <c r="M19" s="55" t="s">
        <v>78</v>
      </c>
      <c r="N19" s="55" t="s">
        <v>79</v>
      </c>
      <c r="O19" s="55" t="s">
        <v>218</v>
      </c>
      <c r="P19" s="55" t="s">
        <v>110</v>
      </c>
      <c r="Q19" s="67" t="str">
        <f>IFERROR(__xludf.DUMMYFUNCTION("""COMPUTED_VALUE"""),"KoreaSouth.giaotiep.M172C162_SCB.9889_MES_AnhDP_220324")</f>
        <v>KoreaSouth.giaotiep.M172C162_SCB.9889_MES_AnhDP_220324</v>
      </c>
      <c r="R19" s="67" t="str">
        <f>IFERROR(__xludf.DUMMYFUNCTION("""COMPUTED_VALUE"""),"NEW_KoreaSouth_1845_none_220324")</f>
        <v>NEW_KoreaSouth_1845_none_220324</v>
      </c>
      <c r="S19" s="67" t="str">
        <f>IFERROR(__xludf.DUMMYFUNCTION("""COMPUTED_VALUE"""),"saletructiep_KoreaSouth.M172C162.giaotiep_PTATTNDL_LD219")</f>
        <v>saletructiep_KoreaSouth.M172C162.giaotiep_PTATTNDL_LD219</v>
      </c>
      <c r="T19" s="107" t="str">
        <f>IFERROR(__xludf.DUMMYFUNCTION("""COMPUTED_VALUE"""),"https://patadovietnam.edu.vn/tienganhgiaotiep_adp/?utm_source=Facebook&amp;utm_medium=MES&amp;utm_term=NEW_KoreaSouth_1845_none_220324&amp;utm_content=saletructiep_KoreaSouth.M172C162.giaotiep_PTATTNDL_LD219&amp;utm_campaign=KoreaSouth.giaotiep.M172C162_SCB.9889_MES_AnhD"&amp;"P_220324")</f>
        <v>https://patadovietnam.edu.vn/tienganhgiaotiep_adp/?utm_source=Facebook&amp;utm_medium=MES&amp;utm_term=NEW_KoreaSouth_1845_none_220324&amp;utm_content=saletructiep_KoreaSouth.M172C162.giaotiep_PTATTNDL_LD219&amp;utm_campaign=KoreaSouth.giaotiep.M172C162_SCB.9889_MES_AnhDP_220324</v>
      </c>
      <c r="U19" s="110" t="s">
        <v>6258</v>
      </c>
    </row>
    <row r="20">
      <c r="A20" s="72">
        <v>45374.0</v>
      </c>
      <c r="B20" s="60" t="s">
        <v>6176</v>
      </c>
      <c r="C20" s="67" t="str">
        <f>IFERROR(__xludf.DUMMYFUNCTION("""COMPUTED_VALUE"""),"LD219")</f>
        <v>LD219</v>
      </c>
      <c r="D20" s="55" t="s">
        <v>42</v>
      </c>
      <c r="E20" s="55" t="s">
        <v>79</v>
      </c>
      <c r="F20" s="55" t="s">
        <v>539</v>
      </c>
      <c r="G20" s="55">
        <v>1845.0</v>
      </c>
      <c r="H20" s="55" t="s">
        <v>6179</v>
      </c>
      <c r="I20" s="55" t="s">
        <v>5125</v>
      </c>
      <c r="J20" s="55" t="s">
        <v>6260</v>
      </c>
      <c r="K20" s="55" t="s">
        <v>61</v>
      </c>
      <c r="L20" s="55" t="s">
        <v>3607</v>
      </c>
      <c r="M20" s="55" t="s">
        <v>78</v>
      </c>
      <c r="N20" s="55" t="s">
        <v>79</v>
      </c>
      <c r="O20" s="55" t="s">
        <v>218</v>
      </c>
      <c r="P20" s="55" t="s">
        <v>110</v>
      </c>
      <c r="Q20" s="67" t="str">
        <f>IFERROR(__xludf.DUMMYFUNCTION("""COMPUTED_VALUE"""),"ALL.giaotiep.M172C138_SCB.9889_MES_AnhDP_230324")</f>
        <v>ALL.giaotiep.M172C138_SCB.9889_MES_AnhDP_230324</v>
      </c>
      <c r="R20" s="67" t="str">
        <f>IFERROR(__xludf.DUMMYFUNCTION("""COMPUTED_VALUE"""),"NEW_ALL_1845_none_230324")</f>
        <v>NEW_ALL_1845_none_230324</v>
      </c>
      <c r="S20" s="67" t="str">
        <f>IFERROR(__xludf.DUMMYFUNCTION("""COMPUTED_VALUE"""),"saletructiep_ALL.M172C138.giaotiep_PTATTNDL_LD219")</f>
        <v>saletructiep_ALL.M172C138.giaotiep_PTATTNDL_LD219</v>
      </c>
      <c r="T20" s="107" t="str">
        <f>IFERROR(__xludf.DUMMYFUNCTION("""COMPUTED_VALUE"""),"https://patadovietnam.edu.vn/tienganhgiaotiep_adp/?utm_source=Facebook&amp;utm_medium=MES&amp;utm_term=NEW_ALL_1845_none_230324&amp;utm_content=saletructiep_ALL.M172C138.giaotiep_PTATTNDL_LD219&amp;utm_campaign=ALL.giaotiep.M172C138_SCB.9889_MES_AnhDP_230324")</f>
        <v>https://patadovietnam.edu.vn/tienganhgiaotiep_adp/?utm_source=Facebook&amp;utm_medium=MES&amp;utm_term=NEW_ALL_1845_none_230324&amp;utm_content=saletructiep_ALL.M172C138.giaotiep_PTATTNDL_LD219&amp;utm_campaign=ALL.giaotiep.M172C138_SCB.9889_MES_AnhDP_230324</v>
      </c>
      <c r="U20" s="110" t="s">
        <v>6263</v>
      </c>
    </row>
    <row r="21">
      <c r="A21" s="72">
        <v>45376.0</v>
      </c>
      <c r="B21" s="60" t="s">
        <v>6267</v>
      </c>
      <c r="C21" s="67" t="str">
        <f>IFERROR(__xludf.DUMMYFUNCTION("""COMPUTED_VALUE"""),"LD220")</f>
        <v>LD220</v>
      </c>
      <c r="D21" s="55" t="s">
        <v>42</v>
      </c>
      <c r="E21" s="55" t="s">
        <v>69</v>
      </c>
      <c r="F21" s="55" t="s">
        <v>539</v>
      </c>
      <c r="G21" s="113">
        <v>2240.0</v>
      </c>
      <c r="H21" s="55" t="s">
        <v>6179</v>
      </c>
      <c r="I21" s="55" t="s">
        <v>6269</v>
      </c>
      <c r="J21" s="55" t="s">
        <v>6270</v>
      </c>
      <c r="K21" s="55" t="s">
        <v>61</v>
      </c>
      <c r="L21" s="55" t="s">
        <v>3607</v>
      </c>
      <c r="M21" s="55" t="s">
        <v>78</v>
      </c>
      <c r="N21" s="55" t="s">
        <v>69</v>
      </c>
      <c r="O21" s="55" t="s">
        <v>218</v>
      </c>
      <c r="P21" s="55" t="s">
        <v>110</v>
      </c>
      <c r="Q21" s="67" t="str">
        <f>IFERROR(__xludf.DUMMYFUNCTION("""COMPUTED_VALUE"""),"ALL.giaotiep.M189C138_SCB.9889_CVS_AnhDP_250324")</f>
        <v>ALL.giaotiep.M189C138_SCB.9889_CVS_AnhDP_250324</v>
      </c>
      <c r="R21" s="67" t="str">
        <f>IFERROR(__xludf.DUMMYFUNCTION("""COMPUTED_VALUE"""),"NEW_ALL_2240_none_250324")</f>
        <v>NEW_ALL_2240_none_250324</v>
      </c>
      <c r="S21" s="67" t="str">
        <f>IFERROR(__xludf.DUMMYFUNCTION("""COMPUTED_VALUE"""),"saletructiep_ALL.M189C138.giaotiep_PTATTNDL_LD220")</f>
        <v>saletructiep_ALL.M189C138.giaotiep_PTATTNDL_LD220</v>
      </c>
      <c r="T21" s="107" t="str">
        <f>IFERROR(__xludf.DUMMYFUNCTION("""COMPUTED_VALUE"""),"https://patadovietnam.edu.vn/giaotiepanhngu_adp/?utm_source=Facebook&amp;utm_medium=CVS&amp;utm_term=NEW_ALL_2240_none_250324&amp;utm_content=saletructiep_ALL.M189C138.giaotiep_PTATTNDL_LD220&amp;utm_campaign=ALL.giaotiep.M189C138_SCB.9889_CVS_AnhDP_250324")</f>
        <v>https://patadovietnam.edu.vn/giaotiepanhngu_adp/?utm_source=Facebook&amp;utm_medium=CVS&amp;utm_term=NEW_ALL_2240_none_250324&amp;utm_content=saletructiep_ALL.M189C138.giaotiep_PTATTNDL_LD220&amp;utm_campaign=ALL.giaotiep.M189C138_SCB.9889_CVS_AnhDP_250324</v>
      </c>
      <c r="U21" s="110" t="s">
        <v>6276</v>
      </c>
    </row>
    <row r="22">
      <c r="A22" s="72">
        <v>45378.0</v>
      </c>
      <c r="B22" s="60" t="s">
        <v>6267</v>
      </c>
      <c r="C22" s="67" t="str">
        <f>IFERROR(__xludf.DUMMYFUNCTION("""COMPUTED_VALUE"""),"LD220")</f>
        <v>LD220</v>
      </c>
      <c r="D22" s="55" t="s">
        <v>42</v>
      </c>
      <c r="E22" s="55" t="s">
        <v>79</v>
      </c>
      <c r="F22" s="55" t="s">
        <v>625</v>
      </c>
      <c r="G22" s="55">
        <v>1840.0</v>
      </c>
      <c r="H22" s="55" t="s">
        <v>6179</v>
      </c>
      <c r="I22" s="55" t="s">
        <v>5115</v>
      </c>
      <c r="J22" s="55" t="s">
        <v>6277</v>
      </c>
      <c r="K22" s="55" t="s">
        <v>61</v>
      </c>
      <c r="L22" s="55" t="s">
        <v>3607</v>
      </c>
      <c r="M22" s="55" t="s">
        <v>78</v>
      </c>
      <c r="N22" s="55" t="s">
        <v>79</v>
      </c>
      <c r="O22" s="55" t="s">
        <v>218</v>
      </c>
      <c r="P22" s="55" t="s">
        <v>110</v>
      </c>
      <c r="Q22" s="67" t="str">
        <f>IFERROR(__xludf.DUMMYFUNCTION("""COMPUTED_VALUE"""),"KoreaSouth.giaotiep.M191C133_SCB.9889_MES_AnhDP_270324")</f>
        <v>KoreaSouth.giaotiep.M191C133_SCB.9889_MES_AnhDP_270324</v>
      </c>
      <c r="R22" s="67" t="str">
        <f>IFERROR(__xludf.DUMMYFUNCTION("""COMPUTED_VALUE"""),"NEW_KoreaSouth_1840_none_270324")</f>
        <v>NEW_KoreaSouth_1840_none_270324</v>
      </c>
      <c r="S22" s="67" t="str">
        <f>IFERROR(__xludf.DUMMYFUNCTION("""COMPUTED_VALUE"""),"saletructiep_KoreaSouth.M191C133.giaotiep_PTATTNDL_LD220")</f>
        <v>saletructiep_KoreaSouth.M191C133.giaotiep_PTATTNDL_LD220</v>
      </c>
      <c r="T22" s="107" t="str">
        <f>IFERROR(__xludf.DUMMYFUNCTION("""COMPUTED_VALUE"""),"https://patadovietnam.edu.vn/giaotiepanhngu_adp/?utm_source=Facebook&amp;utm_medium=MES&amp;utm_term=NEW_KoreaSouth_1840_none_270324&amp;utm_content=saletructiep_KoreaSouth.M191C133.giaotiep_PTATTNDL_LD220&amp;utm_campaign=KoreaSouth.giaotiep.M191C133_SCB.9889_MES_AnhDP_"&amp;"270324")</f>
        <v>https://patadovietnam.edu.vn/giaotiepanhngu_adp/?utm_source=Facebook&amp;utm_medium=MES&amp;utm_term=NEW_KoreaSouth_1840_none_270324&amp;utm_content=saletructiep_KoreaSouth.M191C133.giaotiep_PTATTNDL_LD220&amp;utm_campaign=KoreaSouth.giaotiep.M191C133_SCB.9889_MES_AnhDP_270324</v>
      </c>
      <c r="U22" s="111" t="s">
        <v>6283</v>
      </c>
    </row>
    <row r="23">
      <c r="A23" s="72">
        <v>45380.0</v>
      </c>
      <c r="B23" s="60" t="s">
        <v>6267</v>
      </c>
      <c r="C23" s="67" t="str">
        <f>IFERROR(__xludf.DUMMYFUNCTION("""COMPUTED_VALUE"""),"LD220")</f>
        <v>LD220</v>
      </c>
      <c r="D23" s="55" t="s">
        <v>42</v>
      </c>
      <c r="E23" s="55" t="s">
        <v>79</v>
      </c>
      <c r="F23" s="55" t="s">
        <v>1101</v>
      </c>
      <c r="G23" s="55">
        <v>2040.0</v>
      </c>
      <c r="H23" s="55" t="s">
        <v>6179</v>
      </c>
      <c r="I23" s="55" t="s">
        <v>6284</v>
      </c>
      <c r="J23" s="55" t="s">
        <v>6285</v>
      </c>
      <c r="K23" s="55" t="s">
        <v>61</v>
      </c>
      <c r="L23" s="55" t="s">
        <v>3607</v>
      </c>
      <c r="M23" s="55" t="s">
        <v>78</v>
      </c>
      <c r="N23" s="55" t="s">
        <v>79</v>
      </c>
      <c r="O23" s="55" t="s">
        <v>218</v>
      </c>
      <c r="P23" s="55" t="s">
        <v>110</v>
      </c>
      <c r="Q23" s="67" t="str">
        <f>IFERROR(__xludf.DUMMYFUNCTION("""COMPUTED_VALUE"""),"Sweden.giaotiep.M110C88_SCB.9889_MES_AnhDP_290324")</f>
        <v>Sweden.giaotiep.M110C88_SCB.9889_MES_AnhDP_290324</v>
      </c>
      <c r="R23" s="67" t="str">
        <f>IFERROR(__xludf.DUMMYFUNCTION("""COMPUTED_VALUE"""),"NEW_Sweden_2040_none_290324")</f>
        <v>NEW_Sweden_2040_none_290324</v>
      </c>
      <c r="S23" s="67" t="str">
        <f>IFERROR(__xludf.DUMMYFUNCTION("""COMPUTED_VALUE"""),"saletructiep_Sweden.M110C88.giaotiep_PTATTNDL_LD220")</f>
        <v>saletructiep_Sweden.M110C88.giaotiep_PTATTNDL_LD220</v>
      </c>
      <c r="T23" s="107" t="str">
        <f>IFERROR(__xludf.DUMMYFUNCTION("""COMPUTED_VALUE"""),"https://patadovietnam.edu.vn/giaotiepanhngu_adp/?utm_source=Facebook&amp;utm_medium=MES&amp;utm_term=NEW_Sweden_2040_none_290324&amp;utm_content=saletructiep_Sweden.M110C88.giaotiep_PTATTNDL_LD220&amp;utm_campaign=Sweden.giaotiep.M110C88_SCB.9889_MES_AnhDP_290324")</f>
        <v>https://patadovietnam.edu.vn/giaotiepanhngu_adp/?utm_source=Facebook&amp;utm_medium=MES&amp;utm_term=NEW_Sweden_2040_none_290324&amp;utm_content=saletructiep_Sweden.M110C88.giaotiep_PTATTNDL_LD220&amp;utm_campaign=Sweden.giaotiep.M110C88_SCB.9889_MES_AnhDP_290324</v>
      </c>
      <c r="U23" s="110" t="s">
        <v>6289</v>
      </c>
    </row>
    <row r="24">
      <c r="A24" s="72">
        <v>45386.0</v>
      </c>
      <c r="B24" s="60" t="s">
        <v>6267</v>
      </c>
      <c r="C24" s="67" t="str">
        <f>IFERROR(__xludf.DUMMYFUNCTION("""COMPUTED_VALUE"""),"LD220")</f>
        <v>LD220</v>
      </c>
      <c r="D24" s="55" t="s">
        <v>42</v>
      </c>
      <c r="E24" s="55" t="s">
        <v>69</v>
      </c>
      <c r="F24" s="55" t="s">
        <v>625</v>
      </c>
      <c r="G24" s="55">
        <v>1840.0</v>
      </c>
      <c r="H24" s="55" t="s">
        <v>6179</v>
      </c>
      <c r="I24" s="55" t="s">
        <v>6290</v>
      </c>
      <c r="J24" s="55" t="s">
        <v>6291</v>
      </c>
      <c r="K24" s="55" t="s">
        <v>61</v>
      </c>
      <c r="L24" s="55" t="s">
        <v>3607</v>
      </c>
      <c r="M24" s="55" t="s">
        <v>78</v>
      </c>
      <c r="N24" s="55" t="s">
        <v>69</v>
      </c>
      <c r="O24" s="55" t="s">
        <v>218</v>
      </c>
      <c r="P24" s="55" t="s">
        <v>110</v>
      </c>
      <c r="Q24" s="67" t="str">
        <f>IFERROR(__xludf.DUMMYFUNCTION("""COMPUTED_VALUE"""),"KoreaSouth.giaotiep.M201C170_SCB.9889_CVS_AnhDP_040424")</f>
        <v>KoreaSouth.giaotiep.M201C170_SCB.9889_CVS_AnhDP_040424</v>
      </c>
      <c r="R24" s="67" t="str">
        <f>IFERROR(__xludf.DUMMYFUNCTION("""COMPUTED_VALUE"""),"NEW_KoreaSouth_1840_none_040424")</f>
        <v>NEW_KoreaSouth_1840_none_040424</v>
      </c>
      <c r="S24" s="67" t="str">
        <f>IFERROR(__xludf.DUMMYFUNCTION("""COMPUTED_VALUE"""),"saletructiep_KoreaSouth.M201C170.giaotiep_PTATTNDL_LD220")</f>
        <v>saletructiep_KoreaSouth.M201C170.giaotiep_PTATTNDL_LD220</v>
      </c>
      <c r="T24" s="107" t="str">
        <f>IFERROR(__xludf.DUMMYFUNCTION("""COMPUTED_VALUE"""),"https://patadovietnam.edu.vn/giaotiepanhngu_adp/?utm_source=Facebook&amp;utm_medium=CVS&amp;utm_term=NEW_KoreaSouth_1840_none_040424&amp;utm_content=saletructiep_KoreaSouth.M201C170.giaotiep_PTATTNDL_LD220&amp;utm_campaign=KoreaSouth.giaotiep.M201C170_SCB.9889_CVS_AnhDP_"&amp;"040424")</f>
        <v>https://patadovietnam.edu.vn/giaotiepanhngu_adp/?utm_source=Facebook&amp;utm_medium=CVS&amp;utm_term=NEW_KoreaSouth_1840_none_040424&amp;utm_content=saletructiep_KoreaSouth.M201C170.giaotiep_PTATTNDL_LD220&amp;utm_campaign=KoreaSouth.giaotiep.M201C170_SCB.9889_CVS_AnhDP_040424</v>
      </c>
      <c r="U24" s="111" t="s">
        <v>6297</v>
      </c>
    </row>
    <row r="25">
      <c r="A25" s="72">
        <v>45386.0</v>
      </c>
      <c r="B25" s="60" t="s">
        <v>6267</v>
      </c>
      <c r="C25" s="67" t="str">
        <f>IFERROR(__xludf.DUMMYFUNCTION("""COMPUTED_VALUE"""),"LD220")</f>
        <v>LD220</v>
      </c>
      <c r="D25" s="55" t="s">
        <v>42</v>
      </c>
      <c r="E25" s="55" t="s">
        <v>79</v>
      </c>
      <c r="F25" s="55" t="s">
        <v>112</v>
      </c>
      <c r="G25" s="55">
        <v>1840.0</v>
      </c>
      <c r="H25" s="55" t="s">
        <v>6179</v>
      </c>
      <c r="I25" s="55" t="s">
        <v>6298</v>
      </c>
      <c r="J25" s="55" t="s">
        <v>6299</v>
      </c>
      <c r="K25" s="55" t="s">
        <v>61</v>
      </c>
      <c r="L25" s="55" t="s">
        <v>3607</v>
      </c>
      <c r="M25" s="55" t="s">
        <v>78</v>
      </c>
      <c r="N25" s="55" t="s">
        <v>79</v>
      </c>
      <c r="O25" s="55" t="s">
        <v>218</v>
      </c>
      <c r="P25" s="55" t="s">
        <v>110</v>
      </c>
      <c r="Q25" s="67" t="str">
        <f>IFERROR(__xludf.DUMMYFUNCTION("""COMPUTED_VALUE"""),"Canada.giaotiep.M189C170_SCB.9889_MES_AnhDP_040424")</f>
        <v>Canada.giaotiep.M189C170_SCB.9889_MES_AnhDP_040424</v>
      </c>
      <c r="R25" s="67" t="str">
        <f>IFERROR(__xludf.DUMMYFUNCTION("""COMPUTED_VALUE"""),"NEW_Canada_1840_none_040424")</f>
        <v>NEW_Canada_1840_none_040424</v>
      </c>
      <c r="S25" s="67" t="str">
        <f>IFERROR(__xludf.DUMMYFUNCTION("""COMPUTED_VALUE"""),"saletructiep_Canada.M189C170.giaotiep_PTATTNDL_LD220")</f>
        <v>saletructiep_Canada.M189C170.giaotiep_PTATTNDL_LD220</v>
      </c>
      <c r="T25" s="107" t="str">
        <f>IFERROR(__xludf.DUMMYFUNCTION("""COMPUTED_VALUE"""),"https://patadovietnam.edu.vn/giaotiepanhngu_adp/?utm_source=Facebook&amp;utm_medium=MES&amp;utm_term=NEW_Canada_1840_none_040424&amp;utm_content=saletructiep_Canada.M189C170.giaotiep_PTATTNDL_LD220&amp;utm_campaign=Canada.giaotiep.M189C170_SCB.9889_MES_AnhDP_040424")</f>
        <v>https://patadovietnam.edu.vn/giaotiepanhngu_adp/?utm_source=Facebook&amp;utm_medium=MES&amp;utm_term=NEW_Canada_1840_none_040424&amp;utm_content=saletructiep_Canada.M189C170.giaotiep_PTATTNDL_LD220&amp;utm_campaign=Canada.giaotiep.M189C170_SCB.9889_MES_AnhDP_040424</v>
      </c>
      <c r="U25" s="110" t="s">
        <v>6303</v>
      </c>
    </row>
    <row r="26">
      <c r="A26" s="72">
        <v>45392.0</v>
      </c>
      <c r="B26" s="60" t="s">
        <v>6267</v>
      </c>
      <c r="C26" s="67" t="str">
        <f>IFERROR(__xludf.DUMMYFUNCTION("""COMPUTED_VALUE"""),"LD220")</f>
        <v>LD220</v>
      </c>
      <c r="D26" s="55" t="s">
        <v>42</v>
      </c>
      <c r="E26" s="55" t="s">
        <v>79</v>
      </c>
      <c r="F26" s="55" t="s">
        <v>129</v>
      </c>
      <c r="G26" s="55">
        <v>1840.0</v>
      </c>
      <c r="H26" s="55" t="s">
        <v>6179</v>
      </c>
      <c r="I26" s="55" t="s">
        <v>6306</v>
      </c>
      <c r="J26" s="55" t="s">
        <v>6307</v>
      </c>
      <c r="K26" s="55" t="s">
        <v>61</v>
      </c>
      <c r="L26" s="55" t="s">
        <v>3607</v>
      </c>
      <c r="M26" s="55" t="s">
        <v>78</v>
      </c>
      <c r="N26" s="55" t="s">
        <v>79</v>
      </c>
      <c r="O26" s="55" t="s">
        <v>218</v>
      </c>
      <c r="P26" s="55" t="s">
        <v>110</v>
      </c>
      <c r="Q26" s="67" t="str">
        <f>IFERROR(__xludf.DUMMYFUNCTION("""COMPUTED_VALUE"""),"Australia.giaotiep.M207C174_SCB.9889_MES_AnhDP_100424")</f>
        <v>Australia.giaotiep.M207C174_SCB.9889_MES_AnhDP_100424</v>
      </c>
      <c r="R26" s="67" t="str">
        <f>IFERROR(__xludf.DUMMYFUNCTION("""COMPUTED_VALUE"""),"NEW_Australia_1840_none_100424")</f>
        <v>NEW_Australia_1840_none_100424</v>
      </c>
      <c r="S26" s="117" t="str">
        <f>IFERROR(__xludf.DUMMYFUNCTION("""COMPUTED_VALUE"""),"saletructiep_Australia.M207C174.giaotiep_PTATTNDL_LD220")</f>
        <v>saletructiep_Australia.M207C174.giaotiep_PTATTNDL_LD220</v>
      </c>
      <c r="T26" s="107" t="str">
        <f>IFERROR(__xludf.DUMMYFUNCTION("""COMPUTED_VALUE"""),"https://patadovietnam.edu.vn/giaotiepanhngu_adp/?utm_source=Facebook&amp;utm_medium=MES&amp;utm_term=NEW_Australia_1840_none_100424&amp;utm_content=saletructiep_Australia.M207C174.giaotiep_PTATTNDL_LD220&amp;utm_campaign=Australia.giaotiep.M207C174_SCB.9889_MES_AnhDP_100"&amp;"424")</f>
        <v>https://patadovietnam.edu.vn/giaotiepanhngu_adp/?utm_source=Facebook&amp;utm_medium=MES&amp;utm_term=NEW_Australia_1840_none_100424&amp;utm_content=saletructiep_Australia.M207C174.giaotiep_PTATTNDL_LD220&amp;utm_campaign=Australia.giaotiep.M207C174_SCB.9889_MES_AnhDP_100424</v>
      </c>
      <c r="U26" s="111" t="s">
        <v>6311</v>
      </c>
    </row>
    <row r="27">
      <c r="A27" s="72">
        <v>45397.0</v>
      </c>
      <c r="B27" s="60" t="s">
        <v>6267</v>
      </c>
      <c r="C27" s="67" t="str">
        <f>IFERROR(__xludf.DUMMYFUNCTION("""COMPUTED_VALUE"""),"LD220")</f>
        <v>LD220</v>
      </c>
      <c r="D27" s="55" t="s">
        <v>42</v>
      </c>
      <c r="E27" s="55" t="s">
        <v>79</v>
      </c>
      <c r="F27" s="55" t="s">
        <v>133</v>
      </c>
      <c r="G27" s="55">
        <v>2035.0</v>
      </c>
      <c r="H27" s="55" t="s">
        <v>6179</v>
      </c>
      <c r="I27" s="55" t="s">
        <v>6313</v>
      </c>
      <c r="J27" s="55" t="s">
        <v>6314</v>
      </c>
      <c r="K27" s="55" t="s">
        <v>61</v>
      </c>
      <c r="L27" s="55" t="s">
        <v>3607</v>
      </c>
      <c r="M27" s="55" t="s">
        <v>78</v>
      </c>
      <c r="N27" s="55" t="s">
        <v>79</v>
      </c>
      <c r="O27" s="55" t="s">
        <v>218</v>
      </c>
      <c r="P27" s="55" t="s">
        <v>110</v>
      </c>
      <c r="Q27" s="67" t="str">
        <f>IFERROR(__xludf.DUMMYFUNCTION("""COMPUTED_VALUE"""),"Japan.giaotiep.C132M172_SCB.9889_MES_AnhDP_150424")</f>
        <v>Japan.giaotiep.C132M172_SCB.9889_MES_AnhDP_150424</v>
      </c>
      <c r="R27" s="67" t="str">
        <f>IFERROR(__xludf.DUMMYFUNCTION("""COMPUTED_VALUE"""),"NEW_Japan_2035_none_150424")</f>
        <v>NEW_Japan_2035_none_150424</v>
      </c>
      <c r="S27" s="67" t="str">
        <f>IFERROR(__xludf.DUMMYFUNCTION("""COMPUTED_VALUE"""),"saletructiep_Japan.C132M172.giaotiep_PTATTNDL_LD220")</f>
        <v>saletructiep_Japan.C132M172.giaotiep_PTATTNDL_LD220</v>
      </c>
      <c r="T27" s="107" t="str">
        <f>IFERROR(__xludf.DUMMYFUNCTION("""COMPUTED_VALUE"""),"https://patadovietnam.edu.vn/giaotiepanhngu_adp/?utm_source=Facebook&amp;utm_medium=MES&amp;utm_term=NEW_Japan_2035_none_150424&amp;utm_content=saletructiep_Japan.C132M172.giaotiep_PTATTNDL_LD220&amp;utm_campaign=Japan.giaotiep.C132M172_SCB.9889_MES_AnhDP_150424")</f>
        <v>https://patadovietnam.edu.vn/giaotiepanhngu_adp/?utm_source=Facebook&amp;utm_medium=MES&amp;utm_term=NEW_Japan_2035_none_150424&amp;utm_content=saletructiep_Japan.C132M172.giaotiep_PTATTNDL_LD220&amp;utm_campaign=Japan.giaotiep.C132M172_SCB.9889_MES_AnhDP_150424</v>
      </c>
      <c r="U27" s="110" t="s">
        <v>6317</v>
      </c>
    </row>
    <row r="28">
      <c r="A28" s="72">
        <v>45397.0</v>
      </c>
      <c r="B28" s="60" t="s">
        <v>6267</v>
      </c>
      <c r="C28" s="67" t="str">
        <f>IFERROR(__xludf.DUMMYFUNCTION("""COMPUTED_VALUE"""),"LD220")</f>
        <v>LD220</v>
      </c>
      <c r="D28" s="55" t="s">
        <v>42</v>
      </c>
      <c r="E28" s="55" t="s">
        <v>79</v>
      </c>
      <c r="F28" s="55" t="s">
        <v>539</v>
      </c>
      <c r="G28" s="55">
        <v>2035.0</v>
      </c>
      <c r="H28" s="55" t="s">
        <v>6179</v>
      </c>
      <c r="I28" s="55" t="s">
        <v>6318</v>
      </c>
      <c r="J28" s="55" t="s">
        <v>6319</v>
      </c>
      <c r="K28" s="55" t="s">
        <v>61</v>
      </c>
      <c r="L28" s="55" t="s">
        <v>3607</v>
      </c>
      <c r="M28" s="55" t="s">
        <v>78</v>
      </c>
      <c r="N28" s="55" t="s">
        <v>79</v>
      </c>
      <c r="O28" s="55" t="s">
        <v>218</v>
      </c>
      <c r="P28" s="55" t="s">
        <v>110</v>
      </c>
      <c r="Q28" s="67" t="str">
        <f>IFERROR(__xludf.DUMMYFUNCTION("""COMPUTED_VALUE"""),"All.giaotiep.M189C48_SCB.9889_MES_AnhDP_150424")</f>
        <v>All.giaotiep.M189C48_SCB.9889_MES_AnhDP_150424</v>
      </c>
      <c r="R28" s="67" t="str">
        <f>IFERROR(__xludf.DUMMYFUNCTION("""COMPUTED_VALUE"""),"NEW_ALL_2035_none_150424")</f>
        <v>NEW_ALL_2035_none_150424</v>
      </c>
      <c r="S28" s="67" t="str">
        <f>IFERROR(__xludf.DUMMYFUNCTION("""COMPUTED_VALUE"""),"saletructiep_All.M189C48.giaotiep_PTATTNDL_LD220")</f>
        <v>saletructiep_All.M189C48.giaotiep_PTATTNDL_LD220</v>
      </c>
      <c r="T28" s="107" t="str">
        <f>IFERROR(__xludf.DUMMYFUNCTION("""COMPUTED_VALUE"""),"https://patadovietnam.edu.vn/giaotiepanhngu_adp/?utm_source=Facebook&amp;utm_medium=MES&amp;utm_term=NEW_ALL_2035_none_150424&amp;utm_content=saletructiep_All.M189C48.giaotiep_PTATTNDL_LD220&amp;utm_campaign=All.giaotiep.M189C48_SCB.9889_MES_AnhDP_150424")</f>
        <v>https://patadovietnam.edu.vn/giaotiepanhngu_adp/?utm_source=Facebook&amp;utm_medium=MES&amp;utm_term=NEW_ALL_2035_none_150424&amp;utm_content=saletructiep_All.M189C48.giaotiep_PTATTNDL_LD220&amp;utm_campaign=All.giaotiep.M189C48_SCB.9889_MES_AnhDP_150424</v>
      </c>
      <c r="U28" s="110" t="s">
        <v>6323</v>
      </c>
    </row>
    <row r="29">
      <c r="A29" s="72">
        <v>45397.0</v>
      </c>
      <c r="B29" s="60" t="s">
        <v>6267</v>
      </c>
      <c r="C29" s="67" t="str">
        <f>IFERROR(__xludf.DUMMYFUNCTION("""COMPUTED_VALUE"""),"LD220")</f>
        <v>LD220</v>
      </c>
      <c r="D29" s="55" t="s">
        <v>42</v>
      </c>
      <c r="E29" s="55" t="s">
        <v>79</v>
      </c>
      <c r="F29" s="55" t="s">
        <v>625</v>
      </c>
      <c r="G29" s="55">
        <v>2035.0</v>
      </c>
      <c r="H29" s="55" t="s">
        <v>6179</v>
      </c>
      <c r="I29" s="55" t="s">
        <v>6326</v>
      </c>
      <c r="J29" s="55" t="s">
        <v>6327</v>
      </c>
      <c r="K29" s="55" t="s">
        <v>61</v>
      </c>
      <c r="L29" s="55" t="s">
        <v>3607</v>
      </c>
      <c r="M29" s="55" t="s">
        <v>78</v>
      </c>
      <c r="N29" s="55" t="s">
        <v>79</v>
      </c>
      <c r="O29" s="55" t="s">
        <v>218</v>
      </c>
      <c r="P29" s="55" t="s">
        <v>110</v>
      </c>
      <c r="Q29" s="67" t="str">
        <f>IFERROR(__xludf.DUMMYFUNCTION("""COMPUTED_VALUE"""),"KoreaSouth.giaotiep.M188C39_SCB.9889_MES_AnhDP_150424")</f>
        <v>KoreaSouth.giaotiep.M188C39_SCB.9889_MES_AnhDP_150424</v>
      </c>
      <c r="R29" s="67" t="str">
        <f>IFERROR(__xludf.DUMMYFUNCTION("""COMPUTED_VALUE"""),"NEW_KoreaSouth_2035_none_150424")</f>
        <v>NEW_KoreaSouth_2035_none_150424</v>
      </c>
      <c r="S29" s="67" t="str">
        <f>IFERROR(__xludf.DUMMYFUNCTION("""COMPUTED_VALUE"""),"saletructiep_KoreaSouth.M188C39.giaotiep_PTATTNDL_LD220")</f>
        <v>saletructiep_KoreaSouth.M188C39.giaotiep_PTATTNDL_LD220</v>
      </c>
      <c r="T29" s="107" t="str">
        <f>IFERROR(__xludf.DUMMYFUNCTION("""COMPUTED_VALUE"""),"https://patadovietnam.edu.vn/giaotiepanhngu_adp/?utm_source=Facebook&amp;utm_medium=MES&amp;utm_term=NEW_KoreaSouth_2035_none_150424&amp;utm_content=saletructiep_KoreaSouth.M188C39.giaotiep_PTATTNDL_LD220&amp;utm_campaign=KoreaSouth.giaotiep.M188C39_SCB.9889_MES_AnhDP_15"&amp;"0424")</f>
        <v>https://patadovietnam.edu.vn/giaotiepanhngu_adp/?utm_source=Facebook&amp;utm_medium=MES&amp;utm_term=NEW_KoreaSouth_2035_none_150424&amp;utm_content=saletructiep_KoreaSouth.M188C39.giaotiep_PTATTNDL_LD220&amp;utm_campaign=KoreaSouth.giaotiep.M188C39_SCB.9889_MES_AnhDP_150424</v>
      </c>
      <c r="U29" s="110" t="s">
        <v>6330</v>
      </c>
    </row>
    <row r="30">
      <c r="A30" s="72">
        <v>45398.0</v>
      </c>
      <c r="B30" s="60" t="s">
        <v>6267</v>
      </c>
      <c r="C30" s="67" t="str">
        <f>IFERROR(__xludf.DUMMYFUNCTION("""COMPUTED_VALUE"""),"LD220")</f>
        <v>LD220</v>
      </c>
      <c r="D30" s="55" t="s">
        <v>42</v>
      </c>
      <c r="E30" s="55" t="s">
        <v>79</v>
      </c>
      <c r="F30" s="55" t="s">
        <v>133</v>
      </c>
      <c r="G30" s="55">
        <v>2035.0</v>
      </c>
      <c r="H30" s="55" t="s">
        <v>6179</v>
      </c>
      <c r="I30" s="55" t="s">
        <v>6331</v>
      </c>
      <c r="J30" s="55" t="s">
        <v>6332</v>
      </c>
      <c r="K30" s="55" t="s">
        <v>61</v>
      </c>
      <c r="L30" s="55" t="s">
        <v>3607</v>
      </c>
      <c r="M30" s="55" t="s">
        <v>78</v>
      </c>
      <c r="N30" s="55" t="s">
        <v>79</v>
      </c>
      <c r="O30" s="55" t="s">
        <v>218</v>
      </c>
      <c r="P30" s="55" t="s">
        <v>110</v>
      </c>
      <c r="Q30" s="67" t="str">
        <f>IFERROR(__xludf.DUMMYFUNCTION("""COMPUTED_VALUE"""),"Japan.giaotiep.M197C171_SCB.9889_MES_AnhDP_160424")</f>
        <v>Japan.giaotiep.M197C171_SCB.9889_MES_AnhDP_160424</v>
      </c>
      <c r="R30" s="67" t="str">
        <f>IFERROR(__xludf.DUMMYFUNCTION("""COMPUTED_VALUE"""),"NEW_Japan_2035_none_160424")</f>
        <v>NEW_Japan_2035_none_160424</v>
      </c>
      <c r="S30" s="67" t="str">
        <f>IFERROR(__xludf.DUMMYFUNCTION("""COMPUTED_VALUE"""),"saletructiep_Japan.M197C171.giaotiep_PTATTNDL_LD220")</f>
        <v>saletructiep_Japan.M197C171.giaotiep_PTATTNDL_LD220</v>
      </c>
      <c r="T30" s="107" t="str">
        <f>IFERROR(__xludf.DUMMYFUNCTION("""COMPUTED_VALUE"""),"https://patadovietnam.edu.vn/giaotiepanhngu_adp/?utm_source=Facebook&amp;utm_medium=MES&amp;utm_term=NEW_Japan_2035_none_160424&amp;utm_content=saletructiep_Japan.M197C171.giaotiep_PTATTNDL_LD220&amp;utm_campaign=Japan.giaotiep.M197C171_SCB.9889_MES_AnhDP_160424")</f>
        <v>https://patadovietnam.edu.vn/giaotiepanhngu_adp/?utm_source=Facebook&amp;utm_medium=MES&amp;utm_term=NEW_Japan_2035_none_160424&amp;utm_content=saletructiep_Japan.M197C171.giaotiep_PTATTNDL_LD220&amp;utm_campaign=Japan.giaotiep.M197C171_SCB.9889_MES_AnhDP_160424</v>
      </c>
      <c r="U30" s="110" t="s">
        <v>6317</v>
      </c>
    </row>
    <row r="31">
      <c r="A31" s="72">
        <v>45398.0</v>
      </c>
      <c r="B31" s="60" t="s">
        <v>6267</v>
      </c>
      <c r="C31" s="67" t="str">
        <f>IFERROR(__xludf.DUMMYFUNCTION("""COMPUTED_VALUE"""),"LD220")</f>
        <v>LD220</v>
      </c>
      <c r="D31" s="55" t="s">
        <v>42</v>
      </c>
      <c r="E31" s="55" t="s">
        <v>79</v>
      </c>
      <c r="F31" s="55" t="s">
        <v>674</v>
      </c>
      <c r="G31" s="55">
        <v>2035.0</v>
      </c>
      <c r="H31" s="55" t="s">
        <v>6179</v>
      </c>
      <c r="I31" s="55" t="s">
        <v>6337</v>
      </c>
      <c r="J31" s="55" t="s">
        <v>6338</v>
      </c>
      <c r="K31" s="55" t="s">
        <v>61</v>
      </c>
      <c r="L31" s="55" t="s">
        <v>3607</v>
      </c>
      <c r="M31" s="55" t="s">
        <v>78</v>
      </c>
      <c r="N31" s="55" t="s">
        <v>79</v>
      </c>
      <c r="O31" s="55" t="s">
        <v>218</v>
      </c>
      <c r="P31" s="55" t="s">
        <v>110</v>
      </c>
      <c r="Q31" s="67" t="str">
        <f>IFERROR(__xludf.DUMMYFUNCTION("""COMPUTED_VALUE"""),"Europe.giaotiep.M197C162_SCB.9889_MES_AnhDP_160424")</f>
        <v>Europe.giaotiep.M197C162_SCB.9889_MES_AnhDP_160424</v>
      </c>
      <c r="R31" s="67" t="str">
        <f>IFERROR(__xludf.DUMMYFUNCTION("""COMPUTED_VALUE"""),"NEW_Europe_2035_none_160424")</f>
        <v>NEW_Europe_2035_none_160424</v>
      </c>
      <c r="S31" s="67" t="str">
        <f>IFERROR(__xludf.DUMMYFUNCTION("""COMPUTED_VALUE"""),"saletructiep_Europe.M197C162.giaotiep_PTATTNDL_LD220")</f>
        <v>saletructiep_Europe.M197C162.giaotiep_PTATTNDL_LD220</v>
      </c>
      <c r="T31" s="107" t="str">
        <f>IFERROR(__xludf.DUMMYFUNCTION("""COMPUTED_VALUE"""),"https://patadovietnam.edu.vn/giaotiepanhngu_adp/?utm_source=Facebook&amp;utm_medium=MES&amp;utm_term=NEW_Europe_2035_none_160424&amp;utm_content=saletructiep_Europe.M197C162.giaotiep_PTATTNDL_LD220&amp;utm_campaign=Europe.giaotiep.M197C162_SCB.9889_MES_AnhDP_160424")</f>
        <v>https://patadovietnam.edu.vn/giaotiepanhngu_adp/?utm_source=Facebook&amp;utm_medium=MES&amp;utm_term=NEW_Europe_2035_none_160424&amp;utm_content=saletructiep_Europe.M197C162.giaotiep_PTATTNDL_LD220&amp;utm_campaign=Europe.giaotiep.M197C162_SCB.9889_MES_AnhDP_160424</v>
      </c>
      <c r="U31" s="110" t="s">
        <v>6343</v>
      </c>
    </row>
    <row r="32">
      <c r="A32" s="72">
        <v>45399.0</v>
      </c>
      <c r="B32" s="60" t="s">
        <v>6267</v>
      </c>
      <c r="C32" s="67" t="str">
        <f>IFERROR(__xludf.DUMMYFUNCTION("""COMPUTED_VALUE"""),"LD220")</f>
        <v>LD220</v>
      </c>
      <c r="D32" s="55" t="s">
        <v>42</v>
      </c>
      <c r="E32" s="55" t="s">
        <v>79</v>
      </c>
      <c r="F32" s="55" t="s">
        <v>129</v>
      </c>
      <c r="G32" s="55">
        <v>2030.0</v>
      </c>
      <c r="H32" s="55" t="s">
        <v>6179</v>
      </c>
      <c r="I32" s="55" t="s">
        <v>5121</v>
      </c>
      <c r="J32" s="55" t="s">
        <v>6344</v>
      </c>
      <c r="K32" s="55" t="s">
        <v>61</v>
      </c>
      <c r="L32" s="55" t="s">
        <v>3607</v>
      </c>
      <c r="M32" s="55" t="s">
        <v>78</v>
      </c>
      <c r="N32" s="55" t="s">
        <v>79</v>
      </c>
      <c r="O32" s="55" t="s">
        <v>218</v>
      </c>
      <c r="P32" s="55" t="s">
        <v>110</v>
      </c>
      <c r="Q32" s="67" t="str">
        <f>IFERROR(__xludf.DUMMYFUNCTION("""COMPUTED_VALUE"""),"Australia.giaotiep.M207C161_SCB.9889_MES_AnhDP_170424")</f>
        <v>Australia.giaotiep.M207C161_SCB.9889_MES_AnhDP_170424</v>
      </c>
      <c r="R32" s="67" t="str">
        <f>IFERROR(__xludf.DUMMYFUNCTION("""COMPUTED_VALUE"""),"NEW_Australia_2030_none_170424")</f>
        <v>NEW_Australia_2030_none_170424</v>
      </c>
      <c r="S32" s="67" t="str">
        <f>IFERROR(__xludf.DUMMYFUNCTION("""COMPUTED_VALUE"""),"saletructiep_Australia.M207C161.giaotiep_PTATTNDL_LD220")</f>
        <v>saletructiep_Australia.M207C161.giaotiep_PTATTNDL_LD220</v>
      </c>
      <c r="T32" s="107" t="str">
        <f>IFERROR(__xludf.DUMMYFUNCTION("""COMPUTED_VALUE"""),"https://patadovietnam.edu.vn/giaotiepanhngu_adp/?utm_source=Facebook&amp;utm_medium=MES&amp;utm_term=NEW_Australia_2030_none_170424&amp;utm_content=saletructiep_Australia.M207C161.giaotiep_PTATTNDL_LD220&amp;utm_campaign=Australia.giaotiep.M207C161_SCB.9889_MES_AnhDP_170"&amp;"424")</f>
        <v>https://patadovietnam.edu.vn/giaotiepanhngu_adp/?utm_source=Facebook&amp;utm_medium=MES&amp;utm_term=NEW_Australia_2030_none_170424&amp;utm_content=saletructiep_Australia.M207C161.giaotiep_PTATTNDL_LD220&amp;utm_campaign=Australia.giaotiep.M207C161_SCB.9889_MES_AnhDP_170424</v>
      </c>
      <c r="U32" s="119" t="s">
        <v>6349</v>
      </c>
    </row>
    <row r="33">
      <c r="A33" s="72">
        <v>45401.0</v>
      </c>
      <c r="B33" s="60" t="s">
        <v>6267</v>
      </c>
      <c r="C33" s="67" t="str">
        <f>IFERROR(__xludf.DUMMYFUNCTION("""COMPUTED_VALUE"""),"LD220")</f>
        <v>LD220</v>
      </c>
      <c r="D33" s="55" t="s">
        <v>42</v>
      </c>
      <c r="E33" s="55" t="s">
        <v>79</v>
      </c>
      <c r="F33" s="55" t="s">
        <v>129</v>
      </c>
      <c r="G33" s="55">
        <v>2030.0</v>
      </c>
      <c r="H33" s="55" t="s">
        <v>6179</v>
      </c>
      <c r="I33" s="55" t="s">
        <v>6350</v>
      </c>
      <c r="J33" s="55" t="s">
        <v>6351</v>
      </c>
      <c r="K33" s="55" t="s">
        <v>61</v>
      </c>
      <c r="L33" s="55" t="s">
        <v>3607</v>
      </c>
      <c r="M33" s="55" t="s">
        <v>78</v>
      </c>
      <c r="N33" s="55" t="s">
        <v>79</v>
      </c>
      <c r="O33" s="55" t="s">
        <v>218</v>
      </c>
      <c r="P33" s="55" t="s">
        <v>110</v>
      </c>
      <c r="Q33" s="67" t="str">
        <f>IFERROR(__xludf.DUMMYFUNCTION("""COMPUTED_VALUE"""),"Australia.giaotiep.M208C174_SCB.9889_MES_AnhDP_190424")</f>
        <v>Australia.giaotiep.M208C174_SCB.9889_MES_AnhDP_190424</v>
      </c>
      <c r="R33" s="67" t="str">
        <f>IFERROR(__xludf.DUMMYFUNCTION("""COMPUTED_VALUE"""),"NEW_Australia_2030_none_190424")</f>
        <v>NEW_Australia_2030_none_190424</v>
      </c>
      <c r="S33" s="67" t="str">
        <f>IFERROR(__xludf.DUMMYFUNCTION("""COMPUTED_VALUE"""),"saletructiep_Australia.M208C174.giaotiep_PTATTNDL_LD220")</f>
        <v>saletructiep_Australia.M208C174.giaotiep_PTATTNDL_LD220</v>
      </c>
      <c r="T33" s="120" t="str">
        <f>IFERROR(__xludf.DUMMYFUNCTION("""COMPUTED_VALUE"""),"https://patadovietnam.edu.vn/giaotiepanhngu_adp/?utm_source=Facebook&amp;utm_medium=MES&amp;utm_term=NEW_Australia_2030_none_190424&amp;utm_content=saletructiep_Australia.M208C174.giaotiep_PTATTNDL_LD220&amp;utm_campaign=Australia.giaotiep.M208C174_SCB.9889_MES_AnhDP_190"&amp;"424")</f>
        <v>https://patadovietnam.edu.vn/giaotiepanhngu_adp/?utm_source=Facebook&amp;utm_medium=MES&amp;utm_term=NEW_Australia_2030_none_190424&amp;utm_content=saletructiep_Australia.M208C174.giaotiep_PTATTNDL_LD220&amp;utm_campaign=Australia.giaotiep.M208C174_SCB.9889_MES_AnhDP_190424</v>
      </c>
      <c r="U33" s="110" t="s">
        <v>6357</v>
      </c>
    </row>
    <row r="34">
      <c r="A34" s="72">
        <v>45401.0</v>
      </c>
      <c r="B34" s="60" t="s">
        <v>6267</v>
      </c>
      <c r="C34" s="67" t="str">
        <f>IFERROR(__xludf.DUMMYFUNCTION("""COMPUTED_VALUE"""),"LD220")</f>
        <v>LD220</v>
      </c>
      <c r="D34" s="55" t="s">
        <v>42</v>
      </c>
      <c r="E34" s="55" t="s">
        <v>79</v>
      </c>
      <c r="F34" s="55" t="s">
        <v>112</v>
      </c>
      <c r="G34" s="55">
        <v>2030.0</v>
      </c>
      <c r="H34" s="55" t="s">
        <v>6179</v>
      </c>
      <c r="I34" s="55" t="s">
        <v>6358</v>
      </c>
      <c r="J34" s="83" t="s">
        <v>6359</v>
      </c>
      <c r="K34" s="55" t="s">
        <v>61</v>
      </c>
      <c r="L34" s="55" t="s">
        <v>3607</v>
      </c>
      <c r="M34" s="55" t="s">
        <v>78</v>
      </c>
      <c r="N34" s="55" t="s">
        <v>79</v>
      </c>
      <c r="O34" s="55" t="s">
        <v>218</v>
      </c>
      <c r="P34" s="55" t="s">
        <v>110</v>
      </c>
      <c r="Q34" s="67" t="str">
        <f>IFERROR(__xludf.DUMMYFUNCTION("""COMPUTED_VALUE"""),"Canada.giaotiep.M209C170_SCB.9889_MES_AnhDP_190424")</f>
        <v>Canada.giaotiep.M209C170_SCB.9889_MES_AnhDP_190424</v>
      </c>
      <c r="R34" s="67" t="str">
        <f>IFERROR(__xludf.DUMMYFUNCTION("""COMPUTED_VALUE"""),"NEW_Canada_2030_none_190424")</f>
        <v>NEW_Canada_2030_none_190424</v>
      </c>
      <c r="S34" s="67" t="str">
        <f>IFERROR(__xludf.DUMMYFUNCTION("""COMPUTED_VALUE"""),"saletructiep_Canada.M209C170.giaotiep_PTATTNDL_LD220")</f>
        <v>saletructiep_Canada.M209C170.giaotiep_PTATTNDL_LD220</v>
      </c>
      <c r="T34" s="107" t="str">
        <f>IFERROR(__xludf.DUMMYFUNCTION("""COMPUTED_VALUE"""),"https://patadovietnam.edu.vn/giaotiepanhngu_adp/?utm_source=Facebook&amp;utm_medium=MES&amp;utm_term=NEW_Canada_2030_none_190424&amp;utm_content=saletructiep_Canada.M209C170.giaotiep_PTATTNDL_LD220&amp;utm_campaign=Canada.giaotiep.M209C170_SCB.9889_MES_AnhDP_190424")</f>
        <v>https://patadovietnam.edu.vn/giaotiepanhngu_adp/?utm_source=Facebook&amp;utm_medium=MES&amp;utm_term=NEW_Canada_2030_none_190424&amp;utm_content=saletructiep_Canada.M209C170.giaotiep_PTATTNDL_LD220&amp;utm_campaign=Canada.giaotiep.M209C170_SCB.9889_MES_AnhDP_190424</v>
      </c>
      <c r="U34" s="119" t="s">
        <v>6364</v>
      </c>
    </row>
    <row r="35">
      <c r="A35" s="72">
        <v>45401.0</v>
      </c>
      <c r="B35" s="60" t="s">
        <v>6267</v>
      </c>
      <c r="C35" s="67" t="str">
        <f>IFERROR(__xludf.DUMMYFUNCTION("""COMPUTED_VALUE"""),"LD220")</f>
        <v>LD220</v>
      </c>
      <c r="D35" s="55" t="s">
        <v>42</v>
      </c>
      <c r="E35" s="55" t="s">
        <v>79</v>
      </c>
      <c r="F35" s="55" t="s">
        <v>182</v>
      </c>
      <c r="G35" s="55">
        <v>2030.0</v>
      </c>
      <c r="H35" s="55" t="s">
        <v>6179</v>
      </c>
      <c r="I35" s="55" t="s">
        <v>6365</v>
      </c>
      <c r="J35" s="55" t="s">
        <v>6366</v>
      </c>
      <c r="K35" s="55" t="s">
        <v>61</v>
      </c>
      <c r="L35" s="55" t="s">
        <v>3607</v>
      </c>
      <c r="M35" s="55" t="s">
        <v>78</v>
      </c>
      <c r="N35" s="55" t="s">
        <v>79</v>
      </c>
      <c r="O35" s="55" t="s">
        <v>218</v>
      </c>
      <c r="P35" s="55" t="s">
        <v>110</v>
      </c>
      <c r="Q35" s="67" t="str">
        <f>IFERROR(__xludf.DUMMYFUNCTION("""COMPUTED_VALUE"""),"Malaysia.giaotiep.M172C138_SCB.9889_MES_AnhDP_190424")</f>
        <v>Malaysia.giaotiep.M172C138_SCB.9889_MES_AnhDP_190424</v>
      </c>
      <c r="R35" s="67" t="str">
        <f>IFERROR(__xludf.DUMMYFUNCTION("""COMPUTED_VALUE"""),"NEW_Malaysia_2030_none_190424")</f>
        <v>NEW_Malaysia_2030_none_190424</v>
      </c>
      <c r="S35" s="67" t="str">
        <f>IFERROR(__xludf.DUMMYFUNCTION("""COMPUTED_VALUE"""),"saletructiep_Malaysia.M172C138.giaotiep_PTATTNDL_LD220")</f>
        <v>saletructiep_Malaysia.M172C138.giaotiep_PTATTNDL_LD220</v>
      </c>
      <c r="T35" s="107" t="str">
        <f>IFERROR(__xludf.DUMMYFUNCTION("""COMPUTED_VALUE"""),"https://patadovietnam.edu.vn/giaotiepanhngu_adp/?utm_source=Facebook&amp;utm_medium=MES&amp;utm_term=NEW_Malaysia_2030_none_190424&amp;utm_content=saletructiep_Malaysia.M172C138.giaotiep_PTATTNDL_LD220&amp;utm_campaign=Malaysia.giaotiep.M172C138_SCB.9889_MES_AnhDP_190424")</f>
        <v>https://patadovietnam.edu.vn/giaotiepanhngu_adp/?utm_source=Facebook&amp;utm_medium=MES&amp;utm_term=NEW_Malaysia_2030_none_190424&amp;utm_content=saletructiep_Malaysia.M172C138.giaotiep_PTATTNDL_LD220&amp;utm_campaign=Malaysia.giaotiep.M172C138_SCB.9889_MES_AnhDP_190424</v>
      </c>
      <c r="U35" s="110" t="s">
        <v>6371</v>
      </c>
    </row>
    <row r="36">
      <c r="A36" s="72">
        <v>45404.0</v>
      </c>
      <c r="B36" s="60" t="s">
        <v>6267</v>
      </c>
      <c r="C36" s="67" t="str">
        <f>IFERROR(__xludf.DUMMYFUNCTION("""COMPUTED_VALUE"""),"LD220")</f>
        <v>LD220</v>
      </c>
      <c r="D36" s="55" t="s">
        <v>42</v>
      </c>
      <c r="E36" s="55" t="s">
        <v>79</v>
      </c>
      <c r="F36" s="55" t="s">
        <v>133</v>
      </c>
      <c r="G36" s="55">
        <v>2030.0</v>
      </c>
      <c r="H36" s="55" t="s">
        <v>6179</v>
      </c>
      <c r="I36" s="55" t="s">
        <v>6372</v>
      </c>
      <c r="J36" s="55" t="s">
        <v>6374</v>
      </c>
      <c r="K36" s="55" t="s">
        <v>61</v>
      </c>
      <c r="L36" s="55" t="s">
        <v>3607</v>
      </c>
      <c r="M36" s="55" t="s">
        <v>78</v>
      </c>
      <c r="N36" s="55" t="s">
        <v>79</v>
      </c>
      <c r="O36" s="55" t="s">
        <v>218</v>
      </c>
      <c r="P36" s="55" t="s">
        <v>110</v>
      </c>
      <c r="Q36" s="67" t="str">
        <f>IFERROR(__xludf.DUMMYFUNCTION("""COMPUTED_VALUE"""),"Japan.giaotiep.M191C132_SCB.9889_MES_AnhDP_220424")</f>
        <v>Japan.giaotiep.M191C132_SCB.9889_MES_AnhDP_220424</v>
      </c>
      <c r="R36" s="67" t="str">
        <f>IFERROR(__xludf.DUMMYFUNCTION("""COMPUTED_VALUE"""),"NEW_Japan_2030_none_220424")</f>
        <v>NEW_Japan_2030_none_220424</v>
      </c>
      <c r="S36" s="67" t="str">
        <f>IFERROR(__xludf.DUMMYFUNCTION("""COMPUTED_VALUE"""),"saletructiep_Japan.M191C132.giaotiep_PTATTNDL_LD220")</f>
        <v>saletructiep_Japan.M191C132.giaotiep_PTATTNDL_LD220</v>
      </c>
      <c r="T36" s="107" t="str">
        <f>IFERROR(__xludf.DUMMYFUNCTION("""COMPUTED_VALUE"""),"https://patadovietnam.edu.vn/giaotiepanhngu_adp/?utm_source=Facebook&amp;utm_medium=MES&amp;utm_term=NEW_Japan_2030_none_220424&amp;utm_content=saletructiep_Japan.M191C132.giaotiep_PTATTNDL_LD220&amp;utm_campaign=Japan.giaotiep.M191C132_SCB.9889_MES_AnhDP_220424")</f>
        <v>https://patadovietnam.edu.vn/giaotiepanhngu_adp/?utm_source=Facebook&amp;utm_medium=MES&amp;utm_term=NEW_Japan_2030_none_220424&amp;utm_content=saletructiep_Japan.M191C132.giaotiep_PTATTNDL_LD220&amp;utm_campaign=Japan.giaotiep.M191C132_SCB.9889_MES_AnhDP_220424</v>
      </c>
      <c r="U36" s="110" t="s">
        <v>6379</v>
      </c>
    </row>
    <row r="37">
      <c r="A37" s="72">
        <v>45404.0</v>
      </c>
      <c r="B37" s="60" t="s">
        <v>6267</v>
      </c>
      <c r="C37" s="67" t="str">
        <f>IFERROR(__xludf.DUMMYFUNCTION("""COMPUTED_VALUE"""),"LD220")</f>
        <v>LD220</v>
      </c>
      <c r="D37" s="55" t="s">
        <v>42</v>
      </c>
      <c r="E37" s="55" t="s">
        <v>79</v>
      </c>
      <c r="F37" s="55" t="s">
        <v>164</v>
      </c>
      <c r="G37" s="55">
        <v>1840.0</v>
      </c>
      <c r="H37" s="55" t="s">
        <v>6179</v>
      </c>
      <c r="I37" s="55" t="s">
        <v>6380</v>
      </c>
      <c r="J37" s="55" t="s">
        <v>6381</v>
      </c>
      <c r="K37" s="55" t="s">
        <v>61</v>
      </c>
      <c r="L37" s="55" t="s">
        <v>3607</v>
      </c>
      <c r="M37" s="55" t="s">
        <v>78</v>
      </c>
      <c r="N37" s="55" t="s">
        <v>79</v>
      </c>
      <c r="O37" s="55" t="s">
        <v>218</v>
      </c>
      <c r="P37" s="55" t="s">
        <v>110</v>
      </c>
      <c r="Q37" s="67" t="str">
        <f>IFERROR(__xludf.DUMMYFUNCTION("""COMPUTED_VALUE"""),"Taiwan.giaotiep.M191C134_SCB.9889_MES_AnhDP_220424")</f>
        <v>Taiwan.giaotiep.M191C134_SCB.9889_MES_AnhDP_220424</v>
      </c>
      <c r="R37" s="67" t="str">
        <f>IFERROR(__xludf.DUMMYFUNCTION("""COMPUTED_VALUE"""),"NEW_Taiwan_1840_none_220424")</f>
        <v>NEW_Taiwan_1840_none_220424</v>
      </c>
      <c r="S37" s="67" t="str">
        <f>IFERROR(__xludf.DUMMYFUNCTION("""COMPUTED_VALUE"""),"saletructiep_Taiwan.M191C134.giaotiep_PTATTNDL_LD220")</f>
        <v>saletructiep_Taiwan.M191C134.giaotiep_PTATTNDL_LD220</v>
      </c>
      <c r="T37" s="107" t="str">
        <f>IFERROR(__xludf.DUMMYFUNCTION("""COMPUTED_VALUE"""),"https://patadovietnam.edu.vn/giaotiepanhngu_adp/?utm_source=Facebook&amp;utm_medium=MES&amp;utm_term=NEW_Taiwan_1840_none_220424&amp;utm_content=saletructiep_Taiwan.M191C134.giaotiep_PTATTNDL_LD220&amp;utm_campaign=Taiwan.giaotiep.M191C134_SCB.9889_MES_AnhDP_220424")</f>
        <v>https://patadovietnam.edu.vn/giaotiepanhngu_adp/?utm_source=Facebook&amp;utm_medium=MES&amp;utm_term=NEW_Taiwan_1840_none_220424&amp;utm_content=saletructiep_Taiwan.M191C134.giaotiep_PTATTNDL_LD220&amp;utm_campaign=Taiwan.giaotiep.M191C134_SCB.9889_MES_AnhDP_220424</v>
      </c>
      <c r="U37" s="110" t="s">
        <v>6384</v>
      </c>
    </row>
    <row r="38">
      <c r="A38" s="72">
        <v>45404.0</v>
      </c>
      <c r="B38" s="60" t="s">
        <v>6267</v>
      </c>
      <c r="C38" s="67" t="str">
        <f>IFERROR(__xludf.DUMMYFUNCTION("""COMPUTED_VALUE"""),"LD220")</f>
        <v>LD220</v>
      </c>
      <c r="D38" s="55" t="s">
        <v>42</v>
      </c>
      <c r="E38" s="55" t="s">
        <v>79</v>
      </c>
      <c r="F38" s="55" t="s">
        <v>674</v>
      </c>
      <c r="G38" s="55">
        <v>1840.0</v>
      </c>
      <c r="H38" s="55" t="s">
        <v>6179</v>
      </c>
      <c r="I38" s="55" t="s">
        <v>6386</v>
      </c>
      <c r="J38" s="83" t="s">
        <v>6387</v>
      </c>
      <c r="K38" s="55" t="s">
        <v>61</v>
      </c>
      <c r="L38" s="55" t="s">
        <v>3607</v>
      </c>
      <c r="M38" s="55" t="s">
        <v>78</v>
      </c>
      <c r="N38" s="55" t="s">
        <v>79</v>
      </c>
      <c r="O38" s="55" t="s">
        <v>218</v>
      </c>
      <c r="P38" s="55" t="s">
        <v>110</v>
      </c>
      <c r="Q38" s="67" t="str">
        <f>IFERROR(__xludf.DUMMYFUNCTION("""COMPUTED_VALUE"""),"Europe.giaotiep.M172C138_SCB.9889_MES_AnhDP_220424")</f>
        <v>Europe.giaotiep.M172C138_SCB.9889_MES_AnhDP_220424</v>
      </c>
      <c r="R38" s="67" t="str">
        <f>IFERROR(__xludf.DUMMYFUNCTION("""COMPUTED_VALUE"""),"NEW_Europe_1840_none_220424")</f>
        <v>NEW_Europe_1840_none_220424</v>
      </c>
      <c r="S38" s="67" t="str">
        <f>IFERROR(__xludf.DUMMYFUNCTION("""COMPUTED_VALUE"""),"saletructiep_Europe.M172C138.giaotiep_PTATTNDL_LD220")</f>
        <v>saletructiep_Europe.M172C138.giaotiep_PTATTNDL_LD220</v>
      </c>
      <c r="T38" s="107" t="str">
        <f>IFERROR(__xludf.DUMMYFUNCTION("""COMPUTED_VALUE"""),"https://patadovietnam.edu.vn/giaotiepanhngu_adp/?utm_source=Facebook&amp;utm_medium=MES&amp;utm_term=NEW_Europe_1840_none_220424&amp;utm_content=saletructiep_Europe.M172C138.giaotiep_PTATTNDL_LD220&amp;utm_campaign=Europe.giaotiep.M172C138_SCB.9889_MES_AnhDP_220424")</f>
        <v>https://patadovietnam.edu.vn/giaotiepanhngu_adp/?utm_source=Facebook&amp;utm_medium=MES&amp;utm_term=NEW_Europe_1840_none_220424&amp;utm_content=saletructiep_Europe.M172C138.giaotiep_PTATTNDL_LD220&amp;utm_campaign=Europe.giaotiep.M172C138_SCB.9889_MES_AnhDP_220424</v>
      </c>
      <c r="U38" s="111" t="s">
        <v>6390</v>
      </c>
    </row>
    <row r="39">
      <c r="A39" s="72">
        <v>45405.0</v>
      </c>
      <c r="B39" s="60" t="s">
        <v>6267</v>
      </c>
      <c r="C39" s="67" t="str">
        <f>IFERROR(__xludf.DUMMYFUNCTION("""COMPUTED_VALUE"""),"LD220")</f>
        <v>LD220</v>
      </c>
      <c r="D39" s="55" t="s">
        <v>42</v>
      </c>
      <c r="E39" s="55" t="s">
        <v>79</v>
      </c>
      <c r="F39" s="55" t="s">
        <v>112</v>
      </c>
      <c r="G39" s="55">
        <v>1840.0</v>
      </c>
      <c r="H39" s="55" t="s">
        <v>6179</v>
      </c>
      <c r="I39" s="55" t="s">
        <v>6392</v>
      </c>
      <c r="J39" s="55" t="s">
        <v>6393</v>
      </c>
      <c r="K39" s="55" t="s">
        <v>61</v>
      </c>
      <c r="L39" s="55" t="s">
        <v>3607</v>
      </c>
      <c r="M39" s="55" t="s">
        <v>78</v>
      </c>
      <c r="N39" s="55" t="s">
        <v>79</v>
      </c>
      <c r="O39" s="55" t="s">
        <v>218</v>
      </c>
      <c r="P39" s="55" t="s">
        <v>110</v>
      </c>
      <c r="Q39" s="67" t="str">
        <f>IFERROR(__xludf.DUMMYFUNCTION("""COMPUTED_VALUE"""),"Canada.giaotiep.M209C175_SCB.9889_MES_AnhDP_230424")</f>
        <v>Canada.giaotiep.M209C175_SCB.9889_MES_AnhDP_230424</v>
      </c>
      <c r="R39" s="67" t="str">
        <f>IFERROR(__xludf.DUMMYFUNCTION("""COMPUTED_VALUE"""),"NEW_Canada_1840_none_230424")</f>
        <v>NEW_Canada_1840_none_230424</v>
      </c>
      <c r="S39" s="67" t="str">
        <f>IFERROR(__xludf.DUMMYFUNCTION("""COMPUTED_VALUE"""),"saletructiep_Canada.M209C175.giaotiep_PTATTNDL_LD220")</f>
        <v>saletructiep_Canada.M209C175.giaotiep_PTATTNDL_LD220</v>
      </c>
      <c r="T39" s="107" t="str">
        <f>IFERROR(__xludf.DUMMYFUNCTION("""COMPUTED_VALUE"""),"https://patadovietnam.edu.vn/giaotiepanhngu_adp/?utm_source=Facebook&amp;utm_medium=MES&amp;utm_term=NEW_Canada_1840_none_230424&amp;utm_content=saletructiep_Canada.M209C175.giaotiep_PTATTNDL_LD220&amp;utm_campaign=Canada.giaotiep.M209C175_SCB.9889_MES_AnhDP_230424")</f>
        <v>https://patadovietnam.edu.vn/giaotiepanhngu_adp/?utm_source=Facebook&amp;utm_medium=MES&amp;utm_term=NEW_Canada_1840_none_230424&amp;utm_content=saletructiep_Canada.M209C175.giaotiep_PTATTNDL_LD220&amp;utm_campaign=Canada.giaotiep.M209C175_SCB.9889_MES_AnhDP_230424</v>
      </c>
      <c r="U39" s="119" t="s">
        <v>6398</v>
      </c>
    </row>
    <row r="40">
      <c r="A40" s="72">
        <v>45406.0</v>
      </c>
      <c r="B40" s="60" t="s">
        <v>6267</v>
      </c>
      <c r="C40" s="67" t="str">
        <f>IFERROR(__xludf.DUMMYFUNCTION("""COMPUTED_VALUE"""),"LD220")</f>
        <v>LD220</v>
      </c>
      <c r="D40" s="55" t="s">
        <v>42</v>
      </c>
      <c r="E40" s="55" t="s">
        <v>79</v>
      </c>
      <c r="F40" s="55" t="s">
        <v>164</v>
      </c>
      <c r="G40" s="55">
        <v>1840.0</v>
      </c>
      <c r="H40" s="55" t="s">
        <v>6179</v>
      </c>
      <c r="I40" s="55" t="s">
        <v>6400</v>
      </c>
      <c r="J40" s="55" t="s">
        <v>6401</v>
      </c>
      <c r="K40" s="55" t="s">
        <v>61</v>
      </c>
      <c r="L40" s="55" t="s">
        <v>3607</v>
      </c>
      <c r="M40" s="55" t="s">
        <v>78</v>
      </c>
      <c r="N40" s="55" t="s">
        <v>79</v>
      </c>
      <c r="O40" s="55" t="s">
        <v>218</v>
      </c>
      <c r="P40" s="55" t="s">
        <v>110</v>
      </c>
      <c r="Q40" s="67" t="str">
        <f>IFERROR(__xludf.DUMMYFUNCTION("""COMPUTED_VALUE"""),"Taiwan.giaotiep.M210C114_SCB.9889_MES_AnhDP_240424")</f>
        <v>Taiwan.giaotiep.M210C114_SCB.9889_MES_AnhDP_240424</v>
      </c>
      <c r="R40" s="67" t="str">
        <f>IFERROR(__xludf.DUMMYFUNCTION("""COMPUTED_VALUE"""),"NEW_Taiwan_1840_none_240424")</f>
        <v>NEW_Taiwan_1840_none_240424</v>
      </c>
      <c r="S40" s="67" t="str">
        <f>IFERROR(__xludf.DUMMYFUNCTION("""COMPUTED_VALUE"""),"saletructiep_Taiwan.M210C114.giaotiep_PTATTNDL_LD220")</f>
        <v>saletructiep_Taiwan.M210C114.giaotiep_PTATTNDL_LD220</v>
      </c>
      <c r="T40" s="107" t="str">
        <f>IFERROR(__xludf.DUMMYFUNCTION("""COMPUTED_VALUE"""),"https://patadovietnam.edu.vn/giaotiepanhngu_adp/?utm_source=Facebook&amp;utm_medium=MES&amp;utm_term=NEW_Taiwan_1840_none_240424&amp;utm_content=saletructiep_Taiwan.M210C114.giaotiep_PTATTNDL_LD220&amp;utm_campaign=Taiwan.giaotiep.M210C114_SCB.9889_MES_AnhDP_240424")</f>
        <v>https://patadovietnam.edu.vn/giaotiepanhngu_adp/?utm_source=Facebook&amp;utm_medium=MES&amp;utm_term=NEW_Taiwan_1840_none_240424&amp;utm_content=saletructiep_Taiwan.M210C114.giaotiep_PTATTNDL_LD220&amp;utm_campaign=Taiwan.giaotiep.M210C114_SCB.9889_MES_AnhDP_240424</v>
      </c>
      <c r="U40" s="111" t="s">
        <v>6405</v>
      </c>
    </row>
    <row r="41">
      <c r="A41" s="72">
        <v>45406.0</v>
      </c>
      <c r="B41" s="60" t="s">
        <v>6267</v>
      </c>
      <c r="C41" s="67" t="str">
        <f>IFERROR(__xludf.DUMMYFUNCTION("""COMPUTED_VALUE"""),"LD220")</f>
        <v>LD220</v>
      </c>
      <c r="D41" s="55" t="s">
        <v>42</v>
      </c>
      <c r="E41" s="55" t="s">
        <v>79</v>
      </c>
      <c r="F41" s="55" t="s">
        <v>674</v>
      </c>
      <c r="G41" s="55">
        <v>1840.0</v>
      </c>
      <c r="H41" s="55" t="s">
        <v>6179</v>
      </c>
      <c r="I41" s="55" t="s">
        <v>6406</v>
      </c>
      <c r="J41" s="55" t="s">
        <v>6407</v>
      </c>
      <c r="K41" s="55" t="s">
        <v>61</v>
      </c>
      <c r="L41" s="55" t="s">
        <v>3607</v>
      </c>
      <c r="M41" s="55" t="s">
        <v>78</v>
      </c>
      <c r="N41" s="55" t="s">
        <v>79</v>
      </c>
      <c r="O41" s="55" t="s">
        <v>218</v>
      </c>
      <c r="P41" s="55" t="s">
        <v>110</v>
      </c>
      <c r="Q41" s="67" t="str">
        <f>IFERROR(__xludf.DUMMYFUNCTION("""COMPUTED_VALUE"""),"Europe.giaotiep.M172C170_SCB.9889_MES_AnhDP_240424")</f>
        <v>Europe.giaotiep.M172C170_SCB.9889_MES_AnhDP_240424</v>
      </c>
      <c r="R41" s="67" t="str">
        <f>IFERROR(__xludf.DUMMYFUNCTION("""COMPUTED_VALUE"""),"NEW_Europe_1840_none_240424")</f>
        <v>NEW_Europe_1840_none_240424</v>
      </c>
      <c r="S41" s="67" t="str">
        <f>IFERROR(__xludf.DUMMYFUNCTION("""COMPUTED_VALUE"""),"saletructiep_Europe.M172C170.giaotiep_PTATTNDL_LD220")</f>
        <v>saletructiep_Europe.M172C170.giaotiep_PTATTNDL_LD220</v>
      </c>
      <c r="T41" s="107" t="str">
        <f>IFERROR(__xludf.DUMMYFUNCTION("""COMPUTED_VALUE"""),"https://patadovietnam.edu.vn/giaotiepanhngu_adp/?utm_source=Facebook&amp;utm_medium=MES&amp;utm_term=NEW_Europe_1840_none_240424&amp;utm_content=saletructiep_Europe.M172C170.giaotiep_PTATTNDL_LD220&amp;utm_campaign=Europe.giaotiep.M172C170_SCB.9889_MES_AnhDP_240424")</f>
        <v>https://patadovietnam.edu.vn/giaotiepanhngu_adp/?utm_source=Facebook&amp;utm_medium=MES&amp;utm_term=NEW_Europe_1840_none_240424&amp;utm_content=saletructiep_Europe.M172C170.giaotiep_PTATTNDL_LD220&amp;utm_campaign=Europe.giaotiep.M172C170_SCB.9889_MES_AnhDP_240424</v>
      </c>
      <c r="U41" s="110" t="s">
        <v>6412</v>
      </c>
    </row>
    <row r="42">
      <c r="A42" s="72">
        <v>45406.0</v>
      </c>
      <c r="B42" s="60" t="s">
        <v>6267</v>
      </c>
      <c r="C42" s="67" t="str">
        <f>IFERROR(__xludf.DUMMYFUNCTION("""COMPUTED_VALUE"""),"LD220")</f>
        <v>LD220</v>
      </c>
      <c r="D42" s="55" t="s">
        <v>42</v>
      </c>
      <c r="E42" s="55" t="s">
        <v>79</v>
      </c>
      <c r="F42" s="55" t="s">
        <v>162</v>
      </c>
      <c r="G42" s="55">
        <v>1840.0</v>
      </c>
      <c r="H42" s="55" t="s">
        <v>6179</v>
      </c>
      <c r="I42" s="55" t="s">
        <v>6416</v>
      </c>
      <c r="J42" s="83" t="s">
        <v>6417</v>
      </c>
      <c r="K42" s="55" t="s">
        <v>61</v>
      </c>
      <c r="L42" s="55" t="s">
        <v>3607</v>
      </c>
      <c r="M42" s="55" t="s">
        <v>78</v>
      </c>
      <c r="N42" s="55" t="s">
        <v>79</v>
      </c>
      <c r="O42" s="55" t="s">
        <v>218</v>
      </c>
      <c r="P42" s="55" t="s">
        <v>110</v>
      </c>
      <c r="Q42" s="67" t="str">
        <f>IFERROR(__xludf.DUMMYFUNCTION("""COMPUTED_VALUE"""),"Singapore.giaotiep.M191C170_SCB.9889_MES_AnhDP_240424")</f>
        <v>Singapore.giaotiep.M191C170_SCB.9889_MES_AnhDP_240424</v>
      </c>
      <c r="R42" s="67" t="str">
        <f>IFERROR(__xludf.DUMMYFUNCTION("""COMPUTED_VALUE"""),"NEW_Singapore_1840_none_240424")</f>
        <v>NEW_Singapore_1840_none_240424</v>
      </c>
      <c r="S42" s="67" t="str">
        <f>IFERROR(__xludf.DUMMYFUNCTION("""COMPUTED_VALUE"""),"saletructiep_Singapore.M191C170.giaotiep_PTATTNDL_LD220")</f>
        <v>saletructiep_Singapore.M191C170.giaotiep_PTATTNDL_LD220</v>
      </c>
      <c r="T42" s="107" t="str">
        <f>IFERROR(__xludf.DUMMYFUNCTION("""COMPUTED_VALUE"""),"https://patadovietnam.edu.vn/giaotiepanhngu_adp/?utm_source=Facebook&amp;utm_medium=MES&amp;utm_term=NEW_Singapore_1840_none_240424&amp;utm_content=saletructiep_Singapore.M191C170.giaotiep_PTATTNDL_LD220&amp;utm_campaign=Singapore.giaotiep.M191C170_SCB.9889_MES_AnhDP_240"&amp;"424")</f>
        <v>https://patadovietnam.edu.vn/giaotiepanhngu_adp/?utm_source=Facebook&amp;utm_medium=MES&amp;utm_term=NEW_Singapore_1840_none_240424&amp;utm_content=saletructiep_Singapore.M191C170.giaotiep_PTATTNDL_LD220&amp;utm_campaign=Singapore.giaotiep.M191C170_SCB.9889_MES_AnhDP_240424</v>
      </c>
      <c r="U42" s="110" t="s">
        <v>6420</v>
      </c>
    </row>
    <row r="43">
      <c r="A43" s="72">
        <v>45407.0</v>
      </c>
      <c r="B43" s="60" t="s">
        <v>6176</v>
      </c>
      <c r="C43" s="67" t="str">
        <f>IFERROR(__xludf.DUMMYFUNCTION("""COMPUTED_VALUE"""),"LD219")</f>
        <v>LD219</v>
      </c>
      <c r="D43" s="55" t="s">
        <v>42</v>
      </c>
      <c r="E43" s="55" t="s">
        <v>79</v>
      </c>
      <c r="F43" s="55" t="s">
        <v>625</v>
      </c>
      <c r="G43" s="55">
        <v>1840.0</v>
      </c>
      <c r="H43" s="55" t="s">
        <v>6179</v>
      </c>
      <c r="I43" s="83" t="s">
        <v>6424</v>
      </c>
      <c r="J43" s="83" t="s">
        <v>6425</v>
      </c>
      <c r="K43" s="55" t="s">
        <v>61</v>
      </c>
      <c r="L43" s="55" t="s">
        <v>3607</v>
      </c>
      <c r="M43" s="55" t="s">
        <v>78</v>
      </c>
      <c r="N43" s="55" t="s">
        <v>79</v>
      </c>
      <c r="O43" s="55" t="s">
        <v>218</v>
      </c>
      <c r="P43" s="55" t="s">
        <v>110</v>
      </c>
      <c r="Q43" s="67" t="str">
        <f>IFERROR(__xludf.DUMMYFUNCTION("""COMPUTED_VALUE"""),"KoreaSouth.giaotiep.M213C100_SCB.9889_MES_AnhDP_250424")</f>
        <v>KoreaSouth.giaotiep.M213C100_SCB.9889_MES_AnhDP_250424</v>
      </c>
      <c r="R43" s="67" t="str">
        <f>IFERROR(__xludf.DUMMYFUNCTION("""COMPUTED_VALUE"""),"NEW_KoreaSouth_1840_none_250424")</f>
        <v>NEW_KoreaSouth_1840_none_250424</v>
      </c>
      <c r="S43" s="67" t="str">
        <f>IFERROR(__xludf.DUMMYFUNCTION("""COMPUTED_VALUE"""),"saletructiep_KoreaSouth.M213C100.giaotiep_PTATTNDL_LD219")</f>
        <v>saletructiep_KoreaSouth.M213C100.giaotiep_PTATTNDL_LD219</v>
      </c>
      <c r="T43" s="107" t="str">
        <f>IFERROR(__xludf.DUMMYFUNCTION("""COMPUTED_VALUE"""),"https://patadovietnam.edu.vn/tienganhgiaotiep_adp/?utm_source=Facebook&amp;utm_medium=MES&amp;utm_term=NEW_KoreaSouth_1840_none_250424&amp;utm_content=saletructiep_KoreaSouth.M213C100.giaotiep_PTATTNDL_LD219&amp;utm_campaign=KoreaSouth.giaotiep.M213C100_SCB.9889_MES_AnhD"&amp;"P_250424")</f>
        <v>https://patadovietnam.edu.vn/tienganhgiaotiep_adp/?utm_source=Facebook&amp;utm_medium=MES&amp;utm_term=NEW_KoreaSouth_1840_none_250424&amp;utm_content=saletructiep_KoreaSouth.M213C100.giaotiep_PTATTNDL_LD219&amp;utm_campaign=KoreaSouth.giaotiep.M213C100_SCB.9889_MES_AnhDP_250424</v>
      </c>
      <c r="U43" s="110" t="s">
        <v>6427</v>
      </c>
    </row>
    <row r="44">
      <c r="A44" s="72">
        <v>45415.0</v>
      </c>
      <c r="B44" s="60" t="s">
        <v>6267</v>
      </c>
      <c r="C44" s="67" t="str">
        <f>IFERROR(__xludf.DUMMYFUNCTION("""COMPUTED_VALUE"""),"LD220")</f>
        <v>LD220</v>
      </c>
      <c r="D44" s="55" t="s">
        <v>42</v>
      </c>
      <c r="E44" s="55" t="s">
        <v>79</v>
      </c>
      <c r="F44" s="55" t="s">
        <v>174</v>
      </c>
      <c r="G44" s="55">
        <v>2035.0</v>
      </c>
      <c r="H44" s="55" t="s">
        <v>6179</v>
      </c>
      <c r="I44" s="55" t="s">
        <v>6428</v>
      </c>
      <c r="J44" s="55" t="s">
        <v>6429</v>
      </c>
      <c r="K44" s="55" t="s">
        <v>61</v>
      </c>
      <c r="L44" s="55" t="s">
        <v>3607</v>
      </c>
      <c r="M44" s="55" t="s">
        <v>78</v>
      </c>
      <c r="N44" s="55" t="s">
        <v>79</v>
      </c>
      <c r="O44" s="55" t="s">
        <v>218</v>
      </c>
      <c r="P44" s="55" t="s">
        <v>110</v>
      </c>
      <c r="Q44" s="67" t="str">
        <f>IFERROR(__xludf.DUMMYFUNCTION("""COMPUTED_VALUE"""),"Philippines.giaotiep.M216C177_SCB.9889_MES_AnhDP_030524")</f>
        <v>Philippines.giaotiep.M216C177_SCB.9889_MES_AnhDP_030524</v>
      </c>
      <c r="R44" s="67" t="str">
        <f>IFERROR(__xludf.DUMMYFUNCTION("""COMPUTED_VALUE"""),"NEW_Philippines_2035_none_030524")</f>
        <v>NEW_Philippines_2035_none_030524</v>
      </c>
      <c r="S44" s="67" t="str">
        <f>IFERROR(__xludf.DUMMYFUNCTION("""COMPUTED_VALUE"""),"saletructiep_Philippines.M216C177.giaotiep_PTATTNDL_LD220")</f>
        <v>saletructiep_Philippines.M216C177.giaotiep_PTATTNDL_LD220</v>
      </c>
      <c r="T44" s="107" t="str">
        <f>IFERROR(__xludf.DUMMYFUNCTION("""COMPUTED_VALUE"""),"https://patadovietnam.edu.vn/giaotiepanhngu_adp/?utm_source=Facebook&amp;utm_medium=MES&amp;utm_term=NEW_Philippines_2035_none_030524&amp;utm_content=saletructiep_Philippines.M216C177.giaotiep_PTATTNDL_LD220&amp;utm_campaign=Philippines.giaotiep.M216C177_SCB.9889_MES_Anh"&amp;"DP_030524")</f>
        <v>https://patadovietnam.edu.vn/giaotiepanhngu_adp/?utm_source=Facebook&amp;utm_medium=MES&amp;utm_term=NEW_Philippines_2035_none_030524&amp;utm_content=saletructiep_Philippines.M216C177.giaotiep_PTATTNDL_LD220&amp;utm_campaign=Philippines.giaotiep.M216C177_SCB.9889_MES_AnhDP_030524</v>
      </c>
      <c r="U44" s="110" t="s">
        <v>6433</v>
      </c>
    </row>
    <row r="45">
      <c r="A45" s="72">
        <v>45415.0</v>
      </c>
      <c r="B45" s="60" t="s">
        <v>6267</v>
      </c>
      <c r="C45" s="67" t="str">
        <f>IFERROR(__xludf.DUMMYFUNCTION("""COMPUTED_VALUE"""),"LD220")</f>
        <v>LD220</v>
      </c>
      <c r="D45" s="55" t="s">
        <v>42</v>
      </c>
      <c r="E45" s="55" t="s">
        <v>79</v>
      </c>
      <c r="F45" s="55" t="s">
        <v>112</v>
      </c>
      <c r="G45" s="55">
        <v>2035.0</v>
      </c>
      <c r="H45" s="55" t="s">
        <v>6179</v>
      </c>
      <c r="I45" s="55" t="s">
        <v>6438</v>
      </c>
      <c r="J45" s="55" t="s">
        <v>6439</v>
      </c>
      <c r="K45" s="55" t="s">
        <v>61</v>
      </c>
      <c r="L45" s="55" t="s">
        <v>3607</v>
      </c>
      <c r="M45" s="55" t="s">
        <v>78</v>
      </c>
      <c r="N45" s="55" t="s">
        <v>79</v>
      </c>
      <c r="O45" s="55" t="s">
        <v>218</v>
      </c>
      <c r="P45" s="55" t="s">
        <v>110</v>
      </c>
      <c r="Q45" s="67" t="str">
        <f>IFERROR(__xludf.DUMMYFUNCTION("""COMPUTED_VALUE"""),"Canada.giaotiep.M217C178_SCB.9889_MES_AnhDP_030524")</f>
        <v>Canada.giaotiep.M217C178_SCB.9889_MES_AnhDP_030524</v>
      </c>
      <c r="R45" s="67" t="str">
        <f>IFERROR(__xludf.DUMMYFUNCTION("""COMPUTED_VALUE"""),"NEW_Canada_2035_none_030524")</f>
        <v>NEW_Canada_2035_none_030524</v>
      </c>
      <c r="S45" s="67" t="str">
        <f>IFERROR(__xludf.DUMMYFUNCTION("""COMPUTED_VALUE"""),"saletructiep_Canada.M217C178.giaotiep_PTATTNDL_LD220")</f>
        <v>saletructiep_Canada.M217C178.giaotiep_PTATTNDL_LD220</v>
      </c>
      <c r="T45" s="107" t="str">
        <f>IFERROR(__xludf.DUMMYFUNCTION("""COMPUTED_VALUE"""),"https://patadovietnam.edu.vn/giaotiepanhngu_adp/?utm_source=Facebook&amp;utm_medium=MES&amp;utm_term=NEW_Canada_2035_none_030524&amp;utm_content=saletructiep_Canada.M217C178.giaotiep_PTATTNDL_LD220&amp;utm_campaign=Canada.giaotiep.M217C178_SCB.9889_MES_AnhDP_030524")</f>
        <v>https://patadovietnam.edu.vn/giaotiepanhngu_adp/?utm_source=Facebook&amp;utm_medium=MES&amp;utm_term=NEW_Canada_2035_none_030524&amp;utm_content=saletructiep_Canada.M217C178.giaotiep_PTATTNDL_LD220&amp;utm_campaign=Canada.giaotiep.M217C178_SCB.9889_MES_AnhDP_030524</v>
      </c>
      <c r="U45" s="110" t="s">
        <v>6440</v>
      </c>
    </row>
    <row r="46">
      <c r="A46" s="72">
        <v>45415.0</v>
      </c>
      <c r="B46" s="60" t="s">
        <v>6267</v>
      </c>
      <c r="C46" s="67" t="str">
        <f>IFERROR(__xludf.DUMMYFUNCTION("""COMPUTED_VALUE"""),"LD220")</f>
        <v>LD220</v>
      </c>
      <c r="D46" s="55" t="s">
        <v>42</v>
      </c>
      <c r="E46" s="55" t="s">
        <v>79</v>
      </c>
      <c r="F46" s="55" t="s">
        <v>674</v>
      </c>
      <c r="G46" s="55">
        <v>2035.0</v>
      </c>
      <c r="H46" s="55" t="s">
        <v>6179</v>
      </c>
      <c r="I46" s="55" t="s">
        <v>6444</v>
      </c>
      <c r="J46" s="55" t="s">
        <v>6445</v>
      </c>
      <c r="K46" s="55" t="s">
        <v>61</v>
      </c>
      <c r="L46" s="55" t="s">
        <v>3607</v>
      </c>
      <c r="M46" s="55" t="s">
        <v>78</v>
      </c>
      <c r="N46" s="55" t="s">
        <v>79</v>
      </c>
      <c r="O46" s="55" t="s">
        <v>218</v>
      </c>
      <c r="P46" s="55" t="s">
        <v>110</v>
      </c>
      <c r="Q46" s="67" t="str">
        <f>IFERROR(__xludf.DUMMYFUNCTION("""COMPUTED_VALUE"""),"Europe.giaotiep.M217C178_SCB.9889_MES_AnhDP_030524")</f>
        <v>Europe.giaotiep.M217C178_SCB.9889_MES_AnhDP_030524</v>
      </c>
      <c r="R46" s="67" t="str">
        <f>IFERROR(__xludf.DUMMYFUNCTION("""COMPUTED_VALUE"""),"NEW_Europe_2035_none_030524")</f>
        <v>NEW_Europe_2035_none_030524</v>
      </c>
      <c r="S46" s="67" t="str">
        <f>IFERROR(__xludf.DUMMYFUNCTION("""COMPUTED_VALUE"""),"saletructiep_Europe.M217C178.giaotiep_PTATTNDL_LD220")</f>
        <v>saletructiep_Europe.M217C178.giaotiep_PTATTNDL_LD220</v>
      </c>
      <c r="T46" s="107" t="str">
        <f>IFERROR(__xludf.DUMMYFUNCTION("""COMPUTED_VALUE"""),"https://patadovietnam.edu.vn/giaotiepanhngu_adp/?utm_source=Facebook&amp;utm_medium=MES&amp;utm_term=NEW_Europe_2035_none_030524&amp;utm_content=saletructiep_Europe.M217C178.giaotiep_PTATTNDL_LD220&amp;utm_campaign=Europe.giaotiep.M217C178_SCB.9889_MES_AnhDP_030524")</f>
        <v>https://patadovietnam.edu.vn/giaotiepanhngu_adp/?utm_source=Facebook&amp;utm_medium=MES&amp;utm_term=NEW_Europe_2035_none_030524&amp;utm_content=saletructiep_Europe.M217C178.giaotiep_PTATTNDL_LD220&amp;utm_campaign=Europe.giaotiep.M217C178_SCB.9889_MES_AnhDP_030524</v>
      </c>
      <c r="U46" s="110" t="s">
        <v>6449</v>
      </c>
    </row>
    <row r="47">
      <c r="A47" s="72">
        <v>45416.0</v>
      </c>
      <c r="B47" s="60" t="s">
        <v>6267</v>
      </c>
      <c r="C47" s="67" t="str">
        <f>IFERROR(__xludf.DUMMYFUNCTION("""COMPUTED_VALUE"""),"LD220")</f>
        <v>LD220</v>
      </c>
      <c r="D47" s="55" t="s">
        <v>42</v>
      </c>
      <c r="E47" s="55" t="s">
        <v>79</v>
      </c>
      <c r="F47" s="55" t="s">
        <v>164</v>
      </c>
      <c r="G47" s="55">
        <v>2035.0</v>
      </c>
      <c r="H47" s="55" t="s">
        <v>6179</v>
      </c>
      <c r="I47" s="55" t="s">
        <v>6450</v>
      </c>
      <c r="J47" s="55" t="s">
        <v>6451</v>
      </c>
      <c r="K47" s="55" t="s">
        <v>61</v>
      </c>
      <c r="L47" s="55" t="s">
        <v>3607</v>
      </c>
      <c r="M47" s="55" t="s">
        <v>78</v>
      </c>
      <c r="N47" s="55" t="s">
        <v>79</v>
      </c>
      <c r="O47" s="55" t="s">
        <v>218</v>
      </c>
      <c r="P47" s="55" t="s">
        <v>110</v>
      </c>
      <c r="Q47" s="67" t="str">
        <f>IFERROR(__xludf.DUMMYFUNCTION("""COMPUTED_VALUE"""),"Taiwan.giaotiep.M172C178_SCB.9889_MES_AnhDP_040524")</f>
        <v>Taiwan.giaotiep.M172C178_SCB.9889_MES_AnhDP_040524</v>
      </c>
      <c r="R47" s="67" t="str">
        <f>IFERROR(__xludf.DUMMYFUNCTION("""COMPUTED_VALUE"""),"NEW_Taiwan_2035_none_040524")</f>
        <v>NEW_Taiwan_2035_none_040524</v>
      </c>
      <c r="S47" s="67" t="str">
        <f>IFERROR(__xludf.DUMMYFUNCTION("""COMPUTED_VALUE"""),"saletructiep_Taiwan.M172C178.giaotiep_PTATTNDL_LD220")</f>
        <v>saletructiep_Taiwan.M172C178.giaotiep_PTATTNDL_LD220</v>
      </c>
      <c r="T47" s="107" t="str">
        <f>IFERROR(__xludf.DUMMYFUNCTION("""COMPUTED_VALUE"""),"https://patadovietnam.edu.vn/giaotiepanhngu_adp/?utm_source=Facebook&amp;utm_medium=MES&amp;utm_term=NEW_Taiwan_2035_none_040524&amp;utm_content=saletructiep_Taiwan.M172C178.giaotiep_PTATTNDL_LD220&amp;utm_campaign=Taiwan.giaotiep.M172C178_SCB.9889_MES_AnhDP_040524")</f>
        <v>https://patadovietnam.edu.vn/giaotiepanhngu_adp/?utm_source=Facebook&amp;utm_medium=MES&amp;utm_term=NEW_Taiwan_2035_none_040524&amp;utm_content=saletructiep_Taiwan.M172C178.giaotiep_PTATTNDL_LD220&amp;utm_campaign=Taiwan.giaotiep.M172C178_SCB.9889_MES_AnhDP_040524</v>
      </c>
      <c r="U47" s="110" t="s">
        <v>6453</v>
      </c>
    </row>
    <row r="48">
      <c r="A48" s="72">
        <v>45416.0</v>
      </c>
      <c r="B48" s="60" t="s">
        <v>6267</v>
      </c>
      <c r="C48" s="67" t="str">
        <f>IFERROR(__xludf.DUMMYFUNCTION("""COMPUTED_VALUE"""),"LD220")</f>
        <v>LD220</v>
      </c>
      <c r="D48" s="55" t="s">
        <v>42</v>
      </c>
      <c r="E48" s="55" t="s">
        <v>79</v>
      </c>
      <c r="F48" s="55" t="s">
        <v>674</v>
      </c>
      <c r="G48" s="55">
        <v>2035.0</v>
      </c>
      <c r="H48" s="55" t="s">
        <v>6179</v>
      </c>
      <c r="I48" s="55" t="s">
        <v>6455</v>
      </c>
      <c r="J48" s="55" t="s">
        <v>6456</v>
      </c>
      <c r="K48" s="55" t="s">
        <v>61</v>
      </c>
      <c r="L48" s="55" t="s">
        <v>3607</v>
      </c>
      <c r="M48" s="55" t="s">
        <v>78</v>
      </c>
      <c r="N48" s="55" t="s">
        <v>79</v>
      </c>
      <c r="O48" s="55" t="s">
        <v>218</v>
      </c>
      <c r="P48" s="55" t="s">
        <v>110</v>
      </c>
      <c r="Q48" s="67" t="str">
        <f>IFERROR(__xludf.DUMMYFUNCTION("""COMPUTED_VALUE"""),"Europe.giaotiep.M202C187_SCB.9889_MES_AnhDP_040524")</f>
        <v>Europe.giaotiep.M202C187_SCB.9889_MES_AnhDP_040524</v>
      </c>
      <c r="R48" s="67" t="str">
        <f>IFERROR(__xludf.DUMMYFUNCTION("""COMPUTED_VALUE"""),"NEW_Europe_2035_none_040524")</f>
        <v>NEW_Europe_2035_none_040524</v>
      </c>
      <c r="S48" s="67" t="str">
        <f>IFERROR(__xludf.DUMMYFUNCTION("""COMPUTED_VALUE"""),"saletructiep_Europe.M202C187.giaotiep_PTATTNDL_LD220")</f>
        <v>saletructiep_Europe.M202C187.giaotiep_PTATTNDL_LD220</v>
      </c>
      <c r="T48" s="107" t="str">
        <f>IFERROR(__xludf.DUMMYFUNCTION("""COMPUTED_VALUE"""),"https://patadovietnam.edu.vn/giaotiepanhngu_adp/?utm_source=Facebook&amp;utm_medium=MES&amp;utm_term=NEW_Europe_2035_none_040524&amp;utm_content=saletructiep_Europe.M202C187.giaotiep_PTATTNDL_LD220&amp;utm_campaign=Europe.giaotiep.M202C187_SCB.9889_MES_AnhDP_040524")</f>
        <v>https://patadovietnam.edu.vn/giaotiepanhngu_adp/?utm_source=Facebook&amp;utm_medium=MES&amp;utm_term=NEW_Europe_2035_none_040524&amp;utm_content=saletructiep_Europe.M202C187.giaotiep_PTATTNDL_LD220&amp;utm_campaign=Europe.giaotiep.M202C187_SCB.9889_MES_AnhDP_040524</v>
      </c>
      <c r="U48" s="110" t="s">
        <v>6460</v>
      </c>
    </row>
    <row r="49">
      <c r="A49" s="72">
        <v>45418.0</v>
      </c>
      <c r="B49" s="60" t="s">
        <v>6267</v>
      </c>
      <c r="C49" s="67" t="str">
        <f>IFERROR(__xludf.DUMMYFUNCTION("""COMPUTED_VALUE"""),"LD220")</f>
        <v>LD220</v>
      </c>
      <c r="D49" s="55" t="s">
        <v>42</v>
      </c>
      <c r="E49" s="55" t="s">
        <v>79</v>
      </c>
      <c r="F49" s="55" t="s">
        <v>674</v>
      </c>
      <c r="G49" s="55">
        <v>2035.0</v>
      </c>
      <c r="H49" s="55" t="s">
        <v>6179</v>
      </c>
      <c r="I49" s="55" t="s">
        <v>6461</v>
      </c>
      <c r="J49" s="83" t="s">
        <v>6462</v>
      </c>
      <c r="K49" s="55" t="s">
        <v>61</v>
      </c>
      <c r="L49" s="55" t="s">
        <v>3607</v>
      </c>
      <c r="M49" s="55" t="s">
        <v>78</v>
      </c>
      <c r="N49" s="55" t="s">
        <v>79</v>
      </c>
      <c r="O49" s="55" t="s">
        <v>218</v>
      </c>
      <c r="P49" s="55" t="s">
        <v>110</v>
      </c>
      <c r="Q49" s="67" t="str">
        <f>IFERROR(__xludf.DUMMYFUNCTION("""COMPUTED_VALUE"""),"Europe.giaotiep.M225C187_SCB.9889_MES_AnhDP_060524")</f>
        <v>Europe.giaotiep.M225C187_SCB.9889_MES_AnhDP_060524</v>
      </c>
      <c r="R49" s="67" t="str">
        <f>IFERROR(__xludf.DUMMYFUNCTION("""COMPUTED_VALUE"""),"NEW_Europe_2035_none_060524")</f>
        <v>NEW_Europe_2035_none_060524</v>
      </c>
      <c r="S49" s="67" t="str">
        <f>IFERROR(__xludf.DUMMYFUNCTION("""COMPUTED_VALUE"""),"saletructiep_Europe.M225C187.giaotiep_PTATTNDL_LD220")</f>
        <v>saletructiep_Europe.M225C187.giaotiep_PTATTNDL_LD220</v>
      </c>
      <c r="T49" s="107" t="str">
        <f>IFERROR(__xludf.DUMMYFUNCTION("""COMPUTED_VALUE"""),"https://patadovietnam.edu.vn/giaotiepanhngu_adp/?utm_source=Facebook&amp;utm_medium=MES&amp;utm_term=NEW_Europe_2035_none_060524&amp;utm_content=saletructiep_Europe.M225C187.giaotiep_PTATTNDL_LD220&amp;utm_campaign=Europe.giaotiep.M225C187_SCB.9889_MES_AnhDP_060524")</f>
        <v>https://patadovietnam.edu.vn/giaotiepanhngu_adp/?utm_source=Facebook&amp;utm_medium=MES&amp;utm_term=NEW_Europe_2035_none_060524&amp;utm_content=saletructiep_Europe.M225C187.giaotiep_PTATTNDL_LD220&amp;utm_campaign=Europe.giaotiep.M225C187_SCB.9889_MES_AnhDP_060524</v>
      </c>
      <c r="U49" s="110" t="s">
        <v>6465</v>
      </c>
    </row>
    <row r="50">
      <c r="A50" s="72">
        <v>45419.0</v>
      </c>
      <c r="B50" s="60" t="s">
        <v>6267</v>
      </c>
      <c r="C50" s="67" t="str">
        <f>IFERROR(__xludf.DUMMYFUNCTION("""COMPUTED_VALUE"""),"LD220")</f>
        <v>LD220</v>
      </c>
      <c r="D50" s="55" t="s">
        <v>42</v>
      </c>
      <c r="E50" s="55" t="s">
        <v>79</v>
      </c>
      <c r="F50" s="55" t="s">
        <v>625</v>
      </c>
      <c r="G50" s="55">
        <v>1835.0</v>
      </c>
      <c r="H50" s="55" t="s">
        <v>6179</v>
      </c>
      <c r="I50" s="83" t="s">
        <v>6468</v>
      </c>
      <c r="J50" s="83" t="s">
        <v>6469</v>
      </c>
      <c r="K50" s="55" t="s">
        <v>61</v>
      </c>
      <c r="L50" s="55" t="s">
        <v>3607</v>
      </c>
      <c r="M50" s="55" t="s">
        <v>78</v>
      </c>
      <c r="N50" s="55" t="s">
        <v>79</v>
      </c>
      <c r="O50" s="55" t="s">
        <v>4350</v>
      </c>
      <c r="P50" s="55" t="s">
        <v>110</v>
      </c>
      <c r="Q50" s="67" t="str">
        <f>IFERROR(__xludf.DUMMYFUNCTION("""COMPUTED_VALUE"""),"KoreaSouth.giaotiep.M225C133_SCB.9889_MES_AnhDP_070524")</f>
        <v>KoreaSouth.giaotiep.M225C133_SCB.9889_MES_AnhDP_070524</v>
      </c>
      <c r="R50" s="67" t="str">
        <f>IFERROR(__xludf.DUMMYFUNCTION("""COMPUTED_VALUE"""),"NEW_KoreaSouth_1835_none_070524")</f>
        <v>NEW_KoreaSouth_1835_none_070524</v>
      </c>
      <c r="S50" s="67" t="str">
        <f>IFERROR(__xludf.DUMMYFUNCTION("""COMPUTED_VALUE"""),"saletructiep_KoreaSouth.M225C133.giaotiep_PTATDNDL_LD220")</f>
        <v>saletructiep_KoreaSouth.M225C133.giaotiep_PTATDNDL_LD220</v>
      </c>
      <c r="T50" s="107" t="str">
        <f>IFERROR(__xludf.DUMMYFUNCTION("""COMPUTED_VALUE"""),"https://patadovietnam.edu.vn/giaotiepanhngu_adp/?utm_source=Facebook&amp;utm_medium=MES&amp;utm_term=NEW_KoreaSouth_1835_none_070524&amp;utm_content=saletructiep_KoreaSouth.M225C133.giaotiep_PTATDNDL_LD220&amp;utm_campaign=KoreaSouth.giaotiep.M225C133_SCB.9889_MES_AnhDP_"&amp;"070524")</f>
        <v>https://patadovietnam.edu.vn/giaotiepanhngu_adp/?utm_source=Facebook&amp;utm_medium=MES&amp;utm_term=NEW_KoreaSouth_1835_none_070524&amp;utm_content=saletructiep_KoreaSouth.M225C133.giaotiep_PTATDNDL_LD220&amp;utm_campaign=KoreaSouth.giaotiep.M225C133_SCB.9889_MES_AnhDP_070524</v>
      </c>
      <c r="U50" s="110" t="s">
        <v>6472</v>
      </c>
    </row>
    <row r="51">
      <c r="A51" s="72">
        <v>45419.0</v>
      </c>
      <c r="B51" s="60" t="s">
        <v>6267</v>
      </c>
      <c r="C51" s="67" t="str">
        <f>IFERROR(__xludf.DUMMYFUNCTION("""COMPUTED_VALUE"""),"LD220")</f>
        <v>LD220</v>
      </c>
      <c r="D51" s="55" t="s">
        <v>42</v>
      </c>
      <c r="E51" s="55" t="s">
        <v>79</v>
      </c>
      <c r="F51" s="55" t="s">
        <v>674</v>
      </c>
      <c r="G51" s="55">
        <v>2035.0</v>
      </c>
      <c r="H51" s="55" t="s">
        <v>6179</v>
      </c>
      <c r="I51" s="55" t="s">
        <v>6473</v>
      </c>
      <c r="J51" s="83" t="s">
        <v>6474</v>
      </c>
      <c r="K51" s="55" t="s">
        <v>61</v>
      </c>
      <c r="L51" s="55" t="s">
        <v>3607</v>
      </c>
      <c r="M51" s="55" t="s">
        <v>78</v>
      </c>
      <c r="N51" s="55" t="s">
        <v>79</v>
      </c>
      <c r="O51" s="55" t="s">
        <v>4350</v>
      </c>
      <c r="P51" s="55" t="s">
        <v>110</v>
      </c>
      <c r="Q51" s="67" t="str">
        <f>IFERROR(__xludf.DUMMYFUNCTION("""COMPUTED_VALUE"""),"Europe.giaotiep.M211C124_SCB.9889_MES_AnhDP_070524")</f>
        <v>Europe.giaotiep.M211C124_SCB.9889_MES_AnhDP_070524</v>
      </c>
      <c r="R51" s="67" t="str">
        <f>IFERROR(__xludf.DUMMYFUNCTION("""COMPUTED_VALUE"""),"NEW_Europe_2035_none_070524")</f>
        <v>NEW_Europe_2035_none_070524</v>
      </c>
      <c r="S51" s="67" t="str">
        <f>IFERROR(__xludf.DUMMYFUNCTION("""COMPUTED_VALUE"""),"saletructiep_Europe.M211C124.giaotiep_PTATDNDL_LD220")</f>
        <v>saletructiep_Europe.M211C124.giaotiep_PTATDNDL_LD220</v>
      </c>
      <c r="T51" s="107" t="str">
        <f>IFERROR(__xludf.DUMMYFUNCTION("""COMPUTED_VALUE"""),"https://patadovietnam.edu.vn/giaotiepanhngu_adp/?utm_source=Facebook&amp;utm_medium=MES&amp;utm_term=NEW_Europe_2035_none_070524&amp;utm_content=saletructiep_Europe.M211C124.giaotiep_PTATDNDL_LD220&amp;utm_campaign=Europe.giaotiep.M211C124_SCB.9889_MES_AnhDP_070524")</f>
        <v>https://patadovietnam.edu.vn/giaotiepanhngu_adp/?utm_source=Facebook&amp;utm_medium=MES&amp;utm_term=NEW_Europe_2035_none_070524&amp;utm_content=saletructiep_Europe.M211C124.giaotiep_PTATDNDL_LD220&amp;utm_campaign=Europe.giaotiep.M211C124_SCB.9889_MES_AnhDP_070524</v>
      </c>
      <c r="U51" s="111" t="s">
        <v>6478</v>
      </c>
    </row>
    <row r="52">
      <c r="A52" s="72">
        <v>45419.0</v>
      </c>
      <c r="B52" s="60" t="s">
        <v>6267</v>
      </c>
      <c r="C52" s="67" t="str">
        <f>IFERROR(__xludf.DUMMYFUNCTION("""COMPUTED_VALUE"""),"LD220")</f>
        <v>LD220</v>
      </c>
      <c r="D52" s="55" t="s">
        <v>42</v>
      </c>
      <c r="E52" s="55" t="s">
        <v>79</v>
      </c>
      <c r="F52" s="55" t="s">
        <v>129</v>
      </c>
      <c r="G52" s="55">
        <v>2035.0</v>
      </c>
      <c r="H52" s="55" t="s">
        <v>6179</v>
      </c>
      <c r="I52" s="55" t="s">
        <v>6306</v>
      </c>
      <c r="J52" s="55" t="s">
        <v>6307</v>
      </c>
      <c r="K52" s="55" t="s">
        <v>61</v>
      </c>
      <c r="L52" s="55" t="s">
        <v>3607</v>
      </c>
      <c r="M52" s="55" t="s">
        <v>78</v>
      </c>
      <c r="N52" s="55" t="s">
        <v>79</v>
      </c>
      <c r="O52" s="55" t="s">
        <v>4350</v>
      </c>
      <c r="P52" s="55" t="s">
        <v>110</v>
      </c>
      <c r="Q52" s="67" t="str">
        <f>IFERROR(__xludf.DUMMYFUNCTION("""COMPUTED_VALUE"""),"Australia.giaotiep.M207C174_SCB.9889_MES_AnhDP_070524")</f>
        <v>Australia.giaotiep.M207C174_SCB.9889_MES_AnhDP_070524</v>
      </c>
      <c r="R52" s="67" t="str">
        <f>IFERROR(__xludf.DUMMYFUNCTION("""COMPUTED_VALUE"""),"NEW_Australia_2035_none_070524")</f>
        <v>NEW_Australia_2035_none_070524</v>
      </c>
      <c r="S52" s="67" t="str">
        <f>IFERROR(__xludf.DUMMYFUNCTION("""COMPUTED_VALUE"""),"saletructiep_Australia.M207C174.giaotiep_PTATDNDL_LD220")</f>
        <v>saletructiep_Australia.M207C174.giaotiep_PTATDNDL_LD220</v>
      </c>
      <c r="T52" s="107" t="str">
        <f>IFERROR(__xludf.DUMMYFUNCTION("""COMPUTED_VALUE"""),"https://patadovietnam.edu.vn/giaotiepanhngu_adp/?utm_source=Facebook&amp;utm_medium=MES&amp;utm_term=NEW_Australia_2035_none_070524&amp;utm_content=saletructiep_Australia.M207C174.giaotiep_PTATDNDL_LD220&amp;utm_campaign=Australia.giaotiep.M207C174_SCB.9889_MES_AnhDP_070"&amp;"524")</f>
        <v>https://patadovietnam.edu.vn/giaotiepanhngu_adp/?utm_source=Facebook&amp;utm_medium=MES&amp;utm_term=NEW_Australia_2035_none_070524&amp;utm_content=saletructiep_Australia.M207C174.giaotiep_PTATDNDL_LD220&amp;utm_campaign=Australia.giaotiep.M207C174_SCB.9889_MES_AnhDP_070524</v>
      </c>
      <c r="U52" s="110" t="s">
        <v>6484</v>
      </c>
    </row>
    <row r="53">
      <c r="A53" s="72">
        <v>45419.0</v>
      </c>
      <c r="B53" s="60" t="s">
        <v>6176</v>
      </c>
      <c r="C53" s="67" t="str">
        <f>IFERROR(__xludf.DUMMYFUNCTION("""COMPUTED_VALUE"""),"LD219")</f>
        <v>LD219</v>
      </c>
      <c r="D53" s="55" t="s">
        <v>42</v>
      </c>
      <c r="E53" s="55" t="s">
        <v>79</v>
      </c>
      <c r="F53" s="55" t="s">
        <v>625</v>
      </c>
      <c r="G53" s="55">
        <v>2035.0</v>
      </c>
      <c r="H53" s="55" t="s">
        <v>6179</v>
      </c>
      <c r="I53" s="83" t="s">
        <v>6489</v>
      </c>
      <c r="J53" s="83" t="s">
        <v>6490</v>
      </c>
      <c r="K53" s="55" t="s">
        <v>61</v>
      </c>
      <c r="L53" s="55" t="s">
        <v>3607</v>
      </c>
      <c r="M53" s="55" t="s">
        <v>78</v>
      </c>
      <c r="N53" s="55" t="s">
        <v>79</v>
      </c>
      <c r="O53" s="55" t="s">
        <v>4350</v>
      </c>
      <c r="P53" s="55" t="s">
        <v>110</v>
      </c>
      <c r="Q53" s="67" t="str">
        <f>IFERROR(__xludf.DUMMYFUNCTION("""COMPUTED_VALUE"""),"KoreaSouth.giaotiep.M191C188_SCB.9889_MES_AnhDP_070524")</f>
        <v>KoreaSouth.giaotiep.M191C188_SCB.9889_MES_AnhDP_070524</v>
      </c>
      <c r="R53" s="67" t="str">
        <f>IFERROR(__xludf.DUMMYFUNCTION("""COMPUTED_VALUE"""),"NEW_KoreaSouth_2035_none_070524")</f>
        <v>NEW_KoreaSouth_2035_none_070524</v>
      </c>
      <c r="S53" s="67" t="str">
        <f>IFERROR(__xludf.DUMMYFUNCTION("""COMPUTED_VALUE"""),"saletructiep_KoreaSouth.M191C188.giaotiep_PTATDNDL_LD219")</f>
        <v>saletructiep_KoreaSouth.M191C188.giaotiep_PTATDNDL_LD219</v>
      </c>
      <c r="T53" s="107" t="str">
        <f>IFERROR(__xludf.DUMMYFUNCTION("""COMPUTED_VALUE"""),"https://patadovietnam.edu.vn/tienganhgiaotiep_adp/?utm_source=Facebook&amp;utm_medium=MES&amp;utm_term=NEW_KoreaSouth_2035_none_070524&amp;utm_content=saletructiep_KoreaSouth.M191C188.giaotiep_PTATDNDL_LD219&amp;utm_campaign=KoreaSouth.giaotiep.M191C188_SCB.9889_MES_AnhD"&amp;"P_070524")</f>
        <v>https://patadovietnam.edu.vn/tienganhgiaotiep_adp/?utm_source=Facebook&amp;utm_medium=MES&amp;utm_term=NEW_KoreaSouth_2035_none_070524&amp;utm_content=saletructiep_KoreaSouth.M191C188.giaotiep_PTATDNDL_LD219&amp;utm_campaign=KoreaSouth.giaotiep.M191C188_SCB.9889_MES_AnhDP_070524</v>
      </c>
      <c r="U53" s="110" t="s">
        <v>6493</v>
      </c>
    </row>
    <row r="54">
      <c r="A54" s="72">
        <v>45421.0</v>
      </c>
      <c r="B54" s="60" t="s">
        <v>6176</v>
      </c>
      <c r="C54" s="67" t="str">
        <f>IFERROR(__xludf.DUMMYFUNCTION("""COMPUTED_VALUE"""),"LD219")</f>
        <v>LD219</v>
      </c>
      <c r="D54" s="55" t="s">
        <v>42</v>
      </c>
      <c r="E54" s="55" t="s">
        <v>79</v>
      </c>
      <c r="F54" s="55" t="s">
        <v>174</v>
      </c>
      <c r="G54" s="55">
        <v>2035.0</v>
      </c>
      <c r="H54" s="55" t="s">
        <v>6179</v>
      </c>
      <c r="I54" s="55" t="s">
        <v>6494</v>
      </c>
      <c r="J54" s="55" t="s">
        <v>6495</v>
      </c>
      <c r="K54" s="55" t="s">
        <v>61</v>
      </c>
      <c r="L54" s="55" t="s">
        <v>3607</v>
      </c>
      <c r="M54" s="55" t="s">
        <v>78</v>
      </c>
      <c r="N54" s="55" t="s">
        <v>79</v>
      </c>
      <c r="O54" s="55" t="s">
        <v>4350</v>
      </c>
      <c r="P54" s="55" t="s">
        <v>110</v>
      </c>
      <c r="Q54" s="67" t="str">
        <f>IFERROR(__xludf.DUMMYFUNCTION("""COMPUTED_VALUE"""),"Philippines.giaotiep.M172C138_SCB.9889_MES_AnhDP_090524")</f>
        <v>Philippines.giaotiep.M172C138_SCB.9889_MES_AnhDP_090524</v>
      </c>
      <c r="R54" s="67" t="str">
        <f>IFERROR(__xludf.DUMMYFUNCTION("""COMPUTED_VALUE"""),"NEW_Philippines_2035_none_090524")</f>
        <v>NEW_Philippines_2035_none_090524</v>
      </c>
      <c r="S54" s="67" t="str">
        <f>IFERROR(__xludf.DUMMYFUNCTION("""COMPUTED_VALUE"""),"saletructiep_Philippines.M172C138.giaotiep_PTATDNDL_LD219")</f>
        <v>saletructiep_Philippines.M172C138.giaotiep_PTATDNDL_LD219</v>
      </c>
      <c r="T54" s="107" t="str">
        <f>IFERROR(__xludf.DUMMYFUNCTION("""COMPUTED_VALUE"""),"https://patadovietnam.edu.vn/tienganhgiaotiep_adp/?utm_source=Facebook&amp;utm_medium=MES&amp;utm_term=NEW_Philippines_2035_none_090524&amp;utm_content=saletructiep_Philippines.M172C138.giaotiep_PTATDNDL_LD219&amp;utm_campaign=Philippines.giaotiep.M172C138_SCB.9889_MES_A"&amp;"nhDP_090524")</f>
        <v>https://patadovietnam.edu.vn/tienganhgiaotiep_adp/?utm_source=Facebook&amp;utm_medium=MES&amp;utm_term=NEW_Philippines_2035_none_090524&amp;utm_content=saletructiep_Philippines.M172C138.giaotiep_PTATDNDL_LD219&amp;utm_campaign=Philippines.giaotiep.M172C138_SCB.9889_MES_AnhDP_090524</v>
      </c>
      <c r="U54" s="110" t="s">
        <v>6500</v>
      </c>
    </row>
    <row r="55">
      <c r="A55" s="72">
        <v>45421.0</v>
      </c>
      <c r="B55" s="60" t="s">
        <v>6267</v>
      </c>
      <c r="C55" s="67" t="str">
        <f>IFERROR(__xludf.DUMMYFUNCTION("""COMPUTED_VALUE"""),"LD220")</f>
        <v>LD220</v>
      </c>
      <c r="D55" s="55" t="s">
        <v>42</v>
      </c>
      <c r="E55" s="55" t="s">
        <v>79</v>
      </c>
      <c r="F55" s="55" t="s">
        <v>164</v>
      </c>
      <c r="G55" s="55">
        <v>1835.0</v>
      </c>
      <c r="H55" s="55" t="s">
        <v>6179</v>
      </c>
      <c r="I55" s="55" t="s">
        <v>6501</v>
      </c>
      <c r="J55" s="55" t="s">
        <v>6502</v>
      </c>
      <c r="K55" s="55" t="s">
        <v>61</v>
      </c>
      <c r="L55" s="55" t="s">
        <v>3607</v>
      </c>
      <c r="M55" s="55" t="s">
        <v>78</v>
      </c>
      <c r="N55" s="55" t="s">
        <v>79</v>
      </c>
      <c r="O55" s="55" t="s">
        <v>4350</v>
      </c>
      <c r="P55" s="55" t="s">
        <v>110</v>
      </c>
      <c r="Q55" s="67" t="str">
        <f>IFERROR(__xludf.DUMMYFUNCTION("""COMPUTED_VALUE"""),"Taiwan.giaotiep.M191C138_SCB.9889_MES_AnhDP_090524")</f>
        <v>Taiwan.giaotiep.M191C138_SCB.9889_MES_AnhDP_090524</v>
      </c>
      <c r="R55" s="67" t="str">
        <f>IFERROR(__xludf.DUMMYFUNCTION("""COMPUTED_VALUE"""),"NEW_Taiwan_1835_none_090524")</f>
        <v>NEW_Taiwan_1835_none_090524</v>
      </c>
      <c r="S55" s="67" t="str">
        <f>IFERROR(__xludf.DUMMYFUNCTION("""COMPUTED_VALUE"""),"saletructiep_Taiwan.M191C138.giaotiep_PTATDNDL_LD220")</f>
        <v>saletructiep_Taiwan.M191C138.giaotiep_PTATDNDL_LD220</v>
      </c>
      <c r="T55" s="107" t="str">
        <f>IFERROR(__xludf.DUMMYFUNCTION("""COMPUTED_VALUE"""),"https://patadovietnam.edu.vn/giaotiepanhngu_adp/?utm_source=Facebook&amp;utm_medium=MES&amp;utm_term=NEW_Taiwan_1835_none_090524&amp;utm_content=saletructiep_Taiwan.M191C138.giaotiep_PTATDNDL_LD220&amp;utm_campaign=Taiwan.giaotiep.M191C138_SCB.9889_MES_AnhDP_090524")</f>
        <v>https://patadovietnam.edu.vn/giaotiepanhngu_adp/?utm_source=Facebook&amp;utm_medium=MES&amp;utm_term=NEW_Taiwan_1835_none_090524&amp;utm_content=saletructiep_Taiwan.M191C138.giaotiep_PTATDNDL_LD220&amp;utm_campaign=Taiwan.giaotiep.M191C138_SCB.9889_MES_AnhDP_090524</v>
      </c>
      <c r="U55" s="110" t="s">
        <v>6506</v>
      </c>
    </row>
    <row r="56">
      <c r="A56" s="72">
        <v>45421.0</v>
      </c>
      <c r="B56" s="60" t="s">
        <v>6267</v>
      </c>
      <c r="C56" s="67" t="str">
        <f>IFERROR(__xludf.DUMMYFUNCTION("""COMPUTED_VALUE"""),"LD220")</f>
        <v>LD220</v>
      </c>
      <c r="D56" s="55" t="s">
        <v>42</v>
      </c>
      <c r="E56" s="55" t="s">
        <v>79</v>
      </c>
      <c r="F56" s="55" t="s">
        <v>828</v>
      </c>
      <c r="G56" s="55">
        <v>2035.0</v>
      </c>
      <c r="H56" s="55" t="s">
        <v>6179</v>
      </c>
      <c r="I56" s="55" t="s">
        <v>6508</v>
      </c>
      <c r="J56" s="55" t="s">
        <v>6509</v>
      </c>
      <c r="K56" s="55" t="s">
        <v>61</v>
      </c>
      <c r="L56" s="55" t="s">
        <v>3607</v>
      </c>
      <c r="M56" s="55" t="s">
        <v>78</v>
      </c>
      <c r="N56" s="55" t="s">
        <v>79</v>
      </c>
      <c r="O56" s="55" t="s">
        <v>4350</v>
      </c>
      <c r="P56" s="55" t="s">
        <v>110</v>
      </c>
      <c r="Q56" s="67" t="str">
        <f>IFERROR(__xludf.DUMMYFUNCTION("""COMPUTED_VALUE"""),"Asia.giaotiep.M172C138_SCB.9889_MES_AnhDP_090524")</f>
        <v>Asia.giaotiep.M172C138_SCB.9889_MES_AnhDP_090524</v>
      </c>
      <c r="R56" s="67" t="str">
        <f>IFERROR(__xludf.DUMMYFUNCTION("""COMPUTED_VALUE"""),"NEW_Asia_2035_none_090524")</f>
        <v>NEW_Asia_2035_none_090524</v>
      </c>
      <c r="S56" s="67" t="str">
        <f>IFERROR(__xludf.DUMMYFUNCTION("""COMPUTED_VALUE"""),"saletructiep_Asia.M172C138.giaotiep_PTATDNDL_LD220")</f>
        <v>saletructiep_Asia.M172C138.giaotiep_PTATDNDL_LD220</v>
      </c>
      <c r="T56" s="107" t="str">
        <f>IFERROR(__xludf.DUMMYFUNCTION("""COMPUTED_VALUE"""),"https://patadovietnam.edu.vn/giaotiepanhngu_adp/?utm_source=Facebook&amp;utm_medium=MES&amp;utm_term=NEW_Asia_2035_none_090524&amp;utm_content=saletructiep_Asia.M172C138.giaotiep_PTATDNDL_LD220&amp;utm_campaign=Asia.giaotiep.M172C138_SCB.9889_MES_AnhDP_090524")</f>
        <v>https://patadovietnam.edu.vn/giaotiepanhngu_adp/?utm_source=Facebook&amp;utm_medium=MES&amp;utm_term=NEW_Asia_2035_none_090524&amp;utm_content=saletructiep_Asia.M172C138.giaotiep_PTATDNDL_LD220&amp;utm_campaign=Asia.giaotiep.M172C138_SCB.9889_MES_AnhDP_090524</v>
      </c>
      <c r="U56" s="110" t="s">
        <v>6514</v>
      </c>
    </row>
    <row r="57">
      <c r="A57" s="72">
        <v>45421.0</v>
      </c>
      <c r="B57" s="60" t="s">
        <v>6267</v>
      </c>
      <c r="C57" s="67" t="str">
        <f>IFERROR(__xludf.DUMMYFUNCTION("""COMPUTED_VALUE"""),"LD220")</f>
        <v>LD220</v>
      </c>
      <c r="D57" s="55" t="s">
        <v>42</v>
      </c>
      <c r="E57" s="55" t="s">
        <v>79</v>
      </c>
      <c r="F57" s="55" t="s">
        <v>539</v>
      </c>
      <c r="G57" s="55">
        <v>2035.0</v>
      </c>
      <c r="H57" s="55" t="s">
        <v>6179</v>
      </c>
      <c r="I57" s="55" t="s">
        <v>5125</v>
      </c>
      <c r="J57" s="55" t="s">
        <v>6260</v>
      </c>
      <c r="K57" s="55" t="s">
        <v>61</v>
      </c>
      <c r="L57" s="55" t="s">
        <v>3607</v>
      </c>
      <c r="M57" s="55" t="s">
        <v>78</v>
      </c>
      <c r="N57" s="55" t="s">
        <v>79</v>
      </c>
      <c r="O57" s="55" t="s">
        <v>4350</v>
      </c>
      <c r="P57" s="55" t="s">
        <v>110</v>
      </c>
      <c r="Q57" s="67" t="str">
        <f>IFERROR(__xludf.DUMMYFUNCTION("""COMPUTED_VALUE"""),"ALL.giaotiep.M172C138_SCB.9889_MES_AnhDP_090524")</f>
        <v>ALL.giaotiep.M172C138_SCB.9889_MES_AnhDP_090524</v>
      </c>
      <c r="R57" s="67" t="str">
        <f>IFERROR(__xludf.DUMMYFUNCTION("""COMPUTED_VALUE"""),"NEW_ALL_2035_none_090524")</f>
        <v>NEW_ALL_2035_none_090524</v>
      </c>
      <c r="S57" s="67" t="str">
        <f>IFERROR(__xludf.DUMMYFUNCTION("""COMPUTED_VALUE"""),"saletructiep_ALL.M172C138.giaotiep_PTATDNDL_LD220")</f>
        <v>saletructiep_ALL.M172C138.giaotiep_PTATDNDL_LD220</v>
      </c>
      <c r="T57" s="107" t="str">
        <f>IFERROR(__xludf.DUMMYFUNCTION("""COMPUTED_VALUE"""),"https://patadovietnam.edu.vn/giaotiepanhngu_adp/?utm_source=Facebook&amp;utm_medium=MES&amp;utm_term=NEW_ALL_2035_none_090524&amp;utm_content=saletructiep_ALL.M172C138.giaotiep_PTATDNDL_LD220&amp;utm_campaign=ALL.giaotiep.M172C138_SCB.9889_MES_AnhDP_090524")</f>
        <v>https://patadovietnam.edu.vn/giaotiepanhngu_adp/?utm_source=Facebook&amp;utm_medium=MES&amp;utm_term=NEW_ALL_2035_none_090524&amp;utm_content=saletructiep_ALL.M172C138.giaotiep_PTATDNDL_LD220&amp;utm_campaign=ALL.giaotiep.M172C138_SCB.9889_MES_AnhDP_090524</v>
      </c>
      <c r="U57" s="110" t="s">
        <v>6521</v>
      </c>
    </row>
    <row r="58">
      <c r="A58" s="72"/>
      <c r="B58" s="55"/>
      <c r="C58" s="67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67"/>
      <c r="R58" s="67"/>
      <c r="S58" s="67"/>
      <c r="T58" s="67"/>
      <c r="U58" s="116"/>
    </row>
    <row r="59">
      <c r="A59" s="72"/>
      <c r="B59" s="55"/>
      <c r="C59" s="67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67"/>
      <c r="R59" s="67"/>
      <c r="S59" s="67"/>
      <c r="T59" s="67"/>
      <c r="U59" s="116"/>
    </row>
    <row r="60">
      <c r="A60" s="72"/>
      <c r="B60" s="55"/>
      <c r="C60" s="67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67"/>
      <c r="R60" s="67"/>
      <c r="S60" s="67"/>
      <c r="T60" s="67"/>
      <c r="U60" s="116"/>
    </row>
    <row r="61">
      <c r="A61" s="122"/>
      <c r="B61" s="125"/>
      <c r="C61" s="124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4"/>
      <c r="R61" s="124"/>
      <c r="S61" s="124"/>
      <c r="T61" s="124"/>
      <c r="U61" s="235"/>
    </row>
    <row r="62">
      <c r="A62" s="72"/>
      <c r="B62" s="55"/>
      <c r="C62" s="67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67"/>
      <c r="R62" s="67"/>
      <c r="S62" s="67"/>
      <c r="T62" s="67"/>
      <c r="U62" s="116"/>
    </row>
    <row r="63">
      <c r="A63" s="72"/>
      <c r="B63" s="55"/>
      <c r="C63" s="67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67"/>
      <c r="R63" s="67"/>
      <c r="S63" s="67"/>
      <c r="T63" s="67"/>
      <c r="U63" s="116"/>
    </row>
    <row r="64">
      <c r="A64" s="72"/>
      <c r="B64" s="55"/>
      <c r="C64" s="67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67"/>
      <c r="R64" s="67"/>
      <c r="S64" s="67"/>
      <c r="T64" s="67"/>
      <c r="U64" s="116"/>
    </row>
    <row r="65">
      <c r="A65" s="72"/>
      <c r="B65" s="55"/>
      <c r="C65" s="67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67"/>
      <c r="R65" s="67"/>
      <c r="S65" s="67"/>
      <c r="T65" s="67"/>
      <c r="U65" s="116"/>
    </row>
    <row r="66">
      <c r="A66" s="72"/>
      <c r="B66" s="55"/>
      <c r="C66" s="67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67"/>
      <c r="R66" s="67"/>
      <c r="S66" s="67"/>
      <c r="T66" s="67"/>
      <c r="U66" s="116"/>
    </row>
    <row r="67">
      <c r="A67" s="72"/>
      <c r="B67" s="55"/>
      <c r="C67" s="67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67"/>
      <c r="R67" s="67"/>
      <c r="S67" s="67"/>
      <c r="T67" s="67"/>
      <c r="U67" s="116"/>
    </row>
    <row r="68">
      <c r="A68" s="72"/>
      <c r="B68" s="95"/>
      <c r="C68" s="67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67"/>
      <c r="R68" s="67"/>
      <c r="S68" s="67"/>
      <c r="T68" s="67"/>
      <c r="U68" s="116"/>
    </row>
    <row r="69">
      <c r="A69" s="72"/>
      <c r="B69" s="55"/>
      <c r="C69" s="67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67"/>
      <c r="R69" s="67"/>
      <c r="S69" s="67"/>
      <c r="T69" s="67"/>
      <c r="U69" s="116"/>
    </row>
    <row r="70">
      <c r="A70" s="72"/>
      <c r="B70" s="55"/>
      <c r="C70" s="67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67"/>
      <c r="R70" s="67"/>
      <c r="S70" s="67"/>
      <c r="T70" s="67"/>
      <c r="U70" s="116"/>
    </row>
    <row r="71">
      <c r="A71" s="72"/>
      <c r="B71" s="55"/>
      <c r="C71" s="67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67"/>
      <c r="R71" s="67"/>
      <c r="S71" s="67"/>
      <c r="T71" s="67"/>
      <c r="U71" s="116"/>
    </row>
    <row r="72">
      <c r="A72" s="72"/>
      <c r="B72" s="55"/>
      <c r="C72" s="67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67"/>
      <c r="R72" s="67"/>
      <c r="S72" s="67"/>
      <c r="T72" s="67"/>
      <c r="U72" s="116"/>
    </row>
    <row r="73">
      <c r="A73" s="72"/>
      <c r="B73" s="55"/>
      <c r="C73" s="67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67"/>
      <c r="R73" s="67"/>
      <c r="S73" s="67"/>
      <c r="T73" s="67"/>
      <c r="U73" s="116"/>
    </row>
    <row r="74">
      <c r="A74" s="72"/>
      <c r="B74" s="55"/>
      <c r="C74" s="67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67"/>
      <c r="R74" s="67"/>
      <c r="S74" s="67"/>
      <c r="T74" s="67"/>
      <c r="U74" s="116"/>
    </row>
    <row r="75">
      <c r="A75" s="72"/>
      <c r="B75" s="55"/>
      <c r="C75" s="67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67"/>
      <c r="R75" s="67"/>
      <c r="S75" s="67"/>
      <c r="T75" s="67"/>
      <c r="U75" s="116"/>
    </row>
    <row r="76">
      <c r="A76" s="72"/>
      <c r="B76" s="55"/>
      <c r="C76" s="67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67"/>
      <c r="R76" s="67"/>
      <c r="S76" s="67"/>
      <c r="T76" s="67"/>
      <c r="U76" s="116"/>
    </row>
    <row r="77">
      <c r="A77" s="122"/>
      <c r="B77" s="125"/>
      <c r="C77" s="124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4"/>
      <c r="R77" s="124"/>
      <c r="S77" s="124"/>
      <c r="T77" s="124"/>
      <c r="U77" s="235"/>
    </row>
    <row r="78">
      <c r="A78" s="72"/>
      <c r="B78" s="55"/>
      <c r="C78" s="67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67"/>
      <c r="R78" s="67"/>
      <c r="S78" s="67"/>
      <c r="T78" s="67"/>
      <c r="U78" s="116"/>
    </row>
    <row r="79">
      <c r="A79" s="72"/>
      <c r="B79" s="55"/>
      <c r="C79" s="67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67"/>
      <c r="R79" s="67"/>
      <c r="S79" s="67"/>
      <c r="T79" s="67"/>
      <c r="U79" s="116"/>
    </row>
    <row r="80">
      <c r="A80" s="72"/>
      <c r="B80" s="55"/>
      <c r="C80" s="67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67"/>
      <c r="R80" s="67"/>
      <c r="S80" s="67"/>
      <c r="T80" s="67"/>
      <c r="U80" s="116"/>
    </row>
    <row r="81">
      <c r="A81" s="72"/>
      <c r="B81" s="55"/>
      <c r="C81" s="67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67"/>
      <c r="R81" s="67"/>
      <c r="S81" s="67"/>
      <c r="T81" s="67"/>
      <c r="U81" s="116"/>
    </row>
    <row r="82">
      <c r="A82" s="72"/>
      <c r="B82" s="55"/>
      <c r="C82" s="67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67"/>
      <c r="R82" s="67"/>
      <c r="S82" s="67"/>
      <c r="T82" s="67"/>
      <c r="U82" s="116"/>
    </row>
    <row r="83">
      <c r="A83" s="72"/>
      <c r="B83" s="55"/>
      <c r="C83" s="67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67"/>
      <c r="R83" s="67"/>
      <c r="S83" s="67"/>
      <c r="T83" s="67"/>
      <c r="U83" s="116"/>
    </row>
    <row r="84">
      <c r="A84" s="72"/>
      <c r="B84" s="55"/>
      <c r="C84" s="67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67"/>
      <c r="R84" s="67"/>
      <c r="S84" s="67"/>
      <c r="T84" s="67"/>
      <c r="U84" s="116"/>
    </row>
    <row r="85">
      <c r="A85" s="72"/>
      <c r="B85" s="55"/>
      <c r="C85" s="67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67"/>
      <c r="R85" s="67"/>
      <c r="S85" s="67"/>
      <c r="T85" s="67"/>
      <c r="U85" s="200"/>
    </row>
    <row r="86">
      <c r="A86" s="72"/>
      <c r="B86" s="55"/>
      <c r="C86" s="67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67"/>
      <c r="R86" s="67"/>
      <c r="S86" s="67"/>
      <c r="T86" s="67"/>
      <c r="U86" s="116"/>
    </row>
    <row r="87">
      <c r="A87" s="72"/>
      <c r="B87" s="55"/>
      <c r="C87" s="67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67"/>
      <c r="R87" s="67"/>
      <c r="S87" s="67"/>
      <c r="T87" s="67"/>
      <c r="U87" s="116"/>
    </row>
    <row r="88">
      <c r="A88" s="72"/>
      <c r="B88" s="55"/>
      <c r="C88" s="67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67"/>
      <c r="R88" s="67"/>
      <c r="S88" s="67"/>
      <c r="T88" s="67"/>
      <c r="U88" s="116"/>
    </row>
    <row r="89">
      <c r="A89" s="72"/>
      <c r="B89" s="55"/>
      <c r="C89" s="67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67"/>
      <c r="R89" s="67"/>
      <c r="S89" s="67"/>
      <c r="T89" s="67"/>
      <c r="U89" s="116"/>
    </row>
    <row r="90">
      <c r="A90" s="72"/>
      <c r="B90" s="55"/>
      <c r="C90" s="67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67"/>
      <c r="R90" s="67"/>
      <c r="S90" s="67"/>
      <c r="T90" s="67"/>
      <c r="U90" s="116"/>
    </row>
    <row r="91">
      <c r="A91" s="72"/>
      <c r="B91" s="55"/>
      <c r="C91" s="67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67"/>
      <c r="R91" s="67"/>
      <c r="S91" s="67"/>
      <c r="T91" s="67"/>
      <c r="U91" s="116"/>
    </row>
    <row r="92">
      <c r="A92" s="72"/>
      <c r="B92" s="55"/>
      <c r="C92" s="67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67"/>
      <c r="R92" s="67"/>
      <c r="S92" s="67"/>
      <c r="T92" s="67"/>
      <c r="U92" s="116"/>
    </row>
    <row r="93">
      <c r="A93" s="72"/>
      <c r="B93" s="55"/>
      <c r="C93" s="67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67"/>
      <c r="R93" s="67"/>
      <c r="S93" s="67"/>
      <c r="T93" s="67"/>
      <c r="U93" s="116"/>
    </row>
    <row r="94">
      <c r="A94" s="72"/>
      <c r="B94" s="55"/>
      <c r="C94" s="67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67"/>
      <c r="R94" s="67"/>
      <c r="S94" s="67"/>
      <c r="T94" s="67"/>
      <c r="U94" s="116"/>
    </row>
    <row r="95">
      <c r="A95" s="72"/>
      <c r="B95" s="55"/>
      <c r="C95" s="67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67"/>
      <c r="R95" s="67"/>
      <c r="S95" s="67"/>
      <c r="T95" s="67"/>
      <c r="U95" s="116"/>
    </row>
    <row r="96">
      <c r="A96" s="72"/>
      <c r="B96" s="55"/>
      <c r="C96" s="67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67"/>
      <c r="R96" s="67"/>
      <c r="S96" s="67"/>
      <c r="T96" s="67"/>
      <c r="U96" s="116"/>
    </row>
    <row r="97">
      <c r="A97" s="72"/>
      <c r="B97" s="55"/>
      <c r="C97" s="67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67"/>
      <c r="R97" s="67"/>
      <c r="S97" s="67"/>
      <c r="T97" s="67"/>
      <c r="U97" s="116"/>
    </row>
    <row r="98">
      <c r="A98" s="72"/>
      <c r="B98" s="55"/>
      <c r="C98" s="67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67"/>
      <c r="R98" s="67"/>
      <c r="S98" s="67"/>
      <c r="T98" s="67"/>
      <c r="U98" s="116"/>
    </row>
    <row r="99">
      <c r="A99" s="72"/>
      <c r="B99" s="55"/>
      <c r="C99" s="67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67"/>
      <c r="R99" s="67"/>
      <c r="S99" s="67"/>
      <c r="T99" s="67"/>
      <c r="U99" s="116"/>
    </row>
    <row r="100">
      <c r="A100" s="72"/>
      <c r="B100" s="55"/>
      <c r="C100" s="67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67"/>
      <c r="R100" s="67"/>
      <c r="S100" s="67"/>
      <c r="T100" s="67"/>
      <c r="U100" s="116"/>
    </row>
    <row r="101">
      <c r="A101" s="72"/>
      <c r="B101" s="55"/>
      <c r="C101" s="67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67"/>
      <c r="R101" s="67"/>
      <c r="S101" s="67"/>
      <c r="T101" s="67"/>
      <c r="U101" s="116"/>
    </row>
    <row r="102">
      <c r="A102" s="72"/>
      <c r="B102" s="55"/>
      <c r="C102" s="67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67"/>
      <c r="R102" s="67"/>
      <c r="S102" s="67"/>
      <c r="T102" s="67"/>
      <c r="U102" s="116"/>
    </row>
    <row r="103">
      <c r="A103" s="72"/>
      <c r="B103" s="55"/>
      <c r="C103" s="67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67"/>
      <c r="R103" s="67"/>
      <c r="S103" s="67"/>
      <c r="T103" s="67"/>
      <c r="U103" s="116"/>
    </row>
    <row r="104">
      <c r="A104" s="72"/>
      <c r="B104" s="55"/>
      <c r="C104" s="67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67"/>
      <c r="R104" s="67"/>
      <c r="S104" s="67"/>
      <c r="T104" s="67"/>
      <c r="U104" s="116"/>
    </row>
    <row r="105">
      <c r="A105" s="72"/>
      <c r="B105" s="55"/>
      <c r="C105" s="67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67"/>
      <c r="R105" s="67"/>
      <c r="S105" s="67"/>
      <c r="T105" s="67"/>
      <c r="U105" s="116"/>
    </row>
    <row r="106">
      <c r="A106" s="72"/>
      <c r="B106" s="55"/>
      <c r="C106" s="67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67"/>
      <c r="R106" s="67"/>
      <c r="S106" s="67"/>
      <c r="T106" s="67"/>
      <c r="U106" s="116"/>
    </row>
    <row r="107">
      <c r="A107" s="72"/>
      <c r="B107" s="55"/>
      <c r="C107" s="67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67"/>
      <c r="R107" s="67"/>
      <c r="S107" s="67"/>
      <c r="T107" s="67"/>
      <c r="U107" s="116"/>
    </row>
    <row r="108">
      <c r="A108" s="72"/>
      <c r="B108" s="55"/>
      <c r="C108" s="67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67"/>
      <c r="R108" s="67"/>
      <c r="S108" s="67"/>
      <c r="T108" s="67"/>
      <c r="U108" s="116"/>
    </row>
    <row r="109">
      <c r="A109" s="72"/>
      <c r="B109" s="55"/>
      <c r="C109" s="67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67"/>
      <c r="R109" s="67"/>
      <c r="S109" s="67"/>
      <c r="T109" s="67"/>
      <c r="U109" s="116"/>
    </row>
    <row r="110">
      <c r="A110" s="72"/>
      <c r="B110" s="55"/>
      <c r="C110" s="67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67"/>
      <c r="R110" s="67"/>
      <c r="S110" s="67"/>
      <c r="T110" s="67"/>
      <c r="U110" s="116"/>
    </row>
    <row r="111">
      <c r="A111" s="122"/>
      <c r="B111" s="125"/>
      <c r="C111" s="124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4"/>
      <c r="R111" s="124"/>
      <c r="S111" s="124"/>
      <c r="T111" s="124"/>
      <c r="U111" s="235"/>
    </row>
    <row r="112">
      <c r="A112" s="72"/>
      <c r="B112" s="55"/>
      <c r="C112" s="67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67"/>
      <c r="R112" s="67"/>
      <c r="S112" s="67"/>
      <c r="T112" s="67"/>
      <c r="U112" s="116"/>
    </row>
    <row r="113">
      <c r="A113" s="122"/>
      <c r="B113" s="125"/>
      <c r="C113" s="124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4"/>
      <c r="R113" s="124"/>
      <c r="S113" s="124"/>
      <c r="T113" s="124"/>
      <c r="U113" s="235"/>
    </row>
    <row r="114">
      <c r="A114" s="72"/>
      <c r="B114" s="55"/>
      <c r="C114" s="67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67"/>
      <c r="R114" s="67"/>
      <c r="S114" s="67"/>
      <c r="T114" s="67"/>
      <c r="U114" s="116"/>
    </row>
    <row r="115">
      <c r="A115" s="72"/>
      <c r="B115" s="55"/>
      <c r="C115" s="67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67"/>
      <c r="R115" s="67"/>
      <c r="S115" s="67"/>
      <c r="T115" s="67"/>
      <c r="U115" s="116"/>
    </row>
    <row r="116">
      <c r="A116" s="72"/>
      <c r="B116" s="55"/>
      <c r="C116" s="67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67"/>
      <c r="R116" s="67"/>
      <c r="S116" s="67"/>
      <c r="T116" s="67"/>
      <c r="U116" s="116"/>
    </row>
    <row r="117">
      <c r="A117" s="72"/>
      <c r="B117" s="55"/>
      <c r="C117" s="67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67"/>
      <c r="R117" s="67"/>
      <c r="S117" s="67"/>
      <c r="T117" s="67"/>
      <c r="U117" s="116"/>
    </row>
    <row r="118">
      <c r="A118" s="72"/>
      <c r="B118" s="55"/>
      <c r="C118" s="67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67"/>
      <c r="R118" s="67"/>
      <c r="S118" s="67"/>
      <c r="T118" s="67"/>
      <c r="U118" s="116"/>
    </row>
    <row r="119">
      <c r="A119" s="72"/>
      <c r="B119" s="55"/>
      <c r="C119" s="67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67"/>
      <c r="R119" s="67"/>
      <c r="S119" s="67"/>
      <c r="T119" s="67"/>
      <c r="U119" s="116"/>
    </row>
    <row r="120">
      <c r="A120" s="72"/>
      <c r="B120" s="55"/>
      <c r="C120" s="67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67"/>
      <c r="R120" s="67"/>
      <c r="S120" s="67"/>
      <c r="T120" s="67"/>
      <c r="U120" s="116"/>
    </row>
    <row r="121">
      <c r="A121" s="72"/>
      <c r="B121" s="55"/>
      <c r="C121" s="67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67"/>
      <c r="R121" s="67"/>
      <c r="S121" s="67"/>
      <c r="T121" s="67"/>
      <c r="U121" s="116"/>
    </row>
    <row r="122">
      <c r="A122" s="72"/>
      <c r="B122" s="55"/>
      <c r="C122" s="67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67"/>
      <c r="R122" s="67"/>
      <c r="S122" s="67"/>
      <c r="T122" s="67"/>
      <c r="U122" s="116"/>
    </row>
    <row r="123">
      <c r="A123" s="72"/>
      <c r="B123" s="55"/>
      <c r="C123" s="67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67"/>
      <c r="R123" s="67"/>
      <c r="S123" s="67"/>
      <c r="T123" s="67"/>
      <c r="U123" s="116"/>
    </row>
    <row r="124">
      <c r="A124" s="72"/>
      <c r="B124" s="55"/>
      <c r="C124" s="67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67"/>
      <c r="R124" s="67"/>
      <c r="S124" s="67"/>
      <c r="T124" s="67"/>
      <c r="U124" s="116"/>
    </row>
    <row r="125">
      <c r="A125" s="72"/>
      <c r="B125" s="55"/>
      <c r="C125" s="67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67"/>
      <c r="R125" s="67"/>
      <c r="S125" s="67"/>
      <c r="T125" s="67"/>
      <c r="U125" s="116"/>
    </row>
    <row r="126">
      <c r="A126" s="72"/>
      <c r="B126" s="55"/>
      <c r="C126" s="67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67"/>
      <c r="R126" s="67"/>
      <c r="S126" s="67"/>
      <c r="T126" s="67"/>
      <c r="U126" s="116"/>
    </row>
    <row r="127">
      <c r="A127" s="72"/>
      <c r="B127" s="55"/>
      <c r="C127" s="67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67"/>
      <c r="R127" s="67"/>
      <c r="S127" s="67"/>
      <c r="T127" s="67"/>
      <c r="U127" s="116"/>
    </row>
    <row r="128">
      <c r="A128" s="72"/>
      <c r="B128" s="55"/>
      <c r="C128" s="67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67"/>
      <c r="R128" s="67"/>
      <c r="S128" s="67"/>
      <c r="T128" s="67"/>
      <c r="U128" s="116"/>
    </row>
    <row r="129">
      <c r="A129" s="72"/>
      <c r="B129" s="55"/>
      <c r="C129" s="67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67"/>
      <c r="R129" s="67"/>
      <c r="S129" s="67"/>
      <c r="T129" s="67"/>
      <c r="U129" s="116"/>
    </row>
    <row r="130">
      <c r="A130" s="72"/>
      <c r="B130" s="55"/>
      <c r="C130" s="67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67"/>
      <c r="R130" s="67"/>
      <c r="S130" s="67"/>
      <c r="T130" s="67"/>
      <c r="U130" s="116"/>
    </row>
    <row r="131">
      <c r="A131" s="72"/>
      <c r="B131" s="55"/>
      <c r="C131" s="67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67"/>
      <c r="R131" s="67"/>
      <c r="S131" s="67"/>
      <c r="T131" s="67"/>
      <c r="U131" s="116"/>
    </row>
    <row r="132">
      <c r="A132" s="72"/>
      <c r="B132" s="55"/>
      <c r="C132" s="67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67"/>
      <c r="R132" s="67"/>
      <c r="S132" s="67"/>
      <c r="T132" s="67"/>
      <c r="U132" s="116"/>
    </row>
    <row r="133">
      <c r="A133" s="72"/>
      <c r="B133" s="55"/>
      <c r="C133" s="67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67"/>
      <c r="R133" s="67"/>
      <c r="S133" s="67"/>
      <c r="T133" s="67"/>
      <c r="U133" s="116"/>
    </row>
    <row r="134">
      <c r="A134" s="72"/>
      <c r="B134" s="55"/>
      <c r="C134" s="67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67"/>
      <c r="R134" s="67"/>
      <c r="S134" s="67"/>
      <c r="T134" s="67"/>
      <c r="U134" s="116"/>
    </row>
    <row r="135">
      <c r="A135" s="122"/>
      <c r="B135" s="125"/>
      <c r="C135" s="124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4"/>
      <c r="R135" s="124"/>
      <c r="S135" s="124"/>
      <c r="T135" s="124"/>
      <c r="U135" s="236"/>
    </row>
    <row r="136">
      <c r="A136" s="72"/>
      <c r="B136" s="55"/>
      <c r="C136" s="67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67"/>
      <c r="R136" s="67"/>
      <c r="S136" s="67"/>
      <c r="T136" s="67"/>
      <c r="U136" s="116"/>
    </row>
    <row r="137">
      <c r="A137" s="72"/>
      <c r="B137" s="55"/>
      <c r="C137" s="67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67"/>
      <c r="R137" s="67"/>
      <c r="S137" s="67"/>
      <c r="T137" s="67"/>
      <c r="U137" s="117"/>
    </row>
    <row r="138">
      <c r="A138" s="72"/>
      <c r="B138" s="55"/>
      <c r="C138" s="67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67"/>
      <c r="R138" s="67"/>
      <c r="S138" s="67"/>
      <c r="T138" s="67"/>
      <c r="U138" s="116"/>
    </row>
    <row r="139">
      <c r="A139" s="72"/>
      <c r="B139" s="55"/>
      <c r="C139" s="67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67"/>
      <c r="R139" s="67"/>
      <c r="S139" s="67"/>
      <c r="T139" s="67"/>
      <c r="U139" s="116"/>
    </row>
    <row r="140">
      <c r="A140" s="72"/>
      <c r="B140" s="55"/>
      <c r="C140" s="67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67"/>
      <c r="R140" s="67"/>
      <c r="S140" s="67"/>
      <c r="T140" s="67"/>
      <c r="U140" s="116"/>
    </row>
    <row r="141">
      <c r="A141" s="72"/>
      <c r="B141" s="55"/>
      <c r="C141" s="67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67"/>
      <c r="R141" s="67"/>
      <c r="S141" s="67"/>
      <c r="T141" s="67"/>
      <c r="U141" s="116"/>
    </row>
    <row r="142">
      <c r="A142" s="72"/>
      <c r="B142" s="55"/>
      <c r="C142" s="67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67"/>
      <c r="R142" s="67"/>
      <c r="S142" s="67"/>
      <c r="T142" s="67"/>
      <c r="U142" s="116"/>
    </row>
    <row r="143">
      <c r="A143" s="72"/>
      <c r="B143" s="55"/>
      <c r="C143" s="67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67"/>
      <c r="R143" s="67"/>
      <c r="S143" s="67"/>
      <c r="T143" s="67"/>
      <c r="U143" s="116"/>
    </row>
    <row r="144">
      <c r="A144" s="72"/>
      <c r="B144" s="55"/>
      <c r="C144" s="67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67"/>
      <c r="R144" s="67"/>
      <c r="S144" s="67"/>
      <c r="T144" s="67"/>
      <c r="U144" s="116"/>
    </row>
    <row r="145">
      <c r="A145" s="72"/>
      <c r="B145" s="55"/>
      <c r="C145" s="67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67"/>
      <c r="R145" s="67"/>
      <c r="S145" s="67"/>
      <c r="T145" s="67"/>
      <c r="U145" s="116"/>
    </row>
    <row r="146">
      <c r="A146" s="72"/>
      <c r="B146" s="55"/>
      <c r="C146" s="67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67"/>
      <c r="R146" s="67"/>
      <c r="S146" s="67"/>
      <c r="T146" s="67"/>
      <c r="U146" s="116"/>
    </row>
    <row r="147">
      <c r="A147" s="72"/>
      <c r="B147" s="55"/>
      <c r="C147" s="67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67"/>
      <c r="R147" s="67"/>
      <c r="S147" s="67"/>
      <c r="T147" s="67"/>
      <c r="U147" s="116"/>
    </row>
    <row r="148">
      <c r="A148" s="72"/>
      <c r="B148" s="55"/>
      <c r="C148" s="67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67"/>
      <c r="R148" s="67"/>
      <c r="S148" s="67"/>
      <c r="T148" s="67"/>
      <c r="U148" s="116"/>
    </row>
    <row r="149">
      <c r="A149" s="72"/>
      <c r="B149" s="55"/>
      <c r="C149" s="67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67"/>
      <c r="R149" s="67"/>
      <c r="S149" s="67"/>
      <c r="T149" s="67"/>
      <c r="U149" s="116"/>
    </row>
    <row r="150">
      <c r="A150" s="72"/>
      <c r="B150" s="55"/>
      <c r="C150" s="67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67"/>
      <c r="R150" s="67"/>
      <c r="S150" s="67"/>
      <c r="T150" s="67"/>
      <c r="U150" s="116"/>
    </row>
    <row r="151">
      <c r="A151" s="72"/>
      <c r="B151" s="55"/>
      <c r="C151" s="67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67"/>
      <c r="R151" s="67"/>
      <c r="S151" s="67"/>
      <c r="T151" s="67"/>
      <c r="U151" s="116"/>
    </row>
    <row r="152">
      <c r="A152" s="72"/>
      <c r="B152" s="55"/>
      <c r="C152" s="67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67"/>
      <c r="R152" s="67"/>
      <c r="S152" s="67"/>
      <c r="T152" s="67"/>
      <c r="U152" s="116"/>
    </row>
    <row r="153">
      <c r="A153" s="134"/>
      <c r="B153" s="136"/>
      <c r="C153" s="92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92"/>
      <c r="R153" s="92"/>
      <c r="S153" s="92"/>
      <c r="T153" s="92"/>
      <c r="U153" s="237"/>
    </row>
    <row r="154">
      <c r="A154" s="72"/>
      <c r="B154" s="55"/>
      <c r="C154" s="67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67"/>
      <c r="R154" s="67"/>
      <c r="S154" s="67"/>
      <c r="T154" s="67"/>
      <c r="U154" s="116"/>
    </row>
    <row r="155">
      <c r="A155" s="72"/>
      <c r="B155" s="55"/>
      <c r="C155" s="67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67"/>
      <c r="R155" s="67"/>
      <c r="S155" s="67"/>
      <c r="T155" s="67"/>
      <c r="U155" s="116"/>
    </row>
    <row r="156">
      <c r="A156" s="72"/>
      <c r="B156" s="55"/>
      <c r="C156" s="67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67"/>
      <c r="R156" s="67"/>
      <c r="S156" s="67"/>
      <c r="T156" s="67"/>
      <c r="U156" s="116"/>
    </row>
    <row r="157">
      <c r="A157" s="72"/>
      <c r="B157" s="55"/>
      <c r="C157" s="67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67"/>
      <c r="R157" s="67"/>
      <c r="S157" s="67"/>
      <c r="T157" s="67"/>
      <c r="U157" s="116"/>
    </row>
    <row r="158">
      <c r="A158" s="72"/>
      <c r="B158" s="55"/>
      <c r="C158" s="67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67"/>
      <c r="R158" s="67"/>
      <c r="S158" s="67"/>
      <c r="T158" s="67"/>
      <c r="U158" s="116"/>
    </row>
    <row r="159">
      <c r="A159" s="72"/>
      <c r="B159" s="55"/>
      <c r="C159" s="67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67"/>
      <c r="R159" s="67"/>
      <c r="S159" s="67"/>
      <c r="T159" s="67"/>
      <c r="U159" s="118"/>
    </row>
    <row r="160">
      <c r="A160" s="72"/>
      <c r="B160" s="55"/>
      <c r="C160" s="67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67"/>
      <c r="R160" s="67"/>
      <c r="S160" s="67"/>
      <c r="T160" s="67"/>
      <c r="U160" s="118"/>
    </row>
    <row r="161">
      <c r="A161" s="72"/>
      <c r="B161" s="55"/>
      <c r="C161" s="67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67"/>
      <c r="R161" s="67"/>
      <c r="S161" s="67"/>
      <c r="T161" s="67"/>
      <c r="U161" s="118"/>
    </row>
    <row r="162">
      <c r="A162" s="72"/>
      <c r="B162" s="95"/>
      <c r="C162" s="67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67"/>
      <c r="R162" s="67"/>
      <c r="S162" s="67"/>
      <c r="T162" s="67"/>
      <c r="U162" s="116"/>
    </row>
    <row r="163">
      <c r="A163" s="72"/>
      <c r="B163" s="95"/>
      <c r="C163" s="67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67"/>
      <c r="R163" s="67"/>
      <c r="S163" s="67"/>
      <c r="T163" s="67"/>
      <c r="U163" s="116"/>
    </row>
    <row r="164">
      <c r="A164" s="72"/>
      <c r="B164" s="55"/>
      <c r="C164" s="67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67"/>
      <c r="R164" s="67"/>
      <c r="S164" s="67"/>
      <c r="T164" s="67"/>
      <c r="U164" s="118"/>
    </row>
    <row r="165">
      <c r="A165" s="72"/>
      <c r="B165" s="55"/>
      <c r="C165" s="67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67"/>
      <c r="R165" s="67"/>
      <c r="S165" s="67"/>
      <c r="T165" s="67"/>
      <c r="U165" s="118"/>
    </row>
    <row r="166">
      <c r="A166" s="72"/>
      <c r="B166" s="55"/>
      <c r="C166" s="67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67"/>
      <c r="R166" s="67"/>
      <c r="S166" s="67"/>
      <c r="T166" s="67"/>
      <c r="U166" s="118"/>
    </row>
    <row r="167">
      <c r="A167" s="72"/>
      <c r="B167" s="55"/>
      <c r="C167" s="67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67"/>
      <c r="R167" s="67"/>
      <c r="S167" s="67"/>
      <c r="T167" s="67"/>
      <c r="U167" s="116"/>
    </row>
    <row r="168">
      <c r="A168" s="72"/>
      <c r="B168" s="55"/>
      <c r="C168" s="67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67"/>
      <c r="R168" s="67"/>
      <c r="S168" s="67"/>
      <c r="T168" s="67"/>
      <c r="U168" s="116"/>
    </row>
    <row r="169">
      <c r="A169" s="72"/>
      <c r="B169" s="55"/>
      <c r="C169" s="67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67"/>
      <c r="R169" s="67"/>
      <c r="S169" s="67"/>
      <c r="T169" s="67"/>
      <c r="U169" s="116"/>
    </row>
    <row r="170">
      <c r="A170" s="72"/>
      <c r="B170" s="55"/>
      <c r="C170" s="67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67"/>
      <c r="R170" s="67"/>
      <c r="S170" s="67"/>
      <c r="T170" s="67"/>
      <c r="U170" s="116"/>
    </row>
    <row r="171">
      <c r="A171" s="72"/>
      <c r="B171" s="55"/>
      <c r="C171" s="67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67"/>
      <c r="R171" s="67"/>
      <c r="S171" s="67"/>
      <c r="T171" s="67"/>
      <c r="U171" s="116"/>
    </row>
    <row r="172">
      <c r="A172" s="134"/>
      <c r="B172" s="136"/>
      <c r="C172" s="92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92"/>
      <c r="R172" s="92"/>
      <c r="S172" s="92"/>
      <c r="T172" s="92"/>
      <c r="U172" s="237"/>
    </row>
    <row r="173">
      <c r="A173" s="72"/>
      <c r="B173" s="55"/>
      <c r="C173" s="67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67"/>
      <c r="R173" s="67"/>
      <c r="S173" s="67"/>
      <c r="T173" s="67"/>
      <c r="U173" s="116"/>
    </row>
    <row r="174">
      <c r="A174" s="72"/>
      <c r="B174" s="95"/>
      <c r="C174" s="67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67"/>
      <c r="R174" s="67"/>
      <c r="S174" s="67"/>
      <c r="T174" s="67"/>
      <c r="U174" s="116"/>
    </row>
    <row r="175">
      <c r="A175" s="72"/>
      <c r="B175" s="55"/>
      <c r="C175" s="67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67"/>
      <c r="R175" s="67"/>
      <c r="S175" s="67"/>
      <c r="T175" s="67"/>
      <c r="U175" s="116"/>
    </row>
    <row r="176">
      <c r="A176" s="72"/>
      <c r="B176" s="55"/>
      <c r="C176" s="67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67"/>
      <c r="R176" s="67"/>
      <c r="S176" s="67"/>
      <c r="T176" s="67"/>
      <c r="U176" s="116"/>
    </row>
    <row r="177">
      <c r="A177" s="72"/>
      <c r="B177" s="55"/>
      <c r="C177" s="67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67"/>
      <c r="R177" s="67"/>
      <c r="S177" s="67"/>
      <c r="T177" s="67"/>
      <c r="U177" s="116"/>
    </row>
    <row r="178">
      <c r="A178" s="72"/>
      <c r="B178" s="55"/>
      <c r="C178" s="67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67"/>
      <c r="R178" s="67"/>
      <c r="S178" s="67"/>
      <c r="T178" s="67"/>
      <c r="U178" s="116"/>
    </row>
    <row r="179">
      <c r="A179" s="72"/>
      <c r="B179" s="55"/>
      <c r="C179" s="67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67"/>
      <c r="R179" s="67"/>
      <c r="S179" s="67"/>
      <c r="T179" s="67"/>
      <c r="U179" s="116"/>
    </row>
    <row r="180">
      <c r="A180" s="72"/>
      <c r="B180" s="55"/>
      <c r="C180" s="67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67"/>
      <c r="R180" s="67"/>
      <c r="S180" s="67"/>
      <c r="T180" s="67"/>
      <c r="U180" s="118"/>
    </row>
    <row r="181">
      <c r="A181" s="72"/>
      <c r="B181" s="55"/>
      <c r="C181" s="67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67"/>
      <c r="R181" s="67"/>
      <c r="S181" s="67"/>
      <c r="T181" s="67"/>
      <c r="U181" s="116"/>
    </row>
    <row r="182">
      <c r="A182" s="72"/>
      <c r="B182" s="55"/>
      <c r="C182" s="67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67"/>
      <c r="R182" s="67"/>
      <c r="S182" s="67"/>
      <c r="T182" s="67"/>
      <c r="U182" s="116"/>
    </row>
    <row r="183">
      <c r="A183" s="72"/>
      <c r="B183" s="55"/>
      <c r="C183" s="67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67"/>
      <c r="R183" s="67"/>
      <c r="S183" s="67"/>
      <c r="T183" s="67"/>
      <c r="U183" s="116"/>
    </row>
    <row r="184">
      <c r="A184" s="72"/>
      <c r="B184" s="55"/>
      <c r="C184" s="67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67"/>
      <c r="R184" s="67"/>
      <c r="S184" s="67"/>
      <c r="T184" s="67"/>
      <c r="U184" s="118"/>
    </row>
    <row r="185">
      <c r="A185" s="72"/>
      <c r="B185" s="55"/>
      <c r="C185" s="67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67"/>
      <c r="R185" s="67"/>
      <c r="S185" s="67"/>
      <c r="T185" s="67"/>
      <c r="U185" s="116"/>
    </row>
    <row r="186">
      <c r="A186" s="72"/>
      <c r="B186" s="55"/>
      <c r="C186" s="67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67"/>
      <c r="R186" s="67"/>
      <c r="S186" s="67"/>
      <c r="T186" s="67"/>
      <c r="U186" s="116"/>
    </row>
    <row r="187">
      <c r="A187" s="72"/>
      <c r="B187" s="55"/>
      <c r="C187" s="67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67"/>
      <c r="R187" s="67"/>
      <c r="S187" s="67"/>
      <c r="T187" s="67"/>
      <c r="U187" s="116"/>
    </row>
    <row r="188">
      <c r="A188" s="72"/>
      <c r="B188" s="55"/>
      <c r="C188" s="67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67"/>
      <c r="R188" s="67"/>
      <c r="S188" s="67"/>
      <c r="T188" s="67"/>
      <c r="U188" s="116"/>
    </row>
    <row r="189">
      <c r="A189" s="72"/>
      <c r="B189" s="55"/>
      <c r="C189" s="67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67"/>
      <c r="R189" s="67"/>
      <c r="S189" s="67"/>
      <c r="T189" s="67"/>
      <c r="U189" s="116"/>
    </row>
    <row r="190">
      <c r="A190" s="72"/>
      <c r="B190" s="55"/>
      <c r="C190" s="67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67"/>
      <c r="R190" s="67"/>
      <c r="S190" s="67"/>
      <c r="T190" s="67"/>
      <c r="U190" s="116"/>
    </row>
    <row r="191">
      <c r="A191" s="72"/>
      <c r="B191" s="55"/>
      <c r="C191" s="67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67"/>
      <c r="R191" s="67"/>
      <c r="S191" s="67"/>
      <c r="T191" s="67"/>
      <c r="U191" s="116"/>
    </row>
    <row r="192">
      <c r="A192" s="72"/>
      <c r="B192" s="55"/>
      <c r="C192" s="67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67"/>
      <c r="R192" s="67"/>
      <c r="S192" s="67"/>
      <c r="T192" s="67"/>
      <c r="U192" s="116"/>
    </row>
    <row r="193">
      <c r="A193" s="72"/>
      <c r="B193" s="55"/>
      <c r="C193" s="67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67"/>
      <c r="R193" s="67"/>
      <c r="S193" s="67"/>
      <c r="T193" s="67"/>
      <c r="U193" s="116"/>
    </row>
    <row r="194">
      <c r="A194" s="134"/>
      <c r="B194" s="136"/>
      <c r="C194" s="92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92"/>
      <c r="R194" s="92"/>
      <c r="S194" s="92"/>
      <c r="T194" s="92"/>
      <c r="U194" s="237"/>
    </row>
    <row r="195">
      <c r="A195" s="72"/>
      <c r="B195" s="55"/>
      <c r="C195" s="67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67"/>
      <c r="R195" s="67"/>
      <c r="S195" s="67"/>
      <c r="T195" s="67"/>
      <c r="U195" s="116"/>
    </row>
    <row r="196">
      <c r="A196" s="134"/>
      <c r="B196" s="136"/>
      <c r="C196" s="92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92"/>
      <c r="R196" s="92"/>
      <c r="S196" s="92"/>
      <c r="T196" s="92"/>
      <c r="U196" s="237"/>
    </row>
    <row r="197">
      <c r="A197" s="72"/>
      <c r="B197" s="55"/>
      <c r="C197" s="67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67"/>
      <c r="R197" s="67"/>
      <c r="S197" s="67"/>
      <c r="T197" s="67"/>
      <c r="U197" s="116"/>
    </row>
    <row r="198">
      <c r="A198" s="72"/>
      <c r="B198" s="55"/>
      <c r="C198" s="67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67"/>
      <c r="R198" s="67"/>
      <c r="S198" s="67"/>
      <c r="T198" s="67"/>
      <c r="U198" s="116"/>
    </row>
    <row r="199">
      <c r="A199" s="72"/>
      <c r="B199" s="55"/>
      <c r="C199" s="67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67"/>
      <c r="R199" s="67"/>
      <c r="S199" s="67"/>
      <c r="T199" s="67"/>
      <c r="U199" s="116"/>
    </row>
    <row r="200">
      <c r="A200" s="72"/>
      <c r="B200" s="55"/>
      <c r="C200" s="67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67"/>
      <c r="R200" s="67"/>
      <c r="S200" s="67"/>
      <c r="T200" s="67"/>
      <c r="U200" s="116"/>
    </row>
    <row r="201">
      <c r="A201" s="72"/>
      <c r="B201" s="55"/>
      <c r="C201" s="67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67"/>
      <c r="R201" s="67"/>
      <c r="S201" s="67"/>
      <c r="T201" s="67"/>
      <c r="U201" s="116"/>
    </row>
    <row r="202">
      <c r="A202" s="72"/>
      <c r="B202" s="55"/>
      <c r="C202" s="67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67"/>
      <c r="R202" s="67"/>
      <c r="S202" s="67"/>
      <c r="T202" s="67"/>
      <c r="U202" s="116"/>
    </row>
    <row r="203">
      <c r="A203" s="72"/>
      <c r="B203" s="55"/>
      <c r="C203" s="67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67"/>
      <c r="R203" s="67"/>
      <c r="S203" s="67"/>
      <c r="T203" s="67"/>
      <c r="U203" s="116"/>
    </row>
    <row r="204">
      <c r="A204" s="72"/>
      <c r="B204" s="55"/>
      <c r="C204" s="67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67"/>
      <c r="R204" s="67"/>
      <c r="S204" s="67"/>
      <c r="T204" s="67"/>
      <c r="U204" s="116"/>
    </row>
    <row r="205">
      <c r="A205" s="72"/>
      <c r="B205" s="55"/>
      <c r="C205" s="67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67"/>
      <c r="R205" s="67"/>
      <c r="S205" s="67"/>
      <c r="T205" s="67"/>
      <c r="U205" s="116"/>
    </row>
    <row r="206">
      <c r="A206" s="72"/>
      <c r="B206" s="55"/>
      <c r="C206" s="67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67"/>
      <c r="R206" s="67"/>
      <c r="S206" s="67"/>
      <c r="T206" s="67"/>
      <c r="U206" s="116"/>
    </row>
    <row r="207">
      <c r="A207" s="72"/>
      <c r="B207" s="55"/>
      <c r="C207" s="67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67"/>
      <c r="R207" s="67"/>
      <c r="S207" s="67"/>
      <c r="T207" s="67"/>
      <c r="U207" s="116"/>
    </row>
    <row r="208">
      <c r="A208" s="72"/>
      <c r="B208" s="55"/>
      <c r="C208" s="67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67"/>
      <c r="R208" s="67"/>
      <c r="S208" s="67"/>
      <c r="T208" s="67"/>
      <c r="U208" s="116"/>
    </row>
    <row r="209">
      <c r="A209" s="72"/>
      <c r="B209" s="55"/>
      <c r="C209" s="67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67"/>
      <c r="R209" s="67"/>
      <c r="S209" s="67"/>
      <c r="T209" s="67"/>
      <c r="U209" s="116"/>
    </row>
    <row r="210">
      <c r="A210" s="72"/>
      <c r="B210" s="55"/>
      <c r="C210" s="67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67"/>
      <c r="R210" s="67"/>
      <c r="S210" s="67"/>
      <c r="T210" s="67"/>
      <c r="U210" s="116"/>
    </row>
    <row r="211">
      <c r="A211" s="72"/>
      <c r="B211" s="55"/>
      <c r="C211" s="67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67"/>
      <c r="R211" s="67"/>
      <c r="S211" s="67"/>
      <c r="T211" s="67"/>
      <c r="U211" s="116"/>
    </row>
    <row r="212">
      <c r="A212" s="72"/>
      <c r="B212" s="55"/>
      <c r="C212" s="67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67"/>
      <c r="R212" s="67"/>
      <c r="S212" s="67"/>
      <c r="T212" s="67"/>
      <c r="U212" s="116"/>
    </row>
    <row r="213">
      <c r="A213" s="72"/>
      <c r="B213" s="55"/>
      <c r="C213" s="67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67"/>
      <c r="R213" s="67"/>
      <c r="S213" s="67"/>
      <c r="T213" s="67"/>
      <c r="U213" s="116"/>
    </row>
    <row r="214">
      <c r="A214" s="72"/>
      <c r="B214" s="55"/>
      <c r="C214" s="67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67"/>
      <c r="R214" s="67"/>
      <c r="S214" s="67"/>
      <c r="T214" s="67"/>
      <c r="U214" s="116"/>
    </row>
    <row r="215">
      <c r="A215" s="72"/>
      <c r="B215" s="55"/>
      <c r="C215" s="67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67"/>
      <c r="R215" s="67"/>
      <c r="S215" s="67"/>
      <c r="T215" s="67"/>
      <c r="U215" s="116"/>
    </row>
    <row r="216">
      <c r="A216" s="72"/>
      <c r="B216" s="55"/>
      <c r="C216" s="67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67"/>
      <c r="R216" s="67"/>
      <c r="S216" s="67"/>
      <c r="T216" s="67"/>
      <c r="U216" s="116"/>
    </row>
    <row r="217">
      <c r="A217" s="72"/>
      <c r="B217" s="55"/>
      <c r="C217" s="67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67"/>
      <c r="R217" s="67"/>
      <c r="S217" s="67"/>
      <c r="T217" s="67"/>
      <c r="U217" s="116"/>
    </row>
    <row r="218">
      <c r="A218" s="72"/>
      <c r="B218" s="55"/>
      <c r="C218" s="67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67"/>
      <c r="R218" s="67"/>
      <c r="S218" s="67"/>
      <c r="T218" s="67"/>
      <c r="U218" s="116"/>
    </row>
    <row r="219">
      <c r="A219" s="72"/>
      <c r="B219" s="55"/>
      <c r="C219" s="67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67"/>
      <c r="R219" s="67"/>
      <c r="S219" s="67"/>
      <c r="T219" s="67"/>
      <c r="U219" s="118"/>
    </row>
    <row r="220">
      <c r="A220" s="72"/>
      <c r="B220" s="55"/>
      <c r="C220" s="67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67"/>
      <c r="R220" s="67"/>
      <c r="S220" s="67"/>
      <c r="T220" s="67"/>
      <c r="U220" s="116"/>
    </row>
    <row r="221">
      <c r="A221" s="72"/>
      <c r="B221" s="55"/>
      <c r="C221" s="67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67"/>
      <c r="R221" s="67"/>
      <c r="S221" s="67"/>
      <c r="T221" s="67"/>
      <c r="U221" s="116"/>
    </row>
    <row r="222">
      <c r="A222" s="72"/>
      <c r="B222" s="55"/>
      <c r="C222" s="67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67"/>
      <c r="R222" s="67"/>
      <c r="S222" s="67"/>
      <c r="T222" s="67"/>
      <c r="U222" s="116"/>
    </row>
    <row r="223">
      <c r="A223" s="72"/>
      <c r="B223" s="55"/>
      <c r="C223" s="67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67"/>
      <c r="R223" s="67"/>
      <c r="S223" s="67"/>
      <c r="T223" s="67"/>
      <c r="U223" s="116"/>
    </row>
    <row r="224">
      <c r="A224" s="72"/>
      <c r="B224" s="55"/>
      <c r="C224" s="67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67"/>
      <c r="R224" s="67"/>
      <c r="S224" s="67"/>
      <c r="T224" s="67"/>
      <c r="U224" s="116"/>
    </row>
    <row r="225">
      <c r="A225" s="134"/>
      <c r="B225" s="136"/>
      <c r="C225" s="92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92"/>
      <c r="R225" s="92"/>
      <c r="S225" s="92"/>
      <c r="T225" s="92"/>
      <c r="U225" s="237"/>
    </row>
    <row r="226">
      <c r="A226" s="72"/>
      <c r="B226" s="55"/>
      <c r="C226" s="67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67"/>
      <c r="R226" s="67"/>
      <c r="S226" s="67"/>
      <c r="T226" s="67"/>
      <c r="U226" s="116"/>
    </row>
    <row r="227">
      <c r="A227" s="72"/>
      <c r="B227" s="55"/>
      <c r="C227" s="67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67"/>
      <c r="R227" s="67"/>
      <c r="S227" s="67"/>
      <c r="T227" s="67"/>
      <c r="U227" s="116"/>
    </row>
    <row r="228">
      <c r="A228" s="72"/>
      <c r="B228" s="55"/>
      <c r="C228" s="67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67"/>
      <c r="R228" s="67"/>
      <c r="S228" s="67"/>
      <c r="T228" s="67"/>
      <c r="U228" s="116"/>
    </row>
    <row r="229">
      <c r="A229" s="72"/>
      <c r="B229" s="55"/>
      <c r="C229" s="67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67"/>
      <c r="R229" s="67"/>
      <c r="S229" s="67"/>
      <c r="T229" s="67"/>
      <c r="U229" s="116"/>
    </row>
    <row r="230">
      <c r="A230" s="72"/>
      <c r="B230" s="55"/>
      <c r="C230" s="67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67"/>
      <c r="R230" s="67"/>
      <c r="S230" s="67"/>
      <c r="T230" s="67"/>
      <c r="U230" s="116"/>
    </row>
    <row r="231">
      <c r="A231" s="72"/>
      <c r="B231" s="55"/>
      <c r="C231" s="67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67"/>
      <c r="R231" s="67"/>
      <c r="S231" s="67"/>
      <c r="T231" s="67"/>
      <c r="U231" s="116"/>
    </row>
    <row r="232">
      <c r="A232" s="72"/>
      <c r="B232" s="55"/>
      <c r="C232" s="67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67"/>
      <c r="R232" s="67"/>
      <c r="S232" s="67"/>
      <c r="T232" s="67"/>
      <c r="U232" s="116"/>
    </row>
    <row r="233">
      <c r="A233" s="72"/>
      <c r="B233" s="55"/>
      <c r="C233" s="67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67"/>
      <c r="R233" s="67"/>
      <c r="S233" s="67"/>
      <c r="T233" s="67"/>
      <c r="U233" s="116"/>
    </row>
    <row r="234">
      <c r="A234" s="72"/>
      <c r="B234" s="55"/>
      <c r="C234" s="67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67"/>
      <c r="R234" s="67"/>
      <c r="S234" s="67"/>
      <c r="T234" s="67"/>
      <c r="U234" s="116"/>
    </row>
    <row r="235">
      <c r="A235" s="72"/>
      <c r="B235" s="66"/>
      <c r="C235" s="67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67"/>
      <c r="R235" s="67"/>
      <c r="S235" s="67"/>
      <c r="T235" s="67"/>
      <c r="U235" s="116"/>
    </row>
    <row r="236">
      <c r="A236" s="72"/>
      <c r="B236" s="55"/>
      <c r="C236" s="67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67"/>
      <c r="R236" s="67"/>
      <c r="S236" s="67"/>
      <c r="T236" s="67"/>
      <c r="U236" s="116"/>
    </row>
    <row r="237">
      <c r="A237" s="72"/>
      <c r="B237" s="55"/>
      <c r="C237" s="67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67"/>
      <c r="R237" s="67"/>
      <c r="S237" s="67"/>
      <c r="T237" s="67"/>
      <c r="U237" s="116"/>
    </row>
    <row r="238">
      <c r="A238" s="134"/>
      <c r="B238" s="136"/>
      <c r="C238" s="92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92"/>
      <c r="R238" s="92"/>
      <c r="S238" s="92"/>
      <c r="T238" s="92"/>
      <c r="U238" s="237"/>
    </row>
    <row r="239">
      <c r="A239" s="72"/>
      <c r="B239" s="55"/>
      <c r="C239" s="67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67"/>
      <c r="R239" s="67"/>
      <c r="S239" s="67"/>
      <c r="T239" s="67"/>
      <c r="U239" s="116"/>
    </row>
    <row r="240">
      <c r="A240" s="72"/>
      <c r="B240" s="55"/>
      <c r="C240" s="67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67"/>
      <c r="R240" s="67"/>
      <c r="S240" s="67"/>
      <c r="T240" s="67"/>
      <c r="U240" s="116"/>
    </row>
    <row r="241">
      <c r="A241" s="72"/>
      <c r="B241" s="55"/>
      <c r="C241" s="67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67"/>
      <c r="R241" s="67"/>
      <c r="S241" s="67"/>
      <c r="T241" s="67"/>
      <c r="U241" s="116"/>
    </row>
    <row r="242">
      <c r="A242" s="72"/>
      <c r="B242" s="55"/>
      <c r="C242" s="67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67"/>
      <c r="R242" s="67"/>
      <c r="S242" s="67"/>
      <c r="T242" s="67"/>
      <c r="U242" s="116"/>
    </row>
    <row r="243">
      <c r="A243" s="72"/>
      <c r="B243" s="55"/>
      <c r="C243" s="67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67"/>
      <c r="R243" s="67"/>
      <c r="S243" s="67"/>
      <c r="T243" s="67"/>
      <c r="U243" s="116"/>
    </row>
    <row r="244">
      <c r="A244" s="72"/>
      <c r="B244" s="55"/>
      <c r="C244" s="67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67"/>
      <c r="R244" s="67"/>
      <c r="S244" s="67"/>
      <c r="T244" s="67"/>
      <c r="U244" s="116"/>
    </row>
    <row r="245">
      <c r="A245" s="72"/>
      <c r="B245" s="55"/>
      <c r="C245" s="67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67"/>
      <c r="R245" s="67"/>
      <c r="S245" s="67"/>
      <c r="T245" s="67"/>
      <c r="U245" s="116"/>
    </row>
    <row r="246">
      <c r="A246" s="72"/>
      <c r="B246" s="55"/>
      <c r="C246" s="67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67"/>
      <c r="R246" s="67"/>
      <c r="S246" s="67"/>
      <c r="T246" s="67"/>
      <c r="U246" s="116"/>
    </row>
    <row r="247">
      <c r="A247" s="72"/>
      <c r="B247" s="55"/>
      <c r="C247" s="67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67"/>
      <c r="R247" s="67"/>
      <c r="S247" s="67"/>
      <c r="T247" s="67"/>
      <c r="U247" s="116"/>
    </row>
    <row r="248">
      <c r="A248" s="72"/>
      <c r="B248" s="55"/>
      <c r="C248" s="67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67"/>
      <c r="R248" s="67"/>
      <c r="S248" s="67"/>
      <c r="T248" s="67"/>
      <c r="U248" s="116"/>
    </row>
    <row r="249">
      <c r="A249" s="72"/>
      <c r="B249" s="55"/>
      <c r="C249" s="67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67"/>
      <c r="R249" s="67"/>
      <c r="S249" s="67"/>
      <c r="T249" s="67"/>
      <c r="U249" s="116"/>
    </row>
    <row r="250">
      <c r="A250" s="72"/>
      <c r="B250" s="55"/>
      <c r="C250" s="67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67"/>
      <c r="R250" s="67"/>
      <c r="S250" s="67"/>
      <c r="T250" s="67"/>
      <c r="U250" s="116"/>
    </row>
    <row r="251">
      <c r="A251" s="72"/>
      <c r="B251" s="55"/>
      <c r="C251" s="67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67"/>
      <c r="R251" s="67"/>
      <c r="S251" s="67"/>
      <c r="T251" s="67"/>
      <c r="U251" s="116"/>
    </row>
    <row r="252">
      <c r="A252" s="72"/>
      <c r="B252" s="55"/>
      <c r="C252" s="67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67"/>
      <c r="R252" s="67"/>
      <c r="S252" s="67"/>
      <c r="T252" s="67"/>
      <c r="U252" s="116"/>
    </row>
    <row r="253">
      <c r="A253" s="72"/>
      <c r="B253" s="55"/>
      <c r="C253" s="67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67"/>
      <c r="R253" s="67"/>
      <c r="S253" s="67"/>
      <c r="T253" s="67"/>
      <c r="U253" s="116"/>
    </row>
    <row r="254">
      <c r="A254" s="72"/>
      <c r="B254" s="55"/>
      <c r="C254" s="67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67"/>
      <c r="R254" s="67"/>
      <c r="S254" s="67"/>
      <c r="T254" s="67"/>
      <c r="U254" s="116"/>
    </row>
    <row r="255">
      <c r="A255" s="72"/>
      <c r="B255" s="55"/>
      <c r="C255" s="67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67"/>
      <c r="R255" s="67"/>
      <c r="S255" s="67"/>
      <c r="T255" s="67"/>
      <c r="U255" s="116"/>
    </row>
    <row r="256">
      <c r="A256" s="72"/>
      <c r="B256" s="55"/>
      <c r="C256" s="67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67"/>
      <c r="R256" s="67"/>
      <c r="S256" s="67"/>
      <c r="T256" s="67"/>
      <c r="U256" s="116"/>
    </row>
    <row r="257">
      <c r="A257" s="72"/>
      <c r="B257" s="55"/>
      <c r="C257" s="67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67"/>
      <c r="R257" s="67"/>
      <c r="S257" s="67"/>
      <c r="T257" s="67"/>
      <c r="U257" s="116"/>
    </row>
    <row r="258">
      <c r="A258" s="72"/>
      <c r="B258" s="55"/>
      <c r="C258" s="67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67"/>
      <c r="R258" s="67"/>
      <c r="S258" s="67"/>
      <c r="T258" s="67"/>
      <c r="U258" s="116"/>
    </row>
    <row r="259">
      <c r="A259" s="72"/>
      <c r="B259" s="55"/>
      <c r="C259" s="67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67"/>
      <c r="R259" s="67"/>
      <c r="S259" s="67"/>
      <c r="T259" s="67"/>
      <c r="U259" s="116"/>
    </row>
    <row r="260">
      <c r="A260" s="72"/>
      <c r="B260" s="55"/>
      <c r="C260" s="67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67"/>
      <c r="R260" s="67"/>
      <c r="S260" s="67"/>
      <c r="T260" s="67"/>
      <c r="U260" s="116"/>
    </row>
    <row r="261">
      <c r="A261" s="72"/>
      <c r="B261" s="55"/>
      <c r="C261" s="67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67"/>
      <c r="R261" s="67"/>
      <c r="S261" s="67"/>
      <c r="T261" s="67"/>
      <c r="U261" s="116"/>
    </row>
    <row r="262">
      <c r="A262" s="72"/>
      <c r="B262" s="55"/>
      <c r="C262" s="67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67"/>
      <c r="R262" s="67"/>
      <c r="S262" s="67"/>
      <c r="T262" s="67"/>
      <c r="U262" s="116"/>
    </row>
    <row r="263">
      <c r="A263" s="72"/>
      <c r="B263" s="55"/>
      <c r="C263" s="67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67"/>
      <c r="R263" s="67"/>
      <c r="S263" s="67"/>
      <c r="T263" s="67"/>
      <c r="U263" s="116"/>
    </row>
    <row r="264">
      <c r="A264" s="72"/>
      <c r="B264" s="55"/>
      <c r="C264" s="67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67"/>
      <c r="R264" s="67"/>
      <c r="S264" s="67"/>
      <c r="T264" s="67"/>
      <c r="U264" s="116"/>
    </row>
    <row r="265">
      <c r="A265" s="72"/>
      <c r="B265" s="55"/>
      <c r="C265" s="67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67"/>
      <c r="R265" s="67"/>
      <c r="S265" s="67"/>
      <c r="T265" s="67"/>
      <c r="U265" s="116"/>
    </row>
    <row r="266">
      <c r="A266" s="72"/>
      <c r="B266" s="55"/>
      <c r="C266" s="67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67"/>
      <c r="R266" s="67"/>
      <c r="S266" s="67"/>
      <c r="T266" s="67"/>
      <c r="U266" s="116"/>
    </row>
    <row r="267">
      <c r="A267" s="134"/>
      <c r="B267" s="136"/>
      <c r="C267" s="92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92"/>
      <c r="R267" s="92"/>
      <c r="S267" s="92"/>
      <c r="T267" s="92"/>
      <c r="U267" s="237"/>
    </row>
    <row r="268">
      <c r="A268" s="72"/>
      <c r="B268" s="55"/>
      <c r="C268" s="67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67"/>
      <c r="R268" s="67"/>
      <c r="S268" s="67"/>
      <c r="T268" s="67"/>
      <c r="U268" s="116"/>
    </row>
    <row r="269">
      <c r="A269" s="72"/>
      <c r="B269" s="55"/>
      <c r="C269" s="67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67"/>
      <c r="R269" s="67"/>
      <c r="S269" s="67"/>
      <c r="T269" s="67"/>
      <c r="U269" s="116"/>
    </row>
    <row r="270">
      <c r="A270" s="72"/>
      <c r="B270" s="55"/>
      <c r="C270" s="67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67"/>
      <c r="R270" s="67"/>
      <c r="S270" s="67"/>
      <c r="T270" s="67"/>
      <c r="U270" s="116"/>
    </row>
    <row r="271">
      <c r="A271" s="72"/>
      <c r="B271" s="55"/>
      <c r="C271" s="67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67"/>
      <c r="R271" s="67"/>
      <c r="S271" s="67"/>
      <c r="T271" s="67"/>
      <c r="U271" s="116"/>
    </row>
    <row r="272">
      <c r="A272" s="72"/>
      <c r="B272" s="55"/>
      <c r="C272" s="67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67"/>
      <c r="R272" s="67"/>
      <c r="S272" s="67"/>
      <c r="T272" s="67"/>
      <c r="U272" s="116"/>
    </row>
    <row r="273">
      <c r="A273" s="72"/>
      <c r="B273" s="95"/>
      <c r="C273" s="67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67"/>
      <c r="R273" s="67"/>
      <c r="S273" s="67"/>
      <c r="T273" s="67"/>
      <c r="U273" s="116"/>
    </row>
    <row r="274">
      <c r="A274" s="72"/>
      <c r="B274" s="55"/>
      <c r="C274" s="67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67"/>
      <c r="R274" s="67"/>
      <c r="S274" s="67"/>
      <c r="T274" s="67"/>
      <c r="U274" s="116"/>
    </row>
    <row r="275">
      <c r="A275" s="72"/>
      <c r="B275" s="55"/>
      <c r="C275" s="67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67"/>
      <c r="R275" s="67"/>
      <c r="S275" s="67"/>
      <c r="T275" s="67"/>
      <c r="U275" s="116"/>
    </row>
    <row r="276">
      <c r="A276" s="134"/>
      <c r="B276" s="136"/>
      <c r="C276" s="92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92"/>
      <c r="R276" s="92"/>
      <c r="S276" s="92"/>
      <c r="T276" s="92"/>
      <c r="U276" s="237"/>
    </row>
    <row r="277">
      <c r="A277" s="72"/>
      <c r="B277" s="55"/>
      <c r="C277" s="67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67"/>
      <c r="R277" s="67"/>
      <c r="S277" s="67"/>
      <c r="T277" s="67"/>
      <c r="U277" s="116"/>
    </row>
    <row r="278">
      <c r="A278" s="72"/>
      <c r="B278" s="55"/>
      <c r="C278" s="67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67"/>
      <c r="R278" s="67"/>
      <c r="S278" s="67"/>
      <c r="T278" s="67"/>
      <c r="U278" s="116"/>
    </row>
    <row r="279">
      <c r="A279" s="134"/>
      <c r="B279" s="136"/>
      <c r="C279" s="92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92"/>
      <c r="R279" s="92"/>
      <c r="S279" s="92"/>
      <c r="T279" s="92"/>
      <c r="U279" s="237"/>
    </row>
    <row r="280">
      <c r="A280" s="72"/>
      <c r="B280" s="55"/>
      <c r="C280" s="67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67"/>
      <c r="R280" s="67"/>
      <c r="S280" s="67"/>
      <c r="T280" s="67"/>
      <c r="U280" s="116"/>
    </row>
    <row r="281">
      <c r="A281" s="72"/>
      <c r="B281" s="55"/>
      <c r="C281" s="67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67"/>
      <c r="R281" s="67"/>
      <c r="S281" s="67"/>
      <c r="T281" s="67"/>
      <c r="U281" s="116"/>
    </row>
    <row r="282">
      <c r="A282" s="72"/>
      <c r="B282" s="55"/>
      <c r="C282" s="67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67"/>
      <c r="R282" s="67"/>
      <c r="S282" s="67"/>
      <c r="T282" s="67"/>
      <c r="U282" s="116"/>
    </row>
    <row r="283">
      <c r="A283" s="72"/>
      <c r="B283" s="55"/>
      <c r="C283" s="67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67"/>
      <c r="R283" s="67"/>
      <c r="S283" s="67"/>
      <c r="T283" s="67"/>
      <c r="U283" s="116"/>
    </row>
    <row r="284">
      <c r="A284" s="72"/>
      <c r="B284" s="55"/>
      <c r="C284" s="67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67"/>
      <c r="R284" s="67"/>
      <c r="S284" s="67"/>
      <c r="T284" s="67"/>
      <c r="U284" s="116"/>
    </row>
    <row r="285">
      <c r="A285" s="72"/>
      <c r="B285" s="55"/>
      <c r="C285" s="67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67"/>
      <c r="R285" s="67"/>
      <c r="S285" s="67"/>
      <c r="T285" s="67"/>
      <c r="U285" s="116"/>
    </row>
    <row r="286">
      <c r="A286" s="72"/>
      <c r="B286" s="55"/>
      <c r="C286" s="67"/>
      <c r="D286" s="55"/>
      <c r="E286" s="55"/>
      <c r="F286" s="55"/>
      <c r="G286" s="55"/>
      <c r="H286" s="55"/>
      <c r="I286" s="115"/>
      <c r="J286" s="55"/>
      <c r="K286" s="55"/>
      <c r="L286" s="55"/>
      <c r="M286" s="55"/>
      <c r="N286" s="55"/>
      <c r="O286" s="55"/>
      <c r="P286" s="55"/>
      <c r="Q286" s="67"/>
      <c r="R286" s="67"/>
      <c r="S286" s="67"/>
      <c r="T286" s="67"/>
      <c r="U286" s="116"/>
    </row>
    <row r="287">
      <c r="A287" s="72"/>
      <c r="B287" s="55"/>
      <c r="C287" s="67"/>
      <c r="D287" s="55"/>
      <c r="E287" s="55"/>
      <c r="F287" s="55"/>
      <c r="G287" s="55"/>
      <c r="H287" s="55"/>
      <c r="I287" s="115"/>
      <c r="J287" s="55"/>
      <c r="K287" s="55"/>
      <c r="L287" s="55"/>
      <c r="M287" s="55"/>
      <c r="N287" s="55"/>
      <c r="O287" s="55"/>
      <c r="P287" s="55"/>
      <c r="Q287" s="67"/>
      <c r="R287" s="67"/>
      <c r="S287" s="67"/>
      <c r="T287" s="67"/>
      <c r="U287" s="116"/>
    </row>
    <row r="288">
      <c r="A288" s="72"/>
      <c r="B288" s="55"/>
      <c r="C288" s="67"/>
      <c r="D288" s="55"/>
      <c r="E288" s="55"/>
      <c r="F288" s="55"/>
      <c r="G288" s="55"/>
      <c r="H288" s="55"/>
      <c r="I288" s="115"/>
      <c r="J288" s="55"/>
      <c r="K288" s="55"/>
      <c r="L288" s="55"/>
      <c r="M288" s="55"/>
      <c r="N288" s="55"/>
      <c r="O288" s="55"/>
      <c r="P288" s="55"/>
      <c r="Q288" s="67"/>
      <c r="R288" s="67"/>
      <c r="S288" s="67"/>
      <c r="T288" s="67"/>
      <c r="U288" s="116"/>
    </row>
    <row r="289">
      <c r="A289" s="72"/>
      <c r="B289" s="55"/>
      <c r="C289" s="67"/>
      <c r="D289" s="55"/>
      <c r="E289" s="55"/>
      <c r="F289" s="55"/>
      <c r="G289" s="55"/>
      <c r="H289" s="55"/>
      <c r="I289" s="115"/>
      <c r="J289" s="55"/>
      <c r="K289" s="55"/>
      <c r="L289" s="55"/>
      <c r="M289" s="55"/>
      <c r="N289" s="55"/>
      <c r="O289" s="55"/>
      <c r="P289" s="55"/>
      <c r="Q289" s="67"/>
      <c r="R289" s="67"/>
      <c r="S289" s="67"/>
      <c r="T289" s="67"/>
      <c r="U289" s="116"/>
    </row>
    <row r="290">
      <c r="A290" s="72"/>
      <c r="B290" s="55"/>
      <c r="C290" s="67"/>
      <c r="D290" s="55"/>
      <c r="E290" s="55"/>
      <c r="F290" s="55"/>
      <c r="G290" s="55"/>
      <c r="H290" s="55"/>
      <c r="I290" s="115"/>
      <c r="J290" s="55"/>
      <c r="K290" s="55"/>
      <c r="L290" s="55"/>
      <c r="M290" s="55"/>
      <c r="N290" s="55"/>
      <c r="O290" s="55"/>
      <c r="P290" s="55"/>
      <c r="Q290" s="67"/>
      <c r="R290" s="67"/>
      <c r="S290" s="67"/>
      <c r="T290" s="67"/>
      <c r="U290" s="116"/>
    </row>
    <row r="291">
      <c r="A291" s="72"/>
      <c r="B291" s="55"/>
      <c r="C291" s="67"/>
      <c r="D291" s="55"/>
      <c r="E291" s="55"/>
      <c r="F291" s="55"/>
      <c r="G291" s="55"/>
      <c r="H291" s="55"/>
      <c r="I291" s="115"/>
      <c r="J291" s="55"/>
      <c r="K291" s="55"/>
      <c r="L291" s="55"/>
      <c r="M291" s="55"/>
      <c r="N291" s="55"/>
      <c r="O291" s="55"/>
      <c r="P291" s="55"/>
      <c r="Q291" s="67"/>
      <c r="R291" s="67"/>
      <c r="S291" s="67"/>
      <c r="T291" s="67"/>
      <c r="U291" s="116"/>
    </row>
    <row r="292">
      <c r="A292" s="72"/>
      <c r="B292" s="55"/>
      <c r="C292" s="67"/>
      <c r="D292" s="55"/>
      <c r="E292" s="55"/>
      <c r="F292" s="55"/>
      <c r="G292" s="55"/>
      <c r="H292" s="55"/>
      <c r="I292" s="115"/>
      <c r="J292" s="55"/>
      <c r="K292" s="55"/>
      <c r="L292" s="55"/>
      <c r="M292" s="55"/>
      <c r="N292" s="55"/>
      <c r="O292" s="55"/>
      <c r="P292" s="55"/>
      <c r="Q292" s="67"/>
      <c r="R292" s="67"/>
      <c r="S292" s="67"/>
      <c r="T292" s="67"/>
      <c r="U292" s="116"/>
    </row>
    <row r="293">
      <c r="A293" s="72"/>
      <c r="B293" s="55"/>
      <c r="C293" s="67"/>
      <c r="D293" s="55"/>
      <c r="E293" s="55"/>
      <c r="F293" s="55"/>
      <c r="G293" s="55"/>
      <c r="H293" s="55"/>
      <c r="I293" s="115"/>
      <c r="J293" s="55"/>
      <c r="K293" s="55"/>
      <c r="L293" s="55"/>
      <c r="M293" s="55"/>
      <c r="N293" s="55"/>
      <c r="O293" s="55"/>
      <c r="P293" s="55"/>
      <c r="Q293" s="67"/>
      <c r="R293" s="67"/>
      <c r="S293" s="67"/>
      <c r="T293" s="67"/>
      <c r="U293" s="116"/>
    </row>
    <row r="294">
      <c r="A294" s="72"/>
      <c r="B294" s="55"/>
      <c r="C294" s="67"/>
      <c r="D294" s="55"/>
      <c r="E294" s="55"/>
      <c r="F294" s="55"/>
      <c r="G294" s="55"/>
      <c r="H294" s="55"/>
      <c r="I294" s="115"/>
      <c r="J294" s="55"/>
      <c r="K294" s="55"/>
      <c r="L294" s="55"/>
      <c r="M294" s="55"/>
      <c r="N294" s="55"/>
      <c r="O294" s="55"/>
      <c r="P294" s="55"/>
      <c r="Q294" s="67"/>
      <c r="R294" s="67"/>
      <c r="S294" s="67"/>
      <c r="T294" s="67"/>
      <c r="U294" s="116"/>
    </row>
    <row r="295">
      <c r="A295" s="72"/>
      <c r="B295" s="55"/>
      <c r="C295" s="67"/>
      <c r="D295" s="55"/>
      <c r="E295" s="55"/>
      <c r="F295" s="55"/>
      <c r="G295" s="55"/>
      <c r="H295" s="55"/>
      <c r="I295" s="115"/>
      <c r="J295" s="55"/>
      <c r="K295" s="55"/>
      <c r="L295" s="55"/>
      <c r="M295" s="55"/>
      <c r="N295" s="55"/>
      <c r="O295" s="55"/>
      <c r="P295" s="55"/>
      <c r="Q295" s="67"/>
      <c r="R295" s="67"/>
      <c r="S295" s="67"/>
      <c r="T295" s="67"/>
      <c r="U295" s="116"/>
    </row>
    <row r="296">
      <c r="A296" s="72"/>
      <c r="B296" s="55"/>
      <c r="C296" s="67"/>
      <c r="D296" s="55"/>
      <c r="E296" s="55"/>
      <c r="F296" s="55"/>
      <c r="G296" s="55"/>
      <c r="H296" s="55"/>
      <c r="I296" s="115"/>
      <c r="J296" s="55"/>
      <c r="K296" s="55"/>
      <c r="L296" s="55"/>
      <c r="M296" s="55"/>
      <c r="N296" s="55"/>
      <c r="O296" s="55"/>
      <c r="P296" s="55"/>
      <c r="Q296" s="67"/>
      <c r="R296" s="67"/>
      <c r="S296" s="67"/>
      <c r="T296" s="67"/>
      <c r="U296" s="116"/>
    </row>
    <row r="297">
      <c r="A297" s="72"/>
      <c r="B297" s="55"/>
      <c r="C297" s="67"/>
      <c r="D297" s="55"/>
      <c r="E297" s="55"/>
      <c r="F297" s="55"/>
      <c r="G297" s="55"/>
      <c r="H297" s="55"/>
      <c r="I297" s="115"/>
      <c r="J297" s="55"/>
      <c r="K297" s="55"/>
      <c r="L297" s="55"/>
      <c r="M297" s="55"/>
      <c r="N297" s="55"/>
      <c r="O297" s="55"/>
      <c r="P297" s="55"/>
      <c r="Q297" s="67"/>
      <c r="R297" s="67"/>
      <c r="S297" s="67"/>
      <c r="T297" s="67"/>
      <c r="U297" s="116"/>
    </row>
    <row r="298">
      <c r="A298" s="72"/>
      <c r="B298" s="55"/>
      <c r="C298" s="67"/>
      <c r="D298" s="55"/>
      <c r="E298" s="55"/>
      <c r="F298" s="55"/>
      <c r="G298" s="55"/>
      <c r="H298" s="55"/>
      <c r="I298" s="115"/>
      <c r="J298" s="55"/>
      <c r="K298" s="55"/>
      <c r="L298" s="55"/>
      <c r="M298" s="55"/>
      <c r="N298" s="55"/>
      <c r="O298" s="55"/>
      <c r="P298" s="55"/>
      <c r="Q298" s="67"/>
      <c r="R298" s="67"/>
      <c r="S298" s="67"/>
      <c r="T298" s="67"/>
      <c r="U298" s="116"/>
    </row>
    <row r="299">
      <c r="A299" s="72"/>
      <c r="B299" s="55"/>
      <c r="C299" s="67"/>
      <c r="D299" s="55"/>
      <c r="E299" s="55"/>
      <c r="F299" s="55"/>
      <c r="G299" s="55"/>
      <c r="H299" s="55"/>
      <c r="I299" s="115"/>
      <c r="J299" s="55"/>
      <c r="K299" s="55"/>
      <c r="L299" s="55"/>
      <c r="M299" s="55"/>
      <c r="N299" s="55"/>
      <c r="O299" s="55"/>
      <c r="P299" s="55"/>
      <c r="Q299" s="67"/>
      <c r="R299" s="67"/>
      <c r="S299" s="67"/>
      <c r="T299" s="67"/>
      <c r="U299" s="116"/>
    </row>
    <row r="300">
      <c r="A300" s="72"/>
      <c r="B300" s="55"/>
      <c r="C300" s="67"/>
      <c r="D300" s="55"/>
      <c r="E300" s="55"/>
      <c r="F300" s="55"/>
      <c r="G300" s="55"/>
      <c r="H300" s="55"/>
      <c r="I300" s="115"/>
      <c r="J300" s="55"/>
      <c r="K300" s="55"/>
      <c r="L300" s="55"/>
      <c r="M300" s="55"/>
      <c r="N300" s="55"/>
      <c r="O300" s="55"/>
      <c r="P300" s="55"/>
      <c r="Q300" s="67"/>
      <c r="R300" s="67"/>
      <c r="S300" s="67"/>
      <c r="T300" s="67"/>
      <c r="U300" s="116"/>
    </row>
    <row r="301">
      <c r="A301" s="72"/>
      <c r="B301" s="55"/>
      <c r="C301" s="67"/>
      <c r="D301" s="55"/>
      <c r="E301" s="55"/>
      <c r="F301" s="55"/>
      <c r="G301" s="55"/>
      <c r="H301" s="55"/>
      <c r="I301" s="115"/>
      <c r="J301" s="55"/>
      <c r="K301" s="55"/>
      <c r="L301" s="55"/>
      <c r="M301" s="55"/>
      <c r="N301" s="55"/>
      <c r="O301" s="55"/>
      <c r="P301" s="55"/>
      <c r="Q301" s="67"/>
      <c r="R301" s="67"/>
      <c r="S301" s="67"/>
      <c r="T301" s="67"/>
      <c r="U301" s="116"/>
    </row>
    <row r="302">
      <c r="A302" s="72"/>
      <c r="B302" s="55"/>
      <c r="C302" s="67"/>
      <c r="D302" s="55"/>
      <c r="E302" s="55"/>
      <c r="F302" s="55"/>
      <c r="G302" s="55"/>
      <c r="H302" s="55"/>
      <c r="I302" s="115"/>
      <c r="J302" s="55"/>
      <c r="K302" s="55"/>
      <c r="L302" s="55"/>
      <c r="M302" s="55"/>
      <c r="N302" s="55"/>
      <c r="O302" s="55"/>
      <c r="P302" s="55"/>
      <c r="Q302" s="67"/>
      <c r="R302" s="67"/>
      <c r="S302" s="67"/>
      <c r="T302" s="67"/>
      <c r="U302" s="116"/>
    </row>
    <row r="303">
      <c r="A303" s="72"/>
      <c r="B303" s="55"/>
      <c r="C303" s="67"/>
      <c r="D303" s="55"/>
      <c r="E303" s="55"/>
      <c r="F303" s="55"/>
      <c r="G303" s="55"/>
      <c r="H303" s="55"/>
      <c r="I303" s="115"/>
      <c r="J303" s="55"/>
      <c r="K303" s="55"/>
      <c r="L303" s="55"/>
      <c r="M303" s="55"/>
      <c r="N303" s="55"/>
      <c r="O303" s="55"/>
      <c r="P303" s="55"/>
      <c r="Q303" s="67"/>
      <c r="R303" s="67"/>
      <c r="S303" s="67"/>
      <c r="T303" s="67"/>
      <c r="U303" s="116"/>
    </row>
    <row r="304">
      <c r="A304" s="72"/>
      <c r="B304" s="55"/>
      <c r="C304" s="67"/>
      <c r="D304" s="55"/>
      <c r="E304" s="55"/>
      <c r="F304" s="55"/>
      <c r="G304" s="55"/>
      <c r="H304" s="55"/>
      <c r="I304" s="115"/>
      <c r="J304" s="55"/>
      <c r="K304" s="55"/>
      <c r="L304" s="55"/>
      <c r="M304" s="55"/>
      <c r="N304" s="55"/>
      <c r="O304" s="55"/>
      <c r="P304" s="55"/>
      <c r="Q304" s="67"/>
      <c r="R304" s="67"/>
      <c r="S304" s="67"/>
      <c r="T304" s="67"/>
      <c r="U304" s="116"/>
    </row>
    <row r="305">
      <c r="A305" s="72"/>
      <c r="B305" s="55"/>
      <c r="C305" s="67"/>
      <c r="D305" s="55"/>
      <c r="E305" s="55"/>
      <c r="F305" s="55"/>
      <c r="G305" s="55"/>
      <c r="H305" s="55"/>
      <c r="I305" s="115"/>
      <c r="J305" s="55"/>
      <c r="K305" s="55"/>
      <c r="L305" s="55"/>
      <c r="M305" s="55"/>
      <c r="N305" s="55"/>
      <c r="O305" s="55"/>
      <c r="P305" s="55"/>
      <c r="Q305" s="67"/>
      <c r="R305" s="67"/>
      <c r="S305" s="67"/>
      <c r="T305" s="67"/>
      <c r="U305" s="116"/>
    </row>
    <row r="306">
      <c r="A306" s="72"/>
      <c r="B306" s="55"/>
      <c r="C306" s="67"/>
      <c r="D306" s="55"/>
      <c r="E306" s="55"/>
      <c r="F306" s="55"/>
      <c r="G306" s="55"/>
      <c r="H306" s="55"/>
      <c r="I306" s="115"/>
      <c r="J306" s="55"/>
      <c r="K306" s="55"/>
      <c r="L306" s="55"/>
      <c r="M306" s="55"/>
      <c r="N306" s="55"/>
      <c r="O306" s="55"/>
      <c r="P306" s="55"/>
      <c r="Q306" s="67"/>
      <c r="R306" s="67"/>
      <c r="S306" s="67"/>
      <c r="T306" s="67"/>
      <c r="U306" s="116"/>
    </row>
    <row r="307">
      <c r="A307" s="134"/>
      <c r="B307" s="136"/>
      <c r="C307" s="92"/>
      <c r="D307" s="136"/>
      <c r="E307" s="136"/>
      <c r="F307" s="136"/>
      <c r="G307" s="136"/>
      <c r="H307" s="136"/>
      <c r="I307" s="162"/>
      <c r="J307" s="136"/>
      <c r="K307" s="136"/>
      <c r="L307" s="136"/>
      <c r="M307" s="136"/>
      <c r="N307" s="136"/>
      <c r="O307" s="136"/>
      <c r="P307" s="136"/>
      <c r="Q307" s="92"/>
      <c r="R307" s="92"/>
      <c r="S307" s="92"/>
      <c r="T307" s="92"/>
      <c r="U307" s="237"/>
    </row>
    <row r="308">
      <c r="A308" s="72"/>
      <c r="B308" s="55"/>
      <c r="C308" s="67"/>
      <c r="D308" s="55"/>
      <c r="E308" s="55"/>
      <c r="F308" s="55"/>
      <c r="G308" s="55"/>
      <c r="H308" s="55"/>
      <c r="I308" s="115"/>
      <c r="J308" s="55"/>
      <c r="K308" s="55"/>
      <c r="L308" s="55"/>
      <c r="M308" s="55"/>
      <c r="N308" s="55"/>
      <c r="O308" s="55"/>
      <c r="P308" s="55"/>
      <c r="Q308" s="67"/>
      <c r="R308" s="67"/>
      <c r="S308" s="67"/>
      <c r="T308" s="67"/>
      <c r="U308" s="116"/>
    </row>
    <row r="309">
      <c r="A309" s="72"/>
      <c r="B309" s="55"/>
      <c r="C309" s="67"/>
      <c r="D309" s="55"/>
      <c r="E309" s="55"/>
      <c r="F309" s="55"/>
      <c r="G309" s="55"/>
      <c r="H309" s="55"/>
      <c r="I309" s="115"/>
      <c r="J309" s="55"/>
      <c r="K309" s="55"/>
      <c r="L309" s="55"/>
      <c r="M309" s="55"/>
      <c r="N309" s="55"/>
      <c r="O309" s="55"/>
      <c r="P309" s="55"/>
      <c r="Q309" s="67"/>
      <c r="R309" s="67"/>
      <c r="S309" s="67"/>
      <c r="T309" s="67"/>
      <c r="U309" s="116"/>
    </row>
    <row r="310">
      <c r="A310" s="72"/>
      <c r="B310" s="55"/>
      <c r="C310" s="67"/>
      <c r="D310" s="55"/>
      <c r="E310" s="55"/>
      <c r="F310" s="55"/>
      <c r="G310" s="55"/>
      <c r="H310" s="55"/>
      <c r="I310" s="115"/>
      <c r="J310" s="55"/>
      <c r="K310" s="55"/>
      <c r="L310" s="55"/>
      <c r="M310" s="55"/>
      <c r="N310" s="55"/>
      <c r="O310" s="55"/>
      <c r="P310" s="55"/>
      <c r="Q310" s="67"/>
      <c r="R310" s="67"/>
      <c r="S310" s="67"/>
      <c r="T310" s="67"/>
      <c r="U310" s="116"/>
    </row>
    <row r="311">
      <c r="A311" s="72"/>
      <c r="B311" s="55"/>
      <c r="C311" s="67"/>
      <c r="D311" s="55"/>
      <c r="E311" s="55"/>
      <c r="F311" s="55"/>
      <c r="G311" s="55"/>
      <c r="H311" s="55"/>
      <c r="I311" s="115"/>
      <c r="J311" s="55"/>
      <c r="K311" s="55"/>
      <c r="L311" s="55"/>
      <c r="M311" s="55"/>
      <c r="N311" s="55"/>
      <c r="O311" s="55"/>
      <c r="P311" s="55"/>
      <c r="Q311" s="67"/>
      <c r="R311" s="67"/>
      <c r="S311" s="67"/>
      <c r="T311" s="67"/>
      <c r="U311" s="116"/>
    </row>
    <row r="312">
      <c r="A312" s="72"/>
      <c r="B312" s="55"/>
      <c r="C312" s="67"/>
      <c r="D312" s="55"/>
      <c r="E312" s="55"/>
      <c r="F312" s="55"/>
      <c r="G312" s="55"/>
      <c r="H312" s="55"/>
      <c r="I312" s="115"/>
      <c r="J312" s="55"/>
      <c r="K312" s="55"/>
      <c r="L312" s="55"/>
      <c r="M312" s="55"/>
      <c r="N312" s="55"/>
      <c r="O312" s="55"/>
      <c r="P312" s="55"/>
      <c r="Q312" s="67"/>
      <c r="R312" s="67"/>
      <c r="S312" s="67"/>
      <c r="T312" s="67"/>
      <c r="U312" s="116"/>
    </row>
    <row r="313">
      <c r="A313" s="72"/>
      <c r="B313" s="55"/>
      <c r="C313" s="67"/>
      <c r="D313" s="55"/>
      <c r="E313" s="55"/>
      <c r="F313" s="55"/>
      <c r="G313" s="55"/>
      <c r="H313" s="55"/>
      <c r="I313" s="115"/>
      <c r="J313" s="55"/>
      <c r="K313" s="55"/>
      <c r="L313" s="55"/>
      <c r="M313" s="55"/>
      <c r="N313" s="55"/>
      <c r="O313" s="55"/>
      <c r="P313" s="55"/>
      <c r="Q313" s="67"/>
      <c r="R313" s="67"/>
      <c r="S313" s="67"/>
      <c r="T313" s="67"/>
      <c r="U313" s="116"/>
    </row>
    <row r="314">
      <c r="A314" s="72"/>
      <c r="B314" s="55"/>
      <c r="C314" s="67"/>
      <c r="D314" s="55"/>
      <c r="E314" s="55"/>
      <c r="F314" s="55"/>
      <c r="G314" s="55"/>
      <c r="H314" s="55"/>
      <c r="I314" s="115"/>
      <c r="J314" s="55"/>
      <c r="K314" s="55"/>
      <c r="L314" s="55"/>
      <c r="M314" s="55"/>
      <c r="N314" s="55"/>
      <c r="O314" s="55"/>
      <c r="P314" s="55"/>
      <c r="Q314" s="67"/>
      <c r="R314" s="67"/>
      <c r="S314" s="67"/>
      <c r="T314" s="67"/>
      <c r="U314" s="116"/>
    </row>
    <row r="315">
      <c r="A315" s="72"/>
      <c r="B315" s="55"/>
      <c r="C315" s="67"/>
      <c r="D315" s="55"/>
      <c r="E315" s="55"/>
      <c r="F315" s="55"/>
      <c r="G315" s="55"/>
      <c r="H315" s="55"/>
      <c r="I315" s="115"/>
      <c r="J315" s="55"/>
      <c r="K315" s="55"/>
      <c r="L315" s="55"/>
      <c r="M315" s="55"/>
      <c r="N315" s="55"/>
      <c r="O315" s="55"/>
      <c r="P315" s="55"/>
      <c r="Q315" s="67"/>
      <c r="R315" s="67"/>
      <c r="S315" s="67"/>
      <c r="T315" s="67"/>
      <c r="U315" s="116"/>
    </row>
    <row r="316">
      <c r="A316" s="72"/>
      <c r="B316" s="55"/>
      <c r="C316" s="67"/>
      <c r="D316" s="55"/>
      <c r="E316" s="55"/>
      <c r="F316" s="55"/>
      <c r="G316" s="55"/>
      <c r="H316" s="55"/>
      <c r="I316" s="115"/>
      <c r="J316" s="55"/>
      <c r="K316" s="55"/>
      <c r="L316" s="55"/>
      <c r="M316" s="55"/>
      <c r="N316" s="55"/>
      <c r="O316" s="55"/>
      <c r="P316" s="55"/>
      <c r="Q316" s="67"/>
      <c r="R316" s="67"/>
      <c r="S316" s="67"/>
      <c r="T316" s="67"/>
      <c r="U316" s="116"/>
    </row>
    <row r="317">
      <c r="A317" s="72"/>
      <c r="B317" s="55"/>
      <c r="C317" s="67"/>
      <c r="D317" s="55"/>
      <c r="E317" s="55"/>
      <c r="F317" s="55"/>
      <c r="G317" s="55"/>
      <c r="H317" s="55"/>
      <c r="I317" s="115"/>
      <c r="J317" s="55"/>
      <c r="K317" s="55"/>
      <c r="L317" s="55"/>
      <c r="M317" s="55"/>
      <c r="N317" s="55"/>
      <c r="O317" s="55"/>
      <c r="P317" s="55"/>
      <c r="Q317" s="67"/>
      <c r="R317" s="67"/>
      <c r="S317" s="67"/>
      <c r="T317" s="67"/>
      <c r="U317" s="116"/>
    </row>
    <row r="318">
      <c r="A318" s="134"/>
      <c r="B318" s="136"/>
      <c r="C318" s="92"/>
      <c r="D318" s="136"/>
      <c r="E318" s="136"/>
      <c r="F318" s="136"/>
      <c r="G318" s="136"/>
      <c r="H318" s="136"/>
      <c r="I318" s="162"/>
      <c r="J318" s="136"/>
      <c r="K318" s="136"/>
      <c r="L318" s="136"/>
      <c r="M318" s="136"/>
      <c r="N318" s="136"/>
      <c r="O318" s="136"/>
      <c r="P318" s="136"/>
      <c r="Q318" s="92"/>
      <c r="R318" s="92"/>
      <c r="S318" s="92"/>
      <c r="T318" s="92"/>
      <c r="U318" s="237"/>
    </row>
    <row r="319">
      <c r="A319" s="72"/>
      <c r="B319" s="55"/>
      <c r="C319" s="67"/>
      <c r="D319" s="55"/>
      <c r="E319" s="55"/>
      <c r="F319" s="55"/>
      <c r="G319" s="55"/>
      <c r="H319" s="55"/>
      <c r="I319" s="115"/>
      <c r="J319" s="55"/>
      <c r="K319" s="55"/>
      <c r="L319" s="55"/>
      <c r="M319" s="55"/>
      <c r="N319" s="55"/>
      <c r="O319" s="55"/>
      <c r="P319" s="55"/>
      <c r="Q319" s="67"/>
      <c r="R319" s="67"/>
      <c r="S319" s="67"/>
      <c r="T319" s="67"/>
      <c r="U319" s="116"/>
    </row>
    <row r="320">
      <c r="A320" s="72"/>
      <c r="B320" s="55"/>
      <c r="C320" s="67"/>
      <c r="D320" s="55"/>
      <c r="E320" s="55"/>
      <c r="F320" s="55"/>
      <c r="G320" s="55"/>
      <c r="H320" s="55"/>
      <c r="I320" s="115"/>
      <c r="J320" s="55"/>
      <c r="K320" s="55"/>
      <c r="L320" s="55"/>
      <c r="M320" s="55"/>
      <c r="N320" s="55"/>
      <c r="O320" s="55"/>
      <c r="P320" s="55"/>
      <c r="Q320" s="67"/>
      <c r="R320" s="67"/>
      <c r="S320" s="67"/>
      <c r="T320" s="67"/>
      <c r="U320" s="116"/>
    </row>
    <row r="321">
      <c r="A321" s="72"/>
      <c r="B321" s="55"/>
      <c r="C321" s="67"/>
      <c r="D321" s="55"/>
      <c r="E321" s="55"/>
      <c r="F321" s="55"/>
      <c r="G321" s="55"/>
      <c r="H321" s="55"/>
      <c r="I321" s="115"/>
      <c r="J321" s="55"/>
      <c r="K321" s="55"/>
      <c r="L321" s="55"/>
      <c r="M321" s="55"/>
      <c r="N321" s="55"/>
      <c r="O321" s="55"/>
      <c r="P321" s="55"/>
      <c r="Q321" s="67"/>
      <c r="R321" s="67"/>
      <c r="S321" s="67"/>
      <c r="T321" s="67"/>
      <c r="U321" s="116"/>
    </row>
    <row r="322">
      <c r="A322" s="134"/>
      <c r="B322" s="136"/>
      <c r="C322" s="92"/>
      <c r="D322" s="136"/>
      <c r="E322" s="136"/>
      <c r="F322" s="136"/>
      <c r="G322" s="136"/>
      <c r="H322" s="136"/>
      <c r="I322" s="162"/>
      <c r="J322" s="136"/>
      <c r="K322" s="136"/>
      <c r="L322" s="136"/>
      <c r="M322" s="136"/>
      <c r="N322" s="136"/>
      <c r="O322" s="136"/>
      <c r="P322" s="136"/>
      <c r="Q322" s="92"/>
      <c r="R322" s="92"/>
      <c r="S322" s="92"/>
      <c r="T322" s="92"/>
      <c r="U322" s="237"/>
    </row>
    <row r="323">
      <c r="A323" s="134"/>
      <c r="B323" s="136"/>
      <c r="C323" s="92"/>
      <c r="D323" s="136"/>
      <c r="E323" s="136"/>
      <c r="F323" s="136"/>
      <c r="G323" s="136"/>
      <c r="H323" s="136"/>
      <c r="I323" s="162"/>
      <c r="J323" s="136"/>
      <c r="K323" s="136"/>
      <c r="L323" s="136"/>
      <c r="M323" s="136"/>
      <c r="N323" s="136"/>
      <c r="O323" s="136"/>
      <c r="P323" s="136"/>
      <c r="Q323" s="92"/>
      <c r="R323" s="92"/>
      <c r="S323" s="92"/>
      <c r="T323" s="92"/>
      <c r="U323" s="237"/>
    </row>
    <row r="324">
      <c r="A324" s="72"/>
      <c r="B324" s="55"/>
      <c r="C324" s="67"/>
      <c r="D324" s="55"/>
      <c r="E324" s="55"/>
      <c r="F324" s="55"/>
      <c r="G324" s="55"/>
      <c r="H324" s="55"/>
      <c r="I324" s="115"/>
      <c r="J324" s="55"/>
      <c r="K324" s="55"/>
      <c r="L324" s="55"/>
      <c r="M324" s="55"/>
      <c r="N324" s="55"/>
      <c r="O324" s="55"/>
      <c r="P324" s="55"/>
      <c r="Q324" s="67"/>
      <c r="R324" s="67"/>
      <c r="S324" s="67"/>
      <c r="T324" s="67"/>
      <c r="U324" s="116"/>
    </row>
    <row r="325">
      <c r="A325" s="72"/>
      <c r="B325" s="55"/>
      <c r="C325" s="67"/>
      <c r="D325" s="55"/>
      <c r="E325" s="55"/>
      <c r="F325" s="55"/>
      <c r="G325" s="55"/>
      <c r="H325" s="55"/>
      <c r="I325" s="115"/>
      <c r="J325" s="55"/>
      <c r="K325" s="55"/>
      <c r="L325" s="55"/>
      <c r="M325" s="55"/>
      <c r="N325" s="55"/>
      <c r="O325" s="55"/>
      <c r="P325" s="55"/>
      <c r="Q325" s="67"/>
      <c r="R325" s="67"/>
      <c r="S325" s="67"/>
      <c r="T325" s="67"/>
      <c r="U325" s="116"/>
    </row>
    <row r="326">
      <c r="A326" s="72"/>
      <c r="B326" s="55"/>
      <c r="C326" s="67"/>
      <c r="D326" s="55"/>
      <c r="E326" s="55"/>
      <c r="F326" s="55"/>
      <c r="G326" s="55"/>
      <c r="H326" s="55"/>
      <c r="I326" s="115"/>
      <c r="J326" s="55"/>
      <c r="K326" s="55"/>
      <c r="L326" s="55"/>
      <c r="M326" s="55"/>
      <c r="N326" s="55"/>
      <c r="O326" s="55"/>
      <c r="P326" s="55"/>
      <c r="Q326" s="67"/>
      <c r="R326" s="67"/>
      <c r="S326" s="67"/>
      <c r="T326" s="67"/>
      <c r="U326" s="116"/>
    </row>
    <row r="327">
      <c r="A327" s="72"/>
      <c r="B327" s="55"/>
      <c r="C327" s="67"/>
      <c r="D327" s="55"/>
      <c r="E327" s="55"/>
      <c r="F327" s="55"/>
      <c r="G327" s="55"/>
      <c r="H327" s="55"/>
      <c r="I327" s="115"/>
      <c r="J327" s="55"/>
      <c r="K327" s="55"/>
      <c r="L327" s="55"/>
      <c r="M327" s="55"/>
      <c r="N327" s="55"/>
      <c r="O327" s="55"/>
      <c r="P327" s="55"/>
      <c r="Q327" s="67"/>
      <c r="R327" s="67"/>
      <c r="S327" s="67"/>
      <c r="T327" s="67"/>
      <c r="U327" s="116"/>
    </row>
    <row r="328">
      <c r="A328" s="72"/>
      <c r="B328" s="55"/>
      <c r="C328" s="67"/>
      <c r="D328" s="55"/>
      <c r="E328" s="55"/>
      <c r="F328" s="55"/>
      <c r="G328" s="55"/>
      <c r="H328" s="55"/>
      <c r="I328" s="115"/>
      <c r="J328" s="55"/>
      <c r="K328" s="55"/>
      <c r="L328" s="55"/>
      <c r="M328" s="55"/>
      <c r="N328" s="55"/>
      <c r="O328" s="55"/>
      <c r="P328" s="55"/>
      <c r="Q328" s="67"/>
      <c r="R328" s="67"/>
      <c r="S328" s="67"/>
      <c r="T328" s="67"/>
      <c r="U328" s="116"/>
    </row>
    <row r="329">
      <c r="A329" s="72"/>
      <c r="B329" s="55"/>
      <c r="C329" s="67"/>
      <c r="D329" s="55"/>
      <c r="E329" s="55"/>
      <c r="F329" s="55"/>
      <c r="G329" s="55"/>
      <c r="H329" s="55"/>
      <c r="I329" s="115"/>
      <c r="J329" s="55"/>
      <c r="K329" s="55"/>
      <c r="L329" s="55"/>
      <c r="M329" s="55"/>
      <c r="N329" s="55"/>
      <c r="O329" s="55"/>
      <c r="P329" s="55"/>
      <c r="Q329" s="67"/>
      <c r="R329" s="67"/>
      <c r="S329" s="67"/>
      <c r="T329" s="67"/>
      <c r="U329" s="116"/>
    </row>
    <row r="330">
      <c r="A330" s="72"/>
      <c r="B330" s="55"/>
      <c r="C330" s="67"/>
      <c r="D330" s="55"/>
      <c r="E330" s="55"/>
      <c r="F330" s="55"/>
      <c r="G330" s="55"/>
      <c r="H330" s="55"/>
      <c r="I330" s="115"/>
      <c r="J330" s="55"/>
      <c r="K330" s="55"/>
      <c r="L330" s="55"/>
      <c r="M330" s="55"/>
      <c r="N330" s="55"/>
      <c r="O330" s="55"/>
      <c r="P330" s="55"/>
      <c r="Q330" s="67"/>
      <c r="R330" s="67"/>
      <c r="S330" s="67"/>
      <c r="T330" s="67"/>
      <c r="U330" s="116"/>
    </row>
    <row r="331">
      <c r="A331" s="72"/>
      <c r="B331" s="55"/>
      <c r="C331" s="67"/>
      <c r="D331" s="55"/>
      <c r="E331" s="55"/>
      <c r="F331" s="55"/>
      <c r="G331" s="55"/>
      <c r="H331" s="55"/>
      <c r="I331" s="115"/>
      <c r="J331" s="55"/>
      <c r="K331" s="55"/>
      <c r="L331" s="55"/>
      <c r="M331" s="55"/>
      <c r="N331" s="55"/>
      <c r="O331" s="55"/>
      <c r="P331" s="55"/>
      <c r="Q331" s="67"/>
      <c r="R331" s="67"/>
      <c r="S331" s="67"/>
      <c r="T331" s="67"/>
      <c r="U331" s="116"/>
    </row>
    <row r="332">
      <c r="A332" s="72"/>
      <c r="B332" s="55"/>
      <c r="C332" s="67"/>
      <c r="D332" s="55"/>
      <c r="E332" s="55"/>
      <c r="F332" s="55"/>
      <c r="G332" s="55"/>
      <c r="H332" s="55"/>
      <c r="I332" s="115"/>
      <c r="J332" s="55"/>
      <c r="K332" s="55"/>
      <c r="L332" s="55"/>
      <c r="M332" s="55"/>
      <c r="N332" s="55"/>
      <c r="O332" s="55"/>
      <c r="P332" s="55"/>
      <c r="Q332" s="67"/>
      <c r="R332" s="67"/>
      <c r="S332" s="67"/>
      <c r="T332" s="67"/>
      <c r="U332" s="116"/>
    </row>
    <row r="333">
      <c r="A333" s="72"/>
      <c r="B333" s="55"/>
      <c r="C333" s="67"/>
      <c r="D333" s="55"/>
      <c r="E333" s="55"/>
      <c r="F333" s="55"/>
      <c r="G333" s="55"/>
      <c r="H333" s="55"/>
      <c r="I333" s="115"/>
      <c r="J333" s="55"/>
      <c r="K333" s="55"/>
      <c r="L333" s="55"/>
      <c r="M333" s="55"/>
      <c r="N333" s="55"/>
      <c r="O333" s="55"/>
      <c r="P333" s="55"/>
      <c r="Q333" s="67"/>
      <c r="R333" s="67"/>
      <c r="S333" s="67"/>
      <c r="T333" s="67"/>
      <c r="U333" s="116"/>
    </row>
    <row r="334">
      <c r="A334" s="72"/>
      <c r="B334" s="55"/>
      <c r="C334" s="67"/>
      <c r="D334" s="55"/>
      <c r="E334" s="55"/>
      <c r="F334" s="55"/>
      <c r="G334" s="55"/>
      <c r="H334" s="55"/>
      <c r="I334" s="115"/>
      <c r="J334" s="55"/>
      <c r="K334" s="55"/>
      <c r="L334" s="55"/>
      <c r="M334" s="55"/>
      <c r="N334" s="55"/>
      <c r="O334" s="55"/>
      <c r="P334" s="55"/>
      <c r="Q334" s="67"/>
      <c r="R334" s="67"/>
      <c r="S334" s="67"/>
      <c r="T334" s="67"/>
      <c r="U334" s="116"/>
    </row>
    <row r="335">
      <c r="A335" s="72"/>
      <c r="B335" s="55"/>
      <c r="C335" s="67"/>
      <c r="D335" s="55"/>
      <c r="E335" s="55"/>
      <c r="F335" s="55"/>
      <c r="G335" s="55"/>
      <c r="H335" s="55"/>
      <c r="I335" s="115"/>
      <c r="J335" s="55"/>
      <c r="K335" s="55"/>
      <c r="L335" s="55"/>
      <c r="M335" s="55"/>
      <c r="N335" s="55"/>
      <c r="O335" s="55"/>
      <c r="P335" s="55"/>
      <c r="Q335" s="67"/>
      <c r="R335" s="67"/>
      <c r="S335" s="67"/>
      <c r="T335" s="67"/>
      <c r="U335" s="116"/>
    </row>
    <row r="336">
      <c r="A336" s="72"/>
      <c r="B336" s="95"/>
      <c r="C336" s="67"/>
      <c r="D336" s="55"/>
      <c r="E336" s="55"/>
      <c r="F336" s="55"/>
      <c r="G336" s="55"/>
      <c r="H336" s="55"/>
      <c r="I336" s="115"/>
      <c r="J336" s="55"/>
      <c r="K336" s="55"/>
      <c r="L336" s="55"/>
      <c r="M336" s="55"/>
      <c r="N336" s="55"/>
      <c r="O336" s="55"/>
      <c r="P336" s="55"/>
      <c r="Q336" s="67"/>
      <c r="R336" s="67"/>
      <c r="S336" s="67"/>
      <c r="T336" s="67"/>
      <c r="U336" s="116"/>
    </row>
    <row r="337">
      <c r="A337" s="72"/>
      <c r="B337" s="95"/>
      <c r="C337" s="67"/>
      <c r="D337" s="55"/>
      <c r="E337" s="55"/>
      <c r="F337" s="55"/>
      <c r="G337" s="55"/>
      <c r="H337" s="55"/>
      <c r="I337" s="115"/>
      <c r="J337" s="55"/>
      <c r="K337" s="55"/>
      <c r="L337" s="55"/>
      <c r="M337" s="55"/>
      <c r="N337" s="55"/>
      <c r="O337" s="55"/>
      <c r="P337" s="55"/>
      <c r="Q337" s="67"/>
      <c r="R337" s="67"/>
      <c r="S337" s="67"/>
      <c r="T337" s="67"/>
      <c r="U337" s="116"/>
    </row>
    <row r="338">
      <c r="A338" s="72"/>
      <c r="B338" s="55"/>
      <c r="C338" s="67"/>
      <c r="D338" s="55"/>
      <c r="E338" s="55"/>
      <c r="F338" s="55"/>
      <c r="G338" s="55"/>
      <c r="H338" s="55"/>
      <c r="I338" s="115"/>
      <c r="J338" s="55"/>
      <c r="K338" s="55"/>
      <c r="L338" s="55"/>
      <c r="M338" s="55"/>
      <c r="N338" s="55"/>
      <c r="O338" s="55"/>
      <c r="P338" s="55"/>
      <c r="Q338" s="67"/>
      <c r="R338" s="67"/>
      <c r="S338" s="67"/>
      <c r="T338" s="67"/>
      <c r="U338" s="116"/>
    </row>
    <row r="339">
      <c r="A339" s="72"/>
      <c r="B339" s="55"/>
      <c r="C339" s="67"/>
      <c r="D339" s="55"/>
      <c r="E339" s="55"/>
      <c r="F339" s="55"/>
      <c r="G339" s="55"/>
      <c r="H339" s="55"/>
      <c r="I339" s="115"/>
      <c r="J339" s="55"/>
      <c r="K339" s="55"/>
      <c r="L339" s="55"/>
      <c r="M339" s="55"/>
      <c r="N339" s="55"/>
      <c r="O339" s="55"/>
      <c r="P339" s="55"/>
      <c r="Q339" s="67"/>
      <c r="R339" s="67"/>
      <c r="S339" s="67"/>
      <c r="T339" s="67"/>
      <c r="U339" s="116"/>
    </row>
    <row r="340">
      <c r="A340" s="72"/>
      <c r="B340" s="55"/>
      <c r="C340" s="67"/>
      <c r="D340" s="55"/>
      <c r="E340" s="55"/>
      <c r="F340" s="55"/>
      <c r="G340" s="55"/>
      <c r="H340" s="55"/>
      <c r="I340" s="115"/>
      <c r="J340" s="55"/>
      <c r="K340" s="55"/>
      <c r="L340" s="55"/>
      <c r="M340" s="55"/>
      <c r="N340" s="55"/>
      <c r="O340" s="55"/>
      <c r="P340" s="55"/>
      <c r="Q340" s="67"/>
      <c r="R340" s="67"/>
      <c r="S340" s="67"/>
      <c r="T340" s="67"/>
      <c r="U340" s="116"/>
    </row>
    <row r="341">
      <c r="A341" s="72"/>
      <c r="B341" s="55"/>
      <c r="C341" s="67"/>
      <c r="D341" s="55"/>
      <c r="E341" s="55"/>
      <c r="F341" s="55"/>
      <c r="G341" s="55"/>
      <c r="H341" s="55"/>
      <c r="I341" s="115"/>
      <c r="J341" s="55"/>
      <c r="K341" s="55"/>
      <c r="L341" s="55"/>
      <c r="M341" s="55"/>
      <c r="N341" s="55"/>
      <c r="O341" s="55"/>
      <c r="P341" s="55"/>
      <c r="Q341" s="67"/>
      <c r="R341" s="67"/>
      <c r="S341" s="67"/>
      <c r="T341" s="67"/>
      <c r="U341" s="116"/>
    </row>
    <row r="342">
      <c r="A342" s="72"/>
      <c r="B342" s="55"/>
      <c r="C342" s="67"/>
      <c r="D342" s="55"/>
      <c r="E342" s="55"/>
      <c r="F342" s="55"/>
      <c r="G342" s="55"/>
      <c r="H342" s="55"/>
      <c r="I342" s="115"/>
      <c r="J342" s="55"/>
      <c r="K342" s="55"/>
      <c r="L342" s="55"/>
      <c r="M342" s="55"/>
      <c r="N342" s="55"/>
      <c r="O342" s="55"/>
      <c r="P342" s="55"/>
      <c r="Q342" s="67"/>
      <c r="R342" s="67"/>
      <c r="S342" s="67"/>
      <c r="T342" s="67"/>
      <c r="U342" s="116"/>
    </row>
    <row r="343">
      <c r="A343" s="72"/>
      <c r="B343" s="55"/>
      <c r="C343" s="67"/>
      <c r="D343" s="55"/>
      <c r="E343" s="55"/>
      <c r="F343" s="55"/>
      <c r="G343" s="55"/>
      <c r="H343" s="55"/>
      <c r="I343" s="115"/>
      <c r="J343" s="55"/>
      <c r="K343" s="55"/>
      <c r="L343" s="55"/>
      <c r="M343" s="55"/>
      <c r="N343" s="55"/>
      <c r="O343" s="55"/>
      <c r="P343" s="55"/>
      <c r="Q343" s="67"/>
      <c r="R343" s="67"/>
      <c r="S343" s="67"/>
      <c r="T343" s="67"/>
      <c r="U343" s="116"/>
    </row>
    <row r="344">
      <c r="A344" s="72"/>
      <c r="B344" s="95"/>
      <c r="C344" s="67"/>
      <c r="D344" s="55"/>
      <c r="E344" s="55"/>
      <c r="F344" s="55"/>
      <c r="G344" s="55"/>
      <c r="H344" s="55"/>
      <c r="I344" s="115"/>
      <c r="J344" s="55"/>
      <c r="K344" s="55"/>
      <c r="L344" s="55"/>
      <c r="M344" s="55"/>
      <c r="N344" s="55"/>
      <c r="O344" s="55"/>
      <c r="P344" s="55"/>
      <c r="Q344" s="67"/>
      <c r="R344" s="67"/>
      <c r="S344" s="67"/>
      <c r="T344" s="67"/>
      <c r="U344" s="116"/>
    </row>
    <row r="345">
      <c r="A345" s="72"/>
      <c r="B345" s="55"/>
      <c r="C345" s="67"/>
      <c r="D345" s="55"/>
      <c r="E345" s="55"/>
      <c r="F345" s="55"/>
      <c r="G345" s="55"/>
      <c r="H345" s="55"/>
      <c r="I345" s="115"/>
      <c r="J345" s="55"/>
      <c r="K345" s="55"/>
      <c r="L345" s="55"/>
      <c r="M345" s="55"/>
      <c r="N345" s="55"/>
      <c r="O345" s="55"/>
      <c r="P345" s="55"/>
      <c r="Q345" s="67"/>
      <c r="R345" s="67"/>
      <c r="S345" s="67"/>
      <c r="T345" s="67"/>
      <c r="U345" s="116"/>
    </row>
    <row r="346">
      <c r="A346" s="72"/>
      <c r="B346" s="55"/>
      <c r="C346" s="67"/>
      <c r="D346" s="55"/>
      <c r="E346" s="55"/>
      <c r="F346" s="55"/>
      <c r="G346" s="55"/>
      <c r="H346" s="55"/>
      <c r="I346" s="115"/>
      <c r="J346" s="55"/>
      <c r="K346" s="55"/>
      <c r="L346" s="55"/>
      <c r="M346" s="55"/>
      <c r="N346" s="55"/>
      <c r="O346" s="55"/>
      <c r="P346" s="55"/>
      <c r="Q346" s="67"/>
      <c r="R346" s="67"/>
      <c r="S346" s="67"/>
      <c r="T346" s="67"/>
      <c r="U346" s="116"/>
    </row>
    <row r="347">
      <c r="A347" s="72"/>
      <c r="B347" s="55"/>
      <c r="C347" s="67"/>
      <c r="D347" s="55"/>
      <c r="E347" s="55"/>
      <c r="F347" s="55"/>
      <c r="G347" s="55"/>
      <c r="H347" s="55"/>
      <c r="I347" s="115"/>
      <c r="J347" s="55"/>
      <c r="K347" s="55"/>
      <c r="L347" s="55"/>
      <c r="M347" s="55"/>
      <c r="N347" s="55"/>
      <c r="O347" s="55"/>
      <c r="P347" s="55"/>
      <c r="Q347" s="67"/>
      <c r="R347" s="67"/>
      <c r="S347" s="67"/>
      <c r="T347" s="67"/>
      <c r="U347" s="116"/>
    </row>
    <row r="348">
      <c r="A348" s="72"/>
      <c r="B348" s="55"/>
      <c r="C348" s="67"/>
      <c r="D348" s="55"/>
      <c r="E348" s="55"/>
      <c r="F348" s="55"/>
      <c r="G348" s="55"/>
      <c r="H348" s="55"/>
      <c r="I348" s="115"/>
      <c r="J348" s="55"/>
      <c r="K348" s="55"/>
      <c r="L348" s="55"/>
      <c r="M348" s="55"/>
      <c r="N348" s="55"/>
      <c r="O348" s="55"/>
      <c r="P348" s="55"/>
      <c r="Q348" s="67"/>
      <c r="R348" s="67"/>
      <c r="S348" s="67"/>
      <c r="T348" s="67"/>
      <c r="U348" s="116"/>
    </row>
    <row r="349">
      <c r="A349" s="72"/>
      <c r="B349" s="55"/>
      <c r="C349" s="67"/>
      <c r="D349" s="55"/>
      <c r="E349" s="55"/>
      <c r="F349" s="55"/>
      <c r="G349" s="55"/>
      <c r="H349" s="55"/>
      <c r="I349" s="115"/>
      <c r="J349" s="55"/>
      <c r="K349" s="55"/>
      <c r="L349" s="55"/>
      <c r="M349" s="55"/>
      <c r="N349" s="55"/>
      <c r="O349" s="55"/>
      <c r="P349" s="55"/>
      <c r="Q349" s="67"/>
      <c r="R349" s="67"/>
      <c r="S349" s="67"/>
      <c r="T349" s="67"/>
      <c r="U349" s="116"/>
    </row>
    <row r="350">
      <c r="A350" s="72"/>
      <c r="B350" s="55"/>
      <c r="C350" s="67"/>
      <c r="D350" s="55"/>
      <c r="E350" s="55"/>
      <c r="F350" s="55"/>
      <c r="G350" s="55"/>
      <c r="H350" s="55"/>
      <c r="I350" s="115"/>
      <c r="J350" s="55"/>
      <c r="K350" s="55"/>
      <c r="L350" s="55"/>
      <c r="M350" s="55"/>
      <c r="N350" s="55"/>
      <c r="O350" s="55"/>
      <c r="P350" s="55"/>
      <c r="Q350" s="67"/>
      <c r="R350" s="67"/>
      <c r="S350" s="67"/>
      <c r="T350" s="67"/>
      <c r="U350" s="116"/>
    </row>
    <row r="351">
      <c r="A351" s="72"/>
      <c r="B351" s="55"/>
      <c r="C351" s="67"/>
      <c r="D351" s="55"/>
      <c r="E351" s="55"/>
      <c r="F351" s="55"/>
      <c r="G351" s="55"/>
      <c r="H351" s="55"/>
      <c r="I351" s="115"/>
      <c r="J351" s="55"/>
      <c r="K351" s="55"/>
      <c r="L351" s="55"/>
      <c r="M351" s="55"/>
      <c r="N351" s="55"/>
      <c r="O351" s="55"/>
      <c r="P351" s="55"/>
      <c r="Q351" s="67"/>
      <c r="R351" s="67"/>
      <c r="S351" s="67"/>
      <c r="T351" s="67"/>
      <c r="U351" s="116"/>
    </row>
    <row r="352">
      <c r="A352" s="72"/>
      <c r="B352" s="55"/>
      <c r="C352" s="67"/>
      <c r="D352" s="55"/>
      <c r="E352" s="55"/>
      <c r="F352" s="55"/>
      <c r="G352" s="55"/>
      <c r="H352" s="55"/>
      <c r="I352" s="115"/>
      <c r="J352" s="55"/>
      <c r="K352" s="55"/>
      <c r="L352" s="55"/>
      <c r="M352" s="55"/>
      <c r="N352" s="55"/>
      <c r="O352" s="55"/>
      <c r="P352" s="55"/>
      <c r="Q352" s="67"/>
      <c r="R352" s="67"/>
      <c r="S352" s="67"/>
      <c r="T352" s="67"/>
      <c r="U352" s="116"/>
    </row>
    <row r="353">
      <c r="A353" s="72"/>
      <c r="B353" s="55"/>
      <c r="C353" s="67"/>
      <c r="D353" s="55"/>
      <c r="E353" s="55"/>
      <c r="F353" s="55"/>
      <c r="G353" s="55"/>
      <c r="H353" s="55"/>
      <c r="I353" s="115"/>
      <c r="J353" s="55"/>
      <c r="K353" s="55"/>
      <c r="L353" s="55"/>
      <c r="M353" s="55"/>
      <c r="N353" s="55"/>
      <c r="O353" s="55"/>
      <c r="P353" s="55"/>
      <c r="Q353" s="67"/>
      <c r="R353" s="67"/>
      <c r="S353" s="67"/>
      <c r="T353" s="67"/>
      <c r="U353" s="116"/>
    </row>
    <row r="354">
      <c r="A354" s="72"/>
      <c r="B354" s="55"/>
      <c r="C354" s="67"/>
      <c r="D354" s="55"/>
      <c r="E354" s="55"/>
      <c r="F354" s="55"/>
      <c r="G354" s="55"/>
      <c r="H354" s="55"/>
      <c r="I354" s="115"/>
      <c r="J354" s="55"/>
      <c r="K354" s="55"/>
      <c r="L354" s="55"/>
      <c r="M354" s="55"/>
      <c r="N354" s="55"/>
      <c r="O354" s="55"/>
      <c r="P354" s="55"/>
      <c r="Q354" s="67"/>
      <c r="R354" s="67"/>
      <c r="S354" s="67"/>
      <c r="T354" s="67"/>
      <c r="U354" s="116"/>
    </row>
    <row r="355">
      <c r="A355" s="72"/>
      <c r="B355" s="55"/>
      <c r="C355" s="67"/>
      <c r="D355" s="55"/>
      <c r="E355" s="55"/>
      <c r="F355" s="55"/>
      <c r="G355" s="55"/>
      <c r="H355" s="55"/>
      <c r="I355" s="115"/>
      <c r="J355" s="55"/>
      <c r="K355" s="55"/>
      <c r="L355" s="55"/>
      <c r="M355" s="55"/>
      <c r="N355" s="55"/>
      <c r="O355" s="55"/>
      <c r="P355" s="55"/>
      <c r="Q355" s="67"/>
      <c r="R355" s="67"/>
      <c r="S355" s="67"/>
      <c r="T355" s="67"/>
      <c r="U355" s="116"/>
    </row>
    <row r="356">
      <c r="A356" s="72"/>
      <c r="B356" s="95"/>
      <c r="C356" s="67"/>
      <c r="D356" s="55"/>
      <c r="E356" s="55"/>
      <c r="F356" s="55"/>
      <c r="G356" s="55"/>
      <c r="H356" s="55"/>
      <c r="I356" s="115"/>
      <c r="J356" s="55"/>
      <c r="K356" s="55"/>
      <c r="L356" s="55"/>
      <c r="M356" s="55"/>
      <c r="N356" s="55"/>
      <c r="O356" s="55"/>
      <c r="P356" s="55"/>
      <c r="Q356" s="67"/>
      <c r="R356" s="67"/>
      <c r="S356" s="67"/>
      <c r="T356" s="67"/>
      <c r="U356" s="200"/>
    </row>
    <row r="357">
      <c r="A357" s="72"/>
      <c r="B357" s="55"/>
      <c r="C357" s="67"/>
      <c r="D357" s="55"/>
      <c r="E357" s="55"/>
      <c r="F357" s="55"/>
      <c r="G357" s="55"/>
      <c r="H357" s="55"/>
      <c r="I357" s="115"/>
      <c r="J357" s="55"/>
      <c r="K357" s="55"/>
      <c r="L357" s="55"/>
      <c r="M357" s="55"/>
      <c r="N357" s="55"/>
      <c r="O357" s="55"/>
      <c r="P357" s="55"/>
      <c r="Q357" s="67"/>
      <c r="R357" s="67"/>
      <c r="S357" s="67"/>
      <c r="T357" s="67"/>
      <c r="U357" s="116"/>
    </row>
    <row r="358">
      <c r="A358" s="72"/>
      <c r="B358" s="55"/>
      <c r="C358" s="67"/>
      <c r="D358" s="55"/>
      <c r="E358" s="55"/>
      <c r="F358" s="55"/>
      <c r="G358" s="55"/>
      <c r="H358" s="55"/>
      <c r="I358" s="115"/>
      <c r="J358" s="55"/>
      <c r="K358" s="55"/>
      <c r="L358" s="55"/>
      <c r="M358" s="55"/>
      <c r="N358" s="55"/>
      <c r="O358" s="55"/>
      <c r="P358" s="55"/>
      <c r="Q358" s="67"/>
      <c r="R358" s="67"/>
      <c r="S358" s="67"/>
      <c r="T358" s="67"/>
      <c r="U358" s="116"/>
    </row>
    <row r="359">
      <c r="A359" s="72"/>
      <c r="B359" s="55"/>
      <c r="C359" s="67"/>
      <c r="D359" s="55"/>
      <c r="E359" s="55"/>
      <c r="F359" s="55"/>
      <c r="G359" s="55"/>
      <c r="H359" s="55"/>
      <c r="I359" s="115"/>
      <c r="J359" s="55"/>
      <c r="K359" s="55"/>
      <c r="L359" s="55"/>
      <c r="M359" s="55"/>
      <c r="N359" s="55"/>
      <c r="O359" s="55"/>
      <c r="P359" s="55"/>
      <c r="Q359" s="67"/>
      <c r="R359" s="67"/>
      <c r="S359" s="67"/>
      <c r="T359" s="67"/>
      <c r="U359" s="116"/>
    </row>
    <row r="360">
      <c r="A360" s="72"/>
      <c r="B360" s="55"/>
      <c r="C360" s="67"/>
      <c r="D360" s="55"/>
      <c r="E360" s="55"/>
      <c r="F360" s="55"/>
      <c r="G360" s="55"/>
      <c r="H360" s="55"/>
      <c r="I360" s="115"/>
      <c r="J360" s="55"/>
      <c r="K360" s="55"/>
      <c r="L360" s="55"/>
      <c r="M360" s="55"/>
      <c r="N360" s="55"/>
      <c r="O360" s="55"/>
      <c r="P360" s="55"/>
      <c r="Q360" s="67"/>
      <c r="R360" s="67"/>
      <c r="S360" s="67"/>
      <c r="T360" s="67"/>
      <c r="U360" s="116"/>
    </row>
    <row r="361">
      <c r="A361" s="50"/>
      <c r="B361" s="114"/>
      <c r="C361" s="129"/>
      <c r="D361" s="114"/>
      <c r="E361" s="114"/>
      <c r="F361" s="114"/>
      <c r="G361" s="114"/>
      <c r="H361" s="114"/>
      <c r="I361" s="115"/>
      <c r="J361" s="114"/>
      <c r="K361" s="114"/>
      <c r="L361" s="114"/>
      <c r="M361" s="114"/>
      <c r="N361" s="114"/>
      <c r="O361" s="114"/>
      <c r="P361" s="114"/>
      <c r="Q361" s="129"/>
      <c r="R361" s="129"/>
      <c r="S361" s="129"/>
      <c r="T361" s="129"/>
      <c r="U361" s="193"/>
    </row>
    <row r="362">
      <c r="A362" s="72"/>
      <c r="B362" s="55"/>
      <c r="C362" s="67"/>
      <c r="D362" s="55"/>
      <c r="E362" s="55"/>
      <c r="F362" s="55"/>
      <c r="G362" s="55"/>
      <c r="H362" s="55"/>
      <c r="I362" s="115"/>
      <c r="J362" s="55"/>
      <c r="K362" s="55"/>
      <c r="L362" s="55"/>
      <c r="M362" s="55"/>
      <c r="N362" s="55"/>
      <c r="O362" s="55"/>
      <c r="P362" s="55"/>
      <c r="Q362" s="67"/>
      <c r="R362" s="67"/>
      <c r="S362" s="67"/>
      <c r="T362" s="67"/>
      <c r="U362" s="116"/>
    </row>
    <row r="363">
      <c r="A363" s="72"/>
      <c r="B363" s="55"/>
      <c r="C363" s="67"/>
      <c r="D363" s="55"/>
      <c r="E363" s="55"/>
      <c r="F363" s="55"/>
      <c r="G363" s="55"/>
      <c r="H363" s="55"/>
      <c r="I363" s="115"/>
      <c r="J363" s="55"/>
      <c r="K363" s="55"/>
      <c r="L363" s="55"/>
      <c r="M363" s="55"/>
      <c r="N363" s="55"/>
      <c r="O363" s="55"/>
      <c r="P363" s="55"/>
      <c r="Q363" s="67"/>
      <c r="R363" s="67"/>
      <c r="S363" s="67"/>
      <c r="T363" s="67"/>
      <c r="U363" s="116"/>
    </row>
    <row r="364">
      <c r="A364" s="72"/>
      <c r="B364" s="55"/>
      <c r="C364" s="67"/>
      <c r="D364" s="55"/>
      <c r="E364" s="55"/>
      <c r="F364" s="55"/>
      <c r="G364" s="55"/>
      <c r="H364" s="55"/>
      <c r="I364" s="115"/>
      <c r="J364" s="55"/>
      <c r="K364" s="55"/>
      <c r="L364" s="55"/>
      <c r="M364" s="55"/>
      <c r="N364" s="55"/>
      <c r="O364" s="55"/>
      <c r="P364" s="55"/>
      <c r="Q364" s="67"/>
      <c r="R364" s="67"/>
      <c r="S364" s="67"/>
      <c r="T364" s="67"/>
      <c r="U364" s="116"/>
    </row>
    <row r="365">
      <c r="A365" s="72"/>
      <c r="B365" s="55"/>
      <c r="C365" s="67"/>
      <c r="D365" s="55"/>
      <c r="E365" s="55"/>
      <c r="F365" s="55"/>
      <c r="G365" s="55"/>
      <c r="H365" s="55"/>
      <c r="I365" s="115"/>
      <c r="J365" s="55"/>
      <c r="K365" s="55"/>
      <c r="L365" s="55"/>
      <c r="M365" s="55"/>
      <c r="N365" s="55"/>
      <c r="O365" s="55"/>
      <c r="P365" s="55"/>
      <c r="Q365" s="67"/>
      <c r="R365" s="67"/>
      <c r="S365" s="67"/>
      <c r="T365" s="67"/>
      <c r="U365" s="116"/>
    </row>
    <row r="366">
      <c r="A366" s="134"/>
      <c r="B366" s="136"/>
      <c r="C366" s="92"/>
      <c r="D366" s="136"/>
      <c r="E366" s="136"/>
      <c r="F366" s="136"/>
      <c r="G366" s="136"/>
      <c r="H366" s="136"/>
      <c r="I366" s="162"/>
      <c r="J366" s="136"/>
      <c r="K366" s="136"/>
      <c r="L366" s="136"/>
      <c r="M366" s="136"/>
      <c r="N366" s="136"/>
      <c r="O366" s="136"/>
      <c r="P366" s="136"/>
      <c r="Q366" s="92"/>
      <c r="R366" s="92"/>
      <c r="S366" s="92"/>
      <c r="T366" s="92"/>
      <c r="U366" s="237"/>
    </row>
    <row r="367">
      <c r="A367" s="72"/>
      <c r="B367" s="55"/>
      <c r="C367" s="67"/>
      <c r="D367" s="55"/>
      <c r="E367" s="55"/>
      <c r="F367" s="55"/>
      <c r="G367" s="55"/>
      <c r="H367" s="55"/>
      <c r="I367" s="115"/>
      <c r="J367" s="55"/>
      <c r="K367" s="55"/>
      <c r="L367" s="55"/>
      <c r="M367" s="55"/>
      <c r="N367" s="55"/>
      <c r="O367" s="55"/>
      <c r="P367" s="55"/>
      <c r="Q367" s="67"/>
      <c r="R367" s="67"/>
      <c r="S367" s="67"/>
      <c r="T367" s="67"/>
      <c r="U367" s="116"/>
    </row>
    <row r="368">
      <c r="A368" s="72"/>
      <c r="B368" s="55"/>
      <c r="C368" s="67"/>
      <c r="D368" s="55"/>
      <c r="E368" s="55"/>
      <c r="F368" s="55"/>
      <c r="G368" s="55"/>
      <c r="H368" s="55"/>
      <c r="I368" s="115"/>
      <c r="J368" s="55"/>
      <c r="K368" s="55"/>
      <c r="L368" s="55"/>
      <c r="M368" s="55"/>
      <c r="N368" s="55"/>
      <c r="O368" s="55"/>
      <c r="P368" s="55"/>
      <c r="Q368" s="67"/>
      <c r="R368" s="67"/>
      <c r="S368" s="67"/>
      <c r="T368" s="67"/>
      <c r="U368" s="116"/>
    </row>
    <row r="369">
      <c r="A369" s="72"/>
      <c r="B369" s="55"/>
      <c r="C369" s="67"/>
      <c r="D369" s="55"/>
      <c r="E369" s="55"/>
      <c r="F369" s="55"/>
      <c r="G369" s="55"/>
      <c r="H369" s="55"/>
      <c r="I369" s="115"/>
      <c r="J369" s="55"/>
      <c r="K369" s="55"/>
      <c r="L369" s="55"/>
      <c r="M369" s="55"/>
      <c r="N369" s="55"/>
      <c r="O369" s="55"/>
      <c r="P369" s="55"/>
      <c r="Q369" s="67"/>
      <c r="R369" s="67"/>
      <c r="S369" s="67"/>
      <c r="T369" s="67"/>
      <c r="U369" s="116"/>
    </row>
    <row r="370">
      <c r="A370" s="72"/>
      <c r="B370" s="55"/>
      <c r="C370" s="67"/>
      <c r="D370" s="55"/>
      <c r="E370" s="55"/>
      <c r="F370" s="55"/>
      <c r="G370" s="55"/>
      <c r="H370" s="55"/>
      <c r="I370" s="115"/>
      <c r="J370" s="55"/>
      <c r="K370" s="55"/>
      <c r="L370" s="55"/>
      <c r="M370" s="55"/>
      <c r="N370" s="55"/>
      <c r="O370" s="55"/>
      <c r="P370" s="55"/>
      <c r="Q370" s="67"/>
      <c r="R370" s="67"/>
      <c r="S370" s="67"/>
      <c r="T370" s="67"/>
      <c r="U370" s="116"/>
    </row>
    <row r="371">
      <c r="A371" s="72"/>
      <c r="B371" s="55"/>
      <c r="C371" s="67"/>
      <c r="D371" s="55"/>
      <c r="E371" s="55"/>
      <c r="F371" s="55"/>
      <c r="G371" s="55"/>
      <c r="H371" s="55"/>
      <c r="I371" s="115"/>
      <c r="J371" s="55"/>
      <c r="K371" s="55"/>
      <c r="L371" s="55"/>
      <c r="M371" s="55"/>
      <c r="N371" s="55"/>
      <c r="O371" s="55"/>
      <c r="P371" s="55"/>
      <c r="Q371" s="67"/>
      <c r="R371" s="67"/>
      <c r="S371" s="67"/>
      <c r="T371" s="67"/>
      <c r="U371" s="116"/>
    </row>
    <row r="372">
      <c r="A372" s="134"/>
      <c r="B372" s="136"/>
      <c r="C372" s="92"/>
      <c r="D372" s="136"/>
      <c r="E372" s="136"/>
      <c r="F372" s="136"/>
      <c r="G372" s="136"/>
      <c r="H372" s="136"/>
      <c r="I372" s="162"/>
      <c r="J372" s="136"/>
      <c r="K372" s="136"/>
      <c r="L372" s="136"/>
      <c r="M372" s="136"/>
      <c r="N372" s="136"/>
      <c r="O372" s="136"/>
      <c r="P372" s="136"/>
      <c r="Q372" s="92"/>
      <c r="R372" s="92"/>
      <c r="S372" s="92"/>
      <c r="T372" s="92"/>
      <c r="U372" s="237"/>
    </row>
    <row r="373">
      <c r="A373" s="72"/>
      <c r="B373" s="55"/>
      <c r="C373" s="67"/>
      <c r="D373" s="55"/>
      <c r="E373" s="55"/>
      <c r="F373" s="55"/>
      <c r="G373" s="55"/>
      <c r="H373" s="55"/>
      <c r="I373" s="115"/>
      <c r="J373" s="55"/>
      <c r="K373" s="55"/>
      <c r="L373" s="55"/>
      <c r="M373" s="55"/>
      <c r="N373" s="55"/>
      <c r="O373" s="55"/>
      <c r="P373" s="55"/>
      <c r="Q373" s="67"/>
      <c r="R373" s="67"/>
      <c r="S373" s="67"/>
      <c r="T373" s="67"/>
      <c r="U373" s="116"/>
    </row>
    <row r="374">
      <c r="A374" s="72"/>
      <c r="B374" s="55"/>
      <c r="C374" s="67"/>
      <c r="D374" s="55"/>
      <c r="E374" s="55"/>
      <c r="F374" s="55"/>
      <c r="G374" s="55"/>
      <c r="H374" s="55"/>
      <c r="I374" s="115"/>
      <c r="J374" s="55"/>
      <c r="K374" s="55"/>
      <c r="L374" s="55"/>
      <c r="M374" s="55"/>
      <c r="N374" s="55"/>
      <c r="O374" s="55"/>
      <c r="P374" s="55"/>
      <c r="Q374" s="67"/>
      <c r="R374" s="67"/>
      <c r="S374" s="67"/>
      <c r="T374" s="67"/>
      <c r="U374" s="116"/>
    </row>
    <row r="375">
      <c r="A375" s="72"/>
      <c r="B375" s="55"/>
      <c r="C375" s="67"/>
      <c r="D375" s="55"/>
      <c r="E375" s="55"/>
      <c r="F375" s="55"/>
      <c r="G375" s="55"/>
      <c r="H375" s="55"/>
      <c r="I375" s="115"/>
      <c r="J375" s="55"/>
      <c r="K375" s="55"/>
      <c r="L375" s="55"/>
      <c r="M375" s="55"/>
      <c r="N375" s="55"/>
      <c r="O375" s="55"/>
      <c r="P375" s="55"/>
      <c r="Q375" s="67"/>
      <c r="R375" s="67"/>
      <c r="S375" s="67"/>
      <c r="T375" s="67"/>
      <c r="U375" s="116"/>
    </row>
    <row r="376">
      <c r="A376" s="72"/>
      <c r="B376" s="55"/>
      <c r="C376" s="67"/>
      <c r="D376" s="55"/>
      <c r="E376" s="55"/>
      <c r="F376" s="55"/>
      <c r="G376" s="55"/>
      <c r="H376" s="55"/>
      <c r="I376" s="115"/>
      <c r="J376" s="55"/>
      <c r="K376" s="55"/>
      <c r="L376" s="55"/>
      <c r="M376" s="55"/>
      <c r="N376" s="55"/>
      <c r="O376" s="55"/>
      <c r="P376" s="55"/>
      <c r="Q376" s="67"/>
      <c r="R376" s="67"/>
      <c r="S376" s="67"/>
      <c r="T376" s="67"/>
      <c r="U376" s="116"/>
    </row>
    <row r="377">
      <c r="A377" s="72"/>
      <c r="B377" s="55"/>
      <c r="C377" s="67"/>
      <c r="D377" s="55"/>
      <c r="E377" s="55"/>
      <c r="F377" s="55"/>
      <c r="G377" s="55"/>
      <c r="H377" s="55"/>
      <c r="I377" s="115"/>
      <c r="J377" s="55"/>
      <c r="K377" s="55"/>
      <c r="L377" s="55"/>
      <c r="M377" s="55"/>
      <c r="N377" s="55"/>
      <c r="O377" s="55"/>
      <c r="P377" s="55"/>
      <c r="Q377" s="67"/>
      <c r="R377" s="67"/>
      <c r="S377" s="67"/>
      <c r="T377" s="67"/>
      <c r="U377" s="116"/>
    </row>
    <row r="378">
      <c r="A378" s="72"/>
      <c r="B378" s="55"/>
      <c r="C378" s="67"/>
      <c r="D378" s="55"/>
      <c r="E378" s="55"/>
      <c r="F378" s="55"/>
      <c r="G378" s="55"/>
      <c r="H378" s="55"/>
      <c r="I378" s="115"/>
      <c r="J378" s="55"/>
      <c r="K378" s="55"/>
      <c r="L378" s="55"/>
      <c r="M378" s="55"/>
      <c r="N378" s="55"/>
      <c r="O378" s="55"/>
      <c r="P378" s="55"/>
      <c r="Q378" s="67"/>
      <c r="R378" s="67"/>
      <c r="S378" s="67"/>
      <c r="T378" s="67"/>
      <c r="U378" s="116"/>
    </row>
    <row r="379">
      <c r="A379" s="72"/>
      <c r="B379" s="55"/>
      <c r="C379" s="67"/>
      <c r="D379" s="55"/>
      <c r="E379" s="55"/>
      <c r="F379" s="55"/>
      <c r="G379" s="55"/>
      <c r="H379" s="55"/>
      <c r="I379" s="115"/>
      <c r="J379" s="55"/>
      <c r="K379" s="55"/>
      <c r="L379" s="55"/>
      <c r="M379" s="55"/>
      <c r="N379" s="55"/>
      <c r="O379" s="55"/>
      <c r="P379" s="55"/>
      <c r="Q379" s="67"/>
      <c r="R379" s="67"/>
      <c r="S379" s="67"/>
      <c r="T379" s="67"/>
      <c r="U379" s="116"/>
    </row>
    <row r="380">
      <c r="A380" s="72"/>
      <c r="B380" s="55"/>
      <c r="C380" s="67"/>
      <c r="D380" s="55"/>
      <c r="E380" s="55"/>
      <c r="F380" s="55"/>
      <c r="G380" s="55"/>
      <c r="H380" s="55"/>
      <c r="I380" s="115"/>
      <c r="J380" s="55"/>
      <c r="K380" s="55"/>
      <c r="L380" s="55"/>
      <c r="M380" s="55"/>
      <c r="N380" s="55"/>
      <c r="O380" s="55"/>
      <c r="P380" s="55"/>
      <c r="Q380" s="67"/>
      <c r="R380" s="67"/>
      <c r="S380" s="67"/>
      <c r="T380" s="67"/>
      <c r="U380" s="116"/>
    </row>
    <row r="381">
      <c r="A381" s="72"/>
      <c r="B381" s="55"/>
      <c r="C381" s="67"/>
      <c r="D381" s="55"/>
      <c r="E381" s="55"/>
      <c r="F381" s="55"/>
      <c r="G381" s="55"/>
      <c r="H381" s="55"/>
      <c r="I381" s="115"/>
      <c r="J381" s="55"/>
      <c r="K381" s="55"/>
      <c r="L381" s="55"/>
      <c r="M381" s="55"/>
      <c r="N381" s="55"/>
      <c r="O381" s="55"/>
      <c r="P381" s="55"/>
      <c r="Q381" s="67"/>
      <c r="R381" s="67"/>
      <c r="S381" s="67"/>
      <c r="T381" s="67"/>
      <c r="U381" s="116"/>
    </row>
    <row r="382">
      <c r="A382" s="72"/>
      <c r="B382" s="55"/>
      <c r="C382" s="67"/>
      <c r="D382" s="55"/>
      <c r="E382" s="55"/>
      <c r="F382" s="55"/>
      <c r="G382" s="55"/>
      <c r="H382" s="55"/>
      <c r="I382" s="115"/>
      <c r="J382" s="55"/>
      <c r="K382" s="55"/>
      <c r="L382" s="55"/>
      <c r="M382" s="55"/>
      <c r="N382" s="55"/>
      <c r="O382" s="55"/>
      <c r="P382" s="55"/>
      <c r="Q382" s="67"/>
      <c r="R382" s="67"/>
      <c r="S382" s="67"/>
      <c r="T382" s="67"/>
      <c r="U382" s="116"/>
    </row>
    <row r="383">
      <c r="A383" s="72"/>
      <c r="B383" s="55"/>
      <c r="C383" s="67"/>
      <c r="D383" s="55"/>
      <c r="E383" s="55"/>
      <c r="F383" s="55"/>
      <c r="G383" s="55"/>
      <c r="H383" s="55"/>
      <c r="I383" s="115"/>
      <c r="J383" s="55"/>
      <c r="K383" s="55"/>
      <c r="L383" s="55"/>
      <c r="M383" s="55"/>
      <c r="N383" s="55"/>
      <c r="O383" s="55"/>
      <c r="P383" s="55"/>
      <c r="Q383" s="67"/>
      <c r="R383" s="67"/>
      <c r="S383" s="67"/>
      <c r="T383" s="67"/>
      <c r="U383" s="116"/>
    </row>
    <row r="384">
      <c r="A384" s="72"/>
      <c r="B384" s="55"/>
      <c r="C384" s="67"/>
      <c r="D384" s="55"/>
      <c r="E384" s="55"/>
      <c r="F384" s="55"/>
      <c r="G384" s="55"/>
      <c r="H384" s="55"/>
      <c r="I384" s="115"/>
      <c r="J384" s="55"/>
      <c r="K384" s="55"/>
      <c r="L384" s="55"/>
      <c r="M384" s="55"/>
      <c r="N384" s="55"/>
      <c r="O384" s="55"/>
      <c r="P384" s="55"/>
      <c r="Q384" s="67"/>
      <c r="R384" s="67"/>
      <c r="S384" s="67"/>
      <c r="T384" s="67"/>
      <c r="U384" s="116"/>
    </row>
    <row r="385">
      <c r="A385" s="72"/>
      <c r="B385" s="55"/>
      <c r="C385" s="67"/>
      <c r="D385" s="55"/>
      <c r="E385" s="55"/>
      <c r="F385" s="55"/>
      <c r="G385" s="55"/>
      <c r="H385" s="55"/>
      <c r="I385" s="115"/>
      <c r="J385" s="55"/>
      <c r="K385" s="55"/>
      <c r="L385" s="55"/>
      <c r="M385" s="55"/>
      <c r="N385" s="55"/>
      <c r="O385" s="55"/>
      <c r="P385" s="55"/>
      <c r="Q385" s="67"/>
      <c r="R385" s="67"/>
      <c r="S385" s="67"/>
      <c r="T385" s="67"/>
      <c r="U385" s="116"/>
    </row>
    <row r="386">
      <c r="A386" s="72"/>
      <c r="B386" s="55"/>
      <c r="C386" s="67"/>
      <c r="D386" s="55"/>
      <c r="E386" s="55"/>
      <c r="F386" s="55"/>
      <c r="G386" s="55"/>
      <c r="H386" s="55"/>
      <c r="I386" s="115"/>
      <c r="J386" s="55"/>
      <c r="K386" s="55"/>
      <c r="L386" s="55"/>
      <c r="M386" s="55"/>
      <c r="N386" s="55"/>
      <c r="O386" s="55"/>
      <c r="P386" s="55"/>
      <c r="Q386" s="67"/>
      <c r="R386" s="67"/>
      <c r="S386" s="67"/>
      <c r="T386" s="67"/>
      <c r="U386" s="116"/>
    </row>
    <row r="387">
      <c r="A387" s="72"/>
      <c r="B387" s="55"/>
      <c r="C387" s="67"/>
      <c r="D387" s="55"/>
      <c r="E387" s="55"/>
      <c r="F387" s="55"/>
      <c r="G387" s="55"/>
      <c r="H387" s="55"/>
      <c r="I387" s="115"/>
      <c r="J387" s="55"/>
      <c r="K387" s="55"/>
      <c r="L387" s="55"/>
      <c r="M387" s="55"/>
      <c r="N387" s="55"/>
      <c r="O387" s="55"/>
      <c r="P387" s="55"/>
      <c r="Q387" s="67"/>
      <c r="R387" s="67"/>
      <c r="S387" s="67"/>
      <c r="T387" s="67"/>
      <c r="U387" s="116"/>
    </row>
    <row r="388">
      <c r="A388" s="72"/>
      <c r="B388" s="55"/>
      <c r="C388" s="67"/>
      <c r="D388" s="55"/>
      <c r="E388" s="55"/>
      <c r="F388" s="55"/>
      <c r="G388" s="55"/>
      <c r="H388" s="55"/>
      <c r="I388" s="115"/>
      <c r="J388" s="55"/>
      <c r="K388" s="55"/>
      <c r="L388" s="55"/>
      <c r="M388" s="55"/>
      <c r="N388" s="55"/>
      <c r="O388" s="55"/>
      <c r="P388" s="55"/>
      <c r="Q388" s="67"/>
      <c r="R388" s="67"/>
      <c r="S388" s="67"/>
      <c r="T388" s="67"/>
      <c r="U388" s="116"/>
    </row>
    <row r="389">
      <c r="A389" s="72"/>
      <c r="B389" s="55"/>
      <c r="C389" s="67"/>
      <c r="D389" s="55"/>
      <c r="E389" s="55"/>
      <c r="F389" s="55"/>
      <c r="G389" s="55"/>
      <c r="H389" s="55"/>
      <c r="I389" s="115"/>
      <c r="J389" s="55"/>
      <c r="K389" s="55"/>
      <c r="L389" s="55"/>
      <c r="M389" s="55"/>
      <c r="N389" s="55"/>
      <c r="O389" s="55"/>
      <c r="P389" s="55"/>
      <c r="Q389" s="67"/>
      <c r="R389" s="67"/>
      <c r="S389" s="67"/>
      <c r="T389" s="67"/>
      <c r="U389" s="116"/>
    </row>
    <row r="390">
      <c r="A390" s="72"/>
      <c r="B390" s="55"/>
      <c r="C390" s="67"/>
      <c r="D390" s="114"/>
      <c r="E390" s="114"/>
      <c r="F390" s="114"/>
      <c r="G390" s="114"/>
      <c r="H390" s="114"/>
      <c r="I390" s="115"/>
      <c r="J390" s="55"/>
      <c r="K390" s="55"/>
      <c r="L390" s="55"/>
      <c r="M390" s="55"/>
      <c r="N390" s="55"/>
      <c r="O390" s="55"/>
      <c r="P390" s="55"/>
      <c r="Q390" s="67"/>
      <c r="R390" s="67"/>
      <c r="S390" s="67"/>
      <c r="T390" s="67"/>
      <c r="U390" s="116"/>
    </row>
    <row r="391">
      <c r="A391" s="72"/>
      <c r="B391" s="55"/>
      <c r="C391" s="67"/>
      <c r="D391" s="55"/>
      <c r="E391" s="55"/>
      <c r="F391" s="55"/>
      <c r="G391" s="55"/>
      <c r="H391" s="55"/>
      <c r="I391" s="115"/>
      <c r="J391" s="55"/>
      <c r="K391" s="55"/>
      <c r="L391" s="55"/>
      <c r="M391" s="55"/>
      <c r="N391" s="55"/>
      <c r="O391" s="55"/>
      <c r="P391" s="55"/>
      <c r="Q391" s="67"/>
      <c r="R391" s="67"/>
      <c r="S391" s="67"/>
      <c r="T391" s="67"/>
      <c r="U391" s="116"/>
    </row>
    <row r="392">
      <c r="A392" s="72"/>
      <c r="B392" s="55"/>
      <c r="C392" s="67"/>
      <c r="D392" s="55"/>
      <c r="E392" s="55"/>
      <c r="F392" s="55"/>
      <c r="G392" s="55"/>
      <c r="H392" s="55"/>
      <c r="I392" s="115"/>
      <c r="J392" s="55"/>
      <c r="K392" s="55"/>
      <c r="L392" s="55"/>
      <c r="M392" s="55"/>
      <c r="N392" s="55"/>
      <c r="O392" s="55"/>
      <c r="P392" s="55"/>
      <c r="Q392" s="67"/>
      <c r="R392" s="67"/>
      <c r="S392" s="67"/>
      <c r="T392" s="67"/>
      <c r="U392" s="116"/>
    </row>
    <row r="393">
      <c r="A393" s="72"/>
      <c r="B393" s="55"/>
      <c r="C393" s="67"/>
      <c r="D393" s="55"/>
      <c r="E393" s="55"/>
      <c r="F393" s="55"/>
      <c r="G393" s="55"/>
      <c r="H393" s="55"/>
      <c r="I393" s="115"/>
      <c r="J393" s="55"/>
      <c r="K393" s="55"/>
      <c r="L393" s="55"/>
      <c r="M393" s="55"/>
      <c r="N393" s="55"/>
      <c r="O393" s="55"/>
      <c r="P393" s="55"/>
      <c r="Q393" s="67"/>
      <c r="R393" s="67"/>
      <c r="S393" s="67"/>
      <c r="T393" s="67"/>
      <c r="U393" s="116"/>
    </row>
    <row r="394">
      <c r="A394" s="72"/>
      <c r="B394" s="55"/>
      <c r="C394" s="67"/>
      <c r="D394" s="55"/>
      <c r="E394" s="55"/>
      <c r="F394" s="55"/>
      <c r="G394" s="55"/>
      <c r="H394" s="55"/>
      <c r="I394" s="115"/>
      <c r="J394" s="55"/>
      <c r="K394" s="55"/>
      <c r="L394" s="55"/>
      <c r="M394" s="55"/>
      <c r="N394" s="55"/>
      <c r="O394" s="55"/>
      <c r="P394" s="55"/>
      <c r="Q394" s="67"/>
      <c r="R394" s="67"/>
      <c r="S394" s="67"/>
      <c r="T394" s="67"/>
      <c r="U394" s="116"/>
    </row>
    <row r="395">
      <c r="A395" s="72"/>
      <c r="B395" s="55"/>
      <c r="C395" s="67"/>
      <c r="D395" s="114"/>
      <c r="E395" s="114"/>
      <c r="F395" s="114"/>
      <c r="G395" s="114"/>
      <c r="H395" s="114"/>
      <c r="I395" s="115"/>
      <c r="J395" s="55"/>
      <c r="K395" s="55"/>
      <c r="L395" s="55"/>
      <c r="M395" s="55"/>
      <c r="N395" s="55"/>
      <c r="O395" s="55"/>
      <c r="P395" s="55"/>
      <c r="Q395" s="67"/>
      <c r="R395" s="67"/>
      <c r="S395" s="67"/>
      <c r="T395" s="67"/>
      <c r="U395" s="116"/>
    </row>
    <row r="396">
      <c r="A396" s="72"/>
      <c r="B396" s="55"/>
      <c r="C396" s="67"/>
      <c r="D396" s="114"/>
      <c r="E396" s="114"/>
      <c r="F396" s="114"/>
      <c r="G396" s="114"/>
      <c r="H396" s="114"/>
      <c r="I396" s="115"/>
      <c r="J396" s="55"/>
      <c r="K396" s="55"/>
      <c r="L396" s="55"/>
      <c r="M396" s="55"/>
      <c r="N396" s="55"/>
      <c r="O396" s="55"/>
      <c r="P396" s="55"/>
      <c r="Q396" s="67"/>
      <c r="R396" s="67"/>
      <c r="S396" s="67"/>
      <c r="T396" s="67"/>
      <c r="U396" s="116"/>
    </row>
    <row r="397">
      <c r="A397" s="72"/>
      <c r="B397" s="55"/>
      <c r="C397" s="67"/>
      <c r="D397" s="114"/>
      <c r="E397" s="114"/>
      <c r="F397" s="114"/>
      <c r="G397" s="114"/>
      <c r="H397" s="114"/>
      <c r="I397" s="115"/>
      <c r="J397" s="55"/>
      <c r="K397" s="55"/>
      <c r="L397" s="55"/>
      <c r="M397" s="55"/>
      <c r="N397" s="55"/>
      <c r="O397" s="55"/>
      <c r="P397" s="55"/>
      <c r="Q397" s="67"/>
      <c r="R397" s="67"/>
      <c r="S397" s="67"/>
      <c r="T397" s="67"/>
      <c r="U397" s="116"/>
    </row>
    <row r="398">
      <c r="A398" s="72"/>
      <c r="B398" s="55"/>
      <c r="C398" s="67"/>
      <c r="D398" s="114"/>
      <c r="E398" s="114"/>
      <c r="F398" s="114"/>
      <c r="G398" s="114"/>
      <c r="H398" s="114"/>
      <c r="I398" s="115"/>
      <c r="J398" s="55"/>
      <c r="K398" s="55"/>
      <c r="L398" s="55"/>
      <c r="M398" s="55"/>
      <c r="N398" s="55"/>
      <c r="O398" s="55"/>
      <c r="P398" s="55"/>
      <c r="Q398" s="67"/>
      <c r="R398" s="67"/>
      <c r="S398" s="67"/>
      <c r="T398" s="67"/>
      <c r="U398" s="116"/>
    </row>
    <row r="399">
      <c r="A399" s="72"/>
      <c r="B399" s="55"/>
      <c r="C399" s="67"/>
      <c r="D399" s="114"/>
      <c r="E399" s="114"/>
      <c r="F399" s="114"/>
      <c r="G399" s="114"/>
      <c r="H399" s="114"/>
      <c r="I399" s="115"/>
      <c r="J399" s="55"/>
      <c r="K399" s="55"/>
      <c r="L399" s="55"/>
      <c r="M399" s="55"/>
      <c r="N399" s="55"/>
      <c r="O399" s="55"/>
      <c r="P399" s="55"/>
      <c r="Q399" s="67"/>
      <c r="R399" s="67"/>
      <c r="S399" s="67"/>
      <c r="T399" s="67"/>
      <c r="U399" s="116"/>
    </row>
    <row r="400">
      <c r="A400" s="72"/>
      <c r="B400" s="55"/>
      <c r="C400" s="67"/>
      <c r="D400" s="114"/>
      <c r="E400" s="114"/>
      <c r="F400" s="114"/>
      <c r="G400" s="114"/>
      <c r="H400" s="114"/>
      <c r="I400" s="115"/>
      <c r="J400" s="55"/>
      <c r="K400" s="55"/>
      <c r="L400" s="55"/>
      <c r="M400" s="55"/>
      <c r="N400" s="55"/>
      <c r="O400" s="55"/>
      <c r="P400" s="55"/>
      <c r="Q400" s="67"/>
      <c r="R400" s="67"/>
      <c r="S400" s="67"/>
      <c r="T400" s="67"/>
      <c r="U400" s="116"/>
    </row>
    <row r="401">
      <c r="A401" s="72"/>
      <c r="B401" s="55"/>
      <c r="C401" s="67"/>
      <c r="D401" s="114"/>
      <c r="E401" s="114"/>
      <c r="F401" s="114"/>
      <c r="G401" s="114"/>
      <c r="H401" s="114"/>
      <c r="I401" s="115"/>
      <c r="J401" s="55"/>
      <c r="K401" s="55"/>
      <c r="L401" s="55"/>
      <c r="M401" s="55"/>
      <c r="N401" s="55"/>
      <c r="O401" s="55"/>
      <c r="P401" s="55"/>
      <c r="Q401" s="67"/>
      <c r="R401" s="67"/>
      <c r="S401" s="67"/>
      <c r="T401" s="67"/>
      <c r="U401" s="116"/>
    </row>
    <row r="402">
      <c r="A402" s="72"/>
      <c r="B402" s="55"/>
      <c r="C402" s="67"/>
      <c r="D402" s="55"/>
      <c r="E402" s="55"/>
      <c r="F402" s="55"/>
      <c r="G402" s="55"/>
      <c r="H402" s="55"/>
      <c r="I402" s="115"/>
      <c r="J402" s="55"/>
      <c r="K402" s="55"/>
      <c r="L402" s="55"/>
      <c r="M402" s="55"/>
      <c r="N402" s="55"/>
      <c r="O402" s="55"/>
      <c r="P402" s="55"/>
      <c r="Q402" s="67"/>
      <c r="R402" s="67"/>
      <c r="S402" s="67"/>
      <c r="T402" s="67"/>
      <c r="U402" s="116"/>
    </row>
    <row r="403">
      <c r="A403" s="72"/>
      <c r="B403" s="55"/>
      <c r="C403" s="67"/>
      <c r="D403" s="55"/>
      <c r="E403" s="55"/>
      <c r="F403" s="55"/>
      <c r="G403" s="55"/>
      <c r="H403" s="55"/>
      <c r="I403" s="115"/>
      <c r="J403" s="55"/>
      <c r="K403" s="55"/>
      <c r="L403" s="55"/>
      <c r="M403" s="55"/>
      <c r="N403" s="55"/>
      <c r="O403" s="55"/>
      <c r="P403" s="55"/>
      <c r="Q403" s="67"/>
      <c r="R403" s="67"/>
      <c r="S403" s="67"/>
      <c r="T403" s="67"/>
      <c r="U403" s="116"/>
    </row>
    <row r="404">
      <c r="A404" s="72"/>
      <c r="B404" s="55"/>
      <c r="C404" s="67"/>
      <c r="D404" s="55"/>
      <c r="E404" s="55"/>
      <c r="F404" s="55"/>
      <c r="G404" s="55"/>
      <c r="H404" s="55"/>
      <c r="I404" s="115"/>
      <c r="J404" s="55"/>
      <c r="K404" s="55"/>
      <c r="L404" s="55"/>
      <c r="M404" s="55"/>
      <c r="N404" s="55"/>
      <c r="O404" s="55"/>
      <c r="P404" s="55"/>
      <c r="Q404" s="67"/>
      <c r="R404" s="67"/>
      <c r="S404" s="67"/>
      <c r="T404" s="67"/>
      <c r="U404" s="116"/>
    </row>
    <row r="405">
      <c r="A405" s="72"/>
      <c r="B405" s="55"/>
      <c r="C405" s="67"/>
      <c r="D405" s="55"/>
      <c r="E405" s="55"/>
      <c r="F405" s="55"/>
      <c r="G405" s="55"/>
      <c r="H405" s="55"/>
      <c r="I405" s="115"/>
      <c r="J405" s="55"/>
      <c r="K405" s="55"/>
      <c r="L405" s="55"/>
      <c r="M405" s="55"/>
      <c r="N405" s="55"/>
      <c r="O405" s="55"/>
      <c r="P405" s="55"/>
      <c r="Q405" s="67"/>
      <c r="R405" s="67"/>
      <c r="S405" s="67"/>
      <c r="T405" s="67"/>
      <c r="U405" s="116"/>
    </row>
    <row r="406">
      <c r="A406" s="72"/>
      <c r="B406" s="55"/>
      <c r="C406" s="67"/>
      <c r="D406" s="55"/>
      <c r="E406" s="55"/>
      <c r="F406" s="55"/>
      <c r="G406" s="55"/>
      <c r="H406" s="55"/>
      <c r="I406" s="115"/>
      <c r="J406" s="55"/>
      <c r="K406" s="55"/>
      <c r="L406" s="55"/>
      <c r="M406" s="55"/>
      <c r="N406" s="55"/>
      <c r="O406" s="55"/>
      <c r="P406" s="55"/>
      <c r="Q406" s="67"/>
      <c r="R406" s="67"/>
      <c r="S406" s="67"/>
      <c r="T406" s="67"/>
      <c r="U406" s="116"/>
    </row>
    <row r="407">
      <c r="A407" s="72"/>
      <c r="B407" s="55"/>
      <c r="C407" s="67"/>
      <c r="D407" s="55"/>
      <c r="E407" s="55"/>
      <c r="F407" s="55"/>
      <c r="G407" s="55"/>
      <c r="H407" s="55"/>
      <c r="I407" s="115"/>
      <c r="J407" s="55"/>
      <c r="K407" s="55"/>
      <c r="L407" s="55"/>
      <c r="M407" s="55"/>
      <c r="N407" s="55"/>
      <c r="O407" s="55"/>
      <c r="P407" s="55"/>
      <c r="Q407" s="67"/>
      <c r="R407" s="67"/>
      <c r="S407" s="67"/>
      <c r="T407" s="67"/>
      <c r="U407" s="116"/>
    </row>
    <row r="408">
      <c r="A408" s="72"/>
      <c r="B408" s="55"/>
      <c r="C408" s="67"/>
      <c r="D408" s="55"/>
      <c r="E408" s="55"/>
      <c r="F408" s="55"/>
      <c r="G408" s="55"/>
      <c r="H408" s="55"/>
      <c r="I408" s="115"/>
      <c r="J408" s="55"/>
      <c r="K408" s="55"/>
      <c r="L408" s="55"/>
      <c r="M408" s="55"/>
      <c r="N408" s="55"/>
      <c r="O408" s="55"/>
      <c r="P408" s="55"/>
      <c r="Q408" s="67"/>
      <c r="R408" s="67"/>
      <c r="S408" s="67"/>
      <c r="T408" s="67"/>
      <c r="U408" s="116"/>
    </row>
    <row r="409">
      <c r="A409" s="72"/>
      <c r="B409" s="55"/>
      <c r="C409" s="67"/>
      <c r="D409" s="55"/>
      <c r="E409" s="55"/>
      <c r="F409" s="55"/>
      <c r="G409" s="55"/>
      <c r="H409" s="55"/>
      <c r="I409" s="115"/>
      <c r="J409" s="55"/>
      <c r="K409" s="55"/>
      <c r="L409" s="55"/>
      <c r="M409" s="55"/>
      <c r="N409" s="55"/>
      <c r="O409" s="55"/>
      <c r="P409" s="55"/>
      <c r="Q409" s="67"/>
      <c r="R409" s="67"/>
      <c r="S409" s="67"/>
      <c r="T409" s="67"/>
      <c r="U409" s="116"/>
    </row>
    <row r="410">
      <c r="A410" s="72"/>
      <c r="B410" s="55"/>
      <c r="C410" s="67"/>
      <c r="D410" s="114"/>
      <c r="E410" s="114"/>
      <c r="F410" s="114"/>
      <c r="G410" s="114"/>
      <c r="H410" s="114"/>
      <c r="I410" s="115"/>
      <c r="J410" s="55"/>
      <c r="K410" s="55"/>
      <c r="L410" s="55"/>
      <c r="M410" s="55"/>
      <c r="N410" s="55"/>
      <c r="O410" s="55"/>
      <c r="P410" s="55"/>
      <c r="Q410" s="67"/>
      <c r="R410" s="67"/>
      <c r="S410" s="67"/>
      <c r="T410" s="67"/>
      <c r="U410" s="116"/>
    </row>
    <row r="411">
      <c r="A411" s="72"/>
      <c r="B411" s="55"/>
      <c r="C411" s="67"/>
      <c r="D411" s="55"/>
      <c r="E411" s="55"/>
      <c r="F411" s="55"/>
      <c r="G411" s="55"/>
      <c r="H411" s="55"/>
      <c r="I411" s="115"/>
      <c r="J411" s="55"/>
      <c r="K411" s="55"/>
      <c r="L411" s="55"/>
      <c r="M411" s="55"/>
      <c r="N411" s="55"/>
      <c r="O411" s="55"/>
      <c r="P411" s="55"/>
      <c r="Q411" s="67"/>
      <c r="R411" s="67"/>
      <c r="S411" s="67"/>
      <c r="T411" s="67"/>
      <c r="U411" s="116"/>
    </row>
    <row r="412">
      <c r="A412" s="72"/>
      <c r="B412" s="55"/>
      <c r="C412" s="67"/>
      <c r="D412" s="55"/>
      <c r="E412" s="55"/>
      <c r="F412" s="55"/>
      <c r="G412" s="55"/>
      <c r="H412" s="55"/>
      <c r="I412" s="115"/>
      <c r="J412" s="55"/>
      <c r="K412" s="55"/>
      <c r="L412" s="55"/>
      <c r="M412" s="55"/>
      <c r="N412" s="55"/>
      <c r="O412" s="55"/>
      <c r="P412" s="55"/>
      <c r="Q412" s="67"/>
      <c r="R412" s="67"/>
      <c r="S412" s="67"/>
      <c r="T412" s="67"/>
      <c r="U412" s="116"/>
    </row>
    <row r="413">
      <c r="A413" s="72"/>
      <c r="B413" s="55"/>
      <c r="C413" s="67"/>
      <c r="D413" s="55"/>
      <c r="E413" s="55"/>
      <c r="F413" s="55"/>
      <c r="G413" s="55"/>
      <c r="H413" s="55"/>
      <c r="I413" s="115"/>
      <c r="J413" s="55"/>
      <c r="K413" s="55"/>
      <c r="L413" s="55"/>
      <c r="M413" s="55"/>
      <c r="N413" s="55"/>
      <c r="O413" s="55"/>
      <c r="P413" s="55"/>
      <c r="Q413" s="67"/>
      <c r="R413" s="67"/>
      <c r="S413" s="67"/>
      <c r="T413" s="67"/>
      <c r="U413" s="116"/>
    </row>
    <row r="414">
      <c r="A414" s="72"/>
      <c r="B414" s="55"/>
      <c r="C414" s="67"/>
      <c r="D414" s="55"/>
      <c r="E414" s="55"/>
      <c r="F414" s="55"/>
      <c r="G414" s="55"/>
      <c r="H414" s="55"/>
      <c r="I414" s="115"/>
      <c r="J414" s="55"/>
      <c r="K414" s="55"/>
      <c r="L414" s="55"/>
      <c r="M414" s="55"/>
      <c r="N414" s="55"/>
      <c r="O414" s="55"/>
      <c r="P414" s="55"/>
      <c r="Q414" s="67"/>
      <c r="R414" s="67"/>
      <c r="S414" s="67"/>
      <c r="T414" s="67"/>
      <c r="U414" s="116"/>
    </row>
    <row r="415">
      <c r="A415" s="72"/>
      <c r="B415" s="55"/>
      <c r="C415" s="67"/>
      <c r="D415" s="55"/>
      <c r="E415" s="55"/>
      <c r="F415" s="55"/>
      <c r="G415" s="55"/>
      <c r="H415" s="55"/>
      <c r="I415" s="115"/>
      <c r="J415" s="55"/>
      <c r="K415" s="55"/>
      <c r="L415" s="55"/>
      <c r="M415" s="55"/>
      <c r="N415" s="55"/>
      <c r="O415" s="55"/>
      <c r="P415" s="55"/>
      <c r="Q415" s="67"/>
      <c r="R415" s="67"/>
      <c r="S415" s="67"/>
      <c r="T415" s="67"/>
      <c r="U415" s="116"/>
    </row>
    <row r="416">
      <c r="A416" s="72"/>
      <c r="B416" s="55"/>
      <c r="C416" s="67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67"/>
      <c r="R416" s="67"/>
      <c r="S416" s="67"/>
      <c r="T416" s="67"/>
      <c r="U416" s="118"/>
    </row>
    <row r="417">
      <c r="A417" s="72"/>
      <c r="B417" s="54"/>
      <c r="C417" s="67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67"/>
      <c r="R417" s="67"/>
      <c r="S417" s="67"/>
      <c r="T417" s="67"/>
      <c r="U417" s="118"/>
    </row>
    <row r="418">
      <c r="A418" s="72"/>
      <c r="B418" s="54"/>
      <c r="C418" s="67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67"/>
      <c r="R418" s="67"/>
      <c r="S418" s="67"/>
      <c r="T418" s="67"/>
      <c r="U418" s="118"/>
    </row>
    <row r="419">
      <c r="A419" s="72"/>
      <c r="B419" s="54"/>
      <c r="C419" s="67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67"/>
      <c r="R419" s="67"/>
      <c r="S419" s="67"/>
      <c r="T419" s="67"/>
      <c r="U419" s="118"/>
    </row>
    <row r="420">
      <c r="A420" s="72"/>
      <c r="B420" s="54"/>
      <c r="C420" s="67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67"/>
      <c r="R420" s="67"/>
      <c r="S420" s="67"/>
      <c r="T420" s="67"/>
      <c r="U420" s="118"/>
    </row>
    <row r="421">
      <c r="A421" s="72"/>
      <c r="B421" s="54"/>
      <c r="C421" s="67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67"/>
      <c r="R421" s="67"/>
      <c r="S421" s="67"/>
      <c r="T421" s="67"/>
      <c r="U421" s="118"/>
    </row>
    <row r="422">
      <c r="A422" s="72"/>
      <c r="B422" s="54"/>
      <c r="C422" s="67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67"/>
      <c r="R422" s="67"/>
      <c r="S422" s="67"/>
      <c r="T422" s="67"/>
      <c r="U422" s="118"/>
    </row>
    <row r="423">
      <c r="A423" s="72"/>
      <c r="B423" s="54"/>
      <c r="C423" s="67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67"/>
      <c r="R423" s="67"/>
      <c r="S423" s="67"/>
      <c r="T423" s="67"/>
      <c r="U423" s="118"/>
    </row>
    <row r="424">
      <c r="A424" s="72"/>
      <c r="B424" s="54"/>
      <c r="C424" s="67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67"/>
      <c r="R424" s="67"/>
      <c r="S424" s="67"/>
      <c r="T424" s="67"/>
      <c r="U424" s="118"/>
    </row>
    <row r="425">
      <c r="A425" s="72"/>
      <c r="B425" s="54"/>
      <c r="C425" s="67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67"/>
      <c r="R425" s="67"/>
      <c r="S425" s="67"/>
      <c r="T425" s="67"/>
      <c r="U425" s="118"/>
    </row>
    <row r="426">
      <c r="A426" s="72"/>
      <c r="B426" s="54"/>
      <c r="C426" s="67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67"/>
      <c r="R426" s="67"/>
      <c r="S426" s="67"/>
      <c r="T426" s="67"/>
      <c r="U426" s="118"/>
    </row>
    <row r="427">
      <c r="A427" s="72"/>
      <c r="B427" s="54"/>
      <c r="C427" s="67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67"/>
      <c r="R427" s="67"/>
      <c r="S427" s="67"/>
      <c r="T427" s="67"/>
      <c r="U427" s="118"/>
    </row>
    <row r="428">
      <c r="A428" s="72"/>
      <c r="B428" s="54"/>
      <c r="C428" s="67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67"/>
      <c r="R428" s="67"/>
      <c r="S428" s="67"/>
      <c r="T428" s="67"/>
      <c r="U428" s="118"/>
    </row>
    <row r="429">
      <c r="A429" s="72"/>
      <c r="B429" s="54"/>
      <c r="C429" s="67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67"/>
      <c r="R429" s="67"/>
      <c r="S429" s="67"/>
      <c r="T429" s="67"/>
      <c r="U429" s="118"/>
    </row>
    <row r="430">
      <c r="A430" s="72"/>
      <c r="B430" s="54"/>
      <c r="C430" s="67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67"/>
      <c r="R430" s="67"/>
      <c r="S430" s="67"/>
      <c r="T430" s="67"/>
      <c r="U430" s="118"/>
    </row>
    <row r="431">
      <c r="A431" s="72"/>
      <c r="B431" s="54"/>
      <c r="C431" s="67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67"/>
      <c r="R431" s="67"/>
      <c r="S431" s="67"/>
      <c r="T431" s="67"/>
      <c r="U431" s="118"/>
    </row>
    <row r="432">
      <c r="A432" s="72"/>
      <c r="B432" s="54"/>
      <c r="C432" s="67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67"/>
      <c r="R432" s="67"/>
      <c r="S432" s="67"/>
      <c r="T432" s="67"/>
      <c r="U432" s="118"/>
    </row>
    <row r="433">
      <c r="A433" s="72"/>
      <c r="B433" s="54"/>
      <c r="C433" s="67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67"/>
      <c r="R433" s="67"/>
      <c r="S433" s="67"/>
      <c r="T433" s="67"/>
      <c r="U433" s="118"/>
    </row>
    <row r="434">
      <c r="A434" s="72"/>
      <c r="B434" s="54"/>
      <c r="C434" s="67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67"/>
      <c r="R434" s="67"/>
      <c r="S434" s="67"/>
      <c r="T434" s="67"/>
      <c r="U434" s="118"/>
    </row>
    <row r="435">
      <c r="A435" s="72"/>
      <c r="B435" s="54"/>
      <c r="C435" s="67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67"/>
      <c r="R435" s="67"/>
      <c r="S435" s="67"/>
      <c r="T435" s="67"/>
      <c r="U435" s="118"/>
    </row>
    <row r="436">
      <c r="A436" s="72"/>
      <c r="B436" s="54"/>
      <c r="C436" s="67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67"/>
      <c r="R436" s="67"/>
      <c r="S436" s="67"/>
      <c r="T436" s="67"/>
      <c r="U436" s="118"/>
    </row>
    <row r="437">
      <c r="A437" s="72"/>
      <c r="B437" s="54"/>
      <c r="C437" s="67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67"/>
      <c r="R437" s="67"/>
      <c r="S437" s="67"/>
      <c r="T437" s="67"/>
      <c r="U437" s="118"/>
    </row>
    <row r="438">
      <c r="A438" s="72"/>
      <c r="B438" s="54"/>
      <c r="C438" s="67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67"/>
      <c r="R438" s="67"/>
      <c r="S438" s="67"/>
      <c r="T438" s="67"/>
      <c r="U438" s="118"/>
    </row>
    <row r="439">
      <c r="A439" s="72"/>
      <c r="B439" s="54"/>
      <c r="C439" s="67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67"/>
      <c r="R439" s="67"/>
      <c r="S439" s="67"/>
      <c r="T439" s="67"/>
      <c r="U439" s="118"/>
    </row>
    <row r="440">
      <c r="A440" s="72"/>
      <c r="B440" s="54"/>
      <c r="C440" s="67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67"/>
      <c r="R440" s="67"/>
      <c r="S440" s="67"/>
      <c r="T440" s="67"/>
      <c r="U440" s="118"/>
    </row>
    <row r="441">
      <c r="A441" s="72"/>
      <c r="B441" s="54"/>
      <c r="C441" s="67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67"/>
      <c r="R441" s="67"/>
      <c r="S441" s="67"/>
      <c r="T441" s="67"/>
      <c r="U441" s="118"/>
    </row>
    <row r="442">
      <c r="A442" s="72"/>
      <c r="B442" s="54"/>
      <c r="C442" s="67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67"/>
      <c r="R442" s="67"/>
      <c r="S442" s="67"/>
      <c r="T442" s="67"/>
      <c r="U442" s="118"/>
    </row>
    <row r="443">
      <c r="A443" s="72"/>
      <c r="B443" s="54"/>
      <c r="C443" s="67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67"/>
      <c r="R443" s="67"/>
      <c r="S443" s="67"/>
      <c r="T443" s="67"/>
      <c r="U443" s="118"/>
    </row>
    <row r="444">
      <c r="A444" s="72"/>
      <c r="B444" s="54"/>
      <c r="C444" s="67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67"/>
      <c r="R444" s="67"/>
      <c r="S444" s="67"/>
      <c r="T444" s="67"/>
      <c r="U444" s="118"/>
    </row>
    <row r="445">
      <c r="A445" s="72"/>
      <c r="B445" s="54"/>
      <c r="C445" s="67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67"/>
      <c r="R445" s="67"/>
      <c r="S445" s="67"/>
      <c r="T445" s="67"/>
      <c r="U445" s="118"/>
    </row>
    <row r="446">
      <c r="A446" s="72"/>
      <c r="B446" s="54"/>
      <c r="C446" s="67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67"/>
      <c r="R446" s="67"/>
      <c r="S446" s="67"/>
      <c r="T446" s="67"/>
      <c r="U446" s="118"/>
    </row>
    <row r="447">
      <c r="A447" s="72"/>
      <c r="B447" s="54"/>
      <c r="C447" s="67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67"/>
      <c r="R447" s="67"/>
      <c r="S447" s="67"/>
      <c r="T447" s="67"/>
      <c r="U447" s="118"/>
    </row>
    <row r="448">
      <c r="A448" s="72"/>
      <c r="B448" s="54"/>
      <c r="C448" s="67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67"/>
      <c r="R448" s="67"/>
      <c r="S448" s="67"/>
      <c r="T448" s="67"/>
      <c r="U448" s="118"/>
    </row>
    <row r="449">
      <c r="A449" s="72"/>
      <c r="B449" s="54"/>
      <c r="C449" s="67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67"/>
      <c r="R449" s="67"/>
      <c r="S449" s="67"/>
      <c r="T449" s="67"/>
      <c r="U449" s="118"/>
    </row>
    <row r="450">
      <c r="A450" s="72"/>
      <c r="B450" s="54"/>
      <c r="C450" s="67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67"/>
      <c r="R450" s="67"/>
      <c r="S450" s="67"/>
      <c r="T450" s="67"/>
      <c r="U450" s="118"/>
    </row>
    <row r="451">
      <c r="A451" s="72"/>
      <c r="B451" s="54"/>
      <c r="C451" s="67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67"/>
      <c r="R451" s="67"/>
      <c r="S451" s="67"/>
      <c r="T451" s="67"/>
      <c r="U451" s="118"/>
    </row>
    <row r="452">
      <c r="A452" s="72"/>
      <c r="B452" s="54"/>
      <c r="C452" s="67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67"/>
      <c r="R452" s="67"/>
      <c r="S452" s="67"/>
      <c r="T452" s="67"/>
      <c r="U452" s="118"/>
    </row>
    <row r="453">
      <c r="A453" s="72"/>
      <c r="B453" s="54"/>
      <c r="C453" s="67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67"/>
      <c r="R453" s="67"/>
      <c r="S453" s="67"/>
      <c r="T453" s="67"/>
      <c r="U453" s="118"/>
    </row>
    <row r="454">
      <c r="A454" s="72"/>
      <c r="B454" s="54"/>
      <c r="C454" s="67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67"/>
      <c r="R454" s="67"/>
      <c r="S454" s="67"/>
      <c r="T454" s="67"/>
      <c r="U454" s="118"/>
    </row>
    <row r="455">
      <c r="A455" s="72"/>
      <c r="B455" s="54"/>
      <c r="C455" s="67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67"/>
      <c r="R455" s="67"/>
      <c r="S455" s="67"/>
      <c r="T455" s="67"/>
      <c r="U455" s="118"/>
    </row>
    <row r="456">
      <c r="A456" s="72"/>
      <c r="B456" s="54"/>
      <c r="C456" s="67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67"/>
      <c r="R456" s="67"/>
      <c r="S456" s="67"/>
      <c r="T456" s="67"/>
      <c r="U456" s="118"/>
    </row>
    <row r="457">
      <c r="A457" s="72"/>
      <c r="B457" s="54"/>
      <c r="C457" s="67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67"/>
      <c r="R457" s="67"/>
      <c r="S457" s="67"/>
      <c r="T457" s="67"/>
      <c r="U457" s="118"/>
    </row>
    <row r="458">
      <c r="A458" s="72"/>
      <c r="B458" s="54"/>
      <c r="C458" s="67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67"/>
      <c r="R458" s="67"/>
      <c r="S458" s="67"/>
      <c r="T458" s="67"/>
      <c r="U458" s="118"/>
    </row>
    <row r="459">
      <c r="A459" s="72"/>
      <c r="B459" s="54"/>
      <c r="C459" s="67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67"/>
      <c r="R459" s="67"/>
      <c r="S459" s="67"/>
      <c r="T459" s="67"/>
      <c r="U459" s="118"/>
    </row>
    <row r="460">
      <c r="A460" s="72"/>
      <c r="B460" s="54"/>
      <c r="C460" s="67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67"/>
      <c r="R460" s="67"/>
      <c r="S460" s="67"/>
      <c r="T460" s="67"/>
      <c r="U460" s="118"/>
    </row>
    <row r="461">
      <c r="A461" s="72"/>
      <c r="B461" s="54"/>
      <c r="C461" s="67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67"/>
      <c r="R461" s="67"/>
      <c r="S461" s="67"/>
      <c r="T461" s="67"/>
      <c r="U461" s="118"/>
    </row>
    <row r="462">
      <c r="A462" s="72"/>
      <c r="B462" s="54"/>
      <c r="C462" s="67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67"/>
      <c r="R462" s="67"/>
      <c r="S462" s="67"/>
      <c r="T462" s="67"/>
      <c r="U462" s="118"/>
    </row>
    <row r="463">
      <c r="A463" s="72"/>
      <c r="B463" s="54"/>
      <c r="C463" s="67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67"/>
      <c r="R463" s="67"/>
      <c r="S463" s="67"/>
      <c r="T463" s="67"/>
      <c r="U463" s="118"/>
    </row>
    <row r="464">
      <c r="A464" s="72"/>
      <c r="B464" s="54"/>
      <c r="C464" s="67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67"/>
      <c r="R464" s="67"/>
      <c r="S464" s="67"/>
      <c r="T464" s="67"/>
      <c r="U464" s="118"/>
    </row>
    <row r="465">
      <c r="A465" s="72"/>
      <c r="B465" s="54"/>
      <c r="C465" s="67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67"/>
      <c r="R465" s="67"/>
      <c r="S465" s="67"/>
      <c r="T465" s="67"/>
      <c r="U465" s="118"/>
    </row>
    <row r="466">
      <c r="A466" s="72"/>
      <c r="B466" s="54"/>
      <c r="C466" s="67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67"/>
      <c r="R466" s="67"/>
      <c r="S466" s="67"/>
      <c r="T466" s="67"/>
      <c r="U466" s="118"/>
    </row>
    <row r="467">
      <c r="A467" s="72"/>
      <c r="B467" s="54"/>
      <c r="C467" s="67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67"/>
      <c r="R467" s="67"/>
      <c r="S467" s="67"/>
      <c r="T467" s="67"/>
      <c r="U467" s="118"/>
    </row>
    <row r="468">
      <c r="A468" s="72"/>
      <c r="B468" s="54"/>
      <c r="C468" s="67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67"/>
      <c r="R468" s="67"/>
      <c r="S468" s="67"/>
      <c r="T468" s="67"/>
      <c r="U468" s="118"/>
    </row>
    <row r="469">
      <c r="A469" s="72"/>
      <c r="B469" s="54"/>
      <c r="C469" s="67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67"/>
      <c r="R469" s="67"/>
      <c r="S469" s="67"/>
      <c r="T469" s="67"/>
      <c r="U469" s="118"/>
    </row>
    <row r="470">
      <c r="A470" s="72"/>
      <c r="B470" s="54"/>
      <c r="C470" s="67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67"/>
      <c r="R470" s="67"/>
      <c r="S470" s="67"/>
      <c r="T470" s="67"/>
      <c r="U470" s="118"/>
    </row>
    <row r="471">
      <c r="A471" s="72"/>
      <c r="B471" s="54"/>
      <c r="C471" s="67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67"/>
      <c r="R471" s="67"/>
      <c r="S471" s="67"/>
      <c r="T471" s="67"/>
      <c r="U471" s="118"/>
    </row>
    <row r="472">
      <c r="A472" s="72"/>
      <c r="B472" s="54"/>
      <c r="C472" s="67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67"/>
      <c r="R472" s="67"/>
      <c r="S472" s="67"/>
      <c r="T472" s="67"/>
      <c r="U472" s="118"/>
    </row>
    <row r="473">
      <c r="A473" s="72"/>
      <c r="B473" s="54"/>
      <c r="C473" s="67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67"/>
      <c r="R473" s="67"/>
      <c r="S473" s="67"/>
      <c r="T473" s="67"/>
      <c r="U473" s="118"/>
    </row>
    <row r="474">
      <c r="A474" s="72"/>
      <c r="B474" s="54"/>
      <c r="C474" s="67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67"/>
      <c r="R474" s="67"/>
      <c r="S474" s="67"/>
      <c r="T474" s="67"/>
      <c r="U474" s="118"/>
    </row>
    <row r="475">
      <c r="A475" s="72"/>
      <c r="B475" s="54"/>
      <c r="C475" s="67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67"/>
      <c r="R475" s="67"/>
      <c r="S475" s="67"/>
      <c r="T475" s="67"/>
      <c r="U475" s="118"/>
    </row>
    <row r="476">
      <c r="A476" s="72"/>
      <c r="B476" s="54"/>
      <c r="C476" s="67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67"/>
      <c r="R476" s="67"/>
      <c r="S476" s="67"/>
      <c r="T476" s="67"/>
      <c r="U476" s="118"/>
    </row>
    <row r="477">
      <c r="A477" s="72"/>
      <c r="B477" s="54"/>
      <c r="C477" s="67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67"/>
      <c r="R477" s="67"/>
      <c r="S477" s="67"/>
      <c r="T477" s="67"/>
      <c r="U477" s="118"/>
    </row>
    <row r="478">
      <c r="A478" s="72"/>
      <c r="B478" s="54"/>
      <c r="C478" s="67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67"/>
      <c r="R478" s="67"/>
      <c r="S478" s="67"/>
      <c r="T478" s="67"/>
      <c r="U478" s="118"/>
    </row>
    <row r="479">
      <c r="A479" s="72"/>
      <c r="B479" s="54"/>
      <c r="C479" s="67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67"/>
      <c r="R479" s="67"/>
      <c r="S479" s="67"/>
      <c r="T479" s="67"/>
      <c r="U479" s="118"/>
    </row>
    <row r="480">
      <c r="A480" s="72"/>
      <c r="B480" s="54"/>
      <c r="C480" s="67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67"/>
      <c r="R480" s="67"/>
      <c r="S480" s="67"/>
      <c r="T480" s="67"/>
      <c r="U480" s="118"/>
    </row>
    <row r="481">
      <c r="A481" s="72"/>
      <c r="B481" s="54"/>
      <c r="C481" s="67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67"/>
      <c r="R481" s="67"/>
      <c r="S481" s="67"/>
      <c r="T481" s="67"/>
      <c r="U481" s="118"/>
    </row>
    <row r="482">
      <c r="A482" s="72"/>
      <c r="B482" s="54"/>
      <c r="C482" s="67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67"/>
      <c r="R482" s="67"/>
      <c r="S482" s="67"/>
      <c r="T482" s="67"/>
      <c r="U482" s="118"/>
    </row>
    <row r="483">
      <c r="A483" s="72"/>
      <c r="B483" s="54"/>
      <c r="C483" s="67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67"/>
      <c r="R483" s="67"/>
      <c r="S483" s="67"/>
      <c r="T483" s="67"/>
      <c r="U483" s="118"/>
    </row>
    <row r="484">
      <c r="A484" s="72"/>
      <c r="B484" s="54"/>
      <c r="C484" s="67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67"/>
      <c r="R484" s="67"/>
      <c r="S484" s="67"/>
      <c r="T484" s="67"/>
      <c r="U484" s="118"/>
    </row>
    <row r="485">
      <c r="A485" s="72"/>
      <c r="B485" s="54"/>
      <c r="C485" s="67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67"/>
      <c r="R485" s="67"/>
      <c r="S485" s="67"/>
      <c r="T485" s="67"/>
      <c r="U485" s="118"/>
    </row>
    <row r="486">
      <c r="A486" s="72"/>
      <c r="B486" s="54"/>
      <c r="C486" s="67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67"/>
      <c r="R486" s="67"/>
      <c r="S486" s="67"/>
      <c r="T486" s="67"/>
      <c r="U486" s="118"/>
    </row>
    <row r="487">
      <c r="A487" s="72"/>
      <c r="B487" s="54"/>
      <c r="C487" s="67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67"/>
      <c r="R487" s="67"/>
      <c r="S487" s="67"/>
      <c r="T487" s="67"/>
      <c r="U487" s="118"/>
    </row>
    <row r="488">
      <c r="A488" s="72"/>
      <c r="B488" s="54"/>
      <c r="C488" s="67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67"/>
      <c r="R488" s="67"/>
      <c r="S488" s="67"/>
      <c r="T488" s="67"/>
      <c r="U488" s="118"/>
    </row>
    <row r="489">
      <c r="A489" s="72"/>
      <c r="B489" s="54"/>
      <c r="C489" s="67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67"/>
      <c r="R489" s="67"/>
      <c r="S489" s="67"/>
      <c r="T489" s="67"/>
      <c r="U489" s="118"/>
    </row>
    <row r="490">
      <c r="A490" s="72"/>
      <c r="B490" s="54"/>
      <c r="C490" s="67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67"/>
      <c r="R490" s="67"/>
      <c r="S490" s="67"/>
      <c r="T490" s="67"/>
      <c r="U490" s="118"/>
    </row>
    <row r="491">
      <c r="A491" s="72"/>
      <c r="B491" s="54"/>
      <c r="C491" s="67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67"/>
      <c r="R491" s="67"/>
      <c r="S491" s="67"/>
      <c r="T491" s="67"/>
      <c r="U491" s="118"/>
    </row>
    <row r="492">
      <c r="A492" s="72"/>
      <c r="B492" s="54"/>
      <c r="C492" s="67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67"/>
      <c r="R492" s="67"/>
      <c r="S492" s="67"/>
      <c r="T492" s="67"/>
      <c r="U492" s="118"/>
    </row>
    <row r="493">
      <c r="A493" s="72"/>
      <c r="B493" s="54"/>
      <c r="C493" s="67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67"/>
      <c r="R493" s="67"/>
      <c r="S493" s="67"/>
      <c r="T493" s="67"/>
      <c r="U493" s="118"/>
    </row>
    <row r="494">
      <c r="A494" s="72"/>
      <c r="B494" s="54"/>
      <c r="C494" s="67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67"/>
      <c r="R494" s="67"/>
      <c r="S494" s="67"/>
      <c r="T494" s="67"/>
      <c r="U494" s="118"/>
    </row>
    <row r="495">
      <c r="A495" s="72"/>
      <c r="B495" s="54"/>
      <c r="C495" s="67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67"/>
      <c r="R495" s="67"/>
      <c r="S495" s="67"/>
      <c r="T495" s="67"/>
      <c r="U495" s="118"/>
    </row>
    <row r="496">
      <c r="A496" s="72"/>
      <c r="B496" s="54"/>
      <c r="C496" s="67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67"/>
      <c r="R496" s="67"/>
      <c r="S496" s="67"/>
      <c r="T496" s="67"/>
      <c r="U496" s="118"/>
    </row>
    <row r="497">
      <c r="A497" s="72"/>
      <c r="B497" s="54"/>
      <c r="C497" s="67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67"/>
      <c r="R497" s="67"/>
      <c r="S497" s="67"/>
      <c r="T497" s="67"/>
      <c r="U497" s="118"/>
    </row>
    <row r="498">
      <c r="A498" s="72"/>
      <c r="B498" s="54"/>
      <c r="C498" s="67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67"/>
      <c r="R498" s="67"/>
      <c r="S498" s="67"/>
      <c r="T498" s="67"/>
      <c r="U498" s="118"/>
    </row>
    <row r="499">
      <c r="A499" s="72"/>
      <c r="B499" s="54"/>
      <c r="C499" s="67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67"/>
      <c r="R499" s="67"/>
      <c r="S499" s="67"/>
      <c r="T499" s="67"/>
      <c r="U499" s="118"/>
    </row>
    <row r="500">
      <c r="A500" s="72"/>
      <c r="B500" s="54"/>
      <c r="C500" s="67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67"/>
      <c r="R500" s="67"/>
      <c r="S500" s="67"/>
      <c r="T500" s="67"/>
      <c r="U500" s="118"/>
    </row>
    <row r="501">
      <c r="A501" s="72"/>
      <c r="B501" s="54"/>
      <c r="C501" s="67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67"/>
      <c r="R501" s="67"/>
      <c r="S501" s="67"/>
      <c r="T501" s="67"/>
      <c r="U501" s="118"/>
    </row>
    <row r="502">
      <c r="A502" s="72"/>
      <c r="B502" s="54"/>
      <c r="C502" s="67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67"/>
      <c r="R502" s="67"/>
      <c r="S502" s="67"/>
      <c r="T502" s="67"/>
      <c r="U502" s="118"/>
    </row>
    <row r="503">
      <c r="A503" s="72"/>
      <c r="B503" s="54"/>
      <c r="C503" s="67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67"/>
      <c r="R503" s="67"/>
      <c r="S503" s="67"/>
      <c r="T503" s="67"/>
      <c r="U503" s="118"/>
    </row>
    <row r="504">
      <c r="A504" s="72"/>
      <c r="B504" s="54"/>
      <c r="C504" s="67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67"/>
      <c r="R504" s="67"/>
      <c r="S504" s="67"/>
      <c r="T504" s="67"/>
      <c r="U504" s="118"/>
    </row>
    <row r="505">
      <c r="A505" s="72"/>
      <c r="B505" s="54"/>
      <c r="C505" s="67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67"/>
      <c r="R505" s="67"/>
      <c r="S505" s="67"/>
      <c r="T505" s="67"/>
      <c r="U505" s="118"/>
    </row>
    <row r="506">
      <c r="A506" s="72"/>
      <c r="B506" s="54"/>
      <c r="C506" s="67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67"/>
      <c r="R506" s="67"/>
      <c r="S506" s="67"/>
      <c r="T506" s="67"/>
      <c r="U506" s="118"/>
    </row>
    <row r="507">
      <c r="A507" s="72"/>
      <c r="B507" s="54"/>
      <c r="C507" s="67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67"/>
      <c r="R507" s="67"/>
      <c r="S507" s="67"/>
      <c r="T507" s="67"/>
      <c r="U507" s="118"/>
    </row>
    <row r="508">
      <c r="A508" s="72"/>
      <c r="B508" s="54"/>
      <c r="C508" s="67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67"/>
      <c r="R508" s="67"/>
      <c r="S508" s="67"/>
      <c r="T508" s="67"/>
      <c r="U508" s="118"/>
    </row>
    <row r="509">
      <c r="A509" s="72"/>
      <c r="B509" s="54"/>
      <c r="C509" s="67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67"/>
      <c r="R509" s="67"/>
      <c r="S509" s="67"/>
      <c r="T509" s="67"/>
      <c r="U509" s="118"/>
    </row>
    <row r="510">
      <c r="A510" s="72"/>
      <c r="B510" s="54"/>
      <c r="C510" s="67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67"/>
      <c r="R510" s="67"/>
      <c r="S510" s="67"/>
      <c r="T510" s="67"/>
      <c r="U510" s="118"/>
    </row>
    <row r="511">
      <c r="A511" s="72"/>
      <c r="B511" s="54"/>
      <c r="C511" s="67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67"/>
      <c r="R511" s="67"/>
      <c r="S511" s="67"/>
      <c r="T511" s="67"/>
      <c r="U511" s="118"/>
    </row>
    <row r="512">
      <c r="A512" s="72"/>
      <c r="B512" s="54"/>
      <c r="C512" s="67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67"/>
      <c r="R512" s="67"/>
      <c r="S512" s="67"/>
      <c r="T512" s="67"/>
      <c r="U512" s="118"/>
    </row>
    <row r="513">
      <c r="A513" s="72"/>
      <c r="B513" s="54"/>
      <c r="C513" s="67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67"/>
      <c r="R513" s="67"/>
      <c r="S513" s="67"/>
      <c r="T513" s="67"/>
      <c r="U513" s="118"/>
    </row>
    <row r="514">
      <c r="A514" s="72"/>
      <c r="B514" s="54"/>
      <c r="C514" s="67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67"/>
      <c r="R514" s="67"/>
      <c r="S514" s="67"/>
      <c r="T514" s="67"/>
      <c r="U514" s="118"/>
    </row>
    <row r="515">
      <c r="A515" s="72"/>
      <c r="B515" s="54"/>
      <c r="C515" s="67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67"/>
      <c r="R515" s="67"/>
      <c r="S515" s="67"/>
      <c r="T515" s="67"/>
      <c r="U515" s="118"/>
    </row>
    <row r="516">
      <c r="A516" s="72"/>
      <c r="B516" s="54"/>
      <c r="C516" s="67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67"/>
      <c r="R516" s="67"/>
      <c r="S516" s="67"/>
      <c r="T516" s="67"/>
      <c r="U516" s="118"/>
    </row>
    <row r="517">
      <c r="A517" s="72"/>
      <c r="B517" s="54"/>
      <c r="C517" s="67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67"/>
      <c r="R517" s="67"/>
      <c r="S517" s="67"/>
      <c r="T517" s="67"/>
      <c r="U517" s="118"/>
    </row>
    <row r="518">
      <c r="A518" s="72"/>
      <c r="B518" s="54"/>
      <c r="C518" s="67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67"/>
      <c r="R518" s="67"/>
      <c r="S518" s="67"/>
      <c r="T518" s="67"/>
      <c r="U518" s="118"/>
    </row>
    <row r="519">
      <c r="A519" s="72"/>
      <c r="B519" s="54"/>
      <c r="C519" s="67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67"/>
      <c r="R519" s="67"/>
      <c r="S519" s="67"/>
      <c r="T519" s="67"/>
      <c r="U519" s="118"/>
    </row>
    <row r="520">
      <c r="A520" s="72"/>
      <c r="B520" s="54"/>
      <c r="C520" s="67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67"/>
      <c r="R520" s="67"/>
      <c r="S520" s="67"/>
      <c r="T520" s="67"/>
      <c r="U520" s="118"/>
    </row>
    <row r="521">
      <c r="A521" s="72"/>
      <c r="B521" s="54"/>
      <c r="C521" s="67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67"/>
      <c r="R521" s="67"/>
      <c r="S521" s="67"/>
      <c r="T521" s="67"/>
      <c r="U521" s="118"/>
    </row>
    <row r="522">
      <c r="A522" s="72"/>
      <c r="B522" s="54"/>
      <c r="C522" s="67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67"/>
      <c r="R522" s="67"/>
      <c r="S522" s="67"/>
      <c r="T522" s="67"/>
      <c r="U522" s="118"/>
    </row>
    <row r="523">
      <c r="A523" s="72"/>
      <c r="B523" s="54"/>
      <c r="C523" s="67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67"/>
      <c r="R523" s="67"/>
      <c r="S523" s="67"/>
      <c r="T523" s="67"/>
      <c r="U523" s="118"/>
    </row>
    <row r="524">
      <c r="A524" s="72"/>
      <c r="B524" s="54"/>
      <c r="C524" s="67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67"/>
      <c r="R524" s="67"/>
      <c r="S524" s="67"/>
      <c r="T524" s="67"/>
      <c r="U524" s="118"/>
    </row>
    <row r="525">
      <c r="A525" s="72"/>
      <c r="B525" s="54"/>
      <c r="C525" s="67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67"/>
      <c r="R525" s="67"/>
      <c r="S525" s="67"/>
      <c r="T525" s="67"/>
      <c r="U525" s="118"/>
    </row>
    <row r="526">
      <c r="A526" s="72"/>
      <c r="B526" s="54"/>
      <c r="C526" s="67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67"/>
      <c r="R526" s="67"/>
      <c r="S526" s="67"/>
      <c r="T526" s="67"/>
      <c r="U526" s="118"/>
    </row>
    <row r="527">
      <c r="A527" s="72"/>
      <c r="B527" s="54"/>
      <c r="C527" s="67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67"/>
      <c r="R527" s="67"/>
      <c r="S527" s="67"/>
      <c r="T527" s="67"/>
      <c r="U527" s="118"/>
    </row>
    <row r="528">
      <c r="A528" s="72"/>
      <c r="B528" s="54"/>
      <c r="C528" s="67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67"/>
      <c r="R528" s="67"/>
      <c r="S528" s="67"/>
      <c r="T528" s="67"/>
      <c r="U528" s="118"/>
    </row>
    <row r="529">
      <c r="A529" s="72"/>
      <c r="B529" s="54"/>
      <c r="C529" s="67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67"/>
      <c r="R529" s="67"/>
      <c r="S529" s="67"/>
      <c r="T529" s="67"/>
      <c r="U529" s="118"/>
    </row>
    <row r="530">
      <c r="A530" s="72"/>
      <c r="B530" s="54"/>
      <c r="C530" s="67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67"/>
      <c r="R530" s="67"/>
      <c r="S530" s="67"/>
      <c r="T530" s="67"/>
      <c r="U530" s="118"/>
    </row>
    <row r="531">
      <c r="A531" s="72"/>
      <c r="B531" s="54"/>
      <c r="C531" s="67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67"/>
      <c r="R531" s="67"/>
      <c r="S531" s="67"/>
      <c r="T531" s="67"/>
      <c r="U531" s="118"/>
    </row>
    <row r="532">
      <c r="A532" s="72"/>
      <c r="B532" s="54"/>
      <c r="C532" s="67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67"/>
      <c r="R532" s="67"/>
      <c r="S532" s="67"/>
      <c r="T532" s="67"/>
      <c r="U532" s="118"/>
    </row>
    <row r="533">
      <c r="A533" s="72"/>
      <c r="B533" s="54"/>
      <c r="C533" s="67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67"/>
      <c r="R533" s="67"/>
      <c r="S533" s="67"/>
      <c r="T533" s="67"/>
      <c r="U533" s="118"/>
    </row>
    <row r="534">
      <c r="A534" s="72"/>
      <c r="B534" s="54"/>
      <c r="C534" s="67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67"/>
      <c r="R534" s="67"/>
      <c r="S534" s="67"/>
      <c r="T534" s="67"/>
      <c r="U534" s="118"/>
    </row>
    <row r="535">
      <c r="A535" s="72"/>
      <c r="B535" s="54"/>
      <c r="C535" s="67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67"/>
      <c r="R535" s="67"/>
      <c r="S535" s="67"/>
      <c r="T535" s="67"/>
      <c r="U535" s="118"/>
    </row>
    <row r="536">
      <c r="A536" s="72"/>
      <c r="B536" s="54"/>
      <c r="C536" s="67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67"/>
      <c r="R536" s="67"/>
      <c r="S536" s="67"/>
      <c r="T536" s="67"/>
      <c r="U536" s="118"/>
    </row>
    <row r="537">
      <c r="A537" s="72"/>
      <c r="B537" s="54"/>
      <c r="C537" s="67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67"/>
      <c r="R537" s="67"/>
      <c r="S537" s="67"/>
      <c r="T537" s="67"/>
      <c r="U537" s="118"/>
    </row>
    <row r="538">
      <c r="A538" s="72"/>
      <c r="B538" s="54"/>
      <c r="C538" s="67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67"/>
      <c r="R538" s="67"/>
      <c r="S538" s="67"/>
      <c r="T538" s="67"/>
      <c r="U538" s="118"/>
    </row>
    <row r="539">
      <c r="A539" s="72"/>
      <c r="B539" s="54"/>
      <c r="C539" s="67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67"/>
      <c r="R539" s="67"/>
      <c r="S539" s="67"/>
      <c r="T539" s="67"/>
      <c r="U539" s="118"/>
    </row>
    <row r="540">
      <c r="A540" s="72"/>
      <c r="B540" s="54"/>
      <c r="C540" s="67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67"/>
      <c r="R540" s="67"/>
      <c r="S540" s="67"/>
      <c r="T540" s="67"/>
      <c r="U540" s="118"/>
    </row>
    <row r="541">
      <c r="A541" s="72"/>
      <c r="B541" s="54"/>
      <c r="C541" s="67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67"/>
      <c r="R541" s="67"/>
      <c r="S541" s="67"/>
      <c r="T541" s="67"/>
      <c r="U541" s="118"/>
    </row>
    <row r="542">
      <c r="A542" s="72"/>
      <c r="B542" s="54"/>
      <c r="C542" s="67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67"/>
      <c r="R542" s="67"/>
      <c r="S542" s="67"/>
      <c r="T542" s="67"/>
      <c r="U542" s="118"/>
    </row>
    <row r="543">
      <c r="A543" s="72"/>
      <c r="B543" s="54"/>
      <c r="C543" s="67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67"/>
      <c r="R543" s="67"/>
      <c r="S543" s="67"/>
      <c r="T543" s="67"/>
      <c r="U543" s="118"/>
    </row>
    <row r="544">
      <c r="A544" s="72"/>
      <c r="B544" s="54"/>
      <c r="C544" s="67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67"/>
      <c r="R544" s="67"/>
      <c r="S544" s="67"/>
      <c r="T544" s="67"/>
      <c r="U544" s="118"/>
    </row>
    <row r="545">
      <c r="A545" s="72"/>
      <c r="B545" s="54"/>
      <c r="C545" s="67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67"/>
      <c r="R545" s="67"/>
      <c r="S545" s="67"/>
      <c r="T545" s="67"/>
      <c r="U545" s="118"/>
    </row>
    <row r="546">
      <c r="A546" s="72"/>
      <c r="B546" s="54"/>
      <c r="C546" s="67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67"/>
      <c r="R546" s="67"/>
      <c r="S546" s="67"/>
      <c r="T546" s="67"/>
      <c r="U546" s="118"/>
    </row>
    <row r="547">
      <c r="A547" s="72"/>
      <c r="B547" s="54"/>
      <c r="C547" s="67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67"/>
      <c r="R547" s="67"/>
      <c r="S547" s="67"/>
      <c r="T547" s="67"/>
      <c r="U547" s="118"/>
    </row>
    <row r="548">
      <c r="A548" s="72"/>
      <c r="B548" s="54"/>
      <c r="C548" s="67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67"/>
      <c r="R548" s="67"/>
      <c r="S548" s="67"/>
      <c r="T548" s="67"/>
      <c r="U548" s="118"/>
    </row>
    <row r="549">
      <c r="A549" s="72"/>
      <c r="B549" s="54"/>
      <c r="C549" s="67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67"/>
      <c r="R549" s="67"/>
      <c r="S549" s="67"/>
      <c r="T549" s="67"/>
      <c r="U549" s="118"/>
    </row>
    <row r="550">
      <c r="A550" s="72"/>
      <c r="B550" s="54"/>
      <c r="C550" s="67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67"/>
      <c r="R550" s="67"/>
      <c r="S550" s="67"/>
      <c r="T550" s="67"/>
      <c r="U550" s="118"/>
    </row>
    <row r="551">
      <c r="A551" s="72"/>
      <c r="B551" s="54"/>
      <c r="C551" s="67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67"/>
      <c r="R551" s="67"/>
      <c r="S551" s="67"/>
      <c r="T551" s="67"/>
      <c r="U551" s="118"/>
    </row>
    <row r="552">
      <c r="A552" s="72"/>
      <c r="B552" s="54"/>
      <c r="C552" s="67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67"/>
      <c r="R552" s="67"/>
      <c r="S552" s="67"/>
      <c r="T552" s="67"/>
      <c r="U552" s="118"/>
    </row>
    <row r="553">
      <c r="A553" s="72"/>
      <c r="B553" s="54"/>
      <c r="C553" s="67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67"/>
      <c r="R553" s="67"/>
      <c r="S553" s="67"/>
      <c r="T553" s="67"/>
      <c r="U553" s="118"/>
    </row>
    <row r="554">
      <c r="A554" s="72"/>
      <c r="B554" s="54"/>
      <c r="C554" s="67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67"/>
      <c r="R554" s="67"/>
      <c r="S554" s="67"/>
      <c r="T554" s="67"/>
      <c r="U554" s="118"/>
    </row>
    <row r="555">
      <c r="A555" s="72"/>
      <c r="B555" s="54"/>
      <c r="C555" s="67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67"/>
      <c r="R555" s="67"/>
      <c r="S555" s="67"/>
      <c r="T555" s="67"/>
      <c r="U555" s="118"/>
    </row>
    <row r="556">
      <c r="A556" s="72"/>
      <c r="B556" s="54"/>
      <c r="C556" s="67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67"/>
      <c r="R556" s="67"/>
      <c r="S556" s="67"/>
      <c r="T556" s="67"/>
      <c r="U556" s="118"/>
    </row>
    <row r="557">
      <c r="A557" s="72"/>
      <c r="B557" s="54"/>
      <c r="C557" s="67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67"/>
      <c r="R557" s="67"/>
      <c r="S557" s="67"/>
      <c r="T557" s="67"/>
      <c r="U557" s="118"/>
    </row>
    <row r="558">
      <c r="A558" s="72"/>
      <c r="B558" s="54"/>
      <c r="C558" s="67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67"/>
      <c r="R558" s="67"/>
      <c r="S558" s="67"/>
      <c r="T558" s="67"/>
      <c r="U558" s="118"/>
    </row>
    <row r="559">
      <c r="A559" s="72"/>
      <c r="B559" s="54"/>
      <c r="C559" s="67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67"/>
      <c r="R559" s="67"/>
      <c r="S559" s="67"/>
      <c r="T559" s="67"/>
      <c r="U559" s="118"/>
    </row>
    <row r="560">
      <c r="A560" s="72"/>
      <c r="B560" s="54"/>
      <c r="C560" s="67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67"/>
      <c r="R560" s="67"/>
      <c r="S560" s="67"/>
      <c r="T560" s="67"/>
      <c r="U560" s="118"/>
    </row>
    <row r="561">
      <c r="A561" s="72"/>
      <c r="B561" s="54"/>
      <c r="C561" s="67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67"/>
      <c r="R561" s="67"/>
      <c r="S561" s="67"/>
      <c r="T561" s="67"/>
      <c r="U561" s="118"/>
    </row>
    <row r="562">
      <c r="A562" s="72"/>
      <c r="B562" s="54"/>
      <c r="C562" s="67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67"/>
      <c r="R562" s="67"/>
      <c r="S562" s="67"/>
      <c r="T562" s="67"/>
      <c r="U562" s="118"/>
    </row>
    <row r="563">
      <c r="A563" s="72"/>
      <c r="B563" s="54"/>
      <c r="C563" s="67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67"/>
      <c r="R563" s="67"/>
      <c r="S563" s="67"/>
      <c r="T563" s="67"/>
      <c r="U563" s="118"/>
    </row>
    <row r="564">
      <c r="A564" s="72"/>
      <c r="B564" s="54"/>
      <c r="C564" s="67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67"/>
      <c r="R564" s="67"/>
      <c r="S564" s="67"/>
      <c r="T564" s="67"/>
      <c r="U564" s="118"/>
    </row>
    <row r="565">
      <c r="A565" s="72"/>
      <c r="B565" s="54"/>
      <c r="C565" s="67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67"/>
      <c r="R565" s="67"/>
      <c r="S565" s="67"/>
      <c r="T565" s="67"/>
      <c r="U565" s="118"/>
    </row>
    <row r="566">
      <c r="A566" s="72"/>
      <c r="B566" s="54"/>
      <c r="C566" s="67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67"/>
      <c r="R566" s="67"/>
      <c r="S566" s="67"/>
      <c r="T566" s="67"/>
      <c r="U566" s="118"/>
    </row>
    <row r="567">
      <c r="A567" s="72"/>
      <c r="B567" s="54"/>
      <c r="C567" s="67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67"/>
      <c r="R567" s="67"/>
      <c r="S567" s="67"/>
      <c r="T567" s="67"/>
      <c r="U567" s="118"/>
    </row>
    <row r="568">
      <c r="A568" s="72"/>
      <c r="B568" s="54"/>
      <c r="C568" s="67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67"/>
      <c r="R568" s="67"/>
      <c r="S568" s="67"/>
      <c r="T568" s="67"/>
      <c r="U568" s="118"/>
    </row>
    <row r="569">
      <c r="A569" s="72"/>
      <c r="B569" s="54"/>
      <c r="C569" s="67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67"/>
      <c r="R569" s="67"/>
      <c r="S569" s="67"/>
      <c r="T569" s="67"/>
      <c r="U569" s="118"/>
    </row>
    <row r="570">
      <c r="A570" s="72"/>
      <c r="B570" s="54"/>
      <c r="C570" s="67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67"/>
      <c r="R570" s="67"/>
      <c r="S570" s="67"/>
      <c r="T570" s="67"/>
      <c r="U570" s="118"/>
    </row>
    <row r="571">
      <c r="A571" s="72"/>
      <c r="B571" s="54"/>
      <c r="C571" s="67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67"/>
      <c r="R571" s="67"/>
      <c r="S571" s="67"/>
      <c r="T571" s="67"/>
      <c r="U571" s="118"/>
    </row>
    <row r="572">
      <c r="A572" s="72"/>
      <c r="B572" s="54"/>
      <c r="C572" s="67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67"/>
      <c r="R572" s="67"/>
      <c r="S572" s="67"/>
      <c r="T572" s="67"/>
      <c r="U572" s="118"/>
    </row>
    <row r="573">
      <c r="A573" s="72"/>
      <c r="B573" s="54"/>
      <c r="C573" s="67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67"/>
      <c r="R573" s="67"/>
      <c r="S573" s="67"/>
      <c r="T573" s="67"/>
      <c r="U573" s="118"/>
    </row>
    <row r="574">
      <c r="A574" s="72"/>
      <c r="B574" s="54"/>
      <c r="C574" s="67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67"/>
      <c r="R574" s="67"/>
      <c r="S574" s="67"/>
      <c r="T574" s="67"/>
      <c r="U574" s="118"/>
    </row>
    <row r="575">
      <c r="A575" s="72"/>
      <c r="B575" s="54"/>
      <c r="C575" s="67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67"/>
      <c r="R575" s="67"/>
      <c r="S575" s="67"/>
      <c r="T575" s="67"/>
      <c r="U575" s="118"/>
    </row>
    <row r="576">
      <c r="A576" s="72"/>
      <c r="B576" s="54"/>
      <c r="C576" s="67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67"/>
      <c r="R576" s="67"/>
      <c r="S576" s="67"/>
      <c r="T576" s="67"/>
      <c r="U576" s="118"/>
    </row>
    <row r="577">
      <c r="A577" s="72"/>
      <c r="B577" s="54"/>
      <c r="C577" s="67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67"/>
      <c r="R577" s="67"/>
      <c r="S577" s="67"/>
      <c r="T577" s="67"/>
      <c r="U577" s="118"/>
    </row>
    <row r="578">
      <c r="A578" s="72"/>
      <c r="B578" s="54"/>
      <c r="C578" s="67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67"/>
      <c r="R578" s="67"/>
      <c r="S578" s="67"/>
      <c r="T578" s="67"/>
      <c r="U578" s="118"/>
    </row>
    <row r="579">
      <c r="A579" s="72"/>
      <c r="B579" s="54"/>
      <c r="C579" s="67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67"/>
      <c r="R579" s="67"/>
      <c r="S579" s="67"/>
      <c r="T579" s="67"/>
      <c r="U579" s="118"/>
    </row>
    <row r="580">
      <c r="A580" s="72"/>
      <c r="B580" s="54"/>
      <c r="C580" s="67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67"/>
      <c r="R580" s="67"/>
      <c r="S580" s="67"/>
      <c r="T580" s="67"/>
      <c r="U580" s="118"/>
    </row>
    <row r="581">
      <c r="A581" s="72"/>
      <c r="B581" s="54"/>
      <c r="C581" s="67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67"/>
      <c r="R581" s="67"/>
      <c r="S581" s="67"/>
      <c r="T581" s="67"/>
      <c r="U581" s="118"/>
    </row>
    <row r="582">
      <c r="A582" s="72"/>
      <c r="B582" s="54"/>
      <c r="C582" s="67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67"/>
      <c r="R582" s="67"/>
      <c r="S582" s="67"/>
      <c r="T582" s="67"/>
      <c r="U582" s="118"/>
    </row>
    <row r="583">
      <c r="A583" s="72"/>
      <c r="B583" s="54"/>
      <c r="C583" s="67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67"/>
      <c r="R583" s="67"/>
      <c r="S583" s="67"/>
      <c r="T583" s="67"/>
      <c r="U583" s="118"/>
    </row>
    <row r="584">
      <c r="A584" s="72"/>
      <c r="B584" s="54"/>
      <c r="C584" s="67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67"/>
      <c r="R584" s="67"/>
      <c r="S584" s="67"/>
      <c r="T584" s="67"/>
      <c r="U584" s="118"/>
    </row>
    <row r="585">
      <c r="A585" s="72"/>
      <c r="B585" s="54"/>
      <c r="C585" s="67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67"/>
      <c r="R585" s="67"/>
      <c r="S585" s="67"/>
      <c r="T585" s="67"/>
      <c r="U585" s="118"/>
    </row>
    <row r="586">
      <c r="A586" s="72"/>
      <c r="B586" s="54"/>
      <c r="C586" s="67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67"/>
      <c r="R586" s="67"/>
      <c r="S586" s="67"/>
      <c r="T586" s="67"/>
      <c r="U586" s="118"/>
    </row>
    <row r="587">
      <c r="A587" s="72"/>
      <c r="B587" s="54"/>
      <c r="C587" s="67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67"/>
      <c r="R587" s="67"/>
      <c r="S587" s="67"/>
      <c r="T587" s="67"/>
      <c r="U587" s="118"/>
    </row>
    <row r="588">
      <c r="A588" s="72"/>
      <c r="B588" s="54"/>
      <c r="C588" s="67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67"/>
      <c r="R588" s="67"/>
      <c r="S588" s="67"/>
      <c r="T588" s="67"/>
      <c r="U588" s="118"/>
    </row>
    <row r="589">
      <c r="A589" s="72"/>
      <c r="B589" s="54"/>
      <c r="C589" s="67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67"/>
      <c r="R589" s="67"/>
      <c r="S589" s="67"/>
      <c r="T589" s="67"/>
      <c r="U589" s="118"/>
    </row>
    <row r="590">
      <c r="A590" s="72"/>
      <c r="B590" s="54"/>
      <c r="C590" s="67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67"/>
      <c r="R590" s="67"/>
      <c r="S590" s="67"/>
      <c r="T590" s="67"/>
      <c r="U590" s="118"/>
    </row>
    <row r="591">
      <c r="A591" s="72"/>
      <c r="B591" s="54"/>
      <c r="C591" s="67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67"/>
      <c r="R591" s="67"/>
      <c r="S591" s="67"/>
      <c r="T591" s="67"/>
      <c r="U591" s="118"/>
    </row>
    <row r="592">
      <c r="A592" s="72"/>
      <c r="B592" s="54"/>
      <c r="C592" s="67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67"/>
      <c r="R592" s="67"/>
      <c r="S592" s="67"/>
      <c r="T592" s="67"/>
      <c r="U592" s="118"/>
    </row>
    <row r="593">
      <c r="A593" s="72"/>
      <c r="B593" s="54"/>
      <c r="C593" s="67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67"/>
      <c r="R593" s="67"/>
      <c r="S593" s="67"/>
      <c r="T593" s="67"/>
      <c r="U593" s="118"/>
    </row>
    <row r="594">
      <c r="A594" s="72"/>
      <c r="B594" s="54"/>
      <c r="C594" s="67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67"/>
      <c r="R594" s="67"/>
      <c r="S594" s="67"/>
      <c r="T594" s="67"/>
      <c r="U594" s="118"/>
    </row>
    <row r="595">
      <c r="A595" s="72"/>
      <c r="B595" s="54"/>
      <c r="C595" s="67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67"/>
      <c r="R595" s="67"/>
      <c r="S595" s="67"/>
      <c r="T595" s="67"/>
      <c r="U595" s="118"/>
    </row>
    <row r="596">
      <c r="A596" s="72"/>
      <c r="B596" s="54"/>
      <c r="C596" s="67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67"/>
      <c r="R596" s="67"/>
      <c r="S596" s="67"/>
      <c r="T596" s="67"/>
      <c r="U596" s="118"/>
    </row>
    <row r="597">
      <c r="A597" s="72"/>
      <c r="B597" s="54"/>
      <c r="C597" s="67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67"/>
      <c r="R597" s="67"/>
      <c r="S597" s="67"/>
      <c r="T597" s="67"/>
      <c r="U597" s="118"/>
    </row>
    <row r="598">
      <c r="A598" s="72"/>
      <c r="B598" s="54"/>
      <c r="C598" s="67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67"/>
      <c r="R598" s="67"/>
      <c r="S598" s="67"/>
      <c r="T598" s="67"/>
      <c r="U598" s="118"/>
    </row>
    <row r="599">
      <c r="A599" s="72"/>
      <c r="B599" s="54"/>
      <c r="C599" s="67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67"/>
      <c r="R599" s="67"/>
      <c r="S599" s="67"/>
      <c r="T599" s="67"/>
      <c r="U599" s="118"/>
    </row>
    <row r="600">
      <c r="A600" s="72"/>
      <c r="B600" s="54"/>
      <c r="C600" s="67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67"/>
      <c r="R600" s="67"/>
      <c r="S600" s="67"/>
      <c r="T600" s="67"/>
      <c r="U600" s="118"/>
    </row>
    <row r="601">
      <c r="A601" s="72"/>
      <c r="B601" s="54"/>
      <c r="C601" s="67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67"/>
      <c r="R601" s="67"/>
      <c r="S601" s="67"/>
      <c r="T601" s="67"/>
      <c r="U601" s="118"/>
    </row>
    <row r="602">
      <c r="A602" s="72"/>
      <c r="B602" s="54"/>
      <c r="C602" s="67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67"/>
      <c r="R602" s="67"/>
      <c r="S602" s="67"/>
      <c r="T602" s="67"/>
      <c r="U602" s="118"/>
    </row>
    <row r="603">
      <c r="A603" s="72"/>
      <c r="B603" s="54"/>
      <c r="C603" s="67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67"/>
      <c r="R603" s="67"/>
      <c r="S603" s="67"/>
      <c r="T603" s="67"/>
      <c r="U603" s="118"/>
    </row>
    <row r="604">
      <c r="A604" s="72"/>
      <c r="B604" s="54"/>
      <c r="C604" s="67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67"/>
      <c r="R604" s="67"/>
      <c r="S604" s="67"/>
      <c r="T604" s="67"/>
      <c r="U604" s="118"/>
    </row>
    <row r="605">
      <c r="A605" s="72"/>
      <c r="B605" s="54"/>
      <c r="C605" s="67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67"/>
      <c r="R605" s="67"/>
      <c r="S605" s="67"/>
      <c r="T605" s="67"/>
      <c r="U605" s="118"/>
    </row>
    <row r="606">
      <c r="A606" s="72"/>
      <c r="B606" s="54"/>
      <c r="C606" s="67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67"/>
      <c r="R606" s="67"/>
      <c r="S606" s="67"/>
      <c r="T606" s="67"/>
      <c r="U606" s="118"/>
    </row>
    <row r="607">
      <c r="A607" s="72"/>
      <c r="B607" s="54"/>
      <c r="C607" s="67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67"/>
      <c r="R607" s="67"/>
      <c r="S607" s="67"/>
      <c r="T607" s="67"/>
      <c r="U607" s="118"/>
    </row>
    <row r="608">
      <c r="A608" s="72"/>
      <c r="B608" s="54"/>
      <c r="C608" s="67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67"/>
      <c r="R608" s="67"/>
      <c r="S608" s="67"/>
      <c r="T608" s="67"/>
      <c r="U608" s="118"/>
    </row>
    <row r="609">
      <c r="A609" s="72"/>
      <c r="B609" s="54"/>
      <c r="C609" s="67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67"/>
      <c r="R609" s="67"/>
      <c r="S609" s="67"/>
      <c r="T609" s="67"/>
      <c r="U609" s="118"/>
    </row>
    <row r="610">
      <c r="A610" s="72"/>
      <c r="B610" s="54"/>
      <c r="C610" s="67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67"/>
      <c r="R610" s="67"/>
      <c r="S610" s="67"/>
      <c r="T610" s="67"/>
      <c r="U610" s="118"/>
    </row>
    <row r="611">
      <c r="A611" s="72"/>
      <c r="B611" s="54"/>
      <c r="C611" s="67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67"/>
      <c r="R611" s="67"/>
      <c r="S611" s="67"/>
      <c r="T611" s="67"/>
      <c r="U611" s="118"/>
    </row>
    <row r="612">
      <c r="A612" s="72"/>
      <c r="B612" s="54"/>
      <c r="C612" s="67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67"/>
      <c r="R612" s="67"/>
      <c r="S612" s="67"/>
      <c r="T612" s="67"/>
      <c r="U612" s="118"/>
    </row>
    <row r="613">
      <c r="A613" s="72"/>
      <c r="B613" s="54"/>
      <c r="C613" s="67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67"/>
      <c r="R613" s="67"/>
      <c r="S613" s="67"/>
      <c r="T613" s="67"/>
      <c r="U613" s="118"/>
    </row>
    <row r="614">
      <c r="A614" s="72"/>
      <c r="B614" s="54"/>
      <c r="C614" s="67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67"/>
      <c r="R614" s="67"/>
      <c r="S614" s="67"/>
      <c r="T614" s="67"/>
      <c r="U614" s="118"/>
    </row>
    <row r="615">
      <c r="A615" s="72"/>
      <c r="B615" s="54"/>
      <c r="C615" s="67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67"/>
      <c r="R615" s="67"/>
      <c r="S615" s="67"/>
      <c r="T615" s="67"/>
      <c r="U615" s="118"/>
    </row>
    <row r="616">
      <c r="A616" s="72"/>
      <c r="B616" s="54"/>
      <c r="C616" s="67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67"/>
      <c r="R616" s="67"/>
      <c r="S616" s="67"/>
      <c r="T616" s="67"/>
      <c r="U616" s="118"/>
    </row>
    <row r="617">
      <c r="A617" s="72"/>
      <c r="B617" s="54"/>
      <c r="C617" s="67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67"/>
      <c r="R617" s="67"/>
      <c r="S617" s="67"/>
      <c r="T617" s="67"/>
      <c r="U617" s="118"/>
    </row>
    <row r="618">
      <c r="A618" s="72"/>
      <c r="B618" s="54"/>
      <c r="C618" s="67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67"/>
      <c r="R618" s="67"/>
      <c r="S618" s="67"/>
      <c r="T618" s="67"/>
      <c r="U618" s="118"/>
    </row>
    <row r="619">
      <c r="A619" s="72"/>
      <c r="B619" s="54"/>
      <c r="C619" s="67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67"/>
      <c r="R619" s="67"/>
      <c r="S619" s="67"/>
      <c r="T619" s="67"/>
      <c r="U619" s="118"/>
    </row>
    <row r="620">
      <c r="A620" s="72"/>
      <c r="B620" s="54"/>
      <c r="C620" s="67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67"/>
      <c r="R620" s="67"/>
      <c r="S620" s="67"/>
      <c r="T620" s="67"/>
      <c r="U620" s="118"/>
    </row>
    <row r="621">
      <c r="A621" s="72"/>
      <c r="B621" s="54"/>
      <c r="C621" s="67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67"/>
      <c r="R621" s="67"/>
      <c r="S621" s="67"/>
      <c r="T621" s="67"/>
      <c r="U621" s="118"/>
    </row>
    <row r="622">
      <c r="A622" s="72"/>
      <c r="B622" s="54"/>
      <c r="C622" s="67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67"/>
      <c r="R622" s="67"/>
      <c r="S622" s="67"/>
      <c r="T622" s="67"/>
      <c r="U622" s="118"/>
    </row>
    <row r="623">
      <c r="A623" s="72"/>
      <c r="B623" s="54"/>
      <c r="C623" s="67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67"/>
      <c r="R623" s="67"/>
      <c r="S623" s="67"/>
      <c r="T623" s="67"/>
      <c r="U623" s="118"/>
    </row>
    <row r="624">
      <c r="A624" s="72"/>
      <c r="B624" s="54"/>
      <c r="C624" s="67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67"/>
      <c r="R624" s="67"/>
      <c r="S624" s="67"/>
      <c r="T624" s="67"/>
      <c r="U624" s="118"/>
    </row>
    <row r="625">
      <c r="A625" s="72"/>
      <c r="B625" s="54"/>
      <c r="C625" s="67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67"/>
      <c r="R625" s="67"/>
      <c r="S625" s="67"/>
      <c r="T625" s="67"/>
      <c r="U625" s="118"/>
    </row>
    <row r="626">
      <c r="A626" s="72"/>
      <c r="B626" s="54"/>
      <c r="C626" s="67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67"/>
      <c r="R626" s="67"/>
      <c r="S626" s="67"/>
      <c r="T626" s="67"/>
      <c r="U626" s="118"/>
    </row>
    <row r="627">
      <c r="A627" s="72"/>
      <c r="B627" s="54"/>
      <c r="C627" s="67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67"/>
      <c r="R627" s="67"/>
      <c r="S627" s="67"/>
      <c r="T627" s="67"/>
      <c r="U627" s="118"/>
    </row>
    <row r="628">
      <c r="A628" s="72"/>
      <c r="B628" s="54"/>
      <c r="C628" s="67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67"/>
      <c r="R628" s="67"/>
      <c r="S628" s="67"/>
      <c r="T628" s="67"/>
      <c r="U628" s="118"/>
    </row>
    <row r="629">
      <c r="A629" s="72"/>
      <c r="B629" s="54"/>
      <c r="C629" s="67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67"/>
      <c r="R629" s="67"/>
      <c r="S629" s="67"/>
      <c r="T629" s="67"/>
      <c r="U629" s="118"/>
    </row>
    <row r="630">
      <c r="A630" s="72"/>
      <c r="B630" s="54"/>
      <c r="C630" s="67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67"/>
      <c r="R630" s="67"/>
      <c r="S630" s="67"/>
      <c r="T630" s="67"/>
      <c r="U630" s="118"/>
    </row>
    <row r="631">
      <c r="A631" s="72"/>
      <c r="B631" s="54"/>
      <c r="C631" s="67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67"/>
      <c r="R631" s="67"/>
      <c r="S631" s="67"/>
      <c r="T631" s="67"/>
      <c r="U631" s="118"/>
    </row>
    <row r="632">
      <c r="A632" s="72"/>
      <c r="B632" s="54"/>
      <c r="C632" s="67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67"/>
      <c r="R632" s="67"/>
      <c r="S632" s="67"/>
      <c r="T632" s="67"/>
      <c r="U632" s="118"/>
    </row>
    <row r="633">
      <c r="A633" s="72"/>
      <c r="B633" s="54"/>
      <c r="C633" s="67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67"/>
      <c r="R633" s="67"/>
      <c r="S633" s="67"/>
      <c r="T633" s="67"/>
      <c r="U633" s="118"/>
    </row>
    <row r="634">
      <c r="A634" s="72"/>
      <c r="B634" s="54"/>
      <c r="C634" s="67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67"/>
      <c r="R634" s="67"/>
      <c r="S634" s="67"/>
      <c r="T634" s="67"/>
      <c r="U634" s="118"/>
    </row>
    <row r="635">
      <c r="A635" s="72"/>
      <c r="B635" s="54"/>
      <c r="C635" s="67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67"/>
      <c r="R635" s="67"/>
      <c r="S635" s="67"/>
      <c r="T635" s="67"/>
      <c r="U635" s="118"/>
    </row>
    <row r="636">
      <c r="A636" s="72"/>
      <c r="B636" s="54"/>
      <c r="C636" s="67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67"/>
      <c r="R636" s="67"/>
      <c r="S636" s="67"/>
      <c r="T636" s="67"/>
      <c r="U636" s="118"/>
    </row>
    <row r="637">
      <c r="A637" s="72"/>
      <c r="B637" s="54"/>
      <c r="C637" s="67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67"/>
      <c r="R637" s="67"/>
      <c r="S637" s="67"/>
      <c r="T637" s="67"/>
      <c r="U637" s="118"/>
    </row>
    <row r="638">
      <c r="A638" s="72"/>
      <c r="B638" s="54"/>
      <c r="C638" s="67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67"/>
      <c r="R638" s="67"/>
      <c r="S638" s="67"/>
      <c r="T638" s="67"/>
      <c r="U638" s="118"/>
    </row>
    <row r="639">
      <c r="A639" s="72"/>
      <c r="B639" s="54"/>
      <c r="C639" s="67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67"/>
      <c r="R639" s="67"/>
      <c r="S639" s="67"/>
      <c r="T639" s="67"/>
      <c r="U639" s="118"/>
    </row>
    <row r="640">
      <c r="A640" s="72"/>
      <c r="B640" s="54"/>
      <c r="C640" s="67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67"/>
      <c r="R640" s="67"/>
      <c r="S640" s="67"/>
      <c r="T640" s="67"/>
      <c r="U640" s="118"/>
    </row>
    <row r="641">
      <c r="A641" s="72"/>
      <c r="B641" s="54"/>
      <c r="C641" s="67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67"/>
      <c r="R641" s="67"/>
      <c r="S641" s="67"/>
      <c r="T641" s="67"/>
      <c r="U641" s="118"/>
    </row>
    <row r="642">
      <c r="A642" s="72"/>
      <c r="B642" s="54"/>
      <c r="C642" s="67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67"/>
      <c r="R642" s="67"/>
      <c r="S642" s="67"/>
      <c r="T642" s="67"/>
      <c r="U642" s="118"/>
    </row>
    <row r="643">
      <c r="A643" s="72"/>
      <c r="B643" s="54"/>
      <c r="C643" s="67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67"/>
      <c r="R643" s="67"/>
      <c r="S643" s="67"/>
      <c r="T643" s="67"/>
      <c r="U643" s="118"/>
    </row>
    <row r="644">
      <c r="A644" s="72"/>
      <c r="B644" s="54"/>
      <c r="C644" s="67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67"/>
      <c r="R644" s="67"/>
      <c r="S644" s="67"/>
      <c r="T644" s="67"/>
      <c r="U644" s="118"/>
    </row>
    <row r="645">
      <c r="A645" s="72"/>
      <c r="B645" s="54"/>
      <c r="C645" s="67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67"/>
      <c r="R645" s="67"/>
      <c r="S645" s="67"/>
      <c r="T645" s="67"/>
      <c r="U645" s="118"/>
    </row>
    <row r="646">
      <c r="A646" s="72"/>
      <c r="B646" s="54"/>
      <c r="C646" s="67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67"/>
      <c r="R646" s="67"/>
      <c r="S646" s="67"/>
      <c r="T646" s="67"/>
      <c r="U646" s="118"/>
    </row>
    <row r="647">
      <c r="A647" s="72"/>
      <c r="B647" s="54"/>
      <c r="C647" s="67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67"/>
      <c r="R647" s="67"/>
      <c r="S647" s="67"/>
      <c r="T647" s="67"/>
      <c r="U647" s="118"/>
    </row>
    <row r="648">
      <c r="A648" s="72"/>
      <c r="B648" s="54"/>
      <c r="C648" s="67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67"/>
      <c r="R648" s="67"/>
      <c r="S648" s="67"/>
      <c r="T648" s="67"/>
      <c r="U648" s="118"/>
    </row>
    <row r="649">
      <c r="A649" s="72"/>
      <c r="B649" s="54"/>
      <c r="C649" s="67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67"/>
      <c r="R649" s="67"/>
      <c r="S649" s="67"/>
      <c r="T649" s="67"/>
      <c r="U649" s="118"/>
    </row>
    <row r="650">
      <c r="A650" s="72"/>
      <c r="B650" s="54"/>
      <c r="C650" s="67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67"/>
      <c r="R650" s="67"/>
      <c r="S650" s="67"/>
      <c r="T650" s="67"/>
      <c r="U650" s="118"/>
    </row>
    <row r="651">
      <c r="A651" s="72"/>
      <c r="B651" s="54"/>
      <c r="C651" s="67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67"/>
      <c r="R651" s="67"/>
      <c r="S651" s="67"/>
      <c r="T651" s="67"/>
      <c r="U651" s="118"/>
    </row>
    <row r="652">
      <c r="A652" s="72"/>
      <c r="B652" s="54"/>
      <c r="C652" s="67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67"/>
      <c r="R652" s="67"/>
      <c r="S652" s="67"/>
      <c r="T652" s="67"/>
      <c r="U652" s="118"/>
    </row>
    <row r="653">
      <c r="A653" s="72"/>
      <c r="B653" s="54"/>
      <c r="C653" s="67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67"/>
      <c r="R653" s="67"/>
      <c r="S653" s="67"/>
      <c r="T653" s="67"/>
      <c r="U653" s="118"/>
    </row>
    <row r="654">
      <c r="A654" s="72"/>
      <c r="B654" s="54"/>
      <c r="C654" s="67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67"/>
      <c r="R654" s="67"/>
      <c r="S654" s="67"/>
      <c r="T654" s="67"/>
      <c r="U654" s="118"/>
    </row>
    <row r="655">
      <c r="A655" s="72"/>
      <c r="B655" s="54"/>
      <c r="C655" s="67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67"/>
      <c r="R655" s="67"/>
      <c r="S655" s="67"/>
      <c r="T655" s="67"/>
      <c r="U655" s="118"/>
    </row>
    <row r="656">
      <c r="A656" s="72"/>
      <c r="B656" s="54"/>
      <c r="C656" s="67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67"/>
      <c r="R656" s="67"/>
      <c r="S656" s="67"/>
      <c r="T656" s="67"/>
      <c r="U656" s="118"/>
    </row>
    <row r="657">
      <c r="A657" s="72"/>
      <c r="B657" s="54"/>
      <c r="C657" s="67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67"/>
      <c r="R657" s="67"/>
      <c r="S657" s="67"/>
      <c r="T657" s="67"/>
      <c r="U657" s="118"/>
    </row>
    <row r="658">
      <c r="A658" s="72"/>
      <c r="B658" s="54"/>
      <c r="C658" s="67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67"/>
      <c r="R658" s="67"/>
      <c r="S658" s="67"/>
      <c r="T658" s="67"/>
      <c r="U658" s="118"/>
    </row>
    <row r="659">
      <c r="A659" s="72"/>
      <c r="B659" s="54"/>
      <c r="C659" s="67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67"/>
      <c r="R659" s="67"/>
      <c r="S659" s="67"/>
      <c r="T659" s="67"/>
      <c r="U659" s="118"/>
    </row>
    <row r="660">
      <c r="A660" s="72"/>
      <c r="B660" s="54"/>
      <c r="C660" s="67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67"/>
      <c r="R660" s="67"/>
      <c r="S660" s="67"/>
      <c r="T660" s="67"/>
      <c r="U660" s="118"/>
    </row>
    <row r="661">
      <c r="A661" s="72"/>
      <c r="B661" s="54"/>
      <c r="C661" s="67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67"/>
      <c r="R661" s="67"/>
      <c r="S661" s="67"/>
      <c r="T661" s="67"/>
      <c r="U661" s="118"/>
    </row>
    <row r="662">
      <c r="A662" s="72"/>
      <c r="B662" s="54"/>
      <c r="C662" s="67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67"/>
      <c r="R662" s="67"/>
      <c r="S662" s="67"/>
      <c r="T662" s="67"/>
      <c r="U662" s="118"/>
    </row>
    <row r="663">
      <c r="A663" s="72"/>
      <c r="B663" s="54"/>
      <c r="C663" s="67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67"/>
      <c r="R663" s="67"/>
      <c r="S663" s="67"/>
      <c r="T663" s="67"/>
      <c r="U663" s="118"/>
    </row>
    <row r="664">
      <c r="A664" s="72"/>
      <c r="B664" s="54"/>
      <c r="C664" s="67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67"/>
      <c r="R664" s="67"/>
      <c r="S664" s="67"/>
      <c r="T664" s="67"/>
      <c r="U664" s="118"/>
    </row>
    <row r="665">
      <c r="A665" s="72"/>
      <c r="B665" s="54"/>
      <c r="C665" s="67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67"/>
      <c r="R665" s="67"/>
      <c r="S665" s="67"/>
      <c r="T665" s="67"/>
      <c r="U665" s="118"/>
    </row>
    <row r="666">
      <c r="A666" s="72"/>
      <c r="B666" s="54"/>
      <c r="C666" s="67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67"/>
      <c r="R666" s="67"/>
      <c r="S666" s="67"/>
      <c r="T666" s="67"/>
      <c r="U666" s="118"/>
    </row>
    <row r="667">
      <c r="A667" s="72"/>
      <c r="B667" s="54"/>
      <c r="C667" s="67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67"/>
      <c r="R667" s="67"/>
      <c r="S667" s="67"/>
      <c r="T667" s="67"/>
      <c r="U667" s="118"/>
    </row>
    <row r="668">
      <c r="A668" s="72"/>
      <c r="B668" s="54"/>
      <c r="C668" s="67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67"/>
      <c r="R668" s="67"/>
      <c r="S668" s="67"/>
      <c r="T668" s="67"/>
      <c r="U668" s="118"/>
    </row>
    <row r="669">
      <c r="A669" s="72"/>
      <c r="B669" s="54"/>
      <c r="C669" s="67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67"/>
      <c r="R669" s="67"/>
      <c r="S669" s="67"/>
      <c r="T669" s="67"/>
      <c r="U669" s="118"/>
    </row>
    <row r="670">
      <c r="A670" s="72"/>
      <c r="B670" s="54"/>
      <c r="C670" s="67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67"/>
      <c r="R670" s="67"/>
      <c r="S670" s="67"/>
      <c r="T670" s="67"/>
      <c r="U670" s="118"/>
    </row>
    <row r="671">
      <c r="A671" s="72"/>
      <c r="B671" s="54"/>
      <c r="C671" s="67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67"/>
      <c r="R671" s="67"/>
      <c r="S671" s="67"/>
      <c r="T671" s="67"/>
      <c r="U671" s="118"/>
    </row>
    <row r="672">
      <c r="A672" s="72"/>
      <c r="B672" s="54"/>
      <c r="C672" s="67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67"/>
      <c r="R672" s="67"/>
      <c r="S672" s="67"/>
      <c r="T672" s="67"/>
      <c r="U672" s="118"/>
    </row>
    <row r="673">
      <c r="A673" s="72"/>
      <c r="B673" s="54"/>
      <c r="C673" s="67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67"/>
      <c r="R673" s="67"/>
      <c r="S673" s="67"/>
      <c r="T673" s="67"/>
      <c r="U673" s="118"/>
    </row>
    <row r="674">
      <c r="A674" s="72"/>
      <c r="B674" s="54"/>
      <c r="C674" s="67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67"/>
      <c r="R674" s="67"/>
      <c r="S674" s="67"/>
      <c r="T674" s="67"/>
      <c r="U674" s="118"/>
    </row>
    <row r="675">
      <c r="A675" s="72"/>
      <c r="B675" s="54"/>
      <c r="C675" s="67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67"/>
      <c r="R675" s="67"/>
      <c r="S675" s="67"/>
      <c r="T675" s="67"/>
      <c r="U675" s="118"/>
    </row>
    <row r="676">
      <c r="A676" s="72"/>
      <c r="B676" s="54"/>
      <c r="C676" s="67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67"/>
      <c r="R676" s="67"/>
      <c r="S676" s="67"/>
      <c r="T676" s="67"/>
      <c r="U676" s="118"/>
    </row>
    <row r="677">
      <c r="A677" s="72"/>
      <c r="B677" s="54"/>
      <c r="C677" s="67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67"/>
      <c r="R677" s="67"/>
      <c r="S677" s="67"/>
      <c r="T677" s="67"/>
      <c r="U677" s="118"/>
    </row>
    <row r="678">
      <c r="A678" s="72"/>
      <c r="B678" s="54"/>
      <c r="C678" s="67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67"/>
      <c r="R678" s="67"/>
      <c r="S678" s="67"/>
      <c r="T678" s="67"/>
      <c r="U678" s="118"/>
    </row>
    <row r="679">
      <c r="A679" s="72"/>
      <c r="B679" s="54"/>
      <c r="C679" s="67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67"/>
      <c r="R679" s="67"/>
      <c r="S679" s="67"/>
      <c r="T679" s="67"/>
      <c r="U679" s="118"/>
    </row>
    <row r="680">
      <c r="A680" s="72"/>
      <c r="B680" s="54"/>
      <c r="C680" s="67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67"/>
      <c r="R680" s="67"/>
      <c r="S680" s="67"/>
      <c r="T680" s="67"/>
      <c r="U680" s="118"/>
    </row>
    <row r="681">
      <c r="A681" s="72"/>
      <c r="B681" s="54"/>
      <c r="C681" s="67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67"/>
      <c r="R681" s="67"/>
      <c r="S681" s="67"/>
      <c r="T681" s="67"/>
      <c r="U681" s="118"/>
    </row>
    <row r="682">
      <c r="A682" s="72"/>
      <c r="B682" s="54"/>
      <c r="C682" s="67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67"/>
      <c r="R682" s="67"/>
      <c r="S682" s="67"/>
      <c r="T682" s="67"/>
      <c r="U682" s="118"/>
    </row>
    <row r="683">
      <c r="A683" s="72"/>
      <c r="B683" s="54"/>
      <c r="C683" s="67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67"/>
      <c r="R683" s="67"/>
      <c r="S683" s="67"/>
      <c r="T683" s="67"/>
      <c r="U683" s="118"/>
    </row>
    <row r="684">
      <c r="A684" s="72"/>
      <c r="B684" s="54"/>
      <c r="C684" s="67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67"/>
      <c r="R684" s="67"/>
      <c r="S684" s="67"/>
      <c r="T684" s="67"/>
      <c r="U684" s="118"/>
    </row>
    <row r="685">
      <c r="A685" s="72"/>
      <c r="B685" s="54"/>
      <c r="C685" s="67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67"/>
      <c r="R685" s="67"/>
      <c r="S685" s="67"/>
      <c r="T685" s="67"/>
      <c r="U685" s="118"/>
    </row>
    <row r="686">
      <c r="A686" s="72"/>
      <c r="B686" s="54"/>
      <c r="C686" s="67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67"/>
      <c r="R686" s="67"/>
      <c r="S686" s="67"/>
      <c r="T686" s="67"/>
      <c r="U686" s="118"/>
    </row>
    <row r="687">
      <c r="A687" s="72"/>
      <c r="B687" s="54"/>
      <c r="C687" s="67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67"/>
      <c r="R687" s="67"/>
      <c r="S687" s="67"/>
      <c r="T687" s="67"/>
      <c r="U687" s="118"/>
    </row>
    <row r="688">
      <c r="A688" s="72"/>
      <c r="B688" s="54"/>
      <c r="C688" s="67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67"/>
      <c r="R688" s="67"/>
      <c r="S688" s="67"/>
      <c r="T688" s="67"/>
      <c r="U688" s="118"/>
    </row>
    <row r="689">
      <c r="A689" s="72"/>
      <c r="B689" s="54"/>
      <c r="C689" s="67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67"/>
      <c r="R689" s="67"/>
      <c r="S689" s="67"/>
      <c r="T689" s="67"/>
      <c r="U689" s="118"/>
    </row>
    <row r="690">
      <c r="A690" s="72"/>
      <c r="B690" s="54"/>
      <c r="C690" s="67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67"/>
      <c r="R690" s="67"/>
      <c r="S690" s="67"/>
      <c r="T690" s="67"/>
      <c r="U690" s="118"/>
    </row>
    <row r="691">
      <c r="A691" s="72"/>
      <c r="B691" s="54"/>
      <c r="C691" s="67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67"/>
      <c r="R691" s="67"/>
      <c r="S691" s="67"/>
      <c r="T691" s="67"/>
      <c r="U691" s="118"/>
    </row>
    <row r="692">
      <c r="A692" s="72"/>
      <c r="B692" s="54"/>
      <c r="C692" s="67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67"/>
      <c r="R692" s="67"/>
      <c r="S692" s="67"/>
      <c r="T692" s="67"/>
      <c r="U692" s="118"/>
    </row>
    <row r="693">
      <c r="A693" s="72"/>
      <c r="B693" s="54"/>
      <c r="C693" s="67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67"/>
      <c r="R693" s="67"/>
      <c r="S693" s="67"/>
      <c r="T693" s="67"/>
      <c r="U693" s="118"/>
    </row>
    <row r="694">
      <c r="A694" s="72"/>
      <c r="B694" s="54"/>
      <c r="C694" s="67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67"/>
      <c r="R694" s="67"/>
      <c r="S694" s="67"/>
      <c r="T694" s="67"/>
      <c r="U694" s="118"/>
    </row>
    <row r="695">
      <c r="A695" s="72"/>
      <c r="B695" s="54"/>
      <c r="C695" s="67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67"/>
      <c r="R695" s="67"/>
      <c r="S695" s="67"/>
      <c r="T695" s="67"/>
      <c r="U695" s="118"/>
    </row>
    <row r="696">
      <c r="A696" s="72"/>
      <c r="B696" s="54"/>
      <c r="C696" s="67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67"/>
      <c r="R696" s="67"/>
      <c r="S696" s="67"/>
      <c r="T696" s="67"/>
      <c r="U696" s="118"/>
    </row>
    <row r="697">
      <c r="A697" s="72"/>
      <c r="B697" s="54"/>
      <c r="C697" s="67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67"/>
      <c r="R697" s="67"/>
      <c r="S697" s="67"/>
      <c r="T697" s="67"/>
      <c r="U697" s="118"/>
    </row>
    <row r="698">
      <c r="A698" s="72"/>
      <c r="B698" s="54"/>
      <c r="C698" s="67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67"/>
      <c r="R698" s="67"/>
      <c r="S698" s="67"/>
      <c r="T698" s="67"/>
      <c r="U698" s="118"/>
    </row>
    <row r="699">
      <c r="A699" s="72"/>
      <c r="B699" s="54"/>
      <c r="C699" s="67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67"/>
      <c r="R699" s="67"/>
      <c r="S699" s="67"/>
      <c r="T699" s="67"/>
      <c r="U699" s="118"/>
    </row>
    <row r="700">
      <c r="A700" s="72"/>
      <c r="B700" s="54"/>
      <c r="C700" s="67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67"/>
      <c r="R700" s="67"/>
      <c r="S700" s="67"/>
      <c r="T700" s="67"/>
      <c r="U700" s="118"/>
    </row>
    <row r="701">
      <c r="A701" s="72"/>
      <c r="B701" s="54"/>
      <c r="C701" s="67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67"/>
      <c r="R701" s="67"/>
      <c r="S701" s="67"/>
      <c r="T701" s="67"/>
      <c r="U701" s="118"/>
    </row>
    <row r="702">
      <c r="A702" s="72"/>
      <c r="B702" s="54"/>
      <c r="C702" s="67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67"/>
      <c r="R702" s="67"/>
      <c r="S702" s="67"/>
      <c r="T702" s="67"/>
      <c r="U702" s="118"/>
    </row>
    <row r="703">
      <c r="A703" s="72"/>
      <c r="B703" s="54"/>
      <c r="C703" s="67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67"/>
      <c r="R703" s="67"/>
      <c r="S703" s="67"/>
      <c r="T703" s="67"/>
      <c r="U703" s="118"/>
    </row>
    <row r="704">
      <c r="A704" s="72"/>
      <c r="B704" s="54"/>
      <c r="C704" s="67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67"/>
      <c r="R704" s="67"/>
      <c r="S704" s="67"/>
      <c r="T704" s="67"/>
      <c r="U704" s="118"/>
    </row>
    <row r="705">
      <c r="A705" s="72"/>
      <c r="B705" s="54"/>
      <c r="C705" s="67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67"/>
      <c r="R705" s="67"/>
      <c r="S705" s="67"/>
      <c r="T705" s="67"/>
      <c r="U705" s="118"/>
    </row>
    <row r="706">
      <c r="A706" s="72"/>
      <c r="B706" s="54"/>
      <c r="C706" s="67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67"/>
      <c r="R706" s="67"/>
      <c r="S706" s="67"/>
      <c r="T706" s="67"/>
      <c r="U706" s="118"/>
    </row>
    <row r="707">
      <c r="A707" s="72"/>
      <c r="B707" s="54"/>
      <c r="C707" s="67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67"/>
      <c r="R707" s="67"/>
      <c r="S707" s="67"/>
      <c r="T707" s="67"/>
      <c r="U707" s="118"/>
    </row>
    <row r="708">
      <c r="A708" s="72"/>
      <c r="B708" s="54"/>
      <c r="C708" s="67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67"/>
      <c r="R708" s="67"/>
      <c r="S708" s="67"/>
      <c r="T708" s="67"/>
      <c r="U708" s="118"/>
    </row>
    <row r="709">
      <c r="A709" s="72"/>
      <c r="B709" s="54"/>
      <c r="C709" s="67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67"/>
      <c r="R709" s="67"/>
      <c r="S709" s="67"/>
      <c r="T709" s="67"/>
      <c r="U709" s="118"/>
    </row>
    <row r="710">
      <c r="A710" s="72"/>
      <c r="B710" s="54"/>
      <c r="C710" s="67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67"/>
      <c r="R710" s="67"/>
      <c r="S710" s="67"/>
      <c r="T710" s="67"/>
      <c r="U710" s="118"/>
    </row>
    <row r="711">
      <c r="A711" s="72"/>
      <c r="B711" s="54"/>
      <c r="C711" s="67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67"/>
      <c r="R711" s="67"/>
      <c r="S711" s="67"/>
      <c r="T711" s="67"/>
      <c r="U711" s="118"/>
    </row>
    <row r="712">
      <c r="A712" s="72"/>
      <c r="B712" s="54"/>
      <c r="C712" s="67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67"/>
      <c r="R712" s="67"/>
      <c r="S712" s="67"/>
      <c r="T712" s="67"/>
      <c r="U712" s="118"/>
    </row>
    <row r="713">
      <c r="A713" s="72"/>
      <c r="B713" s="54"/>
      <c r="C713" s="67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67"/>
      <c r="R713" s="67"/>
      <c r="S713" s="67"/>
      <c r="T713" s="67"/>
      <c r="U713" s="118"/>
    </row>
    <row r="714">
      <c r="A714" s="72"/>
      <c r="B714" s="54"/>
      <c r="C714" s="67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67"/>
      <c r="R714" s="67"/>
      <c r="S714" s="67"/>
      <c r="T714" s="67"/>
      <c r="U714" s="118"/>
    </row>
    <row r="715">
      <c r="A715" s="72"/>
      <c r="B715" s="54"/>
      <c r="C715" s="67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67"/>
      <c r="R715" s="67"/>
      <c r="S715" s="67"/>
      <c r="T715" s="67"/>
      <c r="U715" s="118"/>
    </row>
    <row r="716">
      <c r="A716" s="72"/>
      <c r="B716" s="54"/>
      <c r="C716" s="67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67"/>
      <c r="R716" s="67"/>
      <c r="S716" s="67"/>
      <c r="T716" s="67"/>
      <c r="U716" s="118"/>
    </row>
    <row r="717">
      <c r="A717" s="72"/>
      <c r="B717" s="54"/>
      <c r="C717" s="67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67"/>
      <c r="R717" s="67"/>
      <c r="S717" s="67"/>
      <c r="T717" s="67"/>
      <c r="U717" s="118"/>
    </row>
    <row r="718">
      <c r="A718" s="72"/>
      <c r="B718" s="54"/>
      <c r="C718" s="67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67"/>
      <c r="R718" s="67"/>
      <c r="S718" s="67"/>
      <c r="T718" s="67"/>
      <c r="U718" s="118"/>
    </row>
    <row r="719">
      <c r="A719" s="72"/>
      <c r="B719" s="54"/>
      <c r="C719" s="67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67"/>
      <c r="R719" s="67"/>
      <c r="S719" s="67"/>
      <c r="T719" s="67"/>
      <c r="U719" s="118"/>
    </row>
    <row r="720">
      <c r="A720" s="72"/>
      <c r="B720" s="54"/>
      <c r="C720" s="67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67"/>
      <c r="R720" s="67"/>
      <c r="S720" s="67"/>
      <c r="T720" s="67"/>
      <c r="U720" s="118"/>
    </row>
    <row r="721">
      <c r="A721" s="72"/>
      <c r="B721" s="54"/>
      <c r="C721" s="67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67"/>
      <c r="R721" s="67"/>
      <c r="S721" s="67"/>
      <c r="T721" s="67"/>
      <c r="U721" s="118"/>
    </row>
    <row r="722">
      <c r="A722" s="72"/>
      <c r="B722" s="54"/>
      <c r="C722" s="67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67"/>
      <c r="R722" s="67"/>
      <c r="S722" s="67"/>
      <c r="T722" s="67"/>
      <c r="U722" s="118"/>
    </row>
    <row r="723">
      <c r="A723" s="72"/>
      <c r="B723" s="54"/>
      <c r="C723" s="67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67"/>
      <c r="R723" s="67"/>
      <c r="S723" s="67"/>
      <c r="T723" s="67"/>
      <c r="U723" s="118"/>
    </row>
    <row r="724">
      <c r="A724" s="72"/>
      <c r="B724" s="54"/>
      <c r="C724" s="67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67"/>
      <c r="R724" s="67"/>
      <c r="S724" s="67"/>
      <c r="T724" s="67"/>
      <c r="U724" s="118"/>
    </row>
    <row r="725">
      <c r="A725" s="72"/>
      <c r="B725" s="54"/>
      <c r="C725" s="67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67"/>
      <c r="R725" s="67"/>
      <c r="S725" s="67"/>
      <c r="T725" s="67"/>
      <c r="U725" s="118"/>
    </row>
    <row r="726">
      <c r="A726" s="72"/>
      <c r="B726" s="54"/>
      <c r="C726" s="67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67"/>
      <c r="R726" s="67"/>
      <c r="S726" s="67"/>
      <c r="T726" s="67"/>
      <c r="U726" s="118"/>
    </row>
    <row r="727">
      <c r="A727" s="72"/>
      <c r="B727" s="54"/>
      <c r="C727" s="67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67"/>
      <c r="R727" s="67"/>
      <c r="S727" s="67"/>
      <c r="T727" s="67"/>
      <c r="U727" s="118"/>
    </row>
  </sheetData>
  <customSheetViews>
    <customSheetView guid="{B9FC2153-85FE-4597-B01F-2D8A49A1D991}" filter="1" showAutoFilter="1">
      <autoFilter ref="$A$1:$U$151"/>
    </customSheetView>
    <customSheetView guid="{24EFF1FC-519A-4255-99C0-8464DF1D4EED}" filter="1" showAutoFilter="1">
      <autoFilter ref="$A$1:$U$151"/>
    </customSheetView>
  </customSheetViews>
  <dataValidations>
    <dataValidation type="list" allowBlank="1" showErrorMessage="1" sqref="D9:D727">
      <formula1>Data!$C$2:$C727</formula1>
    </dataValidation>
    <dataValidation type="list" allowBlank="1" showErrorMessage="1" sqref="E9:E727">
      <formula1>Data!$D$2:$D727</formula1>
    </dataValidation>
    <dataValidation type="list" allowBlank="1" showErrorMessage="1" sqref="N9:N727">
      <formula1>Data!$K$3:$K727</formula1>
    </dataValidation>
    <dataValidation type="list" allowBlank="1" showErrorMessage="1" sqref="B9:B234 B236:B727">
      <formula1>Data!$A$2:$A727</formula1>
    </dataValidation>
    <dataValidation type="list" allowBlank="1" showErrorMessage="1" sqref="O9:O727">
      <formula1>Data!$O$2:$O727</formula1>
    </dataValidation>
    <dataValidation type="list" allowBlank="1" showErrorMessage="1" sqref="M9:M727">
      <formula1>Data!$P$2:$P727</formula1>
    </dataValidation>
    <dataValidation type="custom" allowBlank="1" showDropDown="1" sqref="A9:A234 A235:B235 A236:A727">
      <formula1>OR(NOT(ISERROR(DATEVALUE(A9))), AND(ISNUMBER(A9), LEFT(CELL("format", A9))="D"))</formula1>
    </dataValidation>
    <dataValidation type="list" allowBlank="1" showErrorMessage="1" sqref="L9:L727">
      <formula1>Data!$I$2:$I727</formula1>
    </dataValidation>
    <dataValidation type="list" allowBlank="1" showErrorMessage="1" sqref="F9:F727">
      <formula1>Data!$F$2:$F727</formula1>
    </dataValidation>
    <dataValidation type="list" allowBlank="1" showErrorMessage="1" sqref="H9:H727">
      <formula1>Data!$H$2:$H727</formula1>
    </dataValidation>
    <dataValidation type="list" allowBlank="1" showErrorMessage="1" sqref="P9:P727">
      <formula1>Data!$M$2:$M727</formula1>
    </dataValidation>
  </dataValidations>
  <hyperlinks>
    <hyperlink r:id="rId1" ref="C3"/>
    <hyperlink r:id="rId2" ref="B9"/>
    <hyperlink r:id="rId3" ref="B10"/>
    <hyperlink r:id="rId4" ref="T10"/>
    <hyperlink r:id="rId5" ref="U10"/>
    <hyperlink r:id="rId6" ref="B11"/>
    <hyperlink r:id="rId7" ref="T11"/>
    <hyperlink r:id="rId8" ref="U11"/>
    <hyperlink r:id="rId9" ref="B12"/>
    <hyperlink r:id="rId10" ref="T12"/>
    <hyperlink r:id="rId11" ref="U12"/>
    <hyperlink r:id="rId12" ref="B13"/>
    <hyperlink r:id="rId13" ref="T13"/>
    <hyperlink r:id="rId14" ref="U13"/>
    <hyperlink r:id="rId15" ref="B14"/>
    <hyperlink r:id="rId16" ref="T14"/>
    <hyperlink r:id="rId17" ref="U14"/>
    <hyperlink r:id="rId18" ref="B15"/>
    <hyperlink r:id="rId19" ref="T15"/>
    <hyperlink r:id="rId20" ref="U15"/>
    <hyperlink r:id="rId21" ref="B16"/>
    <hyperlink r:id="rId22" ref="T16"/>
    <hyperlink r:id="rId23" ref="U16"/>
    <hyperlink r:id="rId24" ref="B17"/>
    <hyperlink r:id="rId25" ref="T17"/>
    <hyperlink r:id="rId26" ref="U17"/>
    <hyperlink r:id="rId27" ref="B18"/>
    <hyperlink r:id="rId28" ref="T18"/>
    <hyperlink r:id="rId29" ref="U18"/>
    <hyperlink r:id="rId30" ref="B19"/>
    <hyperlink r:id="rId31" ref="T19"/>
    <hyperlink r:id="rId32" ref="U19"/>
    <hyperlink r:id="rId33" ref="B20"/>
    <hyperlink r:id="rId34" ref="T20"/>
    <hyperlink r:id="rId35" ref="U20"/>
    <hyperlink r:id="rId36" ref="B21"/>
    <hyperlink r:id="rId37" ref="T21"/>
    <hyperlink r:id="rId38" ref="U21"/>
    <hyperlink r:id="rId39" ref="B22"/>
    <hyperlink r:id="rId40" ref="T22"/>
    <hyperlink r:id="rId41" ref="U22"/>
    <hyperlink r:id="rId42" ref="B23"/>
    <hyperlink r:id="rId43" ref="T23"/>
    <hyperlink r:id="rId44" ref="U23"/>
    <hyperlink r:id="rId45" ref="B24"/>
    <hyperlink r:id="rId46" ref="T24"/>
    <hyperlink r:id="rId47" ref="U24"/>
    <hyperlink r:id="rId48" ref="B25"/>
    <hyperlink r:id="rId49" ref="T25"/>
    <hyperlink r:id="rId50" ref="U25"/>
    <hyperlink r:id="rId51" ref="B26"/>
    <hyperlink r:id="rId52" ref="T26"/>
    <hyperlink r:id="rId53" ref="U26"/>
    <hyperlink r:id="rId54" ref="B27"/>
    <hyperlink r:id="rId55" ref="T27"/>
    <hyperlink r:id="rId56" ref="U27"/>
    <hyperlink r:id="rId57" ref="B28"/>
    <hyperlink r:id="rId58" ref="T28"/>
    <hyperlink r:id="rId59" ref="U28"/>
    <hyperlink r:id="rId60" ref="B29"/>
    <hyperlink r:id="rId61" ref="T29"/>
    <hyperlink r:id="rId62" ref="U29"/>
    <hyperlink r:id="rId63" ref="B30"/>
    <hyperlink r:id="rId64" ref="T30"/>
    <hyperlink r:id="rId65" ref="U30"/>
    <hyperlink r:id="rId66" ref="B31"/>
    <hyperlink r:id="rId67" ref="T31"/>
    <hyperlink r:id="rId68" ref="U31"/>
    <hyperlink r:id="rId69" ref="B32"/>
    <hyperlink r:id="rId70" ref="T32"/>
    <hyperlink r:id="rId71" ref="U32"/>
    <hyperlink r:id="rId72" ref="B33"/>
    <hyperlink r:id="rId73" ref="T33"/>
    <hyperlink r:id="rId74" ref="U33"/>
    <hyperlink r:id="rId75" ref="B34"/>
    <hyperlink r:id="rId76" ref="T34"/>
    <hyperlink r:id="rId77" ref="U34"/>
    <hyperlink r:id="rId78" ref="B35"/>
    <hyperlink r:id="rId79" ref="T35"/>
    <hyperlink r:id="rId80" ref="U35"/>
    <hyperlink r:id="rId81" ref="B36"/>
    <hyperlink r:id="rId82" ref="T36"/>
    <hyperlink r:id="rId83" ref="U36"/>
    <hyperlink r:id="rId84" ref="B37"/>
    <hyperlink r:id="rId85" ref="T37"/>
    <hyperlink r:id="rId86" ref="U37"/>
    <hyperlink r:id="rId87" ref="B38"/>
    <hyperlink r:id="rId88" ref="T38"/>
    <hyperlink r:id="rId89" ref="U38"/>
    <hyperlink r:id="rId90" ref="B39"/>
    <hyperlink r:id="rId91" ref="T39"/>
    <hyperlink r:id="rId92" ref="U39"/>
    <hyperlink r:id="rId93" ref="B40"/>
    <hyperlink r:id="rId94" ref="T40"/>
    <hyperlink r:id="rId95" ref="U40"/>
    <hyperlink r:id="rId96" ref="B41"/>
    <hyperlink r:id="rId97" ref="T41"/>
    <hyperlink r:id="rId98" ref="U41"/>
    <hyperlink r:id="rId99" ref="B42"/>
    <hyperlink r:id="rId100" ref="T42"/>
    <hyperlink r:id="rId101" ref="U42"/>
    <hyperlink r:id="rId102" ref="B43"/>
    <hyperlink r:id="rId103" ref="T43"/>
    <hyperlink r:id="rId104" ref="U43"/>
    <hyperlink r:id="rId105" ref="B44"/>
    <hyperlink r:id="rId106" ref="T44"/>
    <hyperlink r:id="rId107" ref="U44"/>
    <hyperlink r:id="rId108" ref="B45"/>
    <hyperlink r:id="rId109" ref="T45"/>
    <hyperlink r:id="rId110" ref="U45"/>
    <hyperlink r:id="rId111" ref="B46"/>
    <hyperlink r:id="rId112" ref="T46"/>
    <hyperlink r:id="rId113" ref="U46"/>
    <hyperlink r:id="rId114" ref="B47"/>
    <hyperlink r:id="rId115" ref="T47"/>
    <hyperlink r:id="rId116" ref="U47"/>
    <hyperlink r:id="rId117" ref="B48"/>
    <hyperlink r:id="rId118" ref="T48"/>
    <hyperlink r:id="rId119" ref="U48"/>
    <hyperlink r:id="rId120" ref="B49"/>
    <hyperlink r:id="rId121" ref="T49"/>
    <hyperlink r:id="rId122" ref="U49"/>
    <hyperlink r:id="rId123" ref="B50"/>
    <hyperlink r:id="rId124" ref="T50"/>
    <hyperlink r:id="rId125" ref="U50"/>
    <hyperlink r:id="rId126" ref="B51"/>
    <hyperlink r:id="rId127" ref="T51"/>
    <hyperlink r:id="rId128" ref="U51"/>
    <hyperlink r:id="rId129" ref="B52"/>
    <hyperlink r:id="rId130" ref="T52"/>
    <hyperlink r:id="rId131" ref="U52"/>
    <hyperlink r:id="rId132" ref="B53"/>
    <hyperlink r:id="rId133" ref="T53"/>
    <hyperlink r:id="rId134" ref="U53"/>
    <hyperlink r:id="rId135" ref="B54"/>
    <hyperlink r:id="rId136" ref="T54"/>
    <hyperlink r:id="rId137" ref="U54"/>
    <hyperlink r:id="rId138" ref="B55"/>
    <hyperlink r:id="rId139" ref="T55"/>
    <hyperlink r:id="rId140" ref="U55"/>
    <hyperlink r:id="rId141" ref="B56"/>
    <hyperlink r:id="rId142" ref="T56"/>
    <hyperlink r:id="rId143" ref="U56"/>
    <hyperlink r:id="rId144" ref="B57"/>
    <hyperlink r:id="rId145" ref="T57"/>
    <hyperlink r:id="rId146" ref="U57"/>
  </hyperlinks>
  <drawing r:id="rId14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2.63"/>
    <col customWidth="1" min="2" max="2" width="37.5"/>
    <col customWidth="1" min="5" max="5" width="13.88"/>
    <col customWidth="1" min="9" max="9" width="31.88"/>
    <col customWidth="1" min="17" max="17" width="34.5"/>
    <col customWidth="1" min="18" max="18" width="26.0"/>
    <col customWidth="1" min="20" max="20" width="25.63"/>
  </cols>
  <sheetData>
    <row r="1" hidden="1">
      <c r="A1" s="1"/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/>
      <c r="H1" s="5" t="s">
        <v>6</v>
      </c>
      <c r="I1" s="5" t="s">
        <v>7</v>
      </c>
      <c r="J1" s="5" t="s">
        <v>9</v>
      </c>
      <c r="K1" s="5"/>
      <c r="L1" s="7"/>
      <c r="M1" s="7"/>
      <c r="N1" s="7"/>
      <c r="O1" s="7"/>
      <c r="P1" s="7"/>
      <c r="Q1" s="7"/>
      <c r="R1" s="7"/>
      <c r="S1" s="7"/>
      <c r="T1" s="7"/>
      <c r="U1" s="97"/>
    </row>
    <row r="2" hidden="1">
      <c r="A2" s="1"/>
      <c r="B2" s="10" t="s">
        <v>12</v>
      </c>
      <c r="C2" s="10" t="s">
        <v>8</v>
      </c>
      <c r="D2" s="10" t="s">
        <v>10</v>
      </c>
      <c r="E2" s="10" t="s">
        <v>16</v>
      </c>
      <c r="F2" s="10" t="s">
        <v>17</v>
      </c>
      <c r="G2" s="10"/>
      <c r="H2" s="11" t="s">
        <v>15</v>
      </c>
      <c r="I2" s="10" t="s">
        <v>22</v>
      </c>
      <c r="J2" s="10" t="s">
        <v>1</v>
      </c>
      <c r="K2" s="10"/>
      <c r="L2" s="10" t="s">
        <v>2</v>
      </c>
      <c r="M2" s="10" t="s">
        <v>24</v>
      </c>
      <c r="N2" s="10" t="s">
        <v>4</v>
      </c>
      <c r="O2" s="12" t="s">
        <v>23</v>
      </c>
      <c r="P2" s="10" t="s">
        <v>5</v>
      </c>
      <c r="Q2" s="13" t="s">
        <v>29</v>
      </c>
      <c r="R2" s="13" t="s">
        <v>31</v>
      </c>
      <c r="S2" s="13" t="s">
        <v>15</v>
      </c>
      <c r="T2" s="14" t="s">
        <v>32</v>
      </c>
      <c r="U2" s="98"/>
    </row>
    <row r="3" hidden="1">
      <c r="A3" s="1"/>
      <c r="B3" s="16">
        <v>221118.0</v>
      </c>
      <c r="C3" s="20" t="s">
        <v>35</v>
      </c>
      <c r="D3" s="22"/>
      <c r="E3" s="22" t="s">
        <v>37</v>
      </c>
      <c r="F3" s="22" t="s">
        <v>39</v>
      </c>
      <c r="G3" s="22"/>
      <c r="H3" s="24" t="s">
        <v>40</v>
      </c>
      <c r="I3" s="22" t="s">
        <v>41</v>
      </c>
      <c r="J3" s="22" t="s">
        <v>42</v>
      </c>
      <c r="K3" s="22"/>
      <c r="L3" s="22" t="s">
        <v>43</v>
      </c>
      <c r="M3" s="22" t="s">
        <v>45</v>
      </c>
      <c r="N3" s="22" t="s">
        <v>46</v>
      </c>
      <c r="O3" s="22"/>
      <c r="P3" s="22" t="s">
        <v>47</v>
      </c>
      <c r="Q3" s="24" t="str">
        <f>J3</f>
        <v>Facebook</v>
      </c>
      <c r="R3" s="26" t="str">
        <f>L3</f>
        <v>FA</v>
      </c>
      <c r="S3" s="28" t="str">
        <f>CONCATENATE(E3,"_",N3,"_",L3,"_",M3,"_",B3,"_",P3)</f>
        <v>Rongfly_HN_FA_TAH_221118_Badt</v>
      </c>
      <c r="T3" s="28" t="str">
        <f>CONCATENATE(F3,"_",E3,B3,"_",P3)</f>
        <v>sinhvien1823_Rongfly221118_Badt</v>
      </c>
      <c r="U3" s="99"/>
    </row>
    <row r="4" hidden="1">
      <c r="A4" s="1"/>
      <c r="B4" s="7"/>
      <c r="C4" s="7"/>
      <c r="D4" s="17"/>
      <c r="E4" s="32" t="s">
        <v>48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97"/>
    </row>
    <row r="5" hidden="1">
      <c r="A5" s="1"/>
      <c r="B5" s="7"/>
      <c r="C5" s="7"/>
      <c r="D5" s="35"/>
      <c r="E5" s="32" t="s">
        <v>49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97"/>
    </row>
    <row r="6" hidden="1">
      <c r="A6" s="1"/>
      <c r="B6" s="7"/>
      <c r="C6" s="7"/>
      <c r="D6" s="36"/>
      <c r="E6" s="37" t="s">
        <v>50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97"/>
    </row>
    <row r="7">
      <c r="A7" s="9">
        <v>11.0</v>
      </c>
      <c r="B7" s="6" t="s">
        <v>8</v>
      </c>
      <c r="C7" s="39" t="s">
        <v>10</v>
      </c>
      <c r="D7" s="6" t="s">
        <v>1</v>
      </c>
      <c r="E7" s="6" t="s">
        <v>2</v>
      </c>
      <c r="F7" s="6" t="s">
        <v>4</v>
      </c>
      <c r="G7" s="9" t="s">
        <v>11</v>
      </c>
      <c r="H7" s="6" t="s">
        <v>13</v>
      </c>
      <c r="I7" s="6" t="s">
        <v>14</v>
      </c>
      <c r="J7" s="39" t="s">
        <v>15</v>
      </c>
      <c r="K7" s="42" t="s">
        <v>18</v>
      </c>
      <c r="L7" s="39" t="s">
        <v>19</v>
      </c>
      <c r="M7" s="39" t="s">
        <v>20</v>
      </c>
      <c r="N7" s="39" t="s">
        <v>21</v>
      </c>
      <c r="O7" s="42" t="s">
        <v>23</v>
      </c>
      <c r="P7" s="39" t="s">
        <v>25</v>
      </c>
      <c r="Q7" s="6" t="s">
        <v>26</v>
      </c>
      <c r="R7" s="6" t="s">
        <v>27</v>
      </c>
      <c r="S7" s="6" t="s">
        <v>54</v>
      </c>
      <c r="T7" s="39" t="s">
        <v>30</v>
      </c>
      <c r="U7" s="100" t="s">
        <v>1125</v>
      </c>
    </row>
    <row r="8">
      <c r="A8" s="45" t="s">
        <v>33</v>
      </c>
      <c r="B8" s="17" t="s">
        <v>34</v>
      </c>
      <c r="C8" s="46" t="s">
        <v>55</v>
      </c>
      <c r="D8" s="19" t="s">
        <v>36</v>
      </c>
      <c r="E8" s="21" t="s">
        <v>36</v>
      </c>
      <c r="F8" s="19" t="s">
        <v>36</v>
      </c>
      <c r="G8" s="47"/>
      <c r="H8" s="19" t="s">
        <v>36</v>
      </c>
      <c r="I8" s="25" t="s">
        <v>1126</v>
      </c>
      <c r="J8" s="25" t="s">
        <v>44</v>
      </c>
      <c r="K8" s="23" t="s">
        <v>38</v>
      </c>
      <c r="L8" s="19" t="s">
        <v>36</v>
      </c>
      <c r="M8" s="19" t="s">
        <v>36</v>
      </c>
      <c r="N8" s="19" t="s">
        <v>36</v>
      </c>
      <c r="O8" s="19" t="s">
        <v>36</v>
      </c>
      <c r="P8" s="19" t="s">
        <v>36</v>
      </c>
      <c r="Q8" s="47" t="s">
        <v>62</v>
      </c>
      <c r="R8" s="47" t="s">
        <v>63</v>
      </c>
      <c r="S8" s="48" t="s">
        <v>64</v>
      </c>
      <c r="T8" s="49" t="s">
        <v>67</v>
      </c>
      <c r="U8" s="101"/>
    </row>
    <row r="9">
      <c r="A9" s="50">
        <v>44183.0</v>
      </c>
      <c r="B9" s="43" t="s">
        <v>73</v>
      </c>
      <c r="C9" s="58" t="str">
        <f>IFERROR(__xludf.DUMMYFUNCTION("FILTER(VLOOKUP(B9:B30,Data!A:B,2,FALSE),B9:B30&lt;&gt;"""")"),"LD012")</f>
        <v>LD012</v>
      </c>
      <c r="D9" s="44" t="s">
        <v>42</v>
      </c>
      <c r="E9" s="44" t="s">
        <v>53</v>
      </c>
      <c r="F9" s="44" t="s">
        <v>60</v>
      </c>
      <c r="G9" s="44" t="s">
        <v>61</v>
      </c>
      <c r="H9" s="44" t="s">
        <v>1131</v>
      </c>
      <c r="I9" s="44" t="s">
        <v>1132</v>
      </c>
      <c r="J9" s="44" t="s">
        <v>88</v>
      </c>
      <c r="K9" s="44" t="s">
        <v>61</v>
      </c>
      <c r="L9" s="44">
        <v>95360.0</v>
      </c>
      <c r="M9" s="44" t="s">
        <v>116</v>
      </c>
      <c r="N9" s="44" t="s">
        <v>70</v>
      </c>
      <c r="O9" s="44" t="s">
        <v>70</v>
      </c>
      <c r="P9" s="44" t="s">
        <v>70</v>
      </c>
      <c r="Q9" s="58" t="str">
        <f>IFERROR(__xludf.DUMMYFUNCTION("FILTER(IF( A9:A30&lt;&gt;"""",IF(H9:H30&lt;&gt;"""",IF(I9:I30&lt;&gt;"""",IF(L9:L30&lt;&gt;"""",IF(N9:N30&lt;&gt;"""",I9:I30&amp;""_""&amp;L9:L30&amp;""_""&amp;N9:N30&amp;""_""&amp;H9:H30&amp;""_""&amp;TRIM(A9:A30),""!!!""),""!!!""),""!!!""),""!!!""),""!!!""),B9:B30&lt;&gt;"""")"),"Blog_95360_NON_HuyLG_181220")</f>
        <v>Blog_95360_NON_HuyLG_181220</v>
      </c>
      <c r="R9" s="58" t="str">
        <f>IFERROR(__xludf.DUMMYFUNCTION("FILTER(IF( A9:A30&lt;&gt;"""",IF(P9:P30&lt;&gt;"""",IF(F9:F30&lt;&gt;"""",IF(G9:G30&lt;&gt;"""",IF(K9:K30&lt;&gt;"""",P9:P30&amp;""_""&amp;F9:F30&amp;""_""&amp;G9:G30&amp;""_""&amp;K9:K30&amp;""_""&amp;TRIM(A9:A30),""!!!""),""!!!""),""!!!""),""!!!""),""!!!""),B9:B30&lt;&gt;"""")"),"NON_NONE_none_none_181220")</f>
        <v>NON_NONE_none_none_181220</v>
      </c>
      <c r="S9" s="58" t="str">
        <f>IFERROR(__xludf.DUMMYFUNCTION("FILTER(IF( M9:M30&lt;&gt;"""",IF(J9:J30&lt;&gt;"""",IF(O9:O30&lt;&gt;"""",IF(C9:C30&lt;&gt;"""",M9:M30&amp;""_""&amp;J9:J30&amp;""_""&amp;O9:O30&amp;""_""&amp;C9:C30,""!!!""),""!!!""),""!!!""),""!!!""),B9:B30&lt;&gt;"""")"),"khac_Content2_NON_LD012")</f>
        <v>khac_Content2_NON_LD012</v>
      </c>
      <c r="T9" s="103" t="str">
        <f>IFERROR(__xludf.DUMMYFUNCTION("FILTER(B9:B30&amp;if(right(B9:B30,1)=""/"",""?"",""/?"")&amp;""utm_source=""&amp;D9:D30&amp;""&amp;utm_medium=""&amp;E9:E30&amp;""&amp;utm_term=""&amp;R9:R30&amp;""&amp;utm_content=""&amp;S9:S30&amp;""&amp;utm_campaign=""&amp;Q9:Q30,B9:B30&lt;&gt;"""")"),"https://patadovietnam.edu.vn/blog/?utm_source=Facebook&amp;utm_medium=SEE&amp;utm_term=NON_NONE_none_none_181220&amp;utm_content=khac_Content2_NON_LD012&amp;utm_campaign=Blog_95360_NON_HuyLG_181220")</f>
        <v>https://patadovietnam.edu.vn/blog/?utm_source=Facebook&amp;utm_medium=SEE&amp;utm_term=NON_NONE_none_none_181220&amp;utm_content=khac_Content2_NON_LD012&amp;utm_campaign=Blog_95360_NON_HuyLG_181220</v>
      </c>
      <c r="U9" s="97"/>
    </row>
    <row r="10">
      <c r="A10" s="72">
        <v>45027.0</v>
      </c>
      <c r="B10" s="60" t="s">
        <v>1134</v>
      </c>
      <c r="C10" s="67" t="str">
        <f>IFERROR(__xludf.DUMMYFUNCTION("""COMPUTED_VALUE"""),"LD153")</f>
        <v>LD153</v>
      </c>
      <c r="D10" s="55" t="s">
        <v>42</v>
      </c>
      <c r="E10" s="55" t="s">
        <v>79</v>
      </c>
      <c r="F10" s="55" t="s">
        <v>199</v>
      </c>
      <c r="G10" s="55">
        <v>2040.0</v>
      </c>
      <c r="H10" s="55" t="s">
        <v>1137</v>
      </c>
      <c r="I10" s="55" t="s">
        <v>1138</v>
      </c>
      <c r="J10" s="55" t="s">
        <v>1139</v>
      </c>
      <c r="K10" s="55" t="s">
        <v>61</v>
      </c>
      <c r="L10" s="55">
        <v>95360.0</v>
      </c>
      <c r="M10" s="55" t="s">
        <v>78</v>
      </c>
      <c r="N10" s="55" t="s">
        <v>79</v>
      </c>
      <c r="O10" s="55" t="s">
        <v>224</v>
      </c>
      <c r="P10" s="55" t="s">
        <v>110</v>
      </c>
      <c r="Q10" s="67" t="str">
        <f>IFERROR(__xludf.DUMMYFUNCTION("""COMPUTED_VALUE"""),"Vietnam.giaotiep.anhgiaotiep1_95360_MES_NamNH_110423")</f>
        <v>Vietnam.giaotiep.anhgiaotiep1_95360_MES_NamNH_110423</v>
      </c>
      <c r="R10" s="67" t="str">
        <f>IFERROR(__xludf.DUMMYFUNCTION("""COMPUTED_VALUE"""),"NEW_Vietnam_2040_none_110423")</f>
        <v>NEW_Vietnam_2040_none_110423</v>
      </c>
      <c r="S10" s="67" t="str">
        <f>IFERROR(__xludf.DUMMYFUNCTION("""COMPUTED_VALUE"""),"saletructiep_Vietnam.anhgiaotiep1.2040.giaotiep_PTATT_LD153")</f>
        <v>saletructiep_Vietnam.anhgiaotiep1.2040.giaotiep_PTATT_LD153</v>
      </c>
      <c r="T10" s="107" t="str">
        <f>IFERROR(__xludf.DUMMYFUNCTION("""COMPUTED_VALUE"""),"https://patadovietnam.edu.vn/tienganhgiaotiep_hn/?utm_source=Facebook&amp;utm_medium=MES&amp;utm_term=NEW_Vietnam_2040_none_110423&amp;utm_content=saletructiep_Vietnam.anhgiaotiep1.2040.giaotiep_PTATT_LD153&amp;utm_campaign=Vietnam.giaotiep.anhgiaotiep1_95360_MES_NamNH_1"&amp;"10423")</f>
        <v>https://patadovietnam.edu.vn/tienganhgiaotiep_hn/?utm_source=Facebook&amp;utm_medium=MES&amp;utm_term=NEW_Vietnam_2040_none_110423&amp;utm_content=saletructiep_Vietnam.anhgiaotiep1.2040.giaotiep_PTATT_LD153&amp;utm_campaign=Vietnam.giaotiep.anhgiaotiep1_95360_MES_NamNH_110423</v>
      </c>
      <c r="U10" s="110" t="s">
        <v>1143</v>
      </c>
    </row>
    <row r="11">
      <c r="A11" s="72">
        <v>45027.0</v>
      </c>
      <c r="B11" s="60" t="s">
        <v>1134</v>
      </c>
      <c r="C11" s="67" t="str">
        <f>IFERROR(__xludf.DUMMYFUNCTION("""COMPUTED_VALUE"""),"LD153")</f>
        <v>LD153</v>
      </c>
      <c r="D11" s="55" t="s">
        <v>42</v>
      </c>
      <c r="E11" s="55" t="s">
        <v>79</v>
      </c>
      <c r="F11" s="55" t="s">
        <v>107</v>
      </c>
      <c r="G11" s="55">
        <v>2045.0</v>
      </c>
      <c r="H11" s="55" t="s">
        <v>1137</v>
      </c>
      <c r="I11" s="55" t="s">
        <v>1145</v>
      </c>
      <c r="J11" s="55" t="s">
        <v>1146</v>
      </c>
      <c r="K11" s="55" t="s">
        <v>61</v>
      </c>
      <c r="L11" s="55">
        <v>95360.0</v>
      </c>
      <c r="M11" s="55" t="s">
        <v>78</v>
      </c>
      <c r="N11" s="55" t="s">
        <v>79</v>
      </c>
      <c r="O11" s="55" t="s">
        <v>224</v>
      </c>
      <c r="P11" s="55" t="s">
        <v>110</v>
      </c>
      <c r="Q11" s="67" t="str">
        <f>IFERROR(__xludf.DUMMYFUNCTION("""COMPUTED_VALUE"""),"UnitedStates.giaotiep.anhgiaotiep2_95360_MES_NamNH_110423")</f>
        <v>UnitedStates.giaotiep.anhgiaotiep2_95360_MES_NamNH_110423</v>
      </c>
      <c r="R11" s="67" t="str">
        <f>IFERROR(__xludf.DUMMYFUNCTION("""COMPUTED_VALUE"""),"NEW_UnitedStates_2045_none_110423")</f>
        <v>NEW_UnitedStates_2045_none_110423</v>
      </c>
      <c r="S11" s="67" t="str">
        <f>IFERROR(__xludf.DUMMYFUNCTION("""COMPUTED_VALUE"""),"saletructiep_UnitedStates.anhgiaotiep2.2045.giaotiep_PTATT_LD153")</f>
        <v>saletructiep_UnitedStates.anhgiaotiep2.2045.giaotiep_PTATT_LD153</v>
      </c>
      <c r="T11" s="107" t="str">
        <f>IFERROR(__xludf.DUMMYFUNCTION("""COMPUTED_VALUE"""),"https://patadovietnam.edu.vn/tienganhgiaotiep_hn/?utm_source=Facebook&amp;utm_medium=MES&amp;utm_term=NEW_UnitedStates_2045_none_110423&amp;utm_content=saletructiep_UnitedStates.anhgiaotiep2.2045.giaotiep_PTATT_LD153&amp;utm_campaign=UnitedStates.giaotiep.anhgiaotiep2_95"&amp;"360_MES_NamNH_110423")</f>
        <v>https://patadovietnam.edu.vn/tienganhgiaotiep_hn/?utm_source=Facebook&amp;utm_medium=MES&amp;utm_term=NEW_UnitedStates_2045_none_110423&amp;utm_content=saletructiep_UnitedStates.anhgiaotiep2.2045.giaotiep_PTATT_LD153&amp;utm_campaign=UnitedStates.giaotiep.anhgiaotiep2_95360_MES_NamNH_110423</v>
      </c>
      <c r="U11" s="110" t="s">
        <v>1149</v>
      </c>
    </row>
    <row r="12">
      <c r="A12" s="72">
        <v>45027.0</v>
      </c>
      <c r="B12" s="60" t="s">
        <v>1134</v>
      </c>
      <c r="C12" s="67" t="str">
        <f>IFERROR(__xludf.DUMMYFUNCTION("""COMPUTED_VALUE"""),"LD153")</f>
        <v>LD153</v>
      </c>
      <c r="D12" s="55" t="s">
        <v>42</v>
      </c>
      <c r="E12" s="55" t="s">
        <v>79</v>
      </c>
      <c r="F12" s="55" t="s">
        <v>129</v>
      </c>
      <c r="G12" s="55">
        <v>2045.0</v>
      </c>
      <c r="H12" s="55" t="s">
        <v>1137</v>
      </c>
      <c r="I12" s="55" t="s">
        <v>1150</v>
      </c>
      <c r="J12" s="55" t="s">
        <v>1151</v>
      </c>
      <c r="K12" s="55" t="s">
        <v>61</v>
      </c>
      <c r="L12" s="55">
        <v>95360.0</v>
      </c>
      <c r="M12" s="55" t="s">
        <v>78</v>
      </c>
      <c r="N12" s="55" t="s">
        <v>79</v>
      </c>
      <c r="O12" s="55" t="s">
        <v>224</v>
      </c>
      <c r="P12" s="55" t="s">
        <v>110</v>
      </c>
      <c r="Q12" s="67" t="str">
        <f>IFERROR(__xludf.DUMMYFUNCTION("""COMPUTED_VALUE"""),"Australia.giaotiep.anhgiaotiep2_95360_MES_NamNH_110423")</f>
        <v>Australia.giaotiep.anhgiaotiep2_95360_MES_NamNH_110423</v>
      </c>
      <c r="R12" s="67" t="str">
        <f>IFERROR(__xludf.DUMMYFUNCTION("""COMPUTED_VALUE"""),"NEW_Australia_2045_none_110423")</f>
        <v>NEW_Australia_2045_none_110423</v>
      </c>
      <c r="S12" s="67" t="str">
        <f>IFERROR(__xludf.DUMMYFUNCTION("""COMPUTED_VALUE"""),"saletructiep_Australia.anhgiaotiep2.2045.giaotiep_PTATT_LD153")</f>
        <v>saletructiep_Australia.anhgiaotiep2.2045.giaotiep_PTATT_LD153</v>
      </c>
      <c r="T12" s="107" t="str">
        <f>IFERROR(__xludf.DUMMYFUNCTION("""COMPUTED_VALUE"""),"https://patadovietnam.edu.vn/tienganhgiaotiep_hn/?utm_source=Facebook&amp;utm_medium=MES&amp;utm_term=NEW_Australia_2045_none_110423&amp;utm_content=saletructiep_Australia.anhgiaotiep2.2045.giaotiep_PTATT_LD153&amp;utm_campaign=Australia.giaotiep.anhgiaotiep2_95360_MES_N"&amp;"amNH_110423")</f>
        <v>https://patadovietnam.edu.vn/tienganhgiaotiep_hn/?utm_source=Facebook&amp;utm_medium=MES&amp;utm_term=NEW_Australia_2045_none_110423&amp;utm_content=saletructiep_Australia.anhgiaotiep2.2045.giaotiep_PTATT_LD153&amp;utm_campaign=Australia.giaotiep.anhgiaotiep2_95360_MES_NamNH_110423</v>
      </c>
      <c r="U12" s="110" t="s">
        <v>1154</v>
      </c>
    </row>
    <row r="13">
      <c r="A13" s="72">
        <v>45751.0</v>
      </c>
      <c r="B13" s="75" t="s">
        <v>1134</v>
      </c>
      <c r="C13" s="67" t="str">
        <f>IFERROR(__xludf.DUMMYFUNCTION("""COMPUTED_VALUE"""),"LD153")</f>
        <v>LD153</v>
      </c>
      <c r="D13" s="55" t="s">
        <v>6653</v>
      </c>
      <c r="E13" s="55" t="s">
        <v>69</v>
      </c>
      <c r="F13" s="55" t="s">
        <v>133</v>
      </c>
      <c r="G13" s="55">
        <v>1840.0</v>
      </c>
      <c r="H13" s="55" t="s">
        <v>1137</v>
      </c>
      <c r="I13" s="115" t="s">
        <v>1266</v>
      </c>
      <c r="J13" s="95" t="s">
        <v>1490</v>
      </c>
      <c r="K13" s="55" t="s">
        <v>61</v>
      </c>
      <c r="L13" s="55" t="s">
        <v>1264</v>
      </c>
      <c r="M13" s="55" t="s">
        <v>78</v>
      </c>
      <c r="N13" s="55" t="s">
        <v>6656</v>
      </c>
      <c r="O13" s="55" t="s">
        <v>224</v>
      </c>
      <c r="P13" s="55" t="s">
        <v>110</v>
      </c>
      <c r="Q13" s="67" t="str">
        <f>IFERROR(__xludf.DUMMYFUNCTION("""COMPUTED_VALUE"""),"Japan.giaotiep.JHCVS_LHV.9822_INS_NamNH_040425")</f>
        <v>Japan.giaotiep.JHCVS_LHV.9822_INS_NamNH_040425</v>
      </c>
      <c r="R13" s="67" t="str">
        <f>IFERROR(__xludf.DUMMYFUNCTION("""COMPUTED_VALUE"""),"NEW_Japan_1840_none_040425")</f>
        <v>NEW_Japan_1840_none_040425</v>
      </c>
      <c r="S13" s="67" t="str">
        <f>IFERROR(__xludf.DUMMYFUNCTION("""COMPUTED_VALUE"""),"saletructiep_Japan.JHCVS.1840.JHCVS_PTATT_LD153")</f>
        <v>saletructiep_Japan.JHCVS.1840.JHCVS_PTATT_LD153</v>
      </c>
      <c r="T13" s="107" t="str">
        <f>IFERROR(__xludf.DUMMYFUNCTION("""COMPUTED_VALUE"""),"https://patadovietnam.edu.vn/tienganhgiaotiep_hn/?utm_source=Instagram&amp;utm_medium=CVS&amp;utm_term=NEW_Japan_1840_none_040425&amp;utm_content=saletructiep_Japan.JHCVS.1840.JHCVS_PTATT_LD153&amp;utm_campaign=Japan.giaotiep.JHCVS_LHV.9822_INS_NamNH_040425")</f>
        <v>https://patadovietnam.edu.vn/tienganhgiaotiep_hn/?utm_source=Instagram&amp;utm_medium=CVS&amp;utm_term=NEW_Japan_1840_none_040425&amp;utm_content=saletructiep_Japan.JHCVS.1840.JHCVS_PTATT_LD153&amp;utm_campaign=Japan.giaotiep.JHCVS_LHV.9822_INS_NamNH_040425</v>
      </c>
      <c r="U13" s="110" t="s">
        <v>6659</v>
      </c>
    </row>
    <row r="14">
      <c r="A14" s="72">
        <v>45751.0</v>
      </c>
      <c r="B14" s="75" t="s">
        <v>1134</v>
      </c>
      <c r="C14" s="67" t="str">
        <f>IFERROR(__xludf.DUMMYFUNCTION("""COMPUTED_VALUE"""),"LD153")</f>
        <v>LD153</v>
      </c>
      <c r="D14" s="55" t="s">
        <v>6653</v>
      </c>
      <c r="E14" s="55" t="s">
        <v>79</v>
      </c>
      <c r="F14" s="55" t="s">
        <v>625</v>
      </c>
      <c r="G14" s="55">
        <v>1840.0</v>
      </c>
      <c r="H14" s="55" t="s">
        <v>1137</v>
      </c>
      <c r="I14" s="115" t="s">
        <v>6660</v>
      </c>
      <c r="J14" s="95" t="s">
        <v>6661</v>
      </c>
      <c r="K14" s="55" t="s">
        <v>61</v>
      </c>
      <c r="L14" s="55" t="s">
        <v>6662</v>
      </c>
      <c r="M14" s="55" t="s">
        <v>78</v>
      </c>
      <c r="N14" s="55" t="s">
        <v>6656</v>
      </c>
      <c r="O14" s="55" t="s">
        <v>224</v>
      </c>
      <c r="P14" s="55" t="s">
        <v>110</v>
      </c>
      <c r="Q14" s="67" t="str">
        <f>IFERROR(__xludf.DUMMYFUNCTION("""COMPUTED_VALUE"""),"KoreaSouth.giaotiep.JHMES_LHV.9823_INS_NamNH_040425")</f>
        <v>KoreaSouth.giaotiep.JHMES_LHV.9823_INS_NamNH_040425</v>
      </c>
      <c r="R14" s="67" t="str">
        <f>IFERROR(__xludf.DUMMYFUNCTION("""COMPUTED_VALUE"""),"NEW_KoreaSouth_1840_none_040425")</f>
        <v>NEW_KoreaSouth_1840_none_040425</v>
      </c>
      <c r="S14" s="67" t="str">
        <f>IFERROR(__xludf.DUMMYFUNCTION("""COMPUTED_VALUE"""),"saletructiep_KoreaSouth.JHMES.1840.JHMES_PTATT_LD153")</f>
        <v>saletructiep_KoreaSouth.JHMES.1840.JHMES_PTATT_LD153</v>
      </c>
      <c r="T14" s="107" t="str">
        <f>IFERROR(__xludf.DUMMYFUNCTION("""COMPUTED_VALUE"""),"https://patadovietnam.edu.vn/tienganhgiaotiep_hn/?utm_source=Instagram&amp;utm_medium=MES&amp;utm_term=NEW_KoreaSouth_1840_none_040425&amp;utm_content=saletructiep_KoreaSouth.JHMES.1840.JHMES_PTATT_LD153&amp;utm_campaign=KoreaSouth.giaotiep.JHMES_LHV.9823_INS_NamNH_04042"&amp;"5")</f>
        <v>https://patadovietnam.edu.vn/tienganhgiaotiep_hn/?utm_source=Instagram&amp;utm_medium=MES&amp;utm_term=NEW_KoreaSouth_1840_none_040425&amp;utm_content=saletructiep_KoreaSouth.JHMES.1840.JHMES_PTATT_LD153&amp;utm_campaign=KoreaSouth.giaotiep.JHMES_LHV.9823_INS_NamNH_040425</v>
      </c>
      <c r="U14" s="110" t="s">
        <v>6665</v>
      </c>
    </row>
    <row r="15">
      <c r="A15" s="72">
        <v>45751.0</v>
      </c>
      <c r="B15" s="75" t="s">
        <v>1134</v>
      </c>
      <c r="C15" s="67" t="str">
        <f>IFERROR(__xludf.DUMMYFUNCTION("""COMPUTED_VALUE"""),"LD153")</f>
        <v>LD153</v>
      </c>
      <c r="D15" s="55" t="s">
        <v>6653</v>
      </c>
      <c r="E15" s="55" t="s">
        <v>69</v>
      </c>
      <c r="F15" s="55" t="s">
        <v>674</v>
      </c>
      <c r="G15" s="55">
        <v>1840.0</v>
      </c>
      <c r="H15" s="55" t="s">
        <v>1137</v>
      </c>
      <c r="I15" s="115" t="s">
        <v>1275</v>
      </c>
      <c r="J15" s="95" t="s">
        <v>6666</v>
      </c>
      <c r="K15" s="55" t="s">
        <v>61</v>
      </c>
      <c r="L15" s="55" t="s">
        <v>1264</v>
      </c>
      <c r="M15" s="55" t="s">
        <v>78</v>
      </c>
      <c r="N15" s="55" t="s">
        <v>6656</v>
      </c>
      <c r="O15" s="55" t="s">
        <v>224</v>
      </c>
      <c r="P15" s="55" t="s">
        <v>110</v>
      </c>
      <c r="Q15" s="67" t="str">
        <f>IFERROR(__xludf.DUMMYFUNCTION("""COMPUTED_VALUE"""),"Europe.giaotiep.JHCVS_LHV.9822_INS_NamNH_040425")</f>
        <v>Europe.giaotiep.JHCVS_LHV.9822_INS_NamNH_040425</v>
      </c>
      <c r="R15" s="67" t="str">
        <f>IFERROR(__xludf.DUMMYFUNCTION("""COMPUTED_VALUE"""),"NEW_Europe_1840_none_040425")</f>
        <v>NEW_Europe_1840_none_040425</v>
      </c>
      <c r="S15" s="67" t="str">
        <f>IFERROR(__xludf.DUMMYFUNCTION("""COMPUTED_VALUE"""),"saletructiep_Europe.JHCVS.1840.JHCVS_PTATT_LD153")</f>
        <v>saletructiep_Europe.JHCVS.1840.JHCVS_PTATT_LD153</v>
      </c>
      <c r="T15" s="107" t="str">
        <f>IFERROR(__xludf.DUMMYFUNCTION("""COMPUTED_VALUE"""),"https://patadovietnam.edu.vn/tienganhgiaotiep_hn/?utm_source=Instagram&amp;utm_medium=CVS&amp;utm_term=NEW_Europe_1840_none_040425&amp;utm_content=saletructiep_Europe.JHCVS.1840.JHCVS_PTATT_LD153&amp;utm_campaign=Europe.giaotiep.JHCVS_LHV.9822_INS_NamNH_040425")</f>
        <v>https://patadovietnam.edu.vn/tienganhgiaotiep_hn/?utm_source=Instagram&amp;utm_medium=CVS&amp;utm_term=NEW_Europe_1840_none_040425&amp;utm_content=saletructiep_Europe.JHCVS.1840.JHCVS_PTATT_LD153&amp;utm_campaign=Europe.giaotiep.JHCVS_LHV.9822_INS_NamNH_040425</v>
      </c>
      <c r="U15" s="110" t="s">
        <v>6669</v>
      </c>
    </row>
    <row r="16">
      <c r="A16" s="72">
        <v>45751.0</v>
      </c>
      <c r="B16" s="75" t="s">
        <v>1134</v>
      </c>
      <c r="C16" s="67" t="str">
        <f>IFERROR(__xludf.DUMMYFUNCTION("""COMPUTED_VALUE"""),"LD153")</f>
        <v>LD153</v>
      </c>
      <c r="D16" s="55" t="s">
        <v>6653</v>
      </c>
      <c r="E16" s="55" t="s">
        <v>79</v>
      </c>
      <c r="F16" s="55" t="s">
        <v>539</v>
      </c>
      <c r="G16" s="55">
        <v>1840.0</v>
      </c>
      <c r="H16" s="55" t="s">
        <v>1137</v>
      </c>
      <c r="I16" s="115" t="s">
        <v>1931</v>
      </c>
      <c r="J16" s="95" t="s">
        <v>6671</v>
      </c>
      <c r="K16" s="55" t="s">
        <v>61</v>
      </c>
      <c r="L16" s="55" t="s">
        <v>1264</v>
      </c>
      <c r="M16" s="55" t="s">
        <v>78</v>
      </c>
      <c r="N16" s="55" t="s">
        <v>6656</v>
      </c>
      <c r="O16" s="55" t="s">
        <v>224</v>
      </c>
      <c r="P16" s="55" t="s">
        <v>110</v>
      </c>
      <c r="Q16" s="67" t="str">
        <f>IFERROR(__xludf.DUMMYFUNCTION("""COMPUTED_VALUE"""),"ALL.giaotiep.JHMES_LHV.9822_INS_NamNH_040425")</f>
        <v>ALL.giaotiep.JHMES_LHV.9822_INS_NamNH_040425</v>
      </c>
      <c r="R16" s="67" t="str">
        <f>IFERROR(__xludf.DUMMYFUNCTION("""COMPUTED_VALUE"""),"NEW_ALL_1840_none_040425")</f>
        <v>NEW_ALL_1840_none_040425</v>
      </c>
      <c r="S16" s="67" t="str">
        <f>IFERROR(__xludf.DUMMYFUNCTION("""COMPUTED_VALUE"""),"saletructiep_ALL.JHMES.1840.JHMES_PTATT_LD153")</f>
        <v>saletructiep_ALL.JHMES.1840.JHMES_PTATT_LD153</v>
      </c>
      <c r="T16" s="107" t="str">
        <f>IFERROR(__xludf.DUMMYFUNCTION("""COMPUTED_VALUE"""),"https://patadovietnam.edu.vn/tienganhgiaotiep_hn/?utm_source=Instagram&amp;utm_medium=MES&amp;utm_term=NEW_ALL_1840_none_040425&amp;utm_content=saletructiep_ALL.JHMES.1840.JHMES_PTATT_LD153&amp;utm_campaign=ALL.giaotiep.JHMES_LHV.9822_INS_NamNH_040425")</f>
        <v>https://patadovietnam.edu.vn/tienganhgiaotiep_hn/?utm_source=Instagram&amp;utm_medium=MES&amp;utm_term=NEW_ALL_1840_none_040425&amp;utm_content=saletructiep_ALL.JHMES.1840.JHMES_PTATT_LD153&amp;utm_campaign=ALL.giaotiep.JHMES_LHV.9822_INS_NamNH_040425</v>
      </c>
      <c r="U16" s="110" t="s">
        <v>6673</v>
      </c>
    </row>
    <row r="17">
      <c r="A17" s="72">
        <v>45751.0</v>
      </c>
      <c r="B17" s="75" t="s">
        <v>1134</v>
      </c>
      <c r="C17" s="67" t="str">
        <f>IFERROR(__xludf.DUMMYFUNCTION("""COMPUTED_VALUE"""),"LD153")</f>
        <v>LD153</v>
      </c>
      <c r="D17" s="55" t="s">
        <v>6653</v>
      </c>
      <c r="E17" s="55" t="s">
        <v>79</v>
      </c>
      <c r="F17" s="55" t="s">
        <v>539</v>
      </c>
      <c r="G17" s="55">
        <v>1840.0</v>
      </c>
      <c r="H17" s="55" t="s">
        <v>1137</v>
      </c>
      <c r="I17" s="115" t="s">
        <v>6676</v>
      </c>
      <c r="J17" s="95" t="s">
        <v>6677</v>
      </c>
      <c r="K17" s="55" t="s">
        <v>61</v>
      </c>
      <c r="L17" s="55" t="s">
        <v>1264</v>
      </c>
      <c r="M17" s="55" t="s">
        <v>78</v>
      </c>
      <c r="N17" s="55" t="s">
        <v>6656</v>
      </c>
      <c r="O17" s="55" t="s">
        <v>224</v>
      </c>
      <c r="P17" s="55" t="s">
        <v>110</v>
      </c>
      <c r="Q17" s="67" t="str">
        <f>IFERROR(__xludf.DUMMYFUNCTION("""COMPUTED_VALUE"""),"ALL.giaotiep.JHMES2_LHV.9822_INS_NamNH_040425")</f>
        <v>ALL.giaotiep.JHMES2_LHV.9822_INS_NamNH_040425</v>
      </c>
      <c r="R17" s="67" t="str">
        <f>IFERROR(__xludf.DUMMYFUNCTION("""COMPUTED_VALUE"""),"NEW_ALL_1840_none_040425")</f>
        <v>NEW_ALL_1840_none_040425</v>
      </c>
      <c r="S17" s="67" t="str">
        <f>IFERROR(__xludf.DUMMYFUNCTION("""COMPUTED_VALUE"""),"saletructiep_ALL.JHMES2.1840.JHMES2_PTATT_LD153")</f>
        <v>saletructiep_ALL.JHMES2.1840.JHMES2_PTATT_LD153</v>
      </c>
      <c r="T17" s="107" t="str">
        <f>IFERROR(__xludf.DUMMYFUNCTION("""COMPUTED_VALUE"""),"https://patadovietnam.edu.vn/tienganhgiaotiep_hn/?utm_source=Instagram&amp;utm_medium=MES&amp;utm_term=NEW_ALL_1840_none_040425&amp;utm_content=saletructiep_ALL.JHMES2.1840.JHMES2_PTATT_LD153&amp;utm_campaign=ALL.giaotiep.JHMES2_LHV.9822_INS_NamNH_040425")</f>
        <v>https://patadovietnam.edu.vn/tienganhgiaotiep_hn/?utm_source=Instagram&amp;utm_medium=MES&amp;utm_term=NEW_ALL_1840_none_040425&amp;utm_content=saletructiep_ALL.JHMES2.1840.JHMES2_PTATT_LD153&amp;utm_campaign=ALL.giaotiep.JHMES2_LHV.9822_INS_NamNH_040425</v>
      </c>
      <c r="U17" s="110" t="s">
        <v>6680</v>
      </c>
    </row>
    <row r="18">
      <c r="A18" s="72">
        <v>45753.0</v>
      </c>
      <c r="B18" s="75" t="s">
        <v>1134</v>
      </c>
      <c r="C18" s="67" t="str">
        <f>IFERROR(__xludf.DUMMYFUNCTION("""COMPUTED_VALUE"""),"LD153")</f>
        <v>LD153</v>
      </c>
      <c r="D18" s="55" t="s">
        <v>6653</v>
      </c>
      <c r="E18" s="55" t="s">
        <v>69</v>
      </c>
      <c r="F18" s="55" t="s">
        <v>625</v>
      </c>
      <c r="G18" s="55">
        <v>1840.0</v>
      </c>
      <c r="H18" s="55" t="s">
        <v>1137</v>
      </c>
      <c r="I18" s="115" t="s">
        <v>1451</v>
      </c>
      <c r="J18" s="95" t="s">
        <v>1452</v>
      </c>
      <c r="K18" s="55" t="s">
        <v>61</v>
      </c>
      <c r="L18" s="55" t="s">
        <v>1264</v>
      </c>
      <c r="M18" s="55" t="s">
        <v>78</v>
      </c>
      <c r="N18" s="55" t="s">
        <v>6656</v>
      </c>
      <c r="O18" s="55" t="s">
        <v>224</v>
      </c>
      <c r="P18" s="55" t="s">
        <v>110</v>
      </c>
      <c r="Q18" s="67" t="str">
        <f>IFERROR(__xludf.DUMMYFUNCTION("""COMPUTED_VALUE"""),"KoreaSouth.giaotiep.JHCVS_LHV.9822_INS_NamNH_060425")</f>
        <v>KoreaSouth.giaotiep.JHCVS_LHV.9822_INS_NamNH_060425</v>
      </c>
      <c r="R18" s="67" t="str">
        <f>IFERROR(__xludf.DUMMYFUNCTION("""COMPUTED_VALUE"""),"NEW_KoreaSouth_1840_none_060425")</f>
        <v>NEW_KoreaSouth_1840_none_060425</v>
      </c>
      <c r="S18" s="67" t="str">
        <f>IFERROR(__xludf.DUMMYFUNCTION("""COMPUTED_VALUE"""),"saletructiep_KoreaSouth.JHCVS.1840.JHCVS_PTATT_LD153")</f>
        <v>saletructiep_KoreaSouth.JHCVS.1840.JHCVS_PTATT_LD153</v>
      </c>
      <c r="T18" s="107" t="str">
        <f>IFERROR(__xludf.DUMMYFUNCTION("""COMPUTED_VALUE"""),"https://patadovietnam.edu.vn/tienganhgiaotiep_hn/?utm_source=Instagram&amp;utm_medium=CVS&amp;utm_term=NEW_KoreaSouth_1840_none_060425&amp;utm_content=saletructiep_KoreaSouth.JHCVS.1840.JHCVS_PTATT_LD153&amp;utm_campaign=KoreaSouth.giaotiep.JHCVS_LHV.9822_INS_NamNH_06042"&amp;"5")</f>
        <v>https://patadovietnam.edu.vn/tienganhgiaotiep_hn/?utm_source=Instagram&amp;utm_medium=CVS&amp;utm_term=NEW_KoreaSouth_1840_none_060425&amp;utm_content=saletructiep_KoreaSouth.JHCVS.1840.JHCVS_PTATT_LD153&amp;utm_campaign=KoreaSouth.giaotiep.JHCVS_LHV.9822_INS_NamNH_060425</v>
      </c>
      <c r="U18" s="110" t="s">
        <v>6686</v>
      </c>
    </row>
    <row r="19">
      <c r="A19" s="72">
        <v>45753.0</v>
      </c>
      <c r="B19" s="75" t="s">
        <v>1134</v>
      </c>
      <c r="C19" s="67" t="str">
        <f>IFERROR(__xludf.DUMMYFUNCTION("""COMPUTED_VALUE"""),"LD153")</f>
        <v>LD153</v>
      </c>
      <c r="D19" s="55" t="s">
        <v>6653</v>
      </c>
      <c r="E19" s="55" t="s">
        <v>69</v>
      </c>
      <c r="F19" s="55" t="s">
        <v>539</v>
      </c>
      <c r="G19" s="55">
        <v>1840.0</v>
      </c>
      <c r="H19" s="55" t="s">
        <v>1137</v>
      </c>
      <c r="I19" s="115" t="s">
        <v>6687</v>
      </c>
      <c r="J19" s="95" t="s">
        <v>6688</v>
      </c>
      <c r="K19" s="55" t="s">
        <v>61</v>
      </c>
      <c r="L19" s="55" t="s">
        <v>6662</v>
      </c>
      <c r="M19" s="55" t="s">
        <v>78</v>
      </c>
      <c r="N19" s="55" t="s">
        <v>6656</v>
      </c>
      <c r="O19" s="55" t="s">
        <v>224</v>
      </c>
      <c r="P19" s="55" t="s">
        <v>110</v>
      </c>
      <c r="Q19" s="67" t="str">
        <f>IFERROR(__xludf.DUMMYFUNCTION("""COMPUTED_VALUE"""),"ALL.giaotiep.JHCVS_LHV.9823_INS_NamNH_060425")</f>
        <v>ALL.giaotiep.JHCVS_LHV.9823_INS_NamNH_060425</v>
      </c>
      <c r="R19" s="67" t="str">
        <f>IFERROR(__xludf.DUMMYFUNCTION("""COMPUTED_VALUE"""),"NEW_ALL_1840_none_060425")</f>
        <v>NEW_ALL_1840_none_060425</v>
      </c>
      <c r="S19" s="67" t="str">
        <f>IFERROR(__xludf.DUMMYFUNCTION("""COMPUTED_VALUE"""),"saletructiep_ALL.JHCVS.1840.JHCVS_PTATT_LD153")</f>
        <v>saletructiep_ALL.JHCVS.1840.JHCVS_PTATT_LD153</v>
      </c>
      <c r="T19" s="107" t="str">
        <f>IFERROR(__xludf.DUMMYFUNCTION("""COMPUTED_VALUE"""),"https://patadovietnam.edu.vn/tienganhgiaotiep_hn/?utm_source=Instagram&amp;utm_medium=CVS&amp;utm_term=NEW_ALL_1840_none_060425&amp;utm_content=saletructiep_ALL.JHCVS.1840.JHCVS_PTATT_LD153&amp;utm_campaign=ALL.giaotiep.JHCVS_LHV.9823_INS_NamNH_060425")</f>
        <v>https://patadovietnam.edu.vn/tienganhgiaotiep_hn/?utm_source=Instagram&amp;utm_medium=CVS&amp;utm_term=NEW_ALL_1840_none_060425&amp;utm_content=saletructiep_ALL.JHCVS.1840.JHCVS_PTATT_LD153&amp;utm_campaign=ALL.giaotiep.JHCVS_LHV.9823_INS_NamNH_060425</v>
      </c>
      <c r="U19" s="110" t="s">
        <v>6691</v>
      </c>
    </row>
    <row r="20">
      <c r="A20" s="72">
        <v>45753.0</v>
      </c>
      <c r="B20" s="75" t="s">
        <v>1134</v>
      </c>
      <c r="C20" s="67" t="str">
        <f>IFERROR(__xludf.DUMMYFUNCTION("""COMPUTED_VALUE"""),"LD153")</f>
        <v>LD153</v>
      </c>
      <c r="D20" s="55" t="s">
        <v>6653</v>
      </c>
      <c r="E20" s="55" t="s">
        <v>69</v>
      </c>
      <c r="F20" s="55" t="s">
        <v>539</v>
      </c>
      <c r="G20" s="55">
        <v>1840.0</v>
      </c>
      <c r="H20" s="55" t="s">
        <v>1137</v>
      </c>
      <c r="I20" s="115" t="s">
        <v>6694</v>
      </c>
      <c r="J20" s="95" t="s">
        <v>6695</v>
      </c>
      <c r="K20" s="55" t="s">
        <v>61</v>
      </c>
      <c r="L20" s="55" t="s">
        <v>6662</v>
      </c>
      <c r="M20" s="55" t="s">
        <v>78</v>
      </c>
      <c r="N20" s="55" t="s">
        <v>6656</v>
      </c>
      <c r="O20" s="55" t="s">
        <v>224</v>
      </c>
      <c r="P20" s="55" t="s">
        <v>110</v>
      </c>
      <c r="Q20" s="67" t="str">
        <f>IFERROR(__xludf.DUMMYFUNCTION("""COMPUTED_VALUE"""),"ALL.giaotiep.JHCVS2_LHV.9823_INS_NamNH_060425")</f>
        <v>ALL.giaotiep.JHCVS2_LHV.9823_INS_NamNH_060425</v>
      </c>
      <c r="R20" s="67" t="str">
        <f>IFERROR(__xludf.DUMMYFUNCTION("""COMPUTED_VALUE"""),"NEW_ALL_1840_none_060425")</f>
        <v>NEW_ALL_1840_none_060425</v>
      </c>
      <c r="S20" s="67" t="str">
        <f>IFERROR(__xludf.DUMMYFUNCTION("""COMPUTED_VALUE"""),"saletructiep_ALL.JHCVS2.1840.JHCVS2_PTATT_LD153")</f>
        <v>saletructiep_ALL.JHCVS2.1840.JHCVS2_PTATT_LD153</v>
      </c>
      <c r="T20" s="107" t="str">
        <f>IFERROR(__xludf.DUMMYFUNCTION("""COMPUTED_VALUE"""),"https://patadovietnam.edu.vn/tienganhgiaotiep_hn/?utm_source=Instagram&amp;utm_medium=CVS&amp;utm_term=NEW_ALL_1840_none_060425&amp;utm_content=saletructiep_ALL.JHCVS2.1840.JHCVS2_PTATT_LD153&amp;utm_campaign=ALL.giaotiep.JHCVS2_LHV.9823_INS_NamNH_060425")</f>
        <v>https://patadovietnam.edu.vn/tienganhgiaotiep_hn/?utm_source=Instagram&amp;utm_medium=CVS&amp;utm_term=NEW_ALL_1840_none_060425&amp;utm_content=saletructiep_ALL.JHCVS2.1840.JHCVS2_PTATT_LD153&amp;utm_campaign=ALL.giaotiep.JHCVS2_LHV.9823_INS_NamNH_060425</v>
      </c>
      <c r="U20" s="110" t="s">
        <v>6696</v>
      </c>
    </row>
    <row r="21">
      <c r="A21" s="72">
        <v>45753.0</v>
      </c>
      <c r="B21" s="75" t="s">
        <v>1229</v>
      </c>
      <c r="C21" s="67" t="str">
        <f>IFERROR(__xludf.DUMMYFUNCTION("""COMPUTED_VALUE"""),"LD164")</f>
        <v>LD164</v>
      </c>
      <c r="D21" s="55" t="s">
        <v>6653</v>
      </c>
      <c r="E21" s="55" t="s">
        <v>69</v>
      </c>
      <c r="F21" s="55" t="s">
        <v>133</v>
      </c>
      <c r="G21" s="55">
        <v>1840.0</v>
      </c>
      <c r="H21" s="55" t="s">
        <v>1137</v>
      </c>
      <c r="I21" s="115" t="s">
        <v>1266</v>
      </c>
      <c r="J21" s="95" t="s">
        <v>1490</v>
      </c>
      <c r="K21" s="55" t="s">
        <v>61</v>
      </c>
      <c r="L21" s="55" t="s">
        <v>1264</v>
      </c>
      <c r="M21" s="55" t="s">
        <v>78</v>
      </c>
      <c r="N21" s="55" t="s">
        <v>6656</v>
      </c>
      <c r="O21" s="55" t="s">
        <v>224</v>
      </c>
      <c r="P21" s="55" t="s">
        <v>110</v>
      </c>
      <c r="Q21" s="67" t="str">
        <f>IFERROR(__xludf.DUMMYFUNCTION("""COMPUTED_VALUE"""),"Japan.giaotiep.JHCVS_LHV.9822_INS_NamNH_060425")</f>
        <v>Japan.giaotiep.JHCVS_LHV.9822_INS_NamNH_060425</v>
      </c>
      <c r="R21" s="67" t="str">
        <f>IFERROR(__xludf.DUMMYFUNCTION("""COMPUTED_VALUE"""),"NEW_Japan_1840_none_060425")</f>
        <v>NEW_Japan_1840_none_060425</v>
      </c>
      <c r="S21" s="67" t="str">
        <f>IFERROR(__xludf.DUMMYFUNCTION("""COMPUTED_VALUE"""),"saletructiep_Japan.JHCVS.1840.JHCVS_PTATT_LD164")</f>
        <v>saletructiep_Japan.JHCVS.1840.JHCVS_PTATT_LD164</v>
      </c>
      <c r="T21" s="107" t="str">
        <f>IFERROR(__xludf.DUMMYFUNCTION("""COMPUTED_VALUE"""),"https://patadovietnam.edu.vn/gtjapan_nhn3/?utm_source=Instagram&amp;utm_medium=CVS&amp;utm_term=NEW_Japan_1840_none_060425&amp;utm_content=saletructiep_Japan.JHCVS.1840.JHCVS_PTATT_LD164&amp;utm_campaign=Japan.giaotiep.JHCVS_LHV.9822_INS_NamNH_060425")</f>
        <v>https://patadovietnam.edu.vn/gtjapan_nhn3/?utm_source=Instagram&amp;utm_medium=CVS&amp;utm_term=NEW_Japan_1840_none_060425&amp;utm_content=saletructiep_Japan.JHCVS.1840.JHCVS_PTATT_LD164&amp;utm_campaign=Japan.giaotiep.JHCVS_LHV.9822_INS_NamNH_060425</v>
      </c>
      <c r="U21" s="110" t="s">
        <v>6703</v>
      </c>
    </row>
    <row r="22">
      <c r="A22" s="72">
        <v>45758.0</v>
      </c>
      <c r="B22" s="75" t="s">
        <v>1134</v>
      </c>
      <c r="C22" s="67" t="str">
        <f>IFERROR(__xludf.DUMMYFUNCTION("""COMPUTED_VALUE"""),"LD153")</f>
        <v>LD153</v>
      </c>
      <c r="D22" s="55" t="s">
        <v>6653</v>
      </c>
      <c r="E22" s="55" t="s">
        <v>69</v>
      </c>
      <c r="F22" s="55" t="s">
        <v>674</v>
      </c>
      <c r="G22" s="55">
        <v>1840.0</v>
      </c>
      <c r="H22" s="55" t="s">
        <v>1137</v>
      </c>
      <c r="I22" s="115" t="s">
        <v>1636</v>
      </c>
      <c r="J22" s="95" t="s">
        <v>1637</v>
      </c>
      <c r="K22" s="55" t="s">
        <v>61</v>
      </c>
      <c r="L22" s="55" t="s">
        <v>1264</v>
      </c>
      <c r="M22" s="55" t="s">
        <v>78</v>
      </c>
      <c r="N22" s="55" t="s">
        <v>6656</v>
      </c>
      <c r="O22" s="55" t="s">
        <v>224</v>
      </c>
      <c r="P22" s="55" t="s">
        <v>110</v>
      </c>
      <c r="Q22" s="67" t="str">
        <f>IFERROR(__xludf.DUMMYFUNCTION("""COMPUTED_VALUE"""),"Europe.giaotiep.M416CVS_LHV.9822_INS_NamNH_110425")</f>
        <v>Europe.giaotiep.M416CVS_LHV.9822_INS_NamNH_110425</v>
      </c>
      <c r="R22" s="67" t="str">
        <f>IFERROR(__xludf.DUMMYFUNCTION("""COMPUTED_VALUE"""),"NEW_Europe_1840_none_110425")</f>
        <v>NEW_Europe_1840_none_110425</v>
      </c>
      <c r="S22" s="67" t="str">
        <f>IFERROR(__xludf.DUMMYFUNCTION("""COMPUTED_VALUE"""),"saletructiep_Europe.M416CVS.1840.M416CVS_PTATT_LD153")</f>
        <v>saletructiep_Europe.M416CVS.1840.M416CVS_PTATT_LD153</v>
      </c>
      <c r="T22" s="107" t="str">
        <f>IFERROR(__xludf.DUMMYFUNCTION("""COMPUTED_VALUE"""),"https://patadovietnam.edu.vn/tienganhgiaotiep_hn/?utm_source=Instagram&amp;utm_medium=CVS&amp;utm_term=NEW_Europe_1840_none_110425&amp;utm_content=saletructiep_Europe.M416CVS.1840.M416CVS_PTATT_LD153&amp;utm_campaign=Europe.giaotiep.M416CVS_LHV.9822_INS_NamNH_110425")</f>
        <v>https://patadovietnam.edu.vn/tienganhgiaotiep_hn/?utm_source=Instagram&amp;utm_medium=CVS&amp;utm_term=NEW_Europe_1840_none_110425&amp;utm_content=saletructiep_Europe.M416CVS.1840.M416CVS_PTATT_LD153&amp;utm_campaign=Europe.giaotiep.M416CVS_LHV.9822_INS_NamNH_110425</v>
      </c>
      <c r="U22" s="110" t="s">
        <v>6707</v>
      </c>
    </row>
    <row r="23">
      <c r="A23" s="72">
        <v>45758.0</v>
      </c>
      <c r="B23" s="60" t="s">
        <v>1229</v>
      </c>
      <c r="C23" s="67" t="str">
        <f>IFERROR(__xludf.DUMMYFUNCTION("""COMPUTED_VALUE"""),"LD164")</f>
        <v>LD164</v>
      </c>
      <c r="D23" s="55" t="s">
        <v>6653</v>
      </c>
      <c r="E23" s="55" t="s">
        <v>69</v>
      </c>
      <c r="F23" s="55" t="s">
        <v>133</v>
      </c>
      <c r="G23" s="55">
        <v>1840.0</v>
      </c>
      <c r="H23" s="55" t="s">
        <v>1137</v>
      </c>
      <c r="I23" s="115" t="s">
        <v>1661</v>
      </c>
      <c r="J23" s="95" t="s">
        <v>1662</v>
      </c>
      <c r="K23" s="55" t="s">
        <v>61</v>
      </c>
      <c r="L23" s="55" t="s">
        <v>1264</v>
      </c>
      <c r="M23" s="55" t="s">
        <v>78</v>
      </c>
      <c r="N23" s="55" t="s">
        <v>6656</v>
      </c>
      <c r="O23" s="55" t="s">
        <v>224</v>
      </c>
      <c r="P23" s="55" t="s">
        <v>110</v>
      </c>
      <c r="Q23" s="67" t="str">
        <f>IFERROR(__xludf.DUMMYFUNCTION("""COMPUTED_VALUE"""),"Japan.giaotiep.M416CVS_LHV.9822_INS_NamNH_110425")</f>
        <v>Japan.giaotiep.M416CVS_LHV.9822_INS_NamNH_110425</v>
      </c>
      <c r="R23" s="67" t="str">
        <f>IFERROR(__xludf.DUMMYFUNCTION("""COMPUTED_VALUE"""),"NEW_Japan_1840_none_110425")</f>
        <v>NEW_Japan_1840_none_110425</v>
      </c>
      <c r="S23" s="67" t="str">
        <f>IFERROR(__xludf.DUMMYFUNCTION("""COMPUTED_VALUE"""),"saletructiep_Japan.M416CVS.1840.M416CVS_PTATT_LD164")</f>
        <v>saletructiep_Japan.M416CVS.1840.M416CVS_PTATT_LD164</v>
      </c>
      <c r="T23" s="107" t="str">
        <f>IFERROR(__xludf.DUMMYFUNCTION("""COMPUTED_VALUE"""),"https://patadovietnam.edu.vn/gtjapan_nhn3/?utm_source=Instagram&amp;utm_medium=CVS&amp;utm_term=NEW_Japan_1840_none_110425&amp;utm_content=saletructiep_Japan.M416CVS.1840.M416CVS_PTATT_LD164&amp;utm_campaign=Japan.giaotiep.M416CVS_LHV.9822_INS_NamNH_110425")</f>
        <v>https://patadovietnam.edu.vn/gtjapan_nhn3/?utm_source=Instagram&amp;utm_medium=CVS&amp;utm_term=NEW_Japan_1840_none_110425&amp;utm_content=saletructiep_Japan.M416CVS.1840.M416CVS_PTATT_LD164&amp;utm_campaign=Japan.giaotiep.M416CVS_LHV.9822_INS_NamNH_110425</v>
      </c>
      <c r="U23" s="110" t="s">
        <v>6712</v>
      </c>
    </row>
    <row r="24">
      <c r="A24" s="72">
        <v>45758.0</v>
      </c>
      <c r="B24" s="75" t="s">
        <v>1134</v>
      </c>
      <c r="C24" s="67" t="str">
        <f>IFERROR(__xludf.DUMMYFUNCTION("""COMPUTED_VALUE"""),"LD153")</f>
        <v>LD153</v>
      </c>
      <c r="D24" s="55" t="s">
        <v>6653</v>
      </c>
      <c r="E24" s="55" t="s">
        <v>79</v>
      </c>
      <c r="F24" s="55" t="s">
        <v>539</v>
      </c>
      <c r="G24" s="55">
        <v>1840.0</v>
      </c>
      <c r="H24" s="55" t="s">
        <v>1137</v>
      </c>
      <c r="I24" s="115" t="s">
        <v>6713</v>
      </c>
      <c r="J24" s="95" t="s">
        <v>6715</v>
      </c>
      <c r="K24" s="55" t="s">
        <v>61</v>
      </c>
      <c r="L24" s="55" t="s">
        <v>1264</v>
      </c>
      <c r="M24" s="55" t="s">
        <v>78</v>
      </c>
      <c r="N24" s="55" t="s">
        <v>6656</v>
      </c>
      <c r="O24" s="55" t="s">
        <v>224</v>
      </c>
      <c r="P24" s="55" t="s">
        <v>110</v>
      </c>
      <c r="Q24" s="67" t="str">
        <f>IFERROR(__xludf.DUMMYFUNCTION("""COMPUTED_VALUE"""),"ALL.giaotiep.M416MES_LHV.9822_INS_NamNH_110425")</f>
        <v>ALL.giaotiep.M416MES_LHV.9822_INS_NamNH_110425</v>
      </c>
      <c r="R24" s="67" t="str">
        <f>IFERROR(__xludf.DUMMYFUNCTION("""COMPUTED_VALUE"""),"NEW_ALL_1840_none_110425")</f>
        <v>NEW_ALL_1840_none_110425</v>
      </c>
      <c r="S24" s="67" t="str">
        <f>IFERROR(__xludf.DUMMYFUNCTION("""COMPUTED_VALUE"""),"saletructiep_ALL.M416MES.1840.M416MES_PTATT_LD153")</f>
        <v>saletructiep_ALL.M416MES.1840.M416MES_PTATT_LD153</v>
      </c>
      <c r="T24" s="107" t="str">
        <f>IFERROR(__xludf.DUMMYFUNCTION("""COMPUTED_VALUE"""),"https://patadovietnam.edu.vn/tienganhgiaotiep_hn/?utm_source=Instagram&amp;utm_medium=MES&amp;utm_term=NEW_ALL_1840_none_110425&amp;utm_content=saletructiep_ALL.M416MES.1840.M416MES_PTATT_LD153&amp;utm_campaign=ALL.giaotiep.M416MES_LHV.9822_INS_NamNH_110425")</f>
        <v>https://patadovietnam.edu.vn/tienganhgiaotiep_hn/?utm_source=Instagram&amp;utm_medium=MES&amp;utm_term=NEW_ALL_1840_none_110425&amp;utm_content=saletructiep_ALL.M416MES.1840.M416MES_PTATT_LD153&amp;utm_campaign=ALL.giaotiep.M416MES_LHV.9822_INS_NamNH_110425</v>
      </c>
      <c r="U24" s="110" t="s">
        <v>6717</v>
      </c>
    </row>
    <row r="25">
      <c r="A25" s="72">
        <v>45758.0</v>
      </c>
      <c r="B25" s="75" t="s">
        <v>1134</v>
      </c>
      <c r="C25" s="67" t="str">
        <f>IFERROR(__xludf.DUMMYFUNCTION("""COMPUTED_VALUE"""),"LD153")</f>
        <v>LD153</v>
      </c>
      <c r="D25" s="55" t="s">
        <v>6653</v>
      </c>
      <c r="E25" s="55" t="s">
        <v>69</v>
      </c>
      <c r="F25" s="55" t="s">
        <v>674</v>
      </c>
      <c r="G25" s="55">
        <v>1840.0</v>
      </c>
      <c r="H25" s="55" t="s">
        <v>1137</v>
      </c>
      <c r="I25" s="115" t="s">
        <v>2628</v>
      </c>
      <c r="J25" s="95" t="s">
        <v>6720</v>
      </c>
      <c r="K25" s="55" t="s">
        <v>61</v>
      </c>
      <c r="L25" s="55" t="s">
        <v>6662</v>
      </c>
      <c r="M25" s="55" t="s">
        <v>78</v>
      </c>
      <c r="N25" s="55" t="s">
        <v>6656</v>
      </c>
      <c r="O25" s="55" t="s">
        <v>224</v>
      </c>
      <c r="P25" s="55" t="s">
        <v>110</v>
      </c>
      <c r="Q25" s="67" t="str">
        <f>IFERROR(__xludf.DUMMYFUNCTION("""COMPUTED_VALUE"""),"Europe.giaotiep.molopchauau_LHV.9823_INS_NamNH_110425")</f>
        <v>Europe.giaotiep.molopchauau_LHV.9823_INS_NamNH_110425</v>
      </c>
      <c r="R25" s="67" t="str">
        <f>IFERROR(__xludf.DUMMYFUNCTION("""COMPUTED_VALUE"""),"NEW_Europe_1840_none_110425")</f>
        <v>NEW_Europe_1840_none_110425</v>
      </c>
      <c r="S25" s="67" t="str">
        <f>IFERROR(__xludf.DUMMYFUNCTION("""COMPUTED_VALUE"""),"saletructiep_Europe.molopchauau.1840.molopchauau_PTATT_LD153")</f>
        <v>saletructiep_Europe.molopchauau.1840.molopchauau_PTATT_LD153</v>
      </c>
      <c r="T25" s="107" t="str">
        <f>IFERROR(__xludf.DUMMYFUNCTION("""COMPUTED_VALUE"""),"https://patadovietnam.edu.vn/tienganhgiaotiep_hn/?utm_source=Instagram&amp;utm_medium=CVS&amp;utm_term=NEW_Europe_1840_none_110425&amp;utm_content=saletructiep_Europe.molopchauau.1840.molopchauau_PTATT_LD153&amp;utm_campaign=Europe.giaotiep.molopchauau_LHV.9823_INS_NamNH"&amp;"_110425")</f>
        <v>https://patadovietnam.edu.vn/tienganhgiaotiep_hn/?utm_source=Instagram&amp;utm_medium=CVS&amp;utm_term=NEW_Europe_1840_none_110425&amp;utm_content=saletructiep_Europe.molopchauau.1840.molopchauau_PTATT_LD153&amp;utm_campaign=Europe.giaotiep.molopchauau_LHV.9823_INS_NamNH_110425</v>
      </c>
      <c r="U25" s="111" t="s">
        <v>6723</v>
      </c>
    </row>
    <row r="26">
      <c r="A26" s="72">
        <v>45758.0</v>
      </c>
      <c r="B26" s="75" t="s">
        <v>1229</v>
      </c>
      <c r="C26" s="67" t="str">
        <f>IFERROR(__xludf.DUMMYFUNCTION("""COMPUTED_VALUE"""),"LD164")</f>
        <v>LD164</v>
      </c>
      <c r="D26" s="55" t="s">
        <v>6653</v>
      </c>
      <c r="E26" s="55" t="s">
        <v>69</v>
      </c>
      <c r="F26" s="55" t="s">
        <v>133</v>
      </c>
      <c r="G26" s="55">
        <v>1840.0</v>
      </c>
      <c r="H26" s="55" t="s">
        <v>1137</v>
      </c>
      <c r="I26" s="115" t="s">
        <v>6724</v>
      </c>
      <c r="J26" s="95" t="s">
        <v>6725</v>
      </c>
      <c r="K26" s="55" t="s">
        <v>61</v>
      </c>
      <c r="L26" s="55" t="s">
        <v>1264</v>
      </c>
      <c r="M26" s="55" t="s">
        <v>78</v>
      </c>
      <c r="N26" s="55" t="s">
        <v>6656</v>
      </c>
      <c r="O26" s="55" t="s">
        <v>224</v>
      </c>
      <c r="P26" s="55" t="s">
        <v>110</v>
      </c>
      <c r="Q26" s="67" t="str">
        <f>IFERROR(__xludf.DUMMYFUNCTION("""COMPUTED_VALUE"""),"Japan.giaotiep.M396mot_LHV.9822_INS_NamNH_110425")</f>
        <v>Japan.giaotiep.M396mot_LHV.9822_INS_NamNH_110425</v>
      </c>
      <c r="R26" s="67" t="str">
        <f>IFERROR(__xludf.DUMMYFUNCTION("""COMPUTED_VALUE"""),"NEW_Japan_1840_none_110425")</f>
        <v>NEW_Japan_1840_none_110425</v>
      </c>
      <c r="S26" s="67" t="str">
        <f>IFERROR(__xludf.DUMMYFUNCTION("""COMPUTED_VALUE"""),"saletructiep_Japan.M396mot.1840.M396mot_PTATT_LD164")</f>
        <v>saletructiep_Japan.M396mot.1840.M396mot_PTATT_LD164</v>
      </c>
      <c r="T26" s="107" t="str">
        <f>IFERROR(__xludf.DUMMYFUNCTION("""COMPUTED_VALUE"""),"https://patadovietnam.edu.vn/gtjapan_nhn3/?utm_source=Instagram&amp;utm_medium=CVS&amp;utm_term=NEW_Japan_1840_none_110425&amp;utm_content=saletructiep_Japan.M396mot.1840.M396mot_PTATT_LD164&amp;utm_campaign=Japan.giaotiep.M396mot_LHV.9822_INS_NamNH_110425")</f>
        <v>https://patadovietnam.edu.vn/gtjapan_nhn3/?utm_source=Instagram&amp;utm_medium=CVS&amp;utm_term=NEW_Japan_1840_none_110425&amp;utm_content=saletructiep_Japan.M396mot.1840.M396mot_PTATT_LD164&amp;utm_campaign=Japan.giaotiep.M396mot_LHV.9822_INS_NamNH_110425</v>
      </c>
      <c r="U26" s="110" t="s">
        <v>6728</v>
      </c>
    </row>
    <row r="27">
      <c r="A27" s="72">
        <v>45758.0</v>
      </c>
      <c r="B27" s="75" t="s">
        <v>1134</v>
      </c>
      <c r="C27" s="67" t="str">
        <f>IFERROR(__xludf.DUMMYFUNCTION("""COMPUTED_VALUE"""),"LD153")</f>
        <v>LD153</v>
      </c>
      <c r="D27" s="55" t="s">
        <v>6653</v>
      </c>
      <c r="E27" s="55" t="s">
        <v>79</v>
      </c>
      <c r="F27" s="55" t="s">
        <v>539</v>
      </c>
      <c r="G27" s="55">
        <v>1840.0</v>
      </c>
      <c r="H27" s="55" t="s">
        <v>1137</v>
      </c>
      <c r="I27" s="115" t="s">
        <v>6729</v>
      </c>
      <c r="J27" s="95" t="s">
        <v>6730</v>
      </c>
      <c r="K27" s="55" t="s">
        <v>61</v>
      </c>
      <c r="L27" s="55" t="s">
        <v>1264</v>
      </c>
      <c r="M27" s="55" t="s">
        <v>78</v>
      </c>
      <c r="N27" s="55" t="s">
        <v>6656</v>
      </c>
      <c r="O27" s="55" t="s">
        <v>224</v>
      </c>
      <c r="P27" s="55" t="s">
        <v>110</v>
      </c>
      <c r="Q27" s="67" t="str">
        <f>IFERROR(__xludf.DUMMYFUNCTION("""COMPUTED_VALUE"""),"ALL.giaotiep.anhnote_LHV.9822_INS_NamNH_110425")</f>
        <v>ALL.giaotiep.anhnote_LHV.9822_INS_NamNH_110425</v>
      </c>
      <c r="R27" s="67" t="str">
        <f>IFERROR(__xludf.DUMMYFUNCTION("""COMPUTED_VALUE"""),"NEW_ALL_1840_none_110425")</f>
        <v>NEW_ALL_1840_none_110425</v>
      </c>
      <c r="S27" s="67" t="str">
        <f>IFERROR(__xludf.DUMMYFUNCTION("""COMPUTED_VALUE"""),"saletructiep_ALL.anhnote.1840.anhnote_PTATT_LD153")</f>
        <v>saletructiep_ALL.anhnote.1840.anhnote_PTATT_LD153</v>
      </c>
      <c r="T27" s="107" t="str">
        <f>IFERROR(__xludf.DUMMYFUNCTION("""COMPUTED_VALUE"""),"https://patadovietnam.edu.vn/tienganhgiaotiep_hn/?utm_source=Instagram&amp;utm_medium=MES&amp;utm_term=NEW_ALL_1840_none_110425&amp;utm_content=saletructiep_ALL.anhnote.1840.anhnote_PTATT_LD153&amp;utm_campaign=ALL.giaotiep.anhnote_LHV.9822_INS_NamNH_110425")</f>
        <v>https://patadovietnam.edu.vn/tienganhgiaotiep_hn/?utm_source=Instagram&amp;utm_medium=MES&amp;utm_term=NEW_ALL_1840_none_110425&amp;utm_content=saletructiep_ALL.anhnote.1840.anhnote_PTATT_LD153&amp;utm_campaign=ALL.giaotiep.anhnote_LHV.9822_INS_NamNH_110425</v>
      </c>
      <c r="U27" s="116"/>
    </row>
    <row r="28">
      <c r="A28" s="72">
        <v>45758.0</v>
      </c>
      <c r="B28" s="75" t="s">
        <v>1134</v>
      </c>
      <c r="C28" s="67" t="str">
        <f>IFERROR(__xludf.DUMMYFUNCTION("""COMPUTED_VALUE"""),"LD153")</f>
        <v>LD153</v>
      </c>
      <c r="D28" s="55" t="s">
        <v>6653</v>
      </c>
      <c r="E28" s="55" t="s">
        <v>79</v>
      </c>
      <c r="F28" s="55" t="s">
        <v>539</v>
      </c>
      <c r="G28" s="55">
        <v>1840.0</v>
      </c>
      <c r="H28" s="55" t="s">
        <v>1137</v>
      </c>
      <c r="I28" s="115" t="s">
        <v>6731</v>
      </c>
      <c r="J28" s="95" t="s">
        <v>6732</v>
      </c>
      <c r="K28" s="55" t="s">
        <v>61</v>
      </c>
      <c r="L28" s="55" t="s">
        <v>1264</v>
      </c>
      <c r="M28" s="55" t="s">
        <v>78</v>
      </c>
      <c r="N28" s="55" t="s">
        <v>6656</v>
      </c>
      <c r="O28" s="55" t="s">
        <v>224</v>
      </c>
      <c r="P28" s="55" t="s">
        <v>110</v>
      </c>
      <c r="Q28" s="67" t="str">
        <f>IFERROR(__xludf.DUMMYFUNCTION("""COMPUTED_VALUE"""),"ALL.giaotiep.qcpatado1_LHV.9822_INS_NamNH_110425")</f>
        <v>ALL.giaotiep.qcpatado1_LHV.9822_INS_NamNH_110425</v>
      </c>
      <c r="R28" s="67" t="str">
        <f>IFERROR(__xludf.DUMMYFUNCTION("""COMPUTED_VALUE"""),"NEW_ALL_1840_none_110425")</f>
        <v>NEW_ALL_1840_none_110425</v>
      </c>
      <c r="S28" s="67" t="str">
        <f>IFERROR(__xludf.DUMMYFUNCTION("""COMPUTED_VALUE"""),"saletructiep_ALL.qcpatado1.1840.qcpatado1_PTATT_LD153")</f>
        <v>saletructiep_ALL.qcpatado1.1840.qcpatado1_PTATT_LD153</v>
      </c>
      <c r="T28" s="107" t="str">
        <f>IFERROR(__xludf.DUMMYFUNCTION("""COMPUTED_VALUE"""),"https://patadovietnam.edu.vn/tienganhgiaotiep_hn/?utm_source=Instagram&amp;utm_medium=MES&amp;utm_term=NEW_ALL_1840_none_110425&amp;utm_content=saletructiep_ALL.qcpatado1.1840.qcpatado1_PTATT_LD153&amp;utm_campaign=ALL.giaotiep.qcpatado1_LHV.9822_INS_NamNH_110425")</f>
        <v>https://patadovietnam.edu.vn/tienganhgiaotiep_hn/?utm_source=Instagram&amp;utm_medium=MES&amp;utm_term=NEW_ALL_1840_none_110425&amp;utm_content=saletructiep_ALL.qcpatado1.1840.qcpatado1_PTATT_LD153&amp;utm_campaign=ALL.giaotiep.qcpatado1_LHV.9822_INS_NamNH_110425</v>
      </c>
      <c r="U28" s="116"/>
    </row>
    <row r="29">
      <c r="A29" s="72">
        <v>45758.0</v>
      </c>
      <c r="B29" s="55"/>
      <c r="C29" s="67"/>
      <c r="D29" s="55"/>
      <c r="E29" s="55"/>
      <c r="F29" s="55"/>
      <c r="G29" s="55"/>
      <c r="H29" s="55"/>
      <c r="I29" s="115"/>
      <c r="J29" s="95"/>
      <c r="K29" s="55"/>
      <c r="L29" s="55"/>
      <c r="M29" s="55"/>
      <c r="N29" s="55"/>
      <c r="O29" s="55"/>
      <c r="P29" s="55"/>
      <c r="Q29" s="67"/>
      <c r="R29" s="67"/>
      <c r="S29" s="67"/>
      <c r="T29" s="67"/>
      <c r="U29" s="116"/>
    </row>
    <row r="30">
      <c r="A30" s="72"/>
      <c r="B30" s="55"/>
      <c r="C30" s="67"/>
      <c r="D30" s="55"/>
      <c r="E30" s="55"/>
      <c r="F30" s="55"/>
      <c r="G30" s="55"/>
      <c r="H30" s="55"/>
      <c r="I30" s="115"/>
      <c r="J30" s="95"/>
      <c r="K30" s="55"/>
      <c r="L30" s="55"/>
      <c r="M30" s="55"/>
      <c r="N30" s="55"/>
      <c r="O30" s="55"/>
      <c r="P30" s="55"/>
      <c r="Q30" s="67"/>
      <c r="R30" s="67"/>
      <c r="S30" s="67"/>
      <c r="T30" s="67"/>
      <c r="U30" s="116"/>
    </row>
  </sheetData>
  <customSheetViews>
    <customSheetView guid="{B9FC2153-85FE-4597-B01F-2D8A49A1D991}" filter="1" showAutoFilter="1">
      <autoFilter ref="$A$1:$U$13"/>
    </customSheetView>
    <customSheetView guid="{24EFF1FC-519A-4255-99C0-8464DF1D4EED}" filter="1" showAutoFilter="1">
      <autoFilter ref="$A$1:$U$13"/>
    </customSheetView>
  </customSheetViews>
  <dataValidations>
    <dataValidation type="list" allowBlank="1" showErrorMessage="1" sqref="D9:D30">
      <formula1>Data!$C$2:$C30</formula1>
    </dataValidation>
    <dataValidation type="list" allowBlank="1" showErrorMessage="1" sqref="E9:E30">
      <formula1>Data!$D$2:$D30</formula1>
    </dataValidation>
    <dataValidation type="list" allowBlank="1" showErrorMessage="1" sqref="N9:N30">
      <formula1>Data!$K$3:$K30</formula1>
    </dataValidation>
    <dataValidation type="list" allowBlank="1" showErrorMessage="1" sqref="B9:B30">
      <formula1>Data!$A$2:$A30</formula1>
    </dataValidation>
    <dataValidation type="list" allowBlank="1" showErrorMessage="1" sqref="O9:O30">
      <formula1>Data!$O$2:$O30</formula1>
    </dataValidation>
    <dataValidation type="list" allowBlank="1" showErrorMessage="1" sqref="M9:M30">
      <formula1>Data!$P$2:$P30</formula1>
    </dataValidation>
    <dataValidation type="custom" allowBlank="1" showDropDown="1" sqref="A9:A30">
      <formula1>OR(NOT(ISERROR(DATEVALUE(A9))), AND(ISNUMBER(A9), LEFT(CELL("format", A9))="D"))</formula1>
    </dataValidation>
    <dataValidation type="list" allowBlank="1" showErrorMessage="1" sqref="L9:L30">
      <formula1>Data!$I$2:$I30</formula1>
    </dataValidation>
    <dataValidation type="list" allowBlank="1" showErrorMessage="1" sqref="F9:F30">
      <formula1>Data!$F$2:$F30</formula1>
    </dataValidation>
    <dataValidation type="list" allowBlank="1" showErrorMessage="1" sqref="H9:H30">
      <formula1>Data!$H$2:$H30</formula1>
    </dataValidation>
    <dataValidation type="list" allowBlank="1" showErrorMessage="1" sqref="P9:P30">
      <formula1>Data!$M$2:$M30</formula1>
    </dataValidation>
  </dataValidations>
  <hyperlinks>
    <hyperlink r:id="rId1" ref="C3"/>
    <hyperlink r:id="rId2" ref="B9"/>
    <hyperlink r:id="rId3" ref="B10"/>
    <hyperlink r:id="rId4" ref="T10"/>
    <hyperlink r:id="rId5" ref="U10"/>
    <hyperlink r:id="rId6" ref="B11"/>
    <hyperlink r:id="rId7" ref="T11"/>
    <hyperlink r:id="rId8" ref="U11"/>
    <hyperlink r:id="rId9" ref="B12"/>
    <hyperlink r:id="rId10" ref="T12"/>
    <hyperlink r:id="rId11" ref="U12"/>
    <hyperlink r:id="rId12" ref="B13"/>
    <hyperlink r:id="rId13" ref="T13"/>
    <hyperlink r:id="rId14" ref="U13"/>
    <hyperlink r:id="rId15" ref="B14"/>
    <hyperlink r:id="rId16" ref="T14"/>
    <hyperlink r:id="rId17" ref="U14"/>
    <hyperlink r:id="rId18" ref="B15"/>
    <hyperlink r:id="rId19" ref="T15"/>
    <hyperlink r:id="rId20" ref="U15"/>
    <hyperlink r:id="rId21" ref="B16"/>
    <hyperlink r:id="rId22" ref="T16"/>
    <hyperlink r:id="rId23" ref="U16"/>
    <hyperlink r:id="rId24" ref="B17"/>
    <hyperlink r:id="rId25" ref="T17"/>
    <hyperlink r:id="rId26" ref="U17"/>
    <hyperlink r:id="rId27" ref="B18"/>
    <hyperlink r:id="rId28" ref="T18"/>
    <hyperlink r:id="rId29" ref="U18"/>
    <hyperlink r:id="rId30" ref="B19"/>
    <hyperlink r:id="rId31" ref="T19"/>
    <hyperlink r:id="rId32" ref="U19"/>
    <hyperlink r:id="rId33" ref="B20"/>
    <hyperlink r:id="rId34" ref="T20"/>
    <hyperlink r:id="rId35" ref="U20"/>
    <hyperlink r:id="rId36" ref="B21"/>
    <hyperlink r:id="rId37" ref="T21"/>
    <hyperlink r:id="rId38" ref="U21"/>
    <hyperlink r:id="rId39" ref="B22"/>
    <hyperlink r:id="rId40" ref="T22"/>
    <hyperlink r:id="rId41" ref="U22"/>
    <hyperlink r:id="rId42" ref="B23"/>
    <hyperlink r:id="rId43" ref="T23"/>
    <hyperlink r:id="rId44" ref="U23"/>
    <hyperlink r:id="rId45" ref="B24"/>
    <hyperlink r:id="rId46" ref="T24"/>
    <hyperlink r:id="rId47" ref="U24"/>
    <hyperlink r:id="rId48" ref="B25"/>
    <hyperlink r:id="rId49" ref="T25"/>
    <hyperlink r:id="rId50" ref="U25"/>
    <hyperlink r:id="rId51" ref="B26"/>
    <hyperlink r:id="rId52" ref="T26"/>
    <hyperlink r:id="rId53" ref="U26"/>
    <hyperlink r:id="rId54" ref="B27"/>
    <hyperlink r:id="rId55" ref="T27"/>
    <hyperlink r:id="rId56" ref="B28"/>
    <hyperlink r:id="rId57" ref="T28"/>
  </hyperlinks>
  <drawing r:id="rId58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2.63"/>
    <col customWidth="1" min="2" max="2" width="37.5"/>
    <col customWidth="1" min="5" max="5" width="13.88"/>
    <col customWidth="1" min="9" max="9" width="31.88"/>
    <col customWidth="1" min="17" max="17" width="34.5"/>
    <col customWidth="1" min="18" max="18" width="26.0"/>
    <col customWidth="1" min="20" max="20" width="25.63"/>
  </cols>
  <sheetData>
    <row r="1" ht="18.75" hidden="1" customHeight="1">
      <c r="A1" s="1"/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/>
      <c r="H1" s="5" t="s">
        <v>6</v>
      </c>
      <c r="I1" s="5" t="s">
        <v>7</v>
      </c>
      <c r="J1" s="5" t="s">
        <v>9</v>
      </c>
      <c r="K1" s="5"/>
      <c r="L1" s="7"/>
      <c r="M1" s="7"/>
      <c r="N1" s="7"/>
      <c r="O1" s="7"/>
      <c r="P1" s="7"/>
      <c r="Q1" s="7"/>
      <c r="R1" s="7"/>
      <c r="S1" s="7"/>
      <c r="T1" s="7"/>
    </row>
    <row r="2" hidden="1">
      <c r="A2" s="1"/>
      <c r="B2" s="10" t="s">
        <v>12</v>
      </c>
      <c r="C2" s="10" t="s">
        <v>8</v>
      </c>
      <c r="D2" s="10" t="s">
        <v>10</v>
      </c>
      <c r="E2" s="10" t="s">
        <v>16</v>
      </c>
      <c r="F2" s="10" t="s">
        <v>17</v>
      </c>
      <c r="G2" s="10"/>
      <c r="H2" s="11" t="s">
        <v>15</v>
      </c>
      <c r="I2" s="10" t="s">
        <v>22</v>
      </c>
      <c r="J2" s="10" t="s">
        <v>1</v>
      </c>
      <c r="K2" s="10"/>
      <c r="L2" s="10" t="s">
        <v>2</v>
      </c>
      <c r="M2" s="10" t="s">
        <v>24</v>
      </c>
      <c r="N2" s="10" t="s">
        <v>4</v>
      </c>
      <c r="O2" s="12" t="s">
        <v>23</v>
      </c>
      <c r="P2" s="10" t="s">
        <v>5</v>
      </c>
      <c r="Q2" s="13" t="s">
        <v>29</v>
      </c>
      <c r="R2" s="13" t="s">
        <v>31</v>
      </c>
      <c r="S2" s="13" t="s">
        <v>15</v>
      </c>
      <c r="T2" s="14" t="s">
        <v>32</v>
      </c>
    </row>
    <row r="3" hidden="1">
      <c r="A3" s="1"/>
      <c r="B3" s="16">
        <v>221118.0</v>
      </c>
      <c r="C3" s="20" t="s">
        <v>35</v>
      </c>
      <c r="D3" s="22"/>
      <c r="E3" s="22" t="s">
        <v>37</v>
      </c>
      <c r="F3" s="22" t="s">
        <v>39</v>
      </c>
      <c r="G3" s="22"/>
      <c r="H3" s="24" t="s">
        <v>40</v>
      </c>
      <c r="I3" s="22" t="s">
        <v>41</v>
      </c>
      <c r="J3" s="22" t="s">
        <v>42</v>
      </c>
      <c r="K3" s="22"/>
      <c r="L3" s="22" t="s">
        <v>43</v>
      </c>
      <c r="M3" s="22" t="s">
        <v>45</v>
      </c>
      <c r="N3" s="22" t="s">
        <v>46</v>
      </c>
      <c r="O3" s="22"/>
      <c r="P3" s="22" t="s">
        <v>47</v>
      </c>
      <c r="Q3" s="24" t="str">
        <f>J3</f>
        <v>Facebook</v>
      </c>
      <c r="R3" s="26" t="str">
        <f>L3</f>
        <v>FA</v>
      </c>
      <c r="S3" s="28" t="str">
        <f>CONCATENATE(E3,"_",N3,"_",L3,"_",M3,"_",B3,"_",P3)</f>
        <v>Rongfly_HN_FA_TAH_221118_Badt</v>
      </c>
      <c r="T3" s="28" t="str">
        <f>CONCATENATE(F3,"_",E3,B3,"_",P3)</f>
        <v>sinhvien1823_Rongfly221118_Badt</v>
      </c>
    </row>
    <row r="4" hidden="1">
      <c r="A4" s="1"/>
      <c r="B4" s="7"/>
      <c r="C4" s="7"/>
      <c r="D4" s="17"/>
      <c r="E4" s="32" t="s">
        <v>48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idden="1">
      <c r="A5" s="1"/>
      <c r="B5" s="7"/>
      <c r="C5" s="7"/>
      <c r="D5" s="35"/>
      <c r="E5" s="32" t="s">
        <v>49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hidden="1">
      <c r="A6" s="1"/>
      <c r="B6" s="7"/>
      <c r="C6" s="7"/>
      <c r="D6" s="36"/>
      <c r="E6" s="37" t="s">
        <v>50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6" t="s">
        <v>0</v>
      </c>
      <c r="B7" s="6" t="s">
        <v>8</v>
      </c>
      <c r="C7" s="39" t="s">
        <v>10</v>
      </c>
      <c r="D7" s="6" t="s">
        <v>1</v>
      </c>
      <c r="E7" s="6" t="s">
        <v>2</v>
      </c>
      <c r="F7" s="6" t="s">
        <v>4</v>
      </c>
      <c r="G7" s="9" t="s">
        <v>11</v>
      </c>
      <c r="H7" s="6" t="s">
        <v>13</v>
      </c>
      <c r="I7" s="6" t="s">
        <v>14</v>
      </c>
      <c r="J7" s="39" t="s">
        <v>15</v>
      </c>
      <c r="K7" s="42" t="s">
        <v>18</v>
      </c>
      <c r="L7" s="39" t="s">
        <v>19</v>
      </c>
      <c r="M7" s="39" t="s">
        <v>20</v>
      </c>
      <c r="N7" s="39" t="s">
        <v>21</v>
      </c>
      <c r="O7" s="42" t="s">
        <v>23</v>
      </c>
      <c r="P7" s="39" t="s">
        <v>25</v>
      </c>
      <c r="Q7" s="6" t="s">
        <v>26</v>
      </c>
      <c r="R7" s="6" t="s">
        <v>27</v>
      </c>
      <c r="S7" s="6" t="s">
        <v>54</v>
      </c>
      <c r="T7" s="39" t="s">
        <v>30</v>
      </c>
    </row>
    <row r="8">
      <c r="A8" s="45" t="s">
        <v>33</v>
      </c>
      <c r="B8" s="17" t="s">
        <v>34</v>
      </c>
      <c r="C8" s="46" t="s">
        <v>55</v>
      </c>
      <c r="D8" s="19" t="s">
        <v>36</v>
      </c>
      <c r="E8" s="21" t="s">
        <v>36</v>
      </c>
      <c r="F8" s="19" t="s">
        <v>36</v>
      </c>
      <c r="G8" s="47"/>
      <c r="H8" s="19" t="s">
        <v>36</v>
      </c>
      <c r="I8" s="25" t="s">
        <v>1126</v>
      </c>
      <c r="J8" s="25" t="s">
        <v>44</v>
      </c>
      <c r="K8" s="23" t="s">
        <v>38</v>
      </c>
      <c r="L8" s="19" t="s">
        <v>36</v>
      </c>
      <c r="M8" s="19" t="s">
        <v>36</v>
      </c>
      <c r="N8" s="19" t="s">
        <v>36</v>
      </c>
      <c r="O8" s="19" t="s">
        <v>36</v>
      </c>
      <c r="P8" s="19" t="s">
        <v>36</v>
      </c>
      <c r="Q8" s="47" t="s">
        <v>62</v>
      </c>
      <c r="R8" s="47" t="s">
        <v>63</v>
      </c>
      <c r="S8" s="48" t="s">
        <v>64</v>
      </c>
      <c r="T8" s="49" t="s">
        <v>67</v>
      </c>
    </row>
    <row r="9">
      <c r="A9" s="50">
        <v>44183.0</v>
      </c>
      <c r="B9" s="43" t="s">
        <v>73</v>
      </c>
      <c r="C9" s="58" t="str">
        <f>IFERROR(__xludf.DUMMYFUNCTION("FILTER(VLOOKUP(B9:B662,Data!A:B,2,FALSE),B9:B662&lt;&gt;"""")"),"LD012")</f>
        <v>LD012</v>
      </c>
      <c r="D9" s="44" t="s">
        <v>42</v>
      </c>
      <c r="E9" s="44" t="s">
        <v>53</v>
      </c>
      <c r="F9" s="44" t="s">
        <v>60</v>
      </c>
      <c r="G9" s="44" t="s">
        <v>61</v>
      </c>
      <c r="H9" s="44" t="s">
        <v>1131</v>
      </c>
      <c r="I9" s="44" t="s">
        <v>1132</v>
      </c>
      <c r="J9" s="44" t="s">
        <v>88</v>
      </c>
      <c r="K9" s="44" t="s">
        <v>61</v>
      </c>
      <c r="L9" s="44" t="s">
        <v>70</v>
      </c>
      <c r="M9" s="44" t="s">
        <v>116</v>
      </c>
      <c r="N9" s="44" t="s">
        <v>70</v>
      </c>
      <c r="O9" s="44" t="s">
        <v>70</v>
      </c>
      <c r="P9" s="44" t="s">
        <v>70</v>
      </c>
      <c r="Q9" s="58" t="str">
        <f>IFERROR(__xludf.DUMMYFUNCTION("FILTER(IF( A9:A662&lt;&gt;"""",IF(H9:H662&lt;&gt;"""",IF(I9:I662&lt;&gt;"""",IF(L9:L662&lt;&gt;"""",IF(N9:N662&lt;&gt;"""",I9:I662&amp;""_""&amp;L9:L662&amp;""_""&amp;N9:N662&amp;""_""&amp;H9:H662&amp;""_""&amp;TRIM(A9:A662),""!!!""),""!!!""),""!!!""),""!!!""),""!!!""),B9:B662&lt;&gt;"""")"),"Blog_NON_NON_HuyLG_181220")</f>
        <v>Blog_NON_NON_HuyLG_181220</v>
      </c>
      <c r="R9" s="58" t="str">
        <f>IFERROR(__xludf.DUMMYFUNCTION("FILTER(IF( A9:A662&lt;&gt;"""",IF(P9:P662&lt;&gt;"""",IF(F9:F662&lt;&gt;"""",IF(G9:G662&lt;&gt;"""",IF(K9:K662&lt;&gt;"""",P9:P662&amp;""_""&amp;F9:F662&amp;""_""&amp;G9:G662&amp;""_""&amp;K9:K662&amp;""_""&amp;TRIM(A9:A662),""!!!""),""!!!""),""!!!""),""!!!""),""!!!""),B9:B662&lt;&gt;"""")"),"NON_NONE_none_none_181220")</f>
        <v>NON_NONE_none_none_181220</v>
      </c>
      <c r="S9" s="58" t="str">
        <f>IFERROR(__xludf.DUMMYFUNCTION("FILTER(IF( M9:M662&lt;&gt;"""",IF(J9:J662&lt;&gt;"""",IF(O9:O662&lt;&gt;"""",IF(C9:C662&lt;&gt;"""",M9:M662&amp;""_""&amp;J9:J662&amp;""_""&amp;O9:O662&amp;""_""&amp;C9:C662,""!!!""),""!!!""),""!!!""),""!!!""),B9:B662&lt;&gt;"""")"),"khac_Content2_NON_LD012")</f>
        <v>khac_Content2_NON_LD012</v>
      </c>
      <c r="T9" s="103" t="str">
        <f>IFERROR(__xludf.DUMMYFUNCTION("FILTER(B9:B662&amp;if(right(B9:B662,1)=""/"",""?"",""/?"")&amp;""utm_source=""&amp;D9:D662&amp;""&amp;utm_medium=""&amp;E9:E662&amp;""&amp;utm_term=""&amp;R9:R662&amp;""&amp;utm_content=""&amp;S9:S662&amp;""&amp;utm_campaign=""&amp;Q9:Q662,B9:B662&lt;&gt;"""")"),"https://patadovietnam.edu.vn/blog/?utm_source=Facebook&amp;utm_medium=SEE&amp;utm_term=NON_NONE_none_none_181220&amp;utm_content=khac_Content2_NON_LD012&amp;utm_campaign=Blog_NON_NON_HuyLG_181220")</f>
        <v>https://patadovietnam.edu.vn/blog/?utm_source=Facebook&amp;utm_medium=SEE&amp;utm_term=NON_NONE_none_none_181220&amp;utm_content=khac_Content2_NON_LD012&amp;utm_campaign=Blog_NON_NON_HuyLG_181220</v>
      </c>
    </row>
    <row r="10">
      <c r="A10" s="72">
        <v>45670.0</v>
      </c>
      <c r="B10" s="60" t="s">
        <v>206</v>
      </c>
      <c r="C10" s="67" t="str">
        <f>IFERROR(__xludf.DUMMYFUNCTION("""COMPUTED_VALUE"""),"LD044")</f>
        <v>LD044</v>
      </c>
      <c r="D10" s="55" t="s">
        <v>188</v>
      </c>
      <c r="E10" s="55" t="s">
        <v>193</v>
      </c>
      <c r="F10" s="55" t="s">
        <v>539</v>
      </c>
      <c r="G10" s="55">
        <v>2040.0</v>
      </c>
      <c r="H10" s="55" t="s">
        <v>1131</v>
      </c>
      <c r="I10" s="55" t="s">
        <v>6751</v>
      </c>
      <c r="J10" s="55" t="s">
        <v>6751</v>
      </c>
      <c r="K10" s="143" t="s">
        <v>61</v>
      </c>
      <c r="L10" s="143" t="s">
        <v>317</v>
      </c>
      <c r="M10" s="55" t="s">
        <v>78</v>
      </c>
      <c r="N10" s="55" t="s">
        <v>193</v>
      </c>
      <c r="O10" s="55" t="s">
        <v>415</v>
      </c>
      <c r="P10" s="143" t="s">
        <v>110</v>
      </c>
      <c r="Q10" s="67" t="str">
        <f>IFERROR(__xludf.DUMMYFUNCTION("""COMPUTED_VALUE"""),"ALL.IETLS_XuBen.5018_SEA_HuyLG_130125")</f>
        <v>ALL.IETLS_XuBen.5018_SEA_HuyLG_130125</v>
      </c>
      <c r="R10" s="67" t="str">
        <f>IFERROR(__xludf.DUMMYFUNCTION("""COMPUTED_VALUE"""),"NEW_ALL_2040_none_130125")</f>
        <v>NEW_ALL_2040_none_130125</v>
      </c>
      <c r="S10" s="67" t="str">
        <f>IFERROR(__xludf.DUMMYFUNCTION("""COMPUTED_VALUE"""),"saletructiep_ALL.IETLS_TATTPVN_LD044")</f>
        <v>saletructiep_ALL.IETLS_TATTPVN_LD044</v>
      </c>
      <c r="T10" s="107" t="str">
        <f>IFERROR(__xludf.DUMMYFUNCTION("""COMPUTED_VALUE"""),"https://patadovietnam.edu.vn/khoa-hoc-ielts/?utm_source=Google&amp;utm_medium=SEA&amp;utm_term=NEW_ALL_2040_none_130125&amp;utm_content=saletructiep_ALL.IETLS_TATTPVN_LD044&amp;utm_campaign=ALL.IETLS_XuBen.5018_SEA_HuyLG_130125")</f>
        <v>https://patadovietnam.edu.vn/khoa-hoc-ielts/?utm_source=Google&amp;utm_medium=SEA&amp;utm_term=NEW_ALL_2040_none_130125&amp;utm_content=saletructiep_ALL.IETLS_TATTPVN_LD044&amp;utm_campaign=ALL.IETLS_XuBen.5018_SEA_HuyLG_130125</v>
      </c>
    </row>
    <row r="11">
      <c r="A11" s="72">
        <v>45698.0</v>
      </c>
      <c r="B11" s="60" t="s">
        <v>6754</v>
      </c>
      <c r="C11" s="67" t="str">
        <f>IFERROR(__xludf.DUMMYFUNCTION("""COMPUTED_VALUE"""),"LD237")</f>
        <v>LD237</v>
      </c>
      <c r="D11" s="55" t="s">
        <v>188</v>
      </c>
      <c r="E11" s="55" t="s">
        <v>193</v>
      </c>
      <c r="F11" s="55" t="s">
        <v>539</v>
      </c>
      <c r="G11" s="55">
        <v>2040.0</v>
      </c>
      <c r="H11" s="55" t="s">
        <v>1131</v>
      </c>
      <c r="I11" s="55" t="s">
        <v>3065</v>
      </c>
      <c r="J11" s="55" t="s">
        <v>3065</v>
      </c>
      <c r="K11" s="143" t="s">
        <v>61</v>
      </c>
      <c r="L11" s="143" t="s">
        <v>317</v>
      </c>
      <c r="M11" s="55" t="s">
        <v>78</v>
      </c>
      <c r="N11" s="55" t="s">
        <v>193</v>
      </c>
      <c r="O11" s="55" t="s">
        <v>415</v>
      </c>
      <c r="P11" s="143" t="s">
        <v>110</v>
      </c>
      <c r="Q11" s="67" t="str">
        <f>IFERROR(__xludf.DUMMYFUNCTION("""COMPUTED_VALUE"""),"ALL.Giaotiep_XuBen.5018_SEA_HuyLG_100225")</f>
        <v>ALL.Giaotiep_XuBen.5018_SEA_HuyLG_100225</v>
      </c>
      <c r="R11" s="67" t="str">
        <f>IFERROR(__xludf.DUMMYFUNCTION("""COMPUTED_VALUE"""),"NEW_ALL_2040_none_100225")</f>
        <v>NEW_ALL_2040_none_100225</v>
      </c>
      <c r="S11" s="67" t="str">
        <f>IFERROR(__xludf.DUMMYFUNCTION("""COMPUTED_VALUE"""),"saletructiep_ALL.Giaotiep_TATTPVN_LD237")</f>
        <v>saletructiep_ALL.Giaotiep_TATTPVN_LD237</v>
      </c>
      <c r="T11" s="107" t="str">
        <f>IFERROR(__xludf.DUMMYFUNCTION("""COMPUTED_VALUE"""),"https://patadovietnam.edu.vn/hlg_gt_sea/?utm_source=Google&amp;utm_medium=SEA&amp;utm_term=NEW_ALL_2040_none_100225&amp;utm_content=saletructiep_ALL.Giaotiep_TATTPVN_LD237&amp;utm_campaign=ALL.Giaotiep_XuBen.5018_SEA_HuyLG_100225")</f>
        <v>https://patadovietnam.edu.vn/hlg_gt_sea/?utm_source=Google&amp;utm_medium=SEA&amp;utm_term=NEW_ALL_2040_none_100225&amp;utm_content=saletructiep_ALL.Giaotiep_TATTPVN_LD237&amp;utm_campaign=ALL.Giaotiep_XuBen.5018_SEA_HuyLG_100225</v>
      </c>
    </row>
    <row r="12">
      <c r="A12" s="72">
        <v>45670.0</v>
      </c>
      <c r="B12" s="60" t="s">
        <v>777</v>
      </c>
      <c r="C12" s="67" t="str">
        <f>IFERROR(__xludf.DUMMYFUNCTION("""COMPUTED_VALUE"""),"LD068")</f>
        <v>LD068</v>
      </c>
      <c r="D12" s="55" t="s">
        <v>188</v>
      </c>
      <c r="E12" s="55" t="s">
        <v>193</v>
      </c>
      <c r="F12" s="55" t="s">
        <v>539</v>
      </c>
      <c r="G12" s="55">
        <v>2040.0</v>
      </c>
      <c r="H12" s="55" t="s">
        <v>1131</v>
      </c>
      <c r="I12" s="55" t="s">
        <v>6759</v>
      </c>
      <c r="J12" s="55" t="s">
        <v>6759</v>
      </c>
      <c r="K12" s="143" t="s">
        <v>61</v>
      </c>
      <c r="L12" s="143" t="s">
        <v>317</v>
      </c>
      <c r="M12" s="55" t="s">
        <v>78</v>
      </c>
      <c r="N12" s="55" t="s">
        <v>193</v>
      </c>
      <c r="O12" s="55" t="s">
        <v>415</v>
      </c>
      <c r="P12" s="143" t="s">
        <v>110</v>
      </c>
      <c r="Q12" s="67" t="str">
        <f>IFERROR(__xludf.DUMMYFUNCTION("""COMPUTED_VALUE"""),"ALL.Toeic_XuBen.5018_SEA_HuyLG_130125")</f>
        <v>ALL.Toeic_XuBen.5018_SEA_HuyLG_130125</v>
      </c>
      <c r="R12" s="67" t="str">
        <f>IFERROR(__xludf.DUMMYFUNCTION("""COMPUTED_VALUE"""),"NEW_ALL_2040_none_130125")</f>
        <v>NEW_ALL_2040_none_130125</v>
      </c>
      <c r="S12" s="67" t="str">
        <f>IFERROR(__xludf.DUMMYFUNCTION("""COMPUTED_VALUE"""),"saletructiep_ALL.Toeic_TATTPVN_LD068")</f>
        <v>saletructiep_ALL.Toeic_TATTPVN_LD068</v>
      </c>
      <c r="T12" s="107" t="str">
        <f>IFERROR(__xludf.DUMMYFUNCTION("""COMPUTED_VALUE"""),"https://patadovietnam.edu.vn/khoa-hoc-giao-tiep/?utm_source=Google&amp;utm_medium=SEA&amp;utm_term=NEW_ALL_2040_none_130125&amp;utm_content=saletructiep_ALL.Toeic_TATTPVN_LD068&amp;utm_campaign=ALL.Toeic_XuBen.5018_SEA_HuyLG_130125")</f>
        <v>https://patadovietnam.edu.vn/khoa-hoc-giao-tiep/?utm_source=Google&amp;utm_medium=SEA&amp;utm_term=NEW_ALL_2040_none_130125&amp;utm_content=saletructiep_ALL.Toeic_TATTPVN_LD068&amp;utm_campaign=ALL.Toeic_XuBen.5018_SEA_HuyLG_130125</v>
      </c>
    </row>
    <row r="13">
      <c r="A13" s="72">
        <v>45699.0</v>
      </c>
      <c r="B13" s="60" t="s">
        <v>6754</v>
      </c>
      <c r="C13" s="67" t="str">
        <f>IFERROR(__xludf.DUMMYFUNCTION("""COMPUTED_VALUE"""),"LD237")</f>
        <v>LD237</v>
      </c>
      <c r="D13" s="55" t="s">
        <v>188</v>
      </c>
      <c r="E13" s="55" t="s">
        <v>193</v>
      </c>
      <c r="F13" s="55" t="s">
        <v>539</v>
      </c>
      <c r="G13" s="44" t="s">
        <v>61</v>
      </c>
      <c r="H13" s="55" t="s">
        <v>1131</v>
      </c>
      <c r="I13" s="55" t="s">
        <v>6762</v>
      </c>
      <c r="J13" s="55" t="s">
        <v>1130</v>
      </c>
      <c r="K13" s="143" t="s">
        <v>61</v>
      </c>
      <c r="L13" s="55" t="s">
        <v>1130</v>
      </c>
      <c r="M13" s="55" t="s">
        <v>78</v>
      </c>
      <c r="N13" s="55" t="s">
        <v>193</v>
      </c>
      <c r="O13" s="55" t="s">
        <v>1768</v>
      </c>
      <c r="P13" s="55" t="s">
        <v>70</v>
      </c>
      <c r="Q13" s="67" t="str">
        <f>IFERROR(__xludf.DUMMYFUNCTION("""COMPUTED_VALUE"""),"BRAND.CPC_Patado_SEA_HuyLG_110225")</f>
        <v>BRAND.CPC_Patado_SEA_HuyLG_110225</v>
      </c>
      <c r="R13" s="67" t="str">
        <f>IFERROR(__xludf.DUMMYFUNCTION("""COMPUTED_VALUE"""),"NON_ALL_none_none_110225")</f>
        <v>NON_ALL_none_none_110225</v>
      </c>
      <c r="S13" s="67" t="str">
        <f>IFERROR(__xludf.DUMMYFUNCTION("""COMPUTED_VALUE"""),"saletructiep_Patado_PTAGTTD_LD237")</f>
        <v>saletructiep_Patado_PTAGTTD_LD237</v>
      </c>
      <c r="T13" s="107" t="str">
        <f>IFERROR(__xludf.DUMMYFUNCTION("""COMPUTED_VALUE"""),"https://patadovietnam.edu.vn/hlg_gt_sea/?utm_source=Google&amp;utm_medium=SEA&amp;utm_term=NON_ALL_none_none_110225&amp;utm_content=saletructiep_Patado_PTAGTTD_LD237&amp;utm_campaign=BRAND.CPC_Patado_SEA_HuyLG_110225")</f>
        <v>https://patadovietnam.edu.vn/hlg_gt_sea/?utm_source=Google&amp;utm_medium=SEA&amp;utm_term=NON_ALL_none_none_110225&amp;utm_content=saletructiep_Patado_PTAGTTD_LD237&amp;utm_campaign=BRAND.CPC_Patado_SEA_HuyLG_110225</v>
      </c>
    </row>
    <row r="14">
      <c r="A14" s="72">
        <v>45699.0</v>
      </c>
      <c r="B14" s="60" t="s">
        <v>6754</v>
      </c>
      <c r="C14" s="67" t="str">
        <f>IFERROR(__xludf.DUMMYFUNCTION("""COMPUTED_VALUE"""),"LD237")</f>
        <v>LD237</v>
      </c>
      <c r="D14" s="55" t="s">
        <v>188</v>
      </c>
      <c r="E14" s="55" t="s">
        <v>193</v>
      </c>
      <c r="F14" s="55" t="s">
        <v>539</v>
      </c>
      <c r="G14" s="44" t="s">
        <v>61</v>
      </c>
      <c r="H14" s="55" t="s">
        <v>1131</v>
      </c>
      <c r="I14" s="55" t="s">
        <v>6762</v>
      </c>
      <c r="J14" s="55" t="s">
        <v>6765</v>
      </c>
      <c r="K14" s="143" t="s">
        <v>61</v>
      </c>
      <c r="L14" s="55" t="s">
        <v>1130</v>
      </c>
      <c r="M14" s="55" t="s">
        <v>78</v>
      </c>
      <c r="N14" s="55" t="s">
        <v>193</v>
      </c>
      <c r="O14" s="55" t="s">
        <v>1768</v>
      </c>
      <c r="P14" s="55" t="s">
        <v>70</v>
      </c>
      <c r="Q14" s="67" t="str">
        <f>IFERROR(__xludf.DUMMYFUNCTION("""COMPUTED_VALUE"""),"BRAND.CPC_Patado_SEA_HuyLG_110225")</f>
        <v>BRAND.CPC_Patado_SEA_HuyLG_110225</v>
      </c>
      <c r="R14" s="67" t="str">
        <f>IFERROR(__xludf.DUMMYFUNCTION("""COMPUTED_VALUE"""),"NON_ALL_none_none_110225")</f>
        <v>NON_ALL_none_none_110225</v>
      </c>
      <c r="S14" s="67" t="str">
        <f>IFERROR(__xludf.DUMMYFUNCTION("""COMPUTED_VALUE"""),"saletructiep_BrandingPatado_PTAGTTD_LD237")</f>
        <v>saletructiep_BrandingPatado_PTAGTTD_LD237</v>
      </c>
      <c r="T14" s="107" t="str">
        <f>IFERROR(__xludf.DUMMYFUNCTION("""COMPUTED_VALUE"""),"https://patadovietnam.edu.vn/hlg_gt_sea/?utm_source=Google&amp;utm_medium=SEA&amp;utm_term=NON_ALL_none_none_110225&amp;utm_content=saletructiep_BrandingPatado_PTAGTTD_LD237&amp;utm_campaign=BRAND.CPC_Patado_SEA_HuyLG_110225")</f>
        <v>https://patadovietnam.edu.vn/hlg_gt_sea/?utm_source=Google&amp;utm_medium=SEA&amp;utm_term=NON_ALL_none_none_110225&amp;utm_content=saletructiep_BrandingPatado_PTAGTTD_LD237&amp;utm_campaign=BRAND.CPC_Patado_SEA_HuyLG_110225</v>
      </c>
    </row>
    <row r="15">
      <c r="A15" s="72">
        <v>45706.0</v>
      </c>
      <c r="B15" s="60" t="s">
        <v>6754</v>
      </c>
      <c r="C15" s="67" t="str">
        <f>IFERROR(__xludf.DUMMYFUNCTION("""COMPUTED_VALUE"""),"LD237")</f>
        <v>LD237</v>
      </c>
      <c r="D15" s="55" t="s">
        <v>188</v>
      </c>
      <c r="E15" s="55" t="s">
        <v>193</v>
      </c>
      <c r="F15" s="55" t="s">
        <v>539</v>
      </c>
      <c r="G15" s="44" t="s">
        <v>61</v>
      </c>
      <c r="H15" s="55" t="s">
        <v>1131</v>
      </c>
      <c r="I15" s="55" t="s">
        <v>6766</v>
      </c>
      <c r="J15" s="55" t="s">
        <v>6768</v>
      </c>
      <c r="K15" s="55" t="s">
        <v>61</v>
      </c>
      <c r="L15" s="55" t="s">
        <v>1130</v>
      </c>
      <c r="M15" s="55" t="s">
        <v>6770</v>
      </c>
      <c r="N15" s="55" t="s">
        <v>193</v>
      </c>
      <c r="O15" s="55" t="s">
        <v>1768</v>
      </c>
      <c r="P15" s="55" t="s">
        <v>70</v>
      </c>
      <c r="Q15" s="67" t="str">
        <f>IFERROR(__xludf.DUMMYFUNCTION("""COMPUTED_VALUE"""),"ALL.CPA100_Patado_SEA_HuyLG_180225")</f>
        <v>ALL.CPA100_Patado_SEA_HuyLG_180225</v>
      </c>
      <c r="R15" s="67" t="str">
        <f>IFERROR(__xludf.DUMMYFUNCTION("""COMPUTED_VALUE"""),"NON_ALL_none_none_180225")</f>
        <v>NON_ALL_none_none_180225</v>
      </c>
      <c r="S15" s="67" t="str">
        <f>IFERROR(__xludf.DUMMYFUNCTION("""COMPUTED_VALUE"""),"KW_HocTiengAnhTrucTuyenChoNguoiDiLam_PTAGTTD_LD237")</f>
        <v>KW_HocTiengAnhTrucTuyenChoNguoiDiLam_PTAGTTD_LD237</v>
      </c>
      <c r="T15" s="107" t="str">
        <f>IFERROR(__xludf.DUMMYFUNCTION("""COMPUTED_VALUE"""),"https://patadovietnam.edu.vn/hlg_gt_sea/?utm_source=Google&amp;utm_medium=SEA&amp;utm_term=NON_ALL_none_none_180225&amp;utm_content=KW_HocTiengAnhTrucTuyenChoNguoiDiLam_PTAGTTD_LD237&amp;utm_campaign=ALL.CPA100_Patado_SEA_HuyLG_180225")</f>
        <v>https://patadovietnam.edu.vn/hlg_gt_sea/?utm_source=Google&amp;utm_medium=SEA&amp;utm_term=NON_ALL_none_none_180225&amp;utm_content=KW_HocTiengAnhTrucTuyenChoNguoiDiLam_PTAGTTD_LD237&amp;utm_campaign=ALL.CPA100_Patado_SEA_HuyLG_180225</v>
      </c>
    </row>
    <row r="16">
      <c r="A16" s="72">
        <v>45701.0</v>
      </c>
      <c r="B16" s="60" t="s">
        <v>6754</v>
      </c>
      <c r="C16" s="67" t="str">
        <f>IFERROR(__xludf.DUMMYFUNCTION("""COMPUTED_VALUE"""),"LD237")</f>
        <v>LD237</v>
      </c>
      <c r="D16" s="55" t="s">
        <v>188</v>
      </c>
      <c r="E16" s="55" t="s">
        <v>193</v>
      </c>
      <c r="F16" s="55" t="s">
        <v>539</v>
      </c>
      <c r="G16" s="55">
        <v>2040.0</v>
      </c>
      <c r="H16" s="55" t="s">
        <v>1131</v>
      </c>
      <c r="I16" s="55" t="s">
        <v>6773</v>
      </c>
      <c r="J16" s="55" t="s">
        <v>6773</v>
      </c>
      <c r="K16" s="55" t="s">
        <v>61</v>
      </c>
      <c r="L16" s="55" t="s">
        <v>1130</v>
      </c>
      <c r="M16" s="55" t="s">
        <v>78</v>
      </c>
      <c r="N16" s="55" t="s">
        <v>193</v>
      </c>
      <c r="O16" s="55" t="s">
        <v>1768</v>
      </c>
      <c r="P16" s="55" t="s">
        <v>110</v>
      </c>
      <c r="Q16" s="67" t="str">
        <f>IFERROR(__xludf.DUMMYFUNCTION("""COMPUTED_VALUE"""),"ALL.CPA200_Patado_SEA_HuyLG_130225")</f>
        <v>ALL.CPA200_Patado_SEA_HuyLG_130225</v>
      </c>
      <c r="R16" s="67" t="str">
        <f>IFERROR(__xludf.DUMMYFUNCTION("""COMPUTED_VALUE"""),"NEW_ALL_2040_none_130225")</f>
        <v>NEW_ALL_2040_none_130225</v>
      </c>
      <c r="S16" s="67" t="str">
        <f>IFERROR(__xludf.DUMMYFUNCTION("""COMPUTED_VALUE"""),"saletructiep_ALL.CPA200_PTAGTTD_LD237")</f>
        <v>saletructiep_ALL.CPA200_PTAGTTD_LD237</v>
      </c>
      <c r="T16" s="107" t="str">
        <f>IFERROR(__xludf.DUMMYFUNCTION("""COMPUTED_VALUE"""),"https://patadovietnam.edu.vn/hlg_gt_sea/?utm_source=Google&amp;utm_medium=SEA&amp;utm_term=NEW_ALL_2040_none_130225&amp;utm_content=saletructiep_ALL.CPA200_PTAGTTD_LD237&amp;utm_campaign=ALL.CPA200_Patado_SEA_HuyLG_130225")</f>
        <v>https://patadovietnam.edu.vn/hlg_gt_sea/?utm_source=Google&amp;utm_medium=SEA&amp;utm_term=NEW_ALL_2040_none_130225&amp;utm_content=saletructiep_ALL.CPA200_PTAGTTD_LD237&amp;utm_campaign=ALL.CPA200_Patado_SEA_HuyLG_130225</v>
      </c>
    </row>
    <row r="17">
      <c r="A17" s="72">
        <v>45701.0</v>
      </c>
      <c r="B17" s="60" t="s">
        <v>6754</v>
      </c>
      <c r="C17" s="67" t="str">
        <f>IFERROR(__xludf.DUMMYFUNCTION("""COMPUTED_VALUE"""),"LD237")</f>
        <v>LD237</v>
      </c>
      <c r="D17" s="55" t="s">
        <v>188</v>
      </c>
      <c r="E17" s="55" t="s">
        <v>193</v>
      </c>
      <c r="F17" s="55" t="s">
        <v>539</v>
      </c>
      <c r="G17" s="55">
        <v>2040.0</v>
      </c>
      <c r="H17" s="55" t="s">
        <v>1131</v>
      </c>
      <c r="I17" s="55" t="s">
        <v>6774</v>
      </c>
      <c r="J17" s="55" t="s">
        <v>6774</v>
      </c>
      <c r="K17" s="55" t="s">
        <v>61</v>
      </c>
      <c r="L17" s="55" t="s">
        <v>1130</v>
      </c>
      <c r="M17" s="55" t="s">
        <v>78</v>
      </c>
      <c r="N17" s="55" t="s">
        <v>193</v>
      </c>
      <c r="O17" s="55" t="s">
        <v>1768</v>
      </c>
      <c r="P17" s="55" t="s">
        <v>110</v>
      </c>
      <c r="Q17" s="67" t="str">
        <f>IFERROR(__xludf.DUMMYFUNCTION("""COMPUTED_VALUE"""),"ALL.CPA100.C2_Patado_SEA_HuyLG_130225")</f>
        <v>ALL.CPA100.C2_Patado_SEA_HuyLG_130225</v>
      </c>
      <c r="R17" s="67" t="str">
        <f>IFERROR(__xludf.DUMMYFUNCTION("""COMPUTED_VALUE"""),"NEW_ALL_2040_none_130225")</f>
        <v>NEW_ALL_2040_none_130225</v>
      </c>
      <c r="S17" s="67" t="str">
        <f>IFERROR(__xludf.DUMMYFUNCTION("""COMPUTED_VALUE"""),"saletructiep_ALL.CPA100.C2_PTAGTTD_LD237")</f>
        <v>saletructiep_ALL.CPA100.C2_PTAGTTD_LD237</v>
      </c>
      <c r="T17" s="107" t="str">
        <f>IFERROR(__xludf.DUMMYFUNCTION("""COMPUTED_VALUE"""),"https://patadovietnam.edu.vn/hlg_gt_sea/?utm_source=Google&amp;utm_medium=SEA&amp;utm_term=NEW_ALL_2040_none_130225&amp;utm_content=saletructiep_ALL.CPA100.C2_PTAGTTD_LD237&amp;utm_campaign=ALL.CPA100.C2_Patado_SEA_HuyLG_130225")</f>
        <v>https://patadovietnam.edu.vn/hlg_gt_sea/?utm_source=Google&amp;utm_medium=SEA&amp;utm_term=NEW_ALL_2040_none_130225&amp;utm_content=saletructiep_ALL.CPA100.C2_PTAGTTD_LD237&amp;utm_campaign=ALL.CPA100.C2_Patado_SEA_HuyLG_130225</v>
      </c>
    </row>
    <row r="18">
      <c r="A18" s="72">
        <v>45701.0</v>
      </c>
      <c r="B18" s="60" t="s">
        <v>6754</v>
      </c>
      <c r="C18" s="67" t="str">
        <f>IFERROR(__xludf.DUMMYFUNCTION("""COMPUTED_VALUE"""),"LD237")</f>
        <v>LD237</v>
      </c>
      <c r="D18" s="55" t="s">
        <v>188</v>
      </c>
      <c r="E18" s="55" t="s">
        <v>193</v>
      </c>
      <c r="F18" s="55" t="s">
        <v>539</v>
      </c>
      <c r="G18" s="44" t="s">
        <v>61</v>
      </c>
      <c r="H18" s="55" t="s">
        <v>1131</v>
      </c>
      <c r="I18" s="55" t="s">
        <v>6777</v>
      </c>
      <c r="J18" s="55" t="s">
        <v>6768</v>
      </c>
      <c r="K18" s="55" t="s">
        <v>61</v>
      </c>
      <c r="L18" s="55" t="s">
        <v>1130</v>
      </c>
      <c r="M18" s="55" t="s">
        <v>6770</v>
      </c>
      <c r="N18" s="55" t="s">
        <v>193</v>
      </c>
      <c r="O18" s="55" t="s">
        <v>1768</v>
      </c>
      <c r="P18" s="55" t="s">
        <v>70</v>
      </c>
      <c r="Q18" s="67" t="str">
        <f>IFERROR(__xludf.DUMMYFUNCTION("""COMPUTED_VALUE"""),"ALL.CPA300_Patado_SEA_HuyLG_130225")</f>
        <v>ALL.CPA300_Patado_SEA_HuyLG_130225</v>
      </c>
      <c r="R18" s="67" t="str">
        <f>IFERROR(__xludf.DUMMYFUNCTION("""COMPUTED_VALUE"""),"NON_ALL_none_none_130225")</f>
        <v>NON_ALL_none_none_130225</v>
      </c>
      <c r="S18" s="67" t="str">
        <f>IFERROR(__xludf.DUMMYFUNCTION("""COMPUTED_VALUE"""),"KW_HocTiengAnhTrucTuyenChoNguoiDiLam_PTAGTTD_LD237")</f>
        <v>KW_HocTiengAnhTrucTuyenChoNguoiDiLam_PTAGTTD_LD237</v>
      </c>
      <c r="T18" s="107" t="str">
        <f>IFERROR(__xludf.DUMMYFUNCTION("""COMPUTED_VALUE"""),"https://patadovietnam.edu.vn/hlg_gt_sea/?utm_source=Google&amp;utm_medium=SEA&amp;utm_term=NON_ALL_none_none_130225&amp;utm_content=KW_HocTiengAnhTrucTuyenChoNguoiDiLam_PTAGTTD_LD237&amp;utm_campaign=ALL.CPA300_Patado_SEA_HuyLG_130225")</f>
        <v>https://patadovietnam.edu.vn/hlg_gt_sea/?utm_source=Google&amp;utm_medium=SEA&amp;utm_term=NON_ALL_none_none_130225&amp;utm_content=KW_HocTiengAnhTrucTuyenChoNguoiDiLam_PTAGTTD_LD237&amp;utm_campaign=ALL.CPA300_Patado_SEA_HuyLG_130225</v>
      </c>
    </row>
    <row r="19">
      <c r="A19" s="72">
        <v>45701.0</v>
      </c>
      <c r="B19" s="60" t="s">
        <v>6754</v>
      </c>
      <c r="C19" s="67" t="str">
        <f>IFERROR(__xludf.DUMMYFUNCTION("""COMPUTED_VALUE"""),"LD237")</f>
        <v>LD237</v>
      </c>
      <c r="D19" s="55" t="s">
        <v>188</v>
      </c>
      <c r="E19" s="55" t="s">
        <v>193</v>
      </c>
      <c r="F19" s="55" t="s">
        <v>539</v>
      </c>
      <c r="G19" s="55">
        <v>2040.0</v>
      </c>
      <c r="H19" s="55" t="s">
        <v>1131</v>
      </c>
      <c r="I19" s="55" t="s">
        <v>6774</v>
      </c>
      <c r="J19" s="55" t="s">
        <v>6768</v>
      </c>
      <c r="K19" s="55" t="s">
        <v>61</v>
      </c>
      <c r="L19" s="55" t="s">
        <v>1130</v>
      </c>
      <c r="M19" s="55" t="s">
        <v>78</v>
      </c>
      <c r="N19" s="55" t="s">
        <v>193</v>
      </c>
      <c r="O19" s="55" t="s">
        <v>1768</v>
      </c>
      <c r="P19" s="55" t="s">
        <v>110</v>
      </c>
      <c r="Q19" s="67" t="str">
        <f>IFERROR(__xludf.DUMMYFUNCTION("""COMPUTED_VALUE"""),"ALL.CPA100.C2_Patado_SEA_HuyLG_130225")</f>
        <v>ALL.CPA100.C2_Patado_SEA_HuyLG_130225</v>
      </c>
      <c r="R19" s="67" t="str">
        <f>IFERROR(__xludf.DUMMYFUNCTION("""COMPUTED_VALUE"""),"NEW_ALL_2040_none_130225")</f>
        <v>NEW_ALL_2040_none_130225</v>
      </c>
      <c r="S19" s="67" t="str">
        <f>IFERROR(__xludf.DUMMYFUNCTION("""COMPUTED_VALUE"""),"saletructiep_HocTiengAnhTrucTuyenChoNguoiDiLam_PTAGTTD_LD237")</f>
        <v>saletructiep_HocTiengAnhTrucTuyenChoNguoiDiLam_PTAGTTD_LD237</v>
      </c>
      <c r="T19" s="107" t="str">
        <f>IFERROR(__xludf.DUMMYFUNCTION("""COMPUTED_VALUE"""),"https://patadovietnam.edu.vn/hlg_gt_sea/?utm_source=Google&amp;utm_medium=SEA&amp;utm_term=NEW_ALL_2040_none_130225&amp;utm_content=saletructiep_HocTiengAnhTrucTuyenChoNguoiDiLam_PTAGTTD_LD237&amp;utm_campaign=ALL.CPA100.C2_Patado_SEA_HuyLG_130225")</f>
        <v>https://patadovietnam.edu.vn/hlg_gt_sea/?utm_source=Google&amp;utm_medium=SEA&amp;utm_term=NEW_ALL_2040_none_130225&amp;utm_content=saletructiep_HocTiengAnhTrucTuyenChoNguoiDiLam_PTAGTTD_LD237&amp;utm_campaign=ALL.CPA100.C2_Patado_SEA_HuyLG_130225</v>
      </c>
    </row>
    <row r="20">
      <c r="A20" s="72">
        <v>45701.0</v>
      </c>
      <c r="B20" s="60" t="s">
        <v>6754</v>
      </c>
      <c r="C20" s="67" t="str">
        <f>IFERROR(__xludf.DUMMYFUNCTION("""COMPUTED_VALUE"""),"LD237")</f>
        <v>LD237</v>
      </c>
      <c r="D20" s="55" t="s">
        <v>188</v>
      </c>
      <c r="E20" s="55" t="s">
        <v>193</v>
      </c>
      <c r="F20" s="55" t="s">
        <v>133</v>
      </c>
      <c r="G20" s="55">
        <v>2040.0</v>
      </c>
      <c r="H20" s="55" t="s">
        <v>1131</v>
      </c>
      <c r="I20" s="55" t="s">
        <v>6782</v>
      </c>
      <c r="J20" s="55" t="s">
        <v>2476</v>
      </c>
      <c r="K20" s="55" t="s">
        <v>61</v>
      </c>
      <c r="L20" s="55" t="s">
        <v>1130</v>
      </c>
      <c r="M20" s="55" t="s">
        <v>78</v>
      </c>
      <c r="N20" s="55" t="s">
        <v>193</v>
      </c>
      <c r="O20" s="55" t="s">
        <v>1768</v>
      </c>
      <c r="P20" s="55" t="s">
        <v>110</v>
      </c>
      <c r="Q20" s="67" t="str">
        <f>IFERROR(__xludf.DUMMYFUNCTION("""COMPUTED_VALUE"""),"Japan.TDHCD_Patado_SEA_HuyLG_130225")</f>
        <v>Japan.TDHCD_Patado_SEA_HuyLG_130225</v>
      </c>
      <c r="R20" s="67" t="str">
        <f>IFERROR(__xludf.DUMMYFUNCTION("""COMPUTED_VALUE"""),"NEW_Japan_2040_none_130225")</f>
        <v>NEW_Japan_2040_none_130225</v>
      </c>
      <c r="S20" s="67" t="str">
        <f>IFERROR(__xludf.DUMMYFUNCTION("""COMPUTED_VALUE"""),"saletructiep_Tienganhonline_PTAGTTD_LD237")</f>
        <v>saletructiep_Tienganhonline_PTAGTTD_LD237</v>
      </c>
      <c r="T20" s="107" t="str">
        <f>IFERROR(__xludf.DUMMYFUNCTION("""COMPUTED_VALUE"""),"https://patadovietnam.edu.vn/hlg_gt_sea/?utm_source=Google&amp;utm_medium=SEA&amp;utm_term=NEW_Japan_2040_none_130225&amp;utm_content=saletructiep_Tienganhonline_PTAGTTD_LD237&amp;utm_campaign=Japan.TDHCD_Patado_SEA_HuyLG_130225")</f>
        <v>https://patadovietnam.edu.vn/hlg_gt_sea/?utm_source=Google&amp;utm_medium=SEA&amp;utm_term=NEW_Japan_2040_none_130225&amp;utm_content=saletructiep_Tienganhonline_PTAGTTD_LD237&amp;utm_campaign=Japan.TDHCD_Patado_SEA_HuyLG_130225</v>
      </c>
    </row>
    <row r="21">
      <c r="A21" s="72">
        <v>45701.0</v>
      </c>
      <c r="B21" s="60" t="s">
        <v>6754</v>
      </c>
      <c r="C21" s="67" t="str">
        <f>IFERROR(__xludf.DUMMYFUNCTION("""COMPUTED_VALUE"""),"LD237")</f>
        <v>LD237</v>
      </c>
      <c r="D21" s="55" t="s">
        <v>188</v>
      </c>
      <c r="E21" s="55" t="s">
        <v>193</v>
      </c>
      <c r="F21" s="55" t="s">
        <v>107</v>
      </c>
      <c r="G21" s="44" t="s">
        <v>61</v>
      </c>
      <c r="H21" s="55" t="s">
        <v>1131</v>
      </c>
      <c r="I21" s="55" t="s">
        <v>6785</v>
      </c>
      <c r="J21" s="55" t="s">
        <v>2476</v>
      </c>
      <c r="K21" s="55" t="s">
        <v>61</v>
      </c>
      <c r="L21" s="55" t="s">
        <v>1130</v>
      </c>
      <c r="M21" s="55" t="s">
        <v>6770</v>
      </c>
      <c r="N21" s="55" t="s">
        <v>193</v>
      </c>
      <c r="O21" s="55" t="s">
        <v>1768</v>
      </c>
      <c r="P21" s="55" t="s">
        <v>70</v>
      </c>
      <c r="Q21" s="67" t="str">
        <f>IFERROR(__xludf.DUMMYFUNCTION("""COMPUTED_VALUE"""),"UnitedStates.CPA400_Patado_SEA_HuyLG_130225")</f>
        <v>UnitedStates.CPA400_Patado_SEA_HuyLG_130225</v>
      </c>
      <c r="R21" s="67" t="str">
        <f>IFERROR(__xludf.DUMMYFUNCTION("""COMPUTED_VALUE"""),"NON_UnitedStates_none_none_130225")</f>
        <v>NON_UnitedStates_none_none_130225</v>
      </c>
      <c r="S21" s="67" t="str">
        <f>IFERROR(__xludf.DUMMYFUNCTION("""COMPUTED_VALUE"""),"KW_Tienganhonline_PTAGTTD_LD237")</f>
        <v>KW_Tienganhonline_PTAGTTD_LD237</v>
      </c>
      <c r="T21" s="107" t="str">
        <f>IFERROR(__xludf.DUMMYFUNCTION("""COMPUTED_VALUE"""),"https://patadovietnam.edu.vn/hlg_gt_sea/?utm_source=Google&amp;utm_medium=SEA&amp;utm_term=NON_UnitedStates_none_none_130225&amp;utm_content=KW_Tienganhonline_PTAGTTD_LD237&amp;utm_campaign=UnitedStates.CPA400_Patado_SEA_HuyLG_130225")</f>
        <v>https://patadovietnam.edu.vn/hlg_gt_sea/?utm_source=Google&amp;utm_medium=SEA&amp;utm_term=NON_UnitedStates_none_none_130225&amp;utm_content=KW_Tienganhonline_PTAGTTD_LD237&amp;utm_campaign=UnitedStates.CPA400_Patado_SEA_HuyLG_130225</v>
      </c>
    </row>
    <row r="22">
      <c r="A22" s="72">
        <v>45701.0</v>
      </c>
      <c r="B22" s="60" t="s">
        <v>6754</v>
      </c>
      <c r="C22" s="67" t="str">
        <f>IFERROR(__xludf.DUMMYFUNCTION("""COMPUTED_VALUE"""),"LD237")</f>
        <v>LD237</v>
      </c>
      <c r="D22" s="55" t="s">
        <v>188</v>
      </c>
      <c r="E22" s="55" t="s">
        <v>193</v>
      </c>
      <c r="F22" s="55" t="s">
        <v>107</v>
      </c>
      <c r="G22" s="44" t="s">
        <v>61</v>
      </c>
      <c r="H22" s="55" t="s">
        <v>1131</v>
      </c>
      <c r="I22" s="55" t="s">
        <v>6790</v>
      </c>
      <c r="J22" s="55" t="s">
        <v>6791</v>
      </c>
      <c r="K22" s="55" t="s">
        <v>61</v>
      </c>
      <c r="L22" s="55" t="s">
        <v>1130</v>
      </c>
      <c r="M22" s="55" t="s">
        <v>6770</v>
      </c>
      <c r="N22" s="55" t="s">
        <v>193</v>
      </c>
      <c r="O22" s="55" t="s">
        <v>1768</v>
      </c>
      <c r="P22" s="55" t="s">
        <v>70</v>
      </c>
      <c r="Q22" s="67" t="str">
        <f>IFERROR(__xludf.DUMMYFUNCTION("""COMPUTED_VALUE"""),"UnitedStates.CPA600_Patado_SEA_HuyLG_130225")</f>
        <v>UnitedStates.CPA600_Patado_SEA_HuyLG_130225</v>
      </c>
      <c r="R22" s="67" t="str">
        <f>IFERROR(__xludf.DUMMYFUNCTION("""COMPUTED_VALUE"""),"NON_UnitedStates_none_none_130225")</f>
        <v>NON_UnitedStates_none_none_130225</v>
      </c>
      <c r="S22" s="67" t="str">
        <f>IFERROR(__xludf.DUMMYFUNCTION("""COMPUTED_VALUE"""),"KW_TiengAnhGiaoTiep_PTAGTTD_LD237")</f>
        <v>KW_TiengAnhGiaoTiep_PTAGTTD_LD237</v>
      </c>
      <c r="T22" s="107" t="str">
        <f>IFERROR(__xludf.DUMMYFUNCTION("""COMPUTED_VALUE"""),"https://patadovietnam.edu.vn/hlg_gt_sea/?utm_source=Google&amp;utm_medium=SEA&amp;utm_term=NON_UnitedStates_none_none_130225&amp;utm_content=KW_TiengAnhGiaoTiep_PTAGTTD_LD237&amp;utm_campaign=UnitedStates.CPA600_Patado_SEA_HuyLG_130225")</f>
        <v>https://patadovietnam.edu.vn/hlg_gt_sea/?utm_source=Google&amp;utm_medium=SEA&amp;utm_term=NON_UnitedStates_none_none_130225&amp;utm_content=KW_TiengAnhGiaoTiep_PTAGTTD_LD237&amp;utm_campaign=UnitedStates.CPA600_Patado_SEA_HuyLG_130225</v>
      </c>
    </row>
    <row r="23">
      <c r="A23" s="72">
        <v>45701.0</v>
      </c>
      <c r="B23" s="60" t="s">
        <v>6754</v>
      </c>
      <c r="C23" s="67" t="str">
        <f>IFERROR(__xludf.DUMMYFUNCTION("""COMPUTED_VALUE"""),"LD237")</f>
        <v>LD237</v>
      </c>
      <c r="D23" s="55" t="s">
        <v>188</v>
      </c>
      <c r="E23" s="55" t="s">
        <v>193</v>
      </c>
      <c r="F23" s="55" t="s">
        <v>133</v>
      </c>
      <c r="G23" s="44" t="s">
        <v>61</v>
      </c>
      <c r="H23" s="55" t="s">
        <v>1131</v>
      </c>
      <c r="I23" s="55" t="s">
        <v>6782</v>
      </c>
      <c r="J23" s="55" t="s">
        <v>6792</v>
      </c>
      <c r="K23" s="55" t="s">
        <v>61</v>
      </c>
      <c r="L23" s="55" t="s">
        <v>1130</v>
      </c>
      <c r="M23" s="55" t="s">
        <v>6770</v>
      </c>
      <c r="N23" s="55" t="s">
        <v>193</v>
      </c>
      <c r="O23" s="55" t="s">
        <v>1768</v>
      </c>
      <c r="P23" s="55" t="s">
        <v>70</v>
      </c>
      <c r="Q23" s="67" t="str">
        <f>IFERROR(__xludf.DUMMYFUNCTION("""COMPUTED_VALUE"""),"Japan.TDHCD_Patado_SEA_HuyLG_130225")</f>
        <v>Japan.TDHCD_Patado_SEA_HuyLG_130225</v>
      </c>
      <c r="R23" s="67" t="str">
        <f>IFERROR(__xludf.DUMMYFUNCTION("""COMPUTED_VALUE"""),"NON_Japan_none_none_130225")</f>
        <v>NON_Japan_none_none_130225</v>
      </c>
      <c r="S23" s="67" t="str">
        <f>IFERROR(__xludf.DUMMYFUNCTION("""COMPUTED_VALUE"""),"KW_HocTiengAnhOnline11_PTAGTTD_LD237")</f>
        <v>KW_HocTiengAnhOnline11_PTAGTTD_LD237</v>
      </c>
      <c r="T23" s="107" t="str">
        <f>IFERROR(__xludf.DUMMYFUNCTION("""COMPUTED_VALUE"""),"https://patadovietnam.edu.vn/hlg_gt_sea/?utm_source=Google&amp;utm_medium=SEA&amp;utm_term=NON_Japan_none_none_130225&amp;utm_content=KW_HocTiengAnhOnline11_PTAGTTD_LD237&amp;utm_campaign=Japan.TDHCD_Patado_SEA_HuyLG_130225")</f>
        <v>https://patadovietnam.edu.vn/hlg_gt_sea/?utm_source=Google&amp;utm_medium=SEA&amp;utm_term=NON_Japan_none_none_130225&amp;utm_content=KW_HocTiengAnhOnline11_PTAGTTD_LD237&amp;utm_campaign=Japan.TDHCD_Patado_SEA_HuyLG_130225</v>
      </c>
    </row>
    <row r="24">
      <c r="A24" s="72">
        <v>45701.0</v>
      </c>
      <c r="B24" s="60" t="s">
        <v>6754</v>
      </c>
      <c r="C24" s="67" t="str">
        <f>IFERROR(__xludf.DUMMYFUNCTION("""COMPUTED_VALUE"""),"LD237")</f>
        <v>LD237</v>
      </c>
      <c r="D24" s="55" t="s">
        <v>188</v>
      </c>
      <c r="E24" s="55" t="s">
        <v>193</v>
      </c>
      <c r="F24" s="55" t="s">
        <v>539</v>
      </c>
      <c r="G24" s="44" t="s">
        <v>61</v>
      </c>
      <c r="H24" s="55" t="s">
        <v>1131</v>
      </c>
      <c r="I24" s="55" t="s">
        <v>6773</v>
      </c>
      <c r="J24" s="55" t="s">
        <v>6795</v>
      </c>
      <c r="K24" s="55" t="s">
        <v>61</v>
      </c>
      <c r="L24" s="55" t="s">
        <v>1130</v>
      </c>
      <c r="M24" s="55" t="s">
        <v>6770</v>
      </c>
      <c r="N24" s="55" t="s">
        <v>193</v>
      </c>
      <c r="O24" s="55" t="s">
        <v>1768</v>
      </c>
      <c r="P24" s="55" t="s">
        <v>70</v>
      </c>
      <c r="Q24" s="67" t="str">
        <f>IFERROR(__xludf.DUMMYFUNCTION("""COMPUTED_VALUE"""),"ALL.CPA200_Patado_SEA_HuyLG_130225")</f>
        <v>ALL.CPA200_Patado_SEA_HuyLG_130225</v>
      </c>
      <c r="R24" s="67" t="str">
        <f>IFERROR(__xludf.DUMMYFUNCTION("""COMPUTED_VALUE"""),"NON_ALL_none_none_130225")</f>
        <v>NON_ALL_none_none_130225</v>
      </c>
      <c r="S24" s="67" t="str">
        <f>IFERROR(__xludf.DUMMYFUNCTION("""COMPUTED_VALUE"""),"KW_Hoctienganhchung_PTAGTTD_LD237")</f>
        <v>KW_Hoctienganhchung_PTAGTTD_LD237</v>
      </c>
      <c r="T24" s="107" t="str">
        <f>IFERROR(__xludf.DUMMYFUNCTION("""COMPUTED_VALUE"""),"https://patadovietnam.edu.vn/hlg_gt_sea/?utm_source=Google&amp;utm_medium=SEA&amp;utm_term=NON_ALL_none_none_130225&amp;utm_content=KW_Hoctienganhchung_PTAGTTD_LD237&amp;utm_campaign=ALL.CPA200_Patado_SEA_HuyLG_130225")</f>
        <v>https://patadovietnam.edu.vn/hlg_gt_sea/?utm_source=Google&amp;utm_medium=SEA&amp;utm_term=NON_ALL_none_none_130225&amp;utm_content=KW_Hoctienganhchung_PTAGTTD_LD237&amp;utm_campaign=ALL.CPA200_Patado_SEA_HuyLG_130225</v>
      </c>
    </row>
    <row r="25">
      <c r="A25" s="72">
        <v>45701.0</v>
      </c>
      <c r="B25" s="60" t="s">
        <v>6754</v>
      </c>
      <c r="C25" s="67" t="str">
        <f>IFERROR(__xludf.DUMMYFUNCTION("""COMPUTED_VALUE"""),"LD237")</f>
        <v>LD237</v>
      </c>
      <c r="D25" s="55" t="s">
        <v>188</v>
      </c>
      <c r="E25" s="55" t="s">
        <v>193</v>
      </c>
      <c r="F25" s="55" t="s">
        <v>107</v>
      </c>
      <c r="G25" s="44" t="s">
        <v>61</v>
      </c>
      <c r="H25" s="55" t="s">
        <v>1131</v>
      </c>
      <c r="I25" s="55" t="s">
        <v>6798</v>
      </c>
      <c r="J25" s="55" t="s">
        <v>6791</v>
      </c>
      <c r="K25" s="55" t="s">
        <v>61</v>
      </c>
      <c r="L25" s="55" t="s">
        <v>1130</v>
      </c>
      <c r="M25" s="55" t="s">
        <v>6770</v>
      </c>
      <c r="N25" s="55" t="s">
        <v>193</v>
      </c>
      <c r="O25" s="55" t="s">
        <v>1768</v>
      </c>
      <c r="P25" s="55" t="s">
        <v>70</v>
      </c>
      <c r="Q25" s="67" t="str">
        <f>IFERROR(__xludf.DUMMYFUNCTION("""COMPUTED_VALUE"""),"UnitedStates.CPA500_Patado_SEA_HuyLG_130225")</f>
        <v>UnitedStates.CPA500_Patado_SEA_HuyLG_130225</v>
      </c>
      <c r="R25" s="67" t="str">
        <f>IFERROR(__xludf.DUMMYFUNCTION("""COMPUTED_VALUE"""),"NON_UnitedStates_none_none_130225")</f>
        <v>NON_UnitedStates_none_none_130225</v>
      </c>
      <c r="S25" s="67" t="str">
        <f>IFERROR(__xludf.DUMMYFUNCTION("""COMPUTED_VALUE"""),"KW_TiengAnhGiaoTiep_PTAGTTD_LD237")</f>
        <v>KW_TiengAnhGiaoTiep_PTAGTTD_LD237</v>
      </c>
      <c r="T25" s="107" t="str">
        <f>IFERROR(__xludf.DUMMYFUNCTION("""COMPUTED_VALUE"""),"https://patadovietnam.edu.vn/hlg_gt_sea/?utm_source=Google&amp;utm_medium=SEA&amp;utm_term=NON_UnitedStates_none_none_130225&amp;utm_content=KW_TiengAnhGiaoTiep_PTAGTTD_LD237&amp;utm_campaign=UnitedStates.CPA500_Patado_SEA_HuyLG_130225")</f>
        <v>https://patadovietnam.edu.vn/hlg_gt_sea/?utm_source=Google&amp;utm_medium=SEA&amp;utm_term=NON_UnitedStates_none_none_130225&amp;utm_content=KW_TiengAnhGiaoTiep_PTAGTTD_LD237&amp;utm_campaign=UnitedStates.CPA500_Patado_SEA_HuyLG_130225</v>
      </c>
    </row>
    <row r="26">
      <c r="A26" s="72">
        <v>45701.0</v>
      </c>
      <c r="B26" s="60" t="s">
        <v>6754</v>
      </c>
      <c r="C26" s="67" t="str">
        <f>IFERROR(__xludf.DUMMYFUNCTION("""COMPUTED_VALUE"""),"LD237")</f>
        <v>LD237</v>
      </c>
      <c r="D26" s="55" t="s">
        <v>188</v>
      </c>
      <c r="E26" s="55" t="s">
        <v>193</v>
      </c>
      <c r="F26" s="55" t="s">
        <v>625</v>
      </c>
      <c r="G26" s="44" t="s">
        <v>61</v>
      </c>
      <c r="H26" s="55" t="s">
        <v>1131</v>
      </c>
      <c r="I26" s="55" t="s">
        <v>6801</v>
      </c>
      <c r="J26" s="55" t="s">
        <v>6802</v>
      </c>
      <c r="K26" s="55" t="s">
        <v>61</v>
      </c>
      <c r="L26" s="55" t="s">
        <v>1130</v>
      </c>
      <c r="M26" s="55" t="s">
        <v>6770</v>
      </c>
      <c r="N26" s="55" t="s">
        <v>193</v>
      </c>
      <c r="O26" s="55" t="s">
        <v>1768</v>
      </c>
      <c r="P26" s="55" t="s">
        <v>70</v>
      </c>
      <c r="Q26" s="67" t="str">
        <f>IFERROR(__xludf.DUMMYFUNCTION("""COMPUTED_VALUE"""),"KoreaSouth.CPA400_Patado_SEA_HuyLG_130225")</f>
        <v>KoreaSouth.CPA400_Patado_SEA_HuyLG_130225</v>
      </c>
      <c r="R26" s="67" t="str">
        <f>IFERROR(__xludf.DUMMYFUNCTION("""COMPUTED_VALUE"""),"NON_KoreaSouth_none_none_130225")</f>
        <v>NON_KoreaSouth_none_none_130225</v>
      </c>
      <c r="S26" s="67" t="str">
        <f>IFERROR(__xludf.DUMMYFUNCTION("""COMPUTED_VALUE"""),"KW_Tienganhtudau_PTAGTTD_LD237")</f>
        <v>KW_Tienganhtudau_PTAGTTD_LD237</v>
      </c>
      <c r="T26" s="107" t="str">
        <f>IFERROR(__xludf.DUMMYFUNCTION("""COMPUTED_VALUE"""),"https://patadovietnam.edu.vn/hlg_gt_sea/?utm_source=Google&amp;utm_medium=SEA&amp;utm_term=NON_KoreaSouth_none_none_130225&amp;utm_content=KW_Tienganhtudau_PTAGTTD_LD237&amp;utm_campaign=KoreaSouth.CPA400_Patado_SEA_HuyLG_130225")</f>
        <v>https://patadovietnam.edu.vn/hlg_gt_sea/?utm_source=Google&amp;utm_medium=SEA&amp;utm_term=NON_KoreaSouth_none_none_130225&amp;utm_content=KW_Tienganhtudau_PTAGTTD_LD237&amp;utm_campaign=KoreaSouth.CPA400_Patado_SEA_HuyLG_130225</v>
      </c>
    </row>
    <row r="27">
      <c r="A27" s="72">
        <v>45701.0</v>
      </c>
      <c r="B27" s="60" t="s">
        <v>6754</v>
      </c>
      <c r="C27" s="67" t="str">
        <f>IFERROR(__xludf.DUMMYFUNCTION("""COMPUTED_VALUE"""),"LD237")</f>
        <v>LD237</v>
      </c>
      <c r="D27" s="55" t="s">
        <v>188</v>
      </c>
      <c r="E27" s="55" t="s">
        <v>193</v>
      </c>
      <c r="F27" s="55" t="s">
        <v>539</v>
      </c>
      <c r="G27" s="44" t="s">
        <v>61</v>
      </c>
      <c r="H27" s="55" t="s">
        <v>1131</v>
      </c>
      <c r="I27" s="55" t="s">
        <v>6773</v>
      </c>
      <c r="J27" s="55" t="s">
        <v>6805</v>
      </c>
      <c r="K27" s="55" t="s">
        <v>61</v>
      </c>
      <c r="L27" s="55" t="s">
        <v>1130</v>
      </c>
      <c r="M27" s="55" t="s">
        <v>6770</v>
      </c>
      <c r="N27" s="55" t="s">
        <v>193</v>
      </c>
      <c r="O27" s="55" t="s">
        <v>1768</v>
      </c>
      <c r="P27" s="55" t="s">
        <v>70</v>
      </c>
      <c r="Q27" s="67" t="str">
        <f>IFERROR(__xludf.DUMMYFUNCTION("""COMPUTED_VALUE"""),"ALL.CPA200_Patado_SEA_HuyLG_130225")</f>
        <v>ALL.CPA200_Patado_SEA_HuyLG_130225</v>
      </c>
      <c r="R27" s="67" t="str">
        <f>IFERROR(__xludf.DUMMYFUNCTION("""COMPUTED_VALUE"""),"NON_ALL_none_none_130225")</f>
        <v>NON_ALL_none_none_130225</v>
      </c>
      <c r="S27" s="67" t="str">
        <f>IFERROR(__xludf.DUMMYFUNCTION("""COMPUTED_VALUE"""),"KW_DangKyHocTiengAnhOnline_PTAGTTD_LD237")</f>
        <v>KW_DangKyHocTiengAnhOnline_PTAGTTD_LD237</v>
      </c>
      <c r="T27" s="107" t="str">
        <f>IFERROR(__xludf.DUMMYFUNCTION("""COMPUTED_VALUE"""),"https://patadovietnam.edu.vn/hlg_gt_sea/?utm_source=Google&amp;utm_medium=SEA&amp;utm_term=NON_ALL_none_none_130225&amp;utm_content=KW_DangKyHocTiengAnhOnline_PTAGTTD_LD237&amp;utm_campaign=ALL.CPA200_Patado_SEA_HuyLG_130225")</f>
        <v>https://patadovietnam.edu.vn/hlg_gt_sea/?utm_source=Google&amp;utm_medium=SEA&amp;utm_term=NON_ALL_none_none_130225&amp;utm_content=KW_DangKyHocTiengAnhOnline_PTAGTTD_LD237&amp;utm_campaign=ALL.CPA200_Patado_SEA_HuyLG_130225</v>
      </c>
    </row>
    <row r="28">
      <c r="A28" s="72">
        <v>45701.0</v>
      </c>
      <c r="B28" s="60" t="s">
        <v>6754</v>
      </c>
      <c r="C28" s="67" t="str">
        <f>IFERROR(__xludf.DUMMYFUNCTION("""COMPUTED_VALUE"""),"LD237")</f>
        <v>LD237</v>
      </c>
      <c r="D28" s="55" t="s">
        <v>188</v>
      </c>
      <c r="E28" s="55" t="s">
        <v>193</v>
      </c>
      <c r="F28" s="55" t="s">
        <v>625</v>
      </c>
      <c r="G28" s="44" t="s">
        <v>61</v>
      </c>
      <c r="H28" s="55" t="s">
        <v>1131</v>
      </c>
      <c r="I28" s="55" t="s">
        <v>6801</v>
      </c>
      <c r="J28" s="55" t="s">
        <v>6808</v>
      </c>
      <c r="K28" s="55" t="s">
        <v>61</v>
      </c>
      <c r="L28" s="55" t="s">
        <v>1130</v>
      </c>
      <c r="M28" s="55" t="s">
        <v>6770</v>
      </c>
      <c r="N28" s="55" t="s">
        <v>193</v>
      </c>
      <c r="O28" s="55" t="s">
        <v>1768</v>
      </c>
      <c r="P28" s="55" t="s">
        <v>70</v>
      </c>
      <c r="Q28" s="67" t="str">
        <f>IFERROR(__xludf.DUMMYFUNCTION("""COMPUTED_VALUE"""),"KoreaSouth.CPA400_Patado_SEA_HuyLG_130225")</f>
        <v>KoreaSouth.CPA400_Patado_SEA_HuyLG_130225</v>
      </c>
      <c r="R28" s="67" t="str">
        <f>IFERROR(__xludf.DUMMYFUNCTION("""COMPUTED_VALUE"""),"NON_KoreaSouth_none_none_130225")</f>
        <v>NON_KoreaSouth_none_none_130225</v>
      </c>
      <c r="S28" s="67" t="str">
        <f>IFERROR(__xludf.DUMMYFUNCTION("""COMPUTED_VALUE"""),"KW_Hoctienganhtructuyen_PTAGTTD_LD237")</f>
        <v>KW_Hoctienganhtructuyen_PTAGTTD_LD237</v>
      </c>
      <c r="T28" s="107" t="str">
        <f>IFERROR(__xludf.DUMMYFUNCTION("""COMPUTED_VALUE"""),"https://patadovietnam.edu.vn/hlg_gt_sea/?utm_source=Google&amp;utm_medium=SEA&amp;utm_term=NON_KoreaSouth_none_none_130225&amp;utm_content=KW_Hoctienganhtructuyen_PTAGTTD_LD237&amp;utm_campaign=KoreaSouth.CPA400_Patado_SEA_HuyLG_130225")</f>
        <v>https://patadovietnam.edu.vn/hlg_gt_sea/?utm_source=Google&amp;utm_medium=SEA&amp;utm_term=NON_KoreaSouth_none_none_130225&amp;utm_content=KW_Hoctienganhtructuyen_PTAGTTD_LD237&amp;utm_campaign=KoreaSouth.CPA400_Patado_SEA_HuyLG_130225</v>
      </c>
    </row>
    <row r="29">
      <c r="A29" s="72">
        <v>45701.0</v>
      </c>
      <c r="B29" s="60" t="s">
        <v>6754</v>
      </c>
      <c r="C29" s="67" t="str">
        <f>IFERROR(__xludf.DUMMYFUNCTION("""COMPUTED_VALUE"""),"LD237")</f>
        <v>LD237</v>
      </c>
      <c r="D29" s="55" t="s">
        <v>188</v>
      </c>
      <c r="E29" s="55" t="s">
        <v>193</v>
      </c>
      <c r="F29" s="55" t="s">
        <v>625</v>
      </c>
      <c r="G29" s="44" t="s">
        <v>61</v>
      </c>
      <c r="H29" s="55" t="s">
        <v>1131</v>
      </c>
      <c r="I29" s="55" t="s">
        <v>6801</v>
      </c>
      <c r="J29" s="55" t="s">
        <v>6792</v>
      </c>
      <c r="K29" s="55" t="s">
        <v>61</v>
      </c>
      <c r="L29" s="55" t="s">
        <v>1130</v>
      </c>
      <c r="M29" s="55" t="s">
        <v>6770</v>
      </c>
      <c r="N29" s="55" t="s">
        <v>193</v>
      </c>
      <c r="O29" s="55" t="s">
        <v>1768</v>
      </c>
      <c r="P29" s="55" t="s">
        <v>70</v>
      </c>
      <c r="Q29" s="67" t="str">
        <f>IFERROR(__xludf.DUMMYFUNCTION("""COMPUTED_VALUE"""),"KoreaSouth.CPA400_Patado_SEA_HuyLG_130225")</f>
        <v>KoreaSouth.CPA400_Patado_SEA_HuyLG_130225</v>
      </c>
      <c r="R29" s="67" t="str">
        <f>IFERROR(__xludf.DUMMYFUNCTION("""COMPUTED_VALUE"""),"NON_KoreaSouth_none_none_130225")</f>
        <v>NON_KoreaSouth_none_none_130225</v>
      </c>
      <c r="S29" s="67" t="str">
        <f>IFERROR(__xludf.DUMMYFUNCTION("""COMPUTED_VALUE"""),"KW_HocTiengAnhOnline11_PTAGTTD_LD237")</f>
        <v>KW_HocTiengAnhOnline11_PTAGTTD_LD237</v>
      </c>
      <c r="T29" s="107" t="str">
        <f>IFERROR(__xludf.DUMMYFUNCTION("""COMPUTED_VALUE"""),"https://patadovietnam.edu.vn/hlg_gt_sea/?utm_source=Google&amp;utm_medium=SEA&amp;utm_term=NON_KoreaSouth_none_none_130225&amp;utm_content=KW_HocTiengAnhOnline11_PTAGTTD_LD237&amp;utm_campaign=KoreaSouth.CPA400_Patado_SEA_HuyLG_130225")</f>
        <v>https://patadovietnam.edu.vn/hlg_gt_sea/?utm_source=Google&amp;utm_medium=SEA&amp;utm_term=NON_KoreaSouth_none_none_130225&amp;utm_content=KW_HocTiengAnhOnline11_PTAGTTD_LD237&amp;utm_campaign=KoreaSouth.CPA400_Patado_SEA_HuyLG_130225</v>
      </c>
    </row>
    <row r="30">
      <c r="A30" s="72">
        <v>45701.0</v>
      </c>
      <c r="B30" s="60" t="s">
        <v>6754</v>
      </c>
      <c r="C30" s="67" t="str">
        <f>IFERROR(__xludf.DUMMYFUNCTION("""COMPUTED_VALUE"""),"LD237")</f>
        <v>LD237</v>
      </c>
      <c r="D30" s="55" t="s">
        <v>188</v>
      </c>
      <c r="E30" s="55" t="s">
        <v>193</v>
      </c>
      <c r="F30" s="55" t="s">
        <v>625</v>
      </c>
      <c r="G30" s="44" t="s">
        <v>61</v>
      </c>
      <c r="H30" s="55" t="s">
        <v>1131</v>
      </c>
      <c r="I30" s="55" t="s">
        <v>6801</v>
      </c>
      <c r="J30" s="55" t="s">
        <v>6811</v>
      </c>
      <c r="K30" s="55" t="s">
        <v>61</v>
      </c>
      <c r="L30" s="55" t="s">
        <v>1130</v>
      </c>
      <c r="M30" s="55" t="s">
        <v>6770</v>
      </c>
      <c r="N30" s="55" t="s">
        <v>193</v>
      </c>
      <c r="O30" s="55" t="s">
        <v>1768</v>
      </c>
      <c r="P30" s="55" t="s">
        <v>70</v>
      </c>
      <c r="Q30" s="67" t="str">
        <f>IFERROR(__xludf.DUMMYFUNCTION("""COMPUTED_VALUE"""),"KoreaSouth.CPA400_Patado_SEA_HuyLG_130225")</f>
        <v>KoreaSouth.CPA400_Patado_SEA_HuyLG_130225</v>
      </c>
      <c r="R30" s="67" t="str">
        <f>IFERROR(__xludf.DUMMYFUNCTION("""COMPUTED_VALUE"""),"NON_KoreaSouth_none_none_130225")</f>
        <v>NON_KoreaSouth_none_none_130225</v>
      </c>
      <c r="S30" s="67" t="str">
        <f>IFERROR(__xludf.DUMMYFUNCTION("""COMPUTED_VALUE"""),"KW_Daytienganhonline_PTAGTTD_LD237")</f>
        <v>KW_Daytienganhonline_PTAGTTD_LD237</v>
      </c>
      <c r="T30" s="107" t="str">
        <f>IFERROR(__xludf.DUMMYFUNCTION("""COMPUTED_VALUE"""),"https://patadovietnam.edu.vn/hlg_gt_sea/?utm_source=Google&amp;utm_medium=SEA&amp;utm_term=NON_KoreaSouth_none_none_130225&amp;utm_content=KW_Daytienganhonline_PTAGTTD_LD237&amp;utm_campaign=KoreaSouth.CPA400_Patado_SEA_HuyLG_130225")</f>
        <v>https://patadovietnam.edu.vn/hlg_gt_sea/?utm_source=Google&amp;utm_medium=SEA&amp;utm_term=NON_KoreaSouth_none_none_130225&amp;utm_content=KW_Daytienganhonline_PTAGTTD_LD237&amp;utm_campaign=KoreaSouth.CPA400_Patado_SEA_HuyLG_130225</v>
      </c>
    </row>
    <row r="31">
      <c r="A31" s="72">
        <v>45701.0</v>
      </c>
      <c r="B31" s="60" t="s">
        <v>6754</v>
      </c>
      <c r="C31" s="67" t="str">
        <f>IFERROR(__xludf.DUMMYFUNCTION("""COMPUTED_VALUE"""),"LD237")</f>
        <v>LD237</v>
      </c>
      <c r="D31" s="55" t="s">
        <v>188</v>
      </c>
      <c r="E31" s="55" t="s">
        <v>193</v>
      </c>
      <c r="F31" s="55" t="s">
        <v>539</v>
      </c>
      <c r="G31" s="44" t="s">
        <v>61</v>
      </c>
      <c r="H31" s="55" t="s">
        <v>1131</v>
      </c>
      <c r="I31" s="55" t="s">
        <v>6766</v>
      </c>
      <c r="J31" s="55" t="s">
        <v>6768</v>
      </c>
      <c r="K31" s="55" t="s">
        <v>61</v>
      </c>
      <c r="L31" s="55" t="s">
        <v>1130</v>
      </c>
      <c r="M31" s="55" t="s">
        <v>6770</v>
      </c>
      <c r="N31" s="55" t="s">
        <v>193</v>
      </c>
      <c r="O31" s="55" t="s">
        <v>1768</v>
      </c>
      <c r="P31" s="55" t="s">
        <v>70</v>
      </c>
      <c r="Q31" s="67" t="str">
        <f>IFERROR(__xludf.DUMMYFUNCTION("""COMPUTED_VALUE"""),"ALL.CPA100_Patado_SEA_HuyLG_130225")</f>
        <v>ALL.CPA100_Patado_SEA_HuyLG_130225</v>
      </c>
      <c r="R31" s="67" t="str">
        <f>IFERROR(__xludf.DUMMYFUNCTION("""COMPUTED_VALUE"""),"NON_ALL_none_none_130225")</f>
        <v>NON_ALL_none_none_130225</v>
      </c>
      <c r="S31" s="67" t="str">
        <f>IFERROR(__xludf.DUMMYFUNCTION("""COMPUTED_VALUE"""),"KW_HocTiengAnhTrucTuyenChoNguoiDiLam_PTAGTTD_LD237")</f>
        <v>KW_HocTiengAnhTrucTuyenChoNguoiDiLam_PTAGTTD_LD237</v>
      </c>
      <c r="T31" s="107" t="str">
        <f>IFERROR(__xludf.DUMMYFUNCTION("""COMPUTED_VALUE"""),"https://patadovietnam.edu.vn/hlg_gt_sea/?utm_source=Google&amp;utm_medium=SEA&amp;utm_term=NON_ALL_none_none_130225&amp;utm_content=KW_HocTiengAnhTrucTuyenChoNguoiDiLam_PTAGTTD_LD237&amp;utm_campaign=ALL.CPA100_Patado_SEA_HuyLG_130225")</f>
        <v>https://patadovietnam.edu.vn/hlg_gt_sea/?utm_source=Google&amp;utm_medium=SEA&amp;utm_term=NON_ALL_none_none_130225&amp;utm_content=KW_HocTiengAnhTrucTuyenChoNguoiDiLam_PTAGTTD_LD237&amp;utm_campaign=ALL.CPA100_Patado_SEA_HuyLG_130225</v>
      </c>
    </row>
    <row r="32">
      <c r="A32" s="72">
        <v>45701.0</v>
      </c>
      <c r="B32" s="60" t="s">
        <v>6754</v>
      </c>
      <c r="C32" s="67" t="str">
        <f>IFERROR(__xludf.DUMMYFUNCTION("""COMPUTED_VALUE"""),"LD237")</f>
        <v>LD237</v>
      </c>
      <c r="D32" s="55" t="s">
        <v>188</v>
      </c>
      <c r="E32" s="55" t="s">
        <v>193</v>
      </c>
      <c r="F32" s="55" t="s">
        <v>625</v>
      </c>
      <c r="G32" s="44" t="s">
        <v>61</v>
      </c>
      <c r="H32" s="55" t="s">
        <v>1131</v>
      </c>
      <c r="I32" s="55" t="s">
        <v>6801</v>
      </c>
      <c r="J32" s="55" t="s">
        <v>6816</v>
      </c>
      <c r="K32" s="55" t="s">
        <v>61</v>
      </c>
      <c r="L32" s="55" t="s">
        <v>1130</v>
      </c>
      <c r="M32" s="55" t="s">
        <v>6770</v>
      </c>
      <c r="N32" s="55" t="s">
        <v>193</v>
      </c>
      <c r="O32" s="55" t="s">
        <v>1768</v>
      </c>
      <c r="P32" s="55" t="s">
        <v>70</v>
      </c>
      <c r="Q32" s="67" t="str">
        <f>IFERROR(__xludf.DUMMYFUNCTION("""COMPUTED_VALUE"""),"KoreaSouth.CPA400_Patado_SEA_HuyLG_130225")</f>
        <v>KoreaSouth.CPA400_Patado_SEA_HuyLG_130225</v>
      </c>
      <c r="R32" s="67" t="str">
        <f>IFERROR(__xludf.DUMMYFUNCTION("""COMPUTED_VALUE"""),"NON_KoreaSouth_none_none_130225")</f>
        <v>NON_KoreaSouth_none_none_130225</v>
      </c>
      <c r="S32" s="67" t="str">
        <f>IFERROR(__xludf.DUMMYFUNCTION("""COMPUTED_VALUE"""),"KW_Tienganhcoban_PTAGTTD_LD237")</f>
        <v>KW_Tienganhcoban_PTAGTTD_LD237</v>
      </c>
      <c r="T32" s="107" t="str">
        <f>IFERROR(__xludf.DUMMYFUNCTION("""COMPUTED_VALUE"""),"https://patadovietnam.edu.vn/hlg_gt_sea/?utm_source=Google&amp;utm_medium=SEA&amp;utm_term=NON_KoreaSouth_none_none_130225&amp;utm_content=KW_Tienganhcoban_PTAGTTD_LD237&amp;utm_campaign=KoreaSouth.CPA400_Patado_SEA_HuyLG_130225")</f>
        <v>https://patadovietnam.edu.vn/hlg_gt_sea/?utm_source=Google&amp;utm_medium=SEA&amp;utm_term=NON_KoreaSouth_none_none_130225&amp;utm_content=KW_Tienganhcoban_PTAGTTD_LD237&amp;utm_campaign=KoreaSouth.CPA400_Patado_SEA_HuyLG_130225</v>
      </c>
    </row>
    <row r="33">
      <c r="A33" s="72">
        <v>45701.0</v>
      </c>
      <c r="B33" s="60" t="s">
        <v>6754</v>
      </c>
      <c r="C33" s="67" t="str">
        <f>IFERROR(__xludf.DUMMYFUNCTION("""COMPUTED_VALUE"""),"LD237")</f>
        <v>LD237</v>
      </c>
      <c r="D33" s="55" t="s">
        <v>188</v>
      </c>
      <c r="E33" s="55" t="s">
        <v>193</v>
      </c>
      <c r="F33" s="55" t="s">
        <v>625</v>
      </c>
      <c r="G33" s="44" t="s">
        <v>61</v>
      </c>
      <c r="H33" s="55" t="s">
        <v>1131</v>
      </c>
      <c r="I33" s="55" t="s">
        <v>6801</v>
      </c>
      <c r="J33" s="55" t="s">
        <v>6819</v>
      </c>
      <c r="K33" s="55" t="s">
        <v>61</v>
      </c>
      <c r="L33" s="55" t="s">
        <v>1130</v>
      </c>
      <c r="M33" s="55" t="s">
        <v>6770</v>
      </c>
      <c r="N33" s="55" t="s">
        <v>193</v>
      </c>
      <c r="O33" s="55" t="s">
        <v>1768</v>
      </c>
      <c r="P33" s="55" t="s">
        <v>70</v>
      </c>
      <c r="Q33" s="67" t="str">
        <f>IFERROR(__xludf.DUMMYFUNCTION("""COMPUTED_VALUE"""),"KoreaSouth.CPA400_Patado_SEA_HuyLG_130225")</f>
        <v>KoreaSouth.CPA400_Patado_SEA_HuyLG_130225</v>
      </c>
      <c r="R33" s="67" t="str">
        <f>IFERROR(__xludf.DUMMYFUNCTION("""COMPUTED_VALUE"""),"NON_KoreaSouth_none_none_130225")</f>
        <v>NON_KoreaSouth_none_none_130225</v>
      </c>
      <c r="S33" s="67" t="str">
        <f>IFERROR(__xludf.DUMMYFUNCTION("""COMPUTED_VALUE"""),"KW_Tienganhonlinetainha_PTAGTTD_LD237")</f>
        <v>KW_Tienganhonlinetainha_PTAGTTD_LD237</v>
      </c>
      <c r="T33" s="107" t="str">
        <f>IFERROR(__xludf.DUMMYFUNCTION("""COMPUTED_VALUE"""),"https://patadovietnam.edu.vn/hlg_gt_sea/?utm_source=Google&amp;utm_medium=SEA&amp;utm_term=NON_KoreaSouth_none_none_130225&amp;utm_content=KW_Tienganhonlinetainha_PTAGTTD_LD237&amp;utm_campaign=KoreaSouth.CPA400_Patado_SEA_HuyLG_130225")</f>
        <v>https://patadovietnam.edu.vn/hlg_gt_sea/?utm_source=Google&amp;utm_medium=SEA&amp;utm_term=NON_KoreaSouth_none_none_130225&amp;utm_content=KW_Tienganhonlinetainha_PTAGTTD_LD237&amp;utm_campaign=KoreaSouth.CPA400_Patado_SEA_HuyLG_130225</v>
      </c>
    </row>
    <row r="34">
      <c r="A34" s="72">
        <v>45701.0</v>
      </c>
      <c r="B34" s="60" t="s">
        <v>6754</v>
      </c>
      <c r="C34" s="67" t="str">
        <f>IFERROR(__xludf.DUMMYFUNCTION("""COMPUTED_VALUE"""),"LD237")</f>
        <v>LD237</v>
      </c>
      <c r="D34" s="55" t="s">
        <v>188</v>
      </c>
      <c r="E34" s="55" t="s">
        <v>193</v>
      </c>
      <c r="F34" s="55" t="s">
        <v>625</v>
      </c>
      <c r="G34" s="44" t="s">
        <v>61</v>
      </c>
      <c r="H34" s="55" t="s">
        <v>1131</v>
      </c>
      <c r="I34" s="55" t="s">
        <v>6801</v>
      </c>
      <c r="J34" s="55" t="s">
        <v>6822</v>
      </c>
      <c r="K34" s="55" t="s">
        <v>61</v>
      </c>
      <c r="L34" s="55" t="s">
        <v>1130</v>
      </c>
      <c r="M34" s="55" t="s">
        <v>6770</v>
      </c>
      <c r="N34" s="55" t="s">
        <v>193</v>
      </c>
      <c r="O34" s="55" t="s">
        <v>1768</v>
      </c>
      <c r="P34" s="55" t="s">
        <v>70</v>
      </c>
      <c r="Q34" s="67" t="str">
        <f>IFERROR(__xludf.DUMMYFUNCTION("""COMPUTED_VALUE"""),"KoreaSouth.CPA400_Patado_SEA_HuyLG_130225")</f>
        <v>KoreaSouth.CPA400_Patado_SEA_HuyLG_130225</v>
      </c>
      <c r="R34" s="67" t="str">
        <f>IFERROR(__xludf.DUMMYFUNCTION("""COMPUTED_VALUE"""),"NON_KoreaSouth_none_none_130225")</f>
        <v>NON_KoreaSouth_none_none_130225</v>
      </c>
      <c r="S34" s="67" t="str">
        <f>IFERROR(__xludf.DUMMYFUNCTION("""COMPUTED_VALUE"""),"KW_Hoctienhanhonline_PTAGTTD_LD237")</f>
        <v>KW_Hoctienhanhonline_PTAGTTD_LD237</v>
      </c>
      <c r="T34" s="107" t="str">
        <f>IFERROR(__xludf.DUMMYFUNCTION("""COMPUTED_VALUE"""),"https://patadovietnam.edu.vn/hlg_gt_sea/?utm_source=Google&amp;utm_medium=SEA&amp;utm_term=NON_KoreaSouth_none_none_130225&amp;utm_content=KW_Hoctienhanhonline_PTAGTTD_LD237&amp;utm_campaign=KoreaSouth.CPA400_Patado_SEA_HuyLG_130225")</f>
        <v>https://patadovietnam.edu.vn/hlg_gt_sea/?utm_source=Google&amp;utm_medium=SEA&amp;utm_term=NON_KoreaSouth_none_none_130225&amp;utm_content=KW_Hoctienhanhonline_PTAGTTD_LD237&amp;utm_campaign=KoreaSouth.CPA400_Patado_SEA_HuyLG_130225</v>
      </c>
    </row>
    <row r="35">
      <c r="A35" s="72">
        <v>45701.0</v>
      </c>
      <c r="B35" s="60" t="s">
        <v>6754</v>
      </c>
      <c r="C35" s="67" t="str">
        <f>IFERROR(__xludf.DUMMYFUNCTION("""COMPUTED_VALUE"""),"LD237")</f>
        <v>LD237</v>
      </c>
      <c r="D35" s="55" t="s">
        <v>188</v>
      </c>
      <c r="E35" s="55" t="s">
        <v>193</v>
      </c>
      <c r="F35" s="55" t="s">
        <v>625</v>
      </c>
      <c r="G35" s="44" t="s">
        <v>61</v>
      </c>
      <c r="H35" s="55" t="s">
        <v>1131</v>
      </c>
      <c r="I35" s="55" t="s">
        <v>6801</v>
      </c>
      <c r="J35" s="55" t="s">
        <v>6824</v>
      </c>
      <c r="K35" s="55" t="s">
        <v>61</v>
      </c>
      <c r="L35" s="55" t="s">
        <v>1130</v>
      </c>
      <c r="M35" s="55" t="s">
        <v>6770</v>
      </c>
      <c r="N35" s="55" t="s">
        <v>193</v>
      </c>
      <c r="O35" s="55" t="s">
        <v>1768</v>
      </c>
      <c r="P35" s="55" t="s">
        <v>70</v>
      </c>
      <c r="Q35" s="67" t="str">
        <f>IFERROR(__xludf.DUMMYFUNCTION("""COMPUTED_VALUE"""),"KoreaSouth.CPA400_Patado_SEA_HuyLG_130225")</f>
        <v>KoreaSouth.CPA400_Patado_SEA_HuyLG_130225</v>
      </c>
      <c r="R35" s="67" t="str">
        <f>IFERROR(__xludf.DUMMYFUNCTION("""COMPUTED_VALUE"""),"NON_KoreaSouth_none_none_130225")</f>
        <v>NON_KoreaSouth_none_none_130225</v>
      </c>
      <c r="S35" s="67" t="str">
        <f>IFERROR(__xludf.DUMMYFUNCTION("""COMPUTED_VALUE"""),"KW_Hoctienganhchonguoimoibatdau_PTAGTTD_LD237")</f>
        <v>KW_Hoctienganhchonguoimoibatdau_PTAGTTD_LD237</v>
      </c>
      <c r="T35" s="107" t="str">
        <f>IFERROR(__xludf.DUMMYFUNCTION("""COMPUTED_VALUE"""),"https://patadovietnam.edu.vn/hlg_gt_sea/?utm_source=Google&amp;utm_medium=SEA&amp;utm_term=NON_KoreaSouth_none_none_130225&amp;utm_content=KW_Hoctienganhchonguoimoibatdau_PTAGTTD_LD237&amp;utm_campaign=KoreaSouth.CPA400_Patado_SEA_HuyLG_130225")</f>
        <v>https://patadovietnam.edu.vn/hlg_gt_sea/?utm_source=Google&amp;utm_medium=SEA&amp;utm_term=NON_KoreaSouth_none_none_130225&amp;utm_content=KW_Hoctienganhchonguoimoibatdau_PTAGTTD_LD237&amp;utm_campaign=KoreaSouth.CPA400_Patado_SEA_HuyLG_130225</v>
      </c>
    </row>
    <row r="36">
      <c r="A36" s="72">
        <v>45701.0</v>
      </c>
      <c r="B36" s="60" t="s">
        <v>6754</v>
      </c>
      <c r="C36" s="67" t="str">
        <f>IFERROR(__xludf.DUMMYFUNCTION("""COMPUTED_VALUE"""),"LD237")</f>
        <v>LD237</v>
      </c>
      <c r="D36" s="55" t="s">
        <v>188</v>
      </c>
      <c r="E36" s="55" t="s">
        <v>193</v>
      </c>
      <c r="F36" s="55" t="s">
        <v>625</v>
      </c>
      <c r="G36" s="44" t="s">
        <v>61</v>
      </c>
      <c r="H36" s="55" t="s">
        <v>1131</v>
      </c>
      <c r="I36" s="55" t="s">
        <v>6801</v>
      </c>
      <c r="J36" s="55" t="s">
        <v>6827</v>
      </c>
      <c r="K36" s="55" t="s">
        <v>61</v>
      </c>
      <c r="L36" s="55" t="s">
        <v>1130</v>
      </c>
      <c r="M36" s="55" t="s">
        <v>6770</v>
      </c>
      <c r="N36" s="55" t="s">
        <v>193</v>
      </c>
      <c r="O36" s="55" t="s">
        <v>1768</v>
      </c>
      <c r="P36" s="55" t="s">
        <v>70</v>
      </c>
      <c r="Q36" s="67" t="str">
        <f>IFERROR(__xludf.DUMMYFUNCTION("""COMPUTED_VALUE"""),"KoreaSouth.CPA400_Patado_SEA_HuyLG_130225")</f>
        <v>KoreaSouth.CPA400_Patado_SEA_HuyLG_130225</v>
      </c>
      <c r="R36" s="67" t="str">
        <f>IFERROR(__xludf.DUMMYFUNCTION("""COMPUTED_VALUE"""),"NON_KoreaSouth_none_none_130225")</f>
        <v>NON_KoreaSouth_none_none_130225</v>
      </c>
      <c r="S36" s="67" t="str">
        <f>IFERROR(__xludf.DUMMYFUNCTION("""COMPUTED_VALUE"""),"KW_Dangkihoctienganh_PTAGTTD_LD237")</f>
        <v>KW_Dangkihoctienganh_PTAGTTD_LD237</v>
      </c>
      <c r="T36" s="107" t="str">
        <f>IFERROR(__xludf.DUMMYFUNCTION("""COMPUTED_VALUE"""),"https://patadovietnam.edu.vn/hlg_gt_sea/?utm_source=Google&amp;utm_medium=SEA&amp;utm_term=NON_KoreaSouth_none_none_130225&amp;utm_content=KW_Dangkihoctienganh_PTAGTTD_LD237&amp;utm_campaign=KoreaSouth.CPA400_Patado_SEA_HuyLG_130225")</f>
        <v>https://patadovietnam.edu.vn/hlg_gt_sea/?utm_source=Google&amp;utm_medium=SEA&amp;utm_term=NON_KoreaSouth_none_none_130225&amp;utm_content=KW_Dangkihoctienganh_PTAGTTD_LD237&amp;utm_campaign=KoreaSouth.CPA400_Patado_SEA_HuyLG_130225</v>
      </c>
    </row>
    <row r="37">
      <c r="A37" s="72">
        <v>45701.0</v>
      </c>
      <c r="B37" s="60" t="s">
        <v>6754</v>
      </c>
      <c r="C37" s="67" t="str">
        <f>IFERROR(__xludf.DUMMYFUNCTION("""COMPUTED_VALUE"""),"LD237")</f>
        <v>LD237</v>
      </c>
      <c r="D37" s="55" t="s">
        <v>188</v>
      </c>
      <c r="E37" s="55" t="s">
        <v>193</v>
      </c>
      <c r="F37" s="55" t="s">
        <v>625</v>
      </c>
      <c r="G37" s="44" t="s">
        <v>61</v>
      </c>
      <c r="H37" s="55" t="s">
        <v>1131</v>
      </c>
      <c r="I37" s="55" t="s">
        <v>6801</v>
      </c>
      <c r="J37" s="55" t="s">
        <v>6830</v>
      </c>
      <c r="K37" s="55" t="s">
        <v>61</v>
      </c>
      <c r="L37" s="55" t="s">
        <v>1130</v>
      </c>
      <c r="M37" s="55" t="s">
        <v>6770</v>
      </c>
      <c r="N37" s="55" t="s">
        <v>193</v>
      </c>
      <c r="O37" s="55" t="s">
        <v>1768</v>
      </c>
      <c r="P37" s="55" t="s">
        <v>70</v>
      </c>
      <c r="Q37" s="67" t="str">
        <f>IFERROR(__xludf.DUMMYFUNCTION("""COMPUTED_VALUE"""),"KoreaSouth.CPA400_Patado_SEA_HuyLG_130225")</f>
        <v>KoreaSouth.CPA400_Patado_SEA_HuyLG_130225</v>
      </c>
      <c r="R37" s="67" t="str">
        <f>IFERROR(__xludf.DUMMYFUNCTION("""COMPUTED_VALUE"""),"NON_KoreaSouth_none_none_130225")</f>
        <v>NON_KoreaSouth_none_none_130225</v>
      </c>
      <c r="S37" s="67" t="str">
        <f>IFERROR(__xludf.DUMMYFUNCTION("""COMPUTED_VALUE"""),"KW_KhoaHocIeltsOnline_PTAGTTD_LD237")</f>
        <v>KW_KhoaHocIeltsOnline_PTAGTTD_LD237</v>
      </c>
      <c r="T37" s="107" t="str">
        <f>IFERROR(__xludf.DUMMYFUNCTION("""COMPUTED_VALUE"""),"https://patadovietnam.edu.vn/hlg_gt_sea/?utm_source=Google&amp;utm_medium=SEA&amp;utm_term=NON_KoreaSouth_none_none_130225&amp;utm_content=KW_KhoaHocIeltsOnline_PTAGTTD_LD237&amp;utm_campaign=KoreaSouth.CPA400_Patado_SEA_HuyLG_130225")</f>
        <v>https://patadovietnam.edu.vn/hlg_gt_sea/?utm_source=Google&amp;utm_medium=SEA&amp;utm_term=NON_KoreaSouth_none_none_130225&amp;utm_content=KW_KhoaHocIeltsOnline_PTAGTTD_LD237&amp;utm_campaign=KoreaSouth.CPA400_Patado_SEA_HuyLG_130225</v>
      </c>
    </row>
    <row r="38">
      <c r="A38" s="72">
        <v>45701.0</v>
      </c>
      <c r="B38" s="60" t="s">
        <v>6754</v>
      </c>
      <c r="C38" s="67" t="str">
        <f>IFERROR(__xludf.DUMMYFUNCTION("""COMPUTED_VALUE"""),"LD237")</f>
        <v>LD237</v>
      </c>
      <c r="D38" s="55" t="s">
        <v>188</v>
      </c>
      <c r="E38" s="55" t="s">
        <v>193</v>
      </c>
      <c r="F38" s="55" t="s">
        <v>625</v>
      </c>
      <c r="G38" s="44" t="s">
        <v>61</v>
      </c>
      <c r="H38" s="55" t="s">
        <v>1131</v>
      </c>
      <c r="I38" s="55" t="s">
        <v>6801</v>
      </c>
      <c r="J38" s="238" t="s">
        <v>6795</v>
      </c>
      <c r="K38" s="55" t="s">
        <v>61</v>
      </c>
      <c r="L38" s="55" t="s">
        <v>1130</v>
      </c>
      <c r="M38" s="55" t="s">
        <v>6770</v>
      </c>
      <c r="N38" s="55" t="s">
        <v>193</v>
      </c>
      <c r="O38" s="55" t="s">
        <v>1768</v>
      </c>
      <c r="P38" s="55" t="s">
        <v>70</v>
      </c>
      <c r="Q38" s="67" t="str">
        <f>IFERROR(__xludf.DUMMYFUNCTION("""COMPUTED_VALUE"""),"KoreaSouth.CPA400_Patado_SEA_HuyLG_130225")</f>
        <v>KoreaSouth.CPA400_Patado_SEA_HuyLG_130225</v>
      </c>
      <c r="R38" s="67" t="str">
        <f>IFERROR(__xludf.DUMMYFUNCTION("""COMPUTED_VALUE"""),"NON_KoreaSouth_none_none_130225")</f>
        <v>NON_KoreaSouth_none_none_130225</v>
      </c>
      <c r="S38" s="67" t="str">
        <f>IFERROR(__xludf.DUMMYFUNCTION("""COMPUTED_VALUE"""),"KW_Hoctienganhchung_PTAGTTD_LD237")</f>
        <v>KW_Hoctienganhchung_PTAGTTD_LD237</v>
      </c>
      <c r="T38" s="107" t="str">
        <f>IFERROR(__xludf.DUMMYFUNCTION("""COMPUTED_VALUE"""),"https://patadovietnam.edu.vn/hlg_gt_sea/?utm_source=Google&amp;utm_medium=SEA&amp;utm_term=NON_KoreaSouth_none_none_130225&amp;utm_content=KW_Hoctienganhchung_PTAGTTD_LD237&amp;utm_campaign=KoreaSouth.CPA400_Patado_SEA_HuyLG_130225")</f>
        <v>https://patadovietnam.edu.vn/hlg_gt_sea/?utm_source=Google&amp;utm_medium=SEA&amp;utm_term=NON_KoreaSouth_none_none_130225&amp;utm_content=KW_Hoctienganhchung_PTAGTTD_LD237&amp;utm_campaign=KoreaSouth.CPA400_Patado_SEA_HuyLG_130225</v>
      </c>
    </row>
    <row r="39">
      <c r="A39" s="72">
        <v>45701.0</v>
      </c>
      <c r="B39" s="60" t="s">
        <v>6754</v>
      </c>
      <c r="C39" s="67" t="str">
        <f>IFERROR(__xludf.DUMMYFUNCTION("""COMPUTED_VALUE"""),"LD237")</f>
        <v>LD237</v>
      </c>
      <c r="D39" s="55" t="s">
        <v>188</v>
      </c>
      <c r="E39" s="55" t="s">
        <v>193</v>
      </c>
      <c r="F39" s="55" t="s">
        <v>625</v>
      </c>
      <c r="G39" s="44" t="s">
        <v>61</v>
      </c>
      <c r="H39" s="55" t="s">
        <v>1131</v>
      </c>
      <c r="I39" s="55" t="s">
        <v>6801</v>
      </c>
      <c r="J39" s="238" t="s">
        <v>6833</v>
      </c>
      <c r="K39" s="55" t="s">
        <v>61</v>
      </c>
      <c r="L39" s="55" t="s">
        <v>1130</v>
      </c>
      <c r="M39" s="55" t="s">
        <v>6770</v>
      </c>
      <c r="N39" s="55" t="s">
        <v>193</v>
      </c>
      <c r="O39" s="55" t="s">
        <v>1768</v>
      </c>
      <c r="P39" s="55" t="s">
        <v>70</v>
      </c>
      <c r="Q39" s="67" t="str">
        <f>IFERROR(__xludf.DUMMYFUNCTION("""COMPUTED_VALUE"""),"KoreaSouth.CPA400_Patado_SEA_HuyLG_130225")</f>
        <v>KoreaSouth.CPA400_Patado_SEA_HuyLG_130225</v>
      </c>
      <c r="R39" s="67" t="str">
        <f>IFERROR(__xludf.DUMMYFUNCTION("""COMPUTED_VALUE"""),"NON_KoreaSouth_none_none_130225")</f>
        <v>NON_KoreaSouth_none_none_130225</v>
      </c>
      <c r="S39" s="67" t="str">
        <f>IFERROR(__xludf.DUMMYFUNCTION("""COMPUTED_VALUE"""),"KW_HocTiengAnhTrucTuyenOnline_PTAGTTD_LD237")</f>
        <v>KW_HocTiengAnhTrucTuyenOnline_PTAGTTD_LD237</v>
      </c>
      <c r="T39" s="107" t="str">
        <f>IFERROR(__xludf.DUMMYFUNCTION("""COMPUTED_VALUE"""),"https://patadovietnam.edu.vn/hlg_gt_sea/?utm_source=Google&amp;utm_medium=SEA&amp;utm_term=NON_KoreaSouth_none_none_130225&amp;utm_content=KW_HocTiengAnhTrucTuyenOnline_PTAGTTD_LD237&amp;utm_campaign=KoreaSouth.CPA400_Patado_SEA_HuyLG_130225")</f>
        <v>https://patadovietnam.edu.vn/hlg_gt_sea/?utm_source=Google&amp;utm_medium=SEA&amp;utm_term=NON_KoreaSouth_none_none_130225&amp;utm_content=KW_HocTiengAnhTrucTuyenOnline_PTAGTTD_LD237&amp;utm_campaign=KoreaSouth.CPA400_Patado_SEA_HuyLG_130225</v>
      </c>
    </row>
    <row r="40">
      <c r="A40" s="72">
        <v>45701.0</v>
      </c>
      <c r="B40" s="60" t="s">
        <v>6754</v>
      </c>
      <c r="C40" s="67" t="str">
        <f>IFERROR(__xludf.DUMMYFUNCTION("""COMPUTED_VALUE"""),"LD237")</f>
        <v>LD237</v>
      </c>
      <c r="D40" s="55" t="s">
        <v>188</v>
      </c>
      <c r="E40" s="55" t="s">
        <v>193</v>
      </c>
      <c r="F40" s="55" t="s">
        <v>625</v>
      </c>
      <c r="G40" s="44" t="s">
        <v>61</v>
      </c>
      <c r="H40" s="55" t="s">
        <v>1131</v>
      </c>
      <c r="I40" s="55" t="s">
        <v>6801</v>
      </c>
      <c r="J40" s="238" t="s">
        <v>6791</v>
      </c>
      <c r="K40" s="55" t="s">
        <v>61</v>
      </c>
      <c r="L40" s="55" t="s">
        <v>1130</v>
      </c>
      <c r="M40" s="55" t="s">
        <v>6770</v>
      </c>
      <c r="N40" s="55" t="s">
        <v>193</v>
      </c>
      <c r="O40" s="55" t="s">
        <v>1768</v>
      </c>
      <c r="P40" s="55" t="s">
        <v>70</v>
      </c>
      <c r="Q40" s="67" t="str">
        <f>IFERROR(__xludf.DUMMYFUNCTION("""COMPUTED_VALUE"""),"KoreaSouth.CPA400_Patado_SEA_HuyLG_130225")</f>
        <v>KoreaSouth.CPA400_Patado_SEA_HuyLG_130225</v>
      </c>
      <c r="R40" s="67" t="str">
        <f>IFERROR(__xludf.DUMMYFUNCTION("""COMPUTED_VALUE"""),"NON_KoreaSouth_none_none_130225")</f>
        <v>NON_KoreaSouth_none_none_130225</v>
      </c>
      <c r="S40" s="67" t="str">
        <f>IFERROR(__xludf.DUMMYFUNCTION("""COMPUTED_VALUE"""),"KW_TiengAnhGiaoTiep_PTAGTTD_LD237")</f>
        <v>KW_TiengAnhGiaoTiep_PTAGTTD_LD237</v>
      </c>
      <c r="T40" s="107" t="str">
        <f>IFERROR(__xludf.DUMMYFUNCTION("""COMPUTED_VALUE"""),"https://patadovietnam.edu.vn/hlg_gt_sea/?utm_source=Google&amp;utm_medium=SEA&amp;utm_term=NON_KoreaSouth_none_none_130225&amp;utm_content=KW_TiengAnhGiaoTiep_PTAGTTD_LD237&amp;utm_campaign=KoreaSouth.CPA400_Patado_SEA_HuyLG_130225")</f>
        <v>https://patadovietnam.edu.vn/hlg_gt_sea/?utm_source=Google&amp;utm_medium=SEA&amp;utm_term=NON_KoreaSouth_none_none_130225&amp;utm_content=KW_TiengAnhGiaoTiep_PTAGTTD_LD237&amp;utm_campaign=KoreaSouth.CPA400_Patado_SEA_HuyLG_130225</v>
      </c>
    </row>
    <row r="41">
      <c r="A41" s="72">
        <v>45701.0</v>
      </c>
      <c r="B41" s="60" t="s">
        <v>6754</v>
      </c>
      <c r="C41" s="67" t="str">
        <f>IFERROR(__xludf.DUMMYFUNCTION("""COMPUTED_VALUE"""),"LD237")</f>
        <v>LD237</v>
      </c>
      <c r="D41" s="55" t="s">
        <v>188</v>
      </c>
      <c r="E41" s="55" t="s">
        <v>193</v>
      </c>
      <c r="F41" s="55" t="s">
        <v>625</v>
      </c>
      <c r="G41" s="44" t="s">
        <v>61</v>
      </c>
      <c r="H41" s="55" t="s">
        <v>1131</v>
      </c>
      <c r="I41" s="55" t="s">
        <v>6801</v>
      </c>
      <c r="J41" s="238" t="s">
        <v>6836</v>
      </c>
      <c r="K41" s="55" t="s">
        <v>61</v>
      </c>
      <c r="L41" s="55" t="s">
        <v>1130</v>
      </c>
      <c r="M41" s="55" t="s">
        <v>6770</v>
      </c>
      <c r="N41" s="55" t="s">
        <v>193</v>
      </c>
      <c r="O41" s="55" t="s">
        <v>1768</v>
      </c>
      <c r="P41" s="55" t="s">
        <v>70</v>
      </c>
      <c r="Q41" s="67" t="str">
        <f>IFERROR(__xludf.DUMMYFUNCTION("""COMPUTED_VALUE"""),"KoreaSouth.CPA400_Patado_SEA_HuyLG_130225")</f>
        <v>KoreaSouth.CPA400_Patado_SEA_HuyLG_130225</v>
      </c>
      <c r="R41" s="67" t="str">
        <f>IFERROR(__xludf.DUMMYFUNCTION("""COMPUTED_VALUE"""),"NON_KoreaSouth_none_none_130225")</f>
        <v>NON_KoreaSouth_none_none_130225</v>
      </c>
      <c r="S41" s="67" t="str">
        <f>IFERROR(__xludf.DUMMYFUNCTION("""COMPUTED_VALUE"""),"KW_Tienganhmatgoc_PTAGTTD_LD237")</f>
        <v>KW_Tienganhmatgoc_PTAGTTD_LD237</v>
      </c>
      <c r="T41" s="107" t="str">
        <f>IFERROR(__xludf.DUMMYFUNCTION("""COMPUTED_VALUE"""),"https://patadovietnam.edu.vn/hlg_gt_sea/?utm_source=Google&amp;utm_medium=SEA&amp;utm_term=NON_KoreaSouth_none_none_130225&amp;utm_content=KW_Tienganhmatgoc_PTAGTTD_LD237&amp;utm_campaign=KoreaSouth.CPA400_Patado_SEA_HuyLG_130225")</f>
        <v>https://patadovietnam.edu.vn/hlg_gt_sea/?utm_source=Google&amp;utm_medium=SEA&amp;utm_term=NON_KoreaSouth_none_none_130225&amp;utm_content=KW_Tienganhmatgoc_PTAGTTD_LD237&amp;utm_campaign=KoreaSouth.CPA400_Patado_SEA_HuyLG_130225</v>
      </c>
    </row>
    <row r="42">
      <c r="A42" s="72">
        <v>45701.0</v>
      </c>
      <c r="B42" s="60" t="s">
        <v>6754</v>
      </c>
      <c r="C42" s="67" t="str">
        <f>IFERROR(__xludf.DUMMYFUNCTION("""COMPUTED_VALUE"""),"LD237")</f>
        <v>LD237</v>
      </c>
      <c r="D42" s="55" t="s">
        <v>188</v>
      </c>
      <c r="E42" s="55" t="s">
        <v>193</v>
      </c>
      <c r="F42" s="55" t="s">
        <v>625</v>
      </c>
      <c r="G42" s="44" t="s">
        <v>61</v>
      </c>
      <c r="H42" s="55" t="s">
        <v>1131</v>
      </c>
      <c r="I42" s="55" t="s">
        <v>6801</v>
      </c>
      <c r="J42" s="55" t="s">
        <v>6840</v>
      </c>
      <c r="K42" s="55" t="s">
        <v>61</v>
      </c>
      <c r="L42" s="55" t="s">
        <v>1130</v>
      </c>
      <c r="M42" s="55" t="s">
        <v>6770</v>
      </c>
      <c r="N42" s="55" t="s">
        <v>193</v>
      </c>
      <c r="O42" s="55" t="s">
        <v>1768</v>
      </c>
      <c r="P42" s="55" t="s">
        <v>70</v>
      </c>
      <c r="Q42" s="67" t="str">
        <f>IFERROR(__xludf.DUMMYFUNCTION("""COMPUTED_VALUE"""),"KoreaSouth.CPA400_Patado_SEA_HuyLG_130225")</f>
        <v>KoreaSouth.CPA400_Patado_SEA_HuyLG_130225</v>
      </c>
      <c r="R42" s="67" t="str">
        <f>IFERROR(__xludf.DUMMYFUNCTION("""COMPUTED_VALUE"""),"NON_KoreaSouth_none_none_130225")</f>
        <v>NON_KoreaSouth_none_none_130225</v>
      </c>
      <c r="S42" s="67" t="str">
        <f>IFERROR(__xludf.DUMMYFUNCTION("""COMPUTED_VALUE"""),"KW_Chuongtrinhhoctienganh_PTAGTTD_LD237")</f>
        <v>KW_Chuongtrinhhoctienganh_PTAGTTD_LD237</v>
      </c>
      <c r="T42" s="120" t="str">
        <f>IFERROR(__xludf.DUMMYFUNCTION("""COMPUTED_VALUE"""),"https://patadovietnam.edu.vn/hlg_gt_sea/?utm_source=Google&amp;utm_medium=SEA&amp;utm_term=NON_KoreaSouth_none_none_130225&amp;utm_content=KW_Chuongtrinhhoctienganh_PTAGTTD_LD237&amp;utm_campaign=KoreaSouth.CPA400_Patado_SEA_HuyLG_130225")</f>
        <v>https://patadovietnam.edu.vn/hlg_gt_sea/?utm_source=Google&amp;utm_medium=SEA&amp;utm_term=NON_KoreaSouth_none_none_130225&amp;utm_content=KW_Chuongtrinhhoctienganh_PTAGTTD_LD237&amp;utm_campaign=KoreaSouth.CPA400_Patado_SEA_HuyLG_130225</v>
      </c>
    </row>
    <row r="43">
      <c r="A43" s="72">
        <v>45701.0</v>
      </c>
      <c r="B43" s="60" t="s">
        <v>6754</v>
      </c>
      <c r="C43" s="67" t="str">
        <f>IFERROR(__xludf.DUMMYFUNCTION("""COMPUTED_VALUE"""),"LD237")</f>
        <v>LD237</v>
      </c>
      <c r="D43" s="55" t="s">
        <v>188</v>
      </c>
      <c r="E43" s="55" t="s">
        <v>193</v>
      </c>
      <c r="F43" s="55" t="s">
        <v>625</v>
      </c>
      <c r="G43" s="44" t="s">
        <v>61</v>
      </c>
      <c r="H43" s="55" t="s">
        <v>1131</v>
      </c>
      <c r="I43" s="55" t="s">
        <v>6801</v>
      </c>
      <c r="J43" s="238" t="s">
        <v>6843</v>
      </c>
      <c r="K43" s="55" t="s">
        <v>61</v>
      </c>
      <c r="L43" s="55" t="s">
        <v>1130</v>
      </c>
      <c r="M43" s="55" t="s">
        <v>6770</v>
      </c>
      <c r="N43" s="55" t="s">
        <v>193</v>
      </c>
      <c r="O43" s="55" t="s">
        <v>1768</v>
      </c>
      <c r="P43" s="55" t="s">
        <v>70</v>
      </c>
      <c r="Q43" s="67" t="str">
        <f>IFERROR(__xludf.DUMMYFUNCTION("""COMPUTED_VALUE"""),"KoreaSouth.CPA400_Patado_SEA_HuyLG_130225")</f>
        <v>KoreaSouth.CPA400_Patado_SEA_HuyLG_130225</v>
      </c>
      <c r="R43" s="67" t="str">
        <f>IFERROR(__xludf.DUMMYFUNCTION("""COMPUTED_VALUE"""),"NON_KoreaSouth_none_none_130225")</f>
        <v>NON_KoreaSouth_none_none_130225</v>
      </c>
      <c r="S43" s="67" t="str">
        <f>IFERROR(__xludf.DUMMYFUNCTION("""COMPUTED_VALUE"""),"KW_HocTiengAnh_PTAGTTD_LD237")</f>
        <v>KW_HocTiengAnh_PTAGTTD_LD237</v>
      </c>
      <c r="T43" s="107" t="str">
        <f>IFERROR(__xludf.DUMMYFUNCTION("""COMPUTED_VALUE"""),"https://patadovietnam.edu.vn/hlg_gt_sea/?utm_source=Google&amp;utm_medium=SEA&amp;utm_term=NON_KoreaSouth_none_none_130225&amp;utm_content=KW_HocTiengAnh_PTAGTTD_LD237&amp;utm_campaign=KoreaSouth.CPA400_Patado_SEA_HuyLG_130225")</f>
        <v>https://patadovietnam.edu.vn/hlg_gt_sea/?utm_source=Google&amp;utm_medium=SEA&amp;utm_term=NON_KoreaSouth_none_none_130225&amp;utm_content=KW_HocTiengAnh_PTAGTTD_LD237&amp;utm_campaign=KoreaSouth.CPA400_Patado_SEA_HuyLG_130225</v>
      </c>
    </row>
    <row r="44">
      <c r="A44" s="72">
        <v>45701.0</v>
      </c>
      <c r="B44" s="60" t="s">
        <v>6754</v>
      </c>
      <c r="C44" s="67" t="str">
        <f>IFERROR(__xludf.DUMMYFUNCTION("""COMPUTED_VALUE"""),"LD237")</f>
        <v>LD237</v>
      </c>
      <c r="D44" s="55" t="s">
        <v>188</v>
      </c>
      <c r="E44" s="55" t="s">
        <v>193</v>
      </c>
      <c r="F44" s="55" t="s">
        <v>625</v>
      </c>
      <c r="G44" s="44" t="s">
        <v>61</v>
      </c>
      <c r="H44" s="55" t="s">
        <v>1131</v>
      </c>
      <c r="I44" s="55" t="s">
        <v>6801</v>
      </c>
      <c r="J44" s="238" t="s">
        <v>6845</v>
      </c>
      <c r="K44" s="55" t="s">
        <v>61</v>
      </c>
      <c r="L44" s="55" t="s">
        <v>1130</v>
      </c>
      <c r="M44" s="55" t="s">
        <v>6770</v>
      </c>
      <c r="N44" s="55" t="s">
        <v>193</v>
      </c>
      <c r="O44" s="55" t="s">
        <v>1768</v>
      </c>
      <c r="P44" s="55" t="s">
        <v>70</v>
      </c>
      <c r="Q44" s="67" t="str">
        <f>IFERROR(__xludf.DUMMYFUNCTION("""COMPUTED_VALUE"""),"KoreaSouth.CPA400_Patado_SEA_HuyLG_130225")</f>
        <v>KoreaSouth.CPA400_Patado_SEA_HuyLG_130225</v>
      </c>
      <c r="R44" s="67" t="str">
        <f>IFERROR(__xludf.DUMMYFUNCTION("""COMPUTED_VALUE"""),"NON_KoreaSouth_none_none_130225")</f>
        <v>NON_KoreaSouth_none_none_130225</v>
      </c>
      <c r="S44" s="67" t="str">
        <f>IFERROR(__xludf.DUMMYFUNCTION("""COMPUTED_VALUE"""),"KW_Tienganhchonguoidilam_PTAGTTD_LD237")</f>
        <v>KW_Tienganhchonguoidilam_PTAGTTD_LD237</v>
      </c>
      <c r="T44" s="107" t="str">
        <f>IFERROR(__xludf.DUMMYFUNCTION("""COMPUTED_VALUE"""),"https://patadovietnam.edu.vn/hlg_gt_sea/?utm_source=Google&amp;utm_medium=SEA&amp;utm_term=NON_KoreaSouth_none_none_130225&amp;utm_content=KW_Tienganhchonguoidilam_PTAGTTD_LD237&amp;utm_campaign=KoreaSouth.CPA400_Patado_SEA_HuyLG_130225")</f>
        <v>https://patadovietnam.edu.vn/hlg_gt_sea/?utm_source=Google&amp;utm_medium=SEA&amp;utm_term=NON_KoreaSouth_none_none_130225&amp;utm_content=KW_Tienganhchonguoidilam_PTAGTTD_LD237&amp;utm_campaign=KoreaSouth.CPA400_Patado_SEA_HuyLG_130225</v>
      </c>
    </row>
    <row r="45">
      <c r="A45" s="72">
        <v>45701.0</v>
      </c>
      <c r="B45" s="60" t="s">
        <v>6754</v>
      </c>
      <c r="C45" s="67" t="str">
        <f>IFERROR(__xludf.DUMMYFUNCTION("""COMPUTED_VALUE"""),"LD237")</f>
        <v>LD237</v>
      </c>
      <c r="D45" s="55" t="s">
        <v>188</v>
      </c>
      <c r="E45" s="55" t="s">
        <v>193</v>
      </c>
      <c r="F45" s="55" t="s">
        <v>625</v>
      </c>
      <c r="G45" s="44" t="s">
        <v>61</v>
      </c>
      <c r="H45" s="55" t="s">
        <v>1131</v>
      </c>
      <c r="I45" s="55" t="s">
        <v>6801</v>
      </c>
      <c r="J45" s="55" t="s">
        <v>6848</v>
      </c>
      <c r="K45" s="55" t="s">
        <v>61</v>
      </c>
      <c r="L45" s="55" t="s">
        <v>1130</v>
      </c>
      <c r="M45" s="55" t="s">
        <v>6770</v>
      </c>
      <c r="N45" s="55" t="s">
        <v>193</v>
      </c>
      <c r="O45" s="55" t="s">
        <v>1768</v>
      </c>
      <c r="P45" s="55" t="s">
        <v>70</v>
      </c>
      <c r="Q45" s="67" t="str">
        <f>IFERROR(__xludf.DUMMYFUNCTION("""COMPUTED_VALUE"""),"KoreaSouth.CPA400_Patado_SEA_HuyLG_130225")</f>
        <v>KoreaSouth.CPA400_Patado_SEA_HuyLG_130225</v>
      </c>
      <c r="R45" s="67" t="str">
        <f>IFERROR(__xludf.DUMMYFUNCTION("""COMPUTED_VALUE"""),"NON_KoreaSouth_none_none_130225")</f>
        <v>NON_KoreaSouth_none_none_130225</v>
      </c>
      <c r="S45" s="67" t="str">
        <f>IFERROR(__xludf.DUMMYFUNCTION("""COMPUTED_VALUE"""),"KW_HocTiengAnhOnlineChoNguoiMatGoc_PTAGTTD_LD237")</f>
        <v>KW_HocTiengAnhOnlineChoNguoiMatGoc_PTAGTTD_LD237</v>
      </c>
      <c r="T45" s="107" t="str">
        <f>IFERROR(__xludf.DUMMYFUNCTION("""COMPUTED_VALUE"""),"https://patadovietnam.edu.vn/hlg_gt_sea/?utm_source=Google&amp;utm_medium=SEA&amp;utm_term=NON_KoreaSouth_none_none_130225&amp;utm_content=KW_HocTiengAnhOnlineChoNguoiMatGoc_PTAGTTD_LD237&amp;utm_campaign=KoreaSouth.CPA400_Patado_SEA_HuyLG_130225")</f>
        <v>https://patadovietnam.edu.vn/hlg_gt_sea/?utm_source=Google&amp;utm_medium=SEA&amp;utm_term=NON_KoreaSouth_none_none_130225&amp;utm_content=KW_HocTiengAnhOnlineChoNguoiMatGoc_PTAGTTD_LD237&amp;utm_campaign=KoreaSouth.CPA400_Patado_SEA_HuyLG_130225</v>
      </c>
    </row>
    <row r="46">
      <c r="A46" s="72">
        <v>45701.0</v>
      </c>
      <c r="B46" s="60" t="s">
        <v>6754</v>
      </c>
      <c r="C46" s="67" t="str">
        <f>IFERROR(__xludf.DUMMYFUNCTION("""COMPUTED_VALUE"""),"LD237")</f>
        <v>LD237</v>
      </c>
      <c r="D46" s="55" t="s">
        <v>188</v>
      </c>
      <c r="E46" s="55" t="s">
        <v>193</v>
      </c>
      <c r="F46" s="55" t="s">
        <v>625</v>
      </c>
      <c r="G46" s="44" t="s">
        <v>61</v>
      </c>
      <c r="H46" s="55" t="s">
        <v>1131</v>
      </c>
      <c r="I46" s="55" t="s">
        <v>6801</v>
      </c>
      <c r="J46" s="55" t="s">
        <v>2471</v>
      </c>
      <c r="K46" s="55" t="s">
        <v>61</v>
      </c>
      <c r="L46" s="55" t="s">
        <v>1130</v>
      </c>
      <c r="M46" s="55" t="s">
        <v>6770</v>
      </c>
      <c r="N46" s="55" t="s">
        <v>193</v>
      </c>
      <c r="O46" s="55" t="s">
        <v>1768</v>
      </c>
      <c r="P46" s="55" t="s">
        <v>70</v>
      </c>
      <c r="Q46" s="67" t="str">
        <f>IFERROR(__xludf.DUMMYFUNCTION("""COMPUTED_VALUE"""),"KoreaSouth.CPA400_Patado_SEA_HuyLG_130225")</f>
        <v>KoreaSouth.CPA400_Patado_SEA_HuyLG_130225</v>
      </c>
      <c r="R46" s="67" t="str">
        <f>IFERROR(__xludf.DUMMYFUNCTION("""COMPUTED_VALUE"""),"NON_KoreaSouth_none_none_130225")</f>
        <v>NON_KoreaSouth_none_none_130225</v>
      </c>
      <c r="S46" s="67" t="str">
        <f>IFERROR(__xludf.DUMMYFUNCTION("""COMPUTED_VALUE"""),"KW_Tienganhquamang_PTAGTTD_LD237")</f>
        <v>KW_Tienganhquamang_PTAGTTD_LD237</v>
      </c>
      <c r="T46" s="107" t="str">
        <f>IFERROR(__xludf.DUMMYFUNCTION("""COMPUTED_VALUE"""),"https://patadovietnam.edu.vn/hlg_gt_sea/?utm_source=Google&amp;utm_medium=SEA&amp;utm_term=NON_KoreaSouth_none_none_130225&amp;utm_content=KW_Tienganhquamang_PTAGTTD_LD237&amp;utm_campaign=KoreaSouth.CPA400_Patado_SEA_HuyLG_130225")</f>
        <v>https://patadovietnam.edu.vn/hlg_gt_sea/?utm_source=Google&amp;utm_medium=SEA&amp;utm_term=NON_KoreaSouth_none_none_130225&amp;utm_content=KW_Tienganhquamang_PTAGTTD_LD237&amp;utm_campaign=KoreaSouth.CPA400_Patado_SEA_HuyLG_130225</v>
      </c>
    </row>
    <row r="47">
      <c r="A47" s="72">
        <v>45701.0</v>
      </c>
      <c r="B47" s="60" t="s">
        <v>6754</v>
      </c>
      <c r="C47" s="67" t="str">
        <f>IFERROR(__xludf.DUMMYFUNCTION("""COMPUTED_VALUE"""),"LD237")</f>
        <v>LD237</v>
      </c>
      <c r="D47" s="55" t="s">
        <v>188</v>
      </c>
      <c r="E47" s="55" t="s">
        <v>193</v>
      </c>
      <c r="F47" s="55" t="s">
        <v>625</v>
      </c>
      <c r="G47" s="44" t="s">
        <v>61</v>
      </c>
      <c r="H47" s="55" t="s">
        <v>1131</v>
      </c>
      <c r="I47" s="55" t="s">
        <v>6801</v>
      </c>
      <c r="J47" s="55" t="s">
        <v>6853</v>
      </c>
      <c r="K47" s="55" t="s">
        <v>61</v>
      </c>
      <c r="L47" s="55" t="s">
        <v>1130</v>
      </c>
      <c r="M47" s="55" t="s">
        <v>6770</v>
      </c>
      <c r="N47" s="55" t="s">
        <v>193</v>
      </c>
      <c r="O47" s="55" t="s">
        <v>1768</v>
      </c>
      <c r="P47" s="55" t="s">
        <v>70</v>
      </c>
      <c r="Q47" s="67" t="str">
        <f>IFERROR(__xludf.DUMMYFUNCTION("""COMPUTED_VALUE"""),"KoreaSouth.CPA400_Patado_SEA_HuyLG_130225")</f>
        <v>KoreaSouth.CPA400_Patado_SEA_HuyLG_130225</v>
      </c>
      <c r="R47" s="67" t="str">
        <f>IFERROR(__xludf.DUMMYFUNCTION("""COMPUTED_VALUE"""),"NON_KoreaSouth_none_none_130225")</f>
        <v>NON_KoreaSouth_none_none_130225</v>
      </c>
      <c r="S47" s="67" t="str">
        <f>IFERROR(__xludf.DUMMYFUNCTION("""COMPUTED_VALUE"""),"KW_Tienganhtrenmang_PTAGTTD_LD237")</f>
        <v>KW_Tienganhtrenmang_PTAGTTD_LD237</v>
      </c>
      <c r="T47" s="107" t="str">
        <f>IFERROR(__xludf.DUMMYFUNCTION("""COMPUTED_VALUE"""),"https://patadovietnam.edu.vn/hlg_gt_sea/?utm_source=Google&amp;utm_medium=SEA&amp;utm_term=NON_KoreaSouth_none_none_130225&amp;utm_content=KW_Tienganhtrenmang_PTAGTTD_LD237&amp;utm_campaign=KoreaSouth.CPA400_Patado_SEA_HuyLG_130225")</f>
        <v>https://patadovietnam.edu.vn/hlg_gt_sea/?utm_source=Google&amp;utm_medium=SEA&amp;utm_term=NON_KoreaSouth_none_none_130225&amp;utm_content=KW_Tienganhtrenmang_PTAGTTD_LD237&amp;utm_campaign=KoreaSouth.CPA400_Patado_SEA_HuyLG_130225</v>
      </c>
    </row>
    <row r="48">
      <c r="A48" s="72">
        <v>45701.0</v>
      </c>
      <c r="B48" s="60" t="s">
        <v>6754</v>
      </c>
      <c r="C48" s="67" t="str">
        <f>IFERROR(__xludf.DUMMYFUNCTION("""COMPUTED_VALUE"""),"LD237")</f>
        <v>LD237</v>
      </c>
      <c r="D48" s="55" t="s">
        <v>188</v>
      </c>
      <c r="E48" s="55" t="s">
        <v>193</v>
      </c>
      <c r="F48" s="55" t="s">
        <v>625</v>
      </c>
      <c r="G48" s="44" t="s">
        <v>61</v>
      </c>
      <c r="H48" s="55" t="s">
        <v>1131</v>
      </c>
      <c r="I48" s="55" t="s">
        <v>6801</v>
      </c>
      <c r="J48" s="55" t="s">
        <v>6856</v>
      </c>
      <c r="K48" s="55" t="s">
        <v>61</v>
      </c>
      <c r="L48" s="55" t="s">
        <v>1130</v>
      </c>
      <c r="M48" s="55" t="s">
        <v>6770</v>
      </c>
      <c r="N48" s="55" t="s">
        <v>193</v>
      </c>
      <c r="O48" s="55" t="s">
        <v>1768</v>
      </c>
      <c r="P48" s="55" t="s">
        <v>70</v>
      </c>
      <c r="Q48" s="67" t="str">
        <f>IFERROR(__xludf.DUMMYFUNCTION("""COMPUTED_VALUE"""),"KoreaSouth.CPA400_Patado_SEA_HuyLG_130225")</f>
        <v>KoreaSouth.CPA400_Patado_SEA_HuyLG_130225</v>
      </c>
      <c r="R48" s="67" t="str">
        <f>IFERROR(__xludf.DUMMYFUNCTION("""COMPUTED_VALUE"""),"NON_KoreaSouth_none_none_130225")</f>
        <v>NON_KoreaSouth_none_none_130225</v>
      </c>
      <c r="S48" s="67" t="str">
        <f>IFERROR(__xludf.DUMMYFUNCTION("""COMPUTED_VALUE"""),"KW_Tienganhgiaotieptainha_PTAGTTD_LD237")</f>
        <v>KW_Tienganhgiaotieptainha_PTAGTTD_LD237</v>
      </c>
      <c r="T48" s="107" t="str">
        <f>IFERROR(__xludf.DUMMYFUNCTION("""COMPUTED_VALUE"""),"https://patadovietnam.edu.vn/hlg_gt_sea/?utm_source=Google&amp;utm_medium=SEA&amp;utm_term=NON_KoreaSouth_none_none_130225&amp;utm_content=KW_Tienganhgiaotieptainha_PTAGTTD_LD237&amp;utm_campaign=KoreaSouth.CPA400_Patado_SEA_HuyLG_130225")</f>
        <v>https://patadovietnam.edu.vn/hlg_gt_sea/?utm_source=Google&amp;utm_medium=SEA&amp;utm_term=NON_KoreaSouth_none_none_130225&amp;utm_content=KW_Tienganhgiaotieptainha_PTAGTTD_LD237&amp;utm_campaign=KoreaSouth.CPA400_Patado_SEA_HuyLG_130225</v>
      </c>
    </row>
    <row r="49">
      <c r="A49" s="72">
        <v>45701.0</v>
      </c>
      <c r="B49" s="60" t="s">
        <v>6754</v>
      </c>
      <c r="C49" s="67" t="str">
        <f>IFERROR(__xludf.DUMMYFUNCTION("""COMPUTED_VALUE"""),"LD237")</f>
        <v>LD237</v>
      </c>
      <c r="D49" s="55" t="s">
        <v>188</v>
      </c>
      <c r="E49" s="55" t="s">
        <v>193</v>
      </c>
      <c r="F49" s="55" t="s">
        <v>625</v>
      </c>
      <c r="G49" s="44" t="s">
        <v>61</v>
      </c>
      <c r="H49" s="55" t="s">
        <v>1131</v>
      </c>
      <c r="I49" s="55" t="s">
        <v>6801</v>
      </c>
      <c r="J49" s="55" t="s">
        <v>2455</v>
      </c>
      <c r="K49" s="55" t="s">
        <v>61</v>
      </c>
      <c r="L49" s="55" t="s">
        <v>1130</v>
      </c>
      <c r="M49" s="55" t="s">
        <v>6770</v>
      </c>
      <c r="N49" s="55" t="s">
        <v>193</v>
      </c>
      <c r="O49" s="55" t="s">
        <v>1768</v>
      </c>
      <c r="P49" s="55" t="s">
        <v>70</v>
      </c>
      <c r="Q49" s="67" t="str">
        <f>IFERROR(__xludf.DUMMYFUNCTION("""COMPUTED_VALUE"""),"KoreaSouth.CPA400_Patado_SEA_HuyLG_130225")</f>
        <v>KoreaSouth.CPA400_Patado_SEA_HuyLG_130225</v>
      </c>
      <c r="R49" s="67" t="str">
        <f>IFERROR(__xludf.DUMMYFUNCTION("""COMPUTED_VALUE"""),"NON_KoreaSouth_none_none_130225")</f>
        <v>NON_KoreaSouth_none_none_130225</v>
      </c>
      <c r="S49" s="67" t="str">
        <f>IFERROR(__xludf.DUMMYFUNCTION("""COMPUTED_VALUE"""),"KW_Hoctienganh11_PTAGTTD_LD237")</f>
        <v>KW_Hoctienganh11_PTAGTTD_LD237</v>
      </c>
      <c r="T49" s="146" t="str">
        <f>IFERROR(__xludf.DUMMYFUNCTION("""COMPUTED_VALUE"""),"https://patadovietnam.edu.vn/hlg_gt_sea/?utm_source=Google&amp;utm_medium=SEA&amp;utm_term=NON_KoreaSouth_none_none_130225&amp;utm_content=KW_Hoctienganh11_PTAGTTD_LD237&amp;utm_campaign=KoreaSouth.CPA400_Patado_SEA_HuyLG_130225")</f>
        <v>https://patadovietnam.edu.vn/hlg_gt_sea/?utm_source=Google&amp;utm_medium=SEA&amp;utm_term=NON_KoreaSouth_none_none_130225&amp;utm_content=KW_Hoctienganh11_PTAGTTD_LD237&amp;utm_campaign=KoreaSouth.CPA400_Patado_SEA_HuyLG_130225</v>
      </c>
    </row>
    <row r="50">
      <c r="A50" s="72">
        <v>45701.0</v>
      </c>
      <c r="B50" s="60" t="s">
        <v>6754</v>
      </c>
      <c r="C50" s="67" t="str">
        <f>IFERROR(__xludf.DUMMYFUNCTION("""COMPUTED_VALUE"""),"LD237")</f>
        <v>LD237</v>
      </c>
      <c r="D50" s="55" t="s">
        <v>188</v>
      </c>
      <c r="E50" s="55" t="s">
        <v>193</v>
      </c>
      <c r="F50" s="55" t="s">
        <v>625</v>
      </c>
      <c r="G50" s="44" t="s">
        <v>61</v>
      </c>
      <c r="H50" s="55" t="s">
        <v>1131</v>
      </c>
      <c r="I50" s="55" t="s">
        <v>6801</v>
      </c>
      <c r="J50" s="55" t="s">
        <v>1130</v>
      </c>
      <c r="K50" s="55" t="s">
        <v>61</v>
      </c>
      <c r="L50" s="55" t="s">
        <v>1130</v>
      </c>
      <c r="M50" s="55" t="s">
        <v>6770</v>
      </c>
      <c r="N50" s="55" t="s">
        <v>193</v>
      </c>
      <c r="O50" s="55" t="s">
        <v>1768</v>
      </c>
      <c r="P50" s="55" t="s">
        <v>70</v>
      </c>
      <c r="Q50" s="67" t="str">
        <f>IFERROR(__xludf.DUMMYFUNCTION("""COMPUTED_VALUE"""),"KoreaSouth.CPA400_Patado_SEA_HuyLG_130225")</f>
        <v>KoreaSouth.CPA400_Patado_SEA_HuyLG_130225</v>
      </c>
      <c r="R50" s="67" t="str">
        <f>IFERROR(__xludf.DUMMYFUNCTION("""COMPUTED_VALUE"""),"NON_KoreaSouth_none_none_130225")</f>
        <v>NON_KoreaSouth_none_none_130225</v>
      </c>
      <c r="S50" s="67" t="str">
        <f>IFERROR(__xludf.DUMMYFUNCTION("""COMPUTED_VALUE"""),"KW_Patado_PTAGTTD_LD237")</f>
        <v>KW_Patado_PTAGTTD_LD237</v>
      </c>
      <c r="T50" s="107" t="str">
        <f>IFERROR(__xludf.DUMMYFUNCTION("""COMPUTED_VALUE"""),"https://patadovietnam.edu.vn/hlg_gt_sea/?utm_source=Google&amp;utm_medium=SEA&amp;utm_term=NON_KoreaSouth_none_none_130225&amp;utm_content=KW_Patado_PTAGTTD_LD237&amp;utm_campaign=KoreaSouth.CPA400_Patado_SEA_HuyLG_130225")</f>
        <v>https://patadovietnam.edu.vn/hlg_gt_sea/?utm_source=Google&amp;utm_medium=SEA&amp;utm_term=NON_KoreaSouth_none_none_130225&amp;utm_content=KW_Patado_PTAGTTD_LD237&amp;utm_campaign=KoreaSouth.CPA400_Patado_SEA_HuyLG_130225</v>
      </c>
    </row>
    <row r="51">
      <c r="A51" s="72">
        <v>45701.0</v>
      </c>
      <c r="B51" s="60" t="s">
        <v>6754</v>
      </c>
      <c r="C51" s="67" t="str">
        <f>IFERROR(__xludf.DUMMYFUNCTION("""COMPUTED_VALUE"""),"LD237")</f>
        <v>LD237</v>
      </c>
      <c r="D51" s="55" t="s">
        <v>188</v>
      </c>
      <c r="E51" s="55" t="s">
        <v>193</v>
      </c>
      <c r="F51" s="55" t="s">
        <v>625</v>
      </c>
      <c r="G51" s="44" t="s">
        <v>61</v>
      </c>
      <c r="H51" s="55" t="s">
        <v>1131</v>
      </c>
      <c r="I51" s="55" t="s">
        <v>6801</v>
      </c>
      <c r="J51" s="55" t="s">
        <v>6862</v>
      </c>
      <c r="K51" s="55" t="s">
        <v>61</v>
      </c>
      <c r="L51" s="55" t="s">
        <v>1130</v>
      </c>
      <c r="M51" s="55" t="s">
        <v>6770</v>
      </c>
      <c r="N51" s="55" t="s">
        <v>193</v>
      </c>
      <c r="O51" s="55" t="s">
        <v>1768</v>
      </c>
      <c r="P51" s="55" t="s">
        <v>70</v>
      </c>
      <c r="Q51" s="67" t="str">
        <f>IFERROR(__xludf.DUMMYFUNCTION("""COMPUTED_VALUE"""),"KoreaSouth.CPA400_Patado_SEA_HuyLG_130225")</f>
        <v>KoreaSouth.CPA400_Patado_SEA_HuyLG_130225</v>
      </c>
      <c r="R51" s="67" t="str">
        <f>IFERROR(__xludf.DUMMYFUNCTION("""COMPUTED_VALUE"""),"NON_KoreaSouth_none_none_130225")</f>
        <v>NON_KoreaSouth_none_none_130225</v>
      </c>
      <c r="S51" s="67" t="str">
        <f>IFERROR(__xludf.DUMMYFUNCTION("""COMPUTED_VALUE"""),"KW_Tienganhchonguoimatgoc_PTAGTTD_LD237")</f>
        <v>KW_Tienganhchonguoimatgoc_PTAGTTD_LD237</v>
      </c>
      <c r="T51" s="107" t="str">
        <f>IFERROR(__xludf.DUMMYFUNCTION("""COMPUTED_VALUE"""),"https://patadovietnam.edu.vn/hlg_gt_sea/?utm_source=Google&amp;utm_medium=SEA&amp;utm_term=NON_KoreaSouth_none_none_130225&amp;utm_content=KW_Tienganhchonguoimatgoc_PTAGTTD_LD237&amp;utm_campaign=KoreaSouth.CPA400_Patado_SEA_HuyLG_130225")</f>
        <v>https://patadovietnam.edu.vn/hlg_gt_sea/?utm_source=Google&amp;utm_medium=SEA&amp;utm_term=NON_KoreaSouth_none_none_130225&amp;utm_content=KW_Tienganhchonguoimatgoc_PTAGTTD_LD237&amp;utm_campaign=KoreaSouth.CPA400_Patado_SEA_HuyLG_130225</v>
      </c>
    </row>
    <row r="52">
      <c r="A52" s="72">
        <v>45701.0</v>
      </c>
      <c r="B52" s="60" t="s">
        <v>6754</v>
      </c>
      <c r="C52" s="67" t="str">
        <f>IFERROR(__xludf.DUMMYFUNCTION("""COMPUTED_VALUE"""),"LD237")</f>
        <v>LD237</v>
      </c>
      <c r="D52" s="55" t="s">
        <v>188</v>
      </c>
      <c r="E52" s="55" t="s">
        <v>193</v>
      </c>
      <c r="F52" s="55" t="s">
        <v>625</v>
      </c>
      <c r="G52" s="44" t="s">
        <v>61</v>
      </c>
      <c r="H52" s="55" t="s">
        <v>1131</v>
      </c>
      <c r="I52" s="55" t="s">
        <v>6801</v>
      </c>
      <c r="J52" s="55" t="s">
        <v>6864</v>
      </c>
      <c r="K52" s="55" t="s">
        <v>61</v>
      </c>
      <c r="L52" s="55" t="s">
        <v>1130</v>
      </c>
      <c r="M52" s="55" t="s">
        <v>6770</v>
      </c>
      <c r="N52" s="55" t="s">
        <v>193</v>
      </c>
      <c r="O52" s="55" t="s">
        <v>1768</v>
      </c>
      <c r="P52" s="55" t="s">
        <v>70</v>
      </c>
      <c r="Q52" s="67" t="str">
        <f>IFERROR(__xludf.DUMMYFUNCTION("""COMPUTED_VALUE"""),"KoreaSouth.CPA400_Patado_SEA_HuyLG_130225")</f>
        <v>KoreaSouth.CPA400_Patado_SEA_HuyLG_130225</v>
      </c>
      <c r="R52" s="67" t="str">
        <f>IFERROR(__xludf.DUMMYFUNCTION("""COMPUTED_VALUE"""),"NON_KoreaSouth_none_none_130225")</f>
        <v>NON_KoreaSouth_none_none_130225</v>
      </c>
      <c r="S52" s="67" t="str">
        <f>IFERROR(__xludf.DUMMYFUNCTION("""COMPUTED_VALUE"""),"KW_Tienganhgiaotiepcaptoc_PTAGTTD_LD237")</f>
        <v>KW_Tienganhgiaotiepcaptoc_PTAGTTD_LD237</v>
      </c>
      <c r="T52" s="107" t="str">
        <f>IFERROR(__xludf.DUMMYFUNCTION("""COMPUTED_VALUE"""),"https://patadovietnam.edu.vn/hlg_gt_sea/?utm_source=Google&amp;utm_medium=SEA&amp;utm_term=NON_KoreaSouth_none_none_130225&amp;utm_content=KW_Tienganhgiaotiepcaptoc_PTAGTTD_LD237&amp;utm_campaign=KoreaSouth.CPA400_Patado_SEA_HuyLG_130225")</f>
        <v>https://patadovietnam.edu.vn/hlg_gt_sea/?utm_source=Google&amp;utm_medium=SEA&amp;utm_term=NON_KoreaSouth_none_none_130225&amp;utm_content=KW_Tienganhgiaotiepcaptoc_PTAGTTD_LD237&amp;utm_campaign=KoreaSouth.CPA400_Patado_SEA_HuyLG_130225</v>
      </c>
    </row>
    <row r="53">
      <c r="A53" s="72">
        <v>45701.0</v>
      </c>
      <c r="B53" s="60" t="s">
        <v>6754</v>
      </c>
      <c r="C53" s="67" t="str">
        <f>IFERROR(__xludf.DUMMYFUNCTION("""COMPUTED_VALUE"""),"LD237")</f>
        <v>LD237</v>
      </c>
      <c r="D53" s="55" t="s">
        <v>188</v>
      </c>
      <c r="E53" s="55" t="s">
        <v>193</v>
      </c>
      <c r="F53" s="55" t="s">
        <v>625</v>
      </c>
      <c r="G53" s="44" t="s">
        <v>61</v>
      </c>
      <c r="H53" s="55" t="s">
        <v>1131</v>
      </c>
      <c r="I53" s="55" t="s">
        <v>6801</v>
      </c>
      <c r="J53" s="55" t="s">
        <v>6867</v>
      </c>
      <c r="K53" s="55" t="s">
        <v>61</v>
      </c>
      <c r="L53" s="55" t="s">
        <v>1130</v>
      </c>
      <c r="M53" s="55" t="s">
        <v>6770</v>
      </c>
      <c r="N53" s="55" t="s">
        <v>193</v>
      </c>
      <c r="O53" s="55" t="s">
        <v>1768</v>
      </c>
      <c r="P53" s="55" t="s">
        <v>70</v>
      </c>
      <c r="Q53" s="67" t="str">
        <f>IFERROR(__xludf.DUMMYFUNCTION("""COMPUTED_VALUE"""),"KoreaSouth.CPA400_Patado_SEA_HuyLG_130225")</f>
        <v>KoreaSouth.CPA400_Patado_SEA_HuyLG_130225</v>
      </c>
      <c r="R53" s="67" t="str">
        <f>IFERROR(__xludf.DUMMYFUNCTION("""COMPUTED_VALUE"""),"NON_KoreaSouth_none_none_130225")</f>
        <v>NON_KoreaSouth_none_none_130225</v>
      </c>
      <c r="S53" s="67" t="str">
        <f>IFERROR(__xludf.DUMMYFUNCTION("""COMPUTED_VALUE"""),"KW_Duhoctienganh_PTAGTTD_LD237")</f>
        <v>KW_Duhoctienganh_PTAGTTD_LD237</v>
      </c>
      <c r="T53" s="107" t="str">
        <f>IFERROR(__xludf.DUMMYFUNCTION("""COMPUTED_VALUE"""),"https://patadovietnam.edu.vn/hlg_gt_sea/?utm_source=Google&amp;utm_medium=SEA&amp;utm_term=NON_KoreaSouth_none_none_130225&amp;utm_content=KW_Duhoctienganh_PTAGTTD_LD237&amp;utm_campaign=KoreaSouth.CPA400_Patado_SEA_HuyLG_130225")</f>
        <v>https://patadovietnam.edu.vn/hlg_gt_sea/?utm_source=Google&amp;utm_medium=SEA&amp;utm_term=NON_KoreaSouth_none_none_130225&amp;utm_content=KW_Duhoctienganh_PTAGTTD_LD237&amp;utm_campaign=KoreaSouth.CPA400_Patado_SEA_HuyLG_130225</v>
      </c>
    </row>
    <row r="54">
      <c r="A54" s="72">
        <v>45701.0</v>
      </c>
      <c r="B54" s="60" t="s">
        <v>6754</v>
      </c>
      <c r="C54" s="67" t="str">
        <f>IFERROR(__xludf.DUMMYFUNCTION("""COMPUTED_VALUE"""),"LD237")</f>
        <v>LD237</v>
      </c>
      <c r="D54" s="55" t="s">
        <v>188</v>
      </c>
      <c r="E54" s="55" t="s">
        <v>193</v>
      </c>
      <c r="F54" s="55" t="s">
        <v>625</v>
      </c>
      <c r="G54" s="44" t="s">
        <v>61</v>
      </c>
      <c r="H54" s="55" t="s">
        <v>1131</v>
      </c>
      <c r="I54" s="55" t="s">
        <v>6801</v>
      </c>
      <c r="J54" s="55" t="s">
        <v>6871</v>
      </c>
      <c r="K54" s="55" t="s">
        <v>61</v>
      </c>
      <c r="L54" s="55" t="s">
        <v>1130</v>
      </c>
      <c r="M54" s="55" t="s">
        <v>6770</v>
      </c>
      <c r="N54" s="55" t="s">
        <v>193</v>
      </c>
      <c r="O54" s="55" t="s">
        <v>1768</v>
      </c>
      <c r="P54" s="55" t="s">
        <v>70</v>
      </c>
      <c r="Q54" s="67" t="str">
        <f>IFERROR(__xludf.DUMMYFUNCTION("""COMPUTED_VALUE"""),"KoreaSouth.CPA400_Patado_SEA_HuyLG_130225")</f>
        <v>KoreaSouth.CPA400_Patado_SEA_HuyLG_130225</v>
      </c>
      <c r="R54" s="67" t="str">
        <f>IFERROR(__xludf.DUMMYFUNCTION("""COMPUTED_VALUE"""),"NON_KoreaSouth_none_none_130225")</f>
        <v>NON_KoreaSouth_none_none_130225</v>
      </c>
      <c r="S54" s="67" t="str">
        <f>IFERROR(__xludf.DUMMYFUNCTION("""COMPUTED_VALUE"""),"KW_Tienganhvanphong_PTAGTTD_LD237")</f>
        <v>KW_Tienganhvanphong_PTAGTTD_LD237</v>
      </c>
      <c r="T54" s="107" t="str">
        <f>IFERROR(__xludf.DUMMYFUNCTION("""COMPUTED_VALUE"""),"https://patadovietnam.edu.vn/hlg_gt_sea/?utm_source=Google&amp;utm_medium=SEA&amp;utm_term=NON_KoreaSouth_none_none_130225&amp;utm_content=KW_Tienganhvanphong_PTAGTTD_LD237&amp;utm_campaign=KoreaSouth.CPA400_Patado_SEA_HuyLG_130225")</f>
        <v>https://patadovietnam.edu.vn/hlg_gt_sea/?utm_source=Google&amp;utm_medium=SEA&amp;utm_term=NON_KoreaSouth_none_none_130225&amp;utm_content=KW_Tienganhvanphong_PTAGTTD_LD237&amp;utm_campaign=KoreaSouth.CPA400_Patado_SEA_HuyLG_130225</v>
      </c>
    </row>
    <row r="55">
      <c r="A55" s="72">
        <v>45701.0</v>
      </c>
      <c r="B55" s="60" t="s">
        <v>6754</v>
      </c>
      <c r="C55" s="67" t="str">
        <f>IFERROR(__xludf.DUMMYFUNCTION("""COMPUTED_VALUE"""),"LD237")</f>
        <v>LD237</v>
      </c>
      <c r="D55" s="55" t="s">
        <v>188</v>
      </c>
      <c r="E55" s="55" t="s">
        <v>193</v>
      </c>
      <c r="F55" s="55" t="s">
        <v>625</v>
      </c>
      <c r="G55" s="44" t="s">
        <v>61</v>
      </c>
      <c r="H55" s="55" t="s">
        <v>1131</v>
      </c>
      <c r="I55" s="55" t="s">
        <v>6801</v>
      </c>
      <c r="J55" s="55" t="s">
        <v>2476</v>
      </c>
      <c r="K55" s="55" t="s">
        <v>61</v>
      </c>
      <c r="L55" s="55" t="s">
        <v>1130</v>
      </c>
      <c r="M55" s="55" t="s">
        <v>6770</v>
      </c>
      <c r="N55" s="55" t="s">
        <v>193</v>
      </c>
      <c r="O55" s="55" t="s">
        <v>1768</v>
      </c>
      <c r="P55" s="55" t="s">
        <v>70</v>
      </c>
      <c r="Q55" s="67" t="str">
        <f>IFERROR(__xludf.DUMMYFUNCTION("""COMPUTED_VALUE"""),"KoreaSouth.CPA400_Patado_SEA_HuyLG_130225")</f>
        <v>KoreaSouth.CPA400_Patado_SEA_HuyLG_130225</v>
      </c>
      <c r="R55" s="67" t="str">
        <f>IFERROR(__xludf.DUMMYFUNCTION("""COMPUTED_VALUE"""),"NON_KoreaSouth_none_none_130225")</f>
        <v>NON_KoreaSouth_none_none_130225</v>
      </c>
      <c r="S55" s="67" t="str">
        <f>IFERROR(__xludf.DUMMYFUNCTION("""COMPUTED_VALUE"""),"KW_Tienganhonline_PTAGTTD_LD237")</f>
        <v>KW_Tienganhonline_PTAGTTD_LD237</v>
      </c>
      <c r="T55" s="107" t="str">
        <f>IFERROR(__xludf.DUMMYFUNCTION("""COMPUTED_VALUE"""),"https://patadovietnam.edu.vn/hlg_gt_sea/?utm_source=Google&amp;utm_medium=SEA&amp;utm_term=NON_KoreaSouth_none_none_130225&amp;utm_content=KW_Tienganhonline_PTAGTTD_LD237&amp;utm_campaign=KoreaSouth.CPA400_Patado_SEA_HuyLG_130225")</f>
        <v>https://patadovietnam.edu.vn/hlg_gt_sea/?utm_source=Google&amp;utm_medium=SEA&amp;utm_term=NON_KoreaSouth_none_none_130225&amp;utm_content=KW_Tienganhonline_PTAGTTD_LD237&amp;utm_campaign=KoreaSouth.CPA400_Patado_SEA_HuyLG_130225</v>
      </c>
    </row>
    <row r="56">
      <c r="A56" s="72">
        <v>45701.0</v>
      </c>
      <c r="B56" s="60" t="s">
        <v>6754</v>
      </c>
      <c r="C56" s="67" t="str">
        <f>IFERROR(__xludf.DUMMYFUNCTION("""COMPUTED_VALUE"""),"LD237")</f>
        <v>LD237</v>
      </c>
      <c r="D56" s="55" t="s">
        <v>188</v>
      </c>
      <c r="E56" s="55" t="s">
        <v>193</v>
      </c>
      <c r="F56" s="55" t="s">
        <v>107</v>
      </c>
      <c r="G56" s="44" t="s">
        <v>61</v>
      </c>
      <c r="H56" s="55" t="s">
        <v>1131</v>
      </c>
      <c r="I56" s="55" t="s">
        <v>6790</v>
      </c>
      <c r="J56" s="55" t="s">
        <v>6816</v>
      </c>
      <c r="K56" s="55" t="s">
        <v>61</v>
      </c>
      <c r="L56" s="55" t="s">
        <v>1130</v>
      </c>
      <c r="M56" s="55" t="s">
        <v>6770</v>
      </c>
      <c r="N56" s="55" t="s">
        <v>193</v>
      </c>
      <c r="O56" s="55" t="s">
        <v>1768</v>
      </c>
      <c r="P56" s="55" t="s">
        <v>70</v>
      </c>
      <c r="Q56" s="67" t="str">
        <f>IFERROR(__xludf.DUMMYFUNCTION("""COMPUTED_VALUE"""),"UnitedStates.CPA600_Patado_SEA_HuyLG_130225")</f>
        <v>UnitedStates.CPA600_Patado_SEA_HuyLG_130225</v>
      </c>
      <c r="R56" s="67" t="str">
        <f>IFERROR(__xludf.DUMMYFUNCTION("""COMPUTED_VALUE"""),"NON_UnitedStates_none_none_130225")</f>
        <v>NON_UnitedStates_none_none_130225</v>
      </c>
      <c r="S56" s="67" t="str">
        <f>IFERROR(__xludf.DUMMYFUNCTION("""COMPUTED_VALUE"""),"KW_Tienganhcoban_PTAGTTD_LD237")</f>
        <v>KW_Tienganhcoban_PTAGTTD_LD237</v>
      </c>
      <c r="T56" s="107" t="str">
        <f>IFERROR(__xludf.DUMMYFUNCTION("""COMPUTED_VALUE"""),"https://patadovietnam.edu.vn/hlg_gt_sea/?utm_source=Google&amp;utm_medium=SEA&amp;utm_term=NON_UnitedStates_none_none_130225&amp;utm_content=KW_Tienganhcoban_PTAGTTD_LD237&amp;utm_campaign=UnitedStates.CPA600_Patado_SEA_HuyLG_130225")</f>
        <v>https://patadovietnam.edu.vn/hlg_gt_sea/?utm_source=Google&amp;utm_medium=SEA&amp;utm_term=NON_UnitedStates_none_none_130225&amp;utm_content=KW_Tienganhcoban_PTAGTTD_LD237&amp;utm_campaign=UnitedStates.CPA600_Patado_SEA_HuyLG_130225</v>
      </c>
    </row>
    <row r="57">
      <c r="A57" s="72">
        <v>45701.0</v>
      </c>
      <c r="B57" s="60" t="s">
        <v>6754</v>
      </c>
      <c r="C57" s="67" t="str">
        <f>IFERROR(__xludf.DUMMYFUNCTION("""COMPUTED_VALUE"""),"LD237")</f>
        <v>LD237</v>
      </c>
      <c r="D57" s="55" t="s">
        <v>188</v>
      </c>
      <c r="E57" s="55" t="s">
        <v>193</v>
      </c>
      <c r="F57" s="55" t="s">
        <v>107</v>
      </c>
      <c r="G57" s="44" t="s">
        <v>61</v>
      </c>
      <c r="H57" s="55" t="s">
        <v>1131</v>
      </c>
      <c r="I57" s="55" t="s">
        <v>6790</v>
      </c>
      <c r="J57" s="55" t="s">
        <v>6802</v>
      </c>
      <c r="K57" s="55" t="s">
        <v>61</v>
      </c>
      <c r="L57" s="55" t="s">
        <v>1130</v>
      </c>
      <c r="M57" s="55" t="s">
        <v>6770</v>
      </c>
      <c r="N57" s="55" t="s">
        <v>193</v>
      </c>
      <c r="O57" s="55" t="s">
        <v>1768</v>
      </c>
      <c r="P57" s="55" t="s">
        <v>70</v>
      </c>
      <c r="Q57" s="67" t="str">
        <f>IFERROR(__xludf.DUMMYFUNCTION("""COMPUTED_VALUE"""),"UnitedStates.CPA600_Patado_SEA_HuyLG_130225")</f>
        <v>UnitedStates.CPA600_Patado_SEA_HuyLG_130225</v>
      </c>
      <c r="R57" s="67" t="str">
        <f>IFERROR(__xludf.DUMMYFUNCTION("""COMPUTED_VALUE"""),"NON_UnitedStates_none_none_130225")</f>
        <v>NON_UnitedStates_none_none_130225</v>
      </c>
      <c r="S57" s="67" t="str">
        <f>IFERROR(__xludf.DUMMYFUNCTION("""COMPUTED_VALUE"""),"KW_Tienganhtudau_PTAGTTD_LD237")</f>
        <v>KW_Tienganhtudau_PTAGTTD_LD237</v>
      </c>
      <c r="T57" s="107" t="str">
        <f>IFERROR(__xludf.DUMMYFUNCTION("""COMPUTED_VALUE"""),"https://patadovietnam.edu.vn/hlg_gt_sea/?utm_source=Google&amp;utm_medium=SEA&amp;utm_term=NON_UnitedStates_none_none_130225&amp;utm_content=KW_Tienganhtudau_PTAGTTD_LD237&amp;utm_campaign=UnitedStates.CPA600_Patado_SEA_HuyLG_130225")</f>
        <v>https://patadovietnam.edu.vn/hlg_gt_sea/?utm_source=Google&amp;utm_medium=SEA&amp;utm_term=NON_UnitedStates_none_none_130225&amp;utm_content=KW_Tienganhtudau_PTAGTTD_LD237&amp;utm_campaign=UnitedStates.CPA600_Patado_SEA_HuyLG_130225</v>
      </c>
    </row>
    <row r="58">
      <c r="A58" s="72">
        <v>45701.0</v>
      </c>
      <c r="B58" s="60" t="s">
        <v>6754</v>
      </c>
      <c r="C58" s="67" t="str">
        <f>IFERROR(__xludf.DUMMYFUNCTION("""COMPUTED_VALUE"""),"LD237")</f>
        <v>LD237</v>
      </c>
      <c r="D58" s="55" t="s">
        <v>188</v>
      </c>
      <c r="E58" s="55" t="s">
        <v>193</v>
      </c>
      <c r="F58" s="55" t="s">
        <v>107</v>
      </c>
      <c r="G58" s="44" t="s">
        <v>61</v>
      </c>
      <c r="H58" s="55" t="s">
        <v>1131</v>
      </c>
      <c r="I58" s="55" t="s">
        <v>6790</v>
      </c>
      <c r="J58" s="55" t="s">
        <v>6819</v>
      </c>
      <c r="K58" s="55" t="s">
        <v>61</v>
      </c>
      <c r="L58" s="55" t="s">
        <v>1130</v>
      </c>
      <c r="M58" s="55" t="s">
        <v>6770</v>
      </c>
      <c r="N58" s="55" t="s">
        <v>193</v>
      </c>
      <c r="O58" s="55" t="s">
        <v>1768</v>
      </c>
      <c r="P58" s="55" t="s">
        <v>70</v>
      </c>
      <c r="Q58" s="67" t="str">
        <f>IFERROR(__xludf.DUMMYFUNCTION("""COMPUTED_VALUE"""),"UnitedStates.CPA600_Patado_SEA_HuyLG_130225")</f>
        <v>UnitedStates.CPA600_Patado_SEA_HuyLG_130225</v>
      </c>
      <c r="R58" s="67" t="str">
        <f>IFERROR(__xludf.DUMMYFUNCTION("""COMPUTED_VALUE"""),"NON_UnitedStates_none_none_130225")</f>
        <v>NON_UnitedStates_none_none_130225</v>
      </c>
      <c r="S58" s="67" t="str">
        <f>IFERROR(__xludf.DUMMYFUNCTION("""COMPUTED_VALUE"""),"KW_Tienganhonlinetainha_PTAGTTD_LD237")</f>
        <v>KW_Tienganhonlinetainha_PTAGTTD_LD237</v>
      </c>
      <c r="T58" s="107" t="str">
        <f>IFERROR(__xludf.DUMMYFUNCTION("""COMPUTED_VALUE"""),"https://patadovietnam.edu.vn/hlg_gt_sea/?utm_source=Google&amp;utm_medium=SEA&amp;utm_term=NON_UnitedStates_none_none_130225&amp;utm_content=KW_Tienganhonlinetainha_PTAGTTD_LD237&amp;utm_campaign=UnitedStates.CPA600_Patado_SEA_HuyLG_130225")</f>
        <v>https://patadovietnam.edu.vn/hlg_gt_sea/?utm_source=Google&amp;utm_medium=SEA&amp;utm_term=NON_UnitedStates_none_none_130225&amp;utm_content=KW_Tienganhonlinetainha_PTAGTTD_LD237&amp;utm_campaign=UnitedStates.CPA600_Patado_SEA_HuyLG_130225</v>
      </c>
    </row>
    <row r="59">
      <c r="A59" s="72">
        <v>45701.0</v>
      </c>
      <c r="B59" s="60" t="s">
        <v>6754</v>
      </c>
      <c r="C59" s="67" t="str">
        <f>IFERROR(__xludf.DUMMYFUNCTION("""COMPUTED_VALUE"""),"LD237")</f>
        <v>LD237</v>
      </c>
      <c r="D59" s="55" t="s">
        <v>188</v>
      </c>
      <c r="E59" s="55" t="s">
        <v>193</v>
      </c>
      <c r="F59" s="55" t="s">
        <v>107</v>
      </c>
      <c r="G59" s="44" t="s">
        <v>61</v>
      </c>
      <c r="H59" s="55" t="s">
        <v>1131</v>
      </c>
      <c r="I59" s="55" t="s">
        <v>6790</v>
      </c>
      <c r="J59" s="55" t="s">
        <v>6811</v>
      </c>
      <c r="K59" s="55" t="s">
        <v>61</v>
      </c>
      <c r="L59" s="55" t="s">
        <v>1130</v>
      </c>
      <c r="M59" s="55" t="s">
        <v>6770</v>
      </c>
      <c r="N59" s="55" t="s">
        <v>193</v>
      </c>
      <c r="O59" s="55" t="s">
        <v>1768</v>
      </c>
      <c r="P59" s="55" t="s">
        <v>70</v>
      </c>
      <c r="Q59" s="67" t="str">
        <f>IFERROR(__xludf.DUMMYFUNCTION("""COMPUTED_VALUE"""),"UnitedStates.CPA600_Patado_SEA_HuyLG_130225")</f>
        <v>UnitedStates.CPA600_Patado_SEA_HuyLG_130225</v>
      </c>
      <c r="R59" s="67" t="str">
        <f>IFERROR(__xludf.DUMMYFUNCTION("""COMPUTED_VALUE"""),"NON_UnitedStates_none_none_130225")</f>
        <v>NON_UnitedStates_none_none_130225</v>
      </c>
      <c r="S59" s="67" t="str">
        <f>IFERROR(__xludf.DUMMYFUNCTION("""COMPUTED_VALUE"""),"KW_Daytienganhonline_PTAGTTD_LD237")</f>
        <v>KW_Daytienganhonline_PTAGTTD_LD237</v>
      </c>
      <c r="T59" s="107" t="str">
        <f>IFERROR(__xludf.DUMMYFUNCTION("""COMPUTED_VALUE"""),"https://patadovietnam.edu.vn/hlg_gt_sea/?utm_source=Google&amp;utm_medium=SEA&amp;utm_term=NON_UnitedStates_none_none_130225&amp;utm_content=KW_Daytienganhonline_PTAGTTD_LD237&amp;utm_campaign=UnitedStates.CPA600_Patado_SEA_HuyLG_130225")</f>
        <v>https://patadovietnam.edu.vn/hlg_gt_sea/?utm_source=Google&amp;utm_medium=SEA&amp;utm_term=NON_UnitedStates_none_none_130225&amp;utm_content=KW_Daytienganhonline_PTAGTTD_LD237&amp;utm_campaign=UnitedStates.CPA600_Patado_SEA_HuyLG_130225</v>
      </c>
    </row>
    <row r="60">
      <c r="A60" s="72">
        <v>45701.0</v>
      </c>
      <c r="B60" s="60" t="s">
        <v>6754</v>
      </c>
      <c r="C60" s="67" t="str">
        <f>IFERROR(__xludf.DUMMYFUNCTION("""COMPUTED_VALUE"""),"LD237")</f>
        <v>LD237</v>
      </c>
      <c r="D60" s="55" t="s">
        <v>188</v>
      </c>
      <c r="E60" s="55" t="s">
        <v>193</v>
      </c>
      <c r="F60" s="55" t="s">
        <v>107</v>
      </c>
      <c r="G60" s="44" t="s">
        <v>61</v>
      </c>
      <c r="H60" s="55" t="s">
        <v>1131</v>
      </c>
      <c r="I60" s="55" t="s">
        <v>6790</v>
      </c>
      <c r="J60" s="238" t="s">
        <v>6840</v>
      </c>
      <c r="K60" s="55" t="s">
        <v>61</v>
      </c>
      <c r="L60" s="55" t="s">
        <v>1130</v>
      </c>
      <c r="M60" s="55" t="s">
        <v>6770</v>
      </c>
      <c r="N60" s="55" t="s">
        <v>193</v>
      </c>
      <c r="O60" s="55" t="s">
        <v>1768</v>
      </c>
      <c r="P60" s="55" t="s">
        <v>70</v>
      </c>
      <c r="Q60" s="67" t="str">
        <f>IFERROR(__xludf.DUMMYFUNCTION("""COMPUTED_VALUE"""),"UnitedStates.CPA600_Patado_SEA_HuyLG_130225")</f>
        <v>UnitedStates.CPA600_Patado_SEA_HuyLG_130225</v>
      </c>
      <c r="R60" s="67" t="str">
        <f>IFERROR(__xludf.DUMMYFUNCTION("""COMPUTED_VALUE"""),"NON_UnitedStates_none_none_130225")</f>
        <v>NON_UnitedStates_none_none_130225</v>
      </c>
      <c r="S60" s="67" t="str">
        <f>IFERROR(__xludf.DUMMYFUNCTION("""COMPUTED_VALUE"""),"KW_Chuongtrinhhoctienganh_PTAGTTD_LD237")</f>
        <v>KW_Chuongtrinhhoctienganh_PTAGTTD_LD237</v>
      </c>
      <c r="T60" s="107" t="str">
        <f>IFERROR(__xludf.DUMMYFUNCTION("""COMPUTED_VALUE"""),"https://patadovietnam.edu.vn/hlg_gt_sea/?utm_source=Google&amp;utm_medium=SEA&amp;utm_term=NON_UnitedStates_none_none_130225&amp;utm_content=KW_Chuongtrinhhoctienganh_PTAGTTD_LD237&amp;utm_campaign=UnitedStates.CPA600_Patado_SEA_HuyLG_130225")</f>
        <v>https://patadovietnam.edu.vn/hlg_gt_sea/?utm_source=Google&amp;utm_medium=SEA&amp;utm_term=NON_UnitedStates_none_none_130225&amp;utm_content=KW_Chuongtrinhhoctienganh_PTAGTTD_LD237&amp;utm_campaign=UnitedStates.CPA600_Patado_SEA_HuyLG_130225</v>
      </c>
    </row>
    <row r="61">
      <c r="A61" s="72">
        <v>45701.0</v>
      </c>
      <c r="B61" s="60" t="s">
        <v>6754</v>
      </c>
      <c r="C61" s="67" t="str">
        <f>IFERROR(__xludf.DUMMYFUNCTION("""COMPUTED_VALUE"""),"LD237")</f>
        <v>LD237</v>
      </c>
      <c r="D61" s="55" t="s">
        <v>188</v>
      </c>
      <c r="E61" s="55" t="s">
        <v>193</v>
      </c>
      <c r="F61" s="55" t="s">
        <v>107</v>
      </c>
      <c r="G61" s="44" t="s">
        <v>61</v>
      </c>
      <c r="H61" s="55" t="s">
        <v>1131</v>
      </c>
      <c r="I61" s="55" t="s">
        <v>6790</v>
      </c>
      <c r="J61" s="55" t="s">
        <v>2476</v>
      </c>
      <c r="K61" s="55" t="s">
        <v>61</v>
      </c>
      <c r="L61" s="55" t="s">
        <v>1130</v>
      </c>
      <c r="M61" s="55" t="s">
        <v>6770</v>
      </c>
      <c r="N61" s="55" t="s">
        <v>193</v>
      </c>
      <c r="O61" s="55" t="s">
        <v>1768</v>
      </c>
      <c r="P61" s="55" t="s">
        <v>70</v>
      </c>
      <c r="Q61" s="67" t="str">
        <f>IFERROR(__xludf.DUMMYFUNCTION("""COMPUTED_VALUE"""),"UnitedStates.CPA600_Patado_SEA_HuyLG_130225")</f>
        <v>UnitedStates.CPA600_Patado_SEA_HuyLG_130225</v>
      </c>
      <c r="R61" s="67" t="str">
        <f>IFERROR(__xludf.DUMMYFUNCTION("""COMPUTED_VALUE"""),"NON_UnitedStates_none_none_130225")</f>
        <v>NON_UnitedStates_none_none_130225</v>
      </c>
      <c r="S61" s="67" t="str">
        <f>IFERROR(__xludf.DUMMYFUNCTION("""COMPUTED_VALUE"""),"KW_Tienganhonline_PTAGTTD_LD237")</f>
        <v>KW_Tienganhonline_PTAGTTD_LD237</v>
      </c>
      <c r="T61" s="107" t="str">
        <f>IFERROR(__xludf.DUMMYFUNCTION("""COMPUTED_VALUE"""),"https://patadovietnam.edu.vn/hlg_gt_sea/?utm_source=Google&amp;utm_medium=SEA&amp;utm_term=NON_UnitedStates_none_none_130225&amp;utm_content=KW_Tienganhonline_PTAGTTD_LD237&amp;utm_campaign=UnitedStates.CPA600_Patado_SEA_HuyLG_130225")</f>
        <v>https://patadovietnam.edu.vn/hlg_gt_sea/?utm_source=Google&amp;utm_medium=SEA&amp;utm_term=NON_UnitedStates_none_none_130225&amp;utm_content=KW_Tienganhonline_PTAGTTD_LD237&amp;utm_campaign=UnitedStates.CPA600_Patado_SEA_HuyLG_130225</v>
      </c>
    </row>
    <row r="62">
      <c r="A62" s="72">
        <v>45701.0</v>
      </c>
      <c r="B62" s="60" t="s">
        <v>6754</v>
      </c>
      <c r="C62" s="67" t="str">
        <f>IFERROR(__xludf.DUMMYFUNCTION("""COMPUTED_VALUE"""),"LD237")</f>
        <v>LD237</v>
      </c>
      <c r="D62" s="55" t="s">
        <v>188</v>
      </c>
      <c r="E62" s="55" t="s">
        <v>193</v>
      </c>
      <c r="F62" s="55" t="s">
        <v>107</v>
      </c>
      <c r="G62" s="44" t="s">
        <v>61</v>
      </c>
      <c r="H62" s="55" t="s">
        <v>1131</v>
      </c>
      <c r="I62" s="55" t="s">
        <v>6790</v>
      </c>
      <c r="J62" s="55" t="s">
        <v>6808</v>
      </c>
      <c r="K62" s="55" t="s">
        <v>61</v>
      </c>
      <c r="L62" s="55" t="s">
        <v>1130</v>
      </c>
      <c r="M62" s="55" t="s">
        <v>6770</v>
      </c>
      <c r="N62" s="55" t="s">
        <v>193</v>
      </c>
      <c r="O62" s="55" t="s">
        <v>1768</v>
      </c>
      <c r="P62" s="55" t="s">
        <v>70</v>
      </c>
      <c r="Q62" s="67" t="str">
        <f>IFERROR(__xludf.DUMMYFUNCTION("""COMPUTED_VALUE"""),"UnitedStates.CPA600_Patado_SEA_HuyLG_130225")</f>
        <v>UnitedStates.CPA600_Patado_SEA_HuyLG_130225</v>
      </c>
      <c r="R62" s="67" t="str">
        <f>IFERROR(__xludf.DUMMYFUNCTION("""COMPUTED_VALUE"""),"NON_UnitedStates_none_none_130225")</f>
        <v>NON_UnitedStates_none_none_130225</v>
      </c>
      <c r="S62" s="67" t="str">
        <f>IFERROR(__xludf.DUMMYFUNCTION("""COMPUTED_VALUE"""),"KW_Hoctienganhtructuyen_PTAGTTD_LD237")</f>
        <v>KW_Hoctienganhtructuyen_PTAGTTD_LD237</v>
      </c>
      <c r="T62" s="107" t="str">
        <f>IFERROR(__xludf.DUMMYFUNCTION("""COMPUTED_VALUE"""),"https://patadovietnam.edu.vn/hlg_gt_sea/?utm_source=Google&amp;utm_medium=SEA&amp;utm_term=NON_UnitedStates_none_none_130225&amp;utm_content=KW_Hoctienganhtructuyen_PTAGTTD_LD237&amp;utm_campaign=UnitedStates.CPA600_Patado_SEA_HuyLG_130225")</f>
        <v>https://patadovietnam.edu.vn/hlg_gt_sea/?utm_source=Google&amp;utm_medium=SEA&amp;utm_term=NON_UnitedStates_none_none_130225&amp;utm_content=KW_Hoctienganhtructuyen_PTAGTTD_LD237&amp;utm_campaign=UnitedStates.CPA600_Patado_SEA_HuyLG_130225</v>
      </c>
    </row>
    <row r="63">
      <c r="A63" s="72">
        <v>45701.0</v>
      </c>
      <c r="B63" s="60" t="s">
        <v>6754</v>
      </c>
      <c r="C63" s="67" t="str">
        <f>IFERROR(__xludf.DUMMYFUNCTION("""COMPUTED_VALUE"""),"LD237")</f>
        <v>LD237</v>
      </c>
      <c r="D63" s="55" t="s">
        <v>188</v>
      </c>
      <c r="E63" s="55" t="s">
        <v>193</v>
      </c>
      <c r="F63" s="55" t="s">
        <v>107</v>
      </c>
      <c r="G63" s="44" t="s">
        <v>61</v>
      </c>
      <c r="H63" s="55" t="s">
        <v>1131</v>
      </c>
      <c r="I63" s="55" t="s">
        <v>6790</v>
      </c>
      <c r="J63" s="238" t="s">
        <v>6827</v>
      </c>
      <c r="K63" s="55" t="s">
        <v>61</v>
      </c>
      <c r="L63" s="55" t="s">
        <v>1130</v>
      </c>
      <c r="M63" s="55" t="s">
        <v>6770</v>
      </c>
      <c r="N63" s="55" t="s">
        <v>193</v>
      </c>
      <c r="O63" s="55" t="s">
        <v>1768</v>
      </c>
      <c r="P63" s="55" t="s">
        <v>70</v>
      </c>
      <c r="Q63" s="67" t="str">
        <f>IFERROR(__xludf.DUMMYFUNCTION("""COMPUTED_VALUE"""),"UnitedStates.CPA600_Patado_SEA_HuyLG_130225")</f>
        <v>UnitedStates.CPA600_Patado_SEA_HuyLG_130225</v>
      </c>
      <c r="R63" s="67" t="str">
        <f>IFERROR(__xludf.DUMMYFUNCTION("""COMPUTED_VALUE"""),"NON_UnitedStates_none_none_130225")</f>
        <v>NON_UnitedStates_none_none_130225</v>
      </c>
      <c r="S63" s="67" t="str">
        <f>IFERROR(__xludf.DUMMYFUNCTION("""COMPUTED_VALUE"""),"KW_Dangkihoctienganh_PTAGTTD_LD237")</f>
        <v>KW_Dangkihoctienganh_PTAGTTD_LD237</v>
      </c>
      <c r="T63" s="107" t="str">
        <f>IFERROR(__xludf.DUMMYFUNCTION("""COMPUTED_VALUE"""),"https://patadovietnam.edu.vn/hlg_gt_sea/?utm_source=Google&amp;utm_medium=SEA&amp;utm_term=NON_UnitedStates_none_none_130225&amp;utm_content=KW_Dangkihoctienganh_PTAGTTD_LD237&amp;utm_campaign=UnitedStates.CPA600_Patado_SEA_HuyLG_130225")</f>
        <v>https://patadovietnam.edu.vn/hlg_gt_sea/?utm_source=Google&amp;utm_medium=SEA&amp;utm_term=NON_UnitedStates_none_none_130225&amp;utm_content=KW_Dangkihoctienganh_PTAGTTD_LD237&amp;utm_campaign=UnitedStates.CPA600_Patado_SEA_HuyLG_130225</v>
      </c>
    </row>
    <row r="64">
      <c r="A64" s="72">
        <v>45701.0</v>
      </c>
      <c r="B64" s="60" t="s">
        <v>6754</v>
      </c>
      <c r="C64" s="67" t="str">
        <f>IFERROR(__xludf.DUMMYFUNCTION("""COMPUTED_VALUE"""),"LD237")</f>
        <v>LD237</v>
      </c>
      <c r="D64" s="55" t="s">
        <v>188</v>
      </c>
      <c r="E64" s="55" t="s">
        <v>193</v>
      </c>
      <c r="F64" s="55" t="s">
        <v>107</v>
      </c>
      <c r="G64" s="44" t="s">
        <v>61</v>
      </c>
      <c r="H64" s="55" t="s">
        <v>1131</v>
      </c>
      <c r="I64" s="55" t="s">
        <v>6790</v>
      </c>
      <c r="J64" s="55" t="s">
        <v>6871</v>
      </c>
      <c r="K64" s="55" t="s">
        <v>61</v>
      </c>
      <c r="L64" s="55" t="s">
        <v>1130</v>
      </c>
      <c r="M64" s="55" t="s">
        <v>6770</v>
      </c>
      <c r="N64" s="55" t="s">
        <v>193</v>
      </c>
      <c r="O64" s="55" t="s">
        <v>1768</v>
      </c>
      <c r="P64" s="55" t="s">
        <v>70</v>
      </c>
      <c r="Q64" s="67" t="str">
        <f>IFERROR(__xludf.DUMMYFUNCTION("""COMPUTED_VALUE"""),"UnitedStates.CPA600_Patado_SEA_HuyLG_130225")</f>
        <v>UnitedStates.CPA600_Patado_SEA_HuyLG_130225</v>
      </c>
      <c r="R64" s="67" t="str">
        <f>IFERROR(__xludf.DUMMYFUNCTION("""COMPUTED_VALUE"""),"NON_UnitedStates_none_none_130225")</f>
        <v>NON_UnitedStates_none_none_130225</v>
      </c>
      <c r="S64" s="67" t="str">
        <f>IFERROR(__xludf.DUMMYFUNCTION("""COMPUTED_VALUE"""),"KW_Tienganhvanphong_PTAGTTD_LD237")</f>
        <v>KW_Tienganhvanphong_PTAGTTD_LD237</v>
      </c>
      <c r="T64" s="107" t="str">
        <f>IFERROR(__xludf.DUMMYFUNCTION("""COMPUTED_VALUE"""),"https://patadovietnam.edu.vn/hlg_gt_sea/?utm_source=Google&amp;utm_medium=SEA&amp;utm_term=NON_UnitedStates_none_none_130225&amp;utm_content=KW_Tienganhvanphong_PTAGTTD_LD237&amp;utm_campaign=UnitedStates.CPA600_Patado_SEA_HuyLG_130225")</f>
        <v>https://patadovietnam.edu.vn/hlg_gt_sea/?utm_source=Google&amp;utm_medium=SEA&amp;utm_term=NON_UnitedStates_none_none_130225&amp;utm_content=KW_Tienganhvanphong_PTAGTTD_LD237&amp;utm_campaign=UnitedStates.CPA600_Patado_SEA_HuyLG_130225</v>
      </c>
    </row>
    <row r="65">
      <c r="A65" s="72">
        <v>45701.0</v>
      </c>
      <c r="B65" s="60" t="s">
        <v>6754</v>
      </c>
      <c r="C65" s="67" t="str">
        <f>IFERROR(__xludf.DUMMYFUNCTION("""COMPUTED_VALUE"""),"LD237")</f>
        <v>LD237</v>
      </c>
      <c r="D65" s="55" t="s">
        <v>188</v>
      </c>
      <c r="E65" s="55" t="s">
        <v>193</v>
      </c>
      <c r="F65" s="55" t="s">
        <v>107</v>
      </c>
      <c r="G65" s="44" t="s">
        <v>61</v>
      </c>
      <c r="H65" s="55" t="s">
        <v>1131</v>
      </c>
      <c r="I65" s="55" t="s">
        <v>6790</v>
      </c>
      <c r="J65" s="55" t="s">
        <v>6971</v>
      </c>
      <c r="K65" s="55" t="s">
        <v>61</v>
      </c>
      <c r="L65" s="55" t="s">
        <v>1130</v>
      </c>
      <c r="M65" s="55" t="s">
        <v>6770</v>
      </c>
      <c r="N65" s="55" t="s">
        <v>193</v>
      </c>
      <c r="O65" s="55" t="s">
        <v>1768</v>
      </c>
      <c r="P65" s="55" t="s">
        <v>70</v>
      </c>
      <c r="Q65" s="67" t="str">
        <f>IFERROR(__xludf.DUMMYFUNCTION("""COMPUTED_VALUE"""),"UnitedStates.CPA600_Patado_SEA_HuyLG_130225")</f>
        <v>UnitedStates.CPA600_Patado_SEA_HuyLG_130225</v>
      </c>
      <c r="R65" s="67" t="str">
        <f>IFERROR(__xludf.DUMMYFUNCTION("""COMPUTED_VALUE"""),"NON_UnitedStates_none_none_130225")</f>
        <v>NON_UnitedStates_none_none_130225</v>
      </c>
      <c r="S65" s="67" t="str">
        <f>IFERROR(__xludf.DUMMYFUNCTION("""COMPUTED_VALUE"""),"KW_Tienganhtenmang_PTAGTTD_LD237")</f>
        <v>KW_Tienganhtenmang_PTAGTTD_LD237</v>
      </c>
      <c r="T65" s="107" t="str">
        <f>IFERROR(__xludf.DUMMYFUNCTION("""COMPUTED_VALUE"""),"https://patadovietnam.edu.vn/hlg_gt_sea/?utm_source=Google&amp;utm_medium=SEA&amp;utm_term=NON_UnitedStates_none_none_130225&amp;utm_content=KW_Tienganhtenmang_PTAGTTD_LD237&amp;utm_campaign=UnitedStates.CPA600_Patado_SEA_HuyLG_130225")</f>
        <v>https://patadovietnam.edu.vn/hlg_gt_sea/?utm_source=Google&amp;utm_medium=SEA&amp;utm_term=NON_UnitedStates_none_none_130225&amp;utm_content=KW_Tienganhtenmang_PTAGTTD_LD237&amp;utm_campaign=UnitedStates.CPA600_Patado_SEA_HuyLG_130225</v>
      </c>
    </row>
    <row r="66">
      <c r="A66" s="72">
        <v>45701.0</v>
      </c>
      <c r="B66" s="60" t="s">
        <v>6754</v>
      </c>
      <c r="C66" s="67" t="str">
        <f>IFERROR(__xludf.DUMMYFUNCTION("""COMPUTED_VALUE"""),"LD237")</f>
        <v>LD237</v>
      </c>
      <c r="D66" s="55" t="s">
        <v>188</v>
      </c>
      <c r="E66" s="55" t="s">
        <v>193</v>
      </c>
      <c r="F66" s="55" t="s">
        <v>107</v>
      </c>
      <c r="G66" s="44" t="s">
        <v>61</v>
      </c>
      <c r="H66" s="55" t="s">
        <v>1131</v>
      </c>
      <c r="I66" s="55" t="s">
        <v>6790</v>
      </c>
      <c r="J66" s="55" t="s">
        <v>6973</v>
      </c>
      <c r="K66" s="55" t="s">
        <v>61</v>
      </c>
      <c r="L66" s="55" t="s">
        <v>1130</v>
      </c>
      <c r="M66" s="55" t="s">
        <v>6770</v>
      </c>
      <c r="N66" s="55" t="s">
        <v>193</v>
      </c>
      <c r="O66" s="55" t="s">
        <v>1768</v>
      </c>
      <c r="P66" s="55" t="s">
        <v>70</v>
      </c>
      <c r="Q66" s="67" t="str">
        <f>IFERROR(__xludf.DUMMYFUNCTION("""COMPUTED_VALUE"""),"UnitedStates.CPA600_Patado_SEA_HuyLG_130225")</f>
        <v>UnitedStates.CPA600_Patado_SEA_HuyLG_130225</v>
      </c>
      <c r="R66" s="67" t="str">
        <f>IFERROR(__xludf.DUMMYFUNCTION("""COMPUTED_VALUE"""),"NON_UnitedStates_none_none_130225")</f>
        <v>NON_UnitedStates_none_none_130225</v>
      </c>
      <c r="S66" s="67" t="str">
        <f>IFERROR(__xludf.DUMMYFUNCTION("""COMPUTED_VALUE"""),"KW_Hoctienganhonline_PTAGTTD_LD237")</f>
        <v>KW_Hoctienganhonline_PTAGTTD_LD237</v>
      </c>
      <c r="T66" s="107" t="str">
        <f>IFERROR(__xludf.DUMMYFUNCTION("""COMPUTED_VALUE"""),"https://patadovietnam.edu.vn/hlg_gt_sea/?utm_source=Google&amp;utm_medium=SEA&amp;utm_term=NON_UnitedStates_none_none_130225&amp;utm_content=KW_Hoctienganhonline_PTAGTTD_LD237&amp;utm_campaign=UnitedStates.CPA600_Patado_SEA_HuyLG_130225")</f>
        <v>https://patadovietnam.edu.vn/hlg_gt_sea/?utm_source=Google&amp;utm_medium=SEA&amp;utm_term=NON_UnitedStates_none_none_130225&amp;utm_content=KW_Hoctienganhonline_PTAGTTD_LD237&amp;utm_campaign=UnitedStates.CPA600_Patado_SEA_HuyLG_130225</v>
      </c>
    </row>
    <row r="67">
      <c r="A67" s="72">
        <v>45701.0</v>
      </c>
      <c r="B67" s="60" t="s">
        <v>6754</v>
      </c>
      <c r="C67" s="67" t="str">
        <f>IFERROR(__xludf.DUMMYFUNCTION("""COMPUTED_VALUE"""),"LD237")</f>
        <v>LD237</v>
      </c>
      <c r="D67" s="55" t="s">
        <v>188</v>
      </c>
      <c r="E67" s="55" t="s">
        <v>193</v>
      </c>
      <c r="F67" s="55" t="s">
        <v>107</v>
      </c>
      <c r="G67" s="44" t="s">
        <v>61</v>
      </c>
      <c r="H67" s="55" t="s">
        <v>1131</v>
      </c>
      <c r="I67" s="55" t="s">
        <v>6790</v>
      </c>
      <c r="J67" s="55" t="s">
        <v>2471</v>
      </c>
      <c r="K67" s="55" t="s">
        <v>61</v>
      </c>
      <c r="L67" s="55" t="s">
        <v>1130</v>
      </c>
      <c r="M67" s="55" t="s">
        <v>6770</v>
      </c>
      <c r="N67" s="55" t="s">
        <v>193</v>
      </c>
      <c r="O67" s="55" t="s">
        <v>1768</v>
      </c>
      <c r="P67" s="55" t="s">
        <v>70</v>
      </c>
      <c r="Q67" s="67" t="str">
        <f>IFERROR(__xludf.DUMMYFUNCTION("""COMPUTED_VALUE"""),"UnitedStates.CPA600_Patado_SEA_HuyLG_130225")</f>
        <v>UnitedStates.CPA600_Patado_SEA_HuyLG_130225</v>
      </c>
      <c r="R67" s="67" t="str">
        <f>IFERROR(__xludf.DUMMYFUNCTION("""COMPUTED_VALUE"""),"NON_UnitedStates_none_none_130225")</f>
        <v>NON_UnitedStates_none_none_130225</v>
      </c>
      <c r="S67" s="67" t="str">
        <f>IFERROR(__xludf.DUMMYFUNCTION("""COMPUTED_VALUE"""),"KW_Tienganhquamang_PTAGTTD_LD237")</f>
        <v>KW_Tienganhquamang_PTAGTTD_LD237</v>
      </c>
      <c r="T67" s="107" t="str">
        <f>IFERROR(__xludf.DUMMYFUNCTION("""COMPUTED_VALUE"""),"https://patadovietnam.edu.vn/hlg_gt_sea/?utm_source=Google&amp;utm_medium=SEA&amp;utm_term=NON_UnitedStates_none_none_130225&amp;utm_content=KW_Tienganhquamang_PTAGTTD_LD237&amp;utm_campaign=UnitedStates.CPA600_Patado_SEA_HuyLG_130225")</f>
        <v>https://patadovietnam.edu.vn/hlg_gt_sea/?utm_source=Google&amp;utm_medium=SEA&amp;utm_term=NON_UnitedStates_none_none_130225&amp;utm_content=KW_Tienganhquamang_PTAGTTD_LD237&amp;utm_campaign=UnitedStates.CPA600_Patado_SEA_HuyLG_130225</v>
      </c>
    </row>
    <row r="68">
      <c r="A68" s="72">
        <v>45701.0</v>
      </c>
      <c r="B68" s="60" t="s">
        <v>6754</v>
      </c>
      <c r="C68" s="67" t="str">
        <f>IFERROR(__xludf.DUMMYFUNCTION("""COMPUTED_VALUE"""),"LD237")</f>
        <v>LD237</v>
      </c>
      <c r="D68" s="55" t="s">
        <v>188</v>
      </c>
      <c r="E68" s="55" t="s">
        <v>193</v>
      </c>
      <c r="F68" s="55" t="s">
        <v>107</v>
      </c>
      <c r="G68" s="44" t="s">
        <v>61</v>
      </c>
      <c r="H68" s="55" t="s">
        <v>1131</v>
      </c>
      <c r="I68" s="55" t="s">
        <v>6790</v>
      </c>
      <c r="J68" s="55" t="s">
        <v>6867</v>
      </c>
      <c r="K68" s="55" t="s">
        <v>61</v>
      </c>
      <c r="L68" s="55" t="s">
        <v>1130</v>
      </c>
      <c r="M68" s="55" t="s">
        <v>6770</v>
      </c>
      <c r="N68" s="55" t="s">
        <v>193</v>
      </c>
      <c r="O68" s="55" t="s">
        <v>1768</v>
      </c>
      <c r="P68" s="55" t="s">
        <v>70</v>
      </c>
      <c r="Q68" s="67" t="str">
        <f>IFERROR(__xludf.DUMMYFUNCTION("""COMPUTED_VALUE"""),"UnitedStates.CPA600_Patado_SEA_HuyLG_130225")</f>
        <v>UnitedStates.CPA600_Patado_SEA_HuyLG_130225</v>
      </c>
      <c r="R68" s="67" t="str">
        <f>IFERROR(__xludf.DUMMYFUNCTION("""COMPUTED_VALUE"""),"NON_UnitedStates_none_none_130225")</f>
        <v>NON_UnitedStates_none_none_130225</v>
      </c>
      <c r="S68" s="67" t="str">
        <f>IFERROR(__xludf.DUMMYFUNCTION("""COMPUTED_VALUE"""),"KW_Duhoctienganh_PTAGTTD_LD237")</f>
        <v>KW_Duhoctienganh_PTAGTTD_LD237</v>
      </c>
      <c r="T68" s="107" t="str">
        <f>IFERROR(__xludf.DUMMYFUNCTION("""COMPUTED_VALUE"""),"https://patadovietnam.edu.vn/hlg_gt_sea/?utm_source=Google&amp;utm_medium=SEA&amp;utm_term=NON_UnitedStates_none_none_130225&amp;utm_content=KW_Duhoctienganh_PTAGTTD_LD237&amp;utm_campaign=UnitedStates.CPA600_Patado_SEA_HuyLG_130225")</f>
        <v>https://patadovietnam.edu.vn/hlg_gt_sea/?utm_source=Google&amp;utm_medium=SEA&amp;utm_term=NON_UnitedStates_none_none_130225&amp;utm_content=KW_Duhoctienganh_PTAGTTD_LD237&amp;utm_campaign=UnitedStates.CPA600_Patado_SEA_HuyLG_130225</v>
      </c>
    </row>
    <row r="69">
      <c r="A69" s="72">
        <v>45701.0</v>
      </c>
      <c r="B69" s="60" t="s">
        <v>6754</v>
      </c>
      <c r="C69" s="67" t="str">
        <f>IFERROR(__xludf.DUMMYFUNCTION("""COMPUTED_VALUE"""),"LD237")</f>
        <v>LD237</v>
      </c>
      <c r="D69" s="55" t="s">
        <v>188</v>
      </c>
      <c r="E69" s="55" t="s">
        <v>193</v>
      </c>
      <c r="F69" s="55" t="s">
        <v>107</v>
      </c>
      <c r="G69" s="44" t="s">
        <v>61</v>
      </c>
      <c r="H69" s="55" t="s">
        <v>1131</v>
      </c>
      <c r="I69" s="55" t="s">
        <v>6790</v>
      </c>
      <c r="J69" s="55" t="s">
        <v>6792</v>
      </c>
      <c r="K69" s="55" t="s">
        <v>61</v>
      </c>
      <c r="L69" s="55" t="s">
        <v>1130</v>
      </c>
      <c r="M69" s="55" t="s">
        <v>6770</v>
      </c>
      <c r="N69" s="55" t="s">
        <v>193</v>
      </c>
      <c r="O69" s="55" t="s">
        <v>1768</v>
      </c>
      <c r="P69" s="55" t="s">
        <v>70</v>
      </c>
      <c r="Q69" s="67" t="str">
        <f>IFERROR(__xludf.DUMMYFUNCTION("""COMPUTED_VALUE"""),"UnitedStates.CPA600_Patado_SEA_HuyLG_130225")</f>
        <v>UnitedStates.CPA600_Patado_SEA_HuyLG_130225</v>
      </c>
      <c r="R69" s="67" t="str">
        <f>IFERROR(__xludf.DUMMYFUNCTION("""COMPUTED_VALUE"""),"NON_UnitedStates_none_none_130225")</f>
        <v>NON_UnitedStates_none_none_130225</v>
      </c>
      <c r="S69" s="67" t="str">
        <f>IFERROR(__xludf.DUMMYFUNCTION("""COMPUTED_VALUE"""),"KW_HocTiengAnhOnline11_PTAGTTD_LD237")</f>
        <v>KW_HocTiengAnhOnline11_PTAGTTD_LD237</v>
      </c>
      <c r="T69" s="107" t="str">
        <f>IFERROR(__xludf.DUMMYFUNCTION("""COMPUTED_VALUE"""),"https://patadovietnam.edu.vn/hlg_gt_sea/?utm_source=Google&amp;utm_medium=SEA&amp;utm_term=NON_UnitedStates_none_none_130225&amp;utm_content=KW_HocTiengAnhOnline11_PTAGTTD_LD237&amp;utm_campaign=UnitedStates.CPA600_Patado_SEA_HuyLG_130225")</f>
        <v>https://patadovietnam.edu.vn/hlg_gt_sea/?utm_source=Google&amp;utm_medium=SEA&amp;utm_term=NON_UnitedStates_none_none_130225&amp;utm_content=KW_HocTiengAnhOnline11_PTAGTTD_LD237&amp;utm_campaign=UnitedStates.CPA600_Patado_SEA_HuyLG_130225</v>
      </c>
    </row>
    <row r="70">
      <c r="A70" s="72">
        <v>45701.0</v>
      </c>
      <c r="B70" s="60" t="s">
        <v>6754</v>
      </c>
      <c r="C70" s="67" t="str">
        <f>IFERROR(__xludf.DUMMYFUNCTION("""COMPUTED_VALUE"""),"LD237")</f>
        <v>LD237</v>
      </c>
      <c r="D70" s="55" t="s">
        <v>188</v>
      </c>
      <c r="E70" s="55" t="s">
        <v>193</v>
      </c>
      <c r="F70" s="55" t="s">
        <v>107</v>
      </c>
      <c r="G70" s="44" t="s">
        <v>61</v>
      </c>
      <c r="H70" s="55" t="s">
        <v>1131</v>
      </c>
      <c r="I70" s="55" t="s">
        <v>6790</v>
      </c>
      <c r="J70" s="55" t="s">
        <v>6795</v>
      </c>
      <c r="K70" s="55" t="s">
        <v>61</v>
      </c>
      <c r="L70" s="55" t="s">
        <v>1130</v>
      </c>
      <c r="M70" s="55" t="s">
        <v>6770</v>
      </c>
      <c r="N70" s="55" t="s">
        <v>193</v>
      </c>
      <c r="O70" s="55" t="s">
        <v>1768</v>
      </c>
      <c r="P70" s="55" t="s">
        <v>70</v>
      </c>
      <c r="Q70" s="67" t="str">
        <f>IFERROR(__xludf.DUMMYFUNCTION("""COMPUTED_VALUE"""),"UnitedStates.CPA600_Patado_SEA_HuyLG_130225")</f>
        <v>UnitedStates.CPA600_Patado_SEA_HuyLG_130225</v>
      </c>
      <c r="R70" s="67" t="str">
        <f>IFERROR(__xludf.DUMMYFUNCTION("""COMPUTED_VALUE"""),"NON_UnitedStates_none_none_130225")</f>
        <v>NON_UnitedStates_none_none_130225</v>
      </c>
      <c r="S70" s="67" t="str">
        <f>IFERROR(__xludf.DUMMYFUNCTION("""COMPUTED_VALUE"""),"KW_Hoctienganhchung_PTAGTTD_LD237")</f>
        <v>KW_Hoctienganhchung_PTAGTTD_LD237</v>
      </c>
      <c r="T70" s="107" t="str">
        <f>IFERROR(__xludf.DUMMYFUNCTION("""COMPUTED_VALUE"""),"https://patadovietnam.edu.vn/hlg_gt_sea/?utm_source=Google&amp;utm_medium=SEA&amp;utm_term=NON_UnitedStates_none_none_130225&amp;utm_content=KW_Hoctienganhchung_PTAGTTD_LD237&amp;utm_campaign=UnitedStates.CPA600_Patado_SEA_HuyLG_130225")</f>
        <v>https://patadovietnam.edu.vn/hlg_gt_sea/?utm_source=Google&amp;utm_medium=SEA&amp;utm_term=NON_UnitedStates_none_none_130225&amp;utm_content=KW_Hoctienganhchung_PTAGTTD_LD237&amp;utm_campaign=UnitedStates.CPA600_Patado_SEA_HuyLG_130225</v>
      </c>
    </row>
    <row r="71">
      <c r="A71" s="72">
        <v>45701.0</v>
      </c>
      <c r="B71" s="60" t="s">
        <v>6754</v>
      </c>
      <c r="C71" s="67" t="str">
        <f>IFERROR(__xludf.DUMMYFUNCTION("""COMPUTED_VALUE"""),"LD237")</f>
        <v>LD237</v>
      </c>
      <c r="D71" s="55" t="s">
        <v>188</v>
      </c>
      <c r="E71" s="55" t="s">
        <v>193</v>
      </c>
      <c r="F71" s="55" t="s">
        <v>107</v>
      </c>
      <c r="G71" s="44" t="s">
        <v>61</v>
      </c>
      <c r="H71" s="55" t="s">
        <v>1131</v>
      </c>
      <c r="I71" s="55" t="s">
        <v>6790</v>
      </c>
      <c r="J71" s="55" t="s">
        <v>6830</v>
      </c>
      <c r="K71" s="55" t="s">
        <v>61</v>
      </c>
      <c r="L71" s="55" t="s">
        <v>1130</v>
      </c>
      <c r="M71" s="55" t="s">
        <v>6770</v>
      </c>
      <c r="N71" s="55" t="s">
        <v>193</v>
      </c>
      <c r="O71" s="55" t="s">
        <v>1768</v>
      </c>
      <c r="P71" s="55" t="s">
        <v>70</v>
      </c>
      <c r="Q71" s="67" t="str">
        <f>IFERROR(__xludf.DUMMYFUNCTION("""COMPUTED_VALUE"""),"UnitedStates.CPA600_Patado_SEA_HuyLG_130225")</f>
        <v>UnitedStates.CPA600_Patado_SEA_HuyLG_130225</v>
      </c>
      <c r="R71" s="67" t="str">
        <f>IFERROR(__xludf.DUMMYFUNCTION("""COMPUTED_VALUE"""),"NON_UnitedStates_none_none_130225")</f>
        <v>NON_UnitedStates_none_none_130225</v>
      </c>
      <c r="S71" s="67" t="str">
        <f>IFERROR(__xludf.DUMMYFUNCTION("""COMPUTED_VALUE"""),"KW_KhoaHocIeltsOnline_PTAGTTD_LD237")</f>
        <v>KW_KhoaHocIeltsOnline_PTAGTTD_LD237</v>
      </c>
      <c r="T71" s="107" t="str">
        <f>IFERROR(__xludf.DUMMYFUNCTION("""COMPUTED_VALUE"""),"https://patadovietnam.edu.vn/hlg_gt_sea/?utm_source=Google&amp;utm_medium=SEA&amp;utm_term=NON_UnitedStates_none_none_130225&amp;utm_content=KW_KhoaHocIeltsOnline_PTAGTTD_LD237&amp;utm_campaign=UnitedStates.CPA600_Patado_SEA_HuyLG_130225")</f>
        <v>https://patadovietnam.edu.vn/hlg_gt_sea/?utm_source=Google&amp;utm_medium=SEA&amp;utm_term=NON_UnitedStates_none_none_130225&amp;utm_content=KW_KhoaHocIeltsOnline_PTAGTTD_LD237&amp;utm_campaign=UnitedStates.CPA600_Patado_SEA_HuyLG_130225</v>
      </c>
    </row>
    <row r="72">
      <c r="A72" s="72">
        <v>45701.0</v>
      </c>
      <c r="B72" s="60" t="s">
        <v>6754</v>
      </c>
      <c r="C72" s="67" t="str">
        <f>IFERROR(__xludf.DUMMYFUNCTION("""COMPUTED_VALUE"""),"LD237")</f>
        <v>LD237</v>
      </c>
      <c r="D72" s="55" t="s">
        <v>188</v>
      </c>
      <c r="E72" s="55" t="s">
        <v>193</v>
      </c>
      <c r="F72" s="55" t="s">
        <v>107</v>
      </c>
      <c r="G72" s="44" t="s">
        <v>61</v>
      </c>
      <c r="H72" s="55" t="s">
        <v>1131</v>
      </c>
      <c r="I72" s="55" t="s">
        <v>6790</v>
      </c>
      <c r="J72" s="55" t="s">
        <v>6824</v>
      </c>
      <c r="K72" s="55" t="s">
        <v>61</v>
      </c>
      <c r="L72" s="55" t="s">
        <v>1130</v>
      </c>
      <c r="M72" s="55" t="s">
        <v>6770</v>
      </c>
      <c r="N72" s="55" t="s">
        <v>193</v>
      </c>
      <c r="O72" s="55" t="s">
        <v>1768</v>
      </c>
      <c r="P72" s="55" t="s">
        <v>70</v>
      </c>
      <c r="Q72" s="67" t="str">
        <f>IFERROR(__xludf.DUMMYFUNCTION("""COMPUTED_VALUE"""),"UnitedStates.CPA600_Patado_SEA_HuyLG_130225")</f>
        <v>UnitedStates.CPA600_Patado_SEA_HuyLG_130225</v>
      </c>
      <c r="R72" s="67" t="str">
        <f>IFERROR(__xludf.DUMMYFUNCTION("""COMPUTED_VALUE"""),"NON_UnitedStates_none_none_130225")</f>
        <v>NON_UnitedStates_none_none_130225</v>
      </c>
      <c r="S72" s="67" t="str">
        <f>IFERROR(__xludf.DUMMYFUNCTION("""COMPUTED_VALUE"""),"KW_Hoctienganhchonguoimoibatdau_PTAGTTD_LD237")</f>
        <v>KW_Hoctienganhchonguoimoibatdau_PTAGTTD_LD237</v>
      </c>
      <c r="T72" s="107" t="str">
        <f>IFERROR(__xludf.DUMMYFUNCTION("""COMPUTED_VALUE"""),"https://patadovietnam.edu.vn/hlg_gt_sea/?utm_source=Google&amp;utm_medium=SEA&amp;utm_term=NON_UnitedStates_none_none_130225&amp;utm_content=KW_Hoctienganhchonguoimoibatdau_PTAGTTD_LD237&amp;utm_campaign=UnitedStates.CPA600_Patado_SEA_HuyLG_130225")</f>
        <v>https://patadovietnam.edu.vn/hlg_gt_sea/?utm_source=Google&amp;utm_medium=SEA&amp;utm_term=NON_UnitedStates_none_none_130225&amp;utm_content=KW_Hoctienganhchonguoimoibatdau_PTAGTTD_LD237&amp;utm_campaign=UnitedStates.CPA600_Patado_SEA_HuyLG_130225</v>
      </c>
    </row>
    <row r="73">
      <c r="A73" s="72">
        <v>45701.0</v>
      </c>
      <c r="B73" s="60" t="s">
        <v>6754</v>
      </c>
      <c r="C73" s="67" t="str">
        <f>IFERROR(__xludf.DUMMYFUNCTION("""COMPUTED_VALUE"""),"LD237")</f>
        <v>LD237</v>
      </c>
      <c r="D73" s="55" t="s">
        <v>188</v>
      </c>
      <c r="E73" s="55" t="s">
        <v>193</v>
      </c>
      <c r="F73" s="55" t="s">
        <v>107</v>
      </c>
      <c r="G73" s="44" t="s">
        <v>61</v>
      </c>
      <c r="H73" s="55" t="s">
        <v>1131</v>
      </c>
      <c r="I73" s="55" t="s">
        <v>6790</v>
      </c>
      <c r="J73" s="55" t="s">
        <v>2471</v>
      </c>
      <c r="K73" s="55" t="s">
        <v>61</v>
      </c>
      <c r="L73" s="55" t="s">
        <v>1130</v>
      </c>
      <c r="M73" s="55" t="s">
        <v>6770</v>
      </c>
      <c r="N73" s="55" t="s">
        <v>193</v>
      </c>
      <c r="O73" s="55" t="s">
        <v>1768</v>
      </c>
      <c r="P73" s="55" t="s">
        <v>70</v>
      </c>
      <c r="Q73" s="67" t="str">
        <f>IFERROR(__xludf.DUMMYFUNCTION("""COMPUTED_VALUE"""),"UnitedStates.CPA600_Patado_SEA_HuyLG_130225")</f>
        <v>UnitedStates.CPA600_Patado_SEA_HuyLG_130225</v>
      </c>
      <c r="R73" s="67" t="str">
        <f>IFERROR(__xludf.DUMMYFUNCTION("""COMPUTED_VALUE"""),"NON_UnitedStates_none_none_130225")</f>
        <v>NON_UnitedStates_none_none_130225</v>
      </c>
      <c r="S73" s="67" t="str">
        <f>IFERROR(__xludf.DUMMYFUNCTION("""COMPUTED_VALUE"""),"KW_Tienganhquamang_PTAGTTD_LD237")</f>
        <v>KW_Tienganhquamang_PTAGTTD_LD237</v>
      </c>
      <c r="T73" s="107" t="str">
        <f>IFERROR(__xludf.DUMMYFUNCTION("""COMPUTED_VALUE"""),"https://patadovietnam.edu.vn/hlg_gt_sea/?utm_source=Google&amp;utm_medium=SEA&amp;utm_term=NON_UnitedStates_none_none_130225&amp;utm_content=KW_Tienganhquamang_PTAGTTD_LD237&amp;utm_campaign=UnitedStates.CPA600_Patado_SEA_HuyLG_130225")</f>
        <v>https://patadovietnam.edu.vn/hlg_gt_sea/?utm_source=Google&amp;utm_medium=SEA&amp;utm_term=NON_UnitedStates_none_none_130225&amp;utm_content=KW_Tienganhquamang_PTAGTTD_LD237&amp;utm_campaign=UnitedStates.CPA600_Patado_SEA_HuyLG_130225</v>
      </c>
    </row>
    <row r="74">
      <c r="A74" s="72">
        <v>45701.0</v>
      </c>
      <c r="B74" s="60" t="s">
        <v>6754</v>
      </c>
      <c r="C74" s="67" t="str">
        <f>IFERROR(__xludf.DUMMYFUNCTION("""COMPUTED_VALUE"""),"LD237")</f>
        <v>LD237</v>
      </c>
      <c r="D74" s="55" t="s">
        <v>188</v>
      </c>
      <c r="E74" s="55" t="s">
        <v>193</v>
      </c>
      <c r="F74" s="55" t="s">
        <v>107</v>
      </c>
      <c r="G74" s="44" t="s">
        <v>61</v>
      </c>
      <c r="H74" s="55" t="s">
        <v>1131</v>
      </c>
      <c r="I74" s="55" t="s">
        <v>6790</v>
      </c>
      <c r="J74" s="55" t="s">
        <v>6843</v>
      </c>
      <c r="K74" s="55" t="s">
        <v>61</v>
      </c>
      <c r="L74" s="55" t="s">
        <v>1130</v>
      </c>
      <c r="M74" s="55" t="s">
        <v>6770</v>
      </c>
      <c r="N74" s="55" t="s">
        <v>193</v>
      </c>
      <c r="O74" s="55" t="s">
        <v>1768</v>
      </c>
      <c r="P74" s="55" t="s">
        <v>70</v>
      </c>
      <c r="Q74" s="67" t="str">
        <f>IFERROR(__xludf.DUMMYFUNCTION("""COMPUTED_VALUE"""),"UnitedStates.CPA600_Patado_SEA_HuyLG_130225")</f>
        <v>UnitedStates.CPA600_Patado_SEA_HuyLG_130225</v>
      </c>
      <c r="R74" s="67" t="str">
        <f>IFERROR(__xludf.DUMMYFUNCTION("""COMPUTED_VALUE"""),"NON_UnitedStates_none_none_130225")</f>
        <v>NON_UnitedStates_none_none_130225</v>
      </c>
      <c r="S74" s="67" t="str">
        <f>IFERROR(__xludf.DUMMYFUNCTION("""COMPUTED_VALUE"""),"KW_HocTiengAnh_PTAGTTD_LD237")</f>
        <v>KW_HocTiengAnh_PTAGTTD_LD237</v>
      </c>
      <c r="T74" s="107" t="str">
        <f>IFERROR(__xludf.DUMMYFUNCTION("""COMPUTED_VALUE"""),"https://patadovietnam.edu.vn/hlg_gt_sea/?utm_source=Google&amp;utm_medium=SEA&amp;utm_term=NON_UnitedStates_none_none_130225&amp;utm_content=KW_HocTiengAnh_PTAGTTD_LD237&amp;utm_campaign=UnitedStates.CPA600_Patado_SEA_HuyLG_130225")</f>
        <v>https://patadovietnam.edu.vn/hlg_gt_sea/?utm_source=Google&amp;utm_medium=SEA&amp;utm_term=NON_UnitedStates_none_none_130225&amp;utm_content=KW_HocTiengAnh_PTAGTTD_LD237&amp;utm_campaign=UnitedStates.CPA600_Patado_SEA_HuyLG_130225</v>
      </c>
    </row>
    <row r="75">
      <c r="A75" s="72">
        <v>45701.0</v>
      </c>
      <c r="B75" s="60" t="s">
        <v>6754</v>
      </c>
      <c r="C75" s="67" t="str">
        <f>IFERROR(__xludf.DUMMYFUNCTION("""COMPUTED_VALUE"""),"LD237")</f>
        <v>LD237</v>
      </c>
      <c r="D75" s="55" t="s">
        <v>188</v>
      </c>
      <c r="E75" s="55" t="s">
        <v>193</v>
      </c>
      <c r="F75" s="55" t="s">
        <v>107</v>
      </c>
      <c r="G75" s="44" t="s">
        <v>61</v>
      </c>
      <c r="H75" s="55" t="s">
        <v>1131</v>
      </c>
      <c r="I75" s="55" t="s">
        <v>6790</v>
      </c>
      <c r="J75" s="55" t="s">
        <v>6853</v>
      </c>
      <c r="K75" s="55" t="s">
        <v>61</v>
      </c>
      <c r="L75" s="55" t="s">
        <v>1130</v>
      </c>
      <c r="M75" s="55" t="s">
        <v>6770</v>
      </c>
      <c r="N75" s="55" t="s">
        <v>193</v>
      </c>
      <c r="O75" s="55" t="s">
        <v>1768</v>
      </c>
      <c r="P75" s="55" t="s">
        <v>70</v>
      </c>
      <c r="Q75" s="67" t="str">
        <f>IFERROR(__xludf.DUMMYFUNCTION("""COMPUTED_VALUE"""),"UnitedStates.CPA600_Patado_SEA_HuyLG_130225")</f>
        <v>UnitedStates.CPA600_Patado_SEA_HuyLG_130225</v>
      </c>
      <c r="R75" s="67" t="str">
        <f>IFERROR(__xludf.DUMMYFUNCTION("""COMPUTED_VALUE"""),"NON_UnitedStates_none_none_130225")</f>
        <v>NON_UnitedStates_none_none_130225</v>
      </c>
      <c r="S75" s="67" t="str">
        <f>IFERROR(__xludf.DUMMYFUNCTION("""COMPUTED_VALUE"""),"KW_Tienganhtrenmang_PTAGTTD_LD237")</f>
        <v>KW_Tienganhtrenmang_PTAGTTD_LD237</v>
      </c>
      <c r="T75" s="107" t="str">
        <f>IFERROR(__xludf.DUMMYFUNCTION("""COMPUTED_VALUE"""),"https://patadovietnam.edu.vn/hlg_gt_sea/?utm_source=Google&amp;utm_medium=SEA&amp;utm_term=NON_UnitedStates_none_none_130225&amp;utm_content=KW_Tienganhtrenmang_PTAGTTD_LD237&amp;utm_campaign=UnitedStates.CPA600_Patado_SEA_HuyLG_130225")</f>
        <v>https://patadovietnam.edu.vn/hlg_gt_sea/?utm_source=Google&amp;utm_medium=SEA&amp;utm_term=NON_UnitedStates_none_none_130225&amp;utm_content=KW_Tienganhtrenmang_PTAGTTD_LD237&amp;utm_campaign=UnitedStates.CPA600_Patado_SEA_HuyLG_130225</v>
      </c>
    </row>
    <row r="76">
      <c r="A76" s="72">
        <v>45701.0</v>
      </c>
      <c r="B76" s="60" t="s">
        <v>6754</v>
      </c>
      <c r="C76" s="67" t="str">
        <f>IFERROR(__xludf.DUMMYFUNCTION("""COMPUTED_VALUE"""),"LD237")</f>
        <v>LD237</v>
      </c>
      <c r="D76" s="55" t="s">
        <v>188</v>
      </c>
      <c r="E76" s="55" t="s">
        <v>193</v>
      </c>
      <c r="F76" s="55" t="s">
        <v>107</v>
      </c>
      <c r="G76" s="44" t="s">
        <v>61</v>
      </c>
      <c r="H76" s="55" t="s">
        <v>1131</v>
      </c>
      <c r="I76" s="55" t="s">
        <v>6790</v>
      </c>
      <c r="J76" s="55" t="s">
        <v>2476</v>
      </c>
      <c r="K76" s="55" t="s">
        <v>61</v>
      </c>
      <c r="L76" s="55" t="s">
        <v>1130</v>
      </c>
      <c r="M76" s="55" t="s">
        <v>6770</v>
      </c>
      <c r="N76" s="55" t="s">
        <v>193</v>
      </c>
      <c r="O76" s="55" t="s">
        <v>1768</v>
      </c>
      <c r="P76" s="55" t="s">
        <v>70</v>
      </c>
      <c r="Q76" s="67" t="str">
        <f>IFERROR(__xludf.DUMMYFUNCTION("""COMPUTED_VALUE"""),"UnitedStates.CPA600_Patado_SEA_HuyLG_130225")</f>
        <v>UnitedStates.CPA600_Patado_SEA_HuyLG_130225</v>
      </c>
      <c r="R76" s="67" t="str">
        <f>IFERROR(__xludf.DUMMYFUNCTION("""COMPUTED_VALUE"""),"NON_UnitedStates_none_none_130225")</f>
        <v>NON_UnitedStates_none_none_130225</v>
      </c>
      <c r="S76" s="67" t="str">
        <f>IFERROR(__xludf.DUMMYFUNCTION("""COMPUTED_VALUE"""),"KW_Tienganhonline_PTAGTTD_LD237")</f>
        <v>KW_Tienganhonline_PTAGTTD_LD237</v>
      </c>
      <c r="T76" s="107" t="str">
        <f>IFERROR(__xludf.DUMMYFUNCTION("""COMPUTED_VALUE"""),"https://patadovietnam.edu.vn/hlg_gt_sea/?utm_source=Google&amp;utm_medium=SEA&amp;utm_term=NON_UnitedStates_none_none_130225&amp;utm_content=KW_Tienganhonline_PTAGTTD_LD237&amp;utm_campaign=UnitedStates.CPA600_Patado_SEA_HuyLG_130225")</f>
        <v>https://patadovietnam.edu.vn/hlg_gt_sea/?utm_source=Google&amp;utm_medium=SEA&amp;utm_term=NON_UnitedStates_none_none_130225&amp;utm_content=KW_Tienganhonline_PTAGTTD_LD237&amp;utm_campaign=UnitedStates.CPA600_Patado_SEA_HuyLG_130225</v>
      </c>
    </row>
    <row r="77">
      <c r="A77" s="72">
        <v>45701.0</v>
      </c>
      <c r="B77" s="60" t="s">
        <v>6754</v>
      </c>
      <c r="C77" s="67" t="str">
        <f>IFERROR(__xludf.DUMMYFUNCTION("""COMPUTED_VALUE"""),"LD237")</f>
        <v>LD237</v>
      </c>
      <c r="D77" s="55" t="s">
        <v>188</v>
      </c>
      <c r="E77" s="55" t="s">
        <v>193</v>
      </c>
      <c r="F77" s="55" t="s">
        <v>107</v>
      </c>
      <c r="G77" s="44" t="s">
        <v>61</v>
      </c>
      <c r="H77" s="55" t="s">
        <v>1131</v>
      </c>
      <c r="I77" s="55" t="s">
        <v>6790</v>
      </c>
      <c r="J77" s="55" t="s">
        <v>6808</v>
      </c>
      <c r="K77" s="55" t="s">
        <v>61</v>
      </c>
      <c r="L77" s="55" t="s">
        <v>1130</v>
      </c>
      <c r="M77" s="55" t="s">
        <v>6770</v>
      </c>
      <c r="N77" s="55" t="s">
        <v>193</v>
      </c>
      <c r="O77" s="55" t="s">
        <v>1768</v>
      </c>
      <c r="P77" s="55" t="s">
        <v>70</v>
      </c>
      <c r="Q77" s="67" t="str">
        <f>IFERROR(__xludf.DUMMYFUNCTION("""COMPUTED_VALUE"""),"UnitedStates.CPA600_Patado_SEA_HuyLG_130225")</f>
        <v>UnitedStates.CPA600_Patado_SEA_HuyLG_130225</v>
      </c>
      <c r="R77" s="67" t="str">
        <f>IFERROR(__xludf.DUMMYFUNCTION("""COMPUTED_VALUE"""),"NON_UnitedStates_none_none_130225")</f>
        <v>NON_UnitedStates_none_none_130225</v>
      </c>
      <c r="S77" s="67" t="str">
        <f>IFERROR(__xludf.DUMMYFUNCTION("""COMPUTED_VALUE"""),"KW_Hoctienganhtructuyen_PTAGTTD_LD237")</f>
        <v>KW_Hoctienganhtructuyen_PTAGTTD_LD237</v>
      </c>
      <c r="T77" s="107" t="str">
        <f>IFERROR(__xludf.DUMMYFUNCTION("""COMPUTED_VALUE"""),"https://patadovietnam.edu.vn/hlg_gt_sea/?utm_source=Google&amp;utm_medium=SEA&amp;utm_term=NON_UnitedStates_none_none_130225&amp;utm_content=KW_Hoctienganhtructuyen_PTAGTTD_LD237&amp;utm_campaign=UnitedStates.CPA600_Patado_SEA_HuyLG_130225")</f>
        <v>https://patadovietnam.edu.vn/hlg_gt_sea/?utm_source=Google&amp;utm_medium=SEA&amp;utm_term=NON_UnitedStates_none_none_130225&amp;utm_content=KW_Hoctienganhtructuyen_PTAGTTD_LD237&amp;utm_campaign=UnitedStates.CPA600_Patado_SEA_HuyLG_130225</v>
      </c>
    </row>
    <row r="78">
      <c r="A78" s="72">
        <v>45701.0</v>
      </c>
      <c r="B78" s="60" t="s">
        <v>6754</v>
      </c>
      <c r="C78" s="67" t="str">
        <f>IFERROR(__xludf.DUMMYFUNCTION("""COMPUTED_VALUE"""),"LD237")</f>
        <v>LD237</v>
      </c>
      <c r="D78" s="55" t="s">
        <v>188</v>
      </c>
      <c r="E78" s="55" t="s">
        <v>193</v>
      </c>
      <c r="F78" s="55" t="s">
        <v>107</v>
      </c>
      <c r="G78" s="44" t="s">
        <v>61</v>
      </c>
      <c r="H78" s="55" t="s">
        <v>1131</v>
      </c>
      <c r="I78" s="55" t="s">
        <v>6790</v>
      </c>
      <c r="J78" s="55" t="s">
        <v>6833</v>
      </c>
      <c r="K78" s="55" t="s">
        <v>61</v>
      </c>
      <c r="L78" s="55" t="s">
        <v>1130</v>
      </c>
      <c r="M78" s="55" t="s">
        <v>6770</v>
      </c>
      <c r="N78" s="55" t="s">
        <v>193</v>
      </c>
      <c r="O78" s="55" t="s">
        <v>1768</v>
      </c>
      <c r="P78" s="55" t="s">
        <v>70</v>
      </c>
      <c r="Q78" s="67" t="str">
        <f>IFERROR(__xludf.DUMMYFUNCTION("""COMPUTED_VALUE"""),"UnitedStates.CPA600_Patado_SEA_HuyLG_130225")</f>
        <v>UnitedStates.CPA600_Patado_SEA_HuyLG_130225</v>
      </c>
      <c r="R78" s="67" t="str">
        <f>IFERROR(__xludf.DUMMYFUNCTION("""COMPUTED_VALUE"""),"NON_UnitedStates_none_none_130225")</f>
        <v>NON_UnitedStates_none_none_130225</v>
      </c>
      <c r="S78" s="67" t="str">
        <f>IFERROR(__xludf.DUMMYFUNCTION("""COMPUTED_VALUE"""),"KW_HocTiengAnhTrucTuyenOnline_PTAGTTD_LD237")</f>
        <v>KW_HocTiengAnhTrucTuyenOnline_PTAGTTD_LD237</v>
      </c>
      <c r="T78" s="107" t="str">
        <f>IFERROR(__xludf.DUMMYFUNCTION("""COMPUTED_VALUE"""),"https://patadovietnam.edu.vn/hlg_gt_sea/?utm_source=Google&amp;utm_medium=SEA&amp;utm_term=NON_UnitedStates_none_none_130225&amp;utm_content=KW_HocTiengAnhTrucTuyenOnline_PTAGTTD_LD237&amp;utm_campaign=UnitedStates.CPA600_Patado_SEA_HuyLG_130225")</f>
        <v>https://patadovietnam.edu.vn/hlg_gt_sea/?utm_source=Google&amp;utm_medium=SEA&amp;utm_term=NON_UnitedStates_none_none_130225&amp;utm_content=KW_HocTiengAnhTrucTuyenOnline_PTAGTTD_LD237&amp;utm_campaign=UnitedStates.CPA600_Patado_SEA_HuyLG_130225</v>
      </c>
    </row>
    <row r="79">
      <c r="A79" s="72">
        <v>45701.0</v>
      </c>
      <c r="B79" s="60" t="s">
        <v>6754</v>
      </c>
      <c r="C79" s="67" t="str">
        <f>IFERROR(__xludf.DUMMYFUNCTION("""COMPUTED_VALUE"""),"LD237")</f>
        <v>LD237</v>
      </c>
      <c r="D79" s="55" t="s">
        <v>188</v>
      </c>
      <c r="E79" s="55" t="s">
        <v>193</v>
      </c>
      <c r="F79" s="55" t="s">
        <v>107</v>
      </c>
      <c r="G79" s="44" t="s">
        <v>61</v>
      </c>
      <c r="H79" s="55" t="s">
        <v>1131</v>
      </c>
      <c r="I79" s="55" t="s">
        <v>6790</v>
      </c>
      <c r="J79" s="55" t="s">
        <v>6848</v>
      </c>
      <c r="K79" s="55" t="s">
        <v>61</v>
      </c>
      <c r="L79" s="55" t="s">
        <v>1130</v>
      </c>
      <c r="M79" s="55" t="s">
        <v>6770</v>
      </c>
      <c r="N79" s="55" t="s">
        <v>193</v>
      </c>
      <c r="O79" s="55" t="s">
        <v>1768</v>
      </c>
      <c r="P79" s="55" t="s">
        <v>70</v>
      </c>
      <c r="Q79" s="67" t="str">
        <f>IFERROR(__xludf.DUMMYFUNCTION("""COMPUTED_VALUE"""),"UnitedStates.CPA600_Patado_SEA_HuyLG_130225")</f>
        <v>UnitedStates.CPA600_Patado_SEA_HuyLG_130225</v>
      </c>
      <c r="R79" s="67" t="str">
        <f>IFERROR(__xludf.DUMMYFUNCTION("""COMPUTED_VALUE"""),"NON_UnitedStates_none_none_130225")</f>
        <v>NON_UnitedStates_none_none_130225</v>
      </c>
      <c r="S79" s="67" t="str">
        <f>IFERROR(__xludf.DUMMYFUNCTION("""COMPUTED_VALUE"""),"KW_HocTiengAnhOnlineChoNguoiMatGoc_PTAGTTD_LD237")</f>
        <v>KW_HocTiengAnhOnlineChoNguoiMatGoc_PTAGTTD_LD237</v>
      </c>
      <c r="T79" s="107" t="str">
        <f>IFERROR(__xludf.DUMMYFUNCTION("""COMPUTED_VALUE"""),"https://patadovietnam.edu.vn/hlg_gt_sea/?utm_source=Google&amp;utm_medium=SEA&amp;utm_term=NON_UnitedStates_none_none_130225&amp;utm_content=KW_HocTiengAnhOnlineChoNguoiMatGoc_PTAGTTD_LD237&amp;utm_campaign=UnitedStates.CPA600_Patado_SEA_HuyLG_130225")</f>
        <v>https://patadovietnam.edu.vn/hlg_gt_sea/?utm_source=Google&amp;utm_medium=SEA&amp;utm_term=NON_UnitedStates_none_none_130225&amp;utm_content=KW_HocTiengAnhOnlineChoNguoiMatGoc_PTAGTTD_LD237&amp;utm_campaign=UnitedStates.CPA600_Patado_SEA_HuyLG_130225</v>
      </c>
    </row>
    <row r="80">
      <c r="A80" s="72">
        <v>45701.0</v>
      </c>
      <c r="B80" s="60" t="s">
        <v>6754</v>
      </c>
      <c r="C80" s="67" t="str">
        <f>IFERROR(__xludf.DUMMYFUNCTION("""COMPUTED_VALUE"""),"LD237")</f>
        <v>LD237</v>
      </c>
      <c r="D80" s="55" t="s">
        <v>188</v>
      </c>
      <c r="E80" s="55" t="s">
        <v>193</v>
      </c>
      <c r="F80" s="55" t="s">
        <v>107</v>
      </c>
      <c r="G80" s="44" t="s">
        <v>61</v>
      </c>
      <c r="H80" s="55" t="s">
        <v>1131</v>
      </c>
      <c r="I80" s="55" t="s">
        <v>6790</v>
      </c>
      <c r="J80" s="55" t="s">
        <v>6816</v>
      </c>
      <c r="K80" s="55" t="s">
        <v>61</v>
      </c>
      <c r="L80" s="55" t="s">
        <v>1130</v>
      </c>
      <c r="M80" s="55" t="s">
        <v>6770</v>
      </c>
      <c r="N80" s="55" t="s">
        <v>193</v>
      </c>
      <c r="O80" s="55" t="s">
        <v>1768</v>
      </c>
      <c r="P80" s="55" t="s">
        <v>70</v>
      </c>
      <c r="Q80" s="67" t="str">
        <f>IFERROR(__xludf.DUMMYFUNCTION("""COMPUTED_VALUE"""),"UnitedStates.CPA600_Patado_SEA_HuyLG_130225")</f>
        <v>UnitedStates.CPA600_Patado_SEA_HuyLG_130225</v>
      </c>
      <c r="R80" s="67" t="str">
        <f>IFERROR(__xludf.DUMMYFUNCTION("""COMPUTED_VALUE"""),"NON_UnitedStates_none_none_130225")</f>
        <v>NON_UnitedStates_none_none_130225</v>
      </c>
      <c r="S80" s="67" t="str">
        <f>IFERROR(__xludf.DUMMYFUNCTION("""COMPUTED_VALUE"""),"KW_Tienganhcoban_PTAGTTD_LD237")</f>
        <v>KW_Tienganhcoban_PTAGTTD_LD237</v>
      </c>
      <c r="T80" s="107" t="str">
        <f>IFERROR(__xludf.DUMMYFUNCTION("""COMPUTED_VALUE"""),"https://patadovietnam.edu.vn/hlg_gt_sea/?utm_source=Google&amp;utm_medium=SEA&amp;utm_term=NON_UnitedStates_none_none_130225&amp;utm_content=KW_Tienganhcoban_PTAGTTD_LD237&amp;utm_campaign=UnitedStates.CPA600_Patado_SEA_HuyLG_130225")</f>
        <v>https://patadovietnam.edu.vn/hlg_gt_sea/?utm_source=Google&amp;utm_medium=SEA&amp;utm_term=NON_UnitedStates_none_none_130225&amp;utm_content=KW_Tienganhcoban_PTAGTTD_LD237&amp;utm_campaign=UnitedStates.CPA600_Patado_SEA_HuyLG_130225</v>
      </c>
    </row>
    <row r="81">
      <c r="A81" s="72">
        <v>45701.0</v>
      </c>
      <c r="B81" s="60" t="s">
        <v>6754</v>
      </c>
      <c r="C81" s="67" t="str">
        <f>IFERROR(__xludf.DUMMYFUNCTION("""COMPUTED_VALUE"""),"LD237")</f>
        <v>LD237</v>
      </c>
      <c r="D81" s="55" t="s">
        <v>188</v>
      </c>
      <c r="E81" s="55" t="s">
        <v>193</v>
      </c>
      <c r="F81" s="55" t="s">
        <v>107</v>
      </c>
      <c r="G81" s="44" t="s">
        <v>61</v>
      </c>
      <c r="H81" s="55" t="s">
        <v>1131</v>
      </c>
      <c r="I81" s="55" t="s">
        <v>6790</v>
      </c>
      <c r="J81" s="55" t="s">
        <v>6802</v>
      </c>
      <c r="K81" s="55" t="s">
        <v>61</v>
      </c>
      <c r="L81" s="55" t="s">
        <v>1130</v>
      </c>
      <c r="M81" s="55" t="s">
        <v>6770</v>
      </c>
      <c r="N81" s="55" t="s">
        <v>193</v>
      </c>
      <c r="O81" s="55" t="s">
        <v>1768</v>
      </c>
      <c r="P81" s="55" t="s">
        <v>70</v>
      </c>
      <c r="Q81" s="67" t="str">
        <f>IFERROR(__xludf.DUMMYFUNCTION("""COMPUTED_VALUE"""),"UnitedStates.CPA600_Patado_SEA_HuyLG_130225")</f>
        <v>UnitedStates.CPA600_Patado_SEA_HuyLG_130225</v>
      </c>
      <c r="R81" s="67" t="str">
        <f>IFERROR(__xludf.DUMMYFUNCTION("""COMPUTED_VALUE"""),"NON_UnitedStates_none_none_130225")</f>
        <v>NON_UnitedStates_none_none_130225</v>
      </c>
      <c r="S81" s="67" t="str">
        <f>IFERROR(__xludf.DUMMYFUNCTION("""COMPUTED_VALUE"""),"KW_Tienganhtudau_PTAGTTD_LD237")</f>
        <v>KW_Tienganhtudau_PTAGTTD_LD237</v>
      </c>
      <c r="T81" s="107" t="str">
        <f>IFERROR(__xludf.DUMMYFUNCTION("""COMPUTED_VALUE"""),"https://patadovietnam.edu.vn/hlg_gt_sea/?utm_source=Google&amp;utm_medium=SEA&amp;utm_term=NON_UnitedStates_none_none_130225&amp;utm_content=KW_Tienganhtudau_PTAGTTD_LD237&amp;utm_campaign=UnitedStates.CPA600_Patado_SEA_HuyLG_130225")</f>
        <v>https://patadovietnam.edu.vn/hlg_gt_sea/?utm_source=Google&amp;utm_medium=SEA&amp;utm_term=NON_UnitedStates_none_none_130225&amp;utm_content=KW_Tienganhtudau_PTAGTTD_LD237&amp;utm_campaign=UnitedStates.CPA600_Patado_SEA_HuyLG_130225</v>
      </c>
    </row>
    <row r="82">
      <c r="A82" s="72">
        <v>45701.0</v>
      </c>
      <c r="B82" s="60" t="s">
        <v>6754</v>
      </c>
      <c r="C82" s="67" t="str">
        <f>IFERROR(__xludf.DUMMYFUNCTION("""COMPUTED_VALUE"""),"LD237")</f>
        <v>LD237</v>
      </c>
      <c r="D82" s="55" t="s">
        <v>188</v>
      </c>
      <c r="E82" s="55" t="s">
        <v>193</v>
      </c>
      <c r="F82" s="55" t="s">
        <v>107</v>
      </c>
      <c r="G82" s="44" t="s">
        <v>61</v>
      </c>
      <c r="H82" s="55" t="s">
        <v>1131</v>
      </c>
      <c r="I82" s="55" t="s">
        <v>6790</v>
      </c>
      <c r="J82" s="55" t="s">
        <v>6848</v>
      </c>
      <c r="K82" s="55" t="s">
        <v>61</v>
      </c>
      <c r="L82" s="55" t="s">
        <v>1130</v>
      </c>
      <c r="M82" s="55" t="s">
        <v>6770</v>
      </c>
      <c r="N82" s="55" t="s">
        <v>193</v>
      </c>
      <c r="O82" s="55" t="s">
        <v>1768</v>
      </c>
      <c r="P82" s="55" t="s">
        <v>70</v>
      </c>
      <c r="Q82" s="67" t="str">
        <f>IFERROR(__xludf.DUMMYFUNCTION("""COMPUTED_VALUE"""),"UnitedStates.CPA600_Patado_SEA_HuyLG_130225")</f>
        <v>UnitedStates.CPA600_Patado_SEA_HuyLG_130225</v>
      </c>
      <c r="R82" s="67" t="str">
        <f>IFERROR(__xludf.DUMMYFUNCTION("""COMPUTED_VALUE"""),"NON_UnitedStates_none_none_130225")</f>
        <v>NON_UnitedStates_none_none_130225</v>
      </c>
      <c r="S82" s="67" t="str">
        <f>IFERROR(__xludf.DUMMYFUNCTION("""COMPUTED_VALUE"""),"KW_HocTiengAnhOnlineChoNguoiMatGoc_PTAGTTD_LD237")</f>
        <v>KW_HocTiengAnhOnlineChoNguoiMatGoc_PTAGTTD_LD237</v>
      </c>
      <c r="T82" s="107" t="str">
        <f>IFERROR(__xludf.DUMMYFUNCTION("""COMPUTED_VALUE"""),"https://patadovietnam.edu.vn/hlg_gt_sea/?utm_source=Google&amp;utm_medium=SEA&amp;utm_term=NON_UnitedStates_none_none_130225&amp;utm_content=KW_HocTiengAnhOnlineChoNguoiMatGoc_PTAGTTD_LD237&amp;utm_campaign=UnitedStates.CPA600_Patado_SEA_HuyLG_130225")</f>
        <v>https://patadovietnam.edu.vn/hlg_gt_sea/?utm_source=Google&amp;utm_medium=SEA&amp;utm_term=NON_UnitedStates_none_none_130225&amp;utm_content=KW_HocTiengAnhOnlineChoNguoiMatGoc_PTAGTTD_LD237&amp;utm_campaign=UnitedStates.CPA600_Patado_SEA_HuyLG_130225</v>
      </c>
    </row>
    <row r="83">
      <c r="A83" s="72">
        <v>45701.0</v>
      </c>
      <c r="B83" s="60" t="s">
        <v>6754</v>
      </c>
      <c r="C83" s="67" t="str">
        <f>IFERROR(__xludf.DUMMYFUNCTION("""COMPUTED_VALUE"""),"LD237")</f>
        <v>LD237</v>
      </c>
      <c r="D83" s="55" t="s">
        <v>188</v>
      </c>
      <c r="E83" s="55" t="s">
        <v>193</v>
      </c>
      <c r="F83" s="55" t="s">
        <v>107</v>
      </c>
      <c r="G83" s="44" t="s">
        <v>61</v>
      </c>
      <c r="H83" s="55" t="s">
        <v>1131</v>
      </c>
      <c r="I83" s="55" t="s">
        <v>6790</v>
      </c>
      <c r="J83" s="55" t="s">
        <v>6973</v>
      </c>
      <c r="K83" s="55" t="s">
        <v>61</v>
      </c>
      <c r="L83" s="55" t="s">
        <v>1130</v>
      </c>
      <c r="M83" s="55" t="s">
        <v>6770</v>
      </c>
      <c r="N83" s="55" t="s">
        <v>193</v>
      </c>
      <c r="O83" s="55" t="s">
        <v>1768</v>
      </c>
      <c r="P83" s="55" t="s">
        <v>70</v>
      </c>
      <c r="Q83" s="67" t="str">
        <f>IFERROR(__xludf.DUMMYFUNCTION("""COMPUTED_VALUE"""),"UnitedStates.CPA600_Patado_SEA_HuyLG_130225")</f>
        <v>UnitedStates.CPA600_Patado_SEA_HuyLG_130225</v>
      </c>
      <c r="R83" s="67" t="str">
        <f>IFERROR(__xludf.DUMMYFUNCTION("""COMPUTED_VALUE"""),"NON_UnitedStates_none_none_130225")</f>
        <v>NON_UnitedStates_none_none_130225</v>
      </c>
      <c r="S83" s="67" t="str">
        <f>IFERROR(__xludf.DUMMYFUNCTION("""COMPUTED_VALUE"""),"KW_Hoctienganhonline_PTAGTTD_LD237")</f>
        <v>KW_Hoctienganhonline_PTAGTTD_LD237</v>
      </c>
      <c r="T83" s="107" t="str">
        <f>IFERROR(__xludf.DUMMYFUNCTION("""COMPUTED_VALUE"""),"https://patadovietnam.edu.vn/hlg_gt_sea/?utm_source=Google&amp;utm_medium=SEA&amp;utm_term=NON_UnitedStates_none_none_130225&amp;utm_content=KW_Hoctienganhonline_PTAGTTD_LD237&amp;utm_campaign=UnitedStates.CPA600_Patado_SEA_HuyLG_130225")</f>
        <v>https://patadovietnam.edu.vn/hlg_gt_sea/?utm_source=Google&amp;utm_medium=SEA&amp;utm_term=NON_UnitedStates_none_none_130225&amp;utm_content=KW_Hoctienganhonline_PTAGTTD_LD237&amp;utm_campaign=UnitedStates.CPA600_Patado_SEA_HuyLG_130225</v>
      </c>
    </row>
    <row r="84">
      <c r="A84" s="72">
        <v>45701.0</v>
      </c>
      <c r="B84" s="60" t="s">
        <v>6754</v>
      </c>
      <c r="C84" s="67" t="str">
        <f>IFERROR(__xludf.DUMMYFUNCTION("""COMPUTED_VALUE"""),"LD237")</f>
        <v>LD237</v>
      </c>
      <c r="D84" s="55" t="s">
        <v>188</v>
      </c>
      <c r="E84" s="55" t="s">
        <v>193</v>
      </c>
      <c r="F84" s="55" t="s">
        <v>107</v>
      </c>
      <c r="G84" s="44" t="s">
        <v>61</v>
      </c>
      <c r="H84" s="55" t="s">
        <v>1131</v>
      </c>
      <c r="I84" s="55" t="s">
        <v>6790</v>
      </c>
      <c r="J84" s="55" t="s">
        <v>6795</v>
      </c>
      <c r="K84" s="55" t="s">
        <v>61</v>
      </c>
      <c r="L84" s="55" t="s">
        <v>1130</v>
      </c>
      <c r="M84" s="55" t="s">
        <v>6770</v>
      </c>
      <c r="N84" s="55" t="s">
        <v>193</v>
      </c>
      <c r="O84" s="55" t="s">
        <v>1768</v>
      </c>
      <c r="P84" s="55" t="s">
        <v>70</v>
      </c>
      <c r="Q84" s="67" t="str">
        <f>IFERROR(__xludf.DUMMYFUNCTION("""COMPUTED_VALUE"""),"UnitedStates.CPA600_Patado_SEA_HuyLG_130225")</f>
        <v>UnitedStates.CPA600_Patado_SEA_HuyLG_130225</v>
      </c>
      <c r="R84" s="67" t="str">
        <f>IFERROR(__xludf.DUMMYFUNCTION("""COMPUTED_VALUE"""),"NON_UnitedStates_none_none_130225")</f>
        <v>NON_UnitedStates_none_none_130225</v>
      </c>
      <c r="S84" s="67" t="str">
        <f>IFERROR(__xludf.DUMMYFUNCTION("""COMPUTED_VALUE"""),"KW_Hoctienganhchung_PTAGTTD_LD237")</f>
        <v>KW_Hoctienganhchung_PTAGTTD_LD237</v>
      </c>
      <c r="T84" s="107" t="str">
        <f>IFERROR(__xludf.DUMMYFUNCTION("""COMPUTED_VALUE"""),"https://patadovietnam.edu.vn/hlg_gt_sea/?utm_source=Google&amp;utm_medium=SEA&amp;utm_term=NON_UnitedStates_none_none_130225&amp;utm_content=KW_Hoctienganhchung_PTAGTTD_LD237&amp;utm_campaign=UnitedStates.CPA600_Patado_SEA_HuyLG_130225")</f>
        <v>https://patadovietnam.edu.vn/hlg_gt_sea/?utm_source=Google&amp;utm_medium=SEA&amp;utm_term=NON_UnitedStates_none_none_130225&amp;utm_content=KW_Hoctienganhchung_PTAGTTD_LD237&amp;utm_campaign=UnitedStates.CPA600_Patado_SEA_HuyLG_130225</v>
      </c>
    </row>
    <row r="85">
      <c r="A85" s="72">
        <v>45701.0</v>
      </c>
      <c r="B85" s="60" t="s">
        <v>6754</v>
      </c>
      <c r="C85" s="67" t="str">
        <f>IFERROR(__xludf.DUMMYFUNCTION("""COMPUTED_VALUE"""),"LD237")</f>
        <v>LD237</v>
      </c>
      <c r="D85" s="55" t="s">
        <v>188</v>
      </c>
      <c r="E85" s="55" t="s">
        <v>193</v>
      </c>
      <c r="F85" s="55" t="s">
        <v>107</v>
      </c>
      <c r="G85" s="44" t="s">
        <v>61</v>
      </c>
      <c r="H85" s="55" t="s">
        <v>1131</v>
      </c>
      <c r="I85" s="55" t="s">
        <v>6790</v>
      </c>
      <c r="J85" s="55" t="s">
        <v>6792</v>
      </c>
      <c r="K85" s="55" t="s">
        <v>61</v>
      </c>
      <c r="L85" s="55" t="s">
        <v>1130</v>
      </c>
      <c r="M85" s="55" t="s">
        <v>6770</v>
      </c>
      <c r="N85" s="55" t="s">
        <v>193</v>
      </c>
      <c r="O85" s="55" t="s">
        <v>1768</v>
      </c>
      <c r="P85" s="55" t="s">
        <v>70</v>
      </c>
      <c r="Q85" s="67" t="str">
        <f>IFERROR(__xludf.DUMMYFUNCTION("""COMPUTED_VALUE"""),"UnitedStates.CPA600_Patado_SEA_HuyLG_130225")</f>
        <v>UnitedStates.CPA600_Patado_SEA_HuyLG_130225</v>
      </c>
      <c r="R85" s="67" t="str">
        <f>IFERROR(__xludf.DUMMYFUNCTION("""COMPUTED_VALUE"""),"NON_UnitedStates_none_none_130225")</f>
        <v>NON_UnitedStates_none_none_130225</v>
      </c>
      <c r="S85" s="67" t="str">
        <f>IFERROR(__xludf.DUMMYFUNCTION("""COMPUTED_VALUE"""),"KW_HocTiengAnhOnline11_PTAGTTD_LD237")</f>
        <v>KW_HocTiengAnhOnline11_PTAGTTD_LD237</v>
      </c>
      <c r="T85" s="107" t="str">
        <f>IFERROR(__xludf.DUMMYFUNCTION("""COMPUTED_VALUE"""),"https://patadovietnam.edu.vn/hlg_gt_sea/?utm_source=Google&amp;utm_medium=SEA&amp;utm_term=NON_UnitedStates_none_none_130225&amp;utm_content=KW_HocTiengAnhOnline11_PTAGTTD_LD237&amp;utm_campaign=UnitedStates.CPA600_Patado_SEA_HuyLG_130225")</f>
        <v>https://patadovietnam.edu.vn/hlg_gt_sea/?utm_source=Google&amp;utm_medium=SEA&amp;utm_term=NON_UnitedStates_none_none_130225&amp;utm_content=KW_HocTiengAnhOnline11_PTAGTTD_LD237&amp;utm_campaign=UnitedStates.CPA600_Patado_SEA_HuyLG_130225</v>
      </c>
    </row>
    <row r="86">
      <c r="A86" s="72">
        <v>45701.0</v>
      </c>
      <c r="B86" s="60" t="s">
        <v>6754</v>
      </c>
      <c r="C86" s="67" t="str">
        <f>IFERROR(__xludf.DUMMYFUNCTION("""COMPUTED_VALUE"""),"LD237")</f>
        <v>LD237</v>
      </c>
      <c r="D86" s="55" t="s">
        <v>188</v>
      </c>
      <c r="E86" s="55" t="s">
        <v>193</v>
      </c>
      <c r="F86" s="55" t="s">
        <v>107</v>
      </c>
      <c r="G86" s="44" t="s">
        <v>61</v>
      </c>
      <c r="H86" s="55" t="s">
        <v>1131</v>
      </c>
      <c r="I86" s="55" t="s">
        <v>6790</v>
      </c>
      <c r="J86" s="55" t="s">
        <v>6845</v>
      </c>
      <c r="K86" s="55" t="s">
        <v>61</v>
      </c>
      <c r="L86" s="55" t="s">
        <v>1130</v>
      </c>
      <c r="M86" s="55" t="s">
        <v>6770</v>
      </c>
      <c r="N86" s="55" t="s">
        <v>193</v>
      </c>
      <c r="O86" s="55" t="s">
        <v>1768</v>
      </c>
      <c r="P86" s="55" t="s">
        <v>70</v>
      </c>
      <c r="Q86" s="67" t="str">
        <f>IFERROR(__xludf.DUMMYFUNCTION("""COMPUTED_VALUE"""),"UnitedStates.CPA600_Patado_SEA_HuyLG_130225")</f>
        <v>UnitedStates.CPA600_Patado_SEA_HuyLG_130225</v>
      </c>
      <c r="R86" s="67" t="str">
        <f>IFERROR(__xludf.DUMMYFUNCTION("""COMPUTED_VALUE"""),"NON_UnitedStates_none_none_130225")</f>
        <v>NON_UnitedStates_none_none_130225</v>
      </c>
      <c r="S86" s="67" t="str">
        <f>IFERROR(__xludf.DUMMYFUNCTION("""COMPUTED_VALUE"""),"KW_Tienganhchonguoidilam_PTAGTTD_LD237")</f>
        <v>KW_Tienganhchonguoidilam_PTAGTTD_LD237</v>
      </c>
      <c r="T86" s="107" t="str">
        <f>IFERROR(__xludf.DUMMYFUNCTION("""COMPUTED_VALUE"""),"https://patadovietnam.edu.vn/hlg_gt_sea/?utm_source=Google&amp;utm_medium=SEA&amp;utm_term=NON_UnitedStates_none_none_130225&amp;utm_content=KW_Tienganhchonguoidilam_PTAGTTD_LD237&amp;utm_campaign=UnitedStates.CPA600_Patado_SEA_HuyLG_130225")</f>
        <v>https://patadovietnam.edu.vn/hlg_gt_sea/?utm_source=Google&amp;utm_medium=SEA&amp;utm_term=NON_UnitedStates_none_none_130225&amp;utm_content=KW_Tienganhchonguoidilam_PTAGTTD_LD237&amp;utm_campaign=UnitedStates.CPA600_Patado_SEA_HuyLG_130225</v>
      </c>
    </row>
    <row r="87">
      <c r="A87" s="72">
        <v>45701.0</v>
      </c>
      <c r="B87" s="60" t="s">
        <v>6754</v>
      </c>
      <c r="C87" s="67" t="str">
        <f>IFERROR(__xludf.DUMMYFUNCTION("""COMPUTED_VALUE"""),"LD237")</f>
        <v>LD237</v>
      </c>
      <c r="D87" s="55" t="s">
        <v>188</v>
      </c>
      <c r="E87" s="55" t="s">
        <v>193</v>
      </c>
      <c r="F87" s="55" t="s">
        <v>107</v>
      </c>
      <c r="G87" s="44" t="s">
        <v>61</v>
      </c>
      <c r="H87" s="55" t="s">
        <v>1131</v>
      </c>
      <c r="I87" s="55" t="s">
        <v>6790</v>
      </c>
      <c r="J87" s="55" t="s">
        <v>6867</v>
      </c>
      <c r="K87" s="55" t="s">
        <v>61</v>
      </c>
      <c r="L87" s="55" t="s">
        <v>1130</v>
      </c>
      <c r="M87" s="55" t="s">
        <v>6770</v>
      </c>
      <c r="N87" s="55" t="s">
        <v>193</v>
      </c>
      <c r="O87" s="55" t="s">
        <v>1768</v>
      </c>
      <c r="P87" s="55" t="s">
        <v>70</v>
      </c>
      <c r="Q87" s="67" t="str">
        <f>IFERROR(__xludf.DUMMYFUNCTION("""COMPUTED_VALUE"""),"UnitedStates.CPA600_Patado_SEA_HuyLG_130225")</f>
        <v>UnitedStates.CPA600_Patado_SEA_HuyLG_130225</v>
      </c>
      <c r="R87" s="67" t="str">
        <f>IFERROR(__xludf.DUMMYFUNCTION("""COMPUTED_VALUE"""),"NON_UnitedStates_none_none_130225")</f>
        <v>NON_UnitedStates_none_none_130225</v>
      </c>
      <c r="S87" s="67" t="str">
        <f>IFERROR(__xludf.DUMMYFUNCTION("""COMPUTED_VALUE"""),"KW_Duhoctienganh_PTAGTTD_LD237")</f>
        <v>KW_Duhoctienganh_PTAGTTD_LD237</v>
      </c>
      <c r="T87" s="107" t="str">
        <f>IFERROR(__xludf.DUMMYFUNCTION("""COMPUTED_VALUE"""),"https://patadovietnam.edu.vn/hlg_gt_sea/?utm_source=Google&amp;utm_medium=SEA&amp;utm_term=NON_UnitedStates_none_none_130225&amp;utm_content=KW_Duhoctienganh_PTAGTTD_LD237&amp;utm_campaign=UnitedStates.CPA600_Patado_SEA_HuyLG_130225")</f>
        <v>https://patadovietnam.edu.vn/hlg_gt_sea/?utm_source=Google&amp;utm_medium=SEA&amp;utm_term=NON_UnitedStates_none_none_130225&amp;utm_content=KW_Duhoctienganh_PTAGTTD_LD237&amp;utm_campaign=UnitedStates.CPA600_Patado_SEA_HuyLG_130225</v>
      </c>
    </row>
    <row r="88">
      <c r="A88" s="72">
        <v>45701.0</v>
      </c>
      <c r="B88" s="60" t="s">
        <v>6754</v>
      </c>
      <c r="C88" s="67" t="str">
        <f>IFERROR(__xludf.DUMMYFUNCTION("""COMPUTED_VALUE"""),"LD237")</f>
        <v>LD237</v>
      </c>
      <c r="D88" s="55" t="s">
        <v>188</v>
      </c>
      <c r="E88" s="55" t="s">
        <v>193</v>
      </c>
      <c r="F88" s="55" t="s">
        <v>107</v>
      </c>
      <c r="G88" s="44" t="s">
        <v>61</v>
      </c>
      <c r="H88" s="55" t="s">
        <v>1131</v>
      </c>
      <c r="I88" s="55" t="s">
        <v>6790</v>
      </c>
      <c r="J88" s="55" t="s">
        <v>6791</v>
      </c>
      <c r="K88" s="55" t="s">
        <v>61</v>
      </c>
      <c r="L88" s="55" t="s">
        <v>1130</v>
      </c>
      <c r="M88" s="55" t="s">
        <v>6770</v>
      </c>
      <c r="N88" s="55" t="s">
        <v>193</v>
      </c>
      <c r="O88" s="55" t="s">
        <v>1768</v>
      </c>
      <c r="P88" s="55" t="s">
        <v>70</v>
      </c>
      <c r="Q88" s="67" t="str">
        <f>IFERROR(__xludf.DUMMYFUNCTION("""COMPUTED_VALUE"""),"UnitedStates.CPA600_Patado_SEA_HuyLG_130225")</f>
        <v>UnitedStates.CPA600_Patado_SEA_HuyLG_130225</v>
      </c>
      <c r="R88" s="67" t="str">
        <f>IFERROR(__xludf.DUMMYFUNCTION("""COMPUTED_VALUE"""),"NON_UnitedStates_none_none_130225")</f>
        <v>NON_UnitedStates_none_none_130225</v>
      </c>
      <c r="S88" s="67" t="str">
        <f>IFERROR(__xludf.DUMMYFUNCTION("""COMPUTED_VALUE"""),"KW_TiengAnhGiaoTiep_PTAGTTD_LD237")</f>
        <v>KW_TiengAnhGiaoTiep_PTAGTTD_LD237</v>
      </c>
      <c r="T88" s="107" t="str">
        <f>IFERROR(__xludf.DUMMYFUNCTION("""COMPUTED_VALUE"""),"https://patadovietnam.edu.vn/hlg_gt_sea/?utm_source=Google&amp;utm_medium=SEA&amp;utm_term=NON_UnitedStates_none_none_130225&amp;utm_content=KW_TiengAnhGiaoTiep_PTAGTTD_LD237&amp;utm_campaign=UnitedStates.CPA600_Patado_SEA_HuyLG_130225")</f>
        <v>https://patadovietnam.edu.vn/hlg_gt_sea/?utm_source=Google&amp;utm_medium=SEA&amp;utm_term=NON_UnitedStates_none_none_130225&amp;utm_content=KW_TiengAnhGiaoTiep_PTAGTTD_LD237&amp;utm_campaign=UnitedStates.CPA600_Patado_SEA_HuyLG_130225</v>
      </c>
    </row>
    <row r="89">
      <c r="A89" s="72">
        <v>45701.0</v>
      </c>
      <c r="B89" s="60" t="s">
        <v>6754</v>
      </c>
      <c r="C89" s="67" t="str">
        <f>IFERROR(__xludf.DUMMYFUNCTION("""COMPUTED_VALUE"""),"LD237")</f>
        <v>LD237</v>
      </c>
      <c r="D89" s="55" t="s">
        <v>188</v>
      </c>
      <c r="E89" s="55" t="s">
        <v>193</v>
      </c>
      <c r="F89" s="55" t="s">
        <v>107</v>
      </c>
      <c r="G89" s="44" t="s">
        <v>61</v>
      </c>
      <c r="H89" s="55" t="s">
        <v>1131</v>
      </c>
      <c r="I89" s="55" t="s">
        <v>6790</v>
      </c>
      <c r="J89" s="55" t="s">
        <v>6856</v>
      </c>
      <c r="K89" s="55" t="s">
        <v>61</v>
      </c>
      <c r="L89" s="55" t="s">
        <v>1130</v>
      </c>
      <c r="M89" s="55" t="s">
        <v>6770</v>
      </c>
      <c r="N89" s="55" t="s">
        <v>193</v>
      </c>
      <c r="O89" s="55" t="s">
        <v>1768</v>
      </c>
      <c r="P89" s="55" t="s">
        <v>70</v>
      </c>
      <c r="Q89" s="67" t="str">
        <f>IFERROR(__xludf.DUMMYFUNCTION("""COMPUTED_VALUE"""),"UnitedStates.CPA600_Patado_SEA_HuyLG_130225")</f>
        <v>UnitedStates.CPA600_Patado_SEA_HuyLG_130225</v>
      </c>
      <c r="R89" s="67" t="str">
        <f>IFERROR(__xludf.DUMMYFUNCTION("""COMPUTED_VALUE"""),"NON_UnitedStates_none_none_130225")</f>
        <v>NON_UnitedStates_none_none_130225</v>
      </c>
      <c r="S89" s="67" t="str">
        <f>IFERROR(__xludf.DUMMYFUNCTION("""COMPUTED_VALUE"""),"KW_Tienganhgiaotieptainha_PTAGTTD_LD237")</f>
        <v>KW_Tienganhgiaotieptainha_PTAGTTD_LD237</v>
      </c>
      <c r="T89" s="107" t="str">
        <f>IFERROR(__xludf.DUMMYFUNCTION("""COMPUTED_VALUE"""),"https://patadovietnam.edu.vn/hlg_gt_sea/?utm_source=Google&amp;utm_medium=SEA&amp;utm_term=NON_UnitedStates_none_none_130225&amp;utm_content=KW_Tienganhgiaotieptainha_PTAGTTD_LD237&amp;utm_campaign=UnitedStates.CPA600_Patado_SEA_HuyLG_130225")</f>
        <v>https://patadovietnam.edu.vn/hlg_gt_sea/?utm_source=Google&amp;utm_medium=SEA&amp;utm_term=NON_UnitedStates_none_none_130225&amp;utm_content=KW_Tienganhgiaotieptainha_PTAGTTD_LD237&amp;utm_campaign=UnitedStates.CPA600_Patado_SEA_HuyLG_130225</v>
      </c>
    </row>
    <row r="90">
      <c r="A90" s="72">
        <v>45701.0</v>
      </c>
      <c r="B90" s="60" t="s">
        <v>6754</v>
      </c>
      <c r="C90" s="67" t="str">
        <f>IFERROR(__xludf.DUMMYFUNCTION("""COMPUTED_VALUE"""),"LD237")</f>
        <v>LD237</v>
      </c>
      <c r="D90" s="55" t="s">
        <v>188</v>
      </c>
      <c r="E90" s="55" t="s">
        <v>193</v>
      </c>
      <c r="F90" s="55" t="s">
        <v>107</v>
      </c>
      <c r="G90" s="44" t="s">
        <v>61</v>
      </c>
      <c r="H90" s="55" t="s">
        <v>1131</v>
      </c>
      <c r="I90" s="55" t="s">
        <v>6790</v>
      </c>
      <c r="J90" s="55" t="s">
        <v>6836</v>
      </c>
      <c r="K90" s="55" t="s">
        <v>61</v>
      </c>
      <c r="L90" s="55" t="s">
        <v>1130</v>
      </c>
      <c r="M90" s="55" t="s">
        <v>6770</v>
      </c>
      <c r="N90" s="55" t="s">
        <v>193</v>
      </c>
      <c r="O90" s="55" t="s">
        <v>1768</v>
      </c>
      <c r="P90" s="55" t="s">
        <v>70</v>
      </c>
      <c r="Q90" s="67" t="str">
        <f>IFERROR(__xludf.DUMMYFUNCTION("""COMPUTED_VALUE"""),"UnitedStates.CPA600_Patado_SEA_HuyLG_130225")</f>
        <v>UnitedStates.CPA600_Patado_SEA_HuyLG_130225</v>
      </c>
      <c r="R90" s="67" t="str">
        <f>IFERROR(__xludf.DUMMYFUNCTION("""COMPUTED_VALUE"""),"NON_UnitedStates_none_none_130225")</f>
        <v>NON_UnitedStates_none_none_130225</v>
      </c>
      <c r="S90" s="67" t="str">
        <f>IFERROR(__xludf.DUMMYFUNCTION("""COMPUTED_VALUE"""),"KW_Tienganhmatgoc_PTAGTTD_LD237")</f>
        <v>KW_Tienganhmatgoc_PTAGTTD_LD237</v>
      </c>
      <c r="T90" s="107" t="str">
        <f>IFERROR(__xludf.DUMMYFUNCTION("""COMPUTED_VALUE"""),"https://patadovietnam.edu.vn/hlg_gt_sea/?utm_source=Google&amp;utm_medium=SEA&amp;utm_term=NON_UnitedStates_none_none_130225&amp;utm_content=KW_Tienganhmatgoc_PTAGTTD_LD237&amp;utm_campaign=UnitedStates.CPA600_Patado_SEA_HuyLG_130225")</f>
        <v>https://patadovietnam.edu.vn/hlg_gt_sea/?utm_source=Google&amp;utm_medium=SEA&amp;utm_term=NON_UnitedStates_none_none_130225&amp;utm_content=KW_Tienganhmatgoc_PTAGTTD_LD237&amp;utm_campaign=UnitedStates.CPA600_Patado_SEA_HuyLG_130225</v>
      </c>
    </row>
    <row r="91">
      <c r="A91" s="72">
        <v>45701.0</v>
      </c>
      <c r="B91" s="60" t="s">
        <v>6754</v>
      </c>
      <c r="C91" s="67" t="str">
        <f>IFERROR(__xludf.DUMMYFUNCTION("""COMPUTED_VALUE"""),"LD237")</f>
        <v>LD237</v>
      </c>
      <c r="D91" s="55" t="s">
        <v>188</v>
      </c>
      <c r="E91" s="55" t="s">
        <v>193</v>
      </c>
      <c r="F91" s="55" t="s">
        <v>107</v>
      </c>
      <c r="G91" s="44" t="s">
        <v>61</v>
      </c>
      <c r="H91" s="55" t="s">
        <v>1131</v>
      </c>
      <c r="I91" s="55" t="s">
        <v>6790</v>
      </c>
      <c r="J91" s="55" t="s">
        <v>6819</v>
      </c>
      <c r="K91" s="55" t="s">
        <v>61</v>
      </c>
      <c r="L91" s="55" t="s">
        <v>1130</v>
      </c>
      <c r="M91" s="55" t="s">
        <v>6770</v>
      </c>
      <c r="N91" s="55" t="s">
        <v>193</v>
      </c>
      <c r="O91" s="55" t="s">
        <v>1768</v>
      </c>
      <c r="P91" s="55" t="s">
        <v>70</v>
      </c>
      <c r="Q91" s="67" t="str">
        <f>IFERROR(__xludf.DUMMYFUNCTION("""COMPUTED_VALUE"""),"UnitedStates.CPA600_Patado_SEA_HuyLG_130225")</f>
        <v>UnitedStates.CPA600_Patado_SEA_HuyLG_130225</v>
      </c>
      <c r="R91" s="67" t="str">
        <f>IFERROR(__xludf.DUMMYFUNCTION("""COMPUTED_VALUE"""),"NON_UnitedStates_none_none_130225")</f>
        <v>NON_UnitedStates_none_none_130225</v>
      </c>
      <c r="S91" s="67" t="str">
        <f>IFERROR(__xludf.DUMMYFUNCTION("""COMPUTED_VALUE"""),"KW_Tienganhonlinetainha_PTAGTTD_LD237")</f>
        <v>KW_Tienganhonlinetainha_PTAGTTD_LD237</v>
      </c>
      <c r="T91" s="107" t="str">
        <f>IFERROR(__xludf.DUMMYFUNCTION("""COMPUTED_VALUE"""),"https://patadovietnam.edu.vn/hlg_gt_sea/?utm_source=Google&amp;utm_medium=SEA&amp;utm_term=NON_UnitedStates_none_none_130225&amp;utm_content=KW_Tienganhonlinetainha_PTAGTTD_LD237&amp;utm_campaign=UnitedStates.CPA600_Patado_SEA_HuyLG_130225")</f>
        <v>https://patadovietnam.edu.vn/hlg_gt_sea/?utm_source=Google&amp;utm_medium=SEA&amp;utm_term=NON_UnitedStates_none_none_130225&amp;utm_content=KW_Tienganhonlinetainha_PTAGTTD_LD237&amp;utm_campaign=UnitedStates.CPA600_Patado_SEA_HuyLG_130225</v>
      </c>
    </row>
    <row r="92">
      <c r="A92" s="72">
        <v>45701.0</v>
      </c>
      <c r="B92" s="60" t="s">
        <v>6754</v>
      </c>
      <c r="C92" s="67" t="str">
        <f>IFERROR(__xludf.DUMMYFUNCTION("""COMPUTED_VALUE"""),"LD237")</f>
        <v>LD237</v>
      </c>
      <c r="D92" s="55" t="s">
        <v>188</v>
      </c>
      <c r="E92" s="55" t="s">
        <v>193</v>
      </c>
      <c r="F92" s="55" t="s">
        <v>107</v>
      </c>
      <c r="G92" s="44" t="s">
        <v>61</v>
      </c>
      <c r="H92" s="55" t="s">
        <v>1131</v>
      </c>
      <c r="I92" s="55" t="s">
        <v>6790</v>
      </c>
      <c r="J92" s="55" t="s">
        <v>6827</v>
      </c>
      <c r="K92" s="55" t="s">
        <v>61</v>
      </c>
      <c r="L92" s="55" t="s">
        <v>1130</v>
      </c>
      <c r="M92" s="55" t="s">
        <v>6770</v>
      </c>
      <c r="N92" s="55" t="s">
        <v>193</v>
      </c>
      <c r="O92" s="55" t="s">
        <v>1768</v>
      </c>
      <c r="P92" s="55" t="s">
        <v>70</v>
      </c>
      <c r="Q92" s="67" t="str">
        <f>IFERROR(__xludf.DUMMYFUNCTION("""COMPUTED_VALUE"""),"UnitedStates.CPA600_Patado_SEA_HuyLG_130225")</f>
        <v>UnitedStates.CPA600_Patado_SEA_HuyLG_130225</v>
      </c>
      <c r="R92" s="67" t="str">
        <f>IFERROR(__xludf.DUMMYFUNCTION("""COMPUTED_VALUE"""),"NON_UnitedStates_none_none_130225")</f>
        <v>NON_UnitedStates_none_none_130225</v>
      </c>
      <c r="S92" s="67" t="str">
        <f>IFERROR(__xludf.DUMMYFUNCTION("""COMPUTED_VALUE"""),"KW_Dangkihoctienganh_PTAGTTD_LD237")</f>
        <v>KW_Dangkihoctienganh_PTAGTTD_LD237</v>
      </c>
      <c r="T92" s="107" t="str">
        <f>IFERROR(__xludf.DUMMYFUNCTION("""COMPUTED_VALUE"""),"https://patadovietnam.edu.vn/hlg_gt_sea/?utm_source=Google&amp;utm_medium=SEA&amp;utm_term=NON_UnitedStates_none_none_130225&amp;utm_content=KW_Dangkihoctienganh_PTAGTTD_LD237&amp;utm_campaign=UnitedStates.CPA600_Patado_SEA_HuyLG_130225")</f>
        <v>https://patadovietnam.edu.vn/hlg_gt_sea/?utm_source=Google&amp;utm_medium=SEA&amp;utm_term=NON_UnitedStates_none_none_130225&amp;utm_content=KW_Dangkihoctienganh_PTAGTTD_LD237&amp;utm_campaign=UnitedStates.CPA600_Patado_SEA_HuyLG_130225</v>
      </c>
    </row>
    <row r="93">
      <c r="A93" s="72">
        <v>45701.0</v>
      </c>
      <c r="B93" s="60" t="s">
        <v>6754</v>
      </c>
      <c r="C93" s="67" t="str">
        <f>IFERROR(__xludf.DUMMYFUNCTION("""COMPUTED_VALUE"""),"LD237")</f>
        <v>LD237</v>
      </c>
      <c r="D93" s="55" t="s">
        <v>188</v>
      </c>
      <c r="E93" s="55" t="s">
        <v>193</v>
      </c>
      <c r="F93" s="55" t="s">
        <v>107</v>
      </c>
      <c r="G93" s="44" t="s">
        <v>61</v>
      </c>
      <c r="H93" s="55" t="s">
        <v>1131</v>
      </c>
      <c r="I93" s="55" t="s">
        <v>6790</v>
      </c>
      <c r="J93" s="55" t="s">
        <v>6840</v>
      </c>
      <c r="K93" s="55" t="s">
        <v>61</v>
      </c>
      <c r="L93" s="55" t="s">
        <v>1130</v>
      </c>
      <c r="M93" s="55" t="s">
        <v>6770</v>
      </c>
      <c r="N93" s="55" t="s">
        <v>193</v>
      </c>
      <c r="O93" s="55" t="s">
        <v>1768</v>
      </c>
      <c r="P93" s="55" t="s">
        <v>70</v>
      </c>
      <c r="Q93" s="67" t="str">
        <f>IFERROR(__xludf.DUMMYFUNCTION("""COMPUTED_VALUE"""),"UnitedStates.CPA600_Patado_SEA_HuyLG_130225")</f>
        <v>UnitedStates.CPA600_Patado_SEA_HuyLG_130225</v>
      </c>
      <c r="R93" s="67" t="str">
        <f>IFERROR(__xludf.DUMMYFUNCTION("""COMPUTED_VALUE"""),"NON_UnitedStates_none_none_130225")</f>
        <v>NON_UnitedStates_none_none_130225</v>
      </c>
      <c r="S93" s="67" t="str">
        <f>IFERROR(__xludf.DUMMYFUNCTION("""COMPUTED_VALUE"""),"KW_Chuongtrinhhoctienganh_PTAGTTD_LD237")</f>
        <v>KW_Chuongtrinhhoctienganh_PTAGTTD_LD237</v>
      </c>
      <c r="T93" s="107" t="str">
        <f>IFERROR(__xludf.DUMMYFUNCTION("""COMPUTED_VALUE"""),"https://patadovietnam.edu.vn/hlg_gt_sea/?utm_source=Google&amp;utm_medium=SEA&amp;utm_term=NON_UnitedStates_none_none_130225&amp;utm_content=KW_Chuongtrinhhoctienganh_PTAGTTD_LD237&amp;utm_campaign=UnitedStates.CPA600_Patado_SEA_HuyLG_130225")</f>
        <v>https://patadovietnam.edu.vn/hlg_gt_sea/?utm_source=Google&amp;utm_medium=SEA&amp;utm_term=NON_UnitedStates_none_none_130225&amp;utm_content=KW_Chuongtrinhhoctienganh_PTAGTTD_LD237&amp;utm_campaign=UnitedStates.CPA600_Patado_SEA_HuyLG_130225</v>
      </c>
    </row>
    <row r="94">
      <c r="A94" s="72">
        <v>45701.0</v>
      </c>
      <c r="B94" s="60" t="s">
        <v>6754</v>
      </c>
      <c r="C94" s="67" t="str">
        <f>IFERROR(__xludf.DUMMYFUNCTION("""COMPUTED_VALUE"""),"LD237")</f>
        <v>LD237</v>
      </c>
      <c r="D94" s="55" t="s">
        <v>188</v>
      </c>
      <c r="E94" s="55" t="s">
        <v>193</v>
      </c>
      <c r="F94" s="55" t="s">
        <v>107</v>
      </c>
      <c r="G94" s="44" t="s">
        <v>61</v>
      </c>
      <c r="H94" s="55" t="s">
        <v>1131</v>
      </c>
      <c r="I94" s="55" t="s">
        <v>6790</v>
      </c>
      <c r="J94" s="55" t="s">
        <v>6791</v>
      </c>
      <c r="K94" s="55" t="s">
        <v>61</v>
      </c>
      <c r="L94" s="55" t="s">
        <v>1130</v>
      </c>
      <c r="M94" s="55" t="s">
        <v>6770</v>
      </c>
      <c r="N94" s="55" t="s">
        <v>193</v>
      </c>
      <c r="O94" s="55" t="s">
        <v>1768</v>
      </c>
      <c r="P94" s="55" t="s">
        <v>70</v>
      </c>
      <c r="Q94" s="67" t="str">
        <f>IFERROR(__xludf.DUMMYFUNCTION("""COMPUTED_VALUE"""),"UnitedStates.CPA600_Patado_SEA_HuyLG_130225")</f>
        <v>UnitedStates.CPA600_Patado_SEA_HuyLG_130225</v>
      </c>
      <c r="R94" s="67" t="str">
        <f>IFERROR(__xludf.DUMMYFUNCTION("""COMPUTED_VALUE"""),"NON_UnitedStates_none_none_130225")</f>
        <v>NON_UnitedStates_none_none_130225</v>
      </c>
      <c r="S94" s="67" t="str">
        <f>IFERROR(__xludf.DUMMYFUNCTION("""COMPUTED_VALUE"""),"KW_TiengAnhGiaoTiep_PTAGTTD_LD237")</f>
        <v>KW_TiengAnhGiaoTiep_PTAGTTD_LD237</v>
      </c>
      <c r="T94" s="107" t="str">
        <f>IFERROR(__xludf.DUMMYFUNCTION("""COMPUTED_VALUE"""),"https://patadovietnam.edu.vn/hlg_gt_sea/?utm_source=Google&amp;utm_medium=SEA&amp;utm_term=NON_UnitedStates_none_none_130225&amp;utm_content=KW_TiengAnhGiaoTiep_PTAGTTD_LD237&amp;utm_campaign=UnitedStates.CPA600_Patado_SEA_HuyLG_130225")</f>
        <v>https://patadovietnam.edu.vn/hlg_gt_sea/?utm_source=Google&amp;utm_medium=SEA&amp;utm_term=NON_UnitedStates_none_none_130225&amp;utm_content=KW_TiengAnhGiaoTiep_PTAGTTD_LD237&amp;utm_campaign=UnitedStates.CPA600_Patado_SEA_HuyLG_130225</v>
      </c>
    </row>
    <row r="95">
      <c r="A95" s="72">
        <v>45701.0</v>
      </c>
      <c r="B95" s="60" t="s">
        <v>6754</v>
      </c>
      <c r="C95" s="67" t="str">
        <f>IFERROR(__xludf.DUMMYFUNCTION("""COMPUTED_VALUE"""),"LD237")</f>
        <v>LD237</v>
      </c>
      <c r="D95" s="55" t="s">
        <v>188</v>
      </c>
      <c r="E95" s="55" t="s">
        <v>193</v>
      </c>
      <c r="F95" s="55" t="s">
        <v>107</v>
      </c>
      <c r="G95" s="44" t="s">
        <v>61</v>
      </c>
      <c r="H95" s="55" t="s">
        <v>1131</v>
      </c>
      <c r="I95" s="55" t="s">
        <v>6790</v>
      </c>
      <c r="J95" s="55" t="s">
        <v>6862</v>
      </c>
      <c r="K95" s="55" t="s">
        <v>61</v>
      </c>
      <c r="L95" s="55" t="s">
        <v>1130</v>
      </c>
      <c r="M95" s="55" t="s">
        <v>6770</v>
      </c>
      <c r="N95" s="55" t="s">
        <v>193</v>
      </c>
      <c r="O95" s="55" t="s">
        <v>1768</v>
      </c>
      <c r="P95" s="55" t="s">
        <v>70</v>
      </c>
      <c r="Q95" s="67" t="str">
        <f>IFERROR(__xludf.DUMMYFUNCTION("""COMPUTED_VALUE"""),"UnitedStates.CPA600_Patado_SEA_HuyLG_130225")</f>
        <v>UnitedStates.CPA600_Patado_SEA_HuyLG_130225</v>
      </c>
      <c r="R95" s="67" t="str">
        <f>IFERROR(__xludf.DUMMYFUNCTION("""COMPUTED_VALUE"""),"NON_UnitedStates_none_none_130225")</f>
        <v>NON_UnitedStates_none_none_130225</v>
      </c>
      <c r="S95" s="67" t="str">
        <f>IFERROR(__xludf.DUMMYFUNCTION("""COMPUTED_VALUE"""),"KW_Tienganhchonguoimatgoc_PTAGTTD_LD237")</f>
        <v>KW_Tienganhchonguoimatgoc_PTAGTTD_LD237</v>
      </c>
      <c r="T95" s="107" t="str">
        <f>IFERROR(__xludf.DUMMYFUNCTION("""COMPUTED_VALUE"""),"https://patadovietnam.edu.vn/hlg_gt_sea/?utm_source=Google&amp;utm_medium=SEA&amp;utm_term=NON_UnitedStates_none_none_130225&amp;utm_content=KW_Tienganhchonguoimatgoc_PTAGTTD_LD237&amp;utm_campaign=UnitedStates.CPA600_Patado_SEA_HuyLG_130225")</f>
        <v>https://patadovietnam.edu.vn/hlg_gt_sea/?utm_source=Google&amp;utm_medium=SEA&amp;utm_term=NON_UnitedStates_none_none_130225&amp;utm_content=KW_Tienganhchonguoimatgoc_PTAGTTD_LD237&amp;utm_campaign=UnitedStates.CPA600_Patado_SEA_HuyLG_130225</v>
      </c>
    </row>
    <row r="96">
      <c r="A96" s="72">
        <v>45701.0</v>
      </c>
      <c r="B96" s="60" t="s">
        <v>6754</v>
      </c>
      <c r="C96" s="67" t="str">
        <f>IFERROR(__xludf.DUMMYFUNCTION("""COMPUTED_VALUE"""),"LD237")</f>
        <v>LD237</v>
      </c>
      <c r="D96" s="55" t="s">
        <v>188</v>
      </c>
      <c r="E96" s="55" t="s">
        <v>193</v>
      </c>
      <c r="F96" s="55" t="s">
        <v>107</v>
      </c>
      <c r="G96" s="44" t="s">
        <v>61</v>
      </c>
      <c r="H96" s="55" t="s">
        <v>1131</v>
      </c>
      <c r="I96" s="55" t="s">
        <v>6790</v>
      </c>
      <c r="J96" s="55" t="s">
        <v>6864</v>
      </c>
      <c r="K96" s="55" t="s">
        <v>61</v>
      </c>
      <c r="L96" s="55" t="s">
        <v>1130</v>
      </c>
      <c r="M96" s="55" t="s">
        <v>6770</v>
      </c>
      <c r="N96" s="55" t="s">
        <v>193</v>
      </c>
      <c r="O96" s="55" t="s">
        <v>1768</v>
      </c>
      <c r="P96" s="55" t="s">
        <v>70</v>
      </c>
      <c r="Q96" s="67" t="str">
        <f>IFERROR(__xludf.DUMMYFUNCTION("""COMPUTED_VALUE"""),"UnitedStates.CPA600_Patado_SEA_HuyLG_130225")</f>
        <v>UnitedStates.CPA600_Patado_SEA_HuyLG_130225</v>
      </c>
      <c r="R96" s="67" t="str">
        <f>IFERROR(__xludf.DUMMYFUNCTION("""COMPUTED_VALUE"""),"NON_UnitedStates_none_none_130225")</f>
        <v>NON_UnitedStates_none_none_130225</v>
      </c>
      <c r="S96" s="67" t="str">
        <f>IFERROR(__xludf.DUMMYFUNCTION("""COMPUTED_VALUE"""),"KW_Tienganhgiaotiepcaptoc_PTAGTTD_LD237")</f>
        <v>KW_Tienganhgiaotiepcaptoc_PTAGTTD_LD237</v>
      </c>
      <c r="T96" s="107" t="str">
        <f>IFERROR(__xludf.DUMMYFUNCTION("""COMPUTED_VALUE"""),"https://patadovietnam.edu.vn/hlg_gt_sea/?utm_source=Google&amp;utm_medium=SEA&amp;utm_term=NON_UnitedStates_none_none_130225&amp;utm_content=KW_Tienganhgiaotiepcaptoc_PTAGTTD_LD237&amp;utm_campaign=UnitedStates.CPA600_Patado_SEA_HuyLG_130225")</f>
        <v>https://patadovietnam.edu.vn/hlg_gt_sea/?utm_source=Google&amp;utm_medium=SEA&amp;utm_term=NON_UnitedStates_none_none_130225&amp;utm_content=KW_Tienganhgiaotiepcaptoc_PTAGTTD_LD237&amp;utm_campaign=UnitedStates.CPA600_Patado_SEA_HuyLG_130225</v>
      </c>
    </row>
    <row r="97">
      <c r="A97" s="72">
        <v>45701.0</v>
      </c>
      <c r="B97" s="60" t="s">
        <v>6754</v>
      </c>
      <c r="C97" s="67" t="str">
        <f>IFERROR(__xludf.DUMMYFUNCTION("""COMPUTED_VALUE"""),"LD237")</f>
        <v>LD237</v>
      </c>
      <c r="D97" s="55" t="s">
        <v>188</v>
      </c>
      <c r="E97" s="55" t="s">
        <v>193</v>
      </c>
      <c r="F97" s="55" t="s">
        <v>107</v>
      </c>
      <c r="G97" s="44" t="s">
        <v>61</v>
      </c>
      <c r="H97" s="55" t="s">
        <v>1131</v>
      </c>
      <c r="I97" s="55" t="s">
        <v>6790</v>
      </c>
      <c r="J97" s="55" t="s">
        <v>6871</v>
      </c>
      <c r="K97" s="55" t="s">
        <v>61</v>
      </c>
      <c r="L97" s="55" t="s">
        <v>1130</v>
      </c>
      <c r="M97" s="55" t="s">
        <v>6770</v>
      </c>
      <c r="N97" s="55" t="s">
        <v>193</v>
      </c>
      <c r="O97" s="55" t="s">
        <v>1768</v>
      </c>
      <c r="P97" s="55" t="s">
        <v>70</v>
      </c>
      <c r="Q97" s="67" t="str">
        <f>IFERROR(__xludf.DUMMYFUNCTION("""COMPUTED_VALUE"""),"UnitedStates.CPA600_Patado_SEA_HuyLG_130225")</f>
        <v>UnitedStates.CPA600_Patado_SEA_HuyLG_130225</v>
      </c>
      <c r="R97" s="67" t="str">
        <f>IFERROR(__xludf.DUMMYFUNCTION("""COMPUTED_VALUE"""),"NON_UnitedStates_none_none_130225")</f>
        <v>NON_UnitedStates_none_none_130225</v>
      </c>
      <c r="S97" s="67" t="str">
        <f>IFERROR(__xludf.DUMMYFUNCTION("""COMPUTED_VALUE"""),"KW_Tienganhvanphong_PTAGTTD_LD237")</f>
        <v>KW_Tienganhvanphong_PTAGTTD_LD237</v>
      </c>
      <c r="T97" s="107" t="str">
        <f>IFERROR(__xludf.DUMMYFUNCTION("""COMPUTED_VALUE"""),"https://patadovietnam.edu.vn/hlg_gt_sea/?utm_source=Google&amp;utm_medium=SEA&amp;utm_term=NON_UnitedStates_none_none_130225&amp;utm_content=KW_Tienganhvanphong_PTAGTTD_LD237&amp;utm_campaign=UnitedStates.CPA600_Patado_SEA_HuyLG_130225")</f>
        <v>https://patadovietnam.edu.vn/hlg_gt_sea/?utm_source=Google&amp;utm_medium=SEA&amp;utm_term=NON_UnitedStates_none_none_130225&amp;utm_content=KW_Tienganhvanphong_PTAGTTD_LD237&amp;utm_campaign=UnitedStates.CPA600_Patado_SEA_HuyLG_130225</v>
      </c>
    </row>
    <row r="98">
      <c r="A98" s="72">
        <v>45701.0</v>
      </c>
      <c r="B98" s="60" t="s">
        <v>6754</v>
      </c>
      <c r="C98" s="67" t="str">
        <f>IFERROR(__xludf.DUMMYFUNCTION("""COMPUTED_VALUE"""),"LD237")</f>
        <v>LD237</v>
      </c>
      <c r="D98" s="55" t="s">
        <v>188</v>
      </c>
      <c r="E98" s="55" t="s">
        <v>193</v>
      </c>
      <c r="F98" s="55" t="s">
        <v>107</v>
      </c>
      <c r="G98" s="44" t="s">
        <v>61</v>
      </c>
      <c r="H98" s="55" t="s">
        <v>1131</v>
      </c>
      <c r="I98" s="55" t="s">
        <v>6790</v>
      </c>
      <c r="J98" s="55" t="s">
        <v>6811</v>
      </c>
      <c r="K98" s="55" t="s">
        <v>61</v>
      </c>
      <c r="L98" s="55" t="s">
        <v>1130</v>
      </c>
      <c r="M98" s="55" t="s">
        <v>6770</v>
      </c>
      <c r="N98" s="55" t="s">
        <v>193</v>
      </c>
      <c r="O98" s="55" t="s">
        <v>1768</v>
      </c>
      <c r="P98" s="55" t="s">
        <v>70</v>
      </c>
      <c r="Q98" s="67" t="str">
        <f>IFERROR(__xludf.DUMMYFUNCTION("""COMPUTED_VALUE"""),"UnitedStates.CPA600_Patado_SEA_HuyLG_130225")</f>
        <v>UnitedStates.CPA600_Patado_SEA_HuyLG_130225</v>
      </c>
      <c r="R98" s="67" t="str">
        <f>IFERROR(__xludf.DUMMYFUNCTION("""COMPUTED_VALUE"""),"NON_UnitedStates_none_none_130225")</f>
        <v>NON_UnitedStates_none_none_130225</v>
      </c>
      <c r="S98" s="67" t="str">
        <f>IFERROR(__xludf.DUMMYFUNCTION("""COMPUTED_VALUE"""),"KW_Daytienganhonline_PTAGTTD_LD237")</f>
        <v>KW_Daytienganhonline_PTAGTTD_LD237</v>
      </c>
      <c r="T98" s="107" t="str">
        <f>IFERROR(__xludf.DUMMYFUNCTION("""COMPUTED_VALUE"""),"https://patadovietnam.edu.vn/hlg_gt_sea/?utm_source=Google&amp;utm_medium=SEA&amp;utm_term=NON_UnitedStates_none_none_130225&amp;utm_content=KW_Daytienganhonline_PTAGTTD_LD237&amp;utm_campaign=UnitedStates.CPA600_Patado_SEA_HuyLG_130225")</f>
        <v>https://patadovietnam.edu.vn/hlg_gt_sea/?utm_source=Google&amp;utm_medium=SEA&amp;utm_term=NON_UnitedStates_none_none_130225&amp;utm_content=KW_Daytienganhonline_PTAGTTD_LD237&amp;utm_campaign=UnitedStates.CPA600_Patado_SEA_HuyLG_130225</v>
      </c>
    </row>
    <row r="99">
      <c r="A99" s="72">
        <v>45701.0</v>
      </c>
      <c r="B99" s="60" t="s">
        <v>6754</v>
      </c>
      <c r="C99" s="67" t="str">
        <f>IFERROR(__xludf.DUMMYFUNCTION("""COMPUTED_VALUE"""),"LD237")</f>
        <v>LD237</v>
      </c>
      <c r="D99" s="55" t="s">
        <v>188</v>
      </c>
      <c r="E99" s="55" t="s">
        <v>193</v>
      </c>
      <c r="F99" s="55" t="s">
        <v>107</v>
      </c>
      <c r="G99" s="44" t="s">
        <v>61</v>
      </c>
      <c r="H99" s="55" t="s">
        <v>1131</v>
      </c>
      <c r="I99" s="55" t="s">
        <v>6790</v>
      </c>
      <c r="J99" s="55" t="s">
        <v>6862</v>
      </c>
      <c r="K99" s="55" t="s">
        <v>61</v>
      </c>
      <c r="L99" s="55" t="s">
        <v>1130</v>
      </c>
      <c r="M99" s="55" t="s">
        <v>6770</v>
      </c>
      <c r="N99" s="55" t="s">
        <v>193</v>
      </c>
      <c r="O99" s="55" t="s">
        <v>1768</v>
      </c>
      <c r="P99" s="55" t="s">
        <v>70</v>
      </c>
      <c r="Q99" s="67" t="str">
        <f>IFERROR(__xludf.DUMMYFUNCTION("""COMPUTED_VALUE"""),"UnitedStates.CPA600_Patado_SEA_HuyLG_130225")</f>
        <v>UnitedStates.CPA600_Patado_SEA_HuyLG_130225</v>
      </c>
      <c r="R99" s="67" t="str">
        <f>IFERROR(__xludf.DUMMYFUNCTION("""COMPUTED_VALUE"""),"NON_UnitedStates_none_none_130225")</f>
        <v>NON_UnitedStates_none_none_130225</v>
      </c>
      <c r="S99" s="67" t="str">
        <f>IFERROR(__xludf.DUMMYFUNCTION("""COMPUTED_VALUE"""),"KW_Tienganhchonguoimatgoc_PTAGTTD_LD237")</f>
        <v>KW_Tienganhchonguoimatgoc_PTAGTTD_LD237</v>
      </c>
      <c r="T99" s="107" t="str">
        <f>IFERROR(__xludf.DUMMYFUNCTION("""COMPUTED_VALUE"""),"https://patadovietnam.edu.vn/hlg_gt_sea/?utm_source=Google&amp;utm_medium=SEA&amp;utm_term=NON_UnitedStates_none_none_130225&amp;utm_content=KW_Tienganhchonguoimatgoc_PTAGTTD_LD237&amp;utm_campaign=UnitedStates.CPA600_Patado_SEA_HuyLG_130225")</f>
        <v>https://patadovietnam.edu.vn/hlg_gt_sea/?utm_source=Google&amp;utm_medium=SEA&amp;utm_term=NON_UnitedStates_none_none_130225&amp;utm_content=KW_Tienganhchonguoimatgoc_PTAGTTD_LD237&amp;utm_campaign=UnitedStates.CPA600_Patado_SEA_HuyLG_130225</v>
      </c>
    </row>
    <row r="100">
      <c r="A100" s="72">
        <v>45703.0</v>
      </c>
      <c r="B100" s="60" t="s">
        <v>6754</v>
      </c>
      <c r="C100" s="67" t="str">
        <f>IFERROR(__xludf.DUMMYFUNCTION("""COMPUTED_VALUE"""),"LD237")</f>
        <v>LD237</v>
      </c>
      <c r="D100" s="55" t="s">
        <v>188</v>
      </c>
      <c r="E100" s="55" t="s">
        <v>193</v>
      </c>
      <c r="F100" s="55" t="s">
        <v>133</v>
      </c>
      <c r="G100" s="44" t="s">
        <v>61</v>
      </c>
      <c r="H100" s="55" t="s">
        <v>1131</v>
      </c>
      <c r="I100" s="55" t="s">
        <v>7016</v>
      </c>
      <c r="J100" s="55" t="s">
        <v>6802</v>
      </c>
      <c r="K100" s="55" t="s">
        <v>61</v>
      </c>
      <c r="L100" s="55" t="s">
        <v>1130</v>
      </c>
      <c r="M100" s="55" t="s">
        <v>6770</v>
      </c>
      <c r="N100" s="55" t="s">
        <v>193</v>
      </c>
      <c r="O100" s="55" t="s">
        <v>1768</v>
      </c>
      <c r="P100" s="55" t="s">
        <v>70</v>
      </c>
      <c r="Q100" s="67" t="str">
        <f>IFERROR(__xludf.DUMMYFUNCTION("""COMPUTED_VALUE"""),"Japan.CPA400_Patado_SEA_HuyLG_150225")</f>
        <v>Japan.CPA400_Patado_SEA_HuyLG_150225</v>
      </c>
      <c r="R100" s="67" t="str">
        <f>IFERROR(__xludf.DUMMYFUNCTION("""COMPUTED_VALUE"""),"NON_Japan_none_none_150225")</f>
        <v>NON_Japan_none_none_150225</v>
      </c>
      <c r="S100" s="67" t="str">
        <f>IFERROR(__xludf.DUMMYFUNCTION("""COMPUTED_VALUE"""),"KW_Tienganhtudau_PTAGTTD_LD237")</f>
        <v>KW_Tienganhtudau_PTAGTTD_LD237</v>
      </c>
      <c r="T100" s="107" t="str">
        <f>IFERROR(__xludf.DUMMYFUNCTION("""COMPUTED_VALUE"""),"https://patadovietnam.edu.vn/hlg_gt_sea/?utm_source=Google&amp;utm_medium=SEA&amp;utm_term=NON_Japan_none_none_150225&amp;utm_content=KW_Tienganhtudau_PTAGTTD_LD237&amp;utm_campaign=Japan.CPA400_Patado_SEA_HuyLG_150225")</f>
        <v>https://patadovietnam.edu.vn/hlg_gt_sea/?utm_source=Google&amp;utm_medium=SEA&amp;utm_term=NON_Japan_none_none_150225&amp;utm_content=KW_Tienganhtudau_PTAGTTD_LD237&amp;utm_campaign=Japan.CPA400_Patado_SEA_HuyLG_150225</v>
      </c>
    </row>
    <row r="101">
      <c r="A101" s="72">
        <v>45703.0</v>
      </c>
      <c r="B101" s="60" t="s">
        <v>6754</v>
      </c>
      <c r="C101" s="67" t="str">
        <f>IFERROR(__xludf.DUMMYFUNCTION("""COMPUTED_VALUE"""),"LD237")</f>
        <v>LD237</v>
      </c>
      <c r="D101" s="55" t="s">
        <v>188</v>
      </c>
      <c r="E101" s="55" t="s">
        <v>193</v>
      </c>
      <c r="F101" s="55" t="s">
        <v>133</v>
      </c>
      <c r="G101" s="44" t="s">
        <v>61</v>
      </c>
      <c r="H101" s="55" t="s">
        <v>1131</v>
      </c>
      <c r="I101" s="55" t="s">
        <v>7016</v>
      </c>
      <c r="J101" s="55" t="s">
        <v>6819</v>
      </c>
      <c r="K101" s="55" t="s">
        <v>61</v>
      </c>
      <c r="L101" s="55" t="s">
        <v>1130</v>
      </c>
      <c r="M101" s="55" t="s">
        <v>6770</v>
      </c>
      <c r="N101" s="55" t="s">
        <v>193</v>
      </c>
      <c r="O101" s="55" t="s">
        <v>1768</v>
      </c>
      <c r="P101" s="55" t="s">
        <v>70</v>
      </c>
      <c r="Q101" s="67" t="str">
        <f>IFERROR(__xludf.DUMMYFUNCTION("""COMPUTED_VALUE"""),"Japan.CPA400_Patado_SEA_HuyLG_150225")</f>
        <v>Japan.CPA400_Patado_SEA_HuyLG_150225</v>
      </c>
      <c r="R101" s="67" t="str">
        <f>IFERROR(__xludf.DUMMYFUNCTION("""COMPUTED_VALUE"""),"NON_Japan_none_none_150225")</f>
        <v>NON_Japan_none_none_150225</v>
      </c>
      <c r="S101" s="67" t="str">
        <f>IFERROR(__xludf.DUMMYFUNCTION("""COMPUTED_VALUE"""),"KW_Tienganhonlinetainha_PTAGTTD_LD237")</f>
        <v>KW_Tienganhonlinetainha_PTAGTTD_LD237</v>
      </c>
      <c r="T101" s="107" t="str">
        <f>IFERROR(__xludf.DUMMYFUNCTION("""COMPUTED_VALUE"""),"https://patadovietnam.edu.vn/hlg_gt_sea/?utm_source=Google&amp;utm_medium=SEA&amp;utm_term=NON_Japan_none_none_150225&amp;utm_content=KW_Tienganhonlinetainha_PTAGTTD_LD237&amp;utm_campaign=Japan.CPA400_Patado_SEA_HuyLG_150225")</f>
        <v>https://patadovietnam.edu.vn/hlg_gt_sea/?utm_source=Google&amp;utm_medium=SEA&amp;utm_term=NON_Japan_none_none_150225&amp;utm_content=KW_Tienganhonlinetainha_PTAGTTD_LD237&amp;utm_campaign=Japan.CPA400_Patado_SEA_HuyLG_150225</v>
      </c>
    </row>
    <row r="102">
      <c r="A102" s="72">
        <v>45703.0</v>
      </c>
      <c r="B102" s="60" t="s">
        <v>6754</v>
      </c>
      <c r="C102" s="67" t="str">
        <f>IFERROR(__xludf.DUMMYFUNCTION("""COMPUTED_VALUE"""),"LD237")</f>
        <v>LD237</v>
      </c>
      <c r="D102" s="55" t="s">
        <v>188</v>
      </c>
      <c r="E102" s="55" t="s">
        <v>193</v>
      </c>
      <c r="F102" s="55" t="s">
        <v>133</v>
      </c>
      <c r="G102" s="44" t="s">
        <v>61</v>
      </c>
      <c r="H102" s="55" t="s">
        <v>1131</v>
      </c>
      <c r="I102" s="55" t="s">
        <v>7016</v>
      </c>
      <c r="J102" s="55" t="s">
        <v>6816</v>
      </c>
      <c r="K102" s="55" t="s">
        <v>61</v>
      </c>
      <c r="L102" s="55" t="s">
        <v>1130</v>
      </c>
      <c r="M102" s="55" t="s">
        <v>6770</v>
      </c>
      <c r="N102" s="55" t="s">
        <v>193</v>
      </c>
      <c r="O102" s="55" t="s">
        <v>1768</v>
      </c>
      <c r="P102" s="55" t="s">
        <v>70</v>
      </c>
      <c r="Q102" s="67" t="str">
        <f>IFERROR(__xludf.DUMMYFUNCTION("""COMPUTED_VALUE"""),"Japan.CPA400_Patado_SEA_HuyLG_150225")</f>
        <v>Japan.CPA400_Patado_SEA_HuyLG_150225</v>
      </c>
      <c r="R102" s="67" t="str">
        <f>IFERROR(__xludf.DUMMYFUNCTION("""COMPUTED_VALUE"""),"NON_Japan_none_none_150225")</f>
        <v>NON_Japan_none_none_150225</v>
      </c>
      <c r="S102" s="67" t="str">
        <f>IFERROR(__xludf.DUMMYFUNCTION("""COMPUTED_VALUE"""),"KW_Tienganhcoban_PTAGTTD_LD237")</f>
        <v>KW_Tienganhcoban_PTAGTTD_LD237</v>
      </c>
      <c r="T102" s="107" t="str">
        <f>IFERROR(__xludf.DUMMYFUNCTION("""COMPUTED_VALUE"""),"https://patadovietnam.edu.vn/hlg_gt_sea/?utm_source=Google&amp;utm_medium=SEA&amp;utm_term=NON_Japan_none_none_150225&amp;utm_content=KW_Tienganhcoban_PTAGTTD_LD237&amp;utm_campaign=Japan.CPA400_Patado_SEA_HuyLG_150225")</f>
        <v>https://patadovietnam.edu.vn/hlg_gt_sea/?utm_source=Google&amp;utm_medium=SEA&amp;utm_term=NON_Japan_none_none_150225&amp;utm_content=KW_Tienganhcoban_PTAGTTD_LD237&amp;utm_campaign=Japan.CPA400_Patado_SEA_HuyLG_150225</v>
      </c>
    </row>
    <row r="103">
      <c r="A103" s="72">
        <v>45703.0</v>
      </c>
      <c r="B103" s="60" t="s">
        <v>6754</v>
      </c>
      <c r="C103" s="67" t="str">
        <f>IFERROR(__xludf.DUMMYFUNCTION("""COMPUTED_VALUE"""),"LD237")</f>
        <v>LD237</v>
      </c>
      <c r="D103" s="55" t="s">
        <v>188</v>
      </c>
      <c r="E103" s="55" t="s">
        <v>193</v>
      </c>
      <c r="F103" s="55" t="s">
        <v>133</v>
      </c>
      <c r="G103" s="44" t="s">
        <v>61</v>
      </c>
      <c r="H103" s="55" t="s">
        <v>1131</v>
      </c>
      <c r="I103" s="55" t="s">
        <v>7016</v>
      </c>
      <c r="J103" s="55" t="s">
        <v>2476</v>
      </c>
      <c r="K103" s="55" t="s">
        <v>61</v>
      </c>
      <c r="L103" s="55" t="s">
        <v>1130</v>
      </c>
      <c r="M103" s="55" t="s">
        <v>6770</v>
      </c>
      <c r="N103" s="55" t="s">
        <v>193</v>
      </c>
      <c r="O103" s="55" t="s">
        <v>1768</v>
      </c>
      <c r="P103" s="55" t="s">
        <v>70</v>
      </c>
      <c r="Q103" s="67" t="str">
        <f>IFERROR(__xludf.DUMMYFUNCTION("""COMPUTED_VALUE"""),"Japan.CPA400_Patado_SEA_HuyLG_150225")</f>
        <v>Japan.CPA400_Patado_SEA_HuyLG_150225</v>
      </c>
      <c r="R103" s="67" t="str">
        <f>IFERROR(__xludf.DUMMYFUNCTION("""COMPUTED_VALUE"""),"NON_Japan_none_none_150225")</f>
        <v>NON_Japan_none_none_150225</v>
      </c>
      <c r="S103" s="67" t="str">
        <f>IFERROR(__xludf.DUMMYFUNCTION("""COMPUTED_VALUE"""),"KW_Tienganhonline_PTAGTTD_LD237")</f>
        <v>KW_Tienganhonline_PTAGTTD_LD237</v>
      </c>
      <c r="T103" s="107" t="str">
        <f>IFERROR(__xludf.DUMMYFUNCTION("""COMPUTED_VALUE"""),"https://patadovietnam.edu.vn/hlg_gt_sea/?utm_source=Google&amp;utm_medium=SEA&amp;utm_term=NON_Japan_none_none_150225&amp;utm_content=KW_Tienganhonline_PTAGTTD_LD237&amp;utm_campaign=Japan.CPA400_Patado_SEA_HuyLG_150225")</f>
        <v>https://patadovietnam.edu.vn/hlg_gt_sea/?utm_source=Google&amp;utm_medium=SEA&amp;utm_term=NON_Japan_none_none_150225&amp;utm_content=KW_Tienganhonline_PTAGTTD_LD237&amp;utm_campaign=Japan.CPA400_Patado_SEA_HuyLG_150225</v>
      </c>
    </row>
    <row r="104">
      <c r="A104" s="72">
        <v>45703.0</v>
      </c>
      <c r="B104" s="60" t="s">
        <v>6754</v>
      </c>
      <c r="C104" s="67" t="str">
        <f>IFERROR(__xludf.DUMMYFUNCTION("""COMPUTED_VALUE"""),"LD237")</f>
        <v>LD237</v>
      </c>
      <c r="D104" s="55" t="s">
        <v>188</v>
      </c>
      <c r="E104" s="55" t="s">
        <v>193</v>
      </c>
      <c r="F104" s="55" t="s">
        <v>133</v>
      </c>
      <c r="G104" s="44" t="s">
        <v>61</v>
      </c>
      <c r="H104" s="55" t="s">
        <v>1131</v>
      </c>
      <c r="I104" s="55" t="s">
        <v>7016</v>
      </c>
      <c r="J104" s="55" t="s">
        <v>6791</v>
      </c>
      <c r="K104" s="55" t="s">
        <v>61</v>
      </c>
      <c r="L104" s="55" t="s">
        <v>1130</v>
      </c>
      <c r="M104" s="55" t="s">
        <v>6770</v>
      </c>
      <c r="N104" s="55" t="s">
        <v>193</v>
      </c>
      <c r="O104" s="55" t="s">
        <v>1768</v>
      </c>
      <c r="P104" s="55" t="s">
        <v>70</v>
      </c>
      <c r="Q104" s="67" t="str">
        <f>IFERROR(__xludf.DUMMYFUNCTION("""COMPUTED_VALUE"""),"Japan.CPA400_Patado_SEA_HuyLG_150225")</f>
        <v>Japan.CPA400_Patado_SEA_HuyLG_150225</v>
      </c>
      <c r="R104" s="67" t="str">
        <f>IFERROR(__xludf.DUMMYFUNCTION("""COMPUTED_VALUE"""),"NON_Japan_none_none_150225")</f>
        <v>NON_Japan_none_none_150225</v>
      </c>
      <c r="S104" s="67" t="str">
        <f>IFERROR(__xludf.DUMMYFUNCTION("""COMPUTED_VALUE"""),"KW_TiengAnhGiaoTiep_PTAGTTD_LD237")</f>
        <v>KW_TiengAnhGiaoTiep_PTAGTTD_LD237</v>
      </c>
      <c r="T104" s="107" t="str">
        <f>IFERROR(__xludf.DUMMYFUNCTION("""COMPUTED_VALUE"""),"https://patadovietnam.edu.vn/hlg_gt_sea/?utm_source=Google&amp;utm_medium=SEA&amp;utm_term=NON_Japan_none_none_150225&amp;utm_content=KW_TiengAnhGiaoTiep_PTAGTTD_LD237&amp;utm_campaign=Japan.CPA400_Patado_SEA_HuyLG_150225")</f>
        <v>https://patadovietnam.edu.vn/hlg_gt_sea/?utm_source=Google&amp;utm_medium=SEA&amp;utm_term=NON_Japan_none_none_150225&amp;utm_content=KW_TiengAnhGiaoTiep_PTAGTTD_LD237&amp;utm_campaign=Japan.CPA400_Patado_SEA_HuyLG_150225</v>
      </c>
    </row>
    <row r="105">
      <c r="A105" s="72">
        <v>45703.0</v>
      </c>
      <c r="B105" s="60" t="s">
        <v>6754</v>
      </c>
      <c r="C105" s="67" t="str">
        <f>IFERROR(__xludf.DUMMYFUNCTION("""COMPUTED_VALUE"""),"LD237")</f>
        <v>LD237</v>
      </c>
      <c r="D105" s="55" t="s">
        <v>188</v>
      </c>
      <c r="E105" s="55" t="s">
        <v>193</v>
      </c>
      <c r="F105" s="55" t="s">
        <v>133</v>
      </c>
      <c r="G105" s="44" t="s">
        <v>61</v>
      </c>
      <c r="H105" s="55" t="s">
        <v>1131</v>
      </c>
      <c r="I105" s="55" t="s">
        <v>7016</v>
      </c>
      <c r="J105" s="55" t="s">
        <v>6808</v>
      </c>
      <c r="K105" s="55" t="s">
        <v>61</v>
      </c>
      <c r="L105" s="55" t="s">
        <v>1130</v>
      </c>
      <c r="M105" s="55" t="s">
        <v>6770</v>
      </c>
      <c r="N105" s="55" t="s">
        <v>193</v>
      </c>
      <c r="O105" s="55" t="s">
        <v>1768</v>
      </c>
      <c r="P105" s="55" t="s">
        <v>70</v>
      </c>
      <c r="Q105" s="67" t="str">
        <f>IFERROR(__xludf.DUMMYFUNCTION("""COMPUTED_VALUE"""),"Japan.CPA400_Patado_SEA_HuyLG_150225")</f>
        <v>Japan.CPA400_Patado_SEA_HuyLG_150225</v>
      </c>
      <c r="R105" s="67" t="str">
        <f>IFERROR(__xludf.DUMMYFUNCTION("""COMPUTED_VALUE"""),"NON_Japan_none_none_150225")</f>
        <v>NON_Japan_none_none_150225</v>
      </c>
      <c r="S105" s="67" t="str">
        <f>IFERROR(__xludf.DUMMYFUNCTION("""COMPUTED_VALUE"""),"KW_Hoctienganhtructuyen_PTAGTTD_LD237")</f>
        <v>KW_Hoctienganhtructuyen_PTAGTTD_LD237</v>
      </c>
      <c r="T105" s="107" t="str">
        <f>IFERROR(__xludf.DUMMYFUNCTION("""COMPUTED_VALUE"""),"https://patadovietnam.edu.vn/hlg_gt_sea/?utm_source=Google&amp;utm_medium=SEA&amp;utm_term=NON_Japan_none_none_150225&amp;utm_content=KW_Hoctienganhtructuyen_PTAGTTD_LD237&amp;utm_campaign=Japan.CPA400_Patado_SEA_HuyLG_150225")</f>
        <v>https://patadovietnam.edu.vn/hlg_gt_sea/?utm_source=Google&amp;utm_medium=SEA&amp;utm_term=NON_Japan_none_none_150225&amp;utm_content=KW_Hoctienganhtructuyen_PTAGTTD_LD237&amp;utm_campaign=Japan.CPA400_Patado_SEA_HuyLG_150225</v>
      </c>
    </row>
    <row r="106">
      <c r="A106" s="72">
        <v>45703.0</v>
      </c>
      <c r="B106" s="60" t="s">
        <v>6754</v>
      </c>
      <c r="C106" s="67" t="str">
        <f>IFERROR(__xludf.DUMMYFUNCTION("""COMPUTED_VALUE"""),"LD237")</f>
        <v>LD237</v>
      </c>
      <c r="D106" s="55" t="s">
        <v>188</v>
      </c>
      <c r="E106" s="55" t="s">
        <v>193</v>
      </c>
      <c r="F106" s="55" t="s">
        <v>133</v>
      </c>
      <c r="G106" s="44" t="s">
        <v>61</v>
      </c>
      <c r="H106" s="55" t="s">
        <v>1131</v>
      </c>
      <c r="I106" s="55" t="s">
        <v>7016</v>
      </c>
      <c r="J106" s="55" t="s">
        <v>6840</v>
      </c>
      <c r="K106" s="55" t="s">
        <v>61</v>
      </c>
      <c r="L106" s="55" t="s">
        <v>1130</v>
      </c>
      <c r="M106" s="55" t="s">
        <v>6770</v>
      </c>
      <c r="N106" s="55" t="s">
        <v>193</v>
      </c>
      <c r="O106" s="55" t="s">
        <v>1768</v>
      </c>
      <c r="P106" s="55" t="s">
        <v>70</v>
      </c>
      <c r="Q106" s="67" t="str">
        <f>IFERROR(__xludf.DUMMYFUNCTION("""COMPUTED_VALUE"""),"Japan.CPA400_Patado_SEA_HuyLG_150225")</f>
        <v>Japan.CPA400_Patado_SEA_HuyLG_150225</v>
      </c>
      <c r="R106" s="67" t="str">
        <f>IFERROR(__xludf.DUMMYFUNCTION("""COMPUTED_VALUE"""),"NON_Japan_none_none_150225")</f>
        <v>NON_Japan_none_none_150225</v>
      </c>
      <c r="S106" s="67" t="str">
        <f>IFERROR(__xludf.DUMMYFUNCTION("""COMPUTED_VALUE"""),"KW_Chuongtrinhhoctienganh_PTAGTTD_LD237")</f>
        <v>KW_Chuongtrinhhoctienganh_PTAGTTD_LD237</v>
      </c>
      <c r="T106" s="107" t="str">
        <f>IFERROR(__xludf.DUMMYFUNCTION("""COMPUTED_VALUE"""),"https://patadovietnam.edu.vn/hlg_gt_sea/?utm_source=Google&amp;utm_medium=SEA&amp;utm_term=NON_Japan_none_none_150225&amp;utm_content=KW_Chuongtrinhhoctienganh_PTAGTTD_LD237&amp;utm_campaign=Japan.CPA400_Patado_SEA_HuyLG_150225")</f>
        <v>https://patadovietnam.edu.vn/hlg_gt_sea/?utm_source=Google&amp;utm_medium=SEA&amp;utm_term=NON_Japan_none_none_150225&amp;utm_content=KW_Chuongtrinhhoctienganh_PTAGTTD_LD237&amp;utm_campaign=Japan.CPA400_Patado_SEA_HuyLG_150225</v>
      </c>
    </row>
    <row r="107">
      <c r="A107" s="72">
        <v>45703.0</v>
      </c>
      <c r="B107" s="60" t="s">
        <v>6754</v>
      </c>
      <c r="C107" s="67" t="str">
        <f>IFERROR(__xludf.DUMMYFUNCTION("""COMPUTED_VALUE"""),"LD237")</f>
        <v>LD237</v>
      </c>
      <c r="D107" s="55" t="s">
        <v>188</v>
      </c>
      <c r="E107" s="55" t="s">
        <v>193</v>
      </c>
      <c r="F107" s="55" t="s">
        <v>133</v>
      </c>
      <c r="G107" s="44" t="s">
        <v>61</v>
      </c>
      <c r="H107" s="55" t="s">
        <v>1131</v>
      </c>
      <c r="I107" s="55" t="s">
        <v>7016</v>
      </c>
      <c r="J107" s="55" t="s">
        <v>6811</v>
      </c>
      <c r="K107" s="55" t="s">
        <v>61</v>
      </c>
      <c r="L107" s="55" t="s">
        <v>1130</v>
      </c>
      <c r="M107" s="55" t="s">
        <v>6770</v>
      </c>
      <c r="N107" s="55" t="s">
        <v>193</v>
      </c>
      <c r="O107" s="55" t="s">
        <v>1768</v>
      </c>
      <c r="P107" s="55" t="s">
        <v>70</v>
      </c>
      <c r="Q107" s="67" t="str">
        <f>IFERROR(__xludf.DUMMYFUNCTION("""COMPUTED_VALUE"""),"Japan.CPA400_Patado_SEA_HuyLG_150225")</f>
        <v>Japan.CPA400_Patado_SEA_HuyLG_150225</v>
      </c>
      <c r="R107" s="67" t="str">
        <f>IFERROR(__xludf.DUMMYFUNCTION("""COMPUTED_VALUE"""),"NON_Japan_none_none_150225")</f>
        <v>NON_Japan_none_none_150225</v>
      </c>
      <c r="S107" s="67" t="str">
        <f>IFERROR(__xludf.DUMMYFUNCTION("""COMPUTED_VALUE"""),"KW_Daytienganhonline_PTAGTTD_LD237")</f>
        <v>KW_Daytienganhonline_PTAGTTD_LD237</v>
      </c>
      <c r="T107" s="107" t="str">
        <f>IFERROR(__xludf.DUMMYFUNCTION("""COMPUTED_VALUE"""),"https://patadovietnam.edu.vn/hlg_gt_sea/?utm_source=Google&amp;utm_medium=SEA&amp;utm_term=NON_Japan_none_none_150225&amp;utm_content=KW_Daytienganhonline_PTAGTTD_LD237&amp;utm_campaign=Japan.CPA400_Patado_SEA_HuyLG_150225")</f>
        <v>https://patadovietnam.edu.vn/hlg_gt_sea/?utm_source=Google&amp;utm_medium=SEA&amp;utm_term=NON_Japan_none_none_150225&amp;utm_content=KW_Daytienganhonline_PTAGTTD_LD237&amp;utm_campaign=Japan.CPA400_Patado_SEA_HuyLG_150225</v>
      </c>
    </row>
    <row r="108">
      <c r="A108" s="72">
        <v>45703.0</v>
      </c>
      <c r="B108" s="60" t="s">
        <v>6754</v>
      </c>
      <c r="C108" s="67" t="str">
        <f>IFERROR(__xludf.DUMMYFUNCTION("""COMPUTED_VALUE"""),"LD237")</f>
        <v>LD237</v>
      </c>
      <c r="D108" s="55" t="s">
        <v>188</v>
      </c>
      <c r="E108" s="55" t="s">
        <v>193</v>
      </c>
      <c r="F108" s="55" t="s">
        <v>133</v>
      </c>
      <c r="G108" s="44" t="s">
        <v>61</v>
      </c>
      <c r="H108" s="55" t="s">
        <v>1131</v>
      </c>
      <c r="I108" s="55" t="s">
        <v>7016</v>
      </c>
      <c r="J108" s="55" t="s">
        <v>6827</v>
      </c>
      <c r="K108" s="55" t="s">
        <v>61</v>
      </c>
      <c r="L108" s="55" t="s">
        <v>1130</v>
      </c>
      <c r="M108" s="55" t="s">
        <v>6770</v>
      </c>
      <c r="N108" s="55" t="s">
        <v>193</v>
      </c>
      <c r="O108" s="55" t="s">
        <v>1768</v>
      </c>
      <c r="P108" s="55" t="s">
        <v>70</v>
      </c>
      <c r="Q108" s="67" t="str">
        <f>IFERROR(__xludf.DUMMYFUNCTION("""COMPUTED_VALUE"""),"Japan.CPA400_Patado_SEA_HuyLG_150225")</f>
        <v>Japan.CPA400_Patado_SEA_HuyLG_150225</v>
      </c>
      <c r="R108" s="67" t="str">
        <f>IFERROR(__xludf.DUMMYFUNCTION("""COMPUTED_VALUE"""),"NON_Japan_none_none_150225")</f>
        <v>NON_Japan_none_none_150225</v>
      </c>
      <c r="S108" s="67" t="str">
        <f>IFERROR(__xludf.DUMMYFUNCTION("""COMPUTED_VALUE"""),"KW_Dangkihoctienganh_PTAGTTD_LD237")</f>
        <v>KW_Dangkihoctienganh_PTAGTTD_LD237</v>
      </c>
      <c r="T108" s="107" t="str">
        <f>IFERROR(__xludf.DUMMYFUNCTION("""COMPUTED_VALUE"""),"https://patadovietnam.edu.vn/hlg_gt_sea/?utm_source=Google&amp;utm_medium=SEA&amp;utm_term=NON_Japan_none_none_150225&amp;utm_content=KW_Dangkihoctienganh_PTAGTTD_LD237&amp;utm_campaign=Japan.CPA400_Patado_SEA_HuyLG_150225")</f>
        <v>https://patadovietnam.edu.vn/hlg_gt_sea/?utm_source=Google&amp;utm_medium=SEA&amp;utm_term=NON_Japan_none_none_150225&amp;utm_content=KW_Dangkihoctienganh_PTAGTTD_LD237&amp;utm_campaign=Japan.CPA400_Patado_SEA_HuyLG_150225</v>
      </c>
    </row>
    <row r="109">
      <c r="A109" s="72">
        <v>45703.0</v>
      </c>
      <c r="B109" s="60" t="s">
        <v>6754</v>
      </c>
      <c r="C109" s="67" t="str">
        <f>IFERROR(__xludf.DUMMYFUNCTION("""COMPUTED_VALUE"""),"LD237")</f>
        <v>LD237</v>
      </c>
      <c r="D109" s="55" t="s">
        <v>188</v>
      </c>
      <c r="E109" s="55" t="s">
        <v>193</v>
      </c>
      <c r="F109" s="55" t="s">
        <v>133</v>
      </c>
      <c r="G109" s="44" t="s">
        <v>61</v>
      </c>
      <c r="H109" s="55" t="s">
        <v>1131</v>
      </c>
      <c r="I109" s="55" t="s">
        <v>7016</v>
      </c>
      <c r="J109" s="55" t="s">
        <v>6830</v>
      </c>
      <c r="K109" s="55" t="s">
        <v>61</v>
      </c>
      <c r="L109" s="55" t="s">
        <v>1130</v>
      </c>
      <c r="M109" s="55" t="s">
        <v>6770</v>
      </c>
      <c r="N109" s="55" t="s">
        <v>193</v>
      </c>
      <c r="O109" s="55" t="s">
        <v>1768</v>
      </c>
      <c r="P109" s="55" t="s">
        <v>70</v>
      </c>
      <c r="Q109" s="67" t="str">
        <f>IFERROR(__xludf.DUMMYFUNCTION("""COMPUTED_VALUE"""),"Japan.CPA400_Patado_SEA_HuyLG_150225")</f>
        <v>Japan.CPA400_Patado_SEA_HuyLG_150225</v>
      </c>
      <c r="R109" s="67" t="str">
        <f>IFERROR(__xludf.DUMMYFUNCTION("""COMPUTED_VALUE"""),"NON_Japan_none_none_150225")</f>
        <v>NON_Japan_none_none_150225</v>
      </c>
      <c r="S109" s="67" t="str">
        <f>IFERROR(__xludf.DUMMYFUNCTION("""COMPUTED_VALUE"""),"KW_KhoaHocIeltsOnline_PTAGTTD_LD237")</f>
        <v>KW_KhoaHocIeltsOnline_PTAGTTD_LD237</v>
      </c>
      <c r="T109" s="107" t="str">
        <f>IFERROR(__xludf.DUMMYFUNCTION("""COMPUTED_VALUE"""),"https://patadovietnam.edu.vn/hlg_gt_sea/?utm_source=Google&amp;utm_medium=SEA&amp;utm_term=NON_Japan_none_none_150225&amp;utm_content=KW_KhoaHocIeltsOnline_PTAGTTD_LD237&amp;utm_campaign=Japan.CPA400_Patado_SEA_HuyLG_150225")</f>
        <v>https://patadovietnam.edu.vn/hlg_gt_sea/?utm_source=Google&amp;utm_medium=SEA&amp;utm_term=NON_Japan_none_none_150225&amp;utm_content=KW_KhoaHocIeltsOnline_PTAGTTD_LD237&amp;utm_campaign=Japan.CPA400_Patado_SEA_HuyLG_150225</v>
      </c>
    </row>
    <row r="110">
      <c r="A110" s="72">
        <v>45703.0</v>
      </c>
      <c r="B110" s="60" t="s">
        <v>6754</v>
      </c>
      <c r="C110" s="67" t="str">
        <f>IFERROR(__xludf.DUMMYFUNCTION("""COMPUTED_VALUE"""),"LD237")</f>
        <v>LD237</v>
      </c>
      <c r="D110" s="55" t="s">
        <v>188</v>
      </c>
      <c r="E110" s="55" t="s">
        <v>193</v>
      </c>
      <c r="F110" s="55" t="s">
        <v>133</v>
      </c>
      <c r="G110" s="44" t="s">
        <v>61</v>
      </c>
      <c r="H110" s="55" t="s">
        <v>1131</v>
      </c>
      <c r="I110" s="55" t="s">
        <v>7016</v>
      </c>
      <c r="J110" s="55" t="s">
        <v>6792</v>
      </c>
      <c r="K110" s="55" t="s">
        <v>61</v>
      </c>
      <c r="L110" s="55" t="s">
        <v>1130</v>
      </c>
      <c r="M110" s="55" t="s">
        <v>6770</v>
      </c>
      <c r="N110" s="55" t="s">
        <v>193</v>
      </c>
      <c r="O110" s="55" t="s">
        <v>1768</v>
      </c>
      <c r="P110" s="55" t="s">
        <v>70</v>
      </c>
      <c r="Q110" s="67" t="str">
        <f>IFERROR(__xludf.DUMMYFUNCTION("""COMPUTED_VALUE"""),"Japan.CPA400_Patado_SEA_HuyLG_150225")</f>
        <v>Japan.CPA400_Patado_SEA_HuyLG_150225</v>
      </c>
      <c r="R110" s="67" t="str">
        <f>IFERROR(__xludf.DUMMYFUNCTION("""COMPUTED_VALUE"""),"NON_Japan_none_none_150225")</f>
        <v>NON_Japan_none_none_150225</v>
      </c>
      <c r="S110" s="67" t="str">
        <f>IFERROR(__xludf.DUMMYFUNCTION("""COMPUTED_VALUE"""),"KW_HocTiengAnhOnline11_PTAGTTD_LD237")</f>
        <v>KW_HocTiengAnhOnline11_PTAGTTD_LD237</v>
      </c>
      <c r="T110" s="107" t="str">
        <f>IFERROR(__xludf.DUMMYFUNCTION("""COMPUTED_VALUE"""),"https://patadovietnam.edu.vn/hlg_gt_sea/?utm_source=Google&amp;utm_medium=SEA&amp;utm_term=NON_Japan_none_none_150225&amp;utm_content=KW_HocTiengAnhOnline11_PTAGTTD_LD237&amp;utm_campaign=Japan.CPA400_Patado_SEA_HuyLG_150225")</f>
        <v>https://patadovietnam.edu.vn/hlg_gt_sea/?utm_source=Google&amp;utm_medium=SEA&amp;utm_term=NON_Japan_none_none_150225&amp;utm_content=KW_HocTiengAnhOnline11_PTAGTTD_LD237&amp;utm_campaign=Japan.CPA400_Patado_SEA_HuyLG_150225</v>
      </c>
    </row>
    <row r="111">
      <c r="A111" s="72">
        <v>45703.0</v>
      </c>
      <c r="B111" s="60" t="s">
        <v>6754</v>
      </c>
      <c r="C111" s="67" t="str">
        <f>IFERROR(__xludf.DUMMYFUNCTION("""COMPUTED_VALUE"""),"LD237")</f>
        <v>LD237</v>
      </c>
      <c r="D111" s="55" t="s">
        <v>188</v>
      </c>
      <c r="E111" s="55" t="s">
        <v>193</v>
      </c>
      <c r="F111" s="55" t="s">
        <v>133</v>
      </c>
      <c r="G111" s="44" t="s">
        <v>61</v>
      </c>
      <c r="H111" s="55" t="s">
        <v>1131</v>
      </c>
      <c r="I111" s="55" t="s">
        <v>7016</v>
      </c>
      <c r="J111" s="55" t="s">
        <v>6853</v>
      </c>
      <c r="K111" s="55" t="s">
        <v>61</v>
      </c>
      <c r="L111" s="55" t="s">
        <v>1130</v>
      </c>
      <c r="M111" s="55" t="s">
        <v>6770</v>
      </c>
      <c r="N111" s="55" t="s">
        <v>193</v>
      </c>
      <c r="O111" s="55" t="s">
        <v>1768</v>
      </c>
      <c r="P111" s="55" t="s">
        <v>70</v>
      </c>
      <c r="Q111" s="67" t="str">
        <f>IFERROR(__xludf.DUMMYFUNCTION("""COMPUTED_VALUE"""),"Japan.CPA400_Patado_SEA_HuyLG_150225")</f>
        <v>Japan.CPA400_Patado_SEA_HuyLG_150225</v>
      </c>
      <c r="R111" s="67" t="str">
        <f>IFERROR(__xludf.DUMMYFUNCTION("""COMPUTED_VALUE"""),"NON_Japan_none_none_150225")</f>
        <v>NON_Japan_none_none_150225</v>
      </c>
      <c r="S111" s="67" t="str">
        <f>IFERROR(__xludf.DUMMYFUNCTION("""COMPUTED_VALUE"""),"KW_Tienganhtrenmang_PTAGTTD_LD237")</f>
        <v>KW_Tienganhtrenmang_PTAGTTD_LD237</v>
      </c>
      <c r="T111" s="107" t="str">
        <f>IFERROR(__xludf.DUMMYFUNCTION("""COMPUTED_VALUE"""),"https://patadovietnam.edu.vn/hlg_gt_sea/?utm_source=Google&amp;utm_medium=SEA&amp;utm_term=NON_Japan_none_none_150225&amp;utm_content=KW_Tienganhtrenmang_PTAGTTD_LD237&amp;utm_campaign=Japan.CPA400_Patado_SEA_HuyLG_150225")</f>
        <v>https://patadovietnam.edu.vn/hlg_gt_sea/?utm_source=Google&amp;utm_medium=SEA&amp;utm_term=NON_Japan_none_none_150225&amp;utm_content=KW_Tienganhtrenmang_PTAGTTD_LD237&amp;utm_campaign=Japan.CPA400_Patado_SEA_HuyLG_150225</v>
      </c>
    </row>
    <row r="112">
      <c r="A112" s="72">
        <v>45703.0</v>
      </c>
      <c r="B112" s="60" t="s">
        <v>6754</v>
      </c>
      <c r="C112" s="67" t="str">
        <f>IFERROR(__xludf.DUMMYFUNCTION("""COMPUTED_VALUE"""),"LD237")</f>
        <v>LD237</v>
      </c>
      <c r="D112" s="55" t="s">
        <v>188</v>
      </c>
      <c r="E112" s="55" t="s">
        <v>193</v>
      </c>
      <c r="F112" s="55" t="s">
        <v>133</v>
      </c>
      <c r="G112" s="44" t="s">
        <v>61</v>
      </c>
      <c r="H112" s="55" t="s">
        <v>1131</v>
      </c>
      <c r="I112" s="55" t="s">
        <v>7016</v>
      </c>
      <c r="J112" s="55" t="s">
        <v>6973</v>
      </c>
      <c r="K112" s="55" t="s">
        <v>61</v>
      </c>
      <c r="L112" s="55" t="s">
        <v>1130</v>
      </c>
      <c r="M112" s="55" t="s">
        <v>6770</v>
      </c>
      <c r="N112" s="55" t="s">
        <v>193</v>
      </c>
      <c r="O112" s="55" t="s">
        <v>1768</v>
      </c>
      <c r="P112" s="55" t="s">
        <v>70</v>
      </c>
      <c r="Q112" s="67" t="str">
        <f>IFERROR(__xludf.DUMMYFUNCTION("""COMPUTED_VALUE"""),"Japan.CPA400_Patado_SEA_HuyLG_150225")</f>
        <v>Japan.CPA400_Patado_SEA_HuyLG_150225</v>
      </c>
      <c r="R112" s="67" t="str">
        <f>IFERROR(__xludf.DUMMYFUNCTION("""COMPUTED_VALUE"""),"NON_Japan_none_none_150225")</f>
        <v>NON_Japan_none_none_150225</v>
      </c>
      <c r="S112" s="67" t="str">
        <f>IFERROR(__xludf.DUMMYFUNCTION("""COMPUTED_VALUE"""),"KW_Hoctienganhonline_PTAGTTD_LD237")</f>
        <v>KW_Hoctienganhonline_PTAGTTD_LD237</v>
      </c>
      <c r="T112" s="107" t="str">
        <f>IFERROR(__xludf.DUMMYFUNCTION("""COMPUTED_VALUE"""),"https://patadovietnam.edu.vn/hlg_gt_sea/?utm_source=Google&amp;utm_medium=SEA&amp;utm_term=NON_Japan_none_none_150225&amp;utm_content=KW_Hoctienganhonline_PTAGTTD_LD237&amp;utm_campaign=Japan.CPA400_Patado_SEA_HuyLG_150225")</f>
        <v>https://patadovietnam.edu.vn/hlg_gt_sea/?utm_source=Google&amp;utm_medium=SEA&amp;utm_term=NON_Japan_none_none_150225&amp;utm_content=KW_Hoctienganhonline_PTAGTTD_LD237&amp;utm_campaign=Japan.CPA400_Patado_SEA_HuyLG_150225</v>
      </c>
    </row>
    <row r="113">
      <c r="A113" s="72">
        <v>45703.0</v>
      </c>
      <c r="B113" s="60" t="s">
        <v>6754</v>
      </c>
      <c r="C113" s="67" t="str">
        <f>IFERROR(__xludf.DUMMYFUNCTION("""COMPUTED_VALUE"""),"LD237")</f>
        <v>LD237</v>
      </c>
      <c r="D113" s="55" t="s">
        <v>188</v>
      </c>
      <c r="E113" s="55" t="s">
        <v>193</v>
      </c>
      <c r="F113" s="55" t="s">
        <v>133</v>
      </c>
      <c r="G113" s="44" t="s">
        <v>61</v>
      </c>
      <c r="H113" s="55" t="s">
        <v>1131</v>
      </c>
      <c r="I113" s="55" t="s">
        <v>7016</v>
      </c>
      <c r="J113" s="55" t="s">
        <v>2471</v>
      </c>
      <c r="K113" s="55" t="s">
        <v>61</v>
      </c>
      <c r="L113" s="55" t="s">
        <v>1130</v>
      </c>
      <c r="M113" s="55" t="s">
        <v>6770</v>
      </c>
      <c r="N113" s="55" t="s">
        <v>193</v>
      </c>
      <c r="O113" s="55" t="s">
        <v>1768</v>
      </c>
      <c r="P113" s="55" t="s">
        <v>70</v>
      </c>
      <c r="Q113" s="67" t="str">
        <f>IFERROR(__xludf.DUMMYFUNCTION("""COMPUTED_VALUE"""),"Japan.CPA400_Patado_SEA_HuyLG_150225")</f>
        <v>Japan.CPA400_Patado_SEA_HuyLG_150225</v>
      </c>
      <c r="R113" s="67" t="str">
        <f>IFERROR(__xludf.DUMMYFUNCTION("""COMPUTED_VALUE"""),"NON_Japan_none_none_150225")</f>
        <v>NON_Japan_none_none_150225</v>
      </c>
      <c r="S113" s="67" t="str">
        <f>IFERROR(__xludf.DUMMYFUNCTION("""COMPUTED_VALUE"""),"KW_Tienganhquamang_PTAGTTD_LD237")</f>
        <v>KW_Tienganhquamang_PTAGTTD_LD237</v>
      </c>
      <c r="T113" s="107" t="str">
        <f>IFERROR(__xludf.DUMMYFUNCTION("""COMPUTED_VALUE"""),"https://patadovietnam.edu.vn/hlg_gt_sea/?utm_source=Google&amp;utm_medium=SEA&amp;utm_term=NON_Japan_none_none_150225&amp;utm_content=KW_Tienganhquamang_PTAGTTD_LD237&amp;utm_campaign=Japan.CPA400_Patado_SEA_HuyLG_150225")</f>
        <v>https://patadovietnam.edu.vn/hlg_gt_sea/?utm_source=Google&amp;utm_medium=SEA&amp;utm_term=NON_Japan_none_none_150225&amp;utm_content=KW_Tienganhquamang_PTAGTTD_LD237&amp;utm_campaign=Japan.CPA400_Patado_SEA_HuyLG_150225</v>
      </c>
    </row>
    <row r="114">
      <c r="A114" s="72">
        <v>45703.0</v>
      </c>
      <c r="B114" s="60" t="s">
        <v>6754</v>
      </c>
      <c r="C114" s="67" t="str">
        <f>IFERROR(__xludf.DUMMYFUNCTION("""COMPUTED_VALUE"""),"LD237")</f>
        <v>LD237</v>
      </c>
      <c r="D114" s="55" t="s">
        <v>188</v>
      </c>
      <c r="E114" s="55" t="s">
        <v>193</v>
      </c>
      <c r="F114" s="55" t="s">
        <v>133</v>
      </c>
      <c r="G114" s="44" t="s">
        <v>61</v>
      </c>
      <c r="H114" s="55" t="s">
        <v>1131</v>
      </c>
      <c r="I114" s="55" t="s">
        <v>7016</v>
      </c>
      <c r="J114" s="55" t="s">
        <v>6862</v>
      </c>
      <c r="K114" s="55" t="s">
        <v>61</v>
      </c>
      <c r="L114" s="55" t="s">
        <v>1130</v>
      </c>
      <c r="M114" s="55" t="s">
        <v>6770</v>
      </c>
      <c r="N114" s="55" t="s">
        <v>193</v>
      </c>
      <c r="O114" s="55" t="s">
        <v>1768</v>
      </c>
      <c r="P114" s="55" t="s">
        <v>70</v>
      </c>
      <c r="Q114" s="67" t="str">
        <f>IFERROR(__xludf.DUMMYFUNCTION("""COMPUTED_VALUE"""),"Japan.CPA400_Patado_SEA_HuyLG_150225")</f>
        <v>Japan.CPA400_Patado_SEA_HuyLG_150225</v>
      </c>
      <c r="R114" s="67" t="str">
        <f>IFERROR(__xludf.DUMMYFUNCTION("""COMPUTED_VALUE"""),"NON_Japan_none_none_150225")</f>
        <v>NON_Japan_none_none_150225</v>
      </c>
      <c r="S114" s="67" t="str">
        <f>IFERROR(__xludf.DUMMYFUNCTION("""COMPUTED_VALUE"""),"KW_Tienganhchonguoimatgoc_PTAGTTD_LD237")</f>
        <v>KW_Tienganhchonguoimatgoc_PTAGTTD_LD237</v>
      </c>
      <c r="T114" s="107" t="str">
        <f>IFERROR(__xludf.DUMMYFUNCTION("""COMPUTED_VALUE"""),"https://patadovietnam.edu.vn/hlg_gt_sea/?utm_source=Google&amp;utm_medium=SEA&amp;utm_term=NON_Japan_none_none_150225&amp;utm_content=KW_Tienganhchonguoimatgoc_PTAGTTD_LD237&amp;utm_campaign=Japan.CPA400_Patado_SEA_HuyLG_150225")</f>
        <v>https://patadovietnam.edu.vn/hlg_gt_sea/?utm_source=Google&amp;utm_medium=SEA&amp;utm_term=NON_Japan_none_none_150225&amp;utm_content=KW_Tienganhchonguoimatgoc_PTAGTTD_LD237&amp;utm_campaign=Japan.CPA400_Patado_SEA_HuyLG_150225</v>
      </c>
    </row>
    <row r="115">
      <c r="A115" s="72">
        <v>45703.0</v>
      </c>
      <c r="B115" s="60" t="s">
        <v>6754</v>
      </c>
      <c r="C115" s="67" t="str">
        <f>IFERROR(__xludf.DUMMYFUNCTION("""COMPUTED_VALUE"""),"LD237")</f>
        <v>LD237</v>
      </c>
      <c r="D115" s="55" t="s">
        <v>188</v>
      </c>
      <c r="E115" s="55" t="s">
        <v>193</v>
      </c>
      <c r="F115" s="55" t="s">
        <v>133</v>
      </c>
      <c r="G115" s="44" t="s">
        <v>61</v>
      </c>
      <c r="H115" s="55" t="s">
        <v>1131</v>
      </c>
      <c r="I115" s="55" t="s">
        <v>7016</v>
      </c>
      <c r="J115" s="55" t="s">
        <v>6824</v>
      </c>
      <c r="K115" s="55" t="s">
        <v>61</v>
      </c>
      <c r="L115" s="55" t="s">
        <v>1130</v>
      </c>
      <c r="M115" s="55" t="s">
        <v>6770</v>
      </c>
      <c r="N115" s="55" t="s">
        <v>193</v>
      </c>
      <c r="O115" s="55" t="s">
        <v>1768</v>
      </c>
      <c r="P115" s="55" t="s">
        <v>70</v>
      </c>
      <c r="Q115" s="67" t="str">
        <f>IFERROR(__xludf.DUMMYFUNCTION("""COMPUTED_VALUE"""),"Japan.CPA400_Patado_SEA_HuyLG_150225")</f>
        <v>Japan.CPA400_Patado_SEA_HuyLG_150225</v>
      </c>
      <c r="R115" s="67" t="str">
        <f>IFERROR(__xludf.DUMMYFUNCTION("""COMPUTED_VALUE"""),"NON_Japan_none_none_150225")</f>
        <v>NON_Japan_none_none_150225</v>
      </c>
      <c r="S115" s="67" t="str">
        <f>IFERROR(__xludf.DUMMYFUNCTION("""COMPUTED_VALUE"""),"KW_Hoctienganhchonguoimoibatdau_PTAGTTD_LD237")</f>
        <v>KW_Hoctienganhchonguoimoibatdau_PTAGTTD_LD237</v>
      </c>
      <c r="T115" s="107" t="str">
        <f>IFERROR(__xludf.DUMMYFUNCTION("""COMPUTED_VALUE"""),"https://patadovietnam.edu.vn/hlg_gt_sea/?utm_source=Google&amp;utm_medium=SEA&amp;utm_term=NON_Japan_none_none_150225&amp;utm_content=KW_Hoctienganhchonguoimoibatdau_PTAGTTD_LD237&amp;utm_campaign=Japan.CPA400_Patado_SEA_HuyLG_150225")</f>
        <v>https://patadovietnam.edu.vn/hlg_gt_sea/?utm_source=Google&amp;utm_medium=SEA&amp;utm_term=NON_Japan_none_none_150225&amp;utm_content=KW_Hoctienganhchonguoimoibatdau_PTAGTTD_LD237&amp;utm_campaign=Japan.CPA400_Patado_SEA_HuyLG_150225</v>
      </c>
    </row>
    <row r="116">
      <c r="A116" s="72">
        <v>45703.0</v>
      </c>
      <c r="B116" s="60" t="s">
        <v>6754</v>
      </c>
      <c r="C116" s="67" t="str">
        <f>IFERROR(__xludf.DUMMYFUNCTION("""COMPUTED_VALUE"""),"LD237")</f>
        <v>LD237</v>
      </c>
      <c r="D116" s="55" t="s">
        <v>188</v>
      </c>
      <c r="E116" s="55" t="s">
        <v>193</v>
      </c>
      <c r="F116" s="55" t="s">
        <v>133</v>
      </c>
      <c r="G116" s="44" t="s">
        <v>61</v>
      </c>
      <c r="H116" s="55" t="s">
        <v>1131</v>
      </c>
      <c r="I116" s="55" t="s">
        <v>7016</v>
      </c>
      <c r="J116" s="55" t="s">
        <v>6848</v>
      </c>
      <c r="K116" s="55" t="s">
        <v>61</v>
      </c>
      <c r="L116" s="55" t="s">
        <v>1130</v>
      </c>
      <c r="M116" s="55" t="s">
        <v>6770</v>
      </c>
      <c r="N116" s="55" t="s">
        <v>193</v>
      </c>
      <c r="O116" s="55" t="s">
        <v>1768</v>
      </c>
      <c r="P116" s="55" t="s">
        <v>70</v>
      </c>
      <c r="Q116" s="67" t="str">
        <f>IFERROR(__xludf.DUMMYFUNCTION("""COMPUTED_VALUE"""),"Japan.CPA400_Patado_SEA_HuyLG_150225")</f>
        <v>Japan.CPA400_Patado_SEA_HuyLG_150225</v>
      </c>
      <c r="R116" s="67" t="str">
        <f>IFERROR(__xludf.DUMMYFUNCTION("""COMPUTED_VALUE"""),"NON_Japan_none_none_150225")</f>
        <v>NON_Japan_none_none_150225</v>
      </c>
      <c r="S116" s="67" t="str">
        <f>IFERROR(__xludf.DUMMYFUNCTION("""COMPUTED_VALUE"""),"KW_HocTiengAnhOnlineChoNguoiMatGoc_PTAGTTD_LD237")</f>
        <v>KW_HocTiengAnhOnlineChoNguoiMatGoc_PTAGTTD_LD237</v>
      </c>
      <c r="T116" s="107" t="str">
        <f>IFERROR(__xludf.DUMMYFUNCTION("""COMPUTED_VALUE"""),"https://patadovietnam.edu.vn/hlg_gt_sea/?utm_source=Google&amp;utm_medium=SEA&amp;utm_term=NON_Japan_none_none_150225&amp;utm_content=KW_HocTiengAnhOnlineChoNguoiMatGoc_PTAGTTD_LD237&amp;utm_campaign=Japan.CPA400_Patado_SEA_HuyLG_150225")</f>
        <v>https://patadovietnam.edu.vn/hlg_gt_sea/?utm_source=Google&amp;utm_medium=SEA&amp;utm_term=NON_Japan_none_none_150225&amp;utm_content=KW_HocTiengAnhOnlineChoNguoiMatGoc_PTAGTTD_LD237&amp;utm_campaign=Japan.CPA400_Patado_SEA_HuyLG_150225</v>
      </c>
    </row>
    <row r="117">
      <c r="A117" s="72">
        <v>45703.0</v>
      </c>
      <c r="B117" s="60" t="s">
        <v>6754</v>
      </c>
      <c r="C117" s="67" t="str">
        <f>IFERROR(__xludf.DUMMYFUNCTION("""COMPUTED_VALUE"""),"LD237")</f>
        <v>LD237</v>
      </c>
      <c r="D117" s="55" t="s">
        <v>188</v>
      </c>
      <c r="E117" s="55" t="s">
        <v>193</v>
      </c>
      <c r="F117" s="55" t="s">
        <v>133</v>
      </c>
      <c r="G117" s="44" t="s">
        <v>61</v>
      </c>
      <c r="H117" s="55" t="s">
        <v>1131</v>
      </c>
      <c r="I117" s="55" t="s">
        <v>7016</v>
      </c>
      <c r="J117" s="55" t="s">
        <v>6867</v>
      </c>
      <c r="K117" s="55" t="s">
        <v>61</v>
      </c>
      <c r="L117" s="55" t="s">
        <v>1130</v>
      </c>
      <c r="M117" s="55" t="s">
        <v>6770</v>
      </c>
      <c r="N117" s="55" t="s">
        <v>193</v>
      </c>
      <c r="O117" s="55" t="s">
        <v>1768</v>
      </c>
      <c r="P117" s="55" t="s">
        <v>70</v>
      </c>
      <c r="Q117" s="67" t="str">
        <f>IFERROR(__xludf.DUMMYFUNCTION("""COMPUTED_VALUE"""),"Japan.CPA400_Patado_SEA_HuyLG_150225")</f>
        <v>Japan.CPA400_Patado_SEA_HuyLG_150225</v>
      </c>
      <c r="R117" s="67" t="str">
        <f>IFERROR(__xludf.DUMMYFUNCTION("""COMPUTED_VALUE"""),"NON_Japan_none_none_150225")</f>
        <v>NON_Japan_none_none_150225</v>
      </c>
      <c r="S117" s="67" t="str">
        <f>IFERROR(__xludf.DUMMYFUNCTION("""COMPUTED_VALUE"""),"KW_Duhoctienganh_PTAGTTD_LD237")</f>
        <v>KW_Duhoctienganh_PTAGTTD_LD237</v>
      </c>
      <c r="T117" s="107" t="str">
        <f>IFERROR(__xludf.DUMMYFUNCTION("""COMPUTED_VALUE"""),"https://patadovietnam.edu.vn/hlg_gt_sea/?utm_source=Google&amp;utm_medium=SEA&amp;utm_term=NON_Japan_none_none_150225&amp;utm_content=KW_Duhoctienganh_PTAGTTD_LD237&amp;utm_campaign=Japan.CPA400_Patado_SEA_HuyLG_150225")</f>
        <v>https://patadovietnam.edu.vn/hlg_gt_sea/?utm_source=Google&amp;utm_medium=SEA&amp;utm_term=NON_Japan_none_none_150225&amp;utm_content=KW_Duhoctienganh_PTAGTTD_LD237&amp;utm_campaign=Japan.CPA400_Patado_SEA_HuyLG_150225</v>
      </c>
    </row>
    <row r="118">
      <c r="A118" s="72">
        <v>45703.0</v>
      </c>
      <c r="B118" s="60" t="s">
        <v>6754</v>
      </c>
      <c r="C118" s="67" t="str">
        <f>IFERROR(__xludf.DUMMYFUNCTION("""COMPUTED_VALUE"""),"LD237")</f>
        <v>LD237</v>
      </c>
      <c r="D118" s="55" t="s">
        <v>188</v>
      </c>
      <c r="E118" s="55" t="s">
        <v>193</v>
      </c>
      <c r="F118" s="55" t="s">
        <v>133</v>
      </c>
      <c r="G118" s="44" t="s">
        <v>61</v>
      </c>
      <c r="H118" s="55" t="s">
        <v>1131</v>
      </c>
      <c r="I118" s="55" t="s">
        <v>7016</v>
      </c>
      <c r="J118" s="55" t="s">
        <v>6836</v>
      </c>
      <c r="K118" s="55" t="s">
        <v>61</v>
      </c>
      <c r="L118" s="55" t="s">
        <v>1130</v>
      </c>
      <c r="M118" s="55" t="s">
        <v>6770</v>
      </c>
      <c r="N118" s="55" t="s">
        <v>193</v>
      </c>
      <c r="O118" s="55" t="s">
        <v>1768</v>
      </c>
      <c r="P118" s="55" t="s">
        <v>70</v>
      </c>
      <c r="Q118" s="67" t="str">
        <f>IFERROR(__xludf.DUMMYFUNCTION("""COMPUTED_VALUE"""),"Japan.CPA400_Patado_SEA_HuyLG_150225")</f>
        <v>Japan.CPA400_Patado_SEA_HuyLG_150225</v>
      </c>
      <c r="R118" s="67" t="str">
        <f>IFERROR(__xludf.DUMMYFUNCTION("""COMPUTED_VALUE"""),"NON_Japan_none_none_150225")</f>
        <v>NON_Japan_none_none_150225</v>
      </c>
      <c r="S118" s="67" t="str">
        <f>IFERROR(__xludf.DUMMYFUNCTION("""COMPUTED_VALUE"""),"KW_Tienganhmatgoc_PTAGTTD_LD237")</f>
        <v>KW_Tienganhmatgoc_PTAGTTD_LD237</v>
      </c>
      <c r="T118" s="107" t="str">
        <f>IFERROR(__xludf.DUMMYFUNCTION("""COMPUTED_VALUE"""),"https://patadovietnam.edu.vn/hlg_gt_sea/?utm_source=Google&amp;utm_medium=SEA&amp;utm_term=NON_Japan_none_none_150225&amp;utm_content=KW_Tienganhmatgoc_PTAGTTD_LD237&amp;utm_campaign=Japan.CPA400_Patado_SEA_HuyLG_150225")</f>
        <v>https://patadovietnam.edu.vn/hlg_gt_sea/?utm_source=Google&amp;utm_medium=SEA&amp;utm_term=NON_Japan_none_none_150225&amp;utm_content=KW_Tienganhmatgoc_PTAGTTD_LD237&amp;utm_campaign=Japan.CPA400_Patado_SEA_HuyLG_150225</v>
      </c>
    </row>
    <row r="119">
      <c r="A119" s="72">
        <v>45703.0</v>
      </c>
      <c r="B119" s="60" t="s">
        <v>6754</v>
      </c>
      <c r="C119" s="67" t="str">
        <f>IFERROR(__xludf.DUMMYFUNCTION("""COMPUTED_VALUE"""),"LD237")</f>
        <v>LD237</v>
      </c>
      <c r="D119" s="55" t="s">
        <v>188</v>
      </c>
      <c r="E119" s="55" t="s">
        <v>193</v>
      </c>
      <c r="F119" s="55" t="s">
        <v>133</v>
      </c>
      <c r="G119" s="44" t="s">
        <v>61</v>
      </c>
      <c r="H119" s="55" t="s">
        <v>1131</v>
      </c>
      <c r="I119" s="55" t="s">
        <v>7016</v>
      </c>
      <c r="J119" s="55" t="s">
        <v>6871</v>
      </c>
      <c r="K119" s="55" t="s">
        <v>61</v>
      </c>
      <c r="L119" s="55" t="s">
        <v>1130</v>
      </c>
      <c r="M119" s="55" t="s">
        <v>6770</v>
      </c>
      <c r="N119" s="55" t="s">
        <v>193</v>
      </c>
      <c r="O119" s="55" t="s">
        <v>1768</v>
      </c>
      <c r="P119" s="55" t="s">
        <v>70</v>
      </c>
      <c r="Q119" s="67" t="str">
        <f>IFERROR(__xludf.DUMMYFUNCTION("""COMPUTED_VALUE"""),"Japan.CPA400_Patado_SEA_HuyLG_150225")</f>
        <v>Japan.CPA400_Patado_SEA_HuyLG_150225</v>
      </c>
      <c r="R119" s="67" t="str">
        <f>IFERROR(__xludf.DUMMYFUNCTION("""COMPUTED_VALUE"""),"NON_Japan_none_none_150225")</f>
        <v>NON_Japan_none_none_150225</v>
      </c>
      <c r="S119" s="67" t="str">
        <f>IFERROR(__xludf.DUMMYFUNCTION("""COMPUTED_VALUE"""),"KW_Tienganhvanphong_PTAGTTD_LD237")</f>
        <v>KW_Tienganhvanphong_PTAGTTD_LD237</v>
      </c>
      <c r="T119" s="107" t="str">
        <f>IFERROR(__xludf.DUMMYFUNCTION("""COMPUTED_VALUE"""),"https://patadovietnam.edu.vn/hlg_gt_sea/?utm_source=Google&amp;utm_medium=SEA&amp;utm_term=NON_Japan_none_none_150225&amp;utm_content=KW_Tienganhvanphong_PTAGTTD_LD237&amp;utm_campaign=Japan.CPA400_Patado_SEA_HuyLG_150225")</f>
        <v>https://patadovietnam.edu.vn/hlg_gt_sea/?utm_source=Google&amp;utm_medium=SEA&amp;utm_term=NON_Japan_none_none_150225&amp;utm_content=KW_Tienganhvanphong_PTAGTTD_LD237&amp;utm_campaign=Japan.CPA400_Patado_SEA_HuyLG_150225</v>
      </c>
    </row>
    <row r="120">
      <c r="A120" s="72">
        <v>45703.0</v>
      </c>
      <c r="B120" s="60" t="s">
        <v>6754</v>
      </c>
      <c r="C120" s="67" t="str">
        <f>IFERROR(__xludf.DUMMYFUNCTION("""COMPUTED_VALUE"""),"LD237")</f>
        <v>LD237</v>
      </c>
      <c r="D120" s="55" t="s">
        <v>188</v>
      </c>
      <c r="E120" s="55" t="s">
        <v>193</v>
      </c>
      <c r="F120" s="55" t="s">
        <v>133</v>
      </c>
      <c r="G120" s="44" t="s">
        <v>61</v>
      </c>
      <c r="H120" s="55" t="s">
        <v>1131</v>
      </c>
      <c r="I120" s="55" t="s">
        <v>7016</v>
      </c>
      <c r="J120" s="55" t="s">
        <v>6795</v>
      </c>
      <c r="K120" s="55" t="s">
        <v>61</v>
      </c>
      <c r="L120" s="55" t="s">
        <v>1130</v>
      </c>
      <c r="M120" s="55" t="s">
        <v>6770</v>
      </c>
      <c r="N120" s="55" t="s">
        <v>193</v>
      </c>
      <c r="O120" s="55" t="s">
        <v>1768</v>
      </c>
      <c r="P120" s="55" t="s">
        <v>70</v>
      </c>
      <c r="Q120" s="67" t="str">
        <f>IFERROR(__xludf.DUMMYFUNCTION("""COMPUTED_VALUE"""),"Japan.CPA400_Patado_SEA_HuyLG_150225")</f>
        <v>Japan.CPA400_Patado_SEA_HuyLG_150225</v>
      </c>
      <c r="R120" s="67" t="str">
        <f>IFERROR(__xludf.DUMMYFUNCTION("""COMPUTED_VALUE"""),"NON_Japan_none_none_150225")</f>
        <v>NON_Japan_none_none_150225</v>
      </c>
      <c r="S120" s="67" t="str">
        <f>IFERROR(__xludf.DUMMYFUNCTION("""COMPUTED_VALUE"""),"KW_Hoctienganhchung_PTAGTTD_LD237")</f>
        <v>KW_Hoctienganhchung_PTAGTTD_LD237</v>
      </c>
      <c r="T120" s="107" t="str">
        <f>IFERROR(__xludf.DUMMYFUNCTION("""COMPUTED_VALUE"""),"https://patadovietnam.edu.vn/hlg_gt_sea/?utm_source=Google&amp;utm_medium=SEA&amp;utm_term=NON_Japan_none_none_150225&amp;utm_content=KW_Hoctienganhchung_PTAGTTD_LD237&amp;utm_campaign=Japan.CPA400_Patado_SEA_HuyLG_150225")</f>
        <v>https://patadovietnam.edu.vn/hlg_gt_sea/?utm_source=Google&amp;utm_medium=SEA&amp;utm_term=NON_Japan_none_none_150225&amp;utm_content=KW_Hoctienganhchung_PTAGTTD_LD237&amp;utm_campaign=Japan.CPA400_Patado_SEA_HuyLG_150225</v>
      </c>
    </row>
    <row r="121">
      <c r="A121" s="72">
        <v>45703.0</v>
      </c>
      <c r="B121" s="60" t="s">
        <v>6754</v>
      </c>
      <c r="C121" s="67" t="str">
        <f>IFERROR(__xludf.DUMMYFUNCTION("""COMPUTED_VALUE"""),"LD237")</f>
        <v>LD237</v>
      </c>
      <c r="D121" s="55" t="s">
        <v>188</v>
      </c>
      <c r="E121" s="55" t="s">
        <v>193</v>
      </c>
      <c r="F121" s="55" t="s">
        <v>133</v>
      </c>
      <c r="G121" s="44" t="s">
        <v>61</v>
      </c>
      <c r="H121" s="55" t="s">
        <v>1131</v>
      </c>
      <c r="I121" s="55" t="s">
        <v>7016</v>
      </c>
      <c r="J121" s="55" t="s">
        <v>6827</v>
      </c>
      <c r="K121" s="55" t="s">
        <v>61</v>
      </c>
      <c r="L121" s="55" t="s">
        <v>1130</v>
      </c>
      <c r="M121" s="55" t="s">
        <v>6770</v>
      </c>
      <c r="N121" s="55" t="s">
        <v>193</v>
      </c>
      <c r="O121" s="55" t="s">
        <v>1768</v>
      </c>
      <c r="P121" s="55" t="s">
        <v>70</v>
      </c>
      <c r="Q121" s="67" t="str">
        <f>IFERROR(__xludf.DUMMYFUNCTION("""COMPUTED_VALUE"""),"Japan.CPA400_Patado_SEA_HuyLG_150225")</f>
        <v>Japan.CPA400_Patado_SEA_HuyLG_150225</v>
      </c>
      <c r="R121" s="67" t="str">
        <f>IFERROR(__xludf.DUMMYFUNCTION("""COMPUTED_VALUE"""),"NON_Japan_none_none_150225")</f>
        <v>NON_Japan_none_none_150225</v>
      </c>
      <c r="S121" s="67" t="str">
        <f>IFERROR(__xludf.DUMMYFUNCTION("""COMPUTED_VALUE"""),"KW_Dangkihoctienganh_PTAGTTD_LD237")</f>
        <v>KW_Dangkihoctienganh_PTAGTTD_LD237</v>
      </c>
      <c r="T121" s="107" t="str">
        <f>IFERROR(__xludf.DUMMYFUNCTION("""COMPUTED_VALUE"""),"https://patadovietnam.edu.vn/hlg_gt_sea/?utm_source=Google&amp;utm_medium=SEA&amp;utm_term=NON_Japan_none_none_150225&amp;utm_content=KW_Dangkihoctienganh_PTAGTTD_LD237&amp;utm_campaign=Japan.CPA400_Patado_SEA_HuyLG_150225")</f>
        <v>https://patadovietnam.edu.vn/hlg_gt_sea/?utm_source=Google&amp;utm_medium=SEA&amp;utm_term=NON_Japan_none_none_150225&amp;utm_content=KW_Dangkihoctienganh_PTAGTTD_LD237&amp;utm_campaign=Japan.CPA400_Patado_SEA_HuyLG_150225</v>
      </c>
    </row>
    <row r="122">
      <c r="A122" s="72">
        <v>45703.0</v>
      </c>
      <c r="B122" s="60" t="s">
        <v>6754</v>
      </c>
      <c r="C122" s="67" t="str">
        <f>IFERROR(__xludf.DUMMYFUNCTION("""COMPUTED_VALUE"""),"LD237")</f>
        <v>LD237</v>
      </c>
      <c r="D122" s="55" t="s">
        <v>188</v>
      </c>
      <c r="E122" s="55" t="s">
        <v>193</v>
      </c>
      <c r="F122" s="55" t="s">
        <v>133</v>
      </c>
      <c r="G122" s="44" t="s">
        <v>61</v>
      </c>
      <c r="H122" s="55" t="s">
        <v>1131</v>
      </c>
      <c r="I122" s="55" t="s">
        <v>7016</v>
      </c>
      <c r="J122" s="55" t="s">
        <v>6833</v>
      </c>
      <c r="K122" s="55" t="s">
        <v>61</v>
      </c>
      <c r="L122" s="55" t="s">
        <v>1130</v>
      </c>
      <c r="M122" s="55" t="s">
        <v>6770</v>
      </c>
      <c r="N122" s="55" t="s">
        <v>193</v>
      </c>
      <c r="O122" s="55" t="s">
        <v>1768</v>
      </c>
      <c r="P122" s="55" t="s">
        <v>70</v>
      </c>
      <c r="Q122" s="67" t="str">
        <f>IFERROR(__xludf.DUMMYFUNCTION("""COMPUTED_VALUE"""),"Japan.CPA400_Patado_SEA_HuyLG_150225")</f>
        <v>Japan.CPA400_Patado_SEA_HuyLG_150225</v>
      </c>
      <c r="R122" s="67" t="str">
        <f>IFERROR(__xludf.DUMMYFUNCTION("""COMPUTED_VALUE"""),"NON_Japan_none_none_150225")</f>
        <v>NON_Japan_none_none_150225</v>
      </c>
      <c r="S122" s="67" t="str">
        <f>IFERROR(__xludf.DUMMYFUNCTION("""COMPUTED_VALUE"""),"KW_HocTiengAnhTrucTuyenOnline_PTAGTTD_LD237")</f>
        <v>KW_HocTiengAnhTrucTuyenOnline_PTAGTTD_LD237</v>
      </c>
      <c r="T122" s="107" t="str">
        <f>IFERROR(__xludf.DUMMYFUNCTION("""COMPUTED_VALUE"""),"https://patadovietnam.edu.vn/hlg_gt_sea/?utm_source=Google&amp;utm_medium=SEA&amp;utm_term=NON_Japan_none_none_150225&amp;utm_content=KW_HocTiengAnhTrucTuyenOnline_PTAGTTD_LD237&amp;utm_campaign=Japan.CPA400_Patado_SEA_HuyLG_150225")</f>
        <v>https://patadovietnam.edu.vn/hlg_gt_sea/?utm_source=Google&amp;utm_medium=SEA&amp;utm_term=NON_Japan_none_none_150225&amp;utm_content=KW_HocTiengAnhTrucTuyenOnline_PTAGTTD_LD237&amp;utm_campaign=Japan.CPA400_Patado_SEA_HuyLG_150225</v>
      </c>
    </row>
    <row r="123">
      <c r="A123" s="72">
        <v>45703.0</v>
      </c>
      <c r="B123" s="60" t="s">
        <v>6754</v>
      </c>
      <c r="C123" s="67" t="str">
        <f>IFERROR(__xludf.DUMMYFUNCTION("""COMPUTED_VALUE"""),"LD237")</f>
        <v>LD237</v>
      </c>
      <c r="D123" s="55" t="s">
        <v>188</v>
      </c>
      <c r="E123" s="55" t="s">
        <v>193</v>
      </c>
      <c r="F123" s="55" t="s">
        <v>133</v>
      </c>
      <c r="G123" s="44" t="s">
        <v>61</v>
      </c>
      <c r="H123" s="55" t="s">
        <v>1131</v>
      </c>
      <c r="I123" s="55" t="s">
        <v>7016</v>
      </c>
      <c r="J123" s="55" t="s">
        <v>6856</v>
      </c>
      <c r="K123" s="55" t="s">
        <v>61</v>
      </c>
      <c r="L123" s="55" t="s">
        <v>1130</v>
      </c>
      <c r="M123" s="55" t="s">
        <v>6770</v>
      </c>
      <c r="N123" s="55" t="s">
        <v>193</v>
      </c>
      <c r="O123" s="55" t="s">
        <v>1768</v>
      </c>
      <c r="P123" s="55" t="s">
        <v>70</v>
      </c>
      <c r="Q123" s="67" t="str">
        <f>IFERROR(__xludf.DUMMYFUNCTION("""COMPUTED_VALUE"""),"Japan.CPA400_Patado_SEA_HuyLG_150225")</f>
        <v>Japan.CPA400_Patado_SEA_HuyLG_150225</v>
      </c>
      <c r="R123" s="67" t="str">
        <f>IFERROR(__xludf.DUMMYFUNCTION("""COMPUTED_VALUE"""),"NON_Japan_none_none_150225")</f>
        <v>NON_Japan_none_none_150225</v>
      </c>
      <c r="S123" s="67" t="str">
        <f>IFERROR(__xludf.DUMMYFUNCTION("""COMPUTED_VALUE"""),"KW_Tienganhgiaotieptainha_PTAGTTD_LD237")</f>
        <v>KW_Tienganhgiaotieptainha_PTAGTTD_LD237</v>
      </c>
      <c r="T123" s="107" t="str">
        <f>IFERROR(__xludf.DUMMYFUNCTION("""COMPUTED_VALUE"""),"https://patadovietnam.edu.vn/hlg_gt_sea/?utm_source=Google&amp;utm_medium=SEA&amp;utm_term=NON_Japan_none_none_150225&amp;utm_content=KW_Tienganhgiaotieptainha_PTAGTTD_LD237&amp;utm_campaign=Japan.CPA400_Patado_SEA_HuyLG_150225")</f>
        <v>https://patadovietnam.edu.vn/hlg_gt_sea/?utm_source=Google&amp;utm_medium=SEA&amp;utm_term=NON_Japan_none_none_150225&amp;utm_content=KW_Tienganhgiaotieptainha_PTAGTTD_LD237&amp;utm_campaign=Japan.CPA400_Patado_SEA_HuyLG_150225</v>
      </c>
    </row>
    <row r="124">
      <c r="A124" s="72">
        <v>45703.0</v>
      </c>
      <c r="B124" s="60" t="s">
        <v>6754</v>
      </c>
      <c r="C124" s="67" t="str">
        <f>IFERROR(__xludf.DUMMYFUNCTION("""COMPUTED_VALUE"""),"LD237")</f>
        <v>LD237</v>
      </c>
      <c r="D124" s="55" t="s">
        <v>188</v>
      </c>
      <c r="E124" s="55" t="s">
        <v>193</v>
      </c>
      <c r="F124" s="55" t="s">
        <v>133</v>
      </c>
      <c r="G124" s="44" t="s">
        <v>61</v>
      </c>
      <c r="H124" s="55" t="s">
        <v>1131</v>
      </c>
      <c r="I124" s="55" t="s">
        <v>7016</v>
      </c>
      <c r="J124" s="55" t="s">
        <v>6808</v>
      </c>
      <c r="K124" s="55" t="s">
        <v>61</v>
      </c>
      <c r="L124" s="55" t="s">
        <v>1130</v>
      </c>
      <c r="M124" s="55" t="s">
        <v>6770</v>
      </c>
      <c r="N124" s="55" t="s">
        <v>193</v>
      </c>
      <c r="O124" s="55" t="s">
        <v>1768</v>
      </c>
      <c r="P124" s="55" t="s">
        <v>70</v>
      </c>
      <c r="Q124" s="67" t="str">
        <f>IFERROR(__xludf.DUMMYFUNCTION("""COMPUTED_VALUE"""),"Japan.CPA400_Patado_SEA_HuyLG_150225")</f>
        <v>Japan.CPA400_Patado_SEA_HuyLG_150225</v>
      </c>
      <c r="R124" s="67" t="str">
        <f>IFERROR(__xludf.DUMMYFUNCTION("""COMPUTED_VALUE"""),"NON_Japan_none_none_150225")</f>
        <v>NON_Japan_none_none_150225</v>
      </c>
      <c r="S124" s="67" t="str">
        <f>IFERROR(__xludf.DUMMYFUNCTION("""COMPUTED_VALUE"""),"KW_Hoctienganhtructuyen_PTAGTTD_LD237")</f>
        <v>KW_Hoctienganhtructuyen_PTAGTTD_LD237</v>
      </c>
      <c r="T124" s="107" t="str">
        <f>IFERROR(__xludf.DUMMYFUNCTION("""COMPUTED_VALUE"""),"https://patadovietnam.edu.vn/hlg_gt_sea/?utm_source=Google&amp;utm_medium=SEA&amp;utm_term=NON_Japan_none_none_150225&amp;utm_content=KW_Hoctienganhtructuyen_PTAGTTD_LD237&amp;utm_campaign=Japan.CPA400_Patado_SEA_HuyLG_150225")</f>
        <v>https://patadovietnam.edu.vn/hlg_gt_sea/?utm_source=Google&amp;utm_medium=SEA&amp;utm_term=NON_Japan_none_none_150225&amp;utm_content=KW_Hoctienganhtructuyen_PTAGTTD_LD237&amp;utm_campaign=Japan.CPA400_Patado_SEA_HuyLG_150225</v>
      </c>
    </row>
    <row r="125">
      <c r="A125" s="72">
        <v>45703.0</v>
      </c>
      <c r="B125" s="60" t="s">
        <v>6754</v>
      </c>
      <c r="C125" s="67" t="str">
        <f>IFERROR(__xludf.DUMMYFUNCTION("""COMPUTED_VALUE"""),"LD237")</f>
        <v>LD237</v>
      </c>
      <c r="D125" s="55" t="s">
        <v>188</v>
      </c>
      <c r="E125" s="55" t="s">
        <v>193</v>
      </c>
      <c r="F125" s="55" t="s">
        <v>133</v>
      </c>
      <c r="G125" s="44" t="s">
        <v>61</v>
      </c>
      <c r="H125" s="55" t="s">
        <v>1131</v>
      </c>
      <c r="I125" s="55" t="s">
        <v>7016</v>
      </c>
      <c r="J125" s="55" t="s">
        <v>6867</v>
      </c>
      <c r="K125" s="55" t="s">
        <v>61</v>
      </c>
      <c r="L125" s="55" t="s">
        <v>1130</v>
      </c>
      <c r="M125" s="55" t="s">
        <v>6770</v>
      </c>
      <c r="N125" s="55" t="s">
        <v>193</v>
      </c>
      <c r="O125" s="55" t="s">
        <v>1768</v>
      </c>
      <c r="P125" s="55" t="s">
        <v>70</v>
      </c>
      <c r="Q125" s="67" t="str">
        <f>IFERROR(__xludf.DUMMYFUNCTION("""COMPUTED_VALUE"""),"Japan.CPA400_Patado_SEA_HuyLG_150225")</f>
        <v>Japan.CPA400_Patado_SEA_HuyLG_150225</v>
      </c>
      <c r="R125" s="67" t="str">
        <f>IFERROR(__xludf.DUMMYFUNCTION("""COMPUTED_VALUE"""),"NON_Japan_none_none_150225")</f>
        <v>NON_Japan_none_none_150225</v>
      </c>
      <c r="S125" s="67" t="str">
        <f>IFERROR(__xludf.DUMMYFUNCTION("""COMPUTED_VALUE"""),"KW_Duhoctienganh_PTAGTTD_LD237")</f>
        <v>KW_Duhoctienganh_PTAGTTD_LD237</v>
      </c>
      <c r="T125" s="107" t="str">
        <f>IFERROR(__xludf.DUMMYFUNCTION("""COMPUTED_VALUE"""),"https://patadovietnam.edu.vn/hlg_gt_sea/?utm_source=Google&amp;utm_medium=SEA&amp;utm_term=NON_Japan_none_none_150225&amp;utm_content=KW_Duhoctienganh_PTAGTTD_LD237&amp;utm_campaign=Japan.CPA400_Patado_SEA_HuyLG_150225")</f>
        <v>https://patadovietnam.edu.vn/hlg_gt_sea/?utm_source=Google&amp;utm_medium=SEA&amp;utm_term=NON_Japan_none_none_150225&amp;utm_content=KW_Duhoctienganh_PTAGTTD_LD237&amp;utm_campaign=Japan.CPA400_Patado_SEA_HuyLG_150225</v>
      </c>
    </row>
    <row r="126">
      <c r="A126" s="72">
        <v>45703.0</v>
      </c>
      <c r="B126" s="60" t="s">
        <v>6754</v>
      </c>
      <c r="C126" s="67" t="str">
        <f>IFERROR(__xludf.DUMMYFUNCTION("""COMPUTED_VALUE"""),"LD237")</f>
        <v>LD237</v>
      </c>
      <c r="D126" s="55" t="s">
        <v>188</v>
      </c>
      <c r="E126" s="55" t="s">
        <v>193</v>
      </c>
      <c r="F126" s="55" t="s">
        <v>133</v>
      </c>
      <c r="G126" s="44" t="s">
        <v>61</v>
      </c>
      <c r="H126" s="55" t="s">
        <v>1131</v>
      </c>
      <c r="I126" s="55" t="s">
        <v>7016</v>
      </c>
      <c r="J126" s="55" t="s">
        <v>6802</v>
      </c>
      <c r="K126" s="55" t="s">
        <v>61</v>
      </c>
      <c r="L126" s="55" t="s">
        <v>1130</v>
      </c>
      <c r="M126" s="55" t="s">
        <v>6770</v>
      </c>
      <c r="N126" s="55" t="s">
        <v>193</v>
      </c>
      <c r="O126" s="55" t="s">
        <v>1768</v>
      </c>
      <c r="P126" s="55" t="s">
        <v>70</v>
      </c>
      <c r="Q126" s="67" t="str">
        <f>IFERROR(__xludf.DUMMYFUNCTION("""COMPUTED_VALUE"""),"Japan.CPA400_Patado_SEA_HuyLG_150225")</f>
        <v>Japan.CPA400_Patado_SEA_HuyLG_150225</v>
      </c>
      <c r="R126" s="67" t="str">
        <f>IFERROR(__xludf.DUMMYFUNCTION("""COMPUTED_VALUE"""),"NON_Japan_none_none_150225")</f>
        <v>NON_Japan_none_none_150225</v>
      </c>
      <c r="S126" s="67" t="str">
        <f>IFERROR(__xludf.DUMMYFUNCTION("""COMPUTED_VALUE"""),"KW_Tienganhtudau_PTAGTTD_LD237")</f>
        <v>KW_Tienganhtudau_PTAGTTD_LD237</v>
      </c>
      <c r="T126" s="107" t="str">
        <f>IFERROR(__xludf.DUMMYFUNCTION("""COMPUTED_VALUE"""),"https://patadovietnam.edu.vn/hlg_gt_sea/?utm_source=Google&amp;utm_medium=SEA&amp;utm_term=NON_Japan_none_none_150225&amp;utm_content=KW_Tienganhtudau_PTAGTTD_LD237&amp;utm_campaign=Japan.CPA400_Patado_SEA_HuyLG_150225")</f>
        <v>https://patadovietnam.edu.vn/hlg_gt_sea/?utm_source=Google&amp;utm_medium=SEA&amp;utm_term=NON_Japan_none_none_150225&amp;utm_content=KW_Tienganhtudau_PTAGTTD_LD237&amp;utm_campaign=Japan.CPA400_Patado_SEA_HuyLG_150225</v>
      </c>
    </row>
    <row r="127">
      <c r="A127" s="72">
        <v>45703.0</v>
      </c>
      <c r="B127" s="60" t="s">
        <v>6754</v>
      </c>
      <c r="C127" s="67" t="str">
        <f>IFERROR(__xludf.DUMMYFUNCTION("""COMPUTED_VALUE"""),"LD237")</f>
        <v>LD237</v>
      </c>
      <c r="D127" s="55" t="s">
        <v>188</v>
      </c>
      <c r="E127" s="55" t="s">
        <v>193</v>
      </c>
      <c r="F127" s="55" t="s">
        <v>133</v>
      </c>
      <c r="G127" s="44" t="s">
        <v>61</v>
      </c>
      <c r="H127" s="55" t="s">
        <v>1131</v>
      </c>
      <c r="I127" s="55" t="s">
        <v>7016</v>
      </c>
      <c r="J127" s="55" t="s">
        <v>6871</v>
      </c>
      <c r="K127" s="55" t="s">
        <v>61</v>
      </c>
      <c r="L127" s="55" t="s">
        <v>1130</v>
      </c>
      <c r="M127" s="55" t="s">
        <v>6770</v>
      </c>
      <c r="N127" s="55" t="s">
        <v>193</v>
      </c>
      <c r="O127" s="55" t="s">
        <v>1768</v>
      </c>
      <c r="P127" s="55" t="s">
        <v>70</v>
      </c>
      <c r="Q127" s="67" t="str">
        <f>IFERROR(__xludf.DUMMYFUNCTION("""COMPUTED_VALUE"""),"Japan.CPA400_Patado_SEA_HuyLG_150225")</f>
        <v>Japan.CPA400_Patado_SEA_HuyLG_150225</v>
      </c>
      <c r="R127" s="67" t="str">
        <f>IFERROR(__xludf.DUMMYFUNCTION("""COMPUTED_VALUE"""),"NON_Japan_none_none_150225")</f>
        <v>NON_Japan_none_none_150225</v>
      </c>
      <c r="S127" s="67" t="str">
        <f>IFERROR(__xludf.DUMMYFUNCTION("""COMPUTED_VALUE"""),"KW_Tienganhvanphong_PTAGTTD_LD237")</f>
        <v>KW_Tienganhvanphong_PTAGTTD_LD237</v>
      </c>
      <c r="T127" s="107" t="str">
        <f>IFERROR(__xludf.DUMMYFUNCTION("""COMPUTED_VALUE"""),"https://patadovietnam.edu.vn/hlg_gt_sea/?utm_source=Google&amp;utm_medium=SEA&amp;utm_term=NON_Japan_none_none_150225&amp;utm_content=KW_Tienganhvanphong_PTAGTTD_LD237&amp;utm_campaign=Japan.CPA400_Patado_SEA_HuyLG_150225")</f>
        <v>https://patadovietnam.edu.vn/hlg_gt_sea/?utm_source=Google&amp;utm_medium=SEA&amp;utm_term=NON_Japan_none_none_150225&amp;utm_content=KW_Tienganhvanphong_PTAGTTD_LD237&amp;utm_campaign=Japan.CPA400_Patado_SEA_HuyLG_150225</v>
      </c>
    </row>
    <row r="128">
      <c r="A128" s="72">
        <v>45703.0</v>
      </c>
      <c r="B128" s="60" t="s">
        <v>6754</v>
      </c>
      <c r="C128" s="67" t="str">
        <f>IFERROR(__xludf.DUMMYFUNCTION("""COMPUTED_VALUE"""),"LD237")</f>
        <v>LD237</v>
      </c>
      <c r="D128" s="55" t="s">
        <v>188</v>
      </c>
      <c r="E128" s="55" t="s">
        <v>193</v>
      </c>
      <c r="F128" s="55" t="s">
        <v>133</v>
      </c>
      <c r="G128" s="44" t="s">
        <v>61</v>
      </c>
      <c r="H128" s="55" t="s">
        <v>1131</v>
      </c>
      <c r="I128" s="55" t="s">
        <v>7016</v>
      </c>
      <c r="J128" s="55" t="s">
        <v>6819</v>
      </c>
      <c r="K128" s="55" t="s">
        <v>61</v>
      </c>
      <c r="L128" s="55" t="s">
        <v>1130</v>
      </c>
      <c r="M128" s="55" t="s">
        <v>6770</v>
      </c>
      <c r="N128" s="55" t="s">
        <v>193</v>
      </c>
      <c r="O128" s="55" t="s">
        <v>1768</v>
      </c>
      <c r="P128" s="55" t="s">
        <v>70</v>
      </c>
      <c r="Q128" s="67" t="str">
        <f>IFERROR(__xludf.DUMMYFUNCTION("""COMPUTED_VALUE"""),"Japan.CPA400_Patado_SEA_HuyLG_150225")</f>
        <v>Japan.CPA400_Patado_SEA_HuyLG_150225</v>
      </c>
      <c r="R128" s="67" t="str">
        <f>IFERROR(__xludf.DUMMYFUNCTION("""COMPUTED_VALUE"""),"NON_Japan_none_none_150225")</f>
        <v>NON_Japan_none_none_150225</v>
      </c>
      <c r="S128" s="67" t="str">
        <f>IFERROR(__xludf.DUMMYFUNCTION("""COMPUTED_VALUE"""),"KW_Tienganhonlinetainha_PTAGTTD_LD237")</f>
        <v>KW_Tienganhonlinetainha_PTAGTTD_LD237</v>
      </c>
      <c r="T128" s="107" t="str">
        <f>IFERROR(__xludf.DUMMYFUNCTION("""COMPUTED_VALUE"""),"https://patadovietnam.edu.vn/hlg_gt_sea/?utm_source=Google&amp;utm_medium=SEA&amp;utm_term=NON_Japan_none_none_150225&amp;utm_content=KW_Tienganhonlinetainha_PTAGTTD_LD237&amp;utm_campaign=Japan.CPA400_Patado_SEA_HuyLG_150225")</f>
        <v>https://patadovietnam.edu.vn/hlg_gt_sea/?utm_source=Google&amp;utm_medium=SEA&amp;utm_term=NON_Japan_none_none_150225&amp;utm_content=KW_Tienganhonlinetainha_PTAGTTD_LD237&amp;utm_campaign=Japan.CPA400_Patado_SEA_HuyLG_150225</v>
      </c>
    </row>
    <row r="129">
      <c r="A129" s="72">
        <v>45703.0</v>
      </c>
      <c r="B129" s="60" t="s">
        <v>6754</v>
      </c>
      <c r="C129" s="67" t="str">
        <f>IFERROR(__xludf.DUMMYFUNCTION("""COMPUTED_VALUE"""),"LD237")</f>
        <v>LD237</v>
      </c>
      <c r="D129" s="55" t="s">
        <v>188</v>
      </c>
      <c r="E129" s="55" t="s">
        <v>193</v>
      </c>
      <c r="F129" s="55" t="s">
        <v>133</v>
      </c>
      <c r="G129" s="44" t="s">
        <v>61</v>
      </c>
      <c r="H129" s="55" t="s">
        <v>1131</v>
      </c>
      <c r="I129" s="55" t="s">
        <v>7016</v>
      </c>
      <c r="J129" s="55" t="s">
        <v>6816</v>
      </c>
      <c r="K129" s="55" t="s">
        <v>61</v>
      </c>
      <c r="L129" s="55" t="s">
        <v>1130</v>
      </c>
      <c r="M129" s="55" t="s">
        <v>6770</v>
      </c>
      <c r="N129" s="55" t="s">
        <v>193</v>
      </c>
      <c r="O129" s="55" t="s">
        <v>1768</v>
      </c>
      <c r="P129" s="55" t="s">
        <v>70</v>
      </c>
      <c r="Q129" s="67" t="str">
        <f>IFERROR(__xludf.DUMMYFUNCTION("""COMPUTED_VALUE"""),"Japan.CPA400_Patado_SEA_HuyLG_150225")</f>
        <v>Japan.CPA400_Patado_SEA_HuyLG_150225</v>
      </c>
      <c r="R129" s="67" t="str">
        <f>IFERROR(__xludf.DUMMYFUNCTION("""COMPUTED_VALUE"""),"NON_Japan_none_none_150225")</f>
        <v>NON_Japan_none_none_150225</v>
      </c>
      <c r="S129" s="67" t="str">
        <f>IFERROR(__xludf.DUMMYFUNCTION("""COMPUTED_VALUE"""),"KW_Tienganhcoban_PTAGTTD_LD237")</f>
        <v>KW_Tienganhcoban_PTAGTTD_LD237</v>
      </c>
      <c r="T129" s="107" t="str">
        <f>IFERROR(__xludf.DUMMYFUNCTION("""COMPUTED_VALUE"""),"https://patadovietnam.edu.vn/hlg_gt_sea/?utm_source=Google&amp;utm_medium=SEA&amp;utm_term=NON_Japan_none_none_150225&amp;utm_content=KW_Tienganhcoban_PTAGTTD_LD237&amp;utm_campaign=Japan.CPA400_Patado_SEA_HuyLG_150225")</f>
        <v>https://patadovietnam.edu.vn/hlg_gt_sea/?utm_source=Google&amp;utm_medium=SEA&amp;utm_term=NON_Japan_none_none_150225&amp;utm_content=KW_Tienganhcoban_PTAGTTD_LD237&amp;utm_campaign=Japan.CPA400_Patado_SEA_HuyLG_150225</v>
      </c>
    </row>
    <row r="130">
      <c r="A130" s="72">
        <v>45703.0</v>
      </c>
      <c r="B130" s="60" t="s">
        <v>6754</v>
      </c>
      <c r="C130" s="67" t="str">
        <f>IFERROR(__xludf.DUMMYFUNCTION("""COMPUTED_VALUE"""),"LD237")</f>
        <v>LD237</v>
      </c>
      <c r="D130" s="55" t="s">
        <v>188</v>
      </c>
      <c r="E130" s="55" t="s">
        <v>193</v>
      </c>
      <c r="F130" s="55" t="s">
        <v>133</v>
      </c>
      <c r="G130" s="44" t="s">
        <v>61</v>
      </c>
      <c r="H130" s="55" t="s">
        <v>1131</v>
      </c>
      <c r="I130" s="55" t="s">
        <v>7016</v>
      </c>
      <c r="J130" s="55" t="s">
        <v>2455</v>
      </c>
      <c r="K130" s="55" t="s">
        <v>61</v>
      </c>
      <c r="L130" s="55" t="s">
        <v>1130</v>
      </c>
      <c r="M130" s="55" t="s">
        <v>6770</v>
      </c>
      <c r="N130" s="55" t="s">
        <v>193</v>
      </c>
      <c r="O130" s="55" t="s">
        <v>1768</v>
      </c>
      <c r="P130" s="55" t="s">
        <v>70</v>
      </c>
      <c r="Q130" s="67" t="str">
        <f>IFERROR(__xludf.DUMMYFUNCTION("""COMPUTED_VALUE"""),"Japan.CPA400_Patado_SEA_HuyLG_150225")</f>
        <v>Japan.CPA400_Patado_SEA_HuyLG_150225</v>
      </c>
      <c r="R130" s="67" t="str">
        <f>IFERROR(__xludf.DUMMYFUNCTION("""COMPUTED_VALUE"""),"NON_Japan_none_none_150225")</f>
        <v>NON_Japan_none_none_150225</v>
      </c>
      <c r="S130" s="67" t="str">
        <f>IFERROR(__xludf.DUMMYFUNCTION("""COMPUTED_VALUE"""),"KW_Hoctienganh11_PTAGTTD_LD237")</f>
        <v>KW_Hoctienganh11_PTAGTTD_LD237</v>
      </c>
      <c r="T130" s="107" t="str">
        <f>IFERROR(__xludf.DUMMYFUNCTION("""COMPUTED_VALUE"""),"https://patadovietnam.edu.vn/hlg_gt_sea/?utm_source=Google&amp;utm_medium=SEA&amp;utm_term=NON_Japan_none_none_150225&amp;utm_content=KW_Hoctienganh11_PTAGTTD_LD237&amp;utm_campaign=Japan.CPA400_Patado_SEA_HuyLG_150225")</f>
        <v>https://patadovietnam.edu.vn/hlg_gt_sea/?utm_source=Google&amp;utm_medium=SEA&amp;utm_term=NON_Japan_none_none_150225&amp;utm_content=KW_Hoctienganh11_PTAGTTD_LD237&amp;utm_campaign=Japan.CPA400_Patado_SEA_HuyLG_150225</v>
      </c>
    </row>
    <row r="131">
      <c r="A131" s="72">
        <v>45703.0</v>
      </c>
      <c r="B131" s="60" t="s">
        <v>6754</v>
      </c>
      <c r="C131" s="67" t="str">
        <f>IFERROR(__xludf.DUMMYFUNCTION("""COMPUTED_VALUE"""),"LD237")</f>
        <v>LD237</v>
      </c>
      <c r="D131" s="55" t="s">
        <v>188</v>
      </c>
      <c r="E131" s="55" t="s">
        <v>193</v>
      </c>
      <c r="F131" s="55" t="s">
        <v>133</v>
      </c>
      <c r="G131" s="44" t="s">
        <v>61</v>
      </c>
      <c r="H131" s="55" t="s">
        <v>1131</v>
      </c>
      <c r="I131" s="55" t="s">
        <v>7016</v>
      </c>
      <c r="J131" s="55" t="s">
        <v>6791</v>
      </c>
      <c r="K131" s="55" t="s">
        <v>61</v>
      </c>
      <c r="L131" s="55" t="s">
        <v>1130</v>
      </c>
      <c r="M131" s="55" t="s">
        <v>6770</v>
      </c>
      <c r="N131" s="55" t="s">
        <v>193</v>
      </c>
      <c r="O131" s="55" t="s">
        <v>1768</v>
      </c>
      <c r="P131" s="55" t="s">
        <v>70</v>
      </c>
      <c r="Q131" s="67" t="str">
        <f>IFERROR(__xludf.DUMMYFUNCTION("""COMPUTED_VALUE"""),"Japan.CPA400_Patado_SEA_HuyLG_150225")</f>
        <v>Japan.CPA400_Patado_SEA_HuyLG_150225</v>
      </c>
      <c r="R131" s="67" t="str">
        <f>IFERROR(__xludf.DUMMYFUNCTION("""COMPUTED_VALUE"""),"NON_Japan_none_none_150225")</f>
        <v>NON_Japan_none_none_150225</v>
      </c>
      <c r="S131" s="67" t="str">
        <f>IFERROR(__xludf.DUMMYFUNCTION("""COMPUTED_VALUE"""),"KW_TiengAnhGiaoTiep_PTAGTTD_LD237")</f>
        <v>KW_TiengAnhGiaoTiep_PTAGTTD_LD237</v>
      </c>
      <c r="T131" s="107" t="str">
        <f>IFERROR(__xludf.DUMMYFUNCTION("""COMPUTED_VALUE"""),"https://patadovietnam.edu.vn/hlg_gt_sea/?utm_source=Google&amp;utm_medium=SEA&amp;utm_term=NON_Japan_none_none_150225&amp;utm_content=KW_TiengAnhGiaoTiep_PTAGTTD_LD237&amp;utm_campaign=Japan.CPA400_Patado_SEA_HuyLG_150225")</f>
        <v>https://patadovietnam.edu.vn/hlg_gt_sea/?utm_source=Google&amp;utm_medium=SEA&amp;utm_term=NON_Japan_none_none_150225&amp;utm_content=KW_TiengAnhGiaoTiep_PTAGTTD_LD237&amp;utm_campaign=Japan.CPA400_Patado_SEA_HuyLG_150225</v>
      </c>
    </row>
    <row r="132">
      <c r="A132" s="72">
        <v>45703.0</v>
      </c>
      <c r="B132" s="60" t="s">
        <v>6754</v>
      </c>
      <c r="C132" s="67" t="str">
        <f>IFERROR(__xludf.DUMMYFUNCTION("""COMPUTED_VALUE"""),"LD237")</f>
        <v>LD237</v>
      </c>
      <c r="D132" s="55" t="s">
        <v>188</v>
      </c>
      <c r="E132" s="55" t="s">
        <v>193</v>
      </c>
      <c r="F132" s="55" t="s">
        <v>133</v>
      </c>
      <c r="G132" s="44" t="s">
        <v>61</v>
      </c>
      <c r="H132" s="55" t="s">
        <v>1131</v>
      </c>
      <c r="I132" s="55" t="s">
        <v>7016</v>
      </c>
      <c r="J132" s="55" t="s">
        <v>2471</v>
      </c>
      <c r="K132" s="55" t="s">
        <v>61</v>
      </c>
      <c r="L132" s="55" t="s">
        <v>1130</v>
      </c>
      <c r="M132" s="55" t="s">
        <v>6770</v>
      </c>
      <c r="N132" s="55" t="s">
        <v>193</v>
      </c>
      <c r="O132" s="55" t="s">
        <v>1768</v>
      </c>
      <c r="P132" s="55" t="s">
        <v>70</v>
      </c>
      <c r="Q132" s="67" t="str">
        <f>IFERROR(__xludf.DUMMYFUNCTION("""COMPUTED_VALUE"""),"Japan.CPA400_Patado_SEA_HuyLG_150225")</f>
        <v>Japan.CPA400_Patado_SEA_HuyLG_150225</v>
      </c>
      <c r="R132" s="67" t="str">
        <f>IFERROR(__xludf.DUMMYFUNCTION("""COMPUTED_VALUE"""),"NON_Japan_none_none_150225")</f>
        <v>NON_Japan_none_none_150225</v>
      </c>
      <c r="S132" s="67" t="str">
        <f>IFERROR(__xludf.DUMMYFUNCTION("""COMPUTED_VALUE"""),"KW_Tienganhquamang_PTAGTTD_LD237")</f>
        <v>KW_Tienganhquamang_PTAGTTD_LD237</v>
      </c>
      <c r="T132" s="107" t="str">
        <f>IFERROR(__xludf.DUMMYFUNCTION("""COMPUTED_VALUE"""),"https://patadovietnam.edu.vn/hlg_gt_sea/?utm_source=Google&amp;utm_medium=SEA&amp;utm_term=NON_Japan_none_none_150225&amp;utm_content=KW_Tienganhquamang_PTAGTTD_LD237&amp;utm_campaign=Japan.CPA400_Patado_SEA_HuyLG_150225")</f>
        <v>https://patadovietnam.edu.vn/hlg_gt_sea/?utm_source=Google&amp;utm_medium=SEA&amp;utm_term=NON_Japan_none_none_150225&amp;utm_content=KW_Tienganhquamang_PTAGTTD_LD237&amp;utm_campaign=Japan.CPA400_Patado_SEA_HuyLG_150225</v>
      </c>
    </row>
    <row r="133">
      <c r="A133" s="72">
        <v>45703.0</v>
      </c>
      <c r="B133" s="60" t="s">
        <v>6754</v>
      </c>
      <c r="C133" s="67" t="str">
        <f>IFERROR(__xludf.DUMMYFUNCTION("""COMPUTED_VALUE"""),"LD237")</f>
        <v>LD237</v>
      </c>
      <c r="D133" s="55" t="s">
        <v>188</v>
      </c>
      <c r="E133" s="55" t="s">
        <v>193</v>
      </c>
      <c r="F133" s="55" t="s">
        <v>133</v>
      </c>
      <c r="G133" s="44" t="s">
        <v>61</v>
      </c>
      <c r="H133" s="55" t="s">
        <v>1131</v>
      </c>
      <c r="I133" s="55" t="s">
        <v>7016</v>
      </c>
      <c r="J133" s="55" t="s">
        <v>7142</v>
      </c>
      <c r="K133" s="55" t="s">
        <v>61</v>
      </c>
      <c r="L133" s="55" t="s">
        <v>1130</v>
      </c>
      <c r="M133" s="55" t="s">
        <v>6770</v>
      </c>
      <c r="N133" s="55" t="s">
        <v>193</v>
      </c>
      <c r="O133" s="55" t="s">
        <v>1768</v>
      </c>
      <c r="P133" s="55" t="s">
        <v>70</v>
      </c>
      <c r="Q133" s="67" t="str">
        <f>IFERROR(__xludf.DUMMYFUNCTION("""COMPUTED_VALUE"""),"Japan.CPA400_Patado_SEA_HuyLG_150225")</f>
        <v>Japan.CPA400_Patado_SEA_HuyLG_150225</v>
      </c>
      <c r="R133" s="67" t="str">
        <f>IFERROR(__xludf.DUMMYFUNCTION("""COMPUTED_VALUE"""),"NON_Japan_none_none_150225")</f>
        <v>NON_Japan_none_none_150225</v>
      </c>
      <c r="S133" s="67" t="str">
        <f>IFERROR(__xludf.DUMMYFUNCTION("""COMPUTED_VALUE"""),"KW_Dtienganhonline_PTAGTTD_LD237")</f>
        <v>KW_Dtienganhonline_PTAGTTD_LD237</v>
      </c>
      <c r="T133" s="107" t="str">
        <f>IFERROR(__xludf.DUMMYFUNCTION("""COMPUTED_VALUE"""),"https://patadovietnam.edu.vn/hlg_gt_sea/?utm_source=Google&amp;utm_medium=SEA&amp;utm_term=NON_Japan_none_none_150225&amp;utm_content=KW_Dtienganhonline_PTAGTTD_LD237&amp;utm_campaign=Japan.CPA400_Patado_SEA_HuyLG_150225")</f>
        <v>https://patadovietnam.edu.vn/hlg_gt_sea/?utm_source=Google&amp;utm_medium=SEA&amp;utm_term=NON_Japan_none_none_150225&amp;utm_content=KW_Dtienganhonline_PTAGTTD_LD237&amp;utm_campaign=Japan.CPA400_Patado_SEA_HuyLG_150225</v>
      </c>
    </row>
    <row r="134">
      <c r="A134" s="72">
        <v>45703.0</v>
      </c>
      <c r="B134" s="60" t="s">
        <v>6754</v>
      </c>
      <c r="C134" s="67" t="str">
        <f>IFERROR(__xludf.DUMMYFUNCTION("""COMPUTED_VALUE"""),"LD237")</f>
        <v>LD237</v>
      </c>
      <c r="D134" s="55" t="s">
        <v>188</v>
      </c>
      <c r="E134" s="55" t="s">
        <v>193</v>
      </c>
      <c r="F134" s="55" t="s">
        <v>133</v>
      </c>
      <c r="G134" s="44" t="s">
        <v>61</v>
      </c>
      <c r="H134" s="55" t="s">
        <v>1131</v>
      </c>
      <c r="I134" s="55" t="s">
        <v>7016</v>
      </c>
      <c r="J134" s="55" t="s">
        <v>6853</v>
      </c>
      <c r="K134" s="55" t="s">
        <v>61</v>
      </c>
      <c r="L134" s="55" t="s">
        <v>1130</v>
      </c>
      <c r="M134" s="55" t="s">
        <v>6770</v>
      </c>
      <c r="N134" s="55" t="s">
        <v>193</v>
      </c>
      <c r="O134" s="55" t="s">
        <v>1768</v>
      </c>
      <c r="P134" s="55" t="s">
        <v>70</v>
      </c>
      <c r="Q134" s="67" t="str">
        <f>IFERROR(__xludf.DUMMYFUNCTION("""COMPUTED_VALUE"""),"Japan.CPA400_Patado_SEA_HuyLG_150225")</f>
        <v>Japan.CPA400_Patado_SEA_HuyLG_150225</v>
      </c>
      <c r="R134" s="67" t="str">
        <f>IFERROR(__xludf.DUMMYFUNCTION("""COMPUTED_VALUE"""),"NON_Japan_none_none_150225")</f>
        <v>NON_Japan_none_none_150225</v>
      </c>
      <c r="S134" s="67" t="str">
        <f>IFERROR(__xludf.DUMMYFUNCTION("""COMPUTED_VALUE"""),"KW_Tienganhtrenmang_PTAGTTD_LD237")</f>
        <v>KW_Tienganhtrenmang_PTAGTTD_LD237</v>
      </c>
      <c r="T134" s="107" t="str">
        <f>IFERROR(__xludf.DUMMYFUNCTION("""COMPUTED_VALUE"""),"https://patadovietnam.edu.vn/hlg_gt_sea/?utm_source=Google&amp;utm_medium=SEA&amp;utm_term=NON_Japan_none_none_150225&amp;utm_content=KW_Tienganhtrenmang_PTAGTTD_LD237&amp;utm_campaign=Japan.CPA400_Patado_SEA_HuyLG_150225")</f>
        <v>https://patadovietnam.edu.vn/hlg_gt_sea/?utm_source=Google&amp;utm_medium=SEA&amp;utm_term=NON_Japan_none_none_150225&amp;utm_content=KW_Tienganhtrenmang_PTAGTTD_LD237&amp;utm_campaign=Japan.CPA400_Patado_SEA_HuyLG_150225</v>
      </c>
    </row>
    <row r="135">
      <c r="A135" s="72">
        <v>45703.0</v>
      </c>
      <c r="B135" s="60" t="s">
        <v>6754</v>
      </c>
      <c r="C135" s="67" t="str">
        <f>IFERROR(__xludf.DUMMYFUNCTION("""COMPUTED_VALUE"""),"LD237")</f>
        <v>LD237</v>
      </c>
      <c r="D135" s="55" t="s">
        <v>188</v>
      </c>
      <c r="E135" s="55" t="s">
        <v>193</v>
      </c>
      <c r="F135" s="55" t="s">
        <v>133</v>
      </c>
      <c r="G135" s="44" t="s">
        <v>61</v>
      </c>
      <c r="H135" s="55" t="s">
        <v>1131</v>
      </c>
      <c r="I135" s="55" t="s">
        <v>7016</v>
      </c>
      <c r="J135" s="55" t="s">
        <v>6840</v>
      </c>
      <c r="K135" s="55" t="s">
        <v>61</v>
      </c>
      <c r="L135" s="55" t="s">
        <v>1130</v>
      </c>
      <c r="M135" s="55" t="s">
        <v>6770</v>
      </c>
      <c r="N135" s="55" t="s">
        <v>193</v>
      </c>
      <c r="O135" s="55" t="s">
        <v>1768</v>
      </c>
      <c r="P135" s="55" t="s">
        <v>70</v>
      </c>
      <c r="Q135" s="67" t="str">
        <f>IFERROR(__xludf.DUMMYFUNCTION("""COMPUTED_VALUE"""),"Japan.CPA400_Patado_SEA_HuyLG_150225")</f>
        <v>Japan.CPA400_Patado_SEA_HuyLG_150225</v>
      </c>
      <c r="R135" s="67" t="str">
        <f>IFERROR(__xludf.DUMMYFUNCTION("""COMPUTED_VALUE"""),"NON_Japan_none_none_150225")</f>
        <v>NON_Japan_none_none_150225</v>
      </c>
      <c r="S135" s="67" t="str">
        <f>IFERROR(__xludf.DUMMYFUNCTION("""COMPUTED_VALUE"""),"KW_Chuongtrinhhoctienganh_PTAGTTD_LD237")</f>
        <v>KW_Chuongtrinhhoctienganh_PTAGTTD_LD237</v>
      </c>
      <c r="T135" s="107" t="str">
        <f>IFERROR(__xludf.DUMMYFUNCTION("""COMPUTED_VALUE"""),"https://patadovietnam.edu.vn/hlg_gt_sea/?utm_source=Google&amp;utm_medium=SEA&amp;utm_term=NON_Japan_none_none_150225&amp;utm_content=KW_Chuongtrinhhoctienganh_PTAGTTD_LD237&amp;utm_campaign=Japan.CPA400_Patado_SEA_HuyLG_150225")</f>
        <v>https://patadovietnam.edu.vn/hlg_gt_sea/?utm_source=Google&amp;utm_medium=SEA&amp;utm_term=NON_Japan_none_none_150225&amp;utm_content=KW_Chuongtrinhhoctienganh_PTAGTTD_LD237&amp;utm_campaign=Japan.CPA400_Patado_SEA_HuyLG_150225</v>
      </c>
    </row>
    <row r="136">
      <c r="A136" s="72">
        <v>45703.0</v>
      </c>
      <c r="B136" s="60" t="s">
        <v>6754</v>
      </c>
      <c r="C136" s="67" t="str">
        <f>IFERROR(__xludf.DUMMYFUNCTION("""COMPUTED_VALUE"""),"LD237")</f>
        <v>LD237</v>
      </c>
      <c r="D136" s="55" t="s">
        <v>188</v>
      </c>
      <c r="E136" s="55" t="s">
        <v>193</v>
      </c>
      <c r="F136" s="55" t="s">
        <v>133</v>
      </c>
      <c r="G136" s="44" t="s">
        <v>61</v>
      </c>
      <c r="H136" s="55" t="s">
        <v>1131</v>
      </c>
      <c r="I136" s="55" t="s">
        <v>7016</v>
      </c>
      <c r="J136" s="55" t="s">
        <v>2476</v>
      </c>
      <c r="K136" s="55" t="s">
        <v>61</v>
      </c>
      <c r="L136" s="55" t="s">
        <v>1130</v>
      </c>
      <c r="M136" s="55" t="s">
        <v>6770</v>
      </c>
      <c r="N136" s="55" t="s">
        <v>193</v>
      </c>
      <c r="O136" s="55" t="s">
        <v>1768</v>
      </c>
      <c r="P136" s="55" t="s">
        <v>70</v>
      </c>
      <c r="Q136" s="67" t="str">
        <f>IFERROR(__xludf.DUMMYFUNCTION("""COMPUTED_VALUE"""),"Japan.CPA400_Patado_SEA_HuyLG_150225")</f>
        <v>Japan.CPA400_Patado_SEA_HuyLG_150225</v>
      </c>
      <c r="R136" s="67" t="str">
        <f>IFERROR(__xludf.DUMMYFUNCTION("""COMPUTED_VALUE"""),"NON_Japan_none_none_150225")</f>
        <v>NON_Japan_none_none_150225</v>
      </c>
      <c r="S136" s="67" t="str">
        <f>IFERROR(__xludf.DUMMYFUNCTION("""COMPUTED_VALUE"""),"KW_Tienganhonline_PTAGTTD_LD237")</f>
        <v>KW_Tienganhonline_PTAGTTD_LD237</v>
      </c>
      <c r="T136" s="107" t="str">
        <f>IFERROR(__xludf.DUMMYFUNCTION("""COMPUTED_VALUE"""),"https://patadovietnam.edu.vn/hlg_gt_sea/?utm_source=Google&amp;utm_medium=SEA&amp;utm_term=NON_Japan_none_none_150225&amp;utm_content=KW_Tienganhonline_PTAGTTD_LD237&amp;utm_campaign=Japan.CPA400_Patado_SEA_HuyLG_150225")</f>
        <v>https://patadovietnam.edu.vn/hlg_gt_sea/?utm_source=Google&amp;utm_medium=SEA&amp;utm_term=NON_Japan_none_none_150225&amp;utm_content=KW_Tienganhonline_PTAGTTD_LD237&amp;utm_campaign=Japan.CPA400_Patado_SEA_HuyLG_150225</v>
      </c>
    </row>
    <row r="137">
      <c r="A137" s="72">
        <v>45703.0</v>
      </c>
      <c r="B137" s="60" t="s">
        <v>6754</v>
      </c>
      <c r="C137" s="67" t="str">
        <f>IFERROR(__xludf.DUMMYFUNCTION("""COMPUTED_VALUE"""),"LD237")</f>
        <v>LD237</v>
      </c>
      <c r="D137" s="55" t="s">
        <v>188</v>
      </c>
      <c r="E137" s="55" t="s">
        <v>193</v>
      </c>
      <c r="F137" s="55" t="s">
        <v>133</v>
      </c>
      <c r="G137" s="44" t="s">
        <v>61</v>
      </c>
      <c r="H137" s="55" t="s">
        <v>1131</v>
      </c>
      <c r="I137" s="55" t="s">
        <v>7016</v>
      </c>
      <c r="J137" s="55" t="s">
        <v>6791</v>
      </c>
      <c r="K137" s="55" t="s">
        <v>61</v>
      </c>
      <c r="L137" s="55" t="s">
        <v>1130</v>
      </c>
      <c r="M137" s="55" t="s">
        <v>6770</v>
      </c>
      <c r="N137" s="55" t="s">
        <v>193</v>
      </c>
      <c r="O137" s="55" t="s">
        <v>1768</v>
      </c>
      <c r="P137" s="55" t="s">
        <v>70</v>
      </c>
      <c r="Q137" s="67" t="str">
        <f>IFERROR(__xludf.DUMMYFUNCTION("""COMPUTED_VALUE"""),"Japan.CPA400_Patado_SEA_HuyLG_150225")</f>
        <v>Japan.CPA400_Patado_SEA_HuyLG_150225</v>
      </c>
      <c r="R137" s="67" t="str">
        <f>IFERROR(__xludf.DUMMYFUNCTION("""COMPUTED_VALUE"""),"NON_Japan_none_none_150225")</f>
        <v>NON_Japan_none_none_150225</v>
      </c>
      <c r="S137" s="67" t="str">
        <f>IFERROR(__xludf.DUMMYFUNCTION("""COMPUTED_VALUE"""),"KW_TiengAnhGiaoTiep_PTAGTTD_LD237")</f>
        <v>KW_TiengAnhGiaoTiep_PTAGTTD_LD237</v>
      </c>
      <c r="T137" s="107" t="str">
        <f>IFERROR(__xludf.DUMMYFUNCTION("""COMPUTED_VALUE"""),"https://patadovietnam.edu.vn/hlg_gt_sea/?utm_source=Google&amp;utm_medium=SEA&amp;utm_term=NON_Japan_none_none_150225&amp;utm_content=KW_TiengAnhGiaoTiep_PTAGTTD_LD237&amp;utm_campaign=Japan.CPA400_Patado_SEA_HuyLG_150225")</f>
        <v>https://patadovietnam.edu.vn/hlg_gt_sea/?utm_source=Google&amp;utm_medium=SEA&amp;utm_term=NON_Japan_none_none_150225&amp;utm_content=KW_TiengAnhGiaoTiep_PTAGTTD_LD237&amp;utm_campaign=Japan.CPA400_Patado_SEA_HuyLG_150225</v>
      </c>
    </row>
    <row r="138">
      <c r="A138" s="72">
        <v>45706.0</v>
      </c>
      <c r="B138" s="60" t="s">
        <v>6754</v>
      </c>
      <c r="C138" s="67" t="str">
        <f>IFERROR(__xludf.DUMMYFUNCTION("""COMPUTED_VALUE"""),"LD237")</f>
        <v>LD237</v>
      </c>
      <c r="D138" s="55" t="s">
        <v>188</v>
      </c>
      <c r="E138" s="55" t="s">
        <v>193</v>
      </c>
      <c r="F138" s="55" t="s">
        <v>133</v>
      </c>
      <c r="G138" s="44" t="s">
        <v>61</v>
      </c>
      <c r="H138" s="55" t="s">
        <v>1131</v>
      </c>
      <c r="I138" s="55" t="s">
        <v>7158</v>
      </c>
      <c r="J138" s="55" t="s">
        <v>2476</v>
      </c>
      <c r="K138" s="55" t="s">
        <v>61</v>
      </c>
      <c r="L138" s="55" t="s">
        <v>1130</v>
      </c>
      <c r="M138" s="55" t="s">
        <v>6770</v>
      </c>
      <c r="N138" s="55" t="s">
        <v>193</v>
      </c>
      <c r="O138" s="55" t="s">
        <v>1768</v>
      </c>
      <c r="P138" s="55" t="s">
        <v>70</v>
      </c>
      <c r="Q138" s="67" t="str">
        <f>IFERROR(__xludf.DUMMYFUNCTION("""COMPUTED_VALUE"""),"Japan.CPA200_Patado_SEA_HuyLG_180225")</f>
        <v>Japan.CPA200_Patado_SEA_HuyLG_180225</v>
      </c>
      <c r="R138" s="67" t="str">
        <f>IFERROR(__xludf.DUMMYFUNCTION("""COMPUTED_VALUE"""),"NON_Japan_none_none_180225")</f>
        <v>NON_Japan_none_none_180225</v>
      </c>
      <c r="S138" s="67" t="str">
        <f>IFERROR(__xludf.DUMMYFUNCTION("""COMPUTED_VALUE"""),"KW_Tienganhonline_PTAGTTD_LD237")</f>
        <v>KW_Tienganhonline_PTAGTTD_LD237</v>
      </c>
      <c r="T138" s="107" t="str">
        <f>IFERROR(__xludf.DUMMYFUNCTION("""COMPUTED_VALUE"""),"https://patadovietnam.edu.vn/hlg_gt_sea/?utm_source=Google&amp;utm_medium=SEA&amp;utm_term=NON_Japan_none_none_180225&amp;utm_content=KW_Tienganhonline_PTAGTTD_LD237&amp;utm_campaign=Japan.CPA200_Patado_SEA_HuyLG_180225")</f>
        <v>https://patadovietnam.edu.vn/hlg_gt_sea/?utm_source=Google&amp;utm_medium=SEA&amp;utm_term=NON_Japan_none_none_180225&amp;utm_content=KW_Tienganhonline_PTAGTTD_LD237&amp;utm_campaign=Japan.CPA200_Patado_SEA_HuyLG_180225</v>
      </c>
    </row>
    <row r="139">
      <c r="A139" s="72">
        <v>45706.0</v>
      </c>
      <c r="B139" s="60" t="s">
        <v>6754</v>
      </c>
      <c r="C139" s="67" t="str">
        <f>IFERROR(__xludf.DUMMYFUNCTION("""COMPUTED_VALUE"""),"LD237")</f>
        <v>LD237</v>
      </c>
      <c r="D139" s="55" t="s">
        <v>188</v>
      </c>
      <c r="E139" s="55" t="s">
        <v>193</v>
      </c>
      <c r="F139" s="55" t="s">
        <v>133</v>
      </c>
      <c r="G139" s="44" t="s">
        <v>61</v>
      </c>
      <c r="H139" s="55" t="s">
        <v>1131</v>
      </c>
      <c r="I139" s="55" t="s">
        <v>7016</v>
      </c>
      <c r="J139" s="54"/>
      <c r="K139" s="55" t="s">
        <v>61</v>
      </c>
      <c r="L139" s="55" t="s">
        <v>1130</v>
      </c>
      <c r="M139" s="55" t="s">
        <v>6770</v>
      </c>
      <c r="N139" s="55" t="s">
        <v>193</v>
      </c>
      <c r="O139" s="55" t="s">
        <v>1768</v>
      </c>
      <c r="P139" s="55" t="s">
        <v>70</v>
      </c>
      <c r="Q139" s="67" t="str">
        <f>IFERROR(__xludf.DUMMYFUNCTION("""COMPUTED_VALUE"""),"Japan.CPA400_Patado_SEA_HuyLG_180225")</f>
        <v>Japan.CPA400_Patado_SEA_HuyLG_180225</v>
      </c>
      <c r="R139" s="67" t="str">
        <f>IFERROR(__xludf.DUMMYFUNCTION("""COMPUTED_VALUE"""),"NON_Japan_none_none_180225")</f>
        <v>NON_Japan_none_none_180225</v>
      </c>
      <c r="S139" s="67" t="str">
        <f>IFERROR(__xludf.DUMMYFUNCTION("""COMPUTED_VALUE"""),"!!!")</f>
        <v>!!!</v>
      </c>
      <c r="T139" s="107" t="str">
        <f>IFERROR(__xludf.DUMMYFUNCTION("""COMPUTED_VALUE"""),"https://patadovietnam.edu.vn/hlg_gt_sea/?utm_source=Google&amp;utm_medium=SEA&amp;utm_term=NON_Japan_none_none_180225&amp;utm_content=!!!&amp;utm_campaign=Japan.CPA400_Patado_SEA_HuyLG_180225")</f>
        <v>https://patadovietnam.edu.vn/hlg_gt_sea/?utm_source=Google&amp;utm_medium=SEA&amp;utm_term=NON_Japan_none_none_180225&amp;utm_content=!!!&amp;utm_campaign=Japan.CPA400_Patado_SEA_HuyLG_180225</v>
      </c>
    </row>
    <row r="140">
      <c r="A140" s="72">
        <v>45706.0</v>
      </c>
      <c r="B140" s="60" t="s">
        <v>6754</v>
      </c>
      <c r="C140" s="67" t="str">
        <f>IFERROR(__xludf.DUMMYFUNCTION("""COMPUTED_VALUE"""),"LD237")</f>
        <v>LD237</v>
      </c>
      <c r="D140" s="55" t="s">
        <v>188</v>
      </c>
      <c r="E140" s="55" t="s">
        <v>193</v>
      </c>
      <c r="F140" s="55" t="s">
        <v>133</v>
      </c>
      <c r="G140" s="44" t="s">
        <v>61</v>
      </c>
      <c r="H140" s="55" t="s">
        <v>1131</v>
      </c>
      <c r="I140" s="55" t="s">
        <v>7016</v>
      </c>
      <c r="J140" s="54"/>
      <c r="K140" s="55" t="s">
        <v>61</v>
      </c>
      <c r="L140" s="55" t="s">
        <v>1130</v>
      </c>
      <c r="M140" s="55" t="s">
        <v>6770</v>
      </c>
      <c r="N140" s="55" t="s">
        <v>193</v>
      </c>
      <c r="O140" s="55" t="s">
        <v>1768</v>
      </c>
      <c r="P140" s="55" t="s">
        <v>70</v>
      </c>
      <c r="Q140" s="67" t="str">
        <f>IFERROR(__xludf.DUMMYFUNCTION("""COMPUTED_VALUE"""),"Japan.CPA400_Patado_SEA_HuyLG_180225")</f>
        <v>Japan.CPA400_Patado_SEA_HuyLG_180225</v>
      </c>
      <c r="R140" s="67" t="str">
        <f>IFERROR(__xludf.DUMMYFUNCTION("""COMPUTED_VALUE"""),"NON_Japan_none_none_180225")</f>
        <v>NON_Japan_none_none_180225</v>
      </c>
      <c r="S140" s="67" t="str">
        <f>IFERROR(__xludf.DUMMYFUNCTION("""COMPUTED_VALUE"""),"!!!")</f>
        <v>!!!</v>
      </c>
      <c r="T140" s="107" t="str">
        <f>IFERROR(__xludf.DUMMYFUNCTION("""COMPUTED_VALUE"""),"https://patadovietnam.edu.vn/hlg_gt_sea/?utm_source=Google&amp;utm_medium=SEA&amp;utm_term=NON_Japan_none_none_180225&amp;utm_content=!!!&amp;utm_campaign=Japan.CPA400_Patado_SEA_HuyLG_180225")</f>
        <v>https://patadovietnam.edu.vn/hlg_gt_sea/?utm_source=Google&amp;utm_medium=SEA&amp;utm_term=NON_Japan_none_none_180225&amp;utm_content=!!!&amp;utm_campaign=Japan.CPA400_Patado_SEA_HuyLG_180225</v>
      </c>
    </row>
    <row r="141">
      <c r="A141" s="72">
        <v>45706.0</v>
      </c>
      <c r="B141" s="60" t="s">
        <v>6754</v>
      </c>
      <c r="C141" s="67" t="str">
        <f>IFERROR(__xludf.DUMMYFUNCTION("""COMPUTED_VALUE"""),"LD237")</f>
        <v>LD237</v>
      </c>
      <c r="D141" s="55" t="s">
        <v>188</v>
      </c>
      <c r="E141" s="55" t="s">
        <v>193</v>
      </c>
      <c r="F141" s="55" t="s">
        <v>133</v>
      </c>
      <c r="G141" s="44" t="s">
        <v>61</v>
      </c>
      <c r="H141" s="54"/>
      <c r="I141" s="54"/>
      <c r="J141" s="54"/>
      <c r="K141" s="55" t="s">
        <v>61</v>
      </c>
      <c r="L141" s="54"/>
      <c r="M141" s="54"/>
      <c r="N141" s="54"/>
      <c r="O141" s="54"/>
      <c r="P141" s="54"/>
      <c r="Q141" s="67" t="str">
        <f>IFERROR(__xludf.DUMMYFUNCTION("""COMPUTED_VALUE"""),"!!!")</f>
        <v>!!!</v>
      </c>
      <c r="R141" s="67" t="str">
        <f>IFERROR(__xludf.DUMMYFUNCTION("""COMPUTED_VALUE"""),"!!!")</f>
        <v>!!!</v>
      </c>
      <c r="S141" s="67" t="str">
        <f>IFERROR(__xludf.DUMMYFUNCTION("""COMPUTED_VALUE"""),"!!!")</f>
        <v>!!!</v>
      </c>
      <c r="T14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42">
      <c r="A142" s="72">
        <v>45708.0</v>
      </c>
      <c r="B142" s="60" t="s">
        <v>6754</v>
      </c>
      <c r="C142" s="67" t="str">
        <f>IFERROR(__xludf.DUMMYFUNCTION("""COMPUTED_VALUE"""),"LD237")</f>
        <v>LD237</v>
      </c>
      <c r="D142" s="55" t="s">
        <v>188</v>
      </c>
      <c r="E142" s="55" t="s">
        <v>193</v>
      </c>
      <c r="F142" s="55" t="s">
        <v>539</v>
      </c>
      <c r="G142" s="44" t="s">
        <v>61</v>
      </c>
      <c r="H142" s="55" t="s">
        <v>1131</v>
      </c>
      <c r="I142" s="55" t="s">
        <v>7175</v>
      </c>
      <c r="J142" s="55" t="s">
        <v>6768</v>
      </c>
      <c r="K142" s="55" t="s">
        <v>61</v>
      </c>
      <c r="L142" s="55" t="s">
        <v>1130</v>
      </c>
      <c r="M142" s="55" t="s">
        <v>6770</v>
      </c>
      <c r="N142" s="55" t="s">
        <v>193</v>
      </c>
      <c r="O142" s="55" t="s">
        <v>1768</v>
      </c>
      <c r="P142" s="55" t="s">
        <v>70</v>
      </c>
      <c r="Q142" s="67" t="str">
        <f>IFERROR(__xludf.DUMMYFUNCTION("""COMPUTED_VALUE"""),"ALL.CPA250_Patado_SEA_HuyLG_200225")</f>
        <v>ALL.CPA250_Patado_SEA_HuyLG_200225</v>
      </c>
      <c r="R142" s="67" t="str">
        <f>IFERROR(__xludf.DUMMYFUNCTION("""COMPUTED_VALUE"""),"NON_ALL_none_none_200225")</f>
        <v>NON_ALL_none_none_200225</v>
      </c>
      <c r="S142" s="67" t="str">
        <f>IFERROR(__xludf.DUMMYFUNCTION("""COMPUTED_VALUE"""),"KW_HocTiengAnhTrucTuyenChoNguoiDiLam_PTAGTTD_LD237")</f>
        <v>KW_HocTiengAnhTrucTuyenChoNguoiDiLam_PTAGTTD_LD237</v>
      </c>
      <c r="T142" s="107" t="str">
        <f>IFERROR(__xludf.DUMMYFUNCTION("""COMPUTED_VALUE"""),"https://patadovietnam.edu.vn/hlg_gt_sea/?utm_source=Google&amp;utm_medium=SEA&amp;utm_term=NON_ALL_none_none_200225&amp;utm_content=KW_HocTiengAnhTrucTuyenChoNguoiDiLam_PTAGTTD_LD237&amp;utm_campaign=ALL.CPA250_Patado_SEA_HuyLG_200225")</f>
        <v>https://patadovietnam.edu.vn/hlg_gt_sea/?utm_source=Google&amp;utm_medium=SEA&amp;utm_term=NON_ALL_none_none_200225&amp;utm_content=KW_HocTiengAnhTrucTuyenChoNguoiDiLam_PTAGTTD_LD237&amp;utm_campaign=ALL.CPA250_Patado_SEA_HuyLG_200225</v>
      </c>
    </row>
    <row r="143">
      <c r="A143" s="72"/>
      <c r="B143" s="60" t="s">
        <v>6754</v>
      </c>
      <c r="C143" s="67" t="str">
        <f>IFERROR(__xludf.DUMMYFUNCTION("""COMPUTED_VALUE"""),"LD237")</f>
        <v>LD237</v>
      </c>
      <c r="D143" s="55" t="s">
        <v>188</v>
      </c>
      <c r="E143" s="55" t="s">
        <v>193</v>
      </c>
      <c r="F143" s="54"/>
      <c r="G143" s="44" t="s">
        <v>61</v>
      </c>
      <c r="H143" s="54"/>
      <c r="I143" s="54"/>
      <c r="J143" s="54"/>
      <c r="K143" s="55" t="s">
        <v>61</v>
      </c>
      <c r="L143" s="54"/>
      <c r="M143" s="54"/>
      <c r="N143" s="54"/>
      <c r="O143" s="54"/>
      <c r="P143" s="54"/>
      <c r="Q143" s="67" t="str">
        <f>IFERROR(__xludf.DUMMYFUNCTION("""COMPUTED_VALUE"""),"!!!")</f>
        <v>!!!</v>
      </c>
      <c r="R143" s="67" t="str">
        <f>IFERROR(__xludf.DUMMYFUNCTION("""COMPUTED_VALUE"""),"!!!")</f>
        <v>!!!</v>
      </c>
      <c r="S143" s="67" t="str">
        <f>IFERROR(__xludf.DUMMYFUNCTION("""COMPUTED_VALUE"""),"!!!")</f>
        <v>!!!</v>
      </c>
      <c r="T14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44">
      <c r="A144" s="72"/>
      <c r="B144" s="60" t="s">
        <v>6754</v>
      </c>
      <c r="C144" s="67" t="str">
        <f>IFERROR(__xludf.DUMMYFUNCTION("""COMPUTED_VALUE"""),"LD237")</f>
        <v>LD237</v>
      </c>
      <c r="D144" s="55" t="s">
        <v>188</v>
      </c>
      <c r="E144" s="55" t="s">
        <v>193</v>
      </c>
      <c r="F144" s="54"/>
      <c r="G144" s="44" t="s">
        <v>61</v>
      </c>
      <c r="H144" s="54"/>
      <c r="I144" s="54"/>
      <c r="J144" s="54"/>
      <c r="K144" s="55" t="s">
        <v>61</v>
      </c>
      <c r="L144" s="54"/>
      <c r="M144" s="54"/>
      <c r="N144" s="54"/>
      <c r="O144" s="54"/>
      <c r="P144" s="54"/>
      <c r="Q144" s="67" t="str">
        <f>IFERROR(__xludf.DUMMYFUNCTION("""COMPUTED_VALUE"""),"!!!")</f>
        <v>!!!</v>
      </c>
      <c r="R144" s="67" t="str">
        <f>IFERROR(__xludf.DUMMYFUNCTION("""COMPUTED_VALUE"""),"!!!")</f>
        <v>!!!</v>
      </c>
      <c r="S144" s="67" t="str">
        <f>IFERROR(__xludf.DUMMYFUNCTION("""COMPUTED_VALUE"""),"!!!")</f>
        <v>!!!</v>
      </c>
      <c r="T14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45">
      <c r="A145" s="72"/>
      <c r="B145" s="60" t="s">
        <v>6754</v>
      </c>
      <c r="C145" s="67" t="str">
        <f>IFERROR(__xludf.DUMMYFUNCTION("""COMPUTED_VALUE"""),"LD237")</f>
        <v>LD237</v>
      </c>
      <c r="D145" s="55" t="s">
        <v>188</v>
      </c>
      <c r="E145" s="55" t="s">
        <v>193</v>
      </c>
      <c r="F145" s="54"/>
      <c r="G145" s="44" t="s">
        <v>61</v>
      </c>
      <c r="H145" s="54"/>
      <c r="I145" s="54"/>
      <c r="J145" s="54"/>
      <c r="K145" s="55" t="s">
        <v>61</v>
      </c>
      <c r="L145" s="54"/>
      <c r="M145" s="54"/>
      <c r="N145" s="54"/>
      <c r="O145" s="54"/>
      <c r="P145" s="54"/>
      <c r="Q145" s="67" t="str">
        <f>IFERROR(__xludf.DUMMYFUNCTION("""COMPUTED_VALUE"""),"!!!")</f>
        <v>!!!</v>
      </c>
      <c r="R145" s="67" t="str">
        <f>IFERROR(__xludf.DUMMYFUNCTION("""COMPUTED_VALUE"""),"!!!")</f>
        <v>!!!</v>
      </c>
      <c r="S145" s="67" t="str">
        <f>IFERROR(__xludf.DUMMYFUNCTION("""COMPUTED_VALUE"""),"!!!")</f>
        <v>!!!</v>
      </c>
      <c r="T14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46">
      <c r="A146" s="72"/>
      <c r="B146" s="60" t="s">
        <v>6754</v>
      </c>
      <c r="C146" s="67" t="str">
        <f>IFERROR(__xludf.DUMMYFUNCTION("""COMPUTED_VALUE"""),"LD237")</f>
        <v>LD237</v>
      </c>
      <c r="D146" s="55" t="s">
        <v>188</v>
      </c>
      <c r="E146" s="55" t="s">
        <v>193</v>
      </c>
      <c r="F146" s="54"/>
      <c r="G146" s="44" t="s">
        <v>61</v>
      </c>
      <c r="H146" s="54"/>
      <c r="I146" s="54"/>
      <c r="J146" s="54"/>
      <c r="K146" s="55" t="s">
        <v>61</v>
      </c>
      <c r="L146" s="54"/>
      <c r="M146" s="54"/>
      <c r="N146" s="54"/>
      <c r="O146" s="54"/>
      <c r="P146" s="54"/>
      <c r="Q146" s="67" t="str">
        <f>IFERROR(__xludf.DUMMYFUNCTION("""COMPUTED_VALUE"""),"!!!")</f>
        <v>!!!</v>
      </c>
      <c r="R146" s="67" t="str">
        <f>IFERROR(__xludf.DUMMYFUNCTION("""COMPUTED_VALUE"""),"!!!")</f>
        <v>!!!</v>
      </c>
      <c r="S146" s="67" t="str">
        <f>IFERROR(__xludf.DUMMYFUNCTION("""COMPUTED_VALUE"""),"!!!")</f>
        <v>!!!</v>
      </c>
      <c r="T14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47">
      <c r="A147" s="72"/>
      <c r="B147" s="60" t="s">
        <v>6754</v>
      </c>
      <c r="C147" s="67" t="str">
        <f>IFERROR(__xludf.DUMMYFUNCTION("""COMPUTED_VALUE"""),"LD237")</f>
        <v>LD237</v>
      </c>
      <c r="D147" s="55" t="s">
        <v>188</v>
      </c>
      <c r="E147" s="55" t="s">
        <v>193</v>
      </c>
      <c r="F147" s="54"/>
      <c r="G147" s="44" t="s">
        <v>61</v>
      </c>
      <c r="H147" s="54"/>
      <c r="I147" s="54"/>
      <c r="J147" s="54"/>
      <c r="K147" s="55" t="s">
        <v>61</v>
      </c>
      <c r="L147" s="54"/>
      <c r="M147" s="54"/>
      <c r="N147" s="54"/>
      <c r="O147" s="54"/>
      <c r="P147" s="54"/>
      <c r="Q147" s="67" t="str">
        <f>IFERROR(__xludf.DUMMYFUNCTION("""COMPUTED_VALUE"""),"!!!")</f>
        <v>!!!</v>
      </c>
      <c r="R147" s="67" t="str">
        <f>IFERROR(__xludf.DUMMYFUNCTION("""COMPUTED_VALUE"""),"!!!")</f>
        <v>!!!</v>
      </c>
      <c r="S147" s="67" t="str">
        <f>IFERROR(__xludf.DUMMYFUNCTION("""COMPUTED_VALUE"""),"!!!")</f>
        <v>!!!</v>
      </c>
      <c r="T14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48">
      <c r="A148" s="72"/>
      <c r="B148" s="60" t="s">
        <v>6754</v>
      </c>
      <c r="C148" s="67" t="str">
        <f>IFERROR(__xludf.DUMMYFUNCTION("""COMPUTED_VALUE"""),"LD237")</f>
        <v>LD237</v>
      </c>
      <c r="D148" s="55" t="s">
        <v>188</v>
      </c>
      <c r="E148" s="55" t="s">
        <v>193</v>
      </c>
      <c r="F148" s="54"/>
      <c r="G148" s="44" t="s">
        <v>61</v>
      </c>
      <c r="H148" s="54"/>
      <c r="I148" s="54"/>
      <c r="J148" s="54"/>
      <c r="K148" s="55" t="s">
        <v>61</v>
      </c>
      <c r="L148" s="54"/>
      <c r="M148" s="54"/>
      <c r="N148" s="54"/>
      <c r="O148" s="54"/>
      <c r="P148" s="54"/>
      <c r="Q148" s="67" t="str">
        <f>IFERROR(__xludf.DUMMYFUNCTION("""COMPUTED_VALUE"""),"!!!")</f>
        <v>!!!</v>
      </c>
      <c r="R148" s="67" t="str">
        <f>IFERROR(__xludf.DUMMYFUNCTION("""COMPUTED_VALUE"""),"!!!")</f>
        <v>!!!</v>
      </c>
      <c r="S148" s="67" t="str">
        <f>IFERROR(__xludf.DUMMYFUNCTION("""COMPUTED_VALUE"""),"!!!")</f>
        <v>!!!</v>
      </c>
      <c r="T14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49">
      <c r="A149" s="72"/>
      <c r="B149" s="60" t="s">
        <v>6754</v>
      </c>
      <c r="C149" s="67" t="str">
        <f>IFERROR(__xludf.DUMMYFUNCTION("""COMPUTED_VALUE"""),"LD237")</f>
        <v>LD237</v>
      </c>
      <c r="D149" s="55" t="s">
        <v>188</v>
      </c>
      <c r="E149" s="55" t="s">
        <v>193</v>
      </c>
      <c r="F149" s="54"/>
      <c r="G149" s="44" t="s">
        <v>61</v>
      </c>
      <c r="H149" s="54"/>
      <c r="I149" s="54"/>
      <c r="J149" s="54"/>
      <c r="K149" s="55" t="s">
        <v>61</v>
      </c>
      <c r="L149" s="54"/>
      <c r="M149" s="54"/>
      <c r="N149" s="54"/>
      <c r="O149" s="54"/>
      <c r="P149" s="54"/>
      <c r="Q149" s="67" t="str">
        <f>IFERROR(__xludf.DUMMYFUNCTION("""COMPUTED_VALUE"""),"!!!")</f>
        <v>!!!</v>
      </c>
      <c r="R149" s="67" t="str">
        <f>IFERROR(__xludf.DUMMYFUNCTION("""COMPUTED_VALUE"""),"!!!")</f>
        <v>!!!</v>
      </c>
      <c r="S149" s="67" t="str">
        <f>IFERROR(__xludf.DUMMYFUNCTION("""COMPUTED_VALUE"""),"!!!")</f>
        <v>!!!</v>
      </c>
      <c r="T14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50">
      <c r="A150" s="72"/>
      <c r="B150" s="60" t="s">
        <v>6754</v>
      </c>
      <c r="C150" s="67" t="str">
        <f>IFERROR(__xludf.DUMMYFUNCTION("""COMPUTED_VALUE"""),"LD237")</f>
        <v>LD237</v>
      </c>
      <c r="D150" s="55" t="s">
        <v>188</v>
      </c>
      <c r="E150" s="55" t="s">
        <v>193</v>
      </c>
      <c r="F150" s="54"/>
      <c r="G150" s="44" t="s">
        <v>61</v>
      </c>
      <c r="H150" s="54"/>
      <c r="I150" s="54"/>
      <c r="J150" s="54"/>
      <c r="K150" s="55" t="s">
        <v>61</v>
      </c>
      <c r="L150" s="54"/>
      <c r="M150" s="54"/>
      <c r="N150" s="54"/>
      <c r="O150" s="54"/>
      <c r="P150" s="54"/>
      <c r="Q150" s="67" t="str">
        <f>IFERROR(__xludf.DUMMYFUNCTION("""COMPUTED_VALUE"""),"!!!")</f>
        <v>!!!</v>
      </c>
      <c r="R150" s="67" t="str">
        <f>IFERROR(__xludf.DUMMYFUNCTION("""COMPUTED_VALUE"""),"!!!")</f>
        <v>!!!</v>
      </c>
      <c r="S150" s="67" t="str">
        <f>IFERROR(__xludf.DUMMYFUNCTION("""COMPUTED_VALUE"""),"!!!")</f>
        <v>!!!</v>
      </c>
      <c r="T15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51">
      <c r="A151" s="72"/>
      <c r="B151" s="60" t="s">
        <v>6754</v>
      </c>
      <c r="C151" s="67" t="str">
        <f>IFERROR(__xludf.DUMMYFUNCTION("""COMPUTED_VALUE"""),"LD237")</f>
        <v>LD237</v>
      </c>
      <c r="D151" s="55" t="s">
        <v>188</v>
      </c>
      <c r="E151" s="55" t="s">
        <v>193</v>
      </c>
      <c r="F151" s="54"/>
      <c r="G151" s="44" t="s">
        <v>61</v>
      </c>
      <c r="H151" s="54"/>
      <c r="I151" s="54"/>
      <c r="J151" s="54"/>
      <c r="K151" s="55" t="s">
        <v>61</v>
      </c>
      <c r="L151" s="54"/>
      <c r="M151" s="54"/>
      <c r="N151" s="54"/>
      <c r="O151" s="54"/>
      <c r="P151" s="54"/>
      <c r="Q151" s="67" t="str">
        <f>IFERROR(__xludf.DUMMYFUNCTION("""COMPUTED_VALUE"""),"!!!")</f>
        <v>!!!</v>
      </c>
      <c r="R151" s="67" t="str">
        <f>IFERROR(__xludf.DUMMYFUNCTION("""COMPUTED_VALUE"""),"!!!")</f>
        <v>!!!</v>
      </c>
      <c r="S151" s="67" t="str">
        <f>IFERROR(__xludf.DUMMYFUNCTION("""COMPUTED_VALUE"""),"!!!")</f>
        <v>!!!</v>
      </c>
      <c r="T15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52">
      <c r="A152" s="72"/>
      <c r="B152" s="60" t="s">
        <v>6754</v>
      </c>
      <c r="C152" s="67" t="str">
        <f>IFERROR(__xludf.DUMMYFUNCTION("""COMPUTED_VALUE"""),"LD237")</f>
        <v>LD237</v>
      </c>
      <c r="D152" s="55" t="s">
        <v>188</v>
      </c>
      <c r="E152" s="55" t="s">
        <v>193</v>
      </c>
      <c r="F152" s="54"/>
      <c r="G152" s="44" t="s">
        <v>61</v>
      </c>
      <c r="H152" s="54"/>
      <c r="I152" s="54"/>
      <c r="J152" s="54"/>
      <c r="K152" s="55" t="s">
        <v>61</v>
      </c>
      <c r="L152" s="54"/>
      <c r="M152" s="54"/>
      <c r="N152" s="54"/>
      <c r="O152" s="54"/>
      <c r="P152" s="54"/>
      <c r="Q152" s="67" t="str">
        <f>IFERROR(__xludf.DUMMYFUNCTION("""COMPUTED_VALUE"""),"!!!")</f>
        <v>!!!</v>
      </c>
      <c r="R152" s="67" t="str">
        <f>IFERROR(__xludf.DUMMYFUNCTION("""COMPUTED_VALUE"""),"!!!")</f>
        <v>!!!</v>
      </c>
      <c r="S152" s="67" t="str">
        <f>IFERROR(__xludf.DUMMYFUNCTION("""COMPUTED_VALUE"""),"!!!")</f>
        <v>!!!</v>
      </c>
      <c r="T15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53">
      <c r="A153" s="72"/>
      <c r="B153" s="60" t="s">
        <v>6754</v>
      </c>
      <c r="C153" s="67" t="str">
        <f>IFERROR(__xludf.DUMMYFUNCTION("""COMPUTED_VALUE"""),"LD237")</f>
        <v>LD237</v>
      </c>
      <c r="D153" s="55" t="s">
        <v>188</v>
      </c>
      <c r="E153" s="55" t="s">
        <v>193</v>
      </c>
      <c r="F153" s="54"/>
      <c r="G153" s="44" t="s">
        <v>61</v>
      </c>
      <c r="H153" s="54"/>
      <c r="I153" s="54"/>
      <c r="J153" s="54"/>
      <c r="K153" s="55" t="s">
        <v>61</v>
      </c>
      <c r="L153" s="54"/>
      <c r="M153" s="54"/>
      <c r="N153" s="54"/>
      <c r="O153" s="54"/>
      <c r="P153" s="54"/>
      <c r="Q153" s="67" t="str">
        <f>IFERROR(__xludf.DUMMYFUNCTION("""COMPUTED_VALUE"""),"!!!")</f>
        <v>!!!</v>
      </c>
      <c r="R153" s="67" t="str">
        <f>IFERROR(__xludf.DUMMYFUNCTION("""COMPUTED_VALUE"""),"!!!")</f>
        <v>!!!</v>
      </c>
      <c r="S153" s="67" t="str">
        <f>IFERROR(__xludf.DUMMYFUNCTION("""COMPUTED_VALUE"""),"!!!")</f>
        <v>!!!</v>
      </c>
      <c r="T15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54">
      <c r="A154" s="72"/>
      <c r="B154" s="60" t="s">
        <v>6754</v>
      </c>
      <c r="C154" s="67" t="str">
        <f>IFERROR(__xludf.DUMMYFUNCTION("""COMPUTED_VALUE"""),"LD237")</f>
        <v>LD237</v>
      </c>
      <c r="D154" s="55" t="s">
        <v>188</v>
      </c>
      <c r="E154" s="55" t="s">
        <v>193</v>
      </c>
      <c r="F154" s="54"/>
      <c r="G154" s="44" t="s">
        <v>61</v>
      </c>
      <c r="H154" s="54"/>
      <c r="I154" s="54"/>
      <c r="J154" s="54"/>
      <c r="K154" s="55" t="s">
        <v>61</v>
      </c>
      <c r="L154" s="54"/>
      <c r="M154" s="54"/>
      <c r="N154" s="54"/>
      <c r="O154" s="54"/>
      <c r="P154" s="54"/>
      <c r="Q154" s="67" t="str">
        <f>IFERROR(__xludf.DUMMYFUNCTION("""COMPUTED_VALUE"""),"!!!")</f>
        <v>!!!</v>
      </c>
      <c r="R154" s="67" t="str">
        <f>IFERROR(__xludf.DUMMYFUNCTION("""COMPUTED_VALUE"""),"!!!")</f>
        <v>!!!</v>
      </c>
      <c r="S154" s="67" t="str">
        <f>IFERROR(__xludf.DUMMYFUNCTION("""COMPUTED_VALUE"""),"!!!")</f>
        <v>!!!</v>
      </c>
      <c r="T15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55">
      <c r="A155" s="72"/>
      <c r="B155" s="60" t="s">
        <v>6754</v>
      </c>
      <c r="C155" s="67" t="str">
        <f>IFERROR(__xludf.DUMMYFUNCTION("""COMPUTED_VALUE"""),"LD237")</f>
        <v>LD237</v>
      </c>
      <c r="D155" s="55" t="s">
        <v>188</v>
      </c>
      <c r="E155" s="55" t="s">
        <v>193</v>
      </c>
      <c r="F155" s="54"/>
      <c r="G155" s="44" t="s">
        <v>61</v>
      </c>
      <c r="H155" s="54"/>
      <c r="I155" s="54"/>
      <c r="J155" s="54"/>
      <c r="K155" s="55" t="s">
        <v>61</v>
      </c>
      <c r="L155" s="54"/>
      <c r="M155" s="54"/>
      <c r="N155" s="54"/>
      <c r="O155" s="54"/>
      <c r="P155" s="54"/>
      <c r="Q155" s="67" t="str">
        <f>IFERROR(__xludf.DUMMYFUNCTION("""COMPUTED_VALUE"""),"!!!")</f>
        <v>!!!</v>
      </c>
      <c r="R155" s="67" t="str">
        <f>IFERROR(__xludf.DUMMYFUNCTION("""COMPUTED_VALUE"""),"!!!")</f>
        <v>!!!</v>
      </c>
      <c r="S155" s="67" t="str">
        <f>IFERROR(__xludf.DUMMYFUNCTION("""COMPUTED_VALUE"""),"!!!")</f>
        <v>!!!</v>
      </c>
      <c r="T15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56">
      <c r="A156" s="72"/>
      <c r="B156" s="60" t="s">
        <v>6754</v>
      </c>
      <c r="C156" s="67" t="str">
        <f>IFERROR(__xludf.DUMMYFUNCTION("""COMPUTED_VALUE"""),"LD237")</f>
        <v>LD237</v>
      </c>
      <c r="D156" s="55" t="s">
        <v>188</v>
      </c>
      <c r="E156" s="55" t="s">
        <v>193</v>
      </c>
      <c r="F156" s="54"/>
      <c r="G156" s="44" t="s">
        <v>61</v>
      </c>
      <c r="H156" s="54"/>
      <c r="I156" s="54"/>
      <c r="J156" s="54"/>
      <c r="K156" s="55" t="s">
        <v>61</v>
      </c>
      <c r="L156" s="54"/>
      <c r="M156" s="54"/>
      <c r="N156" s="54"/>
      <c r="O156" s="54"/>
      <c r="P156" s="54"/>
      <c r="Q156" s="67" t="str">
        <f>IFERROR(__xludf.DUMMYFUNCTION("""COMPUTED_VALUE"""),"!!!")</f>
        <v>!!!</v>
      </c>
      <c r="R156" s="67" t="str">
        <f>IFERROR(__xludf.DUMMYFUNCTION("""COMPUTED_VALUE"""),"!!!")</f>
        <v>!!!</v>
      </c>
      <c r="S156" s="67" t="str">
        <f>IFERROR(__xludf.DUMMYFUNCTION("""COMPUTED_VALUE"""),"!!!")</f>
        <v>!!!</v>
      </c>
      <c r="T15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57">
      <c r="A157" s="72"/>
      <c r="B157" s="60" t="s">
        <v>6754</v>
      </c>
      <c r="C157" s="67" t="str">
        <f>IFERROR(__xludf.DUMMYFUNCTION("""COMPUTED_VALUE"""),"LD237")</f>
        <v>LD237</v>
      </c>
      <c r="D157" s="55" t="s">
        <v>188</v>
      </c>
      <c r="E157" s="55" t="s">
        <v>193</v>
      </c>
      <c r="F157" s="54"/>
      <c r="G157" s="44" t="s">
        <v>61</v>
      </c>
      <c r="H157" s="54"/>
      <c r="I157" s="54"/>
      <c r="J157" s="54"/>
      <c r="K157" s="55" t="s">
        <v>61</v>
      </c>
      <c r="L157" s="54"/>
      <c r="M157" s="54"/>
      <c r="N157" s="54"/>
      <c r="O157" s="54"/>
      <c r="P157" s="54"/>
      <c r="Q157" s="67" t="str">
        <f>IFERROR(__xludf.DUMMYFUNCTION("""COMPUTED_VALUE"""),"!!!")</f>
        <v>!!!</v>
      </c>
      <c r="R157" s="67" t="str">
        <f>IFERROR(__xludf.DUMMYFUNCTION("""COMPUTED_VALUE"""),"!!!")</f>
        <v>!!!</v>
      </c>
      <c r="S157" s="67" t="str">
        <f>IFERROR(__xludf.DUMMYFUNCTION("""COMPUTED_VALUE"""),"!!!")</f>
        <v>!!!</v>
      </c>
      <c r="T15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58">
      <c r="A158" s="72"/>
      <c r="B158" s="60" t="s">
        <v>6754</v>
      </c>
      <c r="C158" s="67" t="str">
        <f>IFERROR(__xludf.DUMMYFUNCTION("""COMPUTED_VALUE"""),"LD237")</f>
        <v>LD237</v>
      </c>
      <c r="D158" s="55" t="s">
        <v>188</v>
      </c>
      <c r="E158" s="55" t="s">
        <v>193</v>
      </c>
      <c r="F158" s="54"/>
      <c r="G158" s="44" t="s">
        <v>61</v>
      </c>
      <c r="H158" s="54"/>
      <c r="I158" s="54"/>
      <c r="J158" s="54"/>
      <c r="K158" s="55" t="s">
        <v>61</v>
      </c>
      <c r="L158" s="54"/>
      <c r="M158" s="54"/>
      <c r="N158" s="54"/>
      <c r="O158" s="54"/>
      <c r="P158" s="54"/>
      <c r="Q158" s="67" t="str">
        <f>IFERROR(__xludf.DUMMYFUNCTION("""COMPUTED_VALUE"""),"!!!")</f>
        <v>!!!</v>
      </c>
      <c r="R158" s="67" t="str">
        <f>IFERROR(__xludf.DUMMYFUNCTION("""COMPUTED_VALUE"""),"!!!")</f>
        <v>!!!</v>
      </c>
      <c r="S158" s="67" t="str">
        <f>IFERROR(__xludf.DUMMYFUNCTION("""COMPUTED_VALUE"""),"!!!")</f>
        <v>!!!</v>
      </c>
      <c r="T15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59">
      <c r="A159" s="72"/>
      <c r="B159" s="60" t="s">
        <v>6754</v>
      </c>
      <c r="C159" s="67" t="str">
        <f>IFERROR(__xludf.DUMMYFUNCTION("""COMPUTED_VALUE"""),"LD237")</f>
        <v>LD237</v>
      </c>
      <c r="D159" s="55" t="s">
        <v>188</v>
      </c>
      <c r="E159" s="55" t="s">
        <v>193</v>
      </c>
      <c r="F159" s="54"/>
      <c r="G159" s="44" t="s">
        <v>61</v>
      </c>
      <c r="H159" s="54"/>
      <c r="I159" s="54"/>
      <c r="J159" s="54"/>
      <c r="K159" s="55" t="s">
        <v>61</v>
      </c>
      <c r="L159" s="54"/>
      <c r="M159" s="54"/>
      <c r="N159" s="54"/>
      <c r="O159" s="54"/>
      <c r="P159" s="54"/>
      <c r="Q159" s="67" t="str">
        <f>IFERROR(__xludf.DUMMYFUNCTION("""COMPUTED_VALUE"""),"!!!")</f>
        <v>!!!</v>
      </c>
      <c r="R159" s="67" t="str">
        <f>IFERROR(__xludf.DUMMYFUNCTION("""COMPUTED_VALUE"""),"!!!")</f>
        <v>!!!</v>
      </c>
      <c r="S159" s="67" t="str">
        <f>IFERROR(__xludf.DUMMYFUNCTION("""COMPUTED_VALUE"""),"!!!")</f>
        <v>!!!</v>
      </c>
      <c r="T15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60">
      <c r="A160" s="72"/>
      <c r="B160" s="60" t="s">
        <v>6754</v>
      </c>
      <c r="C160" s="67" t="str">
        <f>IFERROR(__xludf.DUMMYFUNCTION("""COMPUTED_VALUE"""),"LD237")</f>
        <v>LD237</v>
      </c>
      <c r="D160" s="55" t="s">
        <v>188</v>
      </c>
      <c r="E160" s="55" t="s">
        <v>193</v>
      </c>
      <c r="F160" s="54"/>
      <c r="G160" s="44" t="s">
        <v>61</v>
      </c>
      <c r="H160" s="54"/>
      <c r="I160" s="54"/>
      <c r="J160" s="54"/>
      <c r="K160" s="55" t="s">
        <v>61</v>
      </c>
      <c r="L160" s="54"/>
      <c r="M160" s="54"/>
      <c r="N160" s="54"/>
      <c r="O160" s="54"/>
      <c r="P160" s="54"/>
      <c r="Q160" s="67" t="str">
        <f>IFERROR(__xludf.DUMMYFUNCTION("""COMPUTED_VALUE"""),"!!!")</f>
        <v>!!!</v>
      </c>
      <c r="R160" s="67" t="str">
        <f>IFERROR(__xludf.DUMMYFUNCTION("""COMPUTED_VALUE"""),"!!!")</f>
        <v>!!!</v>
      </c>
      <c r="S160" s="67" t="str">
        <f>IFERROR(__xludf.DUMMYFUNCTION("""COMPUTED_VALUE"""),"!!!")</f>
        <v>!!!</v>
      </c>
      <c r="T16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61">
      <c r="A161" s="72"/>
      <c r="B161" s="60" t="s">
        <v>6754</v>
      </c>
      <c r="C161" s="67" t="str">
        <f>IFERROR(__xludf.DUMMYFUNCTION("""COMPUTED_VALUE"""),"LD237")</f>
        <v>LD237</v>
      </c>
      <c r="D161" s="55" t="s">
        <v>188</v>
      </c>
      <c r="E161" s="55" t="s">
        <v>193</v>
      </c>
      <c r="F161" s="54"/>
      <c r="G161" s="44" t="s">
        <v>61</v>
      </c>
      <c r="H161" s="54"/>
      <c r="I161" s="54"/>
      <c r="J161" s="54"/>
      <c r="K161" s="55" t="s">
        <v>61</v>
      </c>
      <c r="L161" s="54"/>
      <c r="M161" s="54"/>
      <c r="N161" s="54"/>
      <c r="O161" s="54"/>
      <c r="P161" s="54"/>
      <c r="Q161" s="67" t="str">
        <f>IFERROR(__xludf.DUMMYFUNCTION("""COMPUTED_VALUE"""),"!!!")</f>
        <v>!!!</v>
      </c>
      <c r="R161" s="67" t="str">
        <f>IFERROR(__xludf.DUMMYFUNCTION("""COMPUTED_VALUE"""),"!!!")</f>
        <v>!!!</v>
      </c>
      <c r="S161" s="67" t="str">
        <f>IFERROR(__xludf.DUMMYFUNCTION("""COMPUTED_VALUE"""),"!!!")</f>
        <v>!!!</v>
      </c>
      <c r="T16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62">
      <c r="A162" s="72"/>
      <c r="B162" s="60" t="s">
        <v>6754</v>
      </c>
      <c r="C162" s="67" t="str">
        <f>IFERROR(__xludf.DUMMYFUNCTION("""COMPUTED_VALUE"""),"LD237")</f>
        <v>LD237</v>
      </c>
      <c r="D162" s="55" t="s">
        <v>188</v>
      </c>
      <c r="E162" s="55" t="s">
        <v>193</v>
      </c>
      <c r="F162" s="54"/>
      <c r="G162" s="44" t="s">
        <v>61</v>
      </c>
      <c r="H162" s="54"/>
      <c r="I162" s="54"/>
      <c r="J162" s="54"/>
      <c r="K162" s="55" t="s">
        <v>61</v>
      </c>
      <c r="L162" s="54"/>
      <c r="M162" s="54"/>
      <c r="N162" s="54"/>
      <c r="O162" s="54"/>
      <c r="P162" s="54"/>
      <c r="Q162" s="67" t="str">
        <f>IFERROR(__xludf.DUMMYFUNCTION("""COMPUTED_VALUE"""),"!!!")</f>
        <v>!!!</v>
      </c>
      <c r="R162" s="67" t="str">
        <f>IFERROR(__xludf.DUMMYFUNCTION("""COMPUTED_VALUE"""),"!!!")</f>
        <v>!!!</v>
      </c>
      <c r="S162" s="67" t="str">
        <f>IFERROR(__xludf.DUMMYFUNCTION("""COMPUTED_VALUE"""),"!!!")</f>
        <v>!!!</v>
      </c>
      <c r="T16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63">
      <c r="A163" s="72"/>
      <c r="B163" s="60" t="s">
        <v>6754</v>
      </c>
      <c r="C163" s="67" t="str">
        <f>IFERROR(__xludf.DUMMYFUNCTION("""COMPUTED_VALUE"""),"LD237")</f>
        <v>LD237</v>
      </c>
      <c r="D163" s="55" t="s">
        <v>188</v>
      </c>
      <c r="E163" s="55" t="s">
        <v>193</v>
      </c>
      <c r="F163" s="54"/>
      <c r="G163" s="44" t="s">
        <v>61</v>
      </c>
      <c r="H163" s="54"/>
      <c r="I163" s="54"/>
      <c r="J163" s="54"/>
      <c r="K163" s="55" t="s">
        <v>61</v>
      </c>
      <c r="L163" s="54"/>
      <c r="M163" s="54"/>
      <c r="N163" s="54"/>
      <c r="O163" s="54"/>
      <c r="P163" s="54"/>
      <c r="Q163" s="67" t="str">
        <f>IFERROR(__xludf.DUMMYFUNCTION("""COMPUTED_VALUE"""),"!!!")</f>
        <v>!!!</v>
      </c>
      <c r="R163" s="67" t="str">
        <f>IFERROR(__xludf.DUMMYFUNCTION("""COMPUTED_VALUE"""),"!!!")</f>
        <v>!!!</v>
      </c>
      <c r="S163" s="67" t="str">
        <f>IFERROR(__xludf.DUMMYFUNCTION("""COMPUTED_VALUE"""),"!!!")</f>
        <v>!!!</v>
      </c>
      <c r="T16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64">
      <c r="A164" s="72"/>
      <c r="B164" s="60" t="s">
        <v>6754</v>
      </c>
      <c r="C164" s="67" t="str">
        <f>IFERROR(__xludf.DUMMYFUNCTION("""COMPUTED_VALUE"""),"LD237")</f>
        <v>LD237</v>
      </c>
      <c r="D164" s="55" t="s">
        <v>188</v>
      </c>
      <c r="E164" s="55" t="s">
        <v>193</v>
      </c>
      <c r="F164" s="54"/>
      <c r="G164" s="44" t="s">
        <v>61</v>
      </c>
      <c r="H164" s="54"/>
      <c r="I164" s="54"/>
      <c r="J164" s="54"/>
      <c r="K164" s="55" t="s">
        <v>61</v>
      </c>
      <c r="L164" s="54"/>
      <c r="M164" s="54"/>
      <c r="N164" s="54"/>
      <c r="O164" s="54"/>
      <c r="P164" s="54"/>
      <c r="Q164" s="67" t="str">
        <f>IFERROR(__xludf.DUMMYFUNCTION("""COMPUTED_VALUE"""),"!!!")</f>
        <v>!!!</v>
      </c>
      <c r="R164" s="67" t="str">
        <f>IFERROR(__xludf.DUMMYFUNCTION("""COMPUTED_VALUE"""),"!!!")</f>
        <v>!!!</v>
      </c>
      <c r="S164" s="67" t="str">
        <f>IFERROR(__xludf.DUMMYFUNCTION("""COMPUTED_VALUE"""),"!!!")</f>
        <v>!!!</v>
      </c>
      <c r="T16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65">
      <c r="A165" s="72"/>
      <c r="B165" s="60" t="s">
        <v>6754</v>
      </c>
      <c r="C165" s="67" t="str">
        <f>IFERROR(__xludf.DUMMYFUNCTION("""COMPUTED_VALUE"""),"LD237")</f>
        <v>LD237</v>
      </c>
      <c r="D165" s="55" t="s">
        <v>188</v>
      </c>
      <c r="E165" s="55" t="s">
        <v>193</v>
      </c>
      <c r="F165" s="54"/>
      <c r="G165" s="44" t="s">
        <v>61</v>
      </c>
      <c r="H165" s="54"/>
      <c r="I165" s="54"/>
      <c r="J165" s="54"/>
      <c r="K165" s="55" t="s">
        <v>61</v>
      </c>
      <c r="L165" s="54"/>
      <c r="M165" s="54"/>
      <c r="N165" s="54"/>
      <c r="O165" s="54"/>
      <c r="P165" s="54"/>
      <c r="Q165" s="67" t="str">
        <f>IFERROR(__xludf.DUMMYFUNCTION("""COMPUTED_VALUE"""),"!!!")</f>
        <v>!!!</v>
      </c>
      <c r="R165" s="67" t="str">
        <f>IFERROR(__xludf.DUMMYFUNCTION("""COMPUTED_VALUE"""),"!!!")</f>
        <v>!!!</v>
      </c>
      <c r="S165" s="67" t="str">
        <f>IFERROR(__xludf.DUMMYFUNCTION("""COMPUTED_VALUE"""),"!!!")</f>
        <v>!!!</v>
      </c>
      <c r="T16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66">
      <c r="A166" s="72"/>
      <c r="B166" s="60" t="s">
        <v>6754</v>
      </c>
      <c r="C166" s="67" t="str">
        <f>IFERROR(__xludf.DUMMYFUNCTION("""COMPUTED_VALUE"""),"LD237")</f>
        <v>LD237</v>
      </c>
      <c r="D166" s="55" t="s">
        <v>188</v>
      </c>
      <c r="E166" s="55" t="s">
        <v>193</v>
      </c>
      <c r="F166" s="54"/>
      <c r="G166" s="44" t="s">
        <v>61</v>
      </c>
      <c r="H166" s="54"/>
      <c r="I166" s="54"/>
      <c r="J166" s="54"/>
      <c r="K166" s="55" t="s">
        <v>61</v>
      </c>
      <c r="L166" s="54"/>
      <c r="M166" s="54"/>
      <c r="N166" s="54"/>
      <c r="O166" s="54"/>
      <c r="P166" s="54"/>
      <c r="Q166" s="67" t="str">
        <f>IFERROR(__xludf.DUMMYFUNCTION("""COMPUTED_VALUE"""),"!!!")</f>
        <v>!!!</v>
      </c>
      <c r="R166" s="67" t="str">
        <f>IFERROR(__xludf.DUMMYFUNCTION("""COMPUTED_VALUE"""),"!!!")</f>
        <v>!!!</v>
      </c>
      <c r="S166" s="67" t="str">
        <f>IFERROR(__xludf.DUMMYFUNCTION("""COMPUTED_VALUE"""),"!!!")</f>
        <v>!!!</v>
      </c>
      <c r="T16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67">
      <c r="A167" s="72"/>
      <c r="B167" s="60" t="s">
        <v>6754</v>
      </c>
      <c r="C167" s="67" t="str">
        <f>IFERROR(__xludf.DUMMYFUNCTION("""COMPUTED_VALUE"""),"LD237")</f>
        <v>LD237</v>
      </c>
      <c r="D167" s="55" t="s">
        <v>188</v>
      </c>
      <c r="E167" s="55" t="s">
        <v>193</v>
      </c>
      <c r="F167" s="54"/>
      <c r="G167" s="44" t="s">
        <v>61</v>
      </c>
      <c r="H167" s="54"/>
      <c r="I167" s="54"/>
      <c r="J167" s="54"/>
      <c r="K167" s="55" t="s">
        <v>61</v>
      </c>
      <c r="L167" s="54"/>
      <c r="M167" s="54"/>
      <c r="N167" s="54"/>
      <c r="O167" s="54"/>
      <c r="P167" s="54"/>
      <c r="Q167" s="67" t="str">
        <f>IFERROR(__xludf.DUMMYFUNCTION("""COMPUTED_VALUE"""),"!!!")</f>
        <v>!!!</v>
      </c>
      <c r="R167" s="67" t="str">
        <f>IFERROR(__xludf.DUMMYFUNCTION("""COMPUTED_VALUE"""),"!!!")</f>
        <v>!!!</v>
      </c>
      <c r="S167" s="67" t="str">
        <f>IFERROR(__xludf.DUMMYFUNCTION("""COMPUTED_VALUE"""),"!!!")</f>
        <v>!!!</v>
      </c>
      <c r="T16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68">
      <c r="A168" s="72"/>
      <c r="B168" s="60" t="s">
        <v>6754</v>
      </c>
      <c r="C168" s="67" t="str">
        <f>IFERROR(__xludf.DUMMYFUNCTION("""COMPUTED_VALUE"""),"LD237")</f>
        <v>LD237</v>
      </c>
      <c r="D168" s="55" t="s">
        <v>188</v>
      </c>
      <c r="E168" s="55" t="s">
        <v>193</v>
      </c>
      <c r="F168" s="54"/>
      <c r="G168" s="44" t="s">
        <v>61</v>
      </c>
      <c r="H168" s="54"/>
      <c r="I168" s="54"/>
      <c r="J168" s="54"/>
      <c r="K168" s="55" t="s">
        <v>61</v>
      </c>
      <c r="L168" s="54"/>
      <c r="M168" s="54"/>
      <c r="N168" s="54"/>
      <c r="O168" s="54"/>
      <c r="P168" s="54"/>
      <c r="Q168" s="67" t="str">
        <f>IFERROR(__xludf.DUMMYFUNCTION("""COMPUTED_VALUE"""),"!!!")</f>
        <v>!!!</v>
      </c>
      <c r="R168" s="67" t="str">
        <f>IFERROR(__xludf.DUMMYFUNCTION("""COMPUTED_VALUE"""),"!!!")</f>
        <v>!!!</v>
      </c>
      <c r="S168" s="67" t="str">
        <f>IFERROR(__xludf.DUMMYFUNCTION("""COMPUTED_VALUE"""),"!!!")</f>
        <v>!!!</v>
      </c>
      <c r="T16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69">
      <c r="A169" s="72"/>
      <c r="B169" s="60" t="s">
        <v>6754</v>
      </c>
      <c r="C169" s="67" t="str">
        <f>IFERROR(__xludf.DUMMYFUNCTION("""COMPUTED_VALUE"""),"LD237")</f>
        <v>LD237</v>
      </c>
      <c r="D169" s="55" t="s">
        <v>188</v>
      </c>
      <c r="E169" s="55" t="s">
        <v>193</v>
      </c>
      <c r="F169" s="54"/>
      <c r="G169" s="44" t="s">
        <v>61</v>
      </c>
      <c r="H169" s="54"/>
      <c r="I169" s="54"/>
      <c r="J169" s="54"/>
      <c r="K169" s="55" t="s">
        <v>61</v>
      </c>
      <c r="L169" s="54"/>
      <c r="M169" s="54"/>
      <c r="N169" s="54"/>
      <c r="O169" s="54"/>
      <c r="P169" s="54"/>
      <c r="Q169" s="67" t="str">
        <f>IFERROR(__xludf.DUMMYFUNCTION("""COMPUTED_VALUE"""),"!!!")</f>
        <v>!!!</v>
      </c>
      <c r="R169" s="67" t="str">
        <f>IFERROR(__xludf.DUMMYFUNCTION("""COMPUTED_VALUE"""),"!!!")</f>
        <v>!!!</v>
      </c>
      <c r="S169" s="67" t="str">
        <f>IFERROR(__xludf.DUMMYFUNCTION("""COMPUTED_VALUE"""),"!!!")</f>
        <v>!!!</v>
      </c>
      <c r="T16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70">
      <c r="A170" s="72"/>
      <c r="B170" s="60" t="s">
        <v>6754</v>
      </c>
      <c r="C170" s="67" t="str">
        <f>IFERROR(__xludf.DUMMYFUNCTION("""COMPUTED_VALUE"""),"LD237")</f>
        <v>LD237</v>
      </c>
      <c r="D170" s="55" t="s">
        <v>188</v>
      </c>
      <c r="E170" s="55" t="s">
        <v>193</v>
      </c>
      <c r="F170" s="54"/>
      <c r="G170" s="44" t="s">
        <v>61</v>
      </c>
      <c r="H170" s="54"/>
      <c r="I170" s="54"/>
      <c r="J170" s="54"/>
      <c r="K170" s="55" t="s">
        <v>61</v>
      </c>
      <c r="L170" s="54"/>
      <c r="M170" s="54"/>
      <c r="N170" s="54"/>
      <c r="O170" s="54"/>
      <c r="P170" s="54"/>
      <c r="Q170" s="67" t="str">
        <f>IFERROR(__xludf.DUMMYFUNCTION("""COMPUTED_VALUE"""),"!!!")</f>
        <v>!!!</v>
      </c>
      <c r="R170" s="67" t="str">
        <f>IFERROR(__xludf.DUMMYFUNCTION("""COMPUTED_VALUE"""),"!!!")</f>
        <v>!!!</v>
      </c>
      <c r="S170" s="67" t="str">
        <f>IFERROR(__xludf.DUMMYFUNCTION("""COMPUTED_VALUE"""),"!!!")</f>
        <v>!!!</v>
      </c>
      <c r="T17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71">
      <c r="A171" s="72"/>
      <c r="B171" s="60" t="s">
        <v>6754</v>
      </c>
      <c r="C171" s="67" t="str">
        <f>IFERROR(__xludf.DUMMYFUNCTION("""COMPUTED_VALUE"""),"LD237")</f>
        <v>LD237</v>
      </c>
      <c r="D171" s="55" t="s">
        <v>188</v>
      </c>
      <c r="E171" s="55" t="s">
        <v>193</v>
      </c>
      <c r="F171" s="54"/>
      <c r="G171" s="44" t="s">
        <v>61</v>
      </c>
      <c r="H171" s="54"/>
      <c r="I171" s="54"/>
      <c r="J171" s="54"/>
      <c r="K171" s="55" t="s">
        <v>61</v>
      </c>
      <c r="L171" s="54"/>
      <c r="M171" s="54"/>
      <c r="N171" s="54"/>
      <c r="O171" s="54"/>
      <c r="P171" s="54"/>
      <c r="Q171" s="67" t="str">
        <f>IFERROR(__xludf.DUMMYFUNCTION("""COMPUTED_VALUE"""),"!!!")</f>
        <v>!!!</v>
      </c>
      <c r="R171" s="67" t="str">
        <f>IFERROR(__xludf.DUMMYFUNCTION("""COMPUTED_VALUE"""),"!!!")</f>
        <v>!!!</v>
      </c>
      <c r="S171" s="67" t="str">
        <f>IFERROR(__xludf.DUMMYFUNCTION("""COMPUTED_VALUE"""),"!!!")</f>
        <v>!!!</v>
      </c>
      <c r="T17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72">
      <c r="A172" s="72"/>
      <c r="B172" s="60" t="s">
        <v>6754</v>
      </c>
      <c r="C172" s="67" t="str">
        <f>IFERROR(__xludf.DUMMYFUNCTION("""COMPUTED_VALUE"""),"LD237")</f>
        <v>LD237</v>
      </c>
      <c r="D172" s="55" t="s">
        <v>188</v>
      </c>
      <c r="E172" s="55" t="s">
        <v>193</v>
      </c>
      <c r="F172" s="54"/>
      <c r="G172" s="44" t="s">
        <v>61</v>
      </c>
      <c r="H172" s="54"/>
      <c r="I172" s="54"/>
      <c r="J172" s="54"/>
      <c r="K172" s="55" t="s">
        <v>61</v>
      </c>
      <c r="L172" s="54"/>
      <c r="M172" s="54"/>
      <c r="N172" s="54"/>
      <c r="O172" s="54"/>
      <c r="P172" s="54"/>
      <c r="Q172" s="67" t="str">
        <f>IFERROR(__xludf.DUMMYFUNCTION("""COMPUTED_VALUE"""),"!!!")</f>
        <v>!!!</v>
      </c>
      <c r="R172" s="67" t="str">
        <f>IFERROR(__xludf.DUMMYFUNCTION("""COMPUTED_VALUE"""),"!!!")</f>
        <v>!!!</v>
      </c>
      <c r="S172" s="67" t="str">
        <f>IFERROR(__xludf.DUMMYFUNCTION("""COMPUTED_VALUE"""),"!!!")</f>
        <v>!!!</v>
      </c>
      <c r="T17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73">
      <c r="A173" s="72"/>
      <c r="B173" s="60" t="s">
        <v>6754</v>
      </c>
      <c r="C173" s="67" t="str">
        <f>IFERROR(__xludf.DUMMYFUNCTION("""COMPUTED_VALUE"""),"LD237")</f>
        <v>LD237</v>
      </c>
      <c r="D173" s="55" t="s">
        <v>188</v>
      </c>
      <c r="E173" s="55" t="s">
        <v>193</v>
      </c>
      <c r="F173" s="54"/>
      <c r="G173" s="44" t="s">
        <v>61</v>
      </c>
      <c r="H173" s="54"/>
      <c r="I173" s="54"/>
      <c r="J173" s="54"/>
      <c r="K173" s="55" t="s">
        <v>61</v>
      </c>
      <c r="L173" s="54"/>
      <c r="M173" s="54"/>
      <c r="N173" s="54"/>
      <c r="O173" s="54"/>
      <c r="P173" s="54"/>
      <c r="Q173" s="67" t="str">
        <f>IFERROR(__xludf.DUMMYFUNCTION("""COMPUTED_VALUE"""),"!!!")</f>
        <v>!!!</v>
      </c>
      <c r="R173" s="67" t="str">
        <f>IFERROR(__xludf.DUMMYFUNCTION("""COMPUTED_VALUE"""),"!!!")</f>
        <v>!!!</v>
      </c>
      <c r="S173" s="67" t="str">
        <f>IFERROR(__xludf.DUMMYFUNCTION("""COMPUTED_VALUE"""),"!!!")</f>
        <v>!!!</v>
      </c>
      <c r="T17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74">
      <c r="A174" s="72"/>
      <c r="B174" s="60" t="s">
        <v>6754</v>
      </c>
      <c r="C174" s="67" t="str">
        <f>IFERROR(__xludf.DUMMYFUNCTION("""COMPUTED_VALUE"""),"LD237")</f>
        <v>LD237</v>
      </c>
      <c r="D174" s="55" t="s">
        <v>188</v>
      </c>
      <c r="E174" s="55" t="s">
        <v>193</v>
      </c>
      <c r="F174" s="54"/>
      <c r="G174" s="44" t="s">
        <v>61</v>
      </c>
      <c r="H174" s="54"/>
      <c r="I174" s="54"/>
      <c r="J174" s="54"/>
      <c r="K174" s="55" t="s">
        <v>61</v>
      </c>
      <c r="L174" s="54"/>
      <c r="M174" s="54"/>
      <c r="N174" s="54"/>
      <c r="O174" s="54"/>
      <c r="P174" s="54"/>
      <c r="Q174" s="67" t="str">
        <f>IFERROR(__xludf.DUMMYFUNCTION("""COMPUTED_VALUE"""),"!!!")</f>
        <v>!!!</v>
      </c>
      <c r="R174" s="67" t="str">
        <f>IFERROR(__xludf.DUMMYFUNCTION("""COMPUTED_VALUE"""),"!!!")</f>
        <v>!!!</v>
      </c>
      <c r="S174" s="67" t="str">
        <f>IFERROR(__xludf.DUMMYFUNCTION("""COMPUTED_VALUE"""),"!!!")</f>
        <v>!!!</v>
      </c>
      <c r="T17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75">
      <c r="A175" s="72"/>
      <c r="B175" s="60" t="s">
        <v>6754</v>
      </c>
      <c r="C175" s="67" t="str">
        <f>IFERROR(__xludf.DUMMYFUNCTION("""COMPUTED_VALUE"""),"LD237")</f>
        <v>LD237</v>
      </c>
      <c r="D175" s="55" t="s">
        <v>188</v>
      </c>
      <c r="E175" s="55" t="s">
        <v>193</v>
      </c>
      <c r="F175" s="54"/>
      <c r="G175" s="44" t="s">
        <v>61</v>
      </c>
      <c r="H175" s="54"/>
      <c r="I175" s="54"/>
      <c r="J175" s="54"/>
      <c r="K175" s="55" t="s">
        <v>61</v>
      </c>
      <c r="L175" s="54"/>
      <c r="M175" s="54"/>
      <c r="N175" s="54"/>
      <c r="O175" s="54"/>
      <c r="P175" s="54"/>
      <c r="Q175" s="67" t="str">
        <f>IFERROR(__xludf.DUMMYFUNCTION("""COMPUTED_VALUE"""),"!!!")</f>
        <v>!!!</v>
      </c>
      <c r="R175" s="67" t="str">
        <f>IFERROR(__xludf.DUMMYFUNCTION("""COMPUTED_VALUE"""),"!!!")</f>
        <v>!!!</v>
      </c>
      <c r="S175" s="67" t="str">
        <f>IFERROR(__xludf.DUMMYFUNCTION("""COMPUTED_VALUE"""),"!!!")</f>
        <v>!!!</v>
      </c>
      <c r="T17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76">
      <c r="A176" s="72"/>
      <c r="B176" s="60" t="s">
        <v>6754</v>
      </c>
      <c r="C176" s="67" t="str">
        <f>IFERROR(__xludf.DUMMYFUNCTION("""COMPUTED_VALUE"""),"LD237")</f>
        <v>LD237</v>
      </c>
      <c r="D176" s="55" t="s">
        <v>188</v>
      </c>
      <c r="E176" s="55" t="s">
        <v>193</v>
      </c>
      <c r="F176" s="54"/>
      <c r="G176" s="44" t="s">
        <v>61</v>
      </c>
      <c r="H176" s="54"/>
      <c r="I176" s="54"/>
      <c r="J176" s="54"/>
      <c r="K176" s="55" t="s">
        <v>61</v>
      </c>
      <c r="L176" s="54"/>
      <c r="M176" s="54"/>
      <c r="N176" s="54"/>
      <c r="O176" s="54"/>
      <c r="P176" s="54"/>
      <c r="Q176" s="67" t="str">
        <f>IFERROR(__xludf.DUMMYFUNCTION("""COMPUTED_VALUE"""),"!!!")</f>
        <v>!!!</v>
      </c>
      <c r="R176" s="67" t="str">
        <f>IFERROR(__xludf.DUMMYFUNCTION("""COMPUTED_VALUE"""),"!!!")</f>
        <v>!!!</v>
      </c>
      <c r="S176" s="67" t="str">
        <f>IFERROR(__xludf.DUMMYFUNCTION("""COMPUTED_VALUE"""),"!!!")</f>
        <v>!!!</v>
      </c>
      <c r="T17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77">
      <c r="A177" s="72"/>
      <c r="B177" s="60" t="s">
        <v>6754</v>
      </c>
      <c r="C177" s="67" t="str">
        <f>IFERROR(__xludf.DUMMYFUNCTION("""COMPUTED_VALUE"""),"LD237")</f>
        <v>LD237</v>
      </c>
      <c r="D177" s="55" t="s">
        <v>188</v>
      </c>
      <c r="E177" s="55" t="s">
        <v>193</v>
      </c>
      <c r="F177" s="54"/>
      <c r="G177" s="44" t="s">
        <v>61</v>
      </c>
      <c r="H177" s="54"/>
      <c r="I177" s="54"/>
      <c r="J177" s="54"/>
      <c r="K177" s="55" t="s">
        <v>61</v>
      </c>
      <c r="L177" s="54"/>
      <c r="M177" s="54"/>
      <c r="N177" s="54"/>
      <c r="O177" s="54"/>
      <c r="P177" s="54"/>
      <c r="Q177" s="67" t="str">
        <f>IFERROR(__xludf.DUMMYFUNCTION("""COMPUTED_VALUE"""),"!!!")</f>
        <v>!!!</v>
      </c>
      <c r="R177" s="67" t="str">
        <f>IFERROR(__xludf.DUMMYFUNCTION("""COMPUTED_VALUE"""),"!!!")</f>
        <v>!!!</v>
      </c>
      <c r="S177" s="67" t="str">
        <f>IFERROR(__xludf.DUMMYFUNCTION("""COMPUTED_VALUE"""),"!!!")</f>
        <v>!!!</v>
      </c>
      <c r="T17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78">
      <c r="A178" s="72"/>
      <c r="B178" s="60" t="s">
        <v>6754</v>
      </c>
      <c r="C178" s="67" t="str">
        <f>IFERROR(__xludf.DUMMYFUNCTION("""COMPUTED_VALUE"""),"LD237")</f>
        <v>LD237</v>
      </c>
      <c r="D178" s="55" t="s">
        <v>188</v>
      </c>
      <c r="E178" s="55" t="s">
        <v>193</v>
      </c>
      <c r="F178" s="54"/>
      <c r="G178" s="44" t="s">
        <v>61</v>
      </c>
      <c r="H178" s="54"/>
      <c r="I178" s="54"/>
      <c r="J178" s="54"/>
      <c r="K178" s="55" t="s">
        <v>61</v>
      </c>
      <c r="L178" s="54"/>
      <c r="M178" s="54"/>
      <c r="N178" s="54"/>
      <c r="O178" s="54"/>
      <c r="P178" s="54"/>
      <c r="Q178" s="67" t="str">
        <f>IFERROR(__xludf.DUMMYFUNCTION("""COMPUTED_VALUE"""),"!!!")</f>
        <v>!!!</v>
      </c>
      <c r="R178" s="67" t="str">
        <f>IFERROR(__xludf.DUMMYFUNCTION("""COMPUTED_VALUE"""),"!!!")</f>
        <v>!!!</v>
      </c>
      <c r="S178" s="67" t="str">
        <f>IFERROR(__xludf.DUMMYFUNCTION("""COMPUTED_VALUE"""),"!!!")</f>
        <v>!!!</v>
      </c>
      <c r="T17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79">
      <c r="A179" s="72"/>
      <c r="B179" s="60" t="s">
        <v>6754</v>
      </c>
      <c r="C179" s="67" t="str">
        <f>IFERROR(__xludf.DUMMYFUNCTION("""COMPUTED_VALUE"""),"LD237")</f>
        <v>LD237</v>
      </c>
      <c r="D179" s="55" t="s">
        <v>188</v>
      </c>
      <c r="E179" s="55" t="s">
        <v>193</v>
      </c>
      <c r="F179" s="54"/>
      <c r="G179" s="44" t="s">
        <v>61</v>
      </c>
      <c r="H179" s="54"/>
      <c r="I179" s="54"/>
      <c r="J179" s="54"/>
      <c r="K179" s="55" t="s">
        <v>61</v>
      </c>
      <c r="L179" s="54"/>
      <c r="M179" s="54"/>
      <c r="N179" s="54"/>
      <c r="O179" s="54"/>
      <c r="P179" s="54"/>
      <c r="Q179" s="67" t="str">
        <f>IFERROR(__xludf.DUMMYFUNCTION("""COMPUTED_VALUE"""),"!!!")</f>
        <v>!!!</v>
      </c>
      <c r="R179" s="67" t="str">
        <f>IFERROR(__xludf.DUMMYFUNCTION("""COMPUTED_VALUE"""),"!!!")</f>
        <v>!!!</v>
      </c>
      <c r="S179" s="67" t="str">
        <f>IFERROR(__xludf.DUMMYFUNCTION("""COMPUTED_VALUE"""),"!!!")</f>
        <v>!!!</v>
      </c>
      <c r="T17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80">
      <c r="A180" s="72"/>
      <c r="B180" s="60" t="s">
        <v>6754</v>
      </c>
      <c r="C180" s="67" t="str">
        <f>IFERROR(__xludf.DUMMYFUNCTION("""COMPUTED_VALUE"""),"LD237")</f>
        <v>LD237</v>
      </c>
      <c r="D180" s="55" t="s">
        <v>188</v>
      </c>
      <c r="E180" s="55" t="s">
        <v>193</v>
      </c>
      <c r="F180" s="54"/>
      <c r="G180" s="44" t="s">
        <v>61</v>
      </c>
      <c r="H180" s="54"/>
      <c r="I180" s="54"/>
      <c r="J180" s="54"/>
      <c r="K180" s="55" t="s">
        <v>61</v>
      </c>
      <c r="L180" s="54"/>
      <c r="M180" s="54"/>
      <c r="N180" s="54"/>
      <c r="O180" s="54"/>
      <c r="P180" s="54"/>
      <c r="Q180" s="67" t="str">
        <f>IFERROR(__xludf.DUMMYFUNCTION("""COMPUTED_VALUE"""),"!!!")</f>
        <v>!!!</v>
      </c>
      <c r="R180" s="67" t="str">
        <f>IFERROR(__xludf.DUMMYFUNCTION("""COMPUTED_VALUE"""),"!!!")</f>
        <v>!!!</v>
      </c>
      <c r="S180" s="67" t="str">
        <f>IFERROR(__xludf.DUMMYFUNCTION("""COMPUTED_VALUE"""),"!!!")</f>
        <v>!!!</v>
      </c>
      <c r="T18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81">
      <c r="A181" s="72"/>
      <c r="B181" s="60" t="s">
        <v>6754</v>
      </c>
      <c r="C181" s="67" t="str">
        <f>IFERROR(__xludf.DUMMYFUNCTION("""COMPUTED_VALUE"""),"LD237")</f>
        <v>LD237</v>
      </c>
      <c r="D181" s="55" t="s">
        <v>188</v>
      </c>
      <c r="E181" s="55" t="s">
        <v>193</v>
      </c>
      <c r="F181" s="54"/>
      <c r="G181" s="44" t="s">
        <v>61</v>
      </c>
      <c r="H181" s="54"/>
      <c r="I181" s="54"/>
      <c r="J181" s="54"/>
      <c r="K181" s="55" t="s">
        <v>61</v>
      </c>
      <c r="L181" s="54"/>
      <c r="M181" s="54"/>
      <c r="N181" s="54"/>
      <c r="O181" s="54"/>
      <c r="P181" s="54"/>
      <c r="Q181" s="67" t="str">
        <f>IFERROR(__xludf.DUMMYFUNCTION("""COMPUTED_VALUE"""),"!!!")</f>
        <v>!!!</v>
      </c>
      <c r="R181" s="67" t="str">
        <f>IFERROR(__xludf.DUMMYFUNCTION("""COMPUTED_VALUE"""),"!!!")</f>
        <v>!!!</v>
      </c>
      <c r="S181" s="67" t="str">
        <f>IFERROR(__xludf.DUMMYFUNCTION("""COMPUTED_VALUE"""),"!!!")</f>
        <v>!!!</v>
      </c>
      <c r="T18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82">
      <c r="A182" s="72"/>
      <c r="B182" s="60" t="s">
        <v>6754</v>
      </c>
      <c r="C182" s="67" t="str">
        <f>IFERROR(__xludf.DUMMYFUNCTION("""COMPUTED_VALUE"""),"LD237")</f>
        <v>LD237</v>
      </c>
      <c r="D182" s="55" t="s">
        <v>188</v>
      </c>
      <c r="E182" s="55" t="s">
        <v>193</v>
      </c>
      <c r="F182" s="54"/>
      <c r="G182" s="44" t="s">
        <v>61</v>
      </c>
      <c r="H182" s="54"/>
      <c r="I182" s="54"/>
      <c r="J182" s="54"/>
      <c r="K182" s="55" t="s">
        <v>61</v>
      </c>
      <c r="L182" s="54"/>
      <c r="M182" s="54"/>
      <c r="N182" s="54"/>
      <c r="O182" s="54"/>
      <c r="P182" s="54"/>
      <c r="Q182" s="67" t="str">
        <f>IFERROR(__xludf.DUMMYFUNCTION("""COMPUTED_VALUE"""),"!!!")</f>
        <v>!!!</v>
      </c>
      <c r="R182" s="67" t="str">
        <f>IFERROR(__xludf.DUMMYFUNCTION("""COMPUTED_VALUE"""),"!!!")</f>
        <v>!!!</v>
      </c>
      <c r="S182" s="67" t="str">
        <f>IFERROR(__xludf.DUMMYFUNCTION("""COMPUTED_VALUE"""),"!!!")</f>
        <v>!!!</v>
      </c>
      <c r="T18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83">
      <c r="A183" s="72"/>
      <c r="B183" s="60" t="s">
        <v>6754</v>
      </c>
      <c r="C183" s="67" t="str">
        <f>IFERROR(__xludf.DUMMYFUNCTION("""COMPUTED_VALUE"""),"LD237")</f>
        <v>LD237</v>
      </c>
      <c r="D183" s="55" t="s">
        <v>188</v>
      </c>
      <c r="E183" s="55" t="s">
        <v>193</v>
      </c>
      <c r="F183" s="54"/>
      <c r="G183" s="44" t="s">
        <v>61</v>
      </c>
      <c r="H183" s="54"/>
      <c r="I183" s="54"/>
      <c r="J183" s="54"/>
      <c r="K183" s="55" t="s">
        <v>61</v>
      </c>
      <c r="L183" s="54"/>
      <c r="M183" s="54"/>
      <c r="N183" s="54"/>
      <c r="O183" s="54"/>
      <c r="P183" s="54"/>
      <c r="Q183" s="67" t="str">
        <f>IFERROR(__xludf.DUMMYFUNCTION("""COMPUTED_VALUE"""),"!!!")</f>
        <v>!!!</v>
      </c>
      <c r="R183" s="67" t="str">
        <f>IFERROR(__xludf.DUMMYFUNCTION("""COMPUTED_VALUE"""),"!!!")</f>
        <v>!!!</v>
      </c>
      <c r="S183" s="67" t="str">
        <f>IFERROR(__xludf.DUMMYFUNCTION("""COMPUTED_VALUE"""),"!!!")</f>
        <v>!!!</v>
      </c>
      <c r="T18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84">
      <c r="A184" s="72"/>
      <c r="B184" s="60" t="s">
        <v>6754</v>
      </c>
      <c r="C184" s="67" t="str">
        <f>IFERROR(__xludf.DUMMYFUNCTION("""COMPUTED_VALUE"""),"LD237")</f>
        <v>LD237</v>
      </c>
      <c r="D184" s="55" t="s">
        <v>188</v>
      </c>
      <c r="E184" s="55" t="s">
        <v>193</v>
      </c>
      <c r="F184" s="54"/>
      <c r="G184" s="44" t="s">
        <v>61</v>
      </c>
      <c r="H184" s="54"/>
      <c r="I184" s="54"/>
      <c r="J184" s="54"/>
      <c r="K184" s="55" t="s">
        <v>61</v>
      </c>
      <c r="L184" s="54"/>
      <c r="M184" s="54"/>
      <c r="N184" s="54"/>
      <c r="O184" s="54"/>
      <c r="P184" s="54"/>
      <c r="Q184" s="67" t="str">
        <f>IFERROR(__xludf.DUMMYFUNCTION("""COMPUTED_VALUE"""),"!!!")</f>
        <v>!!!</v>
      </c>
      <c r="R184" s="67" t="str">
        <f>IFERROR(__xludf.DUMMYFUNCTION("""COMPUTED_VALUE"""),"!!!")</f>
        <v>!!!</v>
      </c>
      <c r="S184" s="67" t="str">
        <f>IFERROR(__xludf.DUMMYFUNCTION("""COMPUTED_VALUE"""),"!!!")</f>
        <v>!!!</v>
      </c>
      <c r="T18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85">
      <c r="A185" s="72"/>
      <c r="B185" s="60" t="s">
        <v>6754</v>
      </c>
      <c r="C185" s="67" t="str">
        <f>IFERROR(__xludf.DUMMYFUNCTION("""COMPUTED_VALUE"""),"LD237")</f>
        <v>LD237</v>
      </c>
      <c r="D185" s="55" t="s">
        <v>188</v>
      </c>
      <c r="E185" s="55" t="s">
        <v>193</v>
      </c>
      <c r="F185" s="54"/>
      <c r="G185" s="44" t="s">
        <v>61</v>
      </c>
      <c r="H185" s="54"/>
      <c r="I185" s="54"/>
      <c r="J185" s="54"/>
      <c r="K185" s="55" t="s">
        <v>61</v>
      </c>
      <c r="L185" s="54"/>
      <c r="M185" s="54"/>
      <c r="N185" s="54"/>
      <c r="O185" s="54"/>
      <c r="P185" s="54"/>
      <c r="Q185" s="67" t="str">
        <f>IFERROR(__xludf.DUMMYFUNCTION("""COMPUTED_VALUE"""),"!!!")</f>
        <v>!!!</v>
      </c>
      <c r="R185" s="67" t="str">
        <f>IFERROR(__xludf.DUMMYFUNCTION("""COMPUTED_VALUE"""),"!!!")</f>
        <v>!!!</v>
      </c>
      <c r="S185" s="67" t="str">
        <f>IFERROR(__xludf.DUMMYFUNCTION("""COMPUTED_VALUE"""),"!!!")</f>
        <v>!!!</v>
      </c>
      <c r="T18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86">
      <c r="A186" s="72"/>
      <c r="B186" s="60" t="s">
        <v>6754</v>
      </c>
      <c r="C186" s="67" t="str">
        <f>IFERROR(__xludf.DUMMYFUNCTION("""COMPUTED_VALUE"""),"LD237")</f>
        <v>LD237</v>
      </c>
      <c r="D186" s="55" t="s">
        <v>188</v>
      </c>
      <c r="E186" s="55" t="s">
        <v>193</v>
      </c>
      <c r="F186" s="54"/>
      <c r="G186" s="44" t="s">
        <v>61</v>
      </c>
      <c r="H186" s="54"/>
      <c r="I186" s="54"/>
      <c r="J186" s="54"/>
      <c r="K186" s="55" t="s">
        <v>61</v>
      </c>
      <c r="L186" s="54"/>
      <c r="M186" s="54"/>
      <c r="N186" s="54"/>
      <c r="O186" s="54"/>
      <c r="P186" s="54"/>
      <c r="Q186" s="67" t="str">
        <f>IFERROR(__xludf.DUMMYFUNCTION("""COMPUTED_VALUE"""),"!!!")</f>
        <v>!!!</v>
      </c>
      <c r="R186" s="67" t="str">
        <f>IFERROR(__xludf.DUMMYFUNCTION("""COMPUTED_VALUE"""),"!!!")</f>
        <v>!!!</v>
      </c>
      <c r="S186" s="67" t="str">
        <f>IFERROR(__xludf.DUMMYFUNCTION("""COMPUTED_VALUE"""),"!!!")</f>
        <v>!!!</v>
      </c>
      <c r="T18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87">
      <c r="A187" s="72"/>
      <c r="B187" s="60" t="s">
        <v>6754</v>
      </c>
      <c r="C187" s="67" t="str">
        <f>IFERROR(__xludf.DUMMYFUNCTION("""COMPUTED_VALUE"""),"LD237")</f>
        <v>LD237</v>
      </c>
      <c r="D187" s="55" t="s">
        <v>188</v>
      </c>
      <c r="E187" s="55" t="s">
        <v>193</v>
      </c>
      <c r="F187" s="54"/>
      <c r="G187" s="44" t="s">
        <v>61</v>
      </c>
      <c r="H187" s="54"/>
      <c r="I187" s="54"/>
      <c r="J187" s="54"/>
      <c r="K187" s="55" t="s">
        <v>61</v>
      </c>
      <c r="L187" s="54"/>
      <c r="M187" s="54"/>
      <c r="N187" s="54"/>
      <c r="O187" s="54"/>
      <c r="P187" s="54"/>
      <c r="Q187" s="67" t="str">
        <f>IFERROR(__xludf.DUMMYFUNCTION("""COMPUTED_VALUE"""),"!!!")</f>
        <v>!!!</v>
      </c>
      <c r="R187" s="67" t="str">
        <f>IFERROR(__xludf.DUMMYFUNCTION("""COMPUTED_VALUE"""),"!!!")</f>
        <v>!!!</v>
      </c>
      <c r="S187" s="67" t="str">
        <f>IFERROR(__xludf.DUMMYFUNCTION("""COMPUTED_VALUE"""),"!!!")</f>
        <v>!!!</v>
      </c>
      <c r="T18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88">
      <c r="A188" s="72"/>
      <c r="B188" s="60" t="s">
        <v>6754</v>
      </c>
      <c r="C188" s="67" t="str">
        <f>IFERROR(__xludf.DUMMYFUNCTION("""COMPUTED_VALUE"""),"LD237")</f>
        <v>LD237</v>
      </c>
      <c r="D188" s="55" t="s">
        <v>188</v>
      </c>
      <c r="E188" s="55" t="s">
        <v>193</v>
      </c>
      <c r="F188" s="54"/>
      <c r="G188" s="44" t="s">
        <v>61</v>
      </c>
      <c r="H188" s="54"/>
      <c r="I188" s="54"/>
      <c r="J188" s="54"/>
      <c r="K188" s="55" t="s">
        <v>61</v>
      </c>
      <c r="L188" s="54"/>
      <c r="M188" s="54"/>
      <c r="N188" s="54"/>
      <c r="O188" s="54"/>
      <c r="P188" s="54"/>
      <c r="Q188" s="67" t="str">
        <f>IFERROR(__xludf.DUMMYFUNCTION("""COMPUTED_VALUE"""),"!!!")</f>
        <v>!!!</v>
      </c>
      <c r="R188" s="67" t="str">
        <f>IFERROR(__xludf.DUMMYFUNCTION("""COMPUTED_VALUE"""),"!!!")</f>
        <v>!!!</v>
      </c>
      <c r="S188" s="67" t="str">
        <f>IFERROR(__xludf.DUMMYFUNCTION("""COMPUTED_VALUE"""),"!!!")</f>
        <v>!!!</v>
      </c>
      <c r="T18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89">
      <c r="A189" s="72"/>
      <c r="B189" s="60" t="s">
        <v>6754</v>
      </c>
      <c r="C189" s="67" t="str">
        <f>IFERROR(__xludf.DUMMYFUNCTION("""COMPUTED_VALUE"""),"LD237")</f>
        <v>LD237</v>
      </c>
      <c r="D189" s="55" t="s">
        <v>188</v>
      </c>
      <c r="E189" s="55" t="s">
        <v>193</v>
      </c>
      <c r="F189" s="54"/>
      <c r="G189" s="44" t="s">
        <v>61</v>
      </c>
      <c r="H189" s="54"/>
      <c r="I189" s="54"/>
      <c r="J189" s="54"/>
      <c r="K189" s="55" t="s">
        <v>61</v>
      </c>
      <c r="L189" s="54"/>
      <c r="M189" s="54"/>
      <c r="N189" s="54"/>
      <c r="O189" s="54"/>
      <c r="P189" s="54"/>
      <c r="Q189" s="67" t="str">
        <f>IFERROR(__xludf.DUMMYFUNCTION("""COMPUTED_VALUE"""),"!!!")</f>
        <v>!!!</v>
      </c>
      <c r="R189" s="67" t="str">
        <f>IFERROR(__xludf.DUMMYFUNCTION("""COMPUTED_VALUE"""),"!!!")</f>
        <v>!!!</v>
      </c>
      <c r="S189" s="67" t="str">
        <f>IFERROR(__xludf.DUMMYFUNCTION("""COMPUTED_VALUE"""),"!!!")</f>
        <v>!!!</v>
      </c>
      <c r="T18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90">
      <c r="A190" s="72"/>
      <c r="B190" s="60" t="s">
        <v>6754</v>
      </c>
      <c r="C190" s="67" t="str">
        <f>IFERROR(__xludf.DUMMYFUNCTION("""COMPUTED_VALUE"""),"LD237")</f>
        <v>LD237</v>
      </c>
      <c r="D190" s="55" t="s">
        <v>188</v>
      </c>
      <c r="E190" s="55" t="s">
        <v>193</v>
      </c>
      <c r="F190" s="54"/>
      <c r="G190" s="44" t="s">
        <v>61</v>
      </c>
      <c r="H190" s="54"/>
      <c r="I190" s="54"/>
      <c r="J190" s="54"/>
      <c r="K190" s="55" t="s">
        <v>61</v>
      </c>
      <c r="L190" s="54"/>
      <c r="M190" s="54"/>
      <c r="N190" s="54"/>
      <c r="O190" s="54"/>
      <c r="P190" s="54"/>
      <c r="Q190" s="67" t="str">
        <f>IFERROR(__xludf.DUMMYFUNCTION("""COMPUTED_VALUE"""),"!!!")</f>
        <v>!!!</v>
      </c>
      <c r="R190" s="67" t="str">
        <f>IFERROR(__xludf.DUMMYFUNCTION("""COMPUTED_VALUE"""),"!!!")</f>
        <v>!!!</v>
      </c>
      <c r="S190" s="67" t="str">
        <f>IFERROR(__xludf.DUMMYFUNCTION("""COMPUTED_VALUE"""),"!!!")</f>
        <v>!!!</v>
      </c>
      <c r="T19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91">
      <c r="A191" s="72"/>
      <c r="B191" s="60" t="s">
        <v>6754</v>
      </c>
      <c r="C191" s="67" t="str">
        <f>IFERROR(__xludf.DUMMYFUNCTION("""COMPUTED_VALUE"""),"LD237")</f>
        <v>LD237</v>
      </c>
      <c r="D191" s="55" t="s">
        <v>188</v>
      </c>
      <c r="E191" s="55" t="s">
        <v>193</v>
      </c>
      <c r="F191" s="54"/>
      <c r="G191" s="44" t="s">
        <v>61</v>
      </c>
      <c r="H191" s="54"/>
      <c r="I191" s="54"/>
      <c r="J191" s="54"/>
      <c r="K191" s="55" t="s">
        <v>61</v>
      </c>
      <c r="L191" s="54"/>
      <c r="M191" s="54"/>
      <c r="N191" s="54"/>
      <c r="O191" s="54"/>
      <c r="P191" s="54"/>
      <c r="Q191" s="67" t="str">
        <f>IFERROR(__xludf.DUMMYFUNCTION("""COMPUTED_VALUE"""),"!!!")</f>
        <v>!!!</v>
      </c>
      <c r="R191" s="67" t="str">
        <f>IFERROR(__xludf.DUMMYFUNCTION("""COMPUTED_VALUE"""),"!!!")</f>
        <v>!!!</v>
      </c>
      <c r="S191" s="67" t="str">
        <f>IFERROR(__xludf.DUMMYFUNCTION("""COMPUTED_VALUE"""),"!!!")</f>
        <v>!!!</v>
      </c>
      <c r="T19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92">
      <c r="A192" s="72"/>
      <c r="B192" s="60" t="s">
        <v>6754</v>
      </c>
      <c r="C192" s="67" t="str">
        <f>IFERROR(__xludf.DUMMYFUNCTION("""COMPUTED_VALUE"""),"LD237")</f>
        <v>LD237</v>
      </c>
      <c r="D192" s="55" t="s">
        <v>188</v>
      </c>
      <c r="E192" s="55" t="s">
        <v>193</v>
      </c>
      <c r="F192" s="54"/>
      <c r="G192" s="44" t="s">
        <v>61</v>
      </c>
      <c r="H192" s="54"/>
      <c r="I192" s="54"/>
      <c r="J192" s="54"/>
      <c r="K192" s="55" t="s">
        <v>61</v>
      </c>
      <c r="L192" s="54"/>
      <c r="M192" s="54"/>
      <c r="N192" s="54"/>
      <c r="O192" s="54"/>
      <c r="P192" s="54"/>
      <c r="Q192" s="67" t="str">
        <f>IFERROR(__xludf.DUMMYFUNCTION("""COMPUTED_VALUE"""),"!!!")</f>
        <v>!!!</v>
      </c>
      <c r="R192" s="67" t="str">
        <f>IFERROR(__xludf.DUMMYFUNCTION("""COMPUTED_VALUE"""),"!!!")</f>
        <v>!!!</v>
      </c>
      <c r="S192" s="67" t="str">
        <f>IFERROR(__xludf.DUMMYFUNCTION("""COMPUTED_VALUE"""),"!!!")</f>
        <v>!!!</v>
      </c>
      <c r="T19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93">
      <c r="A193" s="72"/>
      <c r="B193" s="60" t="s">
        <v>6754</v>
      </c>
      <c r="C193" s="67" t="str">
        <f>IFERROR(__xludf.DUMMYFUNCTION("""COMPUTED_VALUE"""),"LD237")</f>
        <v>LD237</v>
      </c>
      <c r="D193" s="55" t="s">
        <v>188</v>
      </c>
      <c r="E193" s="55" t="s">
        <v>193</v>
      </c>
      <c r="F193" s="54"/>
      <c r="G193" s="44" t="s">
        <v>61</v>
      </c>
      <c r="H193" s="54"/>
      <c r="I193" s="54"/>
      <c r="J193" s="54"/>
      <c r="K193" s="55" t="s">
        <v>61</v>
      </c>
      <c r="L193" s="54"/>
      <c r="M193" s="54"/>
      <c r="N193" s="54"/>
      <c r="O193" s="54"/>
      <c r="P193" s="54"/>
      <c r="Q193" s="67" t="str">
        <f>IFERROR(__xludf.DUMMYFUNCTION("""COMPUTED_VALUE"""),"!!!")</f>
        <v>!!!</v>
      </c>
      <c r="R193" s="67" t="str">
        <f>IFERROR(__xludf.DUMMYFUNCTION("""COMPUTED_VALUE"""),"!!!")</f>
        <v>!!!</v>
      </c>
      <c r="S193" s="67" t="str">
        <f>IFERROR(__xludf.DUMMYFUNCTION("""COMPUTED_VALUE"""),"!!!")</f>
        <v>!!!</v>
      </c>
      <c r="T19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94">
      <c r="A194" s="72"/>
      <c r="B194" s="60" t="s">
        <v>6754</v>
      </c>
      <c r="C194" s="67" t="str">
        <f>IFERROR(__xludf.DUMMYFUNCTION("""COMPUTED_VALUE"""),"LD237")</f>
        <v>LD237</v>
      </c>
      <c r="D194" s="55" t="s">
        <v>188</v>
      </c>
      <c r="E194" s="55" t="s">
        <v>193</v>
      </c>
      <c r="F194" s="54"/>
      <c r="G194" s="44" t="s">
        <v>61</v>
      </c>
      <c r="H194" s="54"/>
      <c r="I194" s="54"/>
      <c r="J194" s="54"/>
      <c r="K194" s="55" t="s">
        <v>61</v>
      </c>
      <c r="L194" s="54"/>
      <c r="M194" s="54"/>
      <c r="N194" s="54"/>
      <c r="O194" s="54"/>
      <c r="P194" s="54"/>
      <c r="Q194" s="67" t="str">
        <f>IFERROR(__xludf.DUMMYFUNCTION("""COMPUTED_VALUE"""),"!!!")</f>
        <v>!!!</v>
      </c>
      <c r="R194" s="67" t="str">
        <f>IFERROR(__xludf.DUMMYFUNCTION("""COMPUTED_VALUE"""),"!!!")</f>
        <v>!!!</v>
      </c>
      <c r="S194" s="67" t="str">
        <f>IFERROR(__xludf.DUMMYFUNCTION("""COMPUTED_VALUE"""),"!!!")</f>
        <v>!!!</v>
      </c>
      <c r="T19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95">
      <c r="A195" s="72"/>
      <c r="B195" s="60" t="s">
        <v>6754</v>
      </c>
      <c r="C195" s="67" t="str">
        <f>IFERROR(__xludf.DUMMYFUNCTION("""COMPUTED_VALUE"""),"LD237")</f>
        <v>LD237</v>
      </c>
      <c r="D195" s="55" t="s">
        <v>188</v>
      </c>
      <c r="E195" s="55" t="s">
        <v>193</v>
      </c>
      <c r="F195" s="54"/>
      <c r="G195" s="44" t="s">
        <v>61</v>
      </c>
      <c r="H195" s="54"/>
      <c r="I195" s="54"/>
      <c r="J195" s="54"/>
      <c r="K195" s="55" t="s">
        <v>61</v>
      </c>
      <c r="L195" s="54"/>
      <c r="M195" s="54"/>
      <c r="N195" s="54"/>
      <c r="O195" s="54"/>
      <c r="P195" s="54"/>
      <c r="Q195" s="67" t="str">
        <f>IFERROR(__xludf.DUMMYFUNCTION("""COMPUTED_VALUE"""),"!!!")</f>
        <v>!!!</v>
      </c>
      <c r="R195" s="67" t="str">
        <f>IFERROR(__xludf.DUMMYFUNCTION("""COMPUTED_VALUE"""),"!!!")</f>
        <v>!!!</v>
      </c>
      <c r="S195" s="67" t="str">
        <f>IFERROR(__xludf.DUMMYFUNCTION("""COMPUTED_VALUE"""),"!!!")</f>
        <v>!!!</v>
      </c>
      <c r="T19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96">
      <c r="A196" s="72"/>
      <c r="B196" s="60" t="s">
        <v>6754</v>
      </c>
      <c r="C196" s="67" t="str">
        <f>IFERROR(__xludf.DUMMYFUNCTION("""COMPUTED_VALUE"""),"LD237")</f>
        <v>LD237</v>
      </c>
      <c r="D196" s="55" t="s">
        <v>188</v>
      </c>
      <c r="E196" s="55" t="s">
        <v>193</v>
      </c>
      <c r="F196" s="54"/>
      <c r="G196" s="44" t="s">
        <v>61</v>
      </c>
      <c r="H196" s="54"/>
      <c r="I196" s="54"/>
      <c r="J196" s="54"/>
      <c r="K196" s="55" t="s">
        <v>61</v>
      </c>
      <c r="L196" s="54"/>
      <c r="M196" s="54"/>
      <c r="N196" s="54"/>
      <c r="O196" s="54"/>
      <c r="P196" s="54"/>
      <c r="Q196" s="67" t="str">
        <f>IFERROR(__xludf.DUMMYFUNCTION("""COMPUTED_VALUE"""),"!!!")</f>
        <v>!!!</v>
      </c>
      <c r="R196" s="67" t="str">
        <f>IFERROR(__xludf.DUMMYFUNCTION("""COMPUTED_VALUE"""),"!!!")</f>
        <v>!!!</v>
      </c>
      <c r="S196" s="67" t="str">
        <f>IFERROR(__xludf.DUMMYFUNCTION("""COMPUTED_VALUE"""),"!!!")</f>
        <v>!!!</v>
      </c>
      <c r="T19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97">
      <c r="A197" s="72"/>
      <c r="B197" s="60" t="s">
        <v>6754</v>
      </c>
      <c r="C197" s="67" t="str">
        <f>IFERROR(__xludf.DUMMYFUNCTION("""COMPUTED_VALUE"""),"LD237")</f>
        <v>LD237</v>
      </c>
      <c r="D197" s="55" t="s">
        <v>188</v>
      </c>
      <c r="E197" s="55" t="s">
        <v>193</v>
      </c>
      <c r="F197" s="54"/>
      <c r="G197" s="44" t="s">
        <v>61</v>
      </c>
      <c r="H197" s="54"/>
      <c r="I197" s="54"/>
      <c r="J197" s="54"/>
      <c r="K197" s="55" t="s">
        <v>61</v>
      </c>
      <c r="L197" s="54"/>
      <c r="M197" s="54"/>
      <c r="N197" s="54"/>
      <c r="O197" s="54"/>
      <c r="P197" s="54"/>
      <c r="Q197" s="67" t="str">
        <f>IFERROR(__xludf.DUMMYFUNCTION("""COMPUTED_VALUE"""),"!!!")</f>
        <v>!!!</v>
      </c>
      <c r="R197" s="67" t="str">
        <f>IFERROR(__xludf.DUMMYFUNCTION("""COMPUTED_VALUE"""),"!!!")</f>
        <v>!!!</v>
      </c>
      <c r="S197" s="67" t="str">
        <f>IFERROR(__xludf.DUMMYFUNCTION("""COMPUTED_VALUE"""),"!!!")</f>
        <v>!!!</v>
      </c>
      <c r="T19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98">
      <c r="A198" s="72"/>
      <c r="B198" s="60" t="s">
        <v>6754</v>
      </c>
      <c r="C198" s="67" t="str">
        <f>IFERROR(__xludf.DUMMYFUNCTION("""COMPUTED_VALUE"""),"LD237")</f>
        <v>LD237</v>
      </c>
      <c r="D198" s="55" t="s">
        <v>188</v>
      </c>
      <c r="E198" s="55" t="s">
        <v>193</v>
      </c>
      <c r="F198" s="54"/>
      <c r="G198" s="44" t="s">
        <v>61</v>
      </c>
      <c r="H198" s="54"/>
      <c r="I198" s="54"/>
      <c r="J198" s="54"/>
      <c r="K198" s="55" t="s">
        <v>61</v>
      </c>
      <c r="L198" s="54"/>
      <c r="M198" s="54"/>
      <c r="N198" s="54"/>
      <c r="O198" s="54"/>
      <c r="P198" s="54"/>
      <c r="Q198" s="67" t="str">
        <f>IFERROR(__xludf.DUMMYFUNCTION("""COMPUTED_VALUE"""),"!!!")</f>
        <v>!!!</v>
      </c>
      <c r="R198" s="67" t="str">
        <f>IFERROR(__xludf.DUMMYFUNCTION("""COMPUTED_VALUE"""),"!!!")</f>
        <v>!!!</v>
      </c>
      <c r="S198" s="67" t="str">
        <f>IFERROR(__xludf.DUMMYFUNCTION("""COMPUTED_VALUE"""),"!!!")</f>
        <v>!!!</v>
      </c>
      <c r="T19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199">
      <c r="A199" s="72"/>
      <c r="B199" s="60" t="s">
        <v>6754</v>
      </c>
      <c r="C199" s="67" t="str">
        <f>IFERROR(__xludf.DUMMYFUNCTION("""COMPUTED_VALUE"""),"LD237")</f>
        <v>LD237</v>
      </c>
      <c r="D199" s="55" t="s">
        <v>188</v>
      </c>
      <c r="E199" s="55" t="s">
        <v>193</v>
      </c>
      <c r="F199" s="54"/>
      <c r="G199" s="44" t="s">
        <v>61</v>
      </c>
      <c r="H199" s="54"/>
      <c r="I199" s="54"/>
      <c r="J199" s="54"/>
      <c r="K199" s="55" t="s">
        <v>61</v>
      </c>
      <c r="L199" s="54"/>
      <c r="M199" s="54"/>
      <c r="N199" s="54"/>
      <c r="O199" s="54"/>
      <c r="P199" s="54"/>
      <c r="Q199" s="67" t="str">
        <f>IFERROR(__xludf.DUMMYFUNCTION("""COMPUTED_VALUE"""),"!!!")</f>
        <v>!!!</v>
      </c>
      <c r="R199" s="67" t="str">
        <f>IFERROR(__xludf.DUMMYFUNCTION("""COMPUTED_VALUE"""),"!!!")</f>
        <v>!!!</v>
      </c>
      <c r="S199" s="67" t="str">
        <f>IFERROR(__xludf.DUMMYFUNCTION("""COMPUTED_VALUE"""),"!!!")</f>
        <v>!!!</v>
      </c>
      <c r="T19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00">
      <c r="A200" s="72"/>
      <c r="B200" s="60" t="s">
        <v>6754</v>
      </c>
      <c r="C200" s="67" t="str">
        <f>IFERROR(__xludf.DUMMYFUNCTION("""COMPUTED_VALUE"""),"LD237")</f>
        <v>LD237</v>
      </c>
      <c r="D200" s="55" t="s">
        <v>188</v>
      </c>
      <c r="E200" s="55" t="s">
        <v>193</v>
      </c>
      <c r="F200" s="54"/>
      <c r="G200" s="44" t="s">
        <v>61</v>
      </c>
      <c r="H200" s="54"/>
      <c r="I200" s="54"/>
      <c r="J200" s="54"/>
      <c r="K200" s="55" t="s">
        <v>61</v>
      </c>
      <c r="L200" s="54"/>
      <c r="M200" s="54"/>
      <c r="N200" s="54"/>
      <c r="O200" s="54"/>
      <c r="P200" s="54"/>
      <c r="Q200" s="67" t="str">
        <f>IFERROR(__xludf.DUMMYFUNCTION("""COMPUTED_VALUE"""),"!!!")</f>
        <v>!!!</v>
      </c>
      <c r="R200" s="67" t="str">
        <f>IFERROR(__xludf.DUMMYFUNCTION("""COMPUTED_VALUE"""),"!!!")</f>
        <v>!!!</v>
      </c>
      <c r="S200" s="67" t="str">
        <f>IFERROR(__xludf.DUMMYFUNCTION("""COMPUTED_VALUE"""),"!!!")</f>
        <v>!!!</v>
      </c>
      <c r="T20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01">
      <c r="A201" s="72"/>
      <c r="B201" s="60" t="s">
        <v>6754</v>
      </c>
      <c r="C201" s="67" t="str">
        <f>IFERROR(__xludf.DUMMYFUNCTION("""COMPUTED_VALUE"""),"LD237")</f>
        <v>LD237</v>
      </c>
      <c r="D201" s="55" t="s">
        <v>188</v>
      </c>
      <c r="E201" s="55" t="s">
        <v>193</v>
      </c>
      <c r="F201" s="54"/>
      <c r="G201" s="44" t="s">
        <v>61</v>
      </c>
      <c r="H201" s="54"/>
      <c r="I201" s="54"/>
      <c r="J201" s="54"/>
      <c r="K201" s="55" t="s">
        <v>61</v>
      </c>
      <c r="L201" s="54"/>
      <c r="M201" s="54"/>
      <c r="N201" s="54"/>
      <c r="O201" s="54"/>
      <c r="P201" s="54"/>
      <c r="Q201" s="67" t="str">
        <f>IFERROR(__xludf.DUMMYFUNCTION("""COMPUTED_VALUE"""),"!!!")</f>
        <v>!!!</v>
      </c>
      <c r="R201" s="67" t="str">
        <f>IFERROR(__xludf.DUMMYFUNCTION("""COMPUTED_VALUE"""),"!!!")</f>
        <v>!!!</v>
      </c>
      <c r="S201" s="67" t="str">
        <f>IFERROR(__xludf.DUMMYFUNCTION("""COMPUTED_VALUE"""),"!!!")</f>
        <v>!!!</v>
      </c>
      <c r="T20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02">
      <c r="A202" s="72"/>
      <c r="B202" s="60" t="s">
        <v>6754</v>
      </c>
      <c r="C202" s="67" t="str">
        <f>IFERROR(__xludf.DUMMYFUNCTION("""COMPUTED_VALUE"""),"LD237")</f>
        <v>LD237</v>
      </c>
      <c r="D202" s="55" t="s">
        <v>188</v>
      </c>
      <c r="E202" s="55" t="s">
        <v>193</v>
      </c>
      <c r="F202" s="54"/>
      <c r="G202" s="44" t="s">
        <v>61</v>
      </c>
      <c r="H202" s="54"/>
      <c r="I202" s="54"/>
      <c r="J202" s="54"/>
      <c r="K202" s="55" t="s">
        <v>61</v>
      </c>
      <c r="L202" s="54"/>
      <c r="M202" s="54"/>
      <c r="N202" s="54"/>
      <c r="O202" s="54"/>
      <c r="P202" s="54"/>
      <c r="Q202" s="67" t="str">
        <f>IFERROR(__xludf.DUMMYFUNCTION("""COMPUTED_VALUE"""),"!!!")</f>
        <v>!!!</v>
      </c>
      <c r="R202" s="67" t="str">
        <f>IFERROR(__xludf.DUMMYFUNCTION("""COMPUTED_VALUE"""),"!!!")</f>
        <v>!!!</v>
      </c>
      <c r="S202" s="67" t="str">
        <f>IFERROR(__xludf.DUMMYFUNCTION("""COMPUTED_VALUE"""),"!!!")</f>
        <v>!!!</v>
      </c>
      <c r="T20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03">
      <c r="A203" s="72"/>
      <c r="B203" s="60" t="s">
        <v>6754</v>
      </c>
      <c r="C203" s="67" t="str">
        <f>IFERROR(__xludf.DUMMYFUNCTION("""COMPUTED_VALUE"""),"LD237")</f>
        <v>LD237</v>
      </c>
      <c r="D203" s="55" t="s">
        <v>188</v>
      </c>
      <c r="E203" s="55" t="s">
        <v>193</v>
      </c>
      <c r="F203" s="54"/>
      <c r="G203" s="44" t="s">
        <v>61</v>
      </c>
      <c r="H203" s="54"/>
      <c r="I203" s="54"/>
      <c r="J203" s="54"/>
      <c r="K203" s="55" t="s">
        <v>61</v>
      </c>
      <c r="L203" s="54"/>
      <c r="M203" s="54"/>
      <c r="N203" s="54"/>
      <c r="O203" s="54"/>
      <c r="P203" s="54"/>
      <c r="Q203" s="67" t="str">
        <f>IFERROR(__xludf.DUMMYFUNCTION("""COMPUTED_VALUE"""),"!!!")</f>
        <v>!!!</v>
      </c>
      <c r="R203" s="67" t="str">
        <f>IFERROR(__xludf.DUMMYFUNCTION("""COMPUTED_VALUE"""),"!!!")</f>
        <v>!!!</v>
      </c>
      <c r="S203" s="67" t="str">
        <f>IFERROR(__xludf.DUMMYFUNCTION("""COMPUTED_VALUE"""),"!!!")</f>
        <v>!!!</v>
      </c>
      <c r="T20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04">
      <c r="A204" s="72"/>
      <c r="B204" s="60" t="s">
        <v>6754</v>
      </c>
      <c r="C204" s="67" t="str">
        <f>IFERROR(__xludf.DUMMYFUNCTION("""COMPUTED_VALUE"""),"LD237")</f>
        <v>LD237</v>
      </c>
      <c r="D204" s="55" t="s">
        <v>188</v>
      </c>
      <c r="E204" s="55" t="s">
        <v>193</v>
      </c>
      <c r="F204" s="54"/>
      <c r="G204" s="44" t="s">
        <v>61</v>
      </c>
      <c r="H204" s="54"/>
      <c r="I204" s="54"/>
      <c r="J204" s="54"/>
      <c r="K204" s="55" t="s">
        <v>61</v>
      </c>
      <c r="L204" s="54"/>
      <c r="M204" s="54"/>
      <c r="N204" s="54"/>
      <c r="O204" s="54"/>
      <c r="P204" s="54"/>
      <c r="Q204" s="67" t="str">
        <f>IFERROR(__xludf.DUMMYFUNCTION("""COMPUTED_VALUE"""),"!!!")</f>
        <v>!!!</v>
      </c>
      <c r="R204" s="67" t="str">
        <f>IFERROR(__xludf.DUMMYFUNCTION("""COMPUTED_VALUE"""),"!!!")</f>
        <v>!!!</v>
      </c>
      <c r="S204" s="67" t="str">
        <f>IFERROR(__xludf.DUMMYFUNCTION("""COMPUTED_VALUE"""),"!!!")</f>
        <v>!!!</v>
      </c>
      <c r="T20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05">
      <c r="A205" s="72"/>
      <c r="B205" s="60" t="s">
        <v>6754</v>
      </c>
      <c r="C205" s="67" t="str">
        <f>IFERROR(__xludf.DUMMYFUNCTION("""COMPUTED_VALUE"""),"LD237")</f>
        <v>LD237</v>
      </c>
      <c r="D205" s="55" t="s">
        <v>188</v>
      </c>
      <c r="E205" s="55" t="s">
        <v>193</v>
      </c>
      <c r="F205" s="54"/>
      <c r="G205" s="44" t="s">
        <v>61</v>
      </c>
      <c r="H205" s="54"/>
      <c r="I205" s="54"/>
      <c r="J205" s="54"/>
      <c r="K205" s="55" t="s">
        <v>61</v>
      </c>
      <c r="L205" s="54"/>
      <c r="M205" s="54"/>
      <c r="N205" s="54"/>
      <c r="O205" s="54"/>
      <c r="P205" s="54"/>
      <c r="Q205" s="67" t="str">
        <f>IFERROR(__xludf.DUMMYFUNCTION("""COMPUTED_VALUE"""),"!!!")</f>
        <v>!!!</v>
      </c>
      <c r="R205" s="67" t="str">
        <f>IFERROR(__xludf.DUMMYFUNCTION("""COMPUTED_VALUE"""),"!!!")</f>
        <v>!!!</v>
      </c>
      <c r="S205" s="67" t="str">
        <f>IFERROR(__xludf.DUMMYFUNCTION("""COMPUTED_VALUE"""),"!!!")</f>
        <v>!!!</v>
      </c>
      <c r="T20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06">
      <c r="A206" s="72"/>
      <c r="B206" s="60" t="s">
        <v>6754</v>
      </c>
      <c r="C206" s="67" t="str">
        <f>IFERROR(__xludf.DUMMYFUNCTION("""COMPUTED_VALUE"""),"LD237")</f>
        <v>LD237</v>
      </c>
      <c r="D206" s="55" t="s">
        <v>188</v>
      </c>
      <c r="E206" s="55" t="s">
        <v>193</v>
      </c>
      <c r="F206" s="54"/>
      <c r="G206" s="44" t="s">
        <v>61</v>
      </c>
      <c r="H206" s="54"/>
      <c r="I206" s="54"/>
      <c r="J206" s="54"/>
      <c r="K206" s="55" t="s">
        <v>61</v>
      </c>
      <c r="L206" s="54"/>
      <c r="M206" s="54"/>
      <c r="N206" s="54"/>
      <c r="O206" s="54"/>
      <c r="P206" s="54"/>
      <c r="Q206" s="67" t="str">
        <f>IFERROR(__xludf.DUMMYFUNCTION("""COMPUTED_VALUE"""),"!!!")</f>
        <v>!!!</v>
      </c>
      <c r="R206" s="67" t="str">
        <f>IFERROR(__xludf.DUMMYFUNCTION("""COMPUTED_VALUE"""),"!!!")</f>
        <v>!!!</v>
      </c>
      <c r="S206" s="67" t="str">
        <f>IFERROR(__xludf.DUMMYFUNCTION("""COMPUTED_VALUE"""),"!!!")</f>
        <v>!!!</v>
      </c>
      <c r="T20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07">
      <c r="A207" s="72"/>
      <c r="B207" s="60" t="s">
        <v>6754</v>
      </c>
      <c r="C207" s="67" t="str">
        <f>IFERROR(__xludf.DUMMYFUNCTION("""COMPUTED_VALUE"""),"LD237")</f>
        <v>LD237</v>
      </c>
      <c r="D207" s="55" t="s">
        <v>188</v>
      </c>
      <c r="E207" s="55" t="s">
        <v>193</v>
      </c>
      <c r="F207" s="54"/>
      <c r="G207" s="44" t="s">
        <v>61</v>
      </c>
      <c r="H207" s="54"/>
      <c r="I207" s="54"/>
      <c r="J207" s="54"/>
      <c r="K207" s="55" t="s">
        <v>61</v>
      </c>
      <c r="L207" s="54"/>
      <c r="M207" s="54"/>
      <c r="N207" s="54"/>
      <c r="O207" s="54"/>
      <c r="P207" s="54"/>
      <c r="Q207" s="67" t="str">
        <f>IFERROR(__xludf.DUMMYFUNCTION("""COMPUTED_VALUE"""),"!!!")</f>
        <v>!!!</v>
      </c>
      <c r="R207" s="67" t="str">
        <f>IFERROR(__xludf.DUMMYFUNCTION("""COMPUTED_VALUE"""),"!!!")</f>
        <v>!!!</v>
      </c>
      <c r="S207" s="67" t="str">
        <f>IFERROR(__xludf.DUMMYFUNCTION("""COMPUTED_VALUE"""),"!!!")</f>
        <v>!!!</v>
      </c>
      <c r="T20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08">
      <c r="A208" s="72"/>
      <c r="B208" s="60" t="s">
        <v>6754</v>
      </c>
      <c r="C208" s="67" t="str">
        <f>IFERROR(__xludf.DUMMYFUNCTION("""COMPUTED_VALUE"""),"LD237")</f>
        <v>LD237</v>
      </c>
      <c r="D208" s="55" t="s">
        <v>188</v>
      </c>
      <c r="E208" s="55" t="s">
        <v>193</v>
      </c>
      <c r="F208" s="54"/>
      <c r="G208" s="44" t="s">
        <v>61</v>
      </c>
      <c r="H208" s="54"/>
      <c r="I208" s="54"/>
      <c r="J208" s="54"/>
      <c r="K208" s="55" t="s">
        <v>61</v>
      </c>
      <c r="L208" s="54"/>
      <c r="M208" s="54"/>
      <c r="N208" s="54"/>
      <c r="O208" s="54"/>
      <c r="P208" s="54"/>
      <c r="Q208" s="67" t="str">
        <f>IFERROR(__xludf.DUMMYFUNCTION("""COMPUTED_VALUE"""),"!!!")</f>
        <v>!!!</v>
      </c>
      <c r="R208" s="67" t="str">
        <f>IFERROR(__xludf.DUMMYFUNCTION("""COMPUTED_VALUE"""),"!!!")</f>
        <v>!!!</v>
      </c>
      <c r="S208" s="67" t="str">
        <f>IFERROR(__xludf.DUMMYFUNCTION("""COMPUTED_VALUE"""),"!!!")</f>
        <v>!!!</v>
      </c>
      <c r="T20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09">
      <c r="A209" s="72"/>
      <c r="B209" s="60" t="s">
        <v>6754</v>
      </c>
      <c r="C209" s="67" t="str">
        <f>IFERROR(__xludf.DUMMYFUNCTION("""COMPUTED_VALUE"""),"LD237")</f>
        <v>LD237</v>
      </c>
      <c r="D209" s="55" t="s">
        <v>188</v>
      </c>
      <c r="E209" s="55" t="s">
        <v>193</v>
      </c>
      <c r="F209" s="54"/>
      <c r="G209" s="44" t="s">
        <v>61</v>
      </c>
      <c r="H209" s="54"/>
      <c r="I209" s="54"/>
      <c r="J209" s="54"/>
      <c r="K209" s="55" t="s">
        <v>61</v>
      </c>
      <c r="L209" s="54"/>
      <c r="M209" s="54"/>
      <c r="N209" s="54"/>
      <c r="O209" s="54"/>
      <c r="P209" s="54"/>
      <c r="Q209" s="67" t="str">
        <f>IFERROR(__xludf.DUMMYFUNCTION("""COMPUTED_VALUE"""),"!!!")</f>
        <v>!!!</v>
      </c>
      <c r="R209" s="67" t="str">
        <f>IFERROR(__xludf.DUMMYFUNCTION("""COMPUTED_VALUE"""),"!!!")</f>
        <v>!!!</v>
      </c>
      <c r="S209" s="67" t="str">
        <f>IFERROR(__xludf.DUMMYFUNCTION("""COMPUTED_VALUE"""),"!!!")</f>
        <v>!!!</v>
      </c>
      <c r="T20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10">
      <c r="A210" s="72"/>
      <c r="B210" s="60" t="s">
        <v>6754</v>
      </c>
      <c r="C210" s="67" t="str">
        <f>IFERROR(__xludf.DUMMYFUNCTION("""COMPUTED_VALUE"""),"LD237")</f>
        <v>LD237</v>
      </c>
      <c r="D210" s="55" t="s">
        <v>188</v>
      </c>
      <c r="E210" s="55" t="s">
        <v>193</v>
      </c>
      <c r="F210" s="54"/>
      <c r="G210" s="44" t="s">
        <v>61</v>
      </c>
      <c r="H210" s="54"/>
      <c r="I210" s="54"/>
      <c r="J210" s="54"/>
      <c r="K210" s="55" t="s">
        <v>61</v>
      </c>
      <c r="L210" s="54"/>
      <c r="M210" s="54"/>
      <c r="N210" s="54"/>
      <c r="O210" s="54"/>
      <c r="P210" s="54"/>
      <c r="Q210" s="67" t="str">
        <f>IFERROR(__xludf.DUMMYFUNCTION("""COMPUTED_VALUE"""),"!!!")</f>
        <v>!!!</v>
      </c>
      <c r="R210" s="67" t="str">
        <f>IFERROR(__xludf.DUMMYFUNCTION("""COMPUTED_VALUE"""),"!!!")</f>
        <v>!!!</v>
      </c>
      <c r="S210" s="67" t="str">
        <f>IFERROR(__xludf.DUMMYFUNCTION("""COMPUTED_VALUE"""),"!!!")</f>
        <v>!!!</v>
      </c>
      <c r="T21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11">
      <c r="A211" s="72"/>
      <c r="B211" s="60" t="s">
        <v>6754</v>
      </c>
      <c r="C211" s="67" t="str">
        <f>IFERROR(__xludf.DUMMYFUNCTION("""COMPUTED_VALUE"""),"LD237")</f>
        <v>LD237</v>
      </c>
      <c r="D211" s="55" t="s">
        <v>188</v>
      </c>
      <c r="E211" s="55" t="s">
        <v>193</v>
      </c>
      <c r="F211" s="54"/>
      <c r="G211" s="44" t="s">
        <v>61</v>
      </c>
      <c r="H211" s="54"/>
      <c r="I211" s="54"/>
      <c r="J211" s="54"/>
      <c r="K211" s="55" t="s">
        <v>61</v>
      </c>
      <c r="L211" s="54"/>
      <c r="M211" s="54"/>
      <c r="N211" s="54"/>
      <c r="O211" s="54"/>
      <c r="P211" s="54"/>
      <c r="Q211" s="67" t="str">
        <f>IFERROR(__xludf.DUMMYFUNCTION("""COMPUTED_VALUE"""),"!!!")</f>
        <v>!!!</v>
      </c>
      <c r="R211" s="67" t="str">
        <f>IFERROR(__xludf.DUMMYFUNCTION("""COMPUTED_VALUE"""),"!!!")</f>
        <v>!!!</v>
      </c>
      <c r="S211" s="67" t="str">
        <f>IFERROR(__xludf.DUMMYFUNCTION("""COMPUTED_VALUE"""),"!!!")</f>
        <v>!!!</v>
      </c>
      <c r="T21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12">
      <c r="A212" s="72"/>
      <c r="B212" s="60" t="s">
        <v>6754</v>
      </c>
      <c r="C212" s="67" t="str">
        <f>IFERROR(__xludf.DUMMYFUNCTION("""COMPUTED_VALUE"""),"LD237")</f>
        <v>LD237</v>
      </c>
      <c r="D212" s="55" t="s">
        <v>188</v>
      </c>
      <c r="E212" s="55" t="s">
        <v>193</v>
      </c>
      <c r="F212" s="54"/>
      <c r="G212" s="44" t="s">
        <v>61</v>
      </c>
      <c r="H212" s="54"/>
      <c r="I212" s="54"/>
      <c r="J212" s="54"/>
      <c r="K212" s="55" t="s">
        <v>61</v>
      </c>
      <c r="L212" s="54"/>
      <c r="M212" s="54"/>
      <c r="N212" s="54"/>
      <c r="O212" s="54"/>
      <c r="P212" s="54"/>
      <c r="Q212" s="67" t="str">
        <f>IFERROR(__xludf.DUMMYFUNCTION("""COMPUTED_VALUE"""),"!!!")</f>
        <v>!!!</v>
      </c>
      <c r="R212" s="67" t="str">
        <f>IFERROR(__xludf.DUMMYFUNCTION("""COMPUTED_VALUE"""),"!!!")</f>
        <v>!!!</v>
      </c>
      <c r="S212" s="67" t="str">
        <f>IFERROR(__xludf.DUMMYFUNCTION("""COMPUTED_VALUE"""),"!!!")</f>
        <v>!!!</v>
      </c>
      <c r="T21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13">
      <c r="A213" s="72"/>
      <c r="B213" s="60" t="s">
        <v>6754</v>
      </c>
      <c r="C213" s="67" t="str">
        <f>IFERROR(__xludf.DUMMYFUNCTION("""COMPUTED_VALUE"""),"LD237")</f>
        <v>LD237</v>
      </c>
      <c r="D213" s="55" t="s">
        <v>188</v>
      </c>
      <c r="E213" s="55" t="s">
        <v>193</v>
      </c>
      <c r="F213" s="54"/>
      <c r="G213" s="44" t="s">
        <v>61</v>
      </c>
      <c r="H213" s="54"/>
      <c r="I213" s="54"/>
      <c r="J213" s="54"/>
      <c r="K213" s="55" t="s">
        <v>61</v>
      </c>
      <c r="L213" s="54"/>
      <c r="M213" s="54"/>
      <c r="N213" s="54"/>
      <c r="O213" s="54"/>
      <c r="P213" s="54"/>
      <c r="Q213" s="67" t="str">
        <f>IFERROR(__xludf.DUMMYFUNCTION("""COMPUTED_VALUE"""),"!!!")</f>
        <v>!!!</v>
      </c>
      <c r="R213" s="67" t="str">
        <f>IFERROR(__xludf.DUMMYFUNCTION("""COMPUTED_VALUE"""),"!!!")</f>
        <v>!!!</v>
      </c>
      <c r="S213" s="67" t="str">
        <f>IFERROR(__xludf.DUMMYFUNCTION("""COMPUTED_VALUE"""),"!!!")</f>
        <v>!!!</v>
      </c>
      <c r="T21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14">
      <c r="A214" s="72"/>
      <c r="B214" s="60" t="s">
        <v>6754</v>
      </c>
      <c r="C214" s="67" t="str">
        <f>IFERROR(__xludf.DUMMYFUNCTION("""COMPUTED_VALUE"""),"LD237")</f>
        <v>LD237</v>
      </c>
      <c r="D214" s="55" t="s">
        <v>188</v>
      </c>
      <c r="E214" s="55" t="s">
        <v>193</v>
      </c>
      <c r="F214" s="54"/>
      <c r="G214" s="44" t="s">
        <v>61</v>
      </c>
      <c r="H214" s="54"/>
      <c r="I214" s="54"/>
      <c r="J214" s="54"/>
      <c r="K214" s="55" t="s">
        <v>61</v>
      </c>
      <c r="L214" s="54"/>
      <c r="M214" s="54"/>
      <c r="N214" s="54"/>
      <c r="O214" s="54"/>
      <c r="P214" s="54"/>
      <c r="Q214" s="67" t="str">
        <f>IFERROR(__xludf.DUMMYFUNCTION("""COMPUTED_VALUE"""),"!!!")</f>
        <v>!!!</v>
      </c>
      <c r="R214" s="67" t="str">
        <f>IFERROR(__xludf.DUMMYFUNCTION("""COMPUTED_VALUE"""),"!!!")</f>
        <v>!!!</v>
      </c>
      <c r="S214" s="67" t="str">
        <f>IFERROR(__xludf.DUMMYFUNCTION("""COMPUTED_VALUE"""),"!!!")</f>
        <v>!!!</v>
      </c>
      <c r="T21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15">
      <c r="A215" s="72"/>
      <c r="B215" s="60" t="s">
        <v>6754</v>
      </c>
      <c r="C215" s="67" t="str">
        <f>IFERROR(__xludf.DUMMYFUNCTION("""COMPUTED_VALUE"""),"LD237")</f>
        <v>LD237</v>
      </c>
      <c r="D215" s="55" t="s">
        <v>188</v>
      </c>
      <c r="E215" s="55" t="s">
        <v>193</v>
      </c>
      <c r="F215" s="54"/>
      <c r="G215" s="44" t="s">
        <v>61</v>
      </c>
      <c r="H215" s="54"/>
      <c r="I215" s="54"/>
      <c r="J215" s="54"/>
      <c r="K215" s="55" t="s">
        <v>61</v>
      </c>
      <c r="L215" s="54"/>
      <c r="M215" s="54"/>
      <c r="N215" s="54"/>
      <c r="O215" s="54"/>
      <c r="P215" s="54"/>
      <c r="Q215" s="67" t="str">
        <f>IFERROR(__xludf.DUMMYFUNCTION("""COMPUTED_VALUE"""),"!!!")</f>
        <v>!!!</v>
      </c>
      <c r="R215" s="67" t="str">
        <f>IFERROR(__xludf.DUMMYFUNCTION("""COMPUTED_VALUE"""),"!!!")</f>
        <v>!!!</v>
      </c>
      <c r="S215" s="67" t="str">
        <f>IFERROR(__xludf.DUMMYFUNCTION("""COMPUTED_VALUE"""),"!!!")</f>
        <v>!!!</v>
      </c>
      <c r="T21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16">
      <c r="A216" s="72"/>
      <c r="B216" s="60" t="s">
        <v>6754</v>
      </c>
      <c r="C216" s="67" t="str">
        <f>IFERROR(__xludf.DUMMYFUNCTION("""COMPUTED_VALUE"""),"LD237")</f>
        <v>LD237</v>
      </c>
      <c r="D216" s="55" t="s">
        <v>188</v>
      </c>
      <c r="E216" s="55" t="s">
        <v>193</v>
      </c>
      <c r="F216" s="54"/>
      <c r="G216" s="44" t="s">
        <v>61</v>
      </c>
      <c r="H216" s="54"/>
      <c r="I216" s="54"/>
      <c r="J216" s="54"/>
      <c r="K216" s="55" t="s">
        <v>61</v>
      </c>
      <c r="L216" s="54"/>
      <c r="M216" s="54"/>
      <c r="N216" s="54"/>
      <c r="O216" s="54"/>
      <c r="P216" s="54"/>
      <c r="Q216" s="67" t="str">
        <f>IFERROR(__xludf.DUMMYFUNCTION("""COMPUTED_VALUE"""),"!!!")</f>
        <v>!!!</v>
      </c>
      <c r="R216" s="67" t="str">
        <f>IFERROR(__xludf.DUMMYFUNCTION("""COMPUTED_VALUE"""),"!!!")</f>
        <v>!!!</v>
      </c>
      <c r="S216" s="67" t="str">
        <f>IFERROR(__xludf.DUMMYFUNCTION("""COMPUTED_VALUE"""),"!!!")</f>
        <v>!!!</v>
      </c>
      <c r="T21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17">
      <c r="A217" s="72"/>
      <c r="B217" s="60" t="s">
        <v>6754</v>
      </c>
      <c r="C217" s="67" t="str">
        <f>IFERROR(__xludf.DUMMYFUNCTION("""COMPUTED_VALUE"""),"LD237")</f>
        <v>LD237</v>
      </c>
      <c r="D217" s="55" t="s">
        <v>188</v>
      </c>
      <c r="E217" s="55" t="s">
        <v>193</v>
      </c>
      <c r="F217" s="54"/>
      <c r="G217" s="44" t="s">
        <v>61</v>
      </c>
      <c r="H217" s="54"/>
      <c r="I217" s="54"/>
      <c r="J217" s="54"/>
      <c r="K217" s="55" t="s">
        <v>61</v>
      </c>
      <c r="L217" s="54"/>
      <c r="M217" s="54"/>
      <c r="N217" s="54"/>
      <c r="O217" s="54"/>
      <c r="P217" s="54"/>
      <c r="Q217" s="67" t="str">
        <f>IFERROR(__xludf.DUMMYFUNCTION("""COMPUTED_VALUE"""),"!!!")</f>
        <v>!!!</v>
      </c>
      <c r="R217" s="67" t="str">
        <f>IFERROR(__xludf.DUMMYFUNCTION("""COMPUTED_VALUE"""),"!!!")</f>
        <v>!!!</v>
      </c>
      <c r="S217" s="67" t="str">
        <f>IFERROR(__xludf.DUMMYFUNCTION("""COMPUTED_VALUE"""),"!!!")</f>
        <v>!!!</v>
      </c>
      <c r="T21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18">
      <c r="A218" s="72"/>
      <c r="B218" s="60" t="s">
        <v>6754</v>
      </c>
      <c r="C218" s="67" t="str">
        <f>IFERROR(__xludf.DUMMYFUNCTION("""COMPUTED_VALUE"""),"LD237")</f>
        <v>LD237</v>
      </c>
      <c r="D218" s="55" t="s">
        <v>188</v>
      </c>
      <c r="E218" s="55" t="s">
        <v>193</v>
      </c>
      <c r="F218" s="54"/>
      <c r="G218" s="44" t="s">
        <v>61</v>
      </c>
      <c r="H218" s="54"/>
      <c r="I218" s="54"/>
      <c r="J218" s="54"/>
      <c r="K218" s="55" t="s">
        <v>61</v>
      </c>
      <c r="L218" s="54"/>
      <c r="M218" s="54"/>
      <c r="N218" s="54"/>
      <c r="O218" s="54"/>
      <c r="P218" s="54"/>
      <c r="Q218" s="67" t="str">
        <f>IFERROR(__xludf.DUMMYFUNCTION("""COMPUTED_VALUE"""),"!!!")</f>
        <v>!!!</v>
      </c>
      <c r="R218" s="67" t="str">
        <f>IFERROR(__xludf.DUMMYFUNCTION("""COMPUTED_VALUE"""),"!!!")</f>
        <v>!!!</v>
      </c>
      <c r="S218" s="67" t="str">
        <f>IFERROR(__xludf.DUMMYFUNCTION("""COMPUTED_VALUE"""),"!!!")</f>
        <v>!!!</v>
      </c>
      <c r="T21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19">
      <c r="A219" s="72"/>
      <c r="B219" s="60" t="s">
        <v>6754</v>
      </c>
      <c r="C219" s="67" t="str">
        <f>IFERROR(__xludf.DUMMYFUNCTION("""COMPUTED_VALUE"""),"LD237")</f>
        <v>LD237</v>
      </c>
      <c r="D219" s="55" t="s">
        <v>188</v>
      </c>
      <c r="E219" s="55" t="s">
        <v>193</v>
      </c>
      <c r="F219" s="54"/>
      <c r="G219" s="44" t="s">
        <v>61</v>
      </c>
      <c r="H219" s="54"/>
      <c r="I219" s="54"/>
      <c r="J219" s="54"/>
      <c r="K219" s="55" t="s">
        <v>61</v>
      </c>
      <c r="L219" s="54"/>
      <c r="M219" s="54"/>
      <c r="N219" s="54"/>
      <c r="O219" s="54"/>
      <c r="P219" s="54"/>
      <c r="Q219" s="67" t="str">
        <f>IFERROR(__xludf.DUMMYFUNCTION("""COMPUTED_VALUE"""),"!!!")</f>
        <v>!!!</v>
      </c>
      <c r="R219" s="67" t="str">
        <f>IFERROR(__xludf.DUMMYFUNCTION("""COMPUTED_VALUE"""),"!!!")</f>
        <v>!!!</v>
      </c>
      <c r="S219" s="67" t="str">
        <f>IFERROR(__xludf.DUMMYFUNCTION("""COMPUTED_VALUE"""),"!!!")</f>
        <v>!!!</v>
      </c>
      <c r="T21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20">
      <c r="A220" s="72"/>
      <c r="B220" s="60" t="s">
        <v>6754</v>
      </c>
      <c r="C220" s="67" t="str">
        <f>IFERROR(__xludf.DUMMYFUNCTION("""COMPUTED_VALUE"""),"LD237")</f>
        <v>LD237</v>
      </c>
      <c r="D220" s="55" t="s">
        <v>188</v>
      </c>
      <c r="E220" s="55" t="s">
        <v>193</v>
      </c>
      <c r="F220" s="54"/>
      <c r="G220" s="44" t="s">
        <v>61</v>
      </c>
      <c r="H220" s="54"/>
      <c r="I220" s="54"/>
      <c r="J220" s="54"/>
      <c r="K220" s="55" t="s">
        <v>61</v>
      </c>
      <c r="L220" s="54"/>
      <c r="M220" s="54"/>
      <c r="N220" s="54"/>
      <c r="O220" s="54"/>
      <c r="P220" s="54"/>
      <c r="Q220" s="67" t="str">
        <f>IFERROR(__xludf.DUMMYFUNCTION("""COMPUTED_VALUE"""),"!!!")</f>
        <v>!!!</v>
      </c>
      <c r="R220" s="67" t="str">
        <f>IFERROR(__xludf.DUMMYFUNCTION("""COMPUTED_VALUE"""),"!!!")</f>
        <v>!!!</v>
      </c>
      <c r="S220" s="67" t="str">
        <f>IFERROR(__xludf.DUMMYFUNCTION("""COMPUTED_VALUE"""),"!!!")</f>
        <v>!!!</v>
      </c>
      <c r="T22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21">
      <c r="A221" s="72"/>
      <c r="B221" s="60" t="s">
        <v>6754</v>
      </c>
      <c r="C221" s="67" t="str">
        <f>IFERROR(__xludf.DUMMYFUNCTION("""COMPUTED_VALUE"""),"LD237")</f>
        <v>LD237</v>
      </c>
      <c r="D221" s="55" t="s">
        <v>188</v>
      </c>
      <c r="E221" s="55" t="s">
        <v>193</v>
      </c>
      <c r="F221" s="54"/>
      <c r="G221" s="44" t="s">
        <v>61</v>
      </c>
      <c r="H221" s="54"/>
      <c r="I221" s="54"/>
      <c r="J221" s="54"/>
      <c r="K221" s="55" t="s">
        <v>61</v>
      </c>
      <c r="L221" s="54"/>
      <c r="M221" s="54"/>
      <c r="N221" s="54"/>
      <c r="O221" s="54"/>
      <c r="P221" s="54"/>
      <c r="Q221" s="67" t="str">
        <f>IFERROR(__xludf.DUMMYFUNCTION("""COMPUTED_VALUE"""),"!!!")</f>
        <v>!!!</v>
      </c>
      <c r="R221" s="67" t="str">
        <f>IFERROR(__xludf.DUMMYFUNCTION("""COMPUTED_VALUE"""),"!!!")</f>
        <v>!!!</v>
      </c>
      <c r="S221" s="67" t="str">
        <f>IFERROR(__xludf.DUMMYFUNCTION("""COMPUTED_VALUE"""),"!!!")</f>
        <v>!!!</v>
      </c>
      <c r="T22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22">
      <c r="A222" s="72"/>
      <c r="B222" s="60" t="s">
        <v>6754</v>
      </c>
      <c r="C222" s="67" t="str">
        <f>IFERROR(__xludf.DUMMYFUNCTION("""COMPUTED_VALUE"""),"LD237")</f>
        <v>LD237</v>
      </c>
      <c r="D222" s="55" t="s">
        <v>188</v>
      </c>
      <c r="E222" s="55" t="s">
        <v>193</v>
      </c>
      <c r="F222" s="54"/>
      <c r="G222" s="44" t="s">
        <v>61</v>
      </c>
      <c r="H222" s="54"/>
      <c r="I222" s="54"/>
      <c r="J222" s="54"/>
      <c r="K222" s="55" t="s">
        <v>61</v>
      </c>
      <c r="L222" s="54"/>
      <c r="M222" s="54"/>
      <c r="N222" s="54"/>
      <c r="O222" s="54"/>
      <c r="P222" s="54"/>
      <c r="Q222" s="67" t="str">
        <f>IFERROR(__xludf.DUMMYFUNCTION("""COMPUTED_VALUE"""),"!!!")</f>
        <v>!!!</v>
      </c>
      <c r="R222" s="67" t="str">
        <f>IFERROR(__xludf.DUMMYFUNCTION("""COMPUTED_VALUE"""),"!!!")</f>
        <v>!!!</v>
      </c>
      <c r="S222" s="67" t="str">
        <f>IFERROR(__xludf.DUMMYFUNCTION("""COMPUTED_VALUE"""),"!!!")</f>
        <v>!!!</v>
      </c>
      <c r="T22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23">
      <c r="A223" s="72"/>
      <c r="B223" s="60" t="s">
        <v>6754</v>
      </c>
      <c r="C223" s="67" t="str">
        <f>IFERROR(__xludf.DUMMYFUNCTION("""COMPUTED_VALUE"""),"LD237")</f>
        <v>LD237</v>
      </c>
      <c r="D223" s="55" t="s">
        <v>188</v>
      </c>
      <c r="E223" s="55" t="s">
        <v>193</v>
      </c>
      <c r="F223" s="54"/>
      <c r="G223" s="44" t="s">
        <v>61</v>
      </c>
      <c r="H223" s="54"/>
      <c r="I223" s="54"/>
      <c r="J223" s="54"/>
      <c r="K223" s="55" t="s">
        <v>61</v>
      </c>
      <c r="L223" s="54"/>
      <c r="M223" s="54"/>
      <c r="N223" s="54"/>
      <c r="O223" s="54"/>
      <c r="P223" s="54"/>
      <c r="Q223" s="67" t="str">
        <f>IFERROR(__xludf.DUMMYFUNCTION("""COMPUTED_VALUE"""),"!!!")</f>
        <v>!!!</v>
      </c>
      <c r="R223" s="67" t="str">
        <f>IFERROR(__xludf.DUMMYFUNCTION("""COMPUTED_VALUE"""),"!!!")</f>
        <v>!!!</v>
      </c>
      <c r="S223" s="67" t="str">
        <f>IFERROR(__xludf.DUMMYFUNCTION("""COMPUTED_VALUE"""),"!!!")</f>
        <v>!!!</v>
      </c>
      <c r="T22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24">
      <c r="A224" s="72"/>
      <c r="B224" s="60" t="s">
        <v>6754</v>
      </c>
      <c r="C224" s="67" t="str">
        <f>IFERROR(__xludf.DUMMYFUNCTION("""COMPUTED_VALUE"""),"LD237")</f>
        <v>LD237</v>
      </c>
      <c r="D224" s="55" t="s">
        <v>188</v>
      </c>
      <c r="E224" s="55" t="s">
        <v>193</v>
      </c>
      <c r="F224" s="54"/>
      <c r="G224" s="44" t="s">
        <v>61</v>
      </c>
      <c r="H224" s="54"/>
      <c r="I224" s="54"/>
      <c r="J224" s="54"/>
      <c r="K224" s="55" t="s">
        <v>61</v>
      </c>
      <c r="L224" s="54"/>
      <c r="M224" s="54"/>
      <c r="N224" s="54"/>
      <c r="O224" s="54"/>
      <c r="P224" s="54"/>
      <c r="Q224" s="67" t="str">
        <f>IFERROR(__xludf.DUMMYFUNCTION("""COMPUTED_VALUE"""),"!!!")</f>
        <v>!!!</v>
      </c>
      <c r="R224" s="67" t="str">
        <f>IFERROR(__xludf.DUMMYFUNCTION("""COMPUTED_VALUE"""),"!!!")</f>
        <v>!!!</v>
      </c>
      <c r="S224" s="67" t="str">
        <f>IFERROR(__xludf.DUMMYFUNCTION("""COMPUTED_VALUE"""),"!!!")</f>
        <v>!!!</v>
      </c>
      <c r="T22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25">
      <c r="A225" s="72"/>
      <c r="B225" s="60" t="s">
        <v>6754</v>
      </c>
      <c r="C225" s="67" t="str">
        <f>IFERROR(__xludf.DUMMYFUNCTION("""COMPUTED_VALUE"""),"LD237")</f>
        <v>LD237</v>
      </c>
      <c r="D225" s="55" t="s">
        <v>188</v>
      </c>
      <c r="E225" s="55" t="s">
        <v>193</v>
      </c>
      <c r="F225" s="54"/>
      <c r="G225" s="44" t="s">
        <v>61</v>
      </c>
      <c r="H225" s="54"/>
      <c r="I225" s="54"/>
      <c r="J225" s="54"/>
      <c r="K225" s="55" t="s">
        <v>61</v>
      </c>
      <c r="L225" s="54"/>
      <c r="M225" s="54"/>
      <c r="N225" s="54"/>
      <c r="O225" s="54"/>
      <c r="P225" s="54"/>
      <c r="Q225" s="67" t="str">
        <f>IFERROR(__xludf.DUMMYFUNCTION("""COMPUTED_VALUE"""),"!!!")</f>
        <v>!!!</v>
      </c>
      <c r="R225" s="67" t="str">
        <f>IFERROR(__xludf.DUMMYFUNCTION("""COMPUTED_VALUE"""),"!!!")</f>
        <v>!!!</v>
      </c>
      <c r="S225" s="67" t="str">
        <f>IFERROR(__xludf.DUMMYFUNCTION("""COMPUTED_VALUE"""),"!!!")</f>
        <v>!!!</v>
      </c>
      <c r="T22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26">
      <c r="A226" s="72"/>
      <c r="B226" s="60" t="s">
        <v>6754</v>
      </c>
      <c r="C226" s="67" t="str">
        <f>IFERROR(__xludf.DUMMYFUNCTION("""COMPUTED_VALUE"""),"LD237")</f>
        <v>LD237</v>
      </c>
      <c r="D226" s="55" t="s">
        <v>188</v>
      </c>
      <c r="E226" s="55" t="s">
        <v>193</v>
      </c>
      <c r="F226" s="54"/>
      <c r="G226" s="44" t="s">
        <v>61</v>
      </c>
      <c r="H226" s="54"/>
      <c r="I226" s="54"/>
      <c r="J226" s="54"/>
      <c r="K226" s="55" t="s">
        <v>61</v>
      </c>
      <c r="L226" s="54"/>
      <c r="M226" s="54"/>
      <c r="N226" s="54"/>
      <c r="O226" s="54"/>
      <c r="P226" s="54"/>
      <c r="Q226" s="67" t="str">
        <f>IFERROR(__xludf.DUMMYFUNCTION("""COMPUTED_VALUE"""),"!!!")</f>
        <v>!!!</v>
      </c>
      <c r="R226" s="67" t="str">
        <f>IFERROR(__xludf.DUMMYFUNCTION("""COMPUTED_VALUE"""),"!!!")</f>
        <v>!!!</v>
      </c>
      <c r="S226" s="67" t="str">
        <f>IFERROR(__xludf.DUMMYFUNCTION("""COMPUTED_VALUE"""),"!!!")</f>
        <v>!!!</v>
      </c>
      <c r="T22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27">
      <c r="A227" s="72"/>
      <c r="B227" s="60" t="s">
        <v>6754</v>
      </c>
      <c r="C227" s="67" t="str">
        <f>IFERROR(__xludf.DUMMYFUNCTION("""COMPUTED_VALUE"""),"LD237")</f>
        <v>LD237</v>
      </c>
      <c r="D227" s="55" t="s">
        <v>188</v>
      </c>
      <c r="E227" s="55" t="s">
        <v>193</v>
      </c>
      <c r="F227" s="54"/>
      <c r="G227" s="44" t="s">
        <v>61</v>
      </c>
      <c r="H227" s="54"/>
      <c r="I227" s="54"/>
      <c r="J227" s="54"/>
      <c r="K227" s="55" t="s">
        <v>61</v>
      </c>
      <c r="L227" s="54"/>
      <c r="M227" s="54"/>
      <c r="N227" s="54"/>
      <c r="O227" s="54"/>
      <c r="P227" s="54"/>
      <c r="Q227" s="67" t="str">
        <f>IFERROR(__xludf.DUMMYFUNCTION("""COMPUTED_VALUE"""),"!!!")</f>
        <v>!!!</v>
      </c>
      <c r="R227" s="67" t="str">
        <f>IFERROR(__xludf.DUMMYFUNCTION("""COMPUTED_VALUE"""),"!!!")</f>
        <v>!!!</v>
      </c>
      <c r="S227" s="67" t="str">
        <f>IFERROR(__xludf.DUMMYFUNCTION("""COMPUTED_VALUE"""),"!!!")</f>
        <v>!!!</v>
      </c>
      <c r="T22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28">
      <c r="A228" s="72"/>
      <c r="B228" s="60" t="s">
        <v>6754</v>
      </c>
      <c r="C228" s="67" t="str">
        <f>IFERROR(__xludf.DUMMYFUNCTION("""COMPUTED_VALUE"""),"LD237")</f>
        <v>LD237</v>
      </c>
      <c r="D228" s="55" t="s">
        <v>188</v>
      </c>
      <c r="E228" s="55" t="s">
        <v>193</v>
      </c>
      <c r="F228" s="54"/>
      <c r="G228" s="44" t="s">
        <v>61</v>
      </c>
      <c r="H228" s="54"/>
      <c r="I228" s="54"/>
      <c r="J228" s="54"/>
      <c r="K228" s="55" t="s">
        <v>61</v>
      </c>
      <c r="L228" s="54"/>
      <c r="M228" s="54"/>
      <c r="N228" s="54"/>
      <c r="O228" s="54"/>
      <c r="P228" s="54"/>
      <c r="Q228" s="67" t="str">
        <f>IFERROR(__xludf.DUMMYFUNCTION("""COMPUTED_VALUE"""),"!!!")</f>
        <v>!!!</v>
      </c>
      <c r="R228" s="67" t="str">
        <f>IFERROR(__xludf.DUMMYFUNCTION("""COMPUTED_VALUE"""),"!!!")</f>
        <v>!!!</v>
      </c>
      <c r="S228" s="67" t="str">
        <f>IFERROR(__xludf.DUMMYFUNCTION("""COMPUTED_VALUE"""),"!!!")</f>
        <v>!!!</v>
      </c>
      <c r="T22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29">
      <c r="A229" s="72"/>
      <c r="B229" s="60" t="s">
        <v>6754</v>
      </c>
      <c r="C229" s="67" t="str">
        <f>IFERROR(__xludf.DUMMYFUNCTION("""COMPUTED_VALUE"""),"LD237")</f>
        <v>LD237</v>
      </c>
      <c r="D229" s="55" t="s">
        <v>188</v>
      </c>
      <c r="E229" s="55" t="s">
        <v>193</v>
      </c>
      <c r="F229" s="54"/>
      <c r="G229" s="44" t="s">
        <v>61</v>
      </c>
      <c r="H229" s="54"/>
      <c r="I229" s="54"/>
      <c r="J229" s="54"/>
      <c r="K229" s="55" t="s">
        <v>61</v>
      </c>
      <c r="L229" s="54"/>
      <c r="M229" s="54"/>
      <c r="N229" s="54"/>
      <c r="O229" s="54"/>
      <c r="P229" s="54"/>
      <c r="Q229" s="67" t="str">
        <f>IFERROR(__xludf.DUMMYFUNCTION("""COMPUTED_VALUE"""),"!!!")</f>
        <v>!!!</v>
      </c>
      <c r="R229" s="67" t="str">
        <f>IFERROR(__xludf.DUMMYFUNCTION("""COMPUTED_VALUE"""),"!!!")</f>
        <v>!!!</v>
      </c>
      <c r="S229" s="67" t="str">
        <f>IFERROR(__xludf.DUMMYFUNCTION("""COMPUTED_VALUE"""),"!!!")</f>
        <v>!!!</v>
      </c>
      <c r="T22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30">
      <c r="A230" s="72"/>
      <c r="B230" s="60" t="s">
        <v>6754</v>
      </c>
      <c r="C230" s="67" t="str">
        <f>IFERROR(__xludf.DUMMYFUNCTION("""COMPUTED_VALUE"""),"LD237")</f>
        <v>LD237</v>
      </c>
      <c r="D230" s="55" t="s">
        <v>188</v>
      </c>
      <c r="E230" s="55" t="s">
        <v>193</v>
      </c>
      <c r="F230" s="54"/>
      <c r="G230" s="44" t="s">
        <v>61</v>
      </c>
      <c r="H230" s="54"/>
      <c r="I230" s="54"/>
      <c r="J230" s="54"/>
      <c r="K230" s="55" t="s">
        <v>61</v>
      </c>
      <c r="L230" s="54"/>
      <c r="M230" s="54"/>
      <c r="N230" s="54"/>
      <c r="O230" s="54"/>
      <c r="P230" s="54"/>
      <c r="Q230" s="67" t="str">
        <f>IFERROR(__xludf.DUMMYFUNCTION("""COMPUTED_VALUE"""),"!!!")</f>
        <v>!!!</v>
      </c>
      <c r="R230" s="67" t="str">
        <f>IFERROR(__xludf.DUMMYFUNCTION("""COMPUTED_VALUE"""),"!!!")</f>
        <v>!!!</v>
      </c>
      <c r="S230" s="67" t="str">
        <f>IFERROR(__xludf.DUMMYFUNCTION("""COMPUTED_VALUE"""),"!!!")</f>
        <v>!!!</v>
      </c>
      <c r="T23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31">
      <c r="A231" s="72"/>
      <c r="B231" s="60" t="s">
        <v>6754</v>
      </c>
      <c r="C231" s="67" t="str">
        <f>IFERROR(__xludf.DUMMYFUNCTION("""COMPUTED_VALUE"""),"LD237")</f>
        <v>LD237</v>
      </c>
      <c r="D231" s="55" t="s">
        <v>188</v>
      </c>
      <c r="E231" s="55" t="s">
        <v>193</v>
      </c>
      <c r="F231" s="54"/>
      <c r="G231" s="44" t="s">
        <v>61</v>
      </c>
      <c r="H231" s="54"/>
      <c r="I231" s="54"/>
      <c r="J231" s="54"/>
      <c r="K231" s="55" t="s">
        <v>61</v>
      </c>
      <c r="L231" s="54"/>
      <c r="M231" s="54"/>
      <c r="N231" s="54"/>
      <c r="O231" s="54"/>
      <c r="P231" s="54"/>
      <c r="Q231" s="67" t="str">
        <f>IFERROR(__xludf.DUMMYFUNCTION("""COMPUTED_VALUE"""),"!!!")</f>
        <v>!!!</v>
      </c>
      <c r="R231" s="67" t="str">
        <f>IFERROR(__xludf.DUMMYFUNCTION("""COMPUTED_VALUE"""),"!!!")</f>
        <v>!!!</v>
      </c>
      <c r="S231" s="67" t="str">
        <f>IFERROR(__xludf.DUMMYFUNCTION("""COMPUTED_VALUE"""),"!!!")</f>
        <v>!!!</v>
      </c>
      <c r="T23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32">
      <c r="A232" s="72"/>
      <c r="B232" s="60" t="s">
        <v>6754</v>
      </c>
      <c r="C232" s="67" t="str">
        <f>IFERROR(__xludf.DUMMYFUNCTION("""COMPUTED_VALUE"""),"LD237")</f>
        <v>LD237</v>
      </c>
      <c r="D232" s="55" t="s">
        <v>188</v>
      </c>
      <c r="E232" s="55" t="s">
        <v>193</v>
      </c>
      <c r="F232" s="54"/>
      <c r="G232" s="44" t="s">
        <v>61</v>
      </c>
      <c r="H232" s="54"/>
      <c r="I232" s="54"/>
      <c r="J232" s="54"/>
      <c r="K232" s="55" t="s">
        <v>61</v>
      </c>
      <c r="L232" s="54"/>
      <c r="M232" s="54"/>
      <c r="N232" s="54"/>
      <c r="O232" s="54"/>
      <c r="P232" s="54"/>
      <c r="Q232" s="67" t="str">
        <f>IFERROR(__xludf.DUMMYFUNCTION("""COMPUTED_VALUE"""),"!!!")</f>
        <v>!!!</v>
      </c>
      <c r="R232" s="67" t="str">
        <f>IFERROR(__xludf.DUMMYFUNCTION("""COMPUTED_VALUE"""),"!!!")</f>
        <v>!!!</v>
      </c>
      <c r="S232" s="67" t="str">
        <f>IFERROR(__xludf.DUMMYFUNCTION("""COMPUTED_VALUE"""),"!!!")</f>
        <v>!!!</v>
      </c>
      <c r="T23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33">
      <c r="A233" s="72"/>
      <c r="B233" s="60" t="s">
        <v>6754</v>
      </c>
      <c r="C233" s="67" t="str">
        <f>IFERROR(__xludf.DUMMYFUNCTION("""COMPUTED_VALUE"""),"LD237")</f>
        <v>LD237</v>
      </c>
      <c r="D233" s="55" t="s">
        <v>188</v>
      </c>
      <c r="E233" s="55" t="s">
        <v>193</v>
      </c>
      <c r="F233" s="54"/>
      <c r="G233" s="44" t="s">
        <v>61</v>
      </c>
      <c r="H233" s="54"/>
      <c r="I233" s="54"/>
      <c r="J233" s="54"/>
      <c r="K233" s="55" t="s">
        <v>61</v>
      </c>
      <c r="L233" s="54"/>
      <c r="M233" s="54"/>
      <c r="N233" s="54"/>
      <c r="O233" s="54"/>
      <c r="P233" s="54"/>
      <c r="Q233" s="67" t="str">
        <f>IFERROR(__xludf.DUMMYFUNCTION("""COMPUTED_VALUE"""),"!!!")</f>
        <v>!!!</v>
      </c>
      <c r="R233" s="67" t="str">
        <f>IFERROR(__xludf.DUMMYFUNCTION("""COMPUTED_VALUE"""),"!!!")</f>
        <v>!!!</v>
      </c>
      <c r="S233" s="67" t="str">
        <f>IFERROR(__xludf.DUMMYFUNCTION("""COMPUTED_VALUE"""),"!!!")</f>
        <v>!!!</v>
      </c>
      <c r="T23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34">
      <c r="A234" s="72"/>
      <c r="B234" s="60" t="s">
        <v>6754</v>
      </c>
      <c r="C234" s="67" t="str">
        <f>IFERROR(__xludf.DUMMYFUNCTION("""COMPUTED_VALUE"""),"LD237")</f>
        <v>LD237</v>
      </c>
      <c r="D234" s="55" t="s">
        <v>188</v>
      </c>
      <c r="E234" s="55" t="s">
        <v>193</v>
      </c>
      <c r="F234" s="54"/>
      <c r="G234" s="44" t="s">
        <v>61</v>
      </c>
      <c r="H234" s="54"/>
      <c r="I234" s="54"/>
      <c r="J234" s="54"/>
      <c r="K234" s="55" t="s">
        <v>61</v>
      </c>
      <c r="L234" s="54"/>
      <c r="M234" s="54"/>
      <c r="N234" s="54"/>
      <c r="O234" s="54"/>
      <c r="P234" s="54"/>
      <c r="Q234" s="67" t="str">
        <f>IFERROR(__xludf.DUMMYFUNCTION("""COMPUTED_VALUE"""),"!!!")</f>
        <v>!!!</v>
      </c>
      <c r="R234" s="67" t="str">
        <f>IFERROR(__xludf.DUMMYFUNCTION("""COMPUTED_VALUE"""),"!!!")</f>
        <v>!!!</v>
      </c>
      <c r="S234" s="67" t="str">
        <f>IFERROR(__xludf.DUMMYFUNCTION("""COMPUTED_VALUE"""),"!!!")</f>
        <v>!!!</v>
      </c>
      <c r="T23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35">
      <c r="A235" s="72"/>
      <c r="B235" s="60" t="s">
        <v>6754</v>
      </c>
      <c r="C235" s="67" t="str">
        <f>IFERROR(__xludf.DUMMYFUNCTION("""COMPUTED_VALUE"""),"LD237")</f>
        <v>LD237</v>
      </c>
      <c r="D235" s="55" t="s">
        <v>188</v>
      </c>
      <c r="E235" s="55" t="s">
        <v>193</v>
      </c>
      <c r="F235" s="54"/>
      <c r="G235" s="44" t="s">
        <v>61</v>
      </c>
      <c r="H235" s="54"/>
      <c r="I235" s="54"/>
      <c r="J235" s="54"/>
      <c r="K235" s="55" t="s">
        <v>61</v>
      </c>
      <c r="L235" s="54"/>
      <c r="M235" s="54"/>
      <c r="N235" s="54"/>
      <c r="O235" s="54"/>
      <c r="P235" s="54"/>
      <c r="Q235" s="67" t="str">
        <f>IFERROR(__xludf.DUMMYFUNCTION("""COMPUTED_VALUE"""),"!!!")</f>
        <v>!!!</v>
      </c>
      <c r="R235" s="67" t="str">
        <f>IFERROR(__xludf.DUMMYFUNCTION("""COMPUTED_VALUE"""),"!!!")</f>
        <v>!!!</v>
      </c>
      <c r="S235" s="67" t="str">
        <f>IFERROR(__xludf.DUMMYFUNCTION("""COMPUTED_VALUE"""),"!!!")</f>
        <v>!!!</v>
      </c>
      <c r="T23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36">
      <c r="A236" s="72"/>
      <c r="B236" s="60" t="s">
        <v>6754</v>
      </c>
      <c r="C236" s="67" t="str">
        <f>IFERROR(__xludf.DUMMYFUNCTION("""COMPUTED_VALUE"""),"LD237")</f>
        <v>LD237</v>
      </c>
      <c r="D236" s="55" t="s">
        <v>188</v>
      </c>
      <c r="E236" s="55" t="s">
        <v>193</v>
      </c>
      <c r="F236" s="54"/>
      <c r="G236" s="44" t="s">
        <v>61</v>
      </c>
      <c r="H236" s="54"/>
      <c r="I236" s="54"/>
      <c r="J236" s="54"/>
      <c r="K236" s="55" t="s">
        <v>61</v>
      </c>
      <c r="L236" s="54"/>
      <c r="M236" s="54"/>
      <c r="N236" s="54"/>
      <c r="O236" s="54"/>
      <c r="P236" s="54"/>
      <c r="Q236" s="67" t="str">
        <f>IFERROR(__xludf.DUMMYFUNCTION("""COMPUTED_VALUE"""),"!!!")</f>
        <v>!!!</v>
      </c>
      <c r="R236" s="67" t="str">
        <f>IFERROR(__xludf.DUMMYFUNCTION("""COMPUTED_VALUE"""),"!!!")</f>
        <v>!!!</v>
      </c>
      <c r="S236" s="67" t="str">
        <f>IFERROR(__xludf.DUMMYFUNCTION("""COMPUTED_VALUE"""),"!!!")</f>
        <v>!!!</v>
      </c>
      <c r="T23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37">
      <c r="A237" s="72"/>
      <c r="B237" s="60" t="s">
        <v>6754</v>
      </c>
      <c r="C237" s="67" t="str">
        <f>IFERROR(__xludf.DUMMYFUNCTION("""COMPUTED_VALUE"""),"LD237")</f>
        <v>LD237</v>
      </c>
      <c r="D237" s="55" t="s">
        <v>188</v>
      </c>
      <c r="E237" s="55" t="s">
        <v>193</v>
      </c>
      <c r="F237" s="54"/>
      <c r="G237" s="44" t="s">
        <v>61</v>
      </c>
      <c r="H237" s="54"/>
      <c r="I237" s="54"/>
      <c r="J237" s="54"/>
      <c r="K237" s="55" t="s">
        <v>61</v>
      </c>
      <c r="L237" s="54"/>
      <c r="M237" s="54"/>
      <c r="N237" s="54"/>
      <c r="O237" s="54"/>
      <c r="P237" s="54"/>
      <c r="Q237" s="67" t="str">
        <f>IFERROR(__xludf.DUMMYFUNCTION("""COMPUTED_VALUE"""),"!!!")</f>
        <v>!!!</v>
      </c>
      <c r="R237" s="67" t="str">
        <f>IFERROR(__xludf.DUMMYFUNCTION("""COMPUTED_VALUE"""),"!!!")</f>
        <v>!!!</v>
      </c>
      <c r="S237" s="67" t="str">
        <f>IFERROR(__xludf.DUMMYFUNCTION("""COMPUTED_VALUE"""),"!!!")</f>
        <v>!!!</v>
      </c>
      <c r="T23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38">
      <c r="A238" s="72"/>
      <c r="B238" s="60" t="s">
        <v>6754</v>
      </c>
      <c r="C238" s="67" t="str">
        <f>IFERROR(__xludf.DUMMYFUNCTION("""COMPUTED_VALUE"""),"LD237")</f>
        <v>LD237</v>
      </c>
      <c r="D238" s="55" t="s">
        <v>188</v>
      </c>
      <c r="E238" s="55" t="s">
        <v>193</v>
      </c>
      <c r="F238" s="54"/>
      <c r="G238" s="44" t="s">
        <v>61</v>
      </c>
      <c r="H238" s="54"/>
      <c r="I238" s="54"/>
      <c r="J238" s="54"/>
      <c r="K238" s="55" t="s">
        <v>61</v>
      </c>
      <c r="L238" s="54"/>
      <c r="M238" s="54"/>
      <c r="N238" s="54"/>
      <c r="O238" s="54"/>
      <c r="P238" s="54"/>
      <c r="Q238" s="67" t="str">
        <f>IFERROR(__xludf.DUMMYFUNCTION("""COMPUTED_VALUE"""),"!!!")</f>
        <v>!!!</v>
      </c>
      <c r="R238" s="67" t="str">
        <f>IFERROR(__xludf.DUMMYFUNCTION("""COMPUTED_VALUE"""),"!!!")</f>
        <v>!!!</v>
      </c>
      <c r="S238" s="67" t="str">
        <f>IFERROR(__xludf.DUMMYFUNCTION("""COMPUTED_VALUE"""),"!!!")</f>
        <v>!!!</v>
      </c>
      <c r="T23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39">
      <c r="A239" s="72"/>
      <c r="B239" s="60" t="s">
        <v>6754</v>
      </c>
      <c r="C239" s="67" t="str">
        <f>IFERROR(__xludf.DUMMYFUNCTION("""COMPUTED_VALUE"""),"LD237")</f>
        <v>LD237</v>
      </c>
      <c r="D239" s="55" t="s">
        <v>188</v>
      </c>
      <c r="E239" s="55" t="s">
        <v>193</v>
      </c>
      <c r="F239" s="54"/>
      <c r="G239" s="44" t="s">
        <v>61</v>
      </c>
      <c r="H239" s="54"/>
      <c r="I239" s="54"/>
      <c r="J239" s="54"/>
      <c r="K239" s="55" t="s">
        <v>61</v>
      </c>
      <c r="L239" s="54"/>
      <c r="M239" s="54"/>
      <c r="N239" s="54"/>
      <c r="O239" s="54"/>
      <c r="P239" s="54"/>
      <c r="Q239" s="67" t="str">
        <f>IFERROR(__xludf.DUMMYFUNCTION("""COMPUTED_VALUE"""),"!!!")</f>
        <v>!!!</v>
      </c>
      <c r="R239" s="67" t="str">
        <f>IFERROR(__xludf.DUMMYFUNCTION("""COMPUTED_VALUE"""),"!!!")</f>
        <v>!!!</v>
      </c>
      <c r="S239" s="67" t="str">
        <f>IFERROR(__xludf.DUMMYFUNCTION("""COMPUTED_VALUE"""),"!!!")</f>
        <v>!!!</v>
      </c>
      <c r="T23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40">
      <c r="A240" s="72"/>
      <c r="B240" s="60" t="s">
        <v>6754</v>
      </c>
      <c r="C240" s="67" t="str">
        <f>IFERROR(__xludf.DUMMYFUNCTION("""COMPUTED_VALUE"""),"LD237")</f>
        <v>LD237</v>
      </c>
      <c r="D240" s="55" t="s">
        <v>188</v>
      </c>
      <c r="E240" s="55" t="s">
        <v>193</v>
      </c>
      <c r="F240" s="54"/>
      <c r="G240" s="44" t="s">
        <v>61</v>
      </c>
      <c r="H240" s="54"/>
      <c r="I240" s="54"/>
      <c r="J240" s="54"/>
      <c r="K240" s="55" t="s">
        <v>61</v>
      </c>
      <c r="L240" s="54"/>
      <c r="M240" s="54"/>
      <c r="N240" s="54"/>
      <c r="O240" s="54"/>
      <c r="P240" s="54"/>
      <c r="Q240" s="67" t="str">
        <f>IFERROR(__xludf.DUMMYFUNCTION("""COMPUTED_VALUE"""),"!!!")</f>
        <v>!!!</v>
      </c>
      <c r="R240" s="67" t="str">
        <f>IFERROR(__xludf.DUMMYFUNCTION("""COMPUTED_VALUE"""),"!!!")</f>
        <v>!!!</v>
      </c>
      <c r="S240" s="67" t="str">
        <f>IFERROR(__xludf.DUMMYFUNCTION("""COMPUTED_VALUE"""),"!!!")</f>
        <v>!!!</v>
      </c>
      <c r="T24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41">
      <c r="A241" s="72"/>
      <c r="B241" s="60" t="s">
        <v>6754</v>
      </c>
      <c r="C241" s="67" t="str">
        <f>IFERROR(__xludf.DUMMYFUNCTION("""COMPUTED_VALUE"""),"LD237")</f>
        <v>LD237</v>
      </c>
      <c r="D241" s="55" t="s">
        <v>188</v>
      </c>
      <c r="E241" s="55" t="s">
        <v>193</v>
      </c>
      <c r="F241" s="54"/>
      <c r="G241" s="44" t="s">
        <v>61</v>
      </c>
      <c r="H241" s="54"/>
      <c r="I241" s="54"/>
      <c r="J241" s="54"/>
      <c r="K241" s="55" t="s">
        <v>61</v>
      </c>
      <c r="L241" s="54"/>
      <c r="M241" s="54"/>
      <c r="N241" s="54"/>
      <c r="O241" s="54"/>
      <c r="P241" s="54"/>
      <c r="Q241" s="67" t="str">
        <f>IFERROR(__xludf.DUMMYFUNCTION("""COMPUTED_VALUE"""),"!!!")</f>
        <v>!!!</v>
      </c>
      <c r="R241" s="67" t="str">
        <f>IFERROR(__xludf.DUMMYFUNCTION("""COMPUTED_VALUE"""),"!!!")</f>
        <v>!!!</v>
      </c>
      <c r="S241" s="67" t="str">
        <f>IFERROR(__xludf.DUMMYFUNCTION("""COMPUTED_VALUE"""),"!!!")</f>
        <v>!!!</v>
      </c>
      <c r="T24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42">
      <c r="A242" s="72"/>
      <c r="B242" s="60" t="s">
        <v>6754</v>
      </c>
      <c r="C242" s="67" t="str">
        <f>IFERROR(__xludf.DUMMYFUNCTION("""COMPUTED_VALUE"""),"LD237")</f>
        <v>LD237</v>
      </c>
      <c r="D242" s="55" t="s">
        <v>188</v>
      </c>
      <c r="E242" s="55" t="s">
        <v>193</v>
      </c>
      <c r="F242" s="54"/>
      <c r="G242" s="44" t="s">
        <v>61</v>
      </c>
      <c r="H242" s="54"/>
      <c r="I242" s="54"/>
      <c r="J242" s="54"/>
      <c r="K242" s="55" t="s">
        <v>61</v>
      </c>
      <c r="L242" s="54"/>
      <c r="M242" s="54"/>
      <c r="N242" s="54"/>
      <c r="O242" s="54"/>
      <c r="P242" s="54"/>
      <c r="Q242" s="67" t="str">
        <f>IFERROR(__xludf.DUMMYFUNCTION("""COMPUTED_VALUE"""),"!!!")</f>
        <v>!!!</v>
      </c>
      <c r="R242" s="67" t="str">
        <f>IFERROR(__xludf.DUMMYFUNCTION("""COMPUTED_VALUE"""),"!!!")</f>
        <v>!!!</v>
      </c>
      <c r="S242" s="67" t="str">
        <f>IFERROR(__xludf.DUMMYFUNCTION("""COMPUTED_VALUE"""),"!!!")</f>
        <v>!!!</v>
      </c>
      <c r="T24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43">
      <c r="A243" s="72"/>
      <c r="B243" s="60" t="s">
        <v>6754</v>
      </c>
      <c r="C243" s="67" t="str">
        <f>IFERROR(__xludf.DUMMYFUNCTION("""COMPUTED_VALUE"""),"LD237")</f>
        <v>LD237</v>
      </c>
      <c r="D243" s="55" t="s">
        <v>188</v>
      </c>
      <c r="E243" s="55" t="s">
        <v>193</v>
      </c>
      <c r="F243" s="54"/>
      <c r="G243" s="44" t="s">
        <v>61</v>
      </c>
      <c r="H243" s="54"/>
      <c r="I243" s="54"/>
      <c r="J243" s="54"/>
      <c r="K243" s="55" t="s">
        <v>61</v>
      </c>
      <c r="L243" s="54"/>
      <c r="M243" s="54"/>
      <c r="N243" s="54"/>
      <c r="O243" s="54"/>
      <c r="P243" s="54"/>
      <c r="Q243" s="67" t="str">
        <f>IFERROR(__xludf.DUMMYFUNCTION("""COMPUTED_VALUE"""),"!!!")</f>
        <v>!!!</v>
      </c>
      <c r="R243" s="67" t="str">
        <f>IFERROR(__xludf.DUMMYFUNCTION("""COMPUTED_VALUE"""),"!!!")</f>
        <v>!!!</v>
      </c>
      <c r="S243" s="67" t="str">
        <f>IFERROR(__xludf.DUMMYFUNCTION("""COMPUTED_VALUE"""),"!!!")</f>
        <v>!!!</v>
      </c>
      <c r="T24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44">
      <c r="A244" s="72"/>
      <c r="B244" s="60" t="s">
        <v>6754</v>
      </c>
      <c r="C244" s="67" t="str">
        <f>IFERROR(__xludf.DUMMYFUNCTION("""COMPUTED_VALUE"""),"LD237")</f>
        <v>LD237</v>
      </c>
      <c r="D244" s="55" t="s">
        <v>188</v>
      </c>
      <c r="E244" s="55" t="s">
        <v>193</v>
      </c>
      <c r="F244" s="54"/>
      <c r="G244" s="44" t="s">
        <v>61</v>
      </c>
      <c r="H244" s="54"/>
      <c r="I244" s="54"/>
      <c r="J244" s="54"/>
      <c r="K244" s="55" t="s">
        <v>61</v>
      </c>
      <c r="L244" s="54"/>
      <c r="M244" s="54"/>
      <c r="N244" s="54"/>
      <c r="O244" s="54"/>
      <c r="P244" s="54"/>
      <c r="Q244" s="67" t="str">
        <f>IFERROR(__xludf.DUMMYFUNCTION("""COMPUTED_VALUE"""),"!!!")</f>
        <v>!!!</v>
      </c>
      <c r="R244" s="67" t="str">
        <f>IFERROR(__xludf.DUMMYFUNCTION("""COMPUTED_VALUE"""),"!!!")</f>
        <v>!!!</v>
      </c>
      <c r="S244" s="67" t="str">
        <f>IFERROR(__xludf.DUMMYFUNCTION("""COMPUTED_VALUE"""),"!!!")</f>
        <v>!!!</v>
      </c>
      <c r="T24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45">
      <c r="A245" s="72"/>
      <c r="B245" s="60" t="s">
        <v>6754</v>
      </c>
      <c r="C245" s="67" t="str">
        <f>IFERROR(__xludf.DUMMYFUNCTION("""COMPUTED_VALUE"""),"LD237")</f>
        <v>LD237</v>
      </c>
      <c r="D245" s="55" t="s">
        <v>188</v>
      </c>
      <c r="E245" s="55" t="s">
        <v>193</v>
      </c>
      <c r="F245" s="54"/>
      <c r="G245" s="44" t="s">
        <v>61</v>
      </c>
      <c r="H245" s="54"/>
      <c r="I245" s="54"/>
      <c r="J245" s="54"/>
      <c r="K245" s="55" t="s">
        <v>61</v>
      </c>
      <c r="L245" s="54"/>
      <c r="M245" s="54"/>
      <c r="N245" s="54"/>
      <c r="O245" s="54"/>
      <c r="P245" s="54"/>
      <c r="Q245" s="67" t="str">
        <f>IFERROR(__xludf.DUMMYFUNCTION("""COMPUTED_VALUE"""),"!!!")</f>
        <v>!!!</v>
      </c>
      <c r="R245" s="67" t="str">
        <f>IFERROR(__xludf.DUMMYFUNCTION("""COMPUTED_VALUE"""),"!!!")</f>
        <v>!!!</v>
      </c>
      <c r="S245" s="67" t="str">
        <f>IFERROR(__xludf.DUMMYFUNCTION("""COMPUTED_VALUE"""),"!!!")</f>
        <v>!!!</v>
      </c>
      <c r="T24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46">
      <c r="A246" s="72"/>
      <c r="B246" s="60" t="s">
        <v>6754</v>
      </c>
      <c r="C246" s="67" t="str">
        <f>IFERROR(__xludf.DUMMYFUNCTION("""COMPUTED_VALUE"""),"LD237")</f>
        <v>LD237</v>
      </c>
      <c r="D246" s="55" t="s">
        <v>188</v>
      </c>
      <c r="E246" s="55" t="s">
        <v>193</v>
      </c>
      <c r="F246" s="54"/>
      <c r="G246" s="44" t="s">
        <v>61</v>
      </c>
      <c r="H246" s="54"/>
      <c r="I246" s="54"/>
      <c r="J246" s="54"/>
      <c r="K246" s="55" t="s">
        <v>61</v>
      </c>
      <c r="L246" s="54"/>
      <c r="M246" s="54"/>
      <c r="N246" s="54"/>
      <c r="O246" s="54"/>
      <c r="P246" s="54"/>
      <c r="Q246" s="67" t="str">
        <f>IFERROR(__xludf.DUMMYFUNCTION("""COMPUTED_VALUE"""),"!!!")</f>
        <v>!!!</v>
      </c>
      <c r="R246" s="67" t="str">
        <f>IFERROR(__xludf.DUMMYFUNCTION("""COMPUTED_VALUE"""),"!!!")</f>
        <v>!!!</v>
      </c>
      <c r="S246" s="67" t="str">
        <f>IFERROR(__xludf.DUMMYFUNCTION("""COMPUTED_VALUE"""),"!!!")</f>
        <v>!!!</v>
      </c>
      <c r="T24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47">
      <c r="A247" s="72"/>
      <c r="B247" s="60" t="s">
        <v>6754</v>
      </c>
      <c r="C247" s="67" t="str">
        <f>IFERROR(__xludf.DUMMYFUNCTION("""COMPUTED_VALUE"""),"LD237")</f>
        <v>LD237</v>
      </c>
      <c r="D247" s="55" t="s">
        <v>188</v>
      </c>
      <c r="E247" s="55" t="s">
        <v>193</v>
      </c>
      <c r="F247" s="54"/>
      <c r="G247" s="44" t="s">
        <v>61</v>
      </c>
      <c r="H247" s="54"/>
      <c r="I247" s="54"/>
      <c r="J247" s="54"/>
      <c r="K247" s="55" t="s">
        <v>61</v>
      </c>
      <c r="L247" s="54"/>
      <c r="M247" s="54"/>
      <c r="N247" s="54"/>
      <c r="O247" s="54"/>
      <c r="P247" s="54"/>
      <c r="Q247" s="67" t="str">
        <f>IFERROR(__xludf.DUMMYFUNCTION("""COMPUTED_VALUE"""),"!!!")</f>
        <v>!!!</v>
      </c>
      <c r="R247" s="67" t="str">
        <f>IFERROR(__xludf.DUMMYFUNCTION("""COMPUTED_VALUE"""),"!!!")</f>
        <v>!!!</v>
      </c>
      <c r="S247" s="67" t="str">
        <f>IFERROR(__xludf.DUMMYFUNCTION("""COMPUTED_VALUE"""),"!!!")</f>
        <v>!!!</v>
      </c>
      <c r="T24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48">
      <c r="A248" s="72"/>
      <c r="B248" s="60" t="s">
        <v>6754</v>
      </c>
      <c r="C248" s="67" t="str">
        <f>IFERROR(__xludf.DUMMYFUNCTION("""COMPUTED_VALUE"""),"LD237")</f>
        <v>LD237</v>
      </c>
      <c r="D248" s="55" t="s">
        <v>188</v>
      </c>
      <c r="E248" s="55" t="s">
        <v>193</v>
      </c>
      <c r="F248" s="54"/>
      <c r="G248" s="44" t="s">
        <v>61</v>
      </c>
      <c r="H248" s="54"/>
      <c r="I248" s="54"/>
      <c r="J248" s="54"/>
      <c r="K248" s="55" t="s">
        <v>61</v>
      </c>
      <c r="L248" s="54"/>
      <c r="M248" s="54"/>
      <c r="N248" s="54"/>
      <c r="O248" s="54"/>
      <c r="P248" s="54"/>
      <c r="Q248" s="67" t="str">
        <f>IFERROR(__xludf.DUMMYFUNCTION("""COMPUTED_VALUE"""),"!!!")</f>
        <v>!!!</v>
      </c>
      <c r="R248" s="67" t="str">
        <f>IFERROR(__xludf.DUMMYFUNCTION("""COMPUTED_VALUE"""),"!!!")</f>
        <v>!!!</v>
      </c>
      <c r="S248" s="67" t="str">
        <f>IFERROR(__xludf.DUMMYFUNCTION("""COMPUTED_VALUE"""),"!!!")</f>
        <v>!!!</v>
      </c>
      <c r="T24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49">
      <c r="A249" s="72"/>
      <c r="B249" s="60" t="s">
        <v>6754</v>
      </c>
      <c r="C249" s="67" t="str">
        <f>IFERROR(__xludf.DUMMYFUNCTION("""COMPUTED_VALUE"""),"LD237")</f>
        <v>LD237</v>
      </c>
      <c r="D249" s="55" t="s">
        <v>188</v>
      </c>
      <c r="E249" s="55" t="s">
        <v>193</v>
      </c>
      <c r="F249" s="54"/>
      <c r="G249" s="44" t="s">
        <v>61</v>
      </c>
      <c r="H249" s="54"/>
      <c r="I249" s="54"/>
      <c r="J249" s="54"/>
      <c r="K249" s="55" t="s">
        <v>61</v>
      </c>
      <c r="L249" s="54"/>
      <c r="M249" s="54"/>
      <c r="N249" s="54"/>
      <c r="O249" s="54"/>
      <c r="P249" s="54"/>
      <c r="Q249" s="67" t="str">
        <f>IFERROR(__xludf.DUMMYFUNCTION("""COMPUTED_VALUE"""),"!!!")</f>
        <v>!!!</v>
      </c>
      <c r="R249" s="67" t="str">
        <f>IFERROR(__xludf.DUMMYFUNCTION("""COMPUTED_VALUE"""),"!!!")</f>
        <v>!!!</v>
      </c>
      <c r="S249" s="67" t="str">
        <f>IFERROR(__xludf.DUMMYFUNCTION("""COMPUTED_VALUE"""),"!!!")</f>
        <v>!!!</v>
      </c>
      <c r="T24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50">
      <c r="A250" s="72"/>
      <c r="B250" s="60" t="s">
        <v>6754</v>
      </c>
      <c r="C250" s="67" t="str">
        <f>IFERROR(__xludf.DUMMYFUNCTION("""COMPUTED_VALUE"""),"LD237")</f>
        <v>LD237</v>
      </c>
      <c r="D250" s="55" t="s">
        <v>188</v>
      </c>
      <c r="E250" s="55" t="s">
        <v>193</v>
      </c>
      <c r="F250" s="54"/>
      <c r="G250" s="44" t="s">
        <v>61</v>
      </c>
      <c r="H250" s="54"/>
      <c r="I250" s="54"/>
      <c r="J250" s="54"/>
      <c r="K250" s="55" t="s">
        <v>61</v>
      </c>
      <c r="L250" s="54"/>
      <c r="M250" s="54"/>
      <c r="N250" s="54"/>
      <c r="O250" s="54"/>
      <c r="P250" s="54"/>
      <c r="Q250" s="67" t="str">
        <f>IFERROR(__xludf.DUMMYFUNCTION("""COMPUTED_VALUE"""),"!!!")</f>
        <v>!!!</v>
      </c>
      <c r="R250" s="67" t="str">
        <f>IFERROR(__xludf.DUMMYFUNCTION("""COMPUTED_VALUE"""),"!!!")</f>
        <v>!!!</v>
      </c>
      <c r="S250" s="67" t="str">
        <f>IFERROR(__xludf.DUMMYFUNCTION("""COMPUTED_VALUE"""),"!!!")</f>
        <v>!!!</v>
      </c>
      <c r="T25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51">
      <c r="A251" s="72"/>
      <c r="B251" s="60" t="s">
        <v>6754</v>
      </c>
      <c r="C251" s="67" t="str">
        <f>IFERROR(__xludf.DUMMYFUNCTION("""COMPUTED_VALUE"""),"LD237")</f>
        <v>LD237</v>
      </c>
      <c r="D251" s="55" t="s">
        <v>188</v>
      </c>
      <c r="E251" s="55" t="s">
        <v>193</v>
      </c>
      <c r="F251" s="54"/>
      <c r="G251" s="44" t="s">
        <v>61</v>
      </c>
      <c r="H251" s="54"/>
      <c r="I251" s="54"/>
      <c r="J251" s="54"/>
      <c r="K251" s="55" t="s">
        <v>61</v>
      </c>
      <c r="L251" s="54"/>
      <c r="M251" s="54"/>
      <c r="N251" s="54"/>
      <c r="O251" s="54"/>
      <c r="P251" s="54"/>
      <c r="Q251" s="67" t="str">
        <f>IFERROR(__xludf.DUMMYFUNCTION("""COMPUTED_VALUE"""),"!!!")</f>
        <v>!!!</v>
      </c>
      <c r="R251" s="67" t="str">
        <f>IFERROR(__xludf.DUMMYFUNCTION("""COMPUTED_VALUE"""),"!!!")</f>
        <v>!!!</v>
      </c>
      <c r="S251" s="67" t="str">
        <f>IFERROR(__xludf.DUMMYFUNCTION("""COMPUTED_VALUE"""),"!!!")</f>
        <v>!!!</v>
      </c>
      <c r="T25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52">
      <c r="A252" s="72"/>
      <c r="B252" s="60" t="s">
        <v>6754</v>
      </c>
      <c r="C252" s="67" t="str">
        <f>IFERROR(__xludf.DUMMYFUNCTION("""COMPUTED_VALUE"""),"LD237")</f>
        <v>LD237</v>
      </c>
      <c r="D252" s="55" t="s">
        <v>188</v>
      </c>
      <c r="E252" s="55" t="s">
        <v>193</v>
      </c>
      <c r="F252" s="54"/>
      <c r="G252" s="44" t="s">
        <v>61</v>
      </c>
      <c r="H252" s="54"/>
      <c r="I252" s="54"/>
      <c r="J252" s="54"/>
      <c r="K252" s="55" t="s">
        <v>61</v>
      </c>
      <c r="L252" s="54"/>
      <c r="M252" s="54"/>
      <c r="N252" s="54"/>
      <c r="O252" s="54"/>
      <c r="P252" s="54"/>
      <c r="Q252" s="67" t="str">
        <f>IFERROR(__xludf.DUMMYFUNCTION("""COMPUTED_VALUE"""),"!!!")</f>
        <v>!!!</v>
      </c>
      <c r="R252" s="67" t="str">
        <f>IFERROR(__xludf.DUMMYFUNCTION("""COMPUTED_VALUE"""),"!!!")</f>
        <v>!!!</v>
      </c>
      <c r="S252" s="67" t="str">
        <f>IFERROR(__xludf.DUMMYFUNCTION("""COMPUTED_VALUE"""),"!!!")</f>
        <v>!!!</v>
      </c>
      <c r="T25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53">
      <c r="A253" s="72"/>
      <c r="B253" s="60" t="s">
        <v>6754</v>
      </c>
      <c r="C253" s="67" t="str">
        <f>IFERROR(__xludf.DUMMYFUNCTION("""COMPUTED_VALUE"""),"LD237")</f>
        <v>LD237</v>
      </c>
      <c r="D253" s="55" t="s">
        <v>188</v>
      </c>
      <c r="E253" s="55" t="s">
        <v>193</v>
      </c>
      <c r="F253" s="54"/>
      <c r="G253" s="44" t="s">
        <v>61</v>
      </c>
      <c r="H253" s="54"/>
      <c r="I253" s="54"/>
      <c r="J253" s="54"/>
      <c r="K253" s="55" t="s">
        <v>61</v>
      </c>
      <c r="L253" s="54"/>
      <c r="M253" s="54"/>
      <c r="N253" s="54"/>
      <c r="O253" s="54"/>
      <c r="P253" s="54"/>
      <c r="Q253" s="67" t="str">
        <f>IFERROR(__xludf.DUMMYFUNCTION("""COMPUTED_VALUE"""),"!!!")</f>
        <v>!!!</v>
      </c>
      <c r="R253" s="67" t="str">
        <f>IFERROR(__xludf.DUMMYFUNCTION("""COMPUTED_VALUE"""),"!!!")</f>
        <v>!!!</v>
      </c>
      <c r="S253" s="67" t="str">
        <f>IFERROR(__xludf.DUMMYFUNCTION("""COMPUTED_VALUE"""),"!!!")</f>
        <v>!!!</v>
      </c>
      <c r="T25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54">
      <c r="A254" s="72"/>
      <c r="B254" s="60" t="s">
        <v>6754</v>
      </c>
      <c r="C254" s="67" t="str">
        <f>IFERROR(__xludf.DUMMYFUNCTION("""COMPUTED_VALUE"""),"LD237")</f>
        <v>LD237</v>
      </c>
      <c r="D254" s="55" t="s">
        <v>188</v>
      </c>
      <c r="E254" s="55" t="s">
        <v>193</v>
      </c>
      <c r="F254" s="54"/>
      <c r="G254" s="44" t="s">
        <v>61</v>
      </c>
      <c r="H254" s="54"/>
      <c r="I254" s="54"/>
      <c r="J254" s="54"/>
      <c r="K254" s="55" t="s">
        <v>61</v>
      </c>
      <c r="L254" s="54"/>
      <c r="M254" s="54"/>
      <c r="N254" s="54"/>
      <c r="O254" s="54"/>
      <c r="P254" s="54"/>
      <c r="Q254" s="67" t="str">
        <f>IFERROR(__xludf.DUMMYFUNCTION("""COMPUTED_VALUE"""),"!!!")</f>
        <v>!!!</v>
      </c>
      <c r="R254" s="67" t="str">
        <f>IFERROR(__xludf.DUMMYFUNCTION("""COMPUTED_VALUE"""),"!!!")</f>
        <v>!!!</v>
      </c>
      <c r="S254" s="67" t="str">
        <f>IFERROR(__xludf.DUMMYFUNCTION("""COMPUTED_VALUE"""),"!!!")</f>
        <v>!!!</v>
      </c>
      <c r="T25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55">
      <c r="A255" s="72"/>
      <c r="B255" s="60" t="s">
        <v>6754</v>
      </c>
      <c r="C255" s="67" t="str">
        <f>IFERROR(__xludf.DUMMYFUNCTION("""COMPUTED_VALUE"""),"LD237")</f>
        <v>LD237</v>
      </c>
      <c r="D255" s="55" t="s">
        <v>188</v>
      </c>
      <c r="E255" s="55" t="s">
        <v>193</v>
      </c>
      <c r="F255" s="54"/>
      <c r="G255" s="44" t="s">
        <v>61</v>
      </c>
      <c r="H255" s="54"/>
      <c r="I255" s="54"/>
      <c r="J255" s="54"/>
      <c r="K255" s="55" t="s">
        <v>61</v>
      </c>
      <c r="L255" s="54"/>
      <c r="M255" s="54"/>
      <c r="N255" s="54"/>
      <c r="O255" s="54"/>
      <c r="P255" s="54"/>
      <c r="Q255" s="67" t="str">
        <f>IFERROR(__xludf.DUMMYFUNCTION("""COMPUTED_VALUE"""),"!!!")</f>
        <v>!!!</v>
      </c>
      <c r="R255" s="67" t="str">
        <f>IFERROR(__xludf.DUMMYFUNCTION("""COMPUTED_VALUE"""),"!!!")</f>
        <v>!!!</v>
      </c>
      <c r="S255" s="67" t="str">
        <f>IFERROR(__xludf.DUMMYFUNCTION("""COMPUTED_VALUE"""),"!!!")</f>
        <v>!!!</v>
      </c>
      <c r="T25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56">
      <c r="A256" s="72"/>
      <c r="B256" s="60" t="s">
        <v>6754</v>
      </c>
      <c r="C256" s="67" t="str">
        <f>IFERROR(__xludf.DUMMYFUNCTION("""COMPUTED_VALUE"""),"LD237")</f>
        <v>LD237</v>
      </c>
      <c r="D256" s="55" t="s">
        <v>188</v>
      </c>
      <c r="E256" s="55" t="s">
        <v>193</v>
      </c>
      <c r="F256" s="54"/>
      <c r="G256" s="44" t="s">
        <v>61</v>
      </c>
      <c r="H256" s="54"/>
      <c r="I256" s="54"/>
      <c r="J256" s="54"/>
      <c r="K256" s="55" t="s">
        <v>61</v>
      </c>
      <c r="L256" s="54"/>
      <c r="M256" s="54"/>
      <c r="N256" s="54"/>
      <c r="O256" s="54"/>
      <c r="P256" s="54"/>
      <c r="Q256" s="67" t="str">
        <f>IFERROR(__xludf.DUMMYFUNCTION("""COMPUTED_VALUE"""),"!!!")</f>
        <v>!!!</v>
      </c>
      <c r="R256" s="67" t="str">
        <f>IFERROR(__xludf.DUMMYFUNCTION("""COMPUTED_VALUE"""),"!!!")</f>
        <v>!!!</v>
      </c>
      <c r="S256" s="67" t="str">
        <f>IFERROR(__xludf.DUMMYFUNCTION("""COMPUTED_VALUE"""),"!!!")</f>
        <v>!!!</v>
      </c>
      <c r="T25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57">
      <c r="A257" s="72"/>
      <c r="B257" s="60" t="s">
        <v>6754</v>
      </c>
      <c r="C257" s="67" t="str">
        <f>IFERROR(__xludf.DUMMYFUNCTION("""COMPUTED_VALUE"""),"LD237")</f>
        <v>LD237</v>
      </c>
      <c r="D257" s="55" t="s">
        <v>188</v>
      </c>
      <c r="E257" s="55" t="s">
        <v>193</v>
      </c>
      <c r="F257" s="54"/>
      <c r="G257" s="44" t="s">
        <v>61</v>
      </c>
      <c r="H257" s="54"/>
      <c r="I257" s="54"/>
      <c r="J257" s="54"/>
      <c r="K257" s="55" t="s">
        <v>61</v>
      </c>
      <c r="L257" s="54"/>
      <c r="M257" s="54"/>
      <c r="N257" s="54"/>
      <c r="O257" s="54"/>
      <c r="P257" s="54"/>
      <c r="Q257" s="67" t="str">
        <f>IFERROR(__xludf.DUMMYFUNCTION("""COMPUTED_VALUE"""),"!!!")</f>
        <v>!!!</v>
      </c>
      <c r="R257" s="67" t="str">
        <f>IFERROR(__xludf.DUMMYFUNCTION("""COMPUTED_VALUE"""),"!!!")</f>
        <v>!!!</v>
      </c>
      <c r="S257" s="67" t="str">
        <f>IFERROR(__xludf.DUMMYFUNCTION("""COMPUTED_VALUE"""),"!!!")</f>
        <v>!!!</v>
      </c>
      <c r="T25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58">
      <c r="A258" s="72"/>
      <c r="B258" s="60" t="s">
        <v>6754</v>
      </c>
      <c r="C258" s="67" t="str">
        <f>IFERROR(__xludf.DUMMYFUNCTION("""COMPUTED_VALUE"""),"LD237")</f>
        <v>LD237</v>
      </c>
      <c r="D258" s="55" t="s">
        <v>188</v>
      </c>
      <c r="E258" s="55" t="s">
        <v>193</v>
      </c>
      <c r="F258" s="54"/>
      <c r="G258" s="44" t="s">
        <v>61</v>
      </c>
      <c r="H258" s="54"/>
      <c r="I258" s="54"/>
      <c r="J258" s="54"/>
      <c r="K258" s="55" t="s">
        <v>61</v>
      </c>
      <c r="L258" s="54"/>
      <c r="M258" s="54"/>
      <c r="N258" s="54"/>
      <c r="O258" s="54"/>
      <c r="P258" s="54"/>
      <c r="Q258" s="67" t="str">
        <f>IFERROR(__xludf.DUMMYFUNCTION("""COMPUTED_VALUE"""),"!!!")</f>
        <v>!!!</v>
      </c>
      <c r="R258" s="67" t="str">
        <f>IFERROR(__xludf.DUMMYFUNCTION("""COMPUTED_VALUE"""),"!!!")</f>
        <v>!!!</v>
      </c>
      <c r="S258" s="67" t="str">
        <f>IFERROR(__xludf.DUMMYFUNCTION("""COMPUTED_VALUE"""),"!!!")</f>
        <v>!!!</v>
      </c>
      <c r="T25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59">
      <c r="A259" s="72"/>
      <c r="B259" s="60" t="s">
        <v>6754</v>
      </c>
      <c r="C259" s="67" t="str">
        <f>IFERROR(__xludf.DUMMYFUNCTION("""COMPUTED_VALUE"""),"LD237")</f>
        <v>LD237</v>
      </c>
      <c r="D259" s="55" t="s">
        <v>188</v>
      </c>
      <c r="E259" s="55" t="s">
        <v>193</v>
      </c>
      <c r="F259" s="54"/>
      <c r="G259" s="44" t="s">
        <v>61</v>
      </c>
      <c r="H259" s="54"/>
      <c r="I259" s="54"/>
      <c r="J259" s="54"/>
      <c r="K259" s="55" t="s">
        <v>61</v>
      </c>
      <c r="L259" s="54"/>
      <c r="M259" s="54"/>
      <c r="N259" s="54"/>
      <c r="O259" s="54"/>
      <c r="P259" s="54"/>
      <c r="Q259" s="67" t="str">
        <f>IFERROR(__xludf.DUMMYFUNCTION("""COMPUTED_VALUE"""),"!!!")</f>
        <v>!!!</v>
      </c>
      <c r="R259" s="67" t="str">
        <f>IFERROR(__xludf.DUMMYFUNCTION("""COMPUTED_VALUE"""),"!!!")</f>
        <v>!!!</v>
      </c>
      <c r="S259" s="67" t="str">
        <f>IFERROR(__xludf.DUMMYFUNCTION("""COMPUTED_VALUE"""),"!!!")</f>
        <v>!!!</v>
      </c>
      <c r="T25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60">
      <c r="A260" s="72"/>
      <c r="B260" s="60" t="s">
        <v>6754</v>
      </c>
      <c r="C260" s="67" t="str">
        <f>IFERROR(__xludf.DUMMYFUNCTION("""COMPUTED_VALUE"""),"LD237")</f>
        <v>LD237</v>
      </c>
      <c r="D260" s="55" t="s">
        <v>188</v>
      </c>
      <c r="E260" s="55" t="s">
        <v>193</v>
      </c>
      <c r="F260" s="54"/>
      <c r="G260" s="44" t="s">
        <v>61</v>
      </c>
      <c r="H260" s="54"/>
      <c r="I260" s="54"/>
      <c r="J260" s="54"/>
      <c r="K260" s="55" t="s">
        <v>61</v>
      </c>
      <c r="L260" s="54"/>
      <c r="M260" s="54"/>
      <c r="N260" s="54"/>
      <c r="O260" s="54"/>
      <c r="P260" s="54"/>
      <c r="Q260" s="67" t="str">
        <f>IFERROR(__xludf.DUMMYFUNCTION("""COMPUTED_VALUE"""),"!!!")</f>
        <v>!!!</v>
      </c>
      <c r="R260" s="67" t="str">
        <f>IFERROR(__xludf.DUMMYFUNCTION("""COMPUTED_VALUE"""),"!!!")</f>
        <v>!!!</v>
      </c>
      <c r="S260" s="67" t="str">
        <f>IFERROR(__xludf.DUMMYFUNCTION("""COMPUTED_VALUE"""),"!!!")</f>
        <v>!!!</v>
      </c>
      <c r="T26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61">
      <c r="A261" s="72"/>
      <c r="B261" s="60" t="s">
        <v>6754</v>
      </c>
      <c r="C261" s="67" t="str">
        <f>IFERROR(__xludf.DUMMYFUNCTION("""COMPUTED_VALUE"""),"LD237")</f>
        <v>LD237</v>
      </c>
      <c r="D261" s="55" t="s">
        <v>188</v>
      </c>
      <c r="E261" s="55" t="s">
        <v>193</v>
      </c>
      <c r="F261" s="54"/>
      <c r="G261" s="44" t="s">
        <v>61</v>
      </c>
      <c r="H261" s="54"/>
      <c r="I261" s="54"/>
      <c r="J261" s="54"/>
      <c r="K261" s="55" t="s">
        <v>61</v>
      </c>
      <c r="L261" s="54"/>
      <c r="M261" s="54"/>
      <c r="N261" s="54"/>
      <c r="O261" s="54"/>
      <c r="P261" s="54"/>
      <c r="Q261" s="67" t="str">
        <f>IFERROR(__xludf.DUMMYFUNCTION("""COMPUTED_VALUE"""),"!!!")</f>
        <v>!!!</v>
      </c>
      <c r="R261" s="67" t="str">
        <f>IFERROR(__xludf.DUMMYFUNCTION("""COMPUTED_VALUE"""),"!!!")</f>
        <v>!!!</v>
      </c>
      <c r="S261" s="67" t="str">
        <f>IFERROR(__xludf.DUMMYFUNCTION("""COMPUTED_VALUE"""),"!!!")</f>
        <v>!!!</v>
      </c>
      <c r="T26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62">
      <c r="A262" s="72"/>
      <c r="B262" s="60" t="s">
        <v>6754</v>
      </c>
      <c r="C262" s="67" t="str">
        <f>IFERROR(__xludf.DUMMYFUNCTION("""COMPUTED_VALUE"""),"LD237")</f>
        <v>LD237</v>
      </c>
      <c r="D262" s="55" t="s">
        <v>188</v>
      </c>
      <c r="E262" s="55" t="s">
        <v>193</v>
      </c>
      <c r="F262" s="54"/>
      <c r="G262" s="44" t="s">
        <v>61</v>
      </c>
      <c r="H262" s="54"/>
      <c r="I262" s="54"/>
      <c r="J262" s="54"/>
      <c r="K262" s="55" t="s">
        <v>61</v>
      </c>
      <c r="L262" s="54"/>
      <c r="M262" s="54"/>
      <c r="N262" s="54"/>
      <c r="O262" s="54"/>
      <c r="P262" s="54"/>
      <c r="Q262" s="67" t="str">
        <f>IFERROR(__xludf.DUMMYFUNCTION("""COMPUTED_VALUE"""),"!!!")</f>
        <v>!!!</v>
      </c>
      <c r="R262" s="67" t="str">
        <f>IFERROR(__xludf.DUMMYFUNCTION("""COMPUTED_VALUE"""),"!!!")</f>
        <v>!!!</v>
      </c>
      <c r="S262" s="67" t="str">
        <f>IFERROR(__xludf.DUMMYFUNCTION("""COMPUTED_VALUE"""),"!!!")</f>
        <v>!!!</v>
      </c>
      <c r="T26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63">
      <c r="A263" s="72"/>
      <c r="B263" s="60" t="s">
        <v>6754</v>
      </c>
      <c r="C263" s="67" t="str">
        <f>IFERROR(__xludf.DUMMYFUNCTION("""COMPUTED_VALUE"""),"LD237")</f>
        <v>LD237</v>
      </c>
      <c r="D263" s="55" t="s">
        <v>188</v>
      </c>
      <c r="E263" s="55" t="s">
        <v>193</v>
      </c>
      <c r="F263" s="54"/>
      <c r="G263" s="44" t="s">
        <v>61</v>
      </c>
      <c r="H263" s="54"/>
      <c r="I263" s="54"/>
      <c r="J263" s="54"/>
      <c r="K263" s="55" t="s">
        <v>61</v>
      </c>
      <c r="L263" s="54"/>
      <c r="M263" s="54"/>
      <c r="N263" s="54"/>
      <c r="O263" s="54"/>
      <c r="P263" s="54"/>
      <c r="Q263" s="67" t="str">
        <f>IFERROR(__xludf.DUMMYFUNCTION("""COMPUTED_VALUE"""),"!!!")</f>
        <v>!!!</v>
      </c>
      <c r="R263" s="67" t="str">
        <f>IFERROR(__xludf.DUMMYFUNCTION("""COMPUTED_VALUE"""),"!!!")</f>
        <v>!!!</v>
      </c>
      <c r="S263" s="67" t="str">
        <f>IFERROR(__xludf.DUMMYFUNCTION("""COMPUTED_VALUE"""),"!!!")</f>
        <v>!!!</v>
      </c>
      <c r="T26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64">
      <c r="A264" s="72"/>
      <c r="B264" s="60" t="s">
        <v>6754</v>
      </c>
      <c r="C264" s="67" t="str">
        <f>IFERROR(__xludf.DUMMYFUNCTION("""COMPUTED_VALUE"""),"LD237")</f>
        <v>LD237</v>
      </c>
      <c r="D264" s="55" t="s">
        <v>188</v>
      </c>
      <c r="E264" s="55" t="s">
        <v>193</v>
      </c>
      <c r="F264" s="54"/>
      <c r="G264" s="44" t="s">
        <v>61</v>
      </c>
      <c r="H264" s="54"/>
      <c r="I264" s="54"/>
      <c r="J264" s="54"/>
      <c r="K264" s="55" t="s">
        <v>61</v>
      </c>
      <c r="L264" s="54"/>
      <c r="M264" s="54"/>
      <c r="N264" s="54"/>
      <c r="O264" s="54"/>
      <c r="P264" s="54"/>
      <c r="Q264" s="67" t="str">
        <f>IFERROR(__xludf.DUMMYFUNCTION("""COMPUTED_VALUE"""),"!!!")</f>
        <v>!!!</v>
      </c>
      <c r="R264" s="67" t="str">
        <f>IFERROR(__xludf.DUMMYFUNCTION("""COMPUTED_VALUE"""),"!!!")</f>
        <v>!!!</v>
      </c>
      <c r="S264" s="67" t="str">
        <f>IFERROR(__xludf.DUMMYFUNCTION("""COMPUTED_VALUE"""),"!!!")</f>
        <v>!!!</v>
      </c>
      <c r="T26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65">
      <c r="A265" s="72"/>
      <c r="B265" s="60" t="s">
        <v>6754</v>
      </c>
      <c r="C265" s="67" t="str">
        <f>IFERROR(__xludf.DUMMYFUNCTION("""COMPUTED_VALUE"""),"LD237")</f>
        <v>LD237</v>
      </c>
      <c r="D265" s="55" t="s">
        <v>188</v>
      </c>
      <c r="E265" s="55" t="s">
        <v>193</v>
      </c>
      <c r="F265" s="54"/>
      <c r="G265" s="44" t="s">
        <v>61</v>
      </c>
      <c r="H265" s="54"/>
      <c r="I265" s="54"/>
      <c r="J265" s="54"/>
      <c r="K265" s="55" t="s">
        <v>61</v>
      </c>
      <c r="L265" s="54"/>
      <c r="M265" s="54"/>
      <c r="N265" s="54"/>
      <c r="O265" s="54"/>
      <c r="P265" s="54"/>
      <c r="Q265" s="67" t="str">
        <f>IFERROR(__xludf.DUMMYFUNCTION("""COMPUTED_VALUE"""),"!!!")</f>
        <v>!!!</v>
      </c>
      <c r="R265" s="67" t="str">
        <f>IFERROR(__xludf.DUMMYFUNCTION("""COMPUTED_VALUE"""),"!!!")</f>
        <v>!!!</v>
      </c>
      <c r="S265" s="67" t="str">
        <f>IFERROR(__xludf.DUMMYFUNCTION("""COMPUTED_VALUE"""),"!!!")</f>
        <v>!!!</v>
      </c>
      <c r="T26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66">
      <c r="A266" s="72"/>
      <c r="B266" s="60" t="s">
        <v>6754</v>
      </c>
      <c r="C266" s="67" t="str">
        <f>IFERROR(__xludf.DUMMYFUNCTION("""COMPUTED_VALUE"""),"LD237")</f>
        <v>LD237</v>
      </c>
      <c r="D266" s="55" t="s">
        <v>188</v>
      </c>
      <c r="E266" s="55" t="s">
        <v>193</v>
      </c>
      <c r="F266" s="54"/>
      <c r="G266" s="44" t="s">
        <v>61</v>
      </c>
      <c r="H266" s="54"/>
      <c r="I266" s="54"/>
      <c r="J266" s="54"/>
      <c r="K266" s="55" t="s">
        <v>61</v>
      </c>
      <c r="L266" s="54"/>
      <c r="M266" s="54"/>
      <c r="N266" s="54"/>
      <c r="O266" s="54"/>
      <c r="P266" s="54"/>
      <c r="Q266" s="67" t="str">
        <f>IFERROR(__xludf.DUMMYFUNCTION("""COMPUTED_VALUE"""),"!!!")</f>
        <v>!!!</v>
      </c>
      <c r="R266" s="67" t="str">
        <f>IFERROR(__xludf.DUMMYFUNCTION("""COMPUTED_VALUE"""),"!!!")</f>
        <v>!!!</v>
      </c>
      <c r="S266" s="67" t="str">
        <f>IFERROR(__xludf.DUMMYFUNCTION("""COMPUTED_VALUE"""),"!!!")</f>
        <v>!!!</v>
      </c>
      <c r="T26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67">
      <c r="A267" s="72"/>
      <c r="B267" s="60" t="s">
        <v>6754</v>
      </c>
      <c r="C267" s="67" t="str">
        <f>IFERROR(__xludf.DUMMYFUNCTION("""COMPUTED_VALUE"""),"LD237")</f>
        <v>LD237</v>
      </c>
      <c r="D267" s="55" t="s">
        <v>188</v>
      </c>
      <c r="E267" s="55" t="s">
        <v>193</v>
      </c>
      <c r="F267" s="54"/>
      <c r="G267" s="44" t="s">
        <v>61</v>
      </c>
      <c r="H267" s="54"/>
      <c r="I267" s="54"/>
      <c r="J267" s="54"/>
      <c r="K267" s="55" t="s">
        <v>61</v>
      </c>
      <c r="L267" s="54"/>
      <c r="M267" s="54"/>
      <c r="N267" s="54"/>
      <c r="O267" s="54"/>
      <c r="P267" s="54"/>
      <c r="Q267" s="67" t="str">
        <f>IFERROR(__xludf.DUMMYFUNCTION("""COMPUTED_VALUE"""),"!!!")</f>
        <v>!!!</v>
      </c>
      <c r="R267" s="67" t="str">
        <f>IFERROR(__xludf.DUMMYFUNCTION("""COMPUTED_VALUE"""),"!!!")</f>
        <v>!!!</v>
      </c>
      <c r="S267" s="67" t="str">
        <f>IFERROR(__xludf.DUMMYFUNCTION("""COMPUTED_VALUE"""),"!!!")</f>
        <v>!!!</v>
      </c>
      <c r="T26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68">
      <c r="A268" s="72"/>
      <c r="B268" s="60" t="s">
        <v>6754</v>
      </c>
      <c r="C268" s="67" t="str">
        <f>IFERROR(__xludf.DUMMYFUNCTION("""COMPUTED_VALUE"""),"LD237")</f>
        <v>LD237</v>
      </c>
      <c r="D268" s="55" t="s">
        <v>188</v>
      </c>
      <c r="E268" s="55" t="s">
        <v>193</v>
      </c>
      <c r="F268" s="54"/>
      <c r="G268" s="44" t="s">
        <v>61</v>
      </c>
      <c r="H268" s="54"/>
      <c r="I268" s="54"/>
      <c r="J268" s="54"/>
      <c r="K268" s="55" t="s">
        <v>61</v>
      </c>
      <c r="L268" s="54"/>
      <c r="M268" s="54"/>
      <c r="N268" s="54"/>
      <c r="O268" s="54"/>
      <c r="P268" s="54"/>
      <c r="Q268" s="67" t="str">
        <f>IFERROR(__xludf.DUMMYFUNCTION("""COMPUTED_VALUE"""),"!!!")</f>
        <v>!!!</v>
      </c>
      <c r="R268" s="67" t="str">
        <f>IFERROR(__xludf.DUMMYFUNCTION("""COMPUTED_VALUE"""),"!!!")</f>
        <v>!!!</v>
      </c>
      <c r="S268" s="67" t="str">
        <f>IFERROR(__xludf.DUMMYFUNCTION("""COMPUTED_VALUE"""),"!!!")</f>
        <v>!!!</v>
      </c>
      <c r="T26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69">
      <c r="A269" s="72"/>
      <c r="B269" s="60" t="s">
        <v>6754</v>
      </c>
      <c r="C269" s="67" t="str">
        <f>IFERROR(__xludf.DUMMYFUNCTION("""COMPUTED_VALUE"""),"LD237")</f>
        <v>LD237</v>
      </c>
      <c r="D269" s="55" t="s">
        <v>188</v>
      </c>
      <c r="E269" s="55" t="s">
        <v>193</v>
      </c>
      <c r="F269" s="54"/>
      <c r="G269" s="44" t="s">
        <v>61</v>
      </c>
      <c r="H269" s="54"/>
      <c r="I269" s="54"/>
      <c r="J269" s="54"/>
      <c r="K269" s="55" t="s">
        <v>61</v>
      </c>
      <c r="L269" s="54"/>
      <c r="M269" s="54"/>
      <c r="N269" s="54"/>
      <c r="O269" s="54"/>
      <c r="P269" s="54"/>
      <c r="Q269" s="67" t="str">
        <f>IFERROR(__xludf.DUMMYFUNCTION("""COMPUTED_VALUE"""),"!!!")</f>
        <v>!!!</v>
      </c>
      <c r="R269" s="67" t="str">
        <f>IFERROR(__xludf.DUMMYFUNCTION("""COMPUTED_VALUE"""),"!!!")</f>
        <v>!!!</v>
      </c>
      <c r="S269" s="67" t="str">
        <f>IFERROR(__xludf.DUMMYFUNCTION("""COMPUTED_VALUE"""),"!!!")</f>
        <v>!!!</v>
      </c>
      <c r="T26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70">
      <c r="A270" s="72"/>
      <c r="B270" s="60" t="s">
        <v>6754</v>
      </c>
      <c r="C270" s="67" t="str">
        <f>IFERROR(__xludf.DUMMYFUNCTION("""COMPUTED_VALUE"""),"LD237")</f>
        <v>LD237</v>
      </c>
      <c r="D270" s="55" t="s">
        <v>188</v>
      </c>
      <c r="E270" s="55" t="s">
        <v>193</v>
      </c>
      <c r="F270" s="54"/>
      <c r="G270" s="44" t="s">
        <v>61</v>
      </c>
      <c r="H270" s="54"/>
      <c r="I270" s="54"/>
      <c r="J270" s="54"/>
      <c r="K270" s="55" t="s">
        <v>61</v>
      </c>
      <c r="L270" s="54"/>
      <c r="M270" s="54"/>
      <c r="N270" s="54"/>
      <c r="O270" s="54"/>
      <c r="P270" s="54"/>
      <c r="Q270" s="67" t="str">
        <f>IFERROR(__xludf.DUMMYFUNCTION("""COMPUTED_VALUE"""),"!!!")</f>
        <v>!!!</v>
      </c>
      <c r="R270" s="67" t="str">
        <f>IFERROR(__xludf.DUMMYFUNCTION("""COMPUTED_VALUE"""),"!!!")</f>
        <v>!!!</v>
      </c>
      <c r="S270" s="67" t="str">
        <f>IFERROR(__xludf.DUMMYFUNCTION("""COMPUTED_VALUE"""),"!!!")</f>
        <v>!!!</v>
      </c>
      <c r="T27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71">
      <c r="A271" s="72"/>
      <c r="B271" s="60" t="s">
        <v>6754</v>
      </c>
      <c r="C271" s="67" t="str">
        <f>IFERROR(__xludf.DUMMYFUNCTION("""COMPUTED_VALUE"""),"LD237")</f>
        <v>LD237</v>
      </c>
      <c r="D271" s="55" t="s">
        <v>188</v>
      </c>
      <c r="E271" s="55" t="s">
        <v>193</v>
      </c>
      <c r="F271" s="54"/>
      <c r="G271" s="44" t="s">
        <v>61</v>
      </c>
      <c r="H271" s="54"/>
      <c r="I271" s="54"/>
      <c r="J271" s="54"/>
      <c r="K271" s="55" t="s">
        <v>61</v>
      </c>
      <c r="L271" s="54"/>
      <c r="M271" s="54"/>
      <c r="N271" s="54"/>
      <c r="O271" s="54"/>
      <c r="P271" s="54"/>
      <c r="Q271" s="67" t="str">
        <f>IFERROR(__xludf.DUMMYFUNCTION("""COMPUTED_VALUE"""),"!!!")</f>
        <v>!!!</v>
      </c>
      <c r="R271" s="67" t="str">
        <f>IFERROR(__xludf.DUMMYFUNCTION("""COMPUTED_VALUE"""),"!!!")</f>
        <v>!!!</v>
      </c>
      <c r="S271" s="67" t="str">
        <f>IFERROR(__xludf.DUMMYFUNCTION("""COMPUTED_VALUE"""),"!!!")</f>
        <v>!!!</v>
      </c>
      <c r="T27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72">
      <c r="A272" s="72"/>
      <c r="B272" s="60" t="s">
        <v>6754</v>
      </c>
      <c r="C272" s="67" t="str">
        <f>IFERROR(__xludf.DUMMYFUNCTION("""COMPUTED_VALUE"""),"LD237")</f>
        <v>LD237</v>
      </c>
      <c r="D272" s="55" t="s">
        <v>188</v>
      </c>
      <c r="E272" s="55" t="s">
        <v>193</v>
      </c>
      <c r="F272" s="54"/>
      <c r="G272" s="44" t="s">
        <v>61</v>
      </c>
      <c r="H272" s="54"/>
      <c r="I272" s="54"/>
      <c r="J272" s="54"/>
      <c r="K272" s="55" t="s">
        <v>61</v>
      </c>
      <c r="L272" s="54"/>
      <c r="M272" s="54"/>
      <c r="N272" s="54"/>
      <c r="O272" s="54"/>
      <c r="P272" s="54"/>
      <c r="Q272" s="67" t="str">
        <f>IFERROR(__xludf.DUMMYFUNCTION("""COMPUTED_VALUE"""),"!!!")</f>
        <v>!!!</v>
      </c>
      <c r="R272" s="67" t="str">
        <f>IFERROR(__xludf.DUMMYFUNCTION("""COMPUTED_VALUE"""),"!!!")</f>
        <v>!!!</v>
      </c>
      <c r="S272" s="67" t="str">
        <f>IFERROR(__xludf.DUMMYFUNCTION("""COMPUTED_VALUE"""),"!!!")</f>
        <v>!!!</v>
      </c>
      <c r="T27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73">
      <c r="A273" s="72"/>
      <c r="B273" s="60" t="s">
        <v>6754</v>
      </c>
      <c r="C273" s="67" t="str">
        <f>IFERROR(__xludf.DUMMYFUNCTION("""COMPUTED_VALUE"""),"LD237")</f>
        <v>LD237</v>
      </c>
      <c r="D273" s="55" t="s">
        <v>188</v>
      </c>
      <c r="E273" s="55" t="s">
        <v>193</v>
      </c>
      <c r="F273" s="54"/>
      <c r="G273" s="44" t="s">
        <v>61</v>
      </c>
      <c r="H273" s="54"/>
      <c r="I273" s="54"/>
      <c r="J273" s="54"/>
      <c r="K273" s="55" t="s">
        <v>61</v>
      </c>
      <c r="L273" s="54"/>
      <c r="M273" s="54"/>
      <c r="N273" s="54"/>
      <c r="O273" s="54"/>
      <c r="P273" s="54"/>
      <c r="Q273" s="67" t="str">
        <f>IFERROR(__xludf.DUMMYFUNCTION("""COMPUTED_VALUE"""),"!!!")</f>
        <v>!!!</v>
      </c>
      <c r="R273" s="67" t="str">
        <f>IFERROR(__xludf.DUMMYFUNCTION("""COMPUTED_VALUE"""),"!!!")</f>
        <v>!!!</v>
      </c>
      <c r="S273" s="67" t="str">
        <f>IFERROR(__xludf.DUMMYFUNCTION("""COMPUTED_VALUE"""),"!!!")</f>
        <v>!!!</v>
      </c>
      <c r="T27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74">
      <c r="A274" s="72"/>
      <c r="B274" s="60" t="s">
        <v>6754</v>
      </c>
      <c r="C274" s="67" t="str">
        <f>IFERROR(__xludf.DUMMYFUNCTION("""COMPUTED_VALUE"""),"LD237")</f>
        <v>LD237</v>
      </c>
      <c r="D274" s="55" t="s">
        <v>188</v>
      </c>
      <c r="E274" s="55" t="s">
        <v>193</v>
      </c>
      <c r="F274" s="54"/>
      <c r="G274" s="44" t="s">
        <v>61</v>
      </c>
      <c r="H274" s="54"/>
      <c r="I274" s="54"/>
      <c r="J274" s="54"/>
      <c r="K274" s="55" t="s">
        <v>61</v>
      </c>
      <c r="L274" s="54"/>
      <c r="M274" s="54"/>
      <c r="N274" s="54"/>
      <c r="O274" s="54"/>
      <c r="P274" s="54"/>
      <c r="Q274" s="67" t="str">
        <f>IFERROR(__xludf.DUMMYFUNCTION("""COMPUTED_VALUE"""),"!!!")</f>
        <v>!!!</v>
      </c>
      <c r="R274" s="67" t="str">
        <f>IFERROR(__xludf.DUMMYFUNCTION("""COMPUTED_VALUE"""),"!!!")</f>
        <v>!!!</v>
      </c>
      <c r="S274" s="67" t="str">
        <f>IFERROR(__xludf.DUMMYFUNCTION("""COMPUTED_VALUE"""),"!!!")</f>
        <v>!!!</v>
      </c>
      <c r="T27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75">
      <c r="A275" s="72"/>
      <c r="B275" s="60" t="s">
        <v>6754</v>
      </c>
      <c r="C275" s="67" t="str">
        <f>IFERROR(__xludf.DUMMYFUNCTION("""COMPUTED_VALUE"""),"LD237")</f>
        <v>LD237</v>
      </c>
      <c r="D275" s="55" t="s">
        <v>188</v>
      </c>
      <c r="E275" s="55" t="s">
        <v>193</v>
      </c>
      <c r="F275" s="54"/>
      <c r="G275" s="44" t="s">
        <v>61</v>
      </c>
      <c r="H275" s="54"/>
      <c r="I275" s="54"/>
      <c r="J275" s="54"/>
      <c r="K275" s="55" t="s">
        <v>61</v>
      </c>
      <c r="L275" s="54"/>
      <c r="M275" s="54"/>
      <c r="N275" s="54"/>
      <c r="O275" s="54"/>
      <c r="P275" s="54"/>
      <c r="Q275" s="67" t="str">
        <f>IFERROR(__xludf.DUMMYFUNCTION("""COMPUTED_VALUE"""),"!!!")</f>
        <v>!!!</v>
      </c>
      <c r="R275" s="67" t="str">
        <f>IFERROR(__xludf.DUMMYFUNCTION("""COMPUTED_VALUE"""),"!!!")</f>
        <v>!!!</v>
      </c>
      <c r="S275" s="67" t="str">
        <f>IFERROR(__xludf.DUMMYFUNCTION("""COMPUTED_VALUE"""),"!!!")</f>
        <v>!!!</v>
      </c>
      <c r="T27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76">
      <c r="A276" s="72"/>
      <c r="B276" s="60" t="s">
        <v>6754</v>
      </c>
      <c r="C276" s="67" t="str">
        <f>IFERROR(__xludf.DUMMYFUNCTION("""COMPUTED_VALUE"""),"LD237")</f>
        <v>LD237</v>
      </c>
      <c r="D276" s="55" t="s">
        <v>188</v>
      </c>
      <c r="E276" s="55" t="s">
        <v>193</v>
      </c>
      <c r="F276" s="54"/>
      <c r="G276" s="44" t="s">
        <v>61</v>
      </c>
      <c r="H276" s="54"/>
      <c r="I276" s="54"/>
      <c r="J276" s="54"/>
      <c r="K276" s="55" t="s">
        <v>61</v>
      </c>
      <c r="L276" s="54"/>
      <c r="M276" s="54"/>
      <c r="N276" s="54"/>
      <c r="O276" s="54"/>
      <c r="P276" s="54"/>
      <c r="Q276" s="67" t="str">
        <f>IFERROR(__xludf.DUMMYFUNCTION("""COMPUTED_VALUE"""),"!!!")</f>
        <v>!!!</v>
      </c>
      <c r="R276" s="67" t="str">
        <f>IFERROR(__xludf.DUMMYFUNCTION("""COMPUTED_VALUE"""),"!!!")</f>
        <v>!!!</v>
      </c>
      <c r="S276" s="67" t="str">
        <f>IFERROR(__xludf.DUMMYFUNCTION("""COMPUTED_VALUE"""),"!!!")</f>
        <v>!!!</v>
      </c>
      <c r="T27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77">
      <c r="A277" s="72"/>
      <c r="B277" s="60" t="s">
        <v>6754</v>
      </c>
      <c r="C277" s="67" t="str">
        <f>IFERROR(__xludf.DUMMYFUNCTION("""COMPUTED_VALUE"""),"LD237")</f>
        <v>LD237</v>
      </c>
      <c r="D277" s="55" t="s">
        <v>188</v>
      </c>
      <c r="E277" s="55" t="s">
        <v>193</v>
      </c>
      <c r="F277" s="54"/>
      <c r="G277" s="44" t="s">
        <v>61</v>
      </c>
      <c r="H277" s="54"/>
      <c r="I277" s="54"/>
      <c r="J277" s="54"/>
      <c r="K277" s="55" t="s">
        <v>61</v>
      </c>
      <c r="L277" s="54"/>
      <c r="M277" s="54"/>
      <c r="N277" s="54"/>
      <c r="O277" s="54"/>
      <c r="P277" s="54"/>
      <c r="Q277" s="67" t="str">
        <f>IFERROR(__xludf.DUMMYFUNCTION("""COMPUTED_VALUE"""),"!!!")</f>
        <v>!!!</v>
      </c>
      <c r="R277" s="67" t="str">
        <f>IFERROR(__xludf.DUMMYFUNCTION("""COMPUTED_VALUE"""),"!!!")</f>
        <v>!!!</v>
      </c>
      <c r="S277" s="67" t="str">
        <f>IFERROR(__xludf.DUMMYFUNCTION("""COMPUTED_VALUE"""),"!!!")</f>
        <v>!!!</v>
      </c>
      <c r="T27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78">
      <c r="A278" s="72"/>
      <c r="B278" s="60" t="s">
        <v>6754</v>
      </c>
      <c r="C278" s="67" t="str">
        <f>IFERROR(__xludf.DUMMYFUNCTION("""COMPUTED_VALUE"""),"LD237")</f>
        <v>LD237</v>
      </c>
      <c r="D278" s="55" t="s">
        <v>188</v>
      </c>
      <c r="E278" s="55" t="s">
        <v>193</v>
      </c>
      <c r="F278" s="54"/>
      <c r="G278" s="44" t="s">
        <v>61</v>
      </c>
      <c r="H278" s="54"/>
      <c r="I278" s="54"/>
      <c r="J278" s="54"/>
      <c r="K278" s="55" t="s">
        <v>61</v>
      </c>
      <c r="L278" s="54"/>
      <c r="M278" s="54"/>
      <c r="N278" s="54"/>
      <c r="O278" s="54"/>
      <c r="P278" s="54"/>
      <c r="Q278" s="67" t="str">
        <f>IFERROR(__xludf.DUMMYFUNCTION("""COMPUTED_VALUE"""),"!!!")</f>
        <v>!!!</v>
      </c>
      <c r="R278" s="67" t="str">
        <f>IFERROR(__xludf.DUMMYFUNCTION("""COMPUTED_VALUE"""),"!!!")</f>
        <v>!!!</v>
      </c>
      <c r="S278" s="67" t="str">
        <f>IFERROR(__xludf.DUMMYFUNCTION("""COMPUTED_VALUE"""),"!!!")</f>
        <v>!!!</v>
      </c>
      <c r="T27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79">
      <c r="A279" s="72"/>
      <c r="B279" s="60" t="s">
        <v>6754</v>
      </c>
      <c r="C279" s="67" t="str">
        <f>IFERROR(__xludf.DUMMYFUNCTION("""COMPUTED_VALUE"""),"LD237")</f>
        <v>LD237</v>
      </c>
      <c r="D279" s="55" t="s">
        <v>188</v>
      </c>
      <c r="E279" s="55" t="s">
        <v>193</v>
      </c>
      <c r="F279" s="54"/>
      <c r="G279" s="44" t="s">
        <v>61</v>
      </c>
      <c r="H279" s="54"/>
      <c r="I279" s="54"/>
      <c r="J279" s="54"/>
      <c r="K279" s="55" t="s">
        <v>61</v>
      </c>
      <c r="L279" s="54"/>
      <c r="M279" s="54"/>
      <c r="N279" s="54"/>
      <c r="O279" s="54"/>
      <c r="P279" s="54"/>
      <c r="Q279" s="67" t="str">
        <f>IFERROR(__xludf.DUMMYFUNCTION("""COMPUTED_VALUE"""),"!!!")</f>
        <v>!!!</v>
      </c>
      <c r="R279" s="67" t="str">
        <f>IFERROR(__xludf.DUMMYFUNCTION("""COMPUTED_VALUE"""),"!!!")</f>
        <v>!!!</v>
      </c>
      <c r="S279" s="67" t="str">
        <f>IFERROR(__xludf.DUMMYFUNCTION("""COMPUTED_VALUE"""),"!!!")</f>
        <v>!!!</v>
      </c>
      <c r="T27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80">
      <c r="A280" s="72"/>
      <c r="B280" s="60" t="s">
        <v>6754</v>
      </c>
      <c r="C280" s="67" t="str">
        <f>IFERROR(__xludf.DUMMYFUNCTION("""COMPUTED_VALUE"""),"LD237")</f>
        <v>LD237</v>
      </c>
      <c r="D280" s="55" t="s">
        <v>188</v>
      </c>
      <c r="E280" s="55" t="s">
        <v>193</v>
      </c>
      <c r="F280" s="54"/>
      <c r="G280" s="44" t="s">
        <v>61</v>
      </c>
      <c r="H280" s="54"/>
      <c r="I280" s="54"/>
      <c r="J280" s="54"/>
      <c r="K280" s="55" t="s">
        <v>61</v>
      </c>
      <c r="L280" s="54"/>
      <c r="M280" s="54"/>
      <c r="N280" s="54"/>
      <c r="O280" s="54"/>
      <c r="P280" s="54"/>
      <c r="Q280" s="67" t="str">
        <f>IFERROR(__xludf.DUMMYFUNCTION("""COMPUTED_VALUE"""),"!!!")</f>
        <v>!!!</v>
      </c>
      <c r="R280" s="67" t="str">
        <f>IFERROR(__xludf.DUMMYFUNCTION("""COMPUTED_VALUE"""),"!!!")</f>
        <v>!!!</v>
      </c>
      <c r="S280" s="67" t="str">
        <f>IFERROR(__xludf.DUMMYFUNCTION("""COMPUTED_VALUE"""),"!!!")</f>
        <v>!!!</v>
      </c>
      <c r="T28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81">
      <c r="A281" s="72"/>
      <c r="B281" s="60" t="s">
        <v>6754</v>
      </c>
      <c r="C281" s="67" t="str">
        <f>IFERROR(__xludf.DUMMYFUNCTION("""COMPUTED_VALUE"""),"LD237")</f>
        <v>LD237</v>
      </c>
      <c r="D281" s="55" t="s">
        <v>188</v>
      </c>
      <c r="E281" s="55" t="s">
        <v>193</v>
      </c>
      <c r="F281" s="54"/>
      <c r="G281" s="44" t="s">
        <v>61</v>
      </c>
      <c r="H281" s="54"/>
      <c r="I281" s="54"/>
      <c r="J281" s="54"/>
      <c r="K281" s="55" t="s">
        <v>61</v>
      </c>
      <c r="L281" s="54"/>
      <c r="M281" s="54"/>
      <c r="N281" s="54"/>
      <c r="O281" s="54"/>
      <c r="P281" s="54"/>
      <c r="Q281" s="67" t="str">
        <f>IFERROR(__xludf.DUMMYFUNCTION("""COMPUTED_VALUE"""),"!!!")</f>
        <v>!!!</v>
      </c>
      <c r="R281" s="67" t="str">
        <f>IFERROR(__xludf.DUMMYFUNCTION("""COMPUTED_VALUE"""),"!!!")</f>
        <v>!!!</v>
      </c>
      <c r="S281" s="67" t="str">
        <f>IFERROR(__xludf.DUMMYFUNCTION("""COMPUTED_VALUE"""),"!!!")</f>
        <v>!!!</v>
      </c>
      <c r="T28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82">
      <c r="A282" s="72"/>
      <c r="B282" s="60" t="s">
        <v>6754</v>
      </c>
      <c r="C282" s="67" t="str">
        <f>IFERROR(__xludf.DUMMYFUNCTION("""COMPUTED_VALUE"""),"LD237")</f>
        <v>LD237</v>
      </c>
      <c r="D282" s="55" t="s">
        <v>188</v>
      </c>
      <c r="E282" s="55" t="s">
        <v>193</v>
      </c>
      <c r="F282" s="54"/>
      <c r="G282" s="44" t="s">
        <v>61</v>
      </c>
      <c r="H282" s="54"/>
      <c r="I282" s="54"/>
      <c r="J282" s="54"/>
      <c r="K282" s="55" t="s">
        <v>61</v>
      </c>
      <c r="L282" s="54"/>
      <c r="M282" s="54"/>
      <c r="N282" s="54"/>
      <c r="O282" s="54"/>
      <c r="P282" s="54"/>
      <c r="Q282" s="67" t="str">
        <f>IFERROR(__xludf.DUMMYFUNCTION("""COMPUTED_VALUE"""),"!!!")</f>
        <v>!!!</v>
      </c>
      <c r="R282" s="67" t="str">
        <f>IFERROR(__xludf.DUMMYFUNCTION("""COMPUTED_VALUE"""),"!!!")</f>
        <v>!!!</v>
      </c>
      <c r="S282" s="67" t="str">
        <f>IFERROR(__xludf.DUMMYFUNCTION("""COMPUTED_VALUE"""),"!!!")</f>
        <v>!!!</v>
      </c>
      <c r="T28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83">
      <c r="A283" s="72"/>
      <c r="B283" s="60" t="s">
        <v>6754</v>
      </c>
      <c r="C283" s="67" t="str">
        <f>IFERROR(__xludf.DUMMYFUNCTION("""COMPUTED_VALUE"""),"LD237")</f>
        <v>LD237</v>
      </c>
      <c r="D283" s="55" t="s">
        <v>188</v>
      </c>
      <c r="E283" s="55" t="s">
        <v>193</v>
      </c>
      <c r="F283" s="54"/>
      <c r="G283" s="44" t="s">
        <v>61</v>
      </c>
      <c r="H283" s="54"/>
      <c r="I283" s="54"/>
      <c r="J283" s="54"/>
      <c r="K283" s="55" t="s">
        <v>61</v>
      </c>
      <c r="L283" s="54"/>
      <c r="M283" s="54"/>
      <c r="N283" s="54"/>
      <c r="O283" s="54"/>
      <c r="P283" s="54"/>
      <c r="Q283" s="67" t="str">
        <f>IFERROR(__xludf.DUMMYFUNCTION("""COMPUTED_VALUE"""),"!!!")</f>
        <v>!!!</v>
      </c>
      <c r="R283" s="67" t="str">
        <f>IFERROR(__xludf.DUMMYFUNCTION("""COMPUTED_VALUE"""),"!!!")</f>
        <v>!!!</v>
      </c>
      <c r="S283" s="67" t="str">
        <f>IFERROR(__xludf.DUMMYFUNCTION("""COMPUTED_VALUE"""),"!!!")</f>
        <v>!!!</v>
      </c>
      <c r="T28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84">
      <c r="A284" s="72"/>
      <c r="B284" s="60" t="s">
        <v>6754</v>
      </c>
      <c r="C284" s="67" t="str">
        <f>IFERROR(__xludf.DUMMYFUNCTION("""COMPUTED_VALUE"""),"LD237")</f>
        <v>LD237</v>
      </c>
      <c r="D284" s="55" t="s">
        <v>188</v>
      </c>
      <c r="E284" s="55" t="s">
        <v>193</v>
      </c>
      <c r="F284" s="54"/>
      <c r="G284" s="44" t="s">
        <v>61</v>
      </c>
      <c r="H284" s="54"/>
      <c r="I284" s="54"/>
      <c r="J284" s="54"/>
      <c r="K284" s="55" t="s">
        <v>61</v>
      </c>
      <c r="L284" s="54"/>
      <c r="M284" s="54"/>
      <c r="N284" s="54"/>
      <c r="O284" s="54"/>
      <c r="P284" s="54"/>
      <c r="Q284" s="67" t="str">
        <f>IFERROR(__xludf.DUMMYFUNCTION("""COMPUTED_VALUE"""),"!!!")</f>
        <v>!!!</v>
      </c>
      <c r="R284" s="67" t="str">
        <f>IFERROR(__xludf.DUMMYFUNCTION("""COMPUTED_VALUE"""),"!!!")</f>
        <v>!!!</v>
      </c>
      <c r="S284" s="67" t="str">
        <f>IFERROR(__xludf.DUMMYFUNCTION("""COMPUTED_VALUE"""),"!!!")</f>
        <v>!!!</v>
      </c>
      <c r="T28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85">
      <c r="A285" s="72"/>
      <c r="B285" s="60" t="s">
        <v>6754</v>
      </c>
      <c r="C285" s="67" t="str">
        <f>IFERROR(__xludf.DUMMYFUNCTION("""COMPUTED_VALUE"""),"LD237")</f>
        <v>LD237</v>
      </c>
      <c r="D285" s="55" t="s">
        <v>188</v>
      </c>
      <c r="E285" s="55" t="s">
        <v>193</v>
      </c>
      <c r="F285" s="54"/>
      <c r="G285" s="44" t="s">
        <v>61</v>
      </c>
      <c r="H285" s="54"/>
      <c r="I285" s="54"/>
      <c r="J285" s="54"/>
      <c r="K285" s="55" t="s">
        <v>61</v>
      </c>
      <c r="L285" s="54"/>
      <c r="M285" s="54"/>
      <c r="N285" s="54"/>
      <c r="O285" s="54"/>
      <c r="P285" s="54"/>
      <c r="Q285" s="67" t="str">
        <f>IFERROR(__xludf.DUMMYFUNCTION("""COMPUTED_VALUE"""),"!!!")</f>
        <v>!!!</v>
      </c>
      <c r="R285" s="67" t="str">
        <f>IFERROR(__xludf.DUMMYFUNCTION("""COMPUTED_VALUE"""),"!!!")</f>
        <v>!!!</v>
      </c>
      <c r="S285" s="67" t="str">
        <f>IFERROR(__xludf.DUMMYFUNCTION("""COMPUTED_VALUE"""),"!!!")</f>
        <v>!!!</v>
      </c>
      <c r="T28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86">
      <c r="A286" s="72"/>
      <c r="B286" s="60" t="s">
        <v>6754</v>
      </c>
      <c r="C286" s="67" t="str">
        <f>IFERROR(__xludf.DUMMYFUNCTION("""COMPUTED_VALUE"""),"LD237")</f>
        <v>LD237</v>
      </c>
      <c r="D286" s="55" t="s">
        <v>188</v>
      </c>
      <c r="E286" s="55" t="s">
        <v>193</v>
      </c>
      <c r="F286" s="54"/>
      <c r="G286" s="44" t="s">
        <v>61</v>
      </c>
      <c r="H286" s="54"/>
      <c r="I286" s="54"/>
      <c r="J286" s="54"/>
      <c r="K286" s="55" t="s">
        <v>61</v>
      </c>
      <c r="L286" s="54"/>
      <c r="M286" s="54"/>
      <c r="N286" s="54"/>
      <c r="O286" s="54"/>
      <c r="P286" s="54"/>
      <c r="Q286" s="67" t="str">
        <f>IFERROR(__xludf.DUMMYFUNCTION("""COMPUTED_VALUE"""),"!!!")</f>
        <v>!!!</v>
      </c>
      <c r="R286" s="67" t="str">
        <f>IFERROR(__xludf.DUMMYFUNCTION("""COMPUTED_VALUE"""),"!!!")</f>
        <v>!!!</v>
      </c>
      <c r="S286" s="67" t="str">
        <f>IFERROR(__xludf.DUMMYFUNCTION("""COMPUTED_VALUE"""),"!!!")</f>
        <v>!!!</v>
      </c>
      <c r="T28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87">
      <c r="A287" s="72"/>
      <c r="B287" s="60" t="s">
        <v>6754</v>
      </c>
      <c r="C287" s="67" t="str">
        <f>IFERROR(__xludf.DUMMYFUNCTION("""COMPUTED_VALUE"""),"LD237")</f>
        <v>LD237</v>
      </c>
      <c r="D287" s="55" t="s">
        <v>188</v>
      </c>
      <c r="E287" s="55" t="s">
        <v>193</v>
      </c>
      <c r="F287" s="54"/>
      <c r="G287" s="44" t="s">
        <v>61</v>
      </c>
      <c r="H287" s="54"/>
      <c r="I287" s="54"/>
      <c r="J287" s="54"/>
      <c r="K287" s="55" t="s">
        <v>61</v>
      </c>
      <c r="L287" s="54"/>
      <c r="M287" s="54"/>
      <c r="N287" s="54"/>
      <c r="O287" s="54"/>
      <c r="P287" s="54"/>
      <c r="Q287" s="67" t="str">
        <f>IFERROR(__xludf.DUMMYFUNCTION("""COMPUTED_VALUE"""),"!!!")</f>
        <v>!!!</v>
      </c>
      <c r="R287" s="67" t="str">
        <f>IFERROR(__xludf.DUMMYFUNCTION("""COMPUTED_VALUE"""),"!!!")</f>
        <v>!!!</v>
      </c>
      <c r="S287" s="67" t="str">
        <f>IFERROR(__xludf.DUMMYFUNCTION("""COMPUTED_VALUE"""),"!!!")</f>
        <v>!!!</v>
      </c>
      <c r="T28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88">
      <c r="A288" s="72"/>
      <c r="B288" s="60" t="s">
        <v>6754</v>
      </c>
      <c r="C288" s="67" t="str">
        <f>IFERROR(__xludf.DUMMYFUNCTION("""COMPUTED_VALUE"""),"LD237")</f>
        <v>LD237</v>
      </c>
      <c r="D288" s="55" t="s">
        <v>188</v>
      </c>
      <c r="E288" s="55" t="s">
        <v>193</v>
      </c>
      <c r="F288" s="54"/>
      <c r="G288" s="44" t="s">
        <v>61</v>
      </c>
      <c r="H288" s="54"/>
      <c r="I288" s="54"/>
      <c r="J288" s="54"/>
      <c r="K288" s="55" t="s">
        <v>61</v>
      </c>
      <c r="L288" s="54"/>
      <c r="M288" s="54"/>
      <c r="N288" s="54"/>
      <c r="O288" s="54"/>
      <c r="P288" s="54"/>
      <c r="Q288" s="67" t="str">
        <f>IFERROR(__xludf.DUMMYFUNCTION("""COMPUTED_VALUE"""),"!!!")</f>
        <v>!!!</v>
      </c>
      <c r="R288" s="67" t="str">
        <f>IFERROR(__xludf.DUMMYFUNCTION("""COMPUTED_VALUE"""),"!!!")</f>
        <v>!!!</v>
      </c>
      <c r="S288" s="67" t="str">
        <f>IFERROR(__xludf.DUMMYFUNCTION("""COMPUTED_VALUE"""),"!!!")</f>
        <v>!!!</v>
      </c>
      <c r="T28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89">
      <c r="A289" s="72"/>
      <c r="B289" s="60" t="s">
        <v>6754</v>
      </c>
      <c r="C289" s="67" t="str">
        <f>IFERROR(__xludf.DUMMYFUNCTION("""COMPUTED_VALUE"""),"LD237")</f>
        <v>LD237</v>
      </c>
      <c r="D289" s="55" t="s">
        <v>188</v>
      </c>
      <c r="E289" s="55" t="s">
        <v>193</v>
      </c>
      <c r="F289" s="54"/>
      <c r="G289" s="44" t="s">
        <v>61</v>
      </c>
      <c r="H289" s="54"/>
      <c r="I289" s="54"/>
      <c r="J289" s="54"/>
      <c r="K289" s="55" t="s">
        <v>61</v>
      </c>
      <c r="L289" s="54"/>
      <c r="M289" s="54"/>
      <c r="N289" s="54"/>
      <c r="O289" s="54"/>
      <c r="P289" s="54"/>
      <c r="Q289" s="67" t="str">
        <f>IFERROR(__xludf.DUMMYFUNCTION("""COMPUTED_VALUE"""),"!!!")</f>
        <v>!!!</v>
      </c>
      <c r="R289" s="67" t="str">
        <f>IFERROR(__xludf.DUMMYFUNCTION("""COMPUTED_VALUE"""),"!!!")</f>
        <v>!!!</v>
      </c>
      <c r="S289" s="67" t="str">
        <f>IFERROR(__xludf.DUMMYFUNCTION("""COMPUTED_VALUE"""),"!!!")</f>
        <v>!!!</v>
      </c>
      <c r="T28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90">
      <c r="A290" s="72"/>
      <c r="B290" s="60" t="s">
        <v>6754</v>
      </c>
      <c r="C290" s="67" t="str">
        <f>IFERROR(__xludf.DUMMYFUNCTION("""COMPUTED_VALUE"""),"LD237")</f>
        <v>LD237</v>
      </c>
      <c r="D290" s="55" t="s">
        <v>188</v>
      </c>
      <c r="E290" s="55" t="s">
        <v>193</v>
      </c>
      <c r="F290" s="54"/>
      <c r="G290" s="44" t="s">
        <v>61</v>
      </c>
      <c r="H290" s="54"/>
      <c r="I290" s="54"/>
      <c r="J290" s="54"/>
      <c r="K290" s="55" t="s">
        <v>61</v>
      </c>
      <c r="L290" s="54"/>
      <c r="M290" s="54"/>
      <c r="N290" s="54"/>
      <c r="O290" s="54"/>
      <c r="P290" s="54"/>
      <c r="Q290" s="67" t="str">
        <f>IFERROR(__xludf.DUMMYFUNCTION("""COMPUTED_VALUE"""),"!!!")</f>
        <v>!!!</v>
      </c>
      <c r="R290" s="67" t="str">
        <f>IFERROR(__xludf.DUMMYFUNCTION("""COMPUTED_VALUE"""),"!!!")</f>
        <v>!!!</v>
      </c>
      <c r="S290" s="67" t="str">
        <f>IFERROR(__xludf.DUMMYFUNCTION("""COMPUTED_VALUE"""),"!!!")</f>
        <v>!!!</v>
      </c>
      <c r="T29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91">
      <c r="A291" s="72"/>
      <c r="B291" s="60" t="s">
        <v>6754</v>
      </c>
      <c r="C291" s="67" t="str">
        <f>IFERROR(__xludf.DUMMYFUNCTION("""COMPUTED_VALUE"""),"LD237")</f>
        <v>LD237</v>
      </c>
      <c r="D291" s="55" t="s">
        <v>188</v>
      </c>
      <c r="E291" s="55" t="s">
        <v>193</v>
      </c>
      <c r="F291" s="54"/>
      <c r="G291" s="44" t="s">
        <v>61</v>
      </c>
      <c r="H291" s="54"/>
      <c r="I291" s="54"/>
      <c r="J291" s="54"/>
      <c r="K291" s="55" t="s">
        <v>61</v>
      </c>
      <c r="L291" s="54"/>
      <c r="M291" s="54"/>
      <c r="N291" s="54"/>
      <c r="O291" s="54"/>
      <c r="P291" s="54"/>
      <c r="Q291" s="67" t="str">
        <f>IFERROR(__xludf.DUMMYFUNCTION("""COMPUTED_VALUE"""),"!!!")</f>
        <v>!!!</v>
      </c>
      <c r="R291" s="67" t="str">
        <f>IFERROR(__xludf.DUMMYFUNCTION("""COMPUTED_VALUE"""),"!!!")</f>
        <v>!!!</v>
      </c>
      <c r="S291" s="67" t="str">
        <f>IFERROR(__xludf.DUMMYFUNCTION("""COMPUTED_VALUE"""),"!!!")</f>
        <v>!!!</v>
      </c>
      <c r="T29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92">
      <c r="A292" s="72"/>
      <c r="B292" s="60" t="s">
        <v>6754</v>
      </c>
      <c r="C292" s="67" t="str">
        <f>IFERROR(__xludf.DUMMYFUNCTION("""COMPUTED_VALUE"""),"LD237")</f>
        <v>LD237</v>
      </c>
      <c r="D292" s="55" t="s">
        <v>188</v>
      </c>
      <c r="E292" s="55" t="s">
        <v>193</v>
      </c>
      <c r="F292" s="54"/>
      <c r="G292" s="44" t="s">
        <v>61</v>
      </c>
      <c r="H292" s="54"/>
      <c r="I292" s="54"/>
      <c r="J292" s="54"/>
      <c r="K292" s="55" t="s">
        <v>61</v>
      </c>
      <c r="L292" s="54"/>
      <c r="M292" s="54"/>
      <c r="N292" s="54"/>
      <c r="O292" s="54"/>
      <c r="P292" s="54"/>
      <c r="Q292" s="67" t="str">
        <f>IFERROR(__xludf.DUMMYFUNCTION("""COMPUTED_VALUE"""),"!!!")</f>
        <v>!!!</v>
      </c>
      <c r="R292" s="67" t="str">
        <f>IFERROR(__xludf.DUMMYFUNCTION("""COMPUTED_VALUE"""),"!!!")</f>
        <v>!!!</v>
      </c>
      <c r="S292" s="67" t="str">
        <f>IFERROR(__xludf.DUMMYFUNCTION("""COMPUTED_VALUE"""),"!!!")</f>
        <v>!!!</v>
      </c>
      <c r="T29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93">
      <c r="A293" s="72"/>
      <c r="B293" s="60" t="s">
        <v>6754</v>
      </c>
      <c r="C293" s="67" t="str">
        <f>IFERROR(__xludf.DUMMYFUNCTION("""COMPUTED_VALUE"""),"LD237")</f>
        <v>LD237</v>
      </c>
      <c r="D293" s="55" t="s">
        <v>188</v>
      </c>
      <c r="E293" s="55" t="s">
        <v>193</v>
      </c>
      <c r="F293" s="54"/>
      <c r="G293" s="44" t="s">
        <v>61</v>
      </c>
      <c r="H293" s="54"/>
      <c r="I293" s="54"/>
      <c r="J293" s="54"/>
      <c r="K293" s="55" t="s">
        <v>61</v>
      </c>
      <c r="L293" s="54"/>
      <c r="M293" s="54"/>
      <c r="N293" s="54"/>
      <c r="O293" s="54"/>
      <c r="P293" s="54"/>
      <c r="Q293" s="67" t="str">
        <f>IFERROR(__xludf.DUMMYFUNCTION("""COMPUTED_VALUE"""),"!!!")</f>
        <v>!!!</v>
      </c>
      <c r="R293" s="67" t="str">
        <f>IFERROR(__xludf.DUMMYFUNCTION("""COMPUTED_VALUE"""),"!!!")</f>
        <v>!!!</v>
      </c>
      <c r="S293" s="67" t="str">
        <f>IFERROR(__xludf.DUMMYFUNCTION("""COMPUTED_VALUE"""),"!!!")</f>
        <v>!!!</v>
      </c>
      <c r="T29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94">
      <c r="A294" s="72"/>
      <c r="B294" s="60" t="s">
        <v>6754</v>
      </c>
      <c r="C294" s="67" t="str">
        <f>IFERROR(__xludf.DUMMYFUNCTION("""COMPUTED_VALUE"""),"LD237")</f>
        <v>LD237</v>
      </c>
      <c r="D294" s="55" t="s">
        <v>188</v>
      </c>
      <c r="E294" s="55" t="s">
        <v>193</v>
      </c>
      <c r="F294" s="54"/>
      <c r="G294" s="44" t="s">
        <v>61</v>
      </c>
      <c r="H294" s="54"/>
      <c r="I294" s="54"/>
      <c r="J294" s="54"/>
      <c r="K294" s="55" t="s">
        <v>61</v>
      </c>
      <c r="L294" s="54"/>
      <c r="M294" s="54"/>
      <c r="N294" s="54"/>
      <c r="O294" s="54"/>
      <c r="P294" s="54"/>
      <c r="Q294" s="67" t="str">
        <f>IFERROR(__xludf.DUMMYFUNCTION("""COMPUTED_VALUE"""),"!!!")</f>
        <v>!!!</v>
      </c>
      <c r="R294" s="67" t="str">
        <f>IFERROR(__xludf.DUMMYFUNCTION("""COMPUTED_VALUE"""),"!!!")</f>
        <v>!!!</v>
      </c>
      <c r="S294" s="67" t="str">
        <f>IFERROR(__xludf.DUMMYFUNCTION("""COMPUTED_VALUE"""),"!!!")</f>
        <v>!!!</v>
      </c>
      <c r="T29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95">
      <c r="A295" s="72"/>
      <c r="B295" s="60" t="s">
        <v>6754</v>
      </c>
      <c r="C295" s="67" t="str">
        <f>IFERROR(__xludf.DUMMYFUNCTION("""COMPUTED_VALUE"""),"LD237")</f>
        <v>LD237</v>
      </c>
      <c r="D295" s="55" t="s">
        <v>188</v>
      </c>
      <c r="E295" s="55" t="s">
        <v>193</v>
      </c>
      <c r="F295" s="54"/>
      <c r="G295" s="44" t="s">
        <v>61</v>
      </c>
      <c r="H295" s="54"/>
      <c r="I295" s="54"/>
      <c r="J295" s="54"/>
      <c r="K295" s="55" t="s">
        <v>61</v>
      </c>
      <c r="L295" s="54"/>
      <c r="M295" s="54"/>
      <c r="N295" s="54"/>
      <c r="O295" s="54"/>
      <c r="P295" s="54"/>
      <c r="Q295" s="67" t="str">
        <f>IFERROR(__xludf.DUMMYFUNCTION("""COMPUTED_VALUE"""),"!!!")</f>
        <v>!!!</v>
      </c>
      <c r="R295" s="67" t="str">
        <f>IFERROR(__xludf.DUMMYFUNCTION("""COMPUTED_VALUE"""),"!!!")</f>
        <v>!!!</v>
      </c>
      <c r="S295" s="67" t="str">
        <f>IFERROR(__xludf.DUMMYFUNCTION("""COMPUTED_VALUE"""),"!!!")</f>
        <v>!!!</v>
      </c>
      <c r="T29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96">
      <c r="A296" s="72"/>
      <c r="B296" s="60" t="s">
        <v>6754</v>
      </c>
      <c r="C296" s="67" t="str">
        <f>IFERROR(__xludf.DUMMYFUNCTION("""COMPUTED_VALUE"""),"LD237")</f>
        <v>LD237</v>
      </c>
      <c r="D296" s="55" t="s">
        <v>188</v>
      </c>
      <c r="E296" s="55" t="s">
        <v>193</v>
      </c>
      <c r="F296" s="54"/>
      <c r="G296" s="44" t="s">
        <v>61</v>
      </c>
      <c r="H296" s="54"/>
      <c r="I296" s="54"/>
      <c r="J296" s="54"/>
      <c r="K296" s="55" t="s">
        <v>61</v>
      </c>
      <c r="L296" s="54"/>
      <c r="M296" s="54"/>
      <c r="N296" s="54"/>
      <c r="O296" s="54"/>
      <c r="P296" s="54"/>
      <c r="Q296" s="67" t="str">
        <f>IFERROR(__xludf.DUMMYFUNCTION("""COMPUTED_VALUE"""),"!!!")</f>
        <v>!!!</v>
      </c>
      <c r="R296" s="67" t="str">
        <f>IFERROR(__xludf.DUMMYFUNCTION("""COMPUTED_VALUE"""),"!!!")</f>
        <v>!!!</v>
      </c>
      <c r="S296" s="67" t="str">
        <f>IFERROR(__xludf.DUMMYFUNCTION("""COMPUTED_VALUE"""),"!!!")</f>
        <v>!!!</v>
      </c>
      <c r="T29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97">
      <c r="A297" s="72"/>
      <c r="B297" s="60" t="s">
        <v>6754</v>
      </c>
      <c r="C297" s="67" t="str">
        <f>IFERROR(__xludf.DUMMYFUNCTION("""COMPUTED_VALUE"""),"LD237")</f>
        <v>LD237</v>
      </c>
      <c r="D297" s="55" t="s">
        <v>188</v>
      </c>
      <c r="E297" s="55" t="s">
        <v>193</v>
      </c>
      <c r="F297" s="54"/>
      <c r="G297" s="44" t="s">
        <v>61</v>
      </c>
      <c r="H297" s="54"/>
      <c r="I297" s="54"/>
      <c r="J297" s="54"/>
      <c r="K297" s="55" t="s">
        <v>61</v>
      </c>
      <c r="L297" s="54"/>
      <c r="M297" s="54"/>
      <c r="N297" s="54"/>
      <c r="O297" s="54"/>
      <c r="P297" s="54"/>
      <c r="Q297" s="67" t="str">
        <f>IFERROR(__xludf.DUMMYFUNCTION("""COMPUTED_VALUE"""),"!!!")</f>
        <v>!!!</v>
      </c>
      <c r="R297" s="67" t="str">
        <f>IFERROR(__xludf.DUMMYFUNCTION("""COMPUTED_VALUE"""),"!!!")</f>
        <v>!!!</v>
      </c>
      <c r="S297" s="67" t="str">
        <f>IFERROR(__xludf.DUMMYFUNCTION("""COMPUTED_VALUE"""),"!!!")</f>
        <v>!!!</v>
      </c>
      <c r="T29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98">
      <c r="A298" s="72"/>
      <c r="B298" s="60" t="s">
        <v>6754</v>
      </c>
      <c r="C298" s="67" t="str">
        <f>IFERROR(__xludf.DUMMYFUNCTION("""COMPUTED_VALUE"""),"LD237")</f>
        <v>LD237</v>
      </c>
      <c r="D298" s="55" t="s">
        <v>188</v>
      </c>
      <c r="E298" s="55" t="s">
        <v>193</v>
      </c>
      <c r="F298" s="54"/>
      <c r="G298" s="44" t="s">
        <v>61</v>
      </c>
      <c r="H298" s="54"/>
      <c r="I298" s="54"/>
      <c r="J298" s="54"/>
      <c r="K298" s="55" t="s">
        <v>61</v>
      </c>
      <c r="L298" s="54"/>
      <c r="M298" s="54"/>
      <c r="N298" s="54"/>
      <c r="O298" s="54"/>
      <c r="P298" s="54"/>
      <c r="Q298" s="67" t="str">
        <f>IFERROR(__xludf.DUMMYFUNCTION("""COMPUTED_VALUE"""),"!!!")</f>
        <v>!!!</v>
      </c>
      <c r="R298" s="67" t="str">
        <f>IFERROR(__xludf.DUMMYFUNCTION("""COMPUTED_VALUE"""),"!!!")</f>
        <v>!!!</v>
      </c>
      <c r="S298" s="67" t="str">
        <f>IFERROR(__xludf.DUMMYFUNCTION("""COMPUTED_VALUE"""),"!!!")</f>
        <v>!!!</v>
      </c>
      <c r="T29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299">
      <c r="A299" s="72"/>
      <c r="B299" s="60" t="s">
        <v>6754</v>
      </c>
      <c r="C299" s="67" t="str">
        <f>IFERROR(__xludf.DUMMYFUNCTION("""COMPUTED_VALUE"""),"LD237")</f>
        <v>LD237</v>
      </c>
      <c r="D299" s="55" t="s">
        <v>188</v>
      </c>
      <c r="E299" s="55" t="s">
        <v>193</v>
      </c>
      <c r="F299" s="54"/>
      <c r="G299" s="44" t="s">
        <v>61</v>
      </c>
      <c r="H299" s="54"/>
      <c r="I299" s="54"/>
      <c r="J299" s="54"/>
      <c r="K299" s="55" t="s">
        <v>61</v>
      </c>
      <c r="L299" s="54"/>
      <c r="M299" s="54"/>
      <c r="N299" s="54"/>
      <c r="O299" s="54"/>
      <c r="P299" s="54"/>
      <c r="Q299" s="67" t="str">
        <f>IFERROR(__xludf.DUMMYFUNCTION("""COMPUTED_VALUE"""),"!!!")</f>
        <v>!!!</v>
      </c>
      <c r="R299" s="67" t="str">
        <f>IFERROR(__xludf.DUMMYFUNCTION("""COMPUTED_VALUE"""),"!!!")</f>
        <v>!!!</v>
      </c>
      <c r="S299" s="67" t="str">
        <f>IFERROR(__xludf.DUMMYFUNCTION("""COMPUTED_VALUE"""),"!!!")</f>
        <v>!!!</v>
      </c>
      <c r="T29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00">
      <c r="A300" s="72"/>
      <c r="B300" s="60" t="s">
        <v>6754</v>
      </c>
      <c r="C300" s="67" t="str">
        <f>IFERROR(__xludf.DUMMYFUNCTION("""COMPUTED_VALUE"""),"LD237")</f>
        <v>LD237</v>
      </c>
      <c r="D300" s="55" t="s">
        <v>188</v>
      </c>
      <c r="E300" s="55" t="s">
        <v>193</v>
      </c>
      <c r="F300" s="54"/>
      <c r="G300" s="44" t="s">
        <v>61</v>
      </c>
      <c r="H300" s="54"/>
      <c r="I300" s="54"/>
      <c r="J300" s="54"/>
      <c r="K300" s="55" t="s">
        <v>61</v>
      </c>
      <c r="L300" s="54"/>
      <c r="M300" s="54"/>
      <c r="N300" s="54"/>
      <c r="O300" s="54"/>
      <c r="P300" s="54"/>
      <c r="Q300" s="67" t="str">
        <f>IFERROR(__xludf.DUMMYFUNCTION("""COMPUTED_VALUE"""),"!!!")</f>
        <v>!!!</v>
      </c>
      <c r="R300" s="67" t="str">
        <f>IFERROR(__xludf.DUMMYFUNCTION("""COMPUTED_VALUE"""),"!!!")</f>
        <v>!!!</v>
      </c>
      <c r="S300" s="67" t="str">
        <f>IFERROR(__xludf.DUMMYFUNCTION("""COMPUTED_VALUE"""),"!!!")</f>
        <v>!!!</v>
      </c>
      <c r="T30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01">
      <c r="A301" s="72"/>
      <c r="B301" s="60" t="s">
        <v>6754</v>
      </c>
      <c r="C301" s="67" t="str">
        <f>IFERROR(__xludf.DUMMYFUNCTION("""COMPUTED_VALUE"""),"LD237")</f>
        <v>LD237</v>
      </c>
      <c r="D301" s="55" t="s">
        <v>188</v>
      </c>
      <c r="E301" s="55" t="s">
        <v>193</v>
      </c>
      <c r="F301" s="54"/>
      <c r="G301" s="44" t="s">
        <v>61</v>
      </c>
      <c r="H301" s="54"/>
      <c r="I301" s="54"/>
      <c r="J301" s="54"/>
      <c r="K301" s="55" t="s">
        <v>61</v>
      </c>
      <c r="L301" s="54"/>
      <c r="M301" s="54"/>
      <c r="N301" s="54"/>
      <c r="O301" s="54"/>
      <c r="P301" s="54"/>
      <c r="Q301" s="67" t="str">
        <f>IFERROR(__xludf.DUMMYFUNCTION("""COMPUTED_VALUE"""),"!!!")</f>
        <v>!!!</v>
      </c>
      <c r="R301" s="67" t="str">
        <f>IFERROR(__xludf.DUMMYFUNCTION("""COMPUTED_VALUE"""),"!!!")</f>
        <v>!!!</v>
      </c>
      <c r="S301" s="67" t="str">
        <f>IFERROR(__xludf.DUMMYFUNCTION("""COMPUTED_VALUE"""),"!!!")</f>
        <v>!!!</v>
      </c>
      <c r="T30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02">
      <c r="A302" s="72"/>
      <c r="B302" s="60" t="s">
        <v>6754</v>
      </c>
      <c r="C302" s="67" t="str">
        <f>IFERROR(__xludf.DUMMYFUNCTION("""COMPUTED_VALUE"""),"LD237")</f>
        <v>LD237</v>
      </c>
      <c r="D302" s="55" t="s">
        <v>188</v>
      </c>
      <c r="E302" s="55" t="s">
        <v>193</v>
      </c>
      <c r="F302" s="54"/>
      <c r="G302" s="44" t="s">
        <v>61</v>
      </c>
      <c r="H302" s="54"/>
      <c r="I302" s="54"/>
      <c r="J302" s="54"/>
      <c r="K302" s="55" t="s">
        <v>61</v>
      </c>
      <c r="L302" s="54"/>
      <c r="M302" s="54"/>
      <c r="N302" s="54"/>
      <c r="O302" s="54"/>
      <c r="P302" s="54"/>
      <c r="Q302" s="67" t="str">
        <f>IFERROR(__xludf.DUMMYFUNCTION("""COMPUTED_VALUE"""),"!!!")</f>
        <v>!!!</v>
      </c>
      <c r="R302" s="67" t="str">
        <f>IFERROR(__xludf.DUMMYFUNCTION("""COMPUTED_VALUE"""),"!!!")</f>
        <v>!!!</v>
      </c>
      <c r="S302" s="67" t="str">
        <f>IFERROR(__xludf.DUMMYFUNCTION("""COMPUTED_VALUE"""),"!!!")</f>
        <v>!!!</v>
      </c>
      <c r="T30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03">
      <c r="A303" s="72"/>
      <c r="B303" s="60" t="s">
        <v>6754</v>
      </c>
      <c r="C303" s="67" t="str">
        <f>IFERROR(__xludf.DUMMYFUNCTION("""COMPUTED_VALUE"""),"LD237")</f>
        <v>LD237</v>
      </c>
      <c r="D303" s="55" t="s">
        <v>188</v>
      </c>
      <c r="E303" s="55" t="s">
        <v>193</v>
      </c>
      <c r="F303" s="54"/>
      <c r="G303" s="44" t="s">
        <v>61</v>
      </c>
      <c r="H303" s="54"/>
      <c r="I303" s="54"/>
      <c r="J303" s="54"/>
      <c r="K303" s="55" t="s">
        <v>61</v>
      </c>
      <c r="L303" s="54"/>
      <c r="M303" s="54"/>
      <c r="N303" s="54"/>
      <c r="O303" s="54"/>
      <c r="P303" s="54"/>
      <c r="Q303" s="67" t="str">
        <f>IFERROR(__xludf.DUMMYFUNCTION("""COMPUTED_VALUE"""),"!!!")</f>
        <v>!!!</v>
      </c>
      <c r="R303" s="67" t="str">
        <f>IFERROR(__xludf.DUMMYFUNCTION("""COMPUTED_VALUE"""),"!!!")</f>
        <v>!!!</v>
      </c>
      <c r="S303" s="67" t="str">
        <f>IFERROR(__xludf.DUMMYFUNCTION("""COMPUTED_VALUE"""),"!!!")</f>
        <v>!!!</v>
      </c>
      <c r="T30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04">
      <c r="A304" s="72"/>
      <c r="B304" s="60" t="s">
        <v>6754</v>
      </c>
      <c r="C304" s="67" t="str">
        <f>IFERROR(__xludf.DUMMYFUNCTION("""COMPUTED_VALUE"""),"LD237")</f>
        <v>LD237</v>
      </c>
      <c r="D304" s="55" t="s">
        <v>188</v>
      </c>
      <c r="E304" s="55" t="s">
        <v>193</v>
      </c>
      <c r="F304" s="54"/>
      <c r="G304" s="44" t="s">
        <v>61</v>
      </c>
      <c r="H304" s="54"/>
      <c r="I304" s="54"/>
      <c r="J304" s="54"/>
      <c r="K304" s="55" t="s">
        <v>61</v>
      </c>
      <c r="L304" s="54"/>
      <c r="M304" s="54"/>
      <c r="N304" s="54"/>
      <c r="O304" s="54"/>
      <c r="P304" s="54"/>
      <c r="Q304" s="67" t="str">
        <f>IFERROR(__xludf.DUMMYFUNCTION("""COMPUTED_VALUE"""),"!!!")</f>
        <v>!!!</v>
      </c>
      <c r="R304" s="67" t="str">
        <f>IFERROR(__xludf.DUMMYFUNCTION("""COMPUTED_VALUE"""),"!!!")</f>
        <v>!!!</v>
      </c>
      <c r="S304" s="67" t="str">
        <f>IFERROR(__xludf.DUMMYFUNCTION("""COMPUTED_VALUE"""),"!!!")</f>
        <v>!!!</v>
      </c>
      <c r="T30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05">
      <c r="A305" s="72"/>
      <c r="B305" s="60" t="s">
        <v>6754</v>
      </c>
      <c r="C305" s="67" t="str">
        <f>IFERROR(__xludf.DUMMYFUNCTION("""COMPUTED_VALUE"""),"LD237")</f>
        <v>LD237</v>
      </c>
      <c r="D305" s="55" t="s">
        <v>188</v>
      </c>
      <c r="E305" s="55" t="s">
        <v>193</v>
      </c>
      <c r="F305" s="54"/>
      <c r="G305" s="44" t="s">
        <v>61</v>
      </c>
      <c r="H305" s="54"/>
      <c r="I305" s="54"/>
      <c r="J305" s="54"/>
      <c r="K305" s="55" t="s">
        <v>61</v>
      </c>
      <c r="L305" s="54"/>
      <c r="M305" s="54"/>
      <c r="N305" s="54"/>
      <c r="O305" s="54"/>
      <c r="P305" s="54"/>
      <c r="Q305" s="67" t="str">
        <f>IFERROR(__xludf.DUMMYFUNCTION("""COMPUTED_VALUE"""),"!!!")</f>
        <v>!!!</v>
      </c>
      <c r="R305" s="67" t="str">
        <f>IFERROR(__xludf.DUMMYFUNCTION("""COMPUTED_VALUE"""),"!!!")</f>
        <v>!!!</v>
      </c>
      <c r="S305" s="67" t="str">
        <f>IFERROR(__xludf.DUMMYFUNCTION("""COMPUTED_VALUE"""),"!!!")</f>
        <v>!!!</v>
      </c>
      <c r="T30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06">
      <c r="A306" s="72"/>
      <c r="B306" s="60" t="s">
        <v>6754</v>
      </c>
      <c r="C306" s="67" t="str">
        <f>IFERROR(__xludf.DUMMYFUNCTION("""COMPUTED_VALUE"""),"LD237")</f>
        <v>LD237</v>
      </c>
      <c r="D306" s="55" t="s">
        <v>188</v>
      </c>
      <c r="E306" s="55" t="s">
        <v>193</v>
      </c>
      <c r="F306" s="54"/>
      <c r="G306" s="44" t="s">
        <v>61</v>
      </c>
      <c r="H306" s="54"/>
      <c r="I306" s="54"/>
      <c r="J306" s="54"/>
      <c r="K306" s="55" t="s">
        <v>61</v>
      </c>
      <c r="L306" s="54"/>
      <c r="M306" s="54"/>
      <c r="N306" s="54"/>
      <c r="O306" s="54"/>
      <c r="P306" s="54"/>
      <c r="Q306" s="67" t="str">
        <f>IFERROR(__xludf.DUMMYFUNCTION("""COMPUTED_VALUE"""),"!!!")</f>
        <v>!!!</v>
      </c>
      <c r="R306" s="67" t="str">
        <f>IFERROR(__xludf.DUMMYFUNCTION("""COMPUTED_VALUE"""),"!!!")</f>
        <v>!!!</v>
      </c>
      <c r="S306" s="67" t="str">
        <f>IFERROR(__xludf.DUMMYFUNCTION("""COMPUTED_VALUE"""),"!!!")</f>
        <v>!!!</v>
      </c>
      <c r="T30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07">
      <c r="A307" s="72"/>
      <c r="B307" s="60" t="s">
        <v>6754</v>
      </c>
      <c r="C307" s="67" t="str">
        <f>IFERROR(__xludf.DUMMYFUNCTION("""COMPUTED_VALUE"""),"LD237")</f>
        <v>LD237</v>
      </c>
      <c r="D307" s="55" t="s">
        <v>188</v>
      </c>
      <c r="E307" s="55" t="s">
        <v>193</v>
      </c>
      <c r="F307" s="54"/>
      <c r="G307" s="44" t="s">
        <v>61</v>
      </c>
      <c r="H307" s="54"/>
      <c r="I307" s="54"/>
      <c r="J307" s="54"/>
      <c r="K307" s="55" t="s">
        <v>61</v>
      </c>
      <c r="L307" s="54"/>
      <c r="M307" s="54"/>
      <c r="N307" s="54"/>
      <c r="O307" s="54"/>
      <c r="P307" s="54"/>
      <c r="Q307" s="67" t="str">
        <f>IFERROR(__xludf.DUMMYFUNCTION("""COMPUTED_VALUE"""),"!!!")</f>
        <v>!!!</v>
      </c>
      <c r="R307" s="67" t="str">
        <f>IFERROR(__xludf.DUMMYFUNCTION("""COMPUTED_VALUE"""),"!!!")</f>
        <v>!!!</v>
      </c>
      <c r="S307" s="67" t="str">
        <f>IFERROR(__xludf.DUMMYFUNCTION("""COMPUTED_VALUE"""),"!!!")</f>
        <v>!!!</v>
      </c>
      <c r="T30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08">
      <c r="A308" s="72"/>
      <c r="B308" s="60" t="s">
        <v>6754</v>
      </c>
      <c r="C308" s="67" t="str">
        <f>IFERROR(__xludf.DUMMYFUNCTION("""COMPUTED_VALUE"""),"LD237")</f>
        <v>LD237</v>
      </c>
      <c r="D308" s="55" t="s">
        <v>188</v>
      </c>
      <c r="E308" s="55" t="s">
        <v>193</v>
      </c>
      <c r="F308" s="54"/>
      <c r="G308" s="44" t="s">
        <v>61</v>
      </c>
      <c r="H308" s="54"/>
      <c r="I308" s="54"/>
      <c r="J308" s="54"/>
      <c r="K308" s="55" t="s">
        <v>61</v>
      </c>
      <c r="L308" s="54"/>
      <c r="M308" s="54"/>
      <c r="N308" s="54"/>
      <c r="O308" s="54"/>
      <c r="P308" s="54"/>
      <c r="Q308" s="67" t="str">
        <f>IFERROR(__xludf.DUMMYFUNCTION("""COMPUTED_VALUE"""),"!!!")</f>
        <v>!!!</v>
      </c>
      <c r="R308" s="67" t="str">
        <f>IFERROR(__xludf.DUMMYFUNCTION("""COMPUTED_VALUE"""),"!!!")</f>
        <v>!!!</v>
      </c>
      <c r="S308" s="67" t="str">
        <f>IFERROR(__xludf.DUMMYFUNCTION("""COMPUTED_VALUE"""),"!!!")</f>
        <v>!!!</v>
      </c>
      <c r="T30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09">
      <c r="A309" s="72"/>
      <c r="B309" s="60" t="s">
        <v>6754</v>
      </c>
      <c r="C309" s="67" t="str">
        <f>IFERROR(__xludf.DUMMYFUNCTION("""COMPUTED_VALUE"""),"LD237")</f>
        <v>LD237</v>
      </c>
      <c r="D309" s="55" t="s">
        <v>188</v>
      </c>
      <c r="E309" s="55" t="s">
        <v>193</v>
      </c>
      <c r="F309" s="54"/>
      <c r="G309" s="44" t="s">
        <v>61</v>
      </c>
      <c r="H309" s="54"/>
      <c r="I309" s="54"/>
      <c r="J309" s="54"/>
      <c r="K309" s="55" t="s">
        <v>61</v>
      </c>
      <c r="L309" s="54"/>
      <c r="M309" s="54"/>
      <c r="N309" s="54"/>
      <c r="O309" s="54"/>
      <c r="P309" s="54"/>
      <c r="Q309" s="67" t="str">
        <f>IFERROR(__xludf.DUMMYFUNCTION("""COMPUTED_VALUE"""),"!!!")</f>
        <v>!!!</v>
      </c>
      <c r="R309" s="67" t="str">
        <f>IFERROR(__xludf.DUMMYFUNCTION("""COMPUTED_VALUE"""),"!!!")</f>
        <v>!!!</v>
      </c>
      <c r="S309" s="67" t="str">
        <f>IFERROR(__xludf.DUMMYFUNCTION("""COMPUTED_VALUE"""),"!!!")</f>
        <v>!!!</v>
      </c>
      <c r="T30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10">
      <c r="A310" s="72"/>
      <c r="B310" s="60" t="s">
        <v>6754</v>
      </c>
      <c r="C310" s="67" t="str">
        <f>IFERROR(__xludf.DUMMYFUNCTION("""COMPUTED_VALUE"""),"LD237")</f>
        <v>LD237</v>
      </c>
      <c r="D310" s="55" t="s">
        <v>188</v>
      </c>
      <c r="E310" s="55" t="s">
        <v>193</v>
      </c>
      <c r="F310" s="54"/>
      <c r="G310" s="44" t="s">
        <v>61</v>
      </c>
      <c r="H310" s="54"/>
      <c r="I310" s="54"/>
      <c r="J310" s="54"/>
      <c r="K310" s="55" t="s">
        <v>61</v>
      </c>
      <c r="L310" s="54"/>
      <c r="M310" s="54"/>
      <c r="N310" s="54"/>
      <c r="O310" s="54"/>
      <c r="P310" s="54"/>
      <c r="Q310" s="67" t="str">
        <f>IFERROR(__xludf.DUMMYFUNCTION("""COMPUTED_VALUE"""),"!!!")</f>
        <v>!!!</v>
      </c>
      <c r="R310" s="67" t="str">
        <f>IFERROR(__xludf.DUMMYFUNCTION("""COMPUTED_VALUE"""),"!!!")</f>
        <v>!!!</v>
      </c>
      <c r="S310" s="67" t="str">
        <f>IFERROR(__xludf.DUMMYFUNCTION("""COMPUTED_VALUE"""),"!!!")</f>
        <v>!!!</v>
      </c>
      <c r="T31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11">
      <c r="A311" s="72"/>
      <c r="B311" s="60" t="s">
        <v>6754</v>
      </c>
      <c r="C311" s="67" t="str">
        <f>IFERROR(__xludf.DUMMYFUNCTION("""COMPUTED_VALUE"""),"LD237")</f>
        <v>LD237</v>
      </c>
      <c r="D311" s="55" t="s">
        <v>188</v>
      </c>
      <c r="E311" s="55" t="s">
        <v>193</v>
      </c>
      <c r="F311" s="54"/>
      <c r="G311" s="44" t="s">
        <v>61</v>
      </c>
      <c r="H311" s="54"/>
      <c r="I311" s="54"/>
      <c r="J311" s="54"/>
      <c r="K311" s="55" t="s">
        <v>61</v>
      </c>
      <c r="L311" s="54"/>
      <c r="M311" s="54"/>
      <c r="N311" s="54"/>
      <c r="O311" s="54"/>
      <c r="P311" s="54"/>
      <c r="Q311" s="67" t="str">
        <f>IFERROR(__xludf.DUMMYFUNCTION("""COMPUTED_VALUE"""),"!!!")</f>
        <v>!!!</v>
      </c>
      <c r="R311" s="67" t="str">
        <f>IFERROR(__xludf.DUMMYFUNCTION("""COMPUTED_VALUE"""),"!!!")</f>
        <v>!!!</v>
      </c>
      <c r="S311" s="67" t="str">
        <f>IFERROR(__xludf.DUMMYFUNCTION("""COMPUTED_VALUE"""),"!!!")</f>
        <v>!!!</v>
      </c>
      <c r="T31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12">
      <c r="A312" s="72"/>
      <c r="B312" s="60" t="s">
        <v>6754</v>
      </c>
      <c r="C312" s="67" t="str">
        <f>IFERROR(__xludf.DUMMYFUNCTION("""COMPUTED_VALUE"""),"LD237")</f>
        <v>LD237</v>
      </c>
      <c r="D312" s="55" t="s">
        <v>188</v>
      </c>
      <c r="E312" s="55" t="s">
        <v>193</v>
      </c>
      <c r="F312" s="54"/>
      <c r="G312" s="44" t="s">
        <v>61</v>
      </c>
      <c r="H312" s="54"/>
      <c r="I312" s="54"/>
      <c r="J312" s="54"/>
      <c r="K312" s="55" t="s">
        <v>61</v>
      </c>
      <c r="L312" s="54"/>
      <c r="M312" s="54"/>
      <c r="N312" s="54"/>
      <c r="O312" s="54"/>
      <c r="P312" s="54"/>
      <c r="Q312" s="67" t="str">
        <f>IFERROR(__xludf.DUMMYFUNCTION("""COMPUTED_VALUE"""),"!!!")</f>
        <v>!!!</v>
      </c>
      <c r="R312" s="67" t="str">
        <f>IFERROR(__xludf.DUMMYFUNCTION("""COMPUTED_VALUE"""),"!!!")</f>
        <v>!!!</v>
      </c>
      <c r="S312" s="67" t="str">
        <f>IFERROR(__xludf.DUMMYFUNCTION("""COMPUTED_VALUE"""),"!!!")</f>
        <v>!!!</v>
      </c>
      <c r="T31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13">
      <c r="A313" s="72"/>
      <c r="B313" s="60" t="s">
        <v>6754</v>
      </c>
      <c r="C313" s="67" t="str">
        <f>IFERROR(__xludf.DUMMYFUNCTION("""COMPUTED_VALUE"""),"LD237")</f>
        <v>LD237</v>
      </c>
      <c r="D313" s="55" t="s">
        <v>188</v>
      </c>
      <c r="E313" s="55" t="s">
        <v>193</v>
      </c>
      <c r="F313" s="54"/>
      <c r="G313" s="44" t="s">
        <v>61</v>
      </c>
      <c r="H313" s="54"/>
      <c r="I313" s="54"/>
      <c r="J313" s="54"/>
      <c r="K313" s="55" t="s">
        <v>61</v>
      </c>
      <c r="L313" s="54"/>
      <c r="M313" s="54"/>
      <c r="N313" s="54"/>
      <c r="O313" s="54"/>
      <c r="P313" s="54"/>
      <c r="Q313" s="67" t="str">
        <f>IFERROR(__xludf.DUMMYFUNCTION("""COMPUTED_VALUE"""),"!!!")</f>
        <v>!!!</v>
      </c>
      <c r="R313" s="67" t="str">
        <f>IFERROR(__xludf.DUMMYFUNCTION("""COMPUTED_VALUE"""),"!!!")</f>
        <v>!!!</v>
      </c>
      <c r="S313" s="67" t="str">
        <f>IFERROR(__xludf.DUMMYFUNCTION("""COMPUTED_VALUE"""),"!!!")</f>
        <v>!!!</v>
      </c>
      <c r="T31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14">
      <c r="A314" s="72"/>
      <c r="B314" s="60" t="s">
        <v>6754</v>
      </c>
      <c r="C314" s="67" t="str">
        <f>IFERROR(__xludf.DUMMYFUNCTION("""COMPUTED_VALUE"""),"LD237")</f>
        <v>LD237</v>
      </c>
      <c r="D314" s="55" t="s">
        <v>188</v>
      </c>
      <c r="E314" s="55" t="s">
        <v>193</v>
      </c>
      <c r="F314" s="54"/>
      <c r="G314" s="44" t="s">
        <v>61</v>
      </c>
      <c r="H314" s="54"/>
      <c r="I314" s="54"/>
      <c r="J314" s="54"/>
      <c r="K314" s="55" t="s">
        <v>61</v>
      </c>
      <c r="L314" s="54"/>
      <c r="M314" s="54"/>
      <c r="N314" s="54"/>
      <c r="O314" s="54"/>
      <c r="P314" s="54"/>
      <c r="Q314" s="67" t="str">
        <f>IFERROR(__xludf.DUMMYFUNCTION("""COMPUTED_VALUE"""),"!!!")</f>
        <v>!!!</v>
      </c>
      <c r="R314" s="67" t="str">
        <f>IFERROR(__xludf.DUMMYFUNCTION("""COMPUTED_VALUE"""),"!!!")</f>
        <v>!!!</v>
      </c>
      <c r="S314" s="67" t="str">
        <f>IFERROR(__xludf.DUMMYFUNCTION("""COMPUTED_VALUE"""),"!!!")</f>
        <v>!!!</v>
      </c>
      <c r="T31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15">
      <c r="A315" s="72"/>
      <c r="B315" s="60" t="s">
        <v>6754</v>
      </c>
      <c r="C315" s="67" t="str">
        <f>IFERROR(__xludf.DUMMYFUNCTION("""COMPUTED_VALUE"""),"LD237")</f>
        <v>LD237</v>
      </c>
      <c r="D315" s="55" t="s">
        <v>188</v>
      </c>
      <c r="E315" s="55" t="s">
        <v>193</v>
      </c>
      <c r="F315" s="54"/>
      <c r="G315" s="44" t="s">
        <v>61</v>
      </c>
      <c r="H315" s="54"/>
      <c r="I315" s="54"/>
      <c r="J315" s="54"/>
      <c r="K315" s="55" t="s">
        <v>61</v>
      </c>
      <c r="L315" s="54"/>
      <c r="M315" s="54"/>
      <c r="N315" s="54"/>
      <c r="O315" s="54"/>
      <c r="P315" s="54"/>
      <c r="Q315" s="67" t="str">
        <f>IFERROR(__xludf.DUMMYFUNCTION("""COMPUTED_VALUE"""),"!!!")</f>
        <v>!!!</v>
      </c>
      <c r="R315" s="67" t="str">
        <f>IFERROR(__xludf.DUMMYFUNCTION("""COMPUTED_VALUE"""),"!!!")</f>
        <v>!!!</v>
      </c>
      <c r="S315" s="67" t="str">
        <f>IFERROR(__xludf.DUMMYFUNCTION("""COMPUTED_VALUE"""),"!!!")</f>
        <v>!!!</v>
      </c>
      <c r="T31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16">
      <c r="A316" s="72"/>
      <c r="B316" s="60" t="s">
        <v>6754</v>
      </c>
      <c r="C316" s="67" t="str">
        <f>IFERROR(__xludf.DUMMYFUNCTION("""COMPUTED_VALUE"""),"LD237")</f>
        <v>LD237</v>
      </c>
      <c r="D316" s="55" t="s">
        <v>188</v>
      </c>
      <c r="E316" s="55" t="s">
        <v>193</v>
      </c>
      <c r="F316" s="54"/>
      <c r="G316" s="44" t="s">
        <v>61</v>
      </c>
      <c r="H316" s="54"/>
      <c r="I316" s="54"/>
      <c r="J316" s="54"/>
      <c r="K316" s="55" t="s">
        <v>61</v>
      </c>
      <c r="L316" s="54"/>
      <c r="M316" s="54"/>
      <c r="N316" s="54"/>
      <c r="O316" s="54"/>
      <c r="P316" s="54"/>
      <c r="Q316" s="67" t="str">
        <f>IFERROR(__xludf.DUMMYFUNCTION("""COMPUTED_VALUE"""),"!!!")</f>
        <v>!!!</v>
      </c>
      <c r="R316" s="67" t="str">
        <f>IFERROR(__xludf.DUMMYFUNCTION("""COMPUTED_VALUE"""),"!!!")</f>
        <v>!!!</v>
      </c>
      <c r="S316" s="67" t="str">
        <f>IFERROR(__xludf.DUMMYFUNCTION("""COMPUTED_VALUE"""),"!!!")</f>
        <v>!!!</v>
      </c>
      <c r="T31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17">
      <c r="A317" s="72"/>
      <c r="B317" s="60" t="s">
        <v>6754</v>
      </c>
      <c r="C317" s="67" t="str">
        <f>IFERROR(__xludf.DUMMYFUNCTION("""COMPUTED_VALUE"""),"LD237")</f>
        <v>LD237</v>
      </c>
      <c r="D317" s="55" t="s">
        <v>188</v>
      </c>
      <c r="E317" s="55" t="s">
        <v>193</v>
      </c>
      <c r="F317" s="54"/>
      <c r="G317" s="44" t="s">
        <v>61</v>
      </c>
      <c r="H317" s="54"/>
      <c r="I317" s="54"/>
      <c r="J317" s="54"/>
      <c r="K317" s="55" t="s">
        <v>61</v>
      </c>
      <c r="L317" s="54"/>
      <c r="M317" s="54"/>
      <c r="N317" s="54"/>
      <c r="O317" s="54"/>
      <c r="P317" s="54"/>
      <c r="Q317" s="67" t="str">
        <f>IFERROR(__xludf.DUMMYFUNCTION("""COMPUTED_VALUE"""),"!!!")</f>
        <v>!!!</v>
      </c>
      <c r="R317" s="67" t="str">
        <f>IFERROR(__xludf.DUMMYFUNCTION("""COMPUTED_VALUE"""),"!!!")</f>
        <v>!!!</v>
      </c>
      <c r="S317" s="67" t="str">
        <f>IFERROR(__xludf.DUMMYFUNCTION("""COMPUTED_VALUE"""),"!!!")</f>
        <v>!!!</v>
      </c>
      <c r="T31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18">
      <c r="A318" s="72"/>
      <c r="B318" s="60" t="s">
        <v>6754</v>
      </c>
      <c r="C318" s="67" t="str">
        <f>IFERROR(__xludf.DUMMYFUNCTION("""COMPUTED_VALUE"""),"LD237")</f>
        <v>LD237</v>
      </c>
      <c r="D318" s="55" t="s">
        <v>188</v>
      </c>
      <c r="E318" s="55" t="s">
        <v>193</v>
      </c>
      <c r="F318" s="54"/>
      <c r="G318" s="44" t="s">
        <v>61</v>
      </c>
      <c r="H318" s="54"/>
      <c r="I318" s="54"/>
      <c r="J318" s="54"/>
      <c r="K318" s="55" t="s">
        <v>61</v>
      </c>
      <c r="L318" s="54"/>
      <c r="M318" s="54"/>
      <c r="N318" s="54"/>
      <c r="O318" s="54"/>
      <c r="P318" s="54"/>
      <c r="Q318" s="67" t="str">
        <f>IFERROR(__xludf.DUMMYFUNCTION("""COMPUTED_VALUE"""),"!!!")</f>
        <v>!!!</v>
      </c>
      <c r="R318" s="67" t="str">
        <f>IFERROR(__xludf.DUMMYFUNCTION("""COMPUTED_VALUE"""),"!!!")</f>
        <v>!!!</v>
      </c>
      <c r="S318" s="67" t="str">
        <f>IFERROR(__xludf.DUMMYFUNCTION("""COMPUTED_VALUE"""),"!!!")</f>
        <v>!!!</v>
      </c>
      <c r="T31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19">
      <c r="A319" s="72"/>
      <c r="B319" s="60" t="s">
        <v>6754</v>
      </c>
      <c r="C319" s="67" t="str">
        <f>IFERROR(__xludf.DUMMYFUNCTION("""COMPUTED_VALUE"""),"LD237")</f>
        <v>LD237</v>
      </c>
      <c r="D319" s="55" t="s">
        <v>188</v>
      </c>
      <c r="E319" s="55" t="s">
        <v>193</v>
      </c>
      <c r="F319" s="54"/>
      <c r="G319" s="44" t="s">
        <v>61</v>
      </c>
      <c r="H319" s="54"/>
      <c r="I319" s="54"/>
      <c r="J319" s="54"/>
      <c r="K319" s="55" t="s">
        <v>61</v>
      </c>
      <c r="L319" s="54"/>
      <c r="M319" s="54"/>
      <c r="N319" s="54"/>
      <c r="O319" s="54"/>
      <c r="P319" s="54"/>
      <c r="Q319" s="67" t="str">
        <f>IFERROR(__xludf.DUMMYFUNCTION("""COMPUTED_VALUE"""),"!!!")</f>
        <v>!!!</v>
      </c>
      <c r="R319" s="67" t="str">
        <f>IFERROR(__xludf.DUMMYFUNCTION("""COMPUTED_VALUE"""),"!!!")</f>
        <v>!!!</v>
      </c>
      <c r="S319" s="67" t="str">
        <f>IFERROR(__xludf.DUMMYFUNCTION("""COMPUTED_VALUE"""),"!!!")</f>
        <v>!!!</v>
      </c>
      <c r="T31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20">
      <c r="A320" s="72"/>
      <c r="B320" s="60" t="s">
        <v>6754</v>
      </c>
      <c r="C320" s="67" t="str">
        <f>IFERROR(__xludf.DUMMYFUNCTION("""COMPUTED_VALUE"""),"LD237")</f>
        <v>LD237</v>
      </c>
      <c r="D320" s="55" t="s">
        <v>188</v>
      </c>
      <c r="E320" s="55" t="s">
        <v>193</v>
      </c>
      <c r="F320" s="54"/>
      <c r="G320" s="44" t="s">
        <v>61</v>
      </c>
      <c r="H320" s="54"/>
      <c r="I320" s="54"/>
      <c r="J320" s="54"/>
      <c r="K320" s="55" t="s">
        <v>61</v>
      </c>
      <c r="L320" s="54"/>
      <c r="M320" s="54"/>
      <c r="N320" s="54"/>
      <c r="O320" s="54"/>
      <c r="P320" s="54"/>
      <c r="Q320" s="67" t="str">
        <f>IFERROR(__xludf.DUMMYFUNCTION("""COMPUTED_VALUE"""),"!!!")</f>
        <v>!!!</v>
      </c>
      <c r="R320" s="67" t="str">
        <f>IFERROR(__xludf.DUMMYFUNCTION("""COMPUTED_VALUE"""),"!!!")</f>
        <v>!!!</v>
      </c>
      <c r="S320" s="67" t="str">
        <f>IFERROR(__xludf.DUMMYFUNCTION("""COMPUTED_VALUE"""),"!!!")</f>
        <v>!!!</v>
      </c>
      <c r="T32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21">
      <c r="A321" s="72"/>
      <c r="B321" s="60" t="s">
        <v>6754</v>
      </c>
      <c r="C321" s="67" t="str">
        <f>IFERROR(__xludf.DUMMYFUNCTION("""COMPUTED_VALUE"""),"LD237")</f>
        <v>LD237</v>
      </c>
      <c r="D321" s="55" t="s">
        <v>188</v>
      </c>
      <c r="E321" s="55" t="s">
        <v>193</v>
      </c>
      <c r="F321" s="54"/>
      <c r="G321" s="44" t="s">
        <v>61</v>
      </c>
      <c r="H321" s="54"/>
      <c r="I321" s="54"/>
      <c r="J321" s="54"/>
      <c r="K321" s="55" t="s">
        <v>61</v>
      </c>
      <c r="L321" s="54"/>
      <c r="M321" s="54"/>
      <c r="N321" s="54"/>
      <c r="O321" s="54"/>
      <c r="P321" s="54"/>
      <c r="Q321" s="67" t="str">
        <f>IFERROR(__xludf.DUMMYFUNCTION("""COMPUTED_VALUE"""),"!!!")</f>
        <v>!!!</v>
      </c>
      <c r="R321" s="67" t="str">
        <f>IFERROR(__xludf.DUMMYFUNCTION("""COMPUTED_VALUE"""),"!!!")</f>
        <v>!!!</v>
      </c>
      <c r="S321" s="67" t="str">
        <f>IFERROR(__xludf.DUMMYFUNCTION("""COMPUTED_VALUE"""),"!!!")</f>
        <v>!!!</v>
      </c>
      <c r="T32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22">
      <c r="A322" s="72"/>
      <c r="B322" s="60" t="s">
        <v>6754</v>
      </c>
      <c r="C322" s="67" t="str">
        <f>IFERROR(__xludf.DUMMYFUNCTION("""COMPUTED_VALUE"""),"LD237")</f>
        <v>LD237</v>
      </c>
      <c r="D322" s="55" t="s">
        <v>188</v>
      </c>
      <c r="E322" s="55" t="s">
        <v>193</v>
      </c>
      <c r="F322" s="54"/>
      <c r="G322" s="44" t="s">
        <v>61</v>
      </c>
      <c r="H322" s="54"/>
      <c r="I322" s="54"/>
      <c r="J322" s="54"/>
      <c r="K322" s="55" t="s">
        <v>61</v>
      </c>
      <c r="L322" s="54"/>
      <c r="M322" s="54"/>
      <c r="N322" s="54"/>
      <c r="O322" s="54"/>
      <c r="P322" s="54"/>
      <c r="Q322" s="67" t="str">
        <f>IFERROR(__xludf.DUMMYFUNCTION("""COMPUTED_VALUE"""),"!!!")</f>
        <v>!!!</v>
      </c>
      <c r="R322" s="67" t="str">
        <f>IFERROR(__xludf.DUMMYFUNCTION("""COMPUTED_VALUE"""),"!!!")</f>
        <v>!!!</v>
      </c>
      <c r="S322" s="67" t="str">
        <f>IFERROR(__xludf.DUMMYFUNCTION("""COMPUTED_VALUE"""),"!!!")</f>
        <v>!!!</v>
      </c>
      <c r="T32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23">
      <c r="A323" s="72"/>
      <c r="B323" s="60" t="s">
        <v>6754</v>
      </c>
      <c r="C323" s="67" t="str">
        <f>IFERROR(__xludf.DUMMYFUNCTION("""COMPUTED_VALUE"""),"LD237")</f>
        <v>LD237</v>
      </c>
      <c r="D323" s="55" t="s">
        <v>188</v>
      </c>
      <c r="E323" s="55" t="s">
        <v>193</v>
      </c>
      <c r="F323" s="54"/>
      <c r="G323" s="44" t="s">
        <v>61</v>
      </c>
      <c r="H323" s="54"/>
      <c r="I323" s="54"/>
      <c r="J323" s="54"/>
      <c r="K323" s="55" t="s">
        <v>61</v>
      </c>
      <c r="L323" s="54"/>
      <c r="M323" s="54"/>
      <c r="N323" s="54"/>
      <c r="O323" s="54"/>
      <c r="P323" s="54"/>
      <c r="Q323" s="67" t="str">
        <f>IFERROR(__xludf.DUMMYFUNCTION("""COMPUTED_VALUE"""),"!!!")</f>
        <v>!!!</v>
      </c>
      <c r="R323" s="67" t="str">
        <f>IFERROR(__xludf.DUMMYFUNCTION("""COMPUTED_VALUE"""),"!!!")</f>
        <v>!!!</v>
      </c>
      <c r="S323" s="67" t="str">
        <f>IFERROR(__xludf.DUMMYFUNCTION("""COMPUTED_VALUE"""),"!!!")</f>
        <v>!!!</v>
      </c>
      <c r="T32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24">
      <c r="A324" s="72"/>
      <c r="B324" s="60" t="s">
        <v>6754</v>
      </c>
      <c r="C324" s="67" t="str">
        <f>IFERROR(__xludf.DUMMYFUNCTION("""COMPUTED_VALUE"""),"LD237")</f>
        <v>LD237</v>
      </c>
      <c r="D324" s="55" t="s">
        <v>188</v>
      </c>
      <c r="E324" s="55" t="s">
        <v>193</v>
      </c>
      <c r="F324" s="54"/>
      <c r="G324" s="44" t="s">
        <v>61</v>
      </c>
      <c r="H324" s="54"/>
      <c r="I324" s="54"/>
      <c r="J324" s="54"/>
      <c r="K324" s="55" t="s">
        <v>61</v>
      </c>
      <c r="L324" s="54"/>
      <c r="M324" s="54"/>
      <c r="N324" s="54"/>
      <c r="O324" s="54"/>
      <c r="P324" s="54"/>
      <c r="Q324" s="67" t="str">
        <f>IFERROR(__xludf.DUMMYFUNCTION("""COMPUTED_VALUE"""),"!!!")</f>
        <v>!!!</v>
      </c>
      <c r="R324" s="67" t="str">
        <f>IFERROR(__xludf.DUMMYFUNCTION("""COMPUTED_VALUE"""),"!!!")</f>
        <v>!!!</v>
      </c>
      <c r="S324" s="67" t="str">
        <f>IFERROR(__xludf.DUMMYFUNCTION("""COMPUTED_VALUE"""),"!!!")</f>
        <v>!!!</v>
      </c>
      <c r="T32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25">
      <c r="A325" s="72"/>
      <c r="B325" s="60" t="s">
        <v>6754</v>
      </c>
      <c r="C325" s="67" t="str">
        <f>IFERROR(__xludf.DUMMYFUNCTION("""COMPUTED_VALUE"""),"LD237")</f>
        <v>LD237</v>
      </c>
      <c r="D325" s="55" t="s">
        <v>188</v>
      </c>
      <c r="E325" s="55" t="s">
        <v>193</v>
      </c>
      <c r="F325" s="54"/>
      <c r="G325" s="44" t="s">
        <v>61</v>
      </c>
      <c r="H325" s="54"/>
      <c r="I325" s="54"/>
      <c r="J325" s="54"/>
      <c r="K325" s="55" t="s">
        <v>61</v>
      </c>
      <c r="L325" s="54"/>
      <c r="M325" s="54"/>
      <c r="N325" s="54"/>
      <c r="O325" s="54"/>
      <c r="P325" s="54"/>
      <c r="Q325" s="67" t="str">
        <f>IFERROR(__xludf.DUMMYFUNCTION("""COMPUTED_VALUE"""),"!!!")</f>
        <v>!!!</v>
      </c>
      <c r="R325" s="67" t="str">
        <f>IFERROR(__xludf.DUMMYFUNCTION("""COMPUTED_VALUE"""),"!!!")</f>
        <v>!!!</v>
      </c>
      <c r="S325" s="67" t="str">
        <f>IFERROR(__xludf.DUMMYFUNCTION("""COMPUTED_VALUE"""),"!!!")</f>
        <v>!!!</v>
      </c>
      <c r="T32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26">
      <c r="A326" s="72"/>
      <c r="B326" s="60" t="s">
        <v>6754</v>
      </c>
      <c r="C326" s="67" t="str">
        <f>IFERROR(__xludf.DUMMYFUNCTION("""COMPUTED_VALUE"""),"LD237")</f>
        <v>LD237</v>
      </c>
      <c r="D326" s="55" t="s">
        <v>188</v>
      </c>
      <c r="E326" s="55" t="s">
        <v>193</v>
      </c>
      <c r="F326" s="54"/>
      <c r="G326" s="44" t="s">
        <v>61</v>
      </c>
      <c r="H326" s="54"/>
      <c r="I326" s="54"/>
      <c r="J326" s="54"/>
      <c r="K326" s="55" t="s">
        <v>61</v>
      </c>
      <c r="L326" s="54"/>
      <c r="M326" s="54"/>
      <c r="N326" s="54"/>
      <c r="O326" s="54"/>
      <c r="P326" s="54"/>
      <c r="Q326" s="67" t="str">
        <f>IFERROR(__xludf.DUMMYFUNCTION("""COMPUTED_VALUE"""),"!!!")</f>
        <v>!!!</v>
      </c>
      <c r="R326" s="67" t="str">
        <f>IFERROR(__xludf.DUMMYFUNCTION("""COMPUTED_VALUE"""),"!!!")</f>
        <v>!!!</v>
      </c>
      <c r="S326" s="67" t="str">
        <f>IFERROR(__xludf.DUMMYFUNCTION("""COMPUTED_VALUE"""),"!!!")</f>
        <v>!!!</v>
      </c>
      <c r="T32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27">
      <c r="A327" s="72"/>
      <c r="B327" s="60" t="s">
        <v>6754</v>
      </c>
      <c r="C327" s="67" t="str">
        <f>IFERROR(__xludf.DUMMYFUNCTION("""COMPUTED_VALUE"""),"LD237")</f>
        <v>LD237</v>
      </c>
      <c r="D327" s="55" t="s">
        <v>188</v>
      </c>
      <c r="E327" s="55" t="s">
        <v>193</v>
      </c>
      <c r="F327" s="54"/>
      <c r="G327" s="44" t="s">
        <v>61</v>
      </c>
      <c r="H327" s="54"/>
      <c r="I327" s="54"/>
      <c r="J327" s="54"/>
      <c r="K327" s="55" t="s">
        <v>61</v>
      </c>
      <c r="L327" s="54"/>
      <c r="M327" s="54"/>
      <c r="N327" s="54"/>
      <c r="O327" s="54"/>
      <c r="P327" s="54"/>
      <c r="Q327" s="67" t="str">
        <f>IFERROR(__xludf.DUMMYFUNCTION("""COMPUTED_VALUE"""),"!!!")</f>
        <v>!!!</v>
      </c>
      <c r="R327" s="67" t="str">
        <f>IFERROR(__xludf.DUMMYFUNCTION("""COMPUTED_VALUE"""),"!!!")</f>
        <v>!!!</v>
      </c>
      <c r="S327" s="67" t="str">
        <f>IFERROR(__xludf.DUMMYFUNCTION("""COMPUTED_VALUE"""),"!!!")</f>
        <v>!!!</v>
      </c>
      <c r="T32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28">
      <c r="A328" s="72"/>
      <c r="B328" s="60" t="s">
        <v>6754</v>
      </c>
      <c r="C328" s="67" t="str">
        <f>IFERROR(__xludf.DUMMYFUNCTION("""COMPUTED_VALUE"""),"LD237")</f>
        <v>LD237</v>
      </c>
      <c r="D328" s="55" t="s">
        <v>188</v>
      </c>
      <c r="E328" s="55" t="s">
        <v>193</v>
      </c>
      <c r="F328" s="54"/>
      <c r="G328" s="44" t="s">
        <v>61</v>
      </c>
      <c r="H328" s="54"/>
      <c r="I328" s="54"/>
      <c r="J328" s="54"/>
      <c r="K328" s="55" t="s">
        <v>61</v>
      </c>
      <c r="L328" s="54"/>
      <c r="M328" s="54"/>
      <c r="N328" s="54"/>
      <c r="O328" s="54"/>
      <c r="P328" s="54"/>
      <c r="Q328" s="67" t="str">
        <f>IFERROR(__xludf.DUMMYFUNCTION("""COMPUTED_VALUE"""),"!!!")</f>
        <v>!!!</v>
      </c>
      <c r="R328" s="67" t="str">
        <f>IFERROR(__xludf.DUMMYFUNCTION("""COMPUTED_VALUE"""),"!!!")</f>
        <v>!!!</v>
      </c>
      <c r="S328" s="67" t="str">
        <f>IFERROR(__xludf.DUMMYFUNCTION("""COMPUTED_VALUE"""),"!!!")</f>
        <v>!!!</v>
      </c>
      <c r="T32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29">
      <c r="A329" s="72"/>
      <c r="B329" s="60" t="s">
        <v>6754</v>
      </c>
      <c r="C329" s="67" t="str">
        <f>IFERROR(__xludf.DUMMYFUNCTION("""COMPUTED_VALUE"""),"LD237")</f>
        <v>LD237</v>
      </c>
      <c r="D329" s="55" t="s">
        <v>188</v>
      </c>
      <c r="E329" s="55" t="s">
        <v>193</v>
      </c>
      <c r="F329" s="54"/>
      <c r="G329" s="44" t="s">
        <v>61</v>
      </c>
      <c r="H329" s="54"/>
      <c r="I329" s="54"/>
      <c r="J329" s="54"/>
      <c r="K329" s="55" t="s">
        <v>61</v>
      </c>
      <c r="L329" s="54"/>
      <c r="M329" s="54"/>
      <c r="N329" s="54"/>
      <c r="O329" s="54"/>
      <c r="P329" s="54"/>
      <c r="Q329" s="67" t="str">
        <f>IFERROR(__xludf.DUMMYFUNCTION("""COMPUTED_VALUE"""),"!!!")</f>
        <v>!!!</v>
      </c>
      <c r="R329" s="67" t="str">
        <f>IFERROR(__xludf.DUMMYFUNCTION("""COMPUTED_VALUE"""),"!!!")</f>
        <v>!!!</v>
      </c>
      <c r="S329" s="67" t="str">
        <f>IFERROR(__xludf.DUMMYFUNCTION("""COMPUTED_VALUE"""),"!!!")</f>
        <v>!!!</v>
      </c>
      <c r="T32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30">
      <c r="A330" s="72"/>
      <c r="B330" s="60" t="s">
        <v>6754</v>
      </c>
      <c r="C330" s="67" t="str">
        <f>IFERROR(__xludf.DUMMYFUNCTION("""COMPUTED_VALUE"""),"LD237")</f>
        <v>LD237</v>
      </c>
      <c r="D330" s="55" t="s">
        <v>188</v>
      </c>
      <c r="E330" s="55" t="s">
        <v>193</v>
      </c>
      <c r="F330" s="54"/>
      <c r="G330" s="44" t="s">
        <v>61</v>
      </c>
      <c r="H330" s="54"/>
      <c r="I330" s="54"/>
      <c r="J330" s="54"/>
      <c r="K330" s="55" t="s">
        <v>61</v>
      </c>
      <c r="L330" s="54"/>
      <c r="M330" s="54"/>
      <c r="N330" s="54"/>
      <c r="O330" s="54"/>
      <c r="P330" s="54"/>
      <c r="Q330" s="67" t="str">
        <f>IFERROR(__xludf.DUMMYFUNCTION("""COMPUTED_VALUE"""),"!!!")</f>
        <v>!!!</v>
      </c>
      <c r="R330" s="67" t="str">
        <f>IFERROR(__xludf.DUMMYFUNCTION("""COMPUTED_VALUE"""),"!!!")</f>
        <v>!!!</v>
      </c>
      <c r="S330" s="67" t="str">
        <f>IFERROR(__xludf.DUMMYFUNCTION("""COMPUTED_VALUE"""),"!!!")</f>
        <v>!!!</v>
      </c>
      <c r="T33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31">
      <c r="A331" s="72"/>
      <c r="B331" s="60" t="s">
        <v>6754</v>
      </c>
      <c r="C331" s="67" t="str">
        <f>IFERROR(__xludf.DUMMYFUNCTION("""COMPUTED_VALUE"""),"LD237")</f>
        <v>LD237</v>
      </c>
      <c r="D331" s="55" t="s">
        <v>188</v>
      </c>
      <c r="E331" s="55" t="s">
        <v>193</v>
      </c>
      <c r="F331" s="54"/>
      <c r="G331" s="44" t="s">
        <v>61</v>
      </c>
      <c r="H331" s="54"/>
      <c r="I331" s="54"/>
      <c r="J331" s="54"/>
      <c r="K331" s="55" t="s">
        <v>61</v>
      </c>
      <c r="L331" s="54"/>
      <c r="M331" s="54"/>
      <c r="N331" s="54"/>
      <c r="O331" s="54"/>
      <c r="P331" s="54"/>
      <c r="Q331" s="67" t="str">
        <f>IFERROR(__xludf.DUMMYFUNCTION("""COMPUTED_VALUE"""),"!!!")</f>
        <v>!!!</v>
      </c>
      <c r="R331" s="67" t="str">
        <f>IFERROR(__xludf.DUMMYFUNCTION("""COMPUTED_VALUE"""),"!!!")</f>
        <v>!!!</v>
      </c>
      <c r="S331" s="67" t="str">
        <f>IFERROR(__xludf.DUMMYFUNCTION("""COMPUTED_VALUE"""),"!!!")</f>
        <v>!!!</v>
      </c>
      <c r="T33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32">
      <c r="A332" s="72"/>
      <c r="B332" s="60" t="s">
        <v>6754</v>
      </c>
      <c r="C332" s="67" t="str">
        <f>IFERROR(__xludf.DUMMYFUNCTION("""COMPUTED_VALUE"""),"LD237")</f>
        <v>LD237</v>
      </c>
      <c r="D332" s="55" t="s">
        <v>188</v>
      </c>
      <c r="E332" s="55" t="s">
        <v>193</v>
      </c>
      <c r="F332" s="54"/>
      <c r="G332" s="44" t="s">
        <v>61</v>
      </c>
      <c r="H332" s="54"/>
      <c r="I332" s="54"/>
      <c r="J332" s="54"/>
      <c r="K332" s="55" t="s">
        <v>61</v>
      </c>
      <c r="L332" s="54"/>
      <c r="M332" s="54"/>
      <c r="N332" s="54"/>
      <c r="O332" s="54"/>
      <c r="P332" s="54"/>
      <c r="Q332" s="67" t="str">
        <f>IFERROR(__xludf.DUMMYFUNCTION("""COMPUTED_VALUE"""),"!!!")</f>
        <v>!!!</v>
      </c>
      <c r="R332" s="67" t="str">
        <f>IFERROR(__xludf.DUMMYFUNCTION("""COMPUTED_VALUE"""),"!!!")</f>
        <v>!!!</v>
      </c>
      <c r="S332" s="67" t="str">
        <f>IFERROR(__xludf.DUMMYFUNCTION("""COMPUTED_VALUE"""),"!!!")</f>
        <v>!!!</v>
      </c>
      <c r="T33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33">
      <c r="A333" s="72"/>
      <c r="B333" s="60" t="s">
        <v>6754</v>
      </c>
      <c r="C333" s="67" t="str">
        <f>IFERROR(__xludf.DUMMYFUNCTION("""COMPUTED_VALUE"""),"LD237")</f>
        <v>LD237</v>
      </c>
      <c r="D333" s="55" t="s">
        <v>188</v>
      </c>
      <c r="E333" s="55" t="s">
        <v>193</v>
      </c>
      <c r="F333" s="54"/>
      <c r="G333" s="44" t="s">
        <v>61</v>
      </c>
      <c r="H333" s="54"/>
      <c r="I333" s="54"/>
      <c r="J333" s="54"/>
      <c r="K333" s="55" t="s">
        <v>61</v>
      </c>
      <c r="L333" s="54"/>
      <c r="M333" s="54"/>
      <c r="N333" s="54"/>
      <c r="O333" s="54"/>
      <c r="P333" s="54"/>
      <c r="Q333" s="67" t="str">
        <f>IFERROR(__xludf.DUMMYFUNCTION("""COMPUTED_VALUE"""),"!!!")</f>
        <v>!!!</v>
      </c>
      <c r="R333" s="67" t="str">
        <f>IFERROR(__xludf.DUMMYFUNCTION("""COMPUTED_VALUE"""),"!!!")</f>
        <v>!!!</v>
      </c>
      <c r="S333" s="67" t="str">
        <f>IFERROR(__xludf.DUMMYFUNCTION("""COMPUTED_VALUE"""),"!!!")</f>
        <v>!!!</v>
      </c>
      <c r="T33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34">
      <c r="A334" s="72"/>
      <c r="B334" s="60" t="s">
        <v>6754</v>
      </c>
      <c r="C334" s="67" t="str">
        <f>IFERROR(__xludf.DUMMYFUNCTION("""COMPUTED_VALUE"""),"LD237")</f>
        <v>LD237</v>
      </c>
      <c r="D334" s="55" t="s">
        <v>188</v>
      </c>
      <c r="E334" s="55" t="s">
        <v>193</v>
      </c>
      <c r="F334" s="54"/>
      <c r="G334" s="44" t="s">
        <v>61</v>
      </c>
      <c r="H334" s="54"/>
      <c r="I334" s="54"/>
      <c r="J334" s="54"/>
      <c r="K334" s="55" t="s">
        <v>61</v>
      </c>
      <c r="L334" s="54"/>
      <c r="M334" s="54"/>
      <c r="N334" s="54"/>
      <c r="O334" s="54"/>
      <c r="P334" s="54"/>
      <c r="Q334" s="67" t="str">
        <f>IFERROR(__xludf.DUMMYFUNCTION("""COMPUTED_VALUE"""),"!!!")</f>
        <v>!!!</v>
      </c>
      <c r="R334" s="67" t="str">
        <f>IFERROR(__xludf.DUMMYFUNCTION("""COMPUTED_VALUE"""),"!!!")</f>
        <v>!!!</v>
      </c>
      <c r="S334" s="67" t="str">
        <f>IFERROR(__xludf.DUMMYFUNCTION("""COMPUTED_VALUE"""),"!!!")</f>
        <v>!!!</v>
      </c>
      <c r="T33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35">
      <c r="A335" s="72"/>
      <c r="B335" s="60" t="s">
        <v>6754</v>
      </c>
      <c r="C335" s="67" t="str">
        <f>IFERROR(__xludf.DUMMYFUNCTION("""COMPUTED_VALUE"""),"LD237")</f>
        <v>LD237</v>
      </c>
      <c r="D335" s="55" t="s">
        <v>188</v>
      </c>
      <c r="E335" s="55" t="s">
        <v>193</v>
      </c>
      <c r="F335" s="54"/>
      <c r="G335" s="44" t="s">
        <v>61</v>
      </c>
      <c r="H335" s="54"/>
      <c r="I335" s="54"/>
      <c r="J335" s="54"/>
      <c r="K335" s="55" t="s">
        <v>61</v>
      </c>
      <c r="L335" s="54"/>
      <c r="M335" s="54"/>
      <c r="N335" s="54"/>
      <c r="O335" s="54"/>
      <c r="P335" s="54"/>
      <c r="Q335" s="67" t="str">
        <f>IFERROR(__xludf.DUMMYFUNCTION("""COMPUTED_VALUE"""),"!!!")</f>
        <v>!!!</v>
      </c>
      <c r="R335" s="67" t="str">
        <f>IFERROR(__xludf.DUMMYFUNCTION("""COMPUTED_VALUE"""),"!!!")</f>
        <v>!!!</v>
      </c>
      <c r="S335" s="67" t="str">
        <f>IFERROR(__xludf.DUMMYFUNCTION("""COMPUTED_VALUE"""),"!!!")</f>
        <v>!!!</v>
      </c>
      <c r="T33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36">
      <c r="A336" s="72"/>
      <c r="B336" s="60" t="s">
        <v>6754</v>
      </c>
      <c r="C336" s="67" t="str">
        <f>IFERROR(__xludf.DUMMYFUNCTION("""COMPUTED_VALUE"""),"LD237")</f>
        <v>LD237</v>
      </c>
      <c r="D336" s="55" t="s">
        <v>188</v>
      </c>
      <c r="E336" s="55" t="s">
        <v>193</v>
      </c>
      <c r="F336" s="54"/>
      <c r="G336" s="44" t="s">
        <v>61</v>
      </c>
      <c r="H336" s="54"/>
      <c r="I336" s="54"/>
      <c r="J336" s="54"/>
      <c r="K336" s="55" t="s">
        <v>61</v>
      </c>
      <c r="L336" s="54"/>
      <c r="M336" s="54"/>
      <c r="N336" s="54"/>
      <c r="O336" s="54"/>
      <c r="P336" s="54"/>
      <c r="Q336" s="67" t="str">
        <f>IFERROR(__xludf.DUMMYFUNCTION("""COMPUTED_VALUE"""),"!!!")</f>
        <v>!!!</v>
      </c>
      <c r="R336" s="67" t="str">
        <f>IFERROR(__xludf.DUMMYFUNCTION("""COMPUTED_VALUE"""),"!!!")</f>
        <v>!!!</v>
      </c>
      <c r="S336" s="67" t="str">
        <f>IFERROR(__xludf.DUMMYFUNCTION("""COMPUTED_VALUE"""),"!!!")</f>
        <v>!!!</v>
      </c>
      <c r="T33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37">
      <c r="A337" s="72"/>
      <c r="B337" s="60" t="s">
        <v>6754</v>
      </c>
      <c r="C337" s="67" t="str">
        <f>IFERROR(__xludf.DUMMYFUNCTION("""COMPUTED_VALUE"""),"LD237")</f>
        <v>LD237</v>
      </c>
      <c r="D337" s="55" t="s">
        <v>188</v>
      </c>
      <c r="E337" s="55" t="s">
        <v>193</v>
      </c>
      <c r="F337" s="54"/>
      <c r="G337" s="44" t="s">
        <v>61</v>
      </c>
      <c r="H337" s="54"/>
      <c r="I337" s="54"/>
      <c r="J337" s="54"/>
      <c r="K337" s="55" t="s">
        <v>61</v>
      </c>
      <c r="L337" s="54"/>
      <c r="M337" s="54"/>
      <c r="N337" s="54"/>
      <c r="O337" s="54"/>
      <c r="P337" s="54"/>
      <c r="Q337" s="67" t="str">
        <f>IFERROR(__xludf.DUMMYFUNCTION("""COMPUTED_VALUE"""),"!!!")</f>
        <v>!!!</v>
      </c>
      <c r="R337" s="67" t="str">
        <f>IFERROR(__xludf.DUMMYFUNCTION("""COMPUTED_VALUE"""),"!!!")</f>
        <v>!!!</v>
      </c>
      <c r="S337" s="67" t="str">
        <f>IFERROR(__xludf.DUMMYFUNCTION("""COMPUTED_VALUE"""),"!!!")</f>
        <v>!!!</v>
      </c>
      <c r="T33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38">
      <c r="A338" s="72"/>
      <c r="B338" s="60" t="s">
        <v>6754</v>
      </c>
      <c r="C338" s="67" t="str">
        <f>IFERROR(__xludf.DUMMYFUNCTION("""COMPUTED_VALUE"""),"LD237")</f>
        <v>LD237</v>
      </c>
      <c r="D338" s="55" t="s">
        <v>188</v>
      </c>
      <c r="E338" s="55" t="s">
        <v>193</v>
      </c>
      <c r="F338" s="54"/>
      <c r="G338" s="44" t="s">
        <v>61</v>
      </c>
      <c r="H338" s="54"/>
      <c r="I338" s="54"/>
      <c r="J338" s="54"/>
      <c r="K338" s="55" t="s">
        <v>61</v>
      </c>
      <c r="L338" s="54"/>
      <c r="M338" s="54"/>
      <c r="N338" s="54"/>
      <c r="O338" s="54"/>
      <c r="P338" s="54"/>
      <c r="Q338" s="67" t="str">
        <f>IFERROR(__xludf.DUMMYFUNCTION("""COMPUTED_VALUE"""),"!!!")</f>
        <v>!!!</v>
      </c>
      <c r="R338" s="67" t="str">
        <f>IFERROR(__xludf.DUMMYFUNCTION("""COMPUTED_VALUE"""),"!!!")</f>
        <v>!!!</v>
      </c>
      <c r="S338" s="67" t="str">
        <f>IFERROR(__xludf.DUMMYFUNCTION("""COMPUTED_VALUE"""),"!!!")</f>
        <v>!!!</v>
      </c>
      <c r="T33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39">
      <c r="A339" s="72"/>
      <c r="B339" s="60" t="s">
        <v>6754</v>
      </c>
      <c r="C339" s="67" t="str">
        <f>IFERROR(__xludf.DUMMYFUNCTION("""COMPUTED_VALUE"""),"LD237")</f>
        <v>LD237</v>
      </c>
      <c r="D339" s="55" t="s">
        <v>188</v>
      </c>
      <c r="E339" s="55" t="s">
        <v>193</v>
      </c>
      <c r="F339" s="54"/>
      <c r="G339" s="44" t="s">
        <v>61</v>
      </c>
      <c r="H339" s="54"/>
      <c r="I339" s="54"/>
      <c r="J339" s="54"/>
      <c r="K339" s="55" t="s">
        <v>61</v>
      </c>
      <c r="L339" s="54"/>
      <c r="M339" s="54"/>
      <c r="N339" s="54"/>
      <c r="O339" s="54"/>
      <c r="P339" s="54"/>
      <c r="Q339" s="67" t="str">
        <f>IFERROR(__xludf.DUMMYFUNCTION("""COMPUTED_VALUE"""),"!!!")</f>
        <v>!!!</v>
      </c>
      <c r="R339" s="67" t="str">
        <f>IFERROR(__xludf.DUMMYFUNCTION("""COMPUTED_VALUE"""),"!!!")</f>
        <v>!!!</v>
      </c>
      <c r="S339" s="67" t="str">
        <f>IFERROR(__xludf.DUMMYFUNCTION("""COMPUTED_VALUE"""),"!!!")</f>
        <v>!!!</v>
      </c>
      <c r="T33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40">
      <c r="A340" s="72"/>
      <c r="B340" s="60" t="s">
        <v>6754</v>
      </c>
      <c r="C340" s="67" t="str">
        <f>IFERROR(__xludf.DUMMYFUNCTION("""COMPUTED_VALUE"""),"LD237")</f>
        <v>LD237</v>
      </c>
      <c r="D340" s="55" t="s">
        <v>188</v>
      </c>
      <c r="E340" s="55" t="s">
        <v>193</v>
      </c>
      <c r="F340" s="54"/>
      <c r="G340" s="44" t="s">
        <v>61</v>
      </c>
      <c r="H340" s="54"/>
      <c r="I340" s="54"/>
      <c r="J340" s="54"/>
      <c r="K340" s="55" t="s">
        <v>61</v>
      </c>
      <c r="L340" s="54"/>
      <c r="M340" s="54"/>
      <c r="N340" s="54"/>
      <c r="O340" s="54"/>
      <c r="P340" s="54"/>
      <c r="Q340" s="67" t="str">
        <f>IFERROR(__xludf.DUMMYFUNCTION("""COMPUTED_VALUE"""),"!!!")</f>
        <v>!!!</v>
      </c>
      <c r="R340" s="67" t="str">
        <f>IFERROR(__xludf.DUMMYFUNCTION("""COMPUTED_VALUE"""),"!!!")</f>
        <v>!!!</v>
      </c>
      <c r="S340" s="67" t="str">
        <f>IFERROR(__xludf.DUMMYFUNCTION("""COMPUTED_VALUE"""),"!!!")</f>
        <v>!!!</v>
      </c>
      <c r="T34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41">
      <c r="A341" s="72"/>
      <c r="B341" s="60" t="s">
        <v>6754</v>
      </c>
      <c r="C341" s="67" t="str">
        <f>IFERROR(__xludf.DUMMYFUNCTION("""COMPUTED_VALUE"""),"LD237")</f>
        <v>LD237</v>
      </c>
      <c r="D341" s="55" t="s">
        <v>188</v>
      </c>
      <c r="E341" s="55" t="s">
        <v>193</v>
      </c>
      <c r="F341" s="54"/>
      <c r="G341" s="44" t="s">
        <v>61</v>
      </c>
      <c r="H341" s="54"/>
      <c r="I341" s="54"/>
      <c r="J341" s="54"/>
      <c r="K341" s="55" t="s">
        <v>61</v>
      </c>
      <c r="L341" s="54"/>
      <c r="M341" s="54"/>
      <c r="N341" s="54"/>
      <c r="O341" s="54"/>
      <c r="P341" s="54"/>
      <c r="Q341" s="67" t="str">
        <f>IFERROR(__xludf.DUMMYFUNCTION("""COMPUTED_VALUE"""),"!!!")</f>
        <v>!!!</v>
      </c>
      <c r="R341" s="67" t="str">
        <f>IFERROR(__xludf.DUMMYFUNCTION("""COMPUTED_VALUE"""),"!!!")</f>
        <v>!!!</v>
      </c>
      <c r="S341" s="67" t="str">
        <f>IFERROR(__xludf.DUMMYFUNCTION("""COMPUTED_VALUE"""),"!!!")</f>
        <v>!!!</v>
      </c>
      <c r="T34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42">
      <c r="A342" s="72"/>
      <c r="B342" s="60" t="s">
        <v>6754</v>
      </c>
      <c r="C342" s="67" t="str">
        <f>IFERROR(__xludf.DUMMYFUNCTION("""COMPUTED_VALUE"""),"LD237")</f>
        <v>LD237</v>
      </c>
      <c r="D342" s="55" t="s">
        <v>188</v>
      </c>
      <c r="E342" s="55" t="s">
        <v>193</v>
      </c>
      <c r="F342" s="54"/>
      <c r="G342" s="44" t="s">
        <v>61</v>
      </c>
      <c r="H342" s="54"/>
      <c r="I342" s="54"/>
      <c r="J342" s="54"/>
      <c r="K342" s="55" t="s">
        <v>61</v>
      </c>
      <c r="L342" s="54"/>
      <c r="M342" s="54"/>
      <c r="N342" s="54"/>
      <c r="O342" s="54"/>
      <c r="P342" s="54"/>
      <c r="Q342" s="67" t="str">
        <f>IFERROR(__xludf.DUMMYFUNCTION("""COMPUTED_VALUE"""),"!!!")</f>
        <v>!!!</v>
      </c>
      <c r="R342" s="67" t="str">
        <f>IFERROR(__xludf.DUMMYFUNCTION("""COMPUTED_VALUE"""),"!!!")</f>
        <v>!!!</v>
      </c>
      <c r="S342" s="67" t="str">
        <f>IFERROR(__xludf.DUMMYFUNCTION("""COMPUTED_VALUE"""),"!!!")</f>
        <v>!!!</v>
      </c>
      <c r="T34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43">
      <c r="A343" s="72"/>
      <c r="B343" s="60" t="s">
        <v>6754</v>
      </c>
      <c r="C343" s="67" t="str">
        <f>IFERROR(__xludf.DUMMYFUNCTION("""COMPUTED_VALUE"""),"LD237")</f>
        <v>LD237</v>
      </c>
      <c r="D343" s="55" t="s">
        <v>188</v>
      </c>
      <c r="E343" s="55" t="s">
        <v>193</v>
      </c>
      <c r="F343" s="54"/>
      <c r="G343" s="44" t="s">
        <v>61</v>
      </c>
      <c r="H343" s="54"/>
      <c r="I343" s="54"/>
      <c r="J343" s="54"/>
      <c r="K343" s="55" t="s">
        <v>61</v>
      </c>
      <c r="L343" s="54"/>
      <c r="M343" s="54"/>
      <c r="N343" s="54"/>
      <c r="O343" s="54"/>
      <c r="P343" s="54"/>
      <c r="Q343" s="67" t="str">
        <f>IFERROR(__xludf.DUMMYFUNCTION("""COMPUTED_VALUE"""),"!!!")</f>
        <v>!!!</v>
      </c>
      <c r="R343" s="67" t="str">
        <f>IFERROR(__xludf.DUMMYFUNCTION("""COMPUTED_VALUE"""),"!!!")</f>
        <v>!!!</v>
      </c>
      <c r="S343" s="67" t="str">
        <f>IFERROR(__xludf.DUMMYFUNCTION("""COMPUTED_VALUE"""),"!!!")</f>
        <v>!!!</v>
      </c>
      <c r="T34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44">
      <c r="A344" s="72"/>
      <c r="B344" s="60" t="s">
        <v>6754</v>
      </c>
      <c r="C344" s="67" t="str">
        <f>IFERROR(__xludf.DUMMYFUNCTION("""COMPUTED_VALUE"""),"LD237")</f>
        <v>LD237</v>
      </c>
      <c r="D344" s="55" t="s">
        <v>188</v>
      </c>
      <c r="E344" s="55" t="s">
        <v>193</v>
      </c>
      <c r="F344" s="54"/>
      <c r="G344" s="44" t="s">
        <v>61</v>
      </c>
      <c r="H344" s="54"/>
      <c r="I344" s="54"/>
      <c r="J344" s="54"/>
      <c r="K344" s="55" t="s">
        <v>61</v>
      </c>
      <c r="L344" s="54"/>
      <c r="M344" s="54"/>
      <c r="N344" s="54"/>
      <c r="O344" s="54"/>
      <c r="P344" s="54"/>
      <c r="Q344" s="67" t="str">
        <f>IFERROR(__xludf.DUMMYFUNCTION("""COMPUTED_VALUE"""),"!!!")</f>
        <v>!!!</v>
      </c>
      <c r="R344" s="67" t="str">
        <f>IFERROR(__xludf.DUMMYFUNCTION("""COMPUTED_VALUE"""),"!!!")</f>
        <v>!!!</v>
      </c>
      <c r="S344" s="67" t="str">
        <f>IFERROR(__xludf.DUMMYFUNCTION("""COMPUTED_VALUE"""),"!!!")</f>
        <v>!!!</v>
      </c>
      <c r="T34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45">
      <c r="A345" s="72"/>
      <c r="B345" s="60" t="s">
        <v>6754</v>
      </c>
      <c r="C345" s="67" t="str">
        <f>IFERROR(__xludf.DUMMYFUNCTION("""COMPUTED_VALUE"""),"LD237")</f>
        <v>LD237</v>
      </c>
      <c r="D345" s="55" t="s">
        <v>188</v>
      </c>
      <c r="E345" s="55" t="s">
        <v>193</v>
      </c>
      <c r="F345" s="54"/>
      <c r="G345" s="44" t="s">
        <v>61</v>
      </c>
      <c r="H345" s="54"/>
      <c r="I345" s="54"/>
      <c r="J345" s="54"/>
      <c r="K345" s="55" t="s">
        <v>61</v>
      </c>
      <c r="L345" s="54"/>
      <c r="M345" s="54"/>
      <c r="N345" s="54"/>
      <c r="O345" s="54"/>
      <c r="P345" s="54"/>
      <c r="Q345" s="67" t="str">
        <f>IFERROR(__xludf.DUMMYFUNCTION("""COMPUTED_VALUE"""),"!!!")</f>
        <v>!!!</v>
      </c>
      <c r="R345" s="67" t="str">
        <f>IFERROR(__xludf.DUMMYFUNCTION("""COMPUTED_VALUE"""),"!!!")</f>
        <v>!!!</v>
      </c>
      <c r="S345" s="67" t="str">
        <f>IFERROR(__xludf.DUMMYFUNCTION("""COMPUTED_VALUE"""),"!!!")</f>
        <v>!!!</v>
      </c>
      <c r="T34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46">
      <c r="A346" s="72"/>
      <c r="B346" s="60" t="s">
        <v>6754</v>
      </c>
      <c r="C346" s="67" t="str">
        <f>IFERROR(__xludf.DUMMYFUNCTION("""COMPUTED_VALUE"""),"LD237")</f>
        <v>LD237</v>
      </c>
      <c r="D346" s="55" t="s">
        <v>188</v>
      </c>
      <c r="E346" s="55" t="s">
        <v>193</v>
      </c>
      <c r="F346" s="54"/>
      <c r="G346" s="44" t="s">
        <v>61</v>
      </c>
      <c r="H346" s="54"/>
      <c r="I346" s="54"/>
      <c r="J346" s="54"/>
      <c r="K346" s="55" t="s">
        <v>61</v>
      </c>
      <c r="L346" s="54"/>
      <c r="M346" s="54"/>
      <c r="N346" s="54"/>
      <c r="O346" s="54"/>
      <c r="P346" s="54"/>
      <c r="Q346" s="67" t="str">
        <f>IFERROR(__xludf.DUMMYFUNCTION("""COMPUTED_VALUE"""),"!!!")</f>
        <v>!!!</v>
      </c>
      <c r="R346" s="67" t="str">
        <f>IFERROR(__xludf.DUMMYFUNCTION("""COMPUTED_VALUE"""),"!!!")</f>
        <v>!!!</v>
      </c>
      <c r="S346" s="67" t="str">
        <f>IFERROR(__xludf.DUMMYFUNCTION("""COMPUTED_VALUE"""),"!!!")</f>
        <v>!!!</v>
      </c>
      <c r="T34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47">
      <c r="A347" s="72"/>
      <c r="B347" s="60" t="s">
        <v>6754</v>
      </c>
      <c r="C347" s="67" t="str">
        <f>IFERROR(__xludf.DUMMYFUNCTION("""COMPUTED_VALUE"""),"LD237")</f>
        <v>LD237</v>
      </c>
      <c r="D347" s="55" t="s">
        <v>188</v>
      </c>
      <c r="E347" s="55" t="s">
        <v>193</v>
      </c>
      <c r="F347" s="54"/>
      <c r="G347" s="44" t="s">
        <v>61</v>
      </c>
      <c r="H347" s="54"/>
      <c r="I347" s="54"/>
      <c r="J347" s="54"/>
      <c r="K347" s="55" t="s">
        <v>61</v>
      </c>
      <c r="L347" s="54"/>
      <c r="M347" s="54"/>
      <c r="N347" s="54"/>
      <c r="O347" s="54"/>
      <c r="P347" s="54"/>
      <c r="Q347" s="67" t="str">
        <f>IFERROR(__xludf.DUMMYFUNCTION("""COMPUTED_VALUE"""),"!!!")</f>
        <v>!!!</v>
      </c>
      <c r="R347" s="67" t="str">
        <f>IFERROR(__xludf.DUMMYFUNCTION("""COMPUTED_VALUE"""),"!!!")</f>
        <v>!!!</v>
      </c>
      <c r="S347" s="67" t="str">
        <f>IFERROR(__xludf.DUMMYFUNCTION("""COMPUTED_VALUE"""),"!!!")</f>
        <v>!!!</v>
      </c>
      <c r="T34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48">
      <c r="A348" s="72"/>
      <c r="B348" s="60" t="s">
        <v>6754</v>
      </c>
      <c r="C348" s="67" t="str">
        <f>IFERROR(__xludf.DUMMYFUNCTION("""COMPUTED_VALUE"""),"LD237")</f>
        <v>LD237</v>
      </c>
      <c r="D348" s="55" t="s">
        <v>188</v>
      </c>
      <c r="E348" s="55" t="s">
        <v>193</v>
      </c>
      <c r="F348" s="54"/>
      <c r="G348" s="44" t="s">
        <v>61</v>
      </c>
      <c r="H348" s="54"/>
      <c r="I348" s="54"/>
      <c r="J348" s="54"/>
      <c r="K348" s="55" t="s">
        <v>61</v>
      </c>
      <c r="L348" s="54"/>
      <c r="M348" s="54"/>
      <c r="N348" s="54"/>
      <c r="O348" s="54"/>
      <c r="P348" s="54"/>
      <c r="Q348" s="67" t="str">
        <f>IFERROR(__xludf.DUMMYFUNCTION("""COMPUTED_VALUE"""),"!!!")</f>
        <v>!!!</v>
      </c>
      <c r="R348" s="67" t="str">
        <f>IFERROR(__xludf.DUMMYFUNCTION("""COMPUTED_VALUE"""),"!!!")</f>
        <v>!!!</v>
      </c>
      <c r="S348" s="67" t="str">
        <f>IFERROR(__xludf.DUMMYFUNCTION("""COMPUTED_VALUE"""),"!!!")</f>
        <v>!!!</v>
      </c>
      <c r="T34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49">
      <c r="A349" s="72"/>
      <c r="B349" s="60" t="s">
        <v>6754</v>
      </c>
      <c r="C349" s="67" t="str">
        <f>IFERROR(__xludf.DUMMYFUNCTION("""COMPUTED_VALUE"""),"LD237")</f>
        <v>LD237</v>
      </c>
      <c r="D349" s="55" t="s">
        <v>188</v>
      </c>
      <c r="E349" s="55" t="s">
        <v>193</v>
      </c>
      <c r="F349" s="54"/>
      <c r="G349" s="44" t="s">
        <v>61</v>
      </c>
      <c r="H349" s="54"/>
      <c r="I349" s="54"/>
      <c r="J349" s="54"/>
      <c r="K349" s="55" t="s">
        <v>61</v>
      </c>
      <c r="L349" s="54"/>
      <c r="M349" s="54"/>
      <c r="N349" s="54"/>
      <c r="O349" s="54"/>
      <c r="P349" s="54"/>
      <c r="Q349" s="67" t="str">
        <f>IFERROR(__xludf.DUMMYFUNCTION("""COMPUTED_VALUE"""),"!!!")</f>
        <v>!!!</v>
      </c>
      <c r="R349" s="67" t="str">
        <f>IFERROR(__xludf.DUMMYFUNCTION("""COMPUTED_VALUE"""),"!!!")</f>
        <v>!!!</v>
      </c>
      <c r="S349" s="67" t="str">
        <f>IFERROR(__xludf.DUMMYFUNCTION("""COMPUTED_VALUE"""),"!!!")</f>
        <v>!!!</v>
      </c>
      <c r="T34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50">
      <c r="A350" s="72"/>
      <c r="B350" s="60" t="s">
        <v>6754</v>
      </c>
      <c r="C350" s="67" t="str">
        <f>IFERROR(__xludf.DUMMYFUNCTION("""COMPUTED_VALUE"""),"LD237")</f>
        <v>LD237</v>
      </c>
      <c r="D350" s="55" t="s">
        <v>188</v>
      </c>
      <c r="E350" s="55" t="s">
        <v>193</v>
      </c>
      <c r="F350" s="54"/>
      <c r="G350" s="44" t="s">
        <v>61</v>
      </c>
      <c r="H350" s="54"/>
      <c r="I350" s="54"/>
      <c r="J350" s="54"/>
      <c r="K350" s="55" t="s">
        <v>61</v>
      </c>
      <c r="L350" s="54"/>
      <c r="M350" s="54"/>
      <c r="N350" s="54"/>
      <c r="O350" s="54"/>
      <c r="P350" s="54"/>
      <c r="Q350" s="67" t="str">
        <f>IFERROR(__xludf.DUMMYFUNCTION("""COMPUTED_VALUE"""),"!!!")</f>
        <v>!!!</v>
      </c>
      <c r="R350" s="67" t="str">
        <f>IFERROR(__xludf.DUMMYFUNCTION("""COMPUTED_VALUE"""),"!!!")</f>
        <v>!!!</v>
      </c>
      <c r="S350" s="67" t="str">
        <f>IFERROR(__xludf.DUMMYFUNCTION("""COMPUTED_VALUE"""),"!!!")</f>
        <v>!!!</v>
      </c>
      <c r="T35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51">
      <c r="A351" s="72"/>
      <c r="B351" s="60" t="s">
        <v>6754</v>
      </c>
      <c r="C351" s="67" t="str">
        <f>IFERROR(__xludf.DUMMYFUNCTION("""COMPUTED_VALUE"""),"LD237")</f>
        <v>LD237</v>
      </c>
      <c r="D351" s="55" t="s">
        <v>188</v>
      </c>
      <c r="E351" s="55" t="s">
        <v>193</v>
      </c>
      <c r="F351" s="54"/>
      <c r="G351" s="44" t="s">
        <v>61</v>
      </c>
      <c r="H351" s="54"/>
      <c r="I351" s="54"/>
      <c r="J351" s="54"/>
      <c r="K351" s="55" t="s">
        <v>61</v>
      </c>
      <c r="L351" s="54"/>
      <c r="M351" s="54"/>
      <c r="N351" s="54"/>
      <c r="O351" s="54"/>
      <c r="P351" s="54"/>
      <c r="Q351" s="67" t="str">
        <f>IFERROR(__xludf.DUMMYFUNCTION("""COMPUTED_VALUE"""),"!!!")</f>
        <v>!!!</v>
      </c>
      <c r="R351" s="67" t="str">
        <f>IFERROR(__xludf.DUMMYFUNCTION("""COMPUTED_VALUE"""),"!!!")</f>
        <v>!!!</v>
      </c>
      <c r="S351" s="67" t="str">
        <f>IFERROR(__xludf.DUMMYFUNCTION("""COMPUTED_VALUE"""),"!!!")</f>
        <v>!!!</v>
      </c>
      <c r="T35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52">
      <c r="A352" s="72"/>
      <c r="B352" s="60" t="s">
        <v>6754</v>
      </c>
      <c r="C352" s="67" t="str">
        <f>IFERROR(__xludf.DUMMYFUNCTION("""COMPUTED_VALUE"""),"LD237")</f>
        <v>LD237</v>
      </c>
      <c r="D352" s="55" t="s">
        <v>188</v>
      </c>
      <c r="E352" s="55" t="s">
        <v>193</v>
      </c>
      <c r="F352" s="54"/>
      <c r="G352" s="44" t="s">
        <v>61</v>
      </c>
      <c r="H352" s="54"/>
      <c r="I352" s="54"/>
      <c r="J352" s="54"/>
      <c r="K352" s="55" t="s">
        <v>61</v>
      </c>
      <c r="L352" s="54"/>
      <c r="M352" s="54"/>
      <c r="N352" s="54"/>
      <c r="O352" s="54"/>
      <c r="P352" s="54"/>
      <c r="Q352" s="67" t="str">
        <f>IFERROR(__xludf.DUMMYFUNCTION("""COMPUTED_VALUE"""),"!!!")</f>
        <v>!!!</v>
      </c>
      <c r="R352" s="67" t="str">
        <f>IFERROR(__xludf.DUMMYFUNCTION("""COMPUTED_VALUE"""),"!!!")</f>
        <v>!!!</v>
      </c>
      <c r="S352" s="67" t="str">
        <f>IFERROR(__xludf.DUMMYFUNCTION("""COMPUTED_VALUE"""),"!!!")</f>
        <v>!!!</v>
      </c>
      <c r="T35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53">
      <c r="A353" s="72"/>
      <c r="B353" s="60" t="s">
        <v>6754</v>
      </c>
      <c r="C353" s="67" t="str">
        <f>IFERROR(__xludf.DUMMYFUNCTION("""COMPUTED_VALUE"""),"LD237")</f>
        <v>LD237</v>
      </c>
      <c r="D353" s="55" t="s">
        <v>188</v>
      </c>
      <c r="E353" s="55" t="s">
        <v>193</v>
      </c>
      <c r="F353" s="54"/>
      <c r="G353" s="44" t="s">
        <v>61</v>
      </c>
      <c r="H353" s="54"/>
      <c r="I353" s="54"/>
      <c r="J353" s="54"/>
      <c r="K353" s="55" t="s">
        <v>61</v>
      </c>
      <c r="L353" s="54"/>
      <c r="M353" s="54"/>
      <c r="N353" s="54"/>
      <c r="O353" s="54"/>
      <c r="P353" s="54"/>
      <c r="Q353" s="67" t="str">
        <f>IFERROR(__xludf.DUMMYFUNCTION("""COMPUTED_VALUE"""),"!!!")</f>
        <v>!!!</v>
      </c>
      <c r="R353" s="67" t="str">
        <f>IFERROR(__xludf.DUMMYFUNCTION("""COMPUTED_VALUE"""),"!!!")</f>
        <v>!!!</v>
      </c>
      <c r="S353" s="67" t="str">
        <f>IFERROR(__xludf.DUMMYFUNCTION("""COMPUTED_VALUE"""),"!!!")</f>
        <v>!!!</v>
      </c>
      <c r="T35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54">
      <c r="A354" s="72"/>
      <c r="B354" s="60" t="s">
        <v>6754</v>
      </c>
      <c r="C354" s="67" t="str">
        <f>IFERROR(__xludf.DUMMYFUNCTION("""COMPUTED_VALUE"""),"LD237")</f>
        <v>LD237</v>
      </c>
      <c r="D354" s="55" t="s">
        <v>188</v>
      </c>
      <c r="E354" s="55" t="s">
        <v>193</v>
      </c>
      <c r="F354" s="54"/>
      <c r="G354" s="44" t="s">
        <v>61</v>
      </c>
      <c r="H354" s="54"/>
      <c r="I354" s="54"/>
      <c r="J354" s="54"/>
      <c r="K354" s="55" t="s">
        <v>61</v>
      </c>
      <c r="L354" s="54"/>
      <c r="M354" s="54"/>
      <c r="N354" s="54"/>
      <c r="O354" s="54"/>
      <c r="P354" s="54"/>
      <c r="Q354" s="67" t="str">
        <f>IFERROR(__xludf.DUMMYFUNCTION("""COMPUTED_VALUE"""),"!!!")</f>
        <v>!!!</v>
      </c>
      <c r="R354" s="67" t="str">
        <f>IFERROR(__xludf.DUMMYFUNCTION("""COMPUTED_VALUE"""),"!!!")</f>
        <v>!!!</v>
      </c>
      <c r="S354" s="67" t="str">
        <f>IFERROR(__xludf.DUMMYFUNCTION("""COMPUTED_VALUE"""),"!!!")</f>
        <v>!!!</v>
      </c>
      <c r="T35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55">
      <c r="A355" s="72"/>
      <c r="B355" s="60" t="s">
        <v>6754</v>
      </c>
      <c r="C355" s="67" t="str">
        <f>IFERROR(__xludf.DUMMYFUNCTION("""COMPUTED_VALUE"""),"LD237")</f>
        <v>LD237</v>
      </c>
      <c r="D355" s="55" t="s">
        <v>188</v>
      </c>
      <c r="E355" s="55" t="s">
        <v>193</v>
      </c>
      <c r="F355" s="54"/>
      <c r="G355" s="44" t="s">
        <v>61</v>
      </c>
      <c r="H355" s="54"/>
      <c r="I355" s="54"/>
      <c r="J355" s="54"/>
      <c r="K355" s="55" t="s">
        <v>61</v>
      </c>
      <c r="L355" s="54"/>
      <c r="M355" s="54"/>
      <c r="N355" s="54"/>
      <c r="O355" s="54"/>
      <c r="P355" s="54"/>
      <c r="Q355" s="67" t="str">
        <f>IFERROR(__xludf.DUMMYFUNCTION("""COMPUTED_VALUE"""),"!!!")</f>
        <v>!!!</v>
      </c>
      <c r="R355" s="67" t="str">
        <f>IFERROR(__xludf.DUMMYFUNCTION("""COMPUTED_VALUE"""),"!!!")</f>
        <v>!!!</v>
      </c>
      <c r="S355" s="67" t="str">
        <f>IFERROR(__xludf.DUMMYFUNCTION("""COMPUTED_VALUE"""),"!!!")</f>
        <v>!!!</v>
      </c>
      <c r="T35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56">
      <c r="A356" s="72"/>
      <c r="B356" s="60" t="s">
        <v>6754</v>
      </c>
      <c r="C356" s="67" t="str">
        <f>IFERROR(__xludf.DUMMYFUNCTION("""COMPUTED_VALUE"""),"LD237")</f>
        <v>LD237</v>
      </c>
      <c r="D356" s="55" t="s">
        <v>188</v>
      </c>
      <c r="E356" s="55" t="s">
        <v>193</v>
      </c>
      <c r="F356" s="54"/>
      <c r="G356" s="44" t="s">
        <v>61</v>
      </c>
      <c r="H356" s="54"/>
      <c r="I356" s="54"/>
      <c r="J356" s="54"/>
      <c r="K356" s="55" t="s">
        <v>61</v>
      </c>
      <c r="L356" s="54"/>
      <c r="M356" s="54"/>
      <c r="N356" s="54"/>
      <c r="O356" s="54"/>
      <c r="P356" s="54"/>
      <c r="Q356" s="67" t="str">
        <f>IFERROR(__xludf.DUMMYFUNCTION("""COMPUTED_VALUE"""),"!!!")</f>
        <v>!!!</v>
      </c>
      <c r="R356" s="67" t="str">
        <f>IFERROR(__xludf.DUMMYFUNCTION("""COMPUTED_VALUE"""),"!!!")</f>
        <v>!!!</v>
      </c>
      <c r="S356" s="67" t="str">
        <f>IFERROR(__xludf.DUMMYFUNCTION("""COMPUTED_VALUE"""),"!!!")</f>
        <v>!!!</v>
      </c>
      <c r="T35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57">
      <c r="A357" s="72"/>
      <c r="B357" s="60" t="s">
        <v>6754</v>
      </c>
      <c r="C357" s="67" t="str">
        <f>IFERROR(__xludf.DUMMYFUNCTION("""COMPUTED_VALUE"""),"LD237")</f>
        <v>LD237</v>
      </c>
      <c r="D357" s="55" t="s">
        <v>188</v>
      </c>
      <c r="E357" s="55" t="s">
        <v>193</v>
      </c>
      <c r="F357" s="54"/>
      <c r="G357" s="44" t="s">
        <v>61</v>
      </c>
      <c r="H357" s="54"/>
      <c r="I357" s="54"/>
      <c r="J357" s="54"/>
      <c r="K357" s="55" t="s">
        <v>61</v>
      </c>
      <c r="L357" s="54"/>
      <c r="M357" s="54"/>
      <c r="N357" s="54"/>
      <c r="O357" s="54"/>
      <c r="P357" s="54"/>
      <c r="Q357" s="67" t="str">
        <f>IFERROR(__xludf.DUMMYFUNCTION("""COMPUTED_VALUE"""),"!!!")</f>
        <v>!!!</v>
      </c>
      <c r="R357" s="67" t="str">
        <f>IFERROR(__xludf.DUMMYFUNCTION("""COMPUTED_VALUE"""),"!!!")</f>
        <v>!!!</v>
      </c>
      <c r="S357" s="67" t="str">
        <f>IFERROR(__xludf.DUMMYFUNCTION("""COMPUTED_VALUE"""),"!!!")</f>
        <v>!!!</v>
      </c>
      <c r="T35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58">
      <c r="A358" s="72"/>
      <c r="B358" s="60" t="s">
        <v>6754</v>
      </c>
      <c r="C358" s="67" t="str">
        <f>IFERROR(__xludf.DUMMYFUNCTION("""COMPUTED_VALUE"""),"LD237")</f>
        <v>LD237</v>
      </c>
      <c r="D358" s="55" t="s">
        <v>188</v>
      </c>
      <c r="E358" s="55" t="s">
        <v>193</v>
      </c>
      <c r="F358" s="54"/>
      <c r="G358" s="44" t="s">
        <v>61</v>
      </c>
      <c r="H358" s="54"/>
      <c r="I358" s="54"/>
      <c r="J358" s="54"/>
      <c r="K358" s="55" t="s">
        <v>61</v>
      </c>
      <c r="L358" s="54"/>
      <c r="M358" s="54"/>
      <c r="N358" s="54"/>
      <c r="O358" s="54"/>
      <c r="P358" s="54"/>
      <c r="Q358" s="67" t="str">
        <f>IFERROR(__xludf.DUMMYFUNCTION("""COMPUTED_VALUE"""),"!!!")</f>
        <v>!!!</v>
      </c>
      <c r="R358" s="67" t="str">
        <f>IFERROR(__xludf.DUMMYFUNCTION("""COMPUTED_VALUE"""),"!!!")</f>
        <v>!!!</v>
      </c>
      <c r="S358" s="67" t="str">
        <f>IFERROR(__xludf.DUMMYFUNCTION("""COMPUTED_VALUE"""),"!!!")</f>
        <v>!!!</v>
      </c>
      <c r="T35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59">
      <c r="A359" s="72"/>
      <c r="B359" s="60" t="s">
        <v>6754</v>
      </c>
      <c r="C359" s="67" t="str">
        <f>IFERROR(__xludf.DUMMYFUNCTION("""COMPUTED_VALUE"""),"LD237")</f>
        <v>LD237</v>
      </c>
      <c r="D359" s="55" t="s">
        <v>188</v>
      </c>
      <c r="E359" s="55" t="s">
        <v>193</v>
      </c>
      <c r="F359" s="54"/>
      <c r="G359" s="44" t="s">
        <v>61</v>
      </c>
      <c r="H359" s="54"/>
      <c r="I359" s="54"/>
      <c r="J359" s="54"/>
      <c r="K359" s="55" t="s">
        <v>61</v>
      </c>
      <c r="L359" s="54"/>
      <c r="M359" s="54"/>
      <c r="N359" s="54"/>
      <c r="O359" s="54"/>
      <c r="P359" s="54"/>
      <c r="Q359" s="67" t="str">
        <f>IFERROR(__xludf.DUMMYFUNCTION("""COMPUTED_VALUE"""),"!!!")</f>
        <v>!!!</v>
      </c>
      <c r="R359" s="67" t="str">
        <f>IFERROR(__xludf.DUMMYFUNCTION("""COMPUTED_VALUE"""),"!!!")</f>
        <v>!!!</v>
      </c>
      <c r="S359" s="67" t="str">
        <f>IFERROR(__xludf.DUMMYFUNCTION("""COMPUTED_VALUE"""),"!!!")</f>
        <v>!!!</v>
      </c>
      <c r="T35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60">
      <c r="A360" s="72"/>
      <c r="B360" s="60" t="s">
        <v>6754</v>
      </c>
      <c r="C360" s="67" t="str">
        <f>IFERROR(__xludf.DUMMYFUNCTION("""COMPUTED_VALUE"""),"LD237")</f>
        <v>LD237</v>
      </c>
      <c r="D360" s="55" t="s">
        <v>188</v>
      </c>
      <c r="E360" s="55" t="s">
        <v>193</v>
      </c>
      <c r="F360" s="54"/>
      <c r="G360" s="44" t="s">
        <v>61</v>
      </c>
      <c r="H360" s="54"/>
      <c r="I360" s="54"/>
      <c r="J360" s="54"/>
      <c r="K360" s="55" t="s">
        <v>61</v>
      </c>
      <c r="L360" s="54"/>
      <c r="M360" s="54"/>
      <c r="N360" s="54"/>
      <c r="O360" s="54"/>
      <c r="P360" s="54"/>
      <c r="Q360" s="67" t="str">
        <f>IFERROR(__xludf.DUMMYFUNCTION("""COMPUTED_VALUE"""),"!!!")</f>
        <v>!!!</v>
      </c>
      <c r="R360" s="67" t="str">
        <f>IFERROR(__xludf.DUMMYFUNCTION("""COMPUTED_VALUE"""),"!!!")</f>
        <v>!!!</v>
      </c>
      <c r="S360" s="67" t="str">
        <f>IFERROR(__xludf.DUMMYFUNCTION("""COMPUTED_VALUE"""),"!!!")</f>
        <v>!!!</v>
      </c>
      <c r="T36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61">
      <c r="A361" s="72"/>
      <c r="B361" s="60" t="s">
        <v>6754</v>
      </c>
      <c r="C361" s="67" t="str">
        <f>IFERROR(__xludf.DUMMYFUNCTION("""COMPUTED_VALUE"""),"LD237")</f>
        <v>LD237</v>
      </c>
      <c r="D361" s="55" t="s">
        <v>188</v>
      </c>
      <c r="E361" s="55" t="s">
        <v>193</v>
      </c>
      <c r="F361" s="54"/>
      <c r="G361" s="44" t="s">
        <v>61</v>
      </c>
      <c r="H361" s="54"/>
      <c r="I361" s="54"/>
      <c r="J361" s="54"/>
      <c r="K361" s="55" t="s">
        <v>61</v>
      </c>
      <c r="L361" s="54"/>
      <c r="M361" s="54"/>
      <c r="N361" s="54"/>
      <c r="O361" s="54"/>
      <c r="P361" s="54"/>
      <c r="Q361" s="67" t="str">
        <f>IFERROR(__xludf.DUMMYFUNCTION("""COMPUTED_VALUE"""),"!!!")</f>
        <v>!!!</v>
      </c>
      <c r="R361" s="67" t="str">
        <f>IFERROR(__xludf.DUMMYFUNCTION("""COMPUTED_VALUE"""),"!!!")</f>
        <v>!!!</v>
      </c>
      <c r="S361" s="67" t="str">
        <f>IFERROR(__xludf.DUMMYFUNCTION("""COMPUTED_VALUE"""),"!!!")</f>
        <v>!!!</v>
      </c>
      <c r="T36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62">
      <c r="A362" s="72"/>
      <c r="B362" s="60" t="s">
        <v>6754</v>
      </c>
      <c r="C362" s="67" t="str">
        <f>IFERROR(__xludf.DUMMYFUNCTION("""COMPUTED_VALUE"""),"LD237")</f>
        <v>LD237</v>
      </c>
      <c r="D362" s="55" t="s">
        <v>188</v>
      </c>
      <c r="E362" s="55" t="s">
        <v>193</v>
      </c>
      <c r="F362" s="54"/>
      <c r="G362" s="44" t="s">
        <v>61</v>
      </c>
      <c r="H362" s="54"/>
      <c r="I362" s="54"/>
      <c r="J362" s="54"/>
      <c r="K362" s="55" t="s">
        <v>61</v>
      </c>
      <c r="L362" s="54"/>
      <c r="M362" s="54"/>
      <c r="N362" s="54"/>
      <c r="O362" s="54"/>
      <c r="P362" s="54"/>
      <c r="Q362" s="67" t="str">
        <f>IFERROR(__xludf.DUMMYFUNCTION("""COMPUTED_VALUE"""),"!!!")</f>
        <v>!!!</v>
      </c>
      <c r="R362" s="67" t="str">
        <f>IFERROR(__xludf.DUMMYFUNCTION("""COMPUTED_VALUE"""),"!!!")</f>
        <v>!!!</v>
      </c>
      <c r="S362" s="67" t="str">
        <f>IFERROR(__xludf.DUMMYFUNCTION("""COMPUTED_VALUE"""),"!!!")</f>
        <v>!!!</v>
      </c>
      <c r="T36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63">
      <c r="A363" s="72"/>
      <c r="B363" s="60" t="s">
        <v>6754</v>
      </c>
      <c r="C363" s="67" t="str">
        <f>IFERROR(__xludf.DUMMYFUNCTION("""COMPUTED_VALUE"""),"LD237")</f>
        <v>LD237</v>
      </c>
      <c r="D363" s="55" t="s">
        <v>188</v>
      </c>
      <c r="E363" s="55" t="s">
        <v>193</v>
      </c>
      <c r="F363" s="54"/>
      <c r="G363" s="44" t="s">
        <v>61</v>
      </c>
      <c r="H363" s="54"/>
      <c r="I363" s="54"/>
      <c r="J363" s="54"/>
      <c r="K363" s="55" t="s">
        <v>61</v>
      </c>
      <c r="L363" s="54"/>
      <c r="M363" s="54"/>
      <c r="N363" s="54"/>
      <c r="O363" s="54"/>
      <c r="P363" s="54"/>
      <c r="Q363" s="67" t="str">
        <f>IFERROR(__xludf.DUMMYFUNCTION("""COMPUTED_VALUE"""),"!!!")</f>
        <v>!!!</v>
      </c>
      <c r="R363" s="67" t="str">
        <f>IFERROR(__xludf.DUMMYFUNCTION("""COMPUTED_VALUE"""),"!!!")</f>
        <v>!!!</v>
      </c>
      <c r="S363" s="67" t="str">
        <f>IFERROR(__xludf.DUMMYFUNCTION("""COMPUTED_VALUE"""),"!!!")</f>
        <v>!!!</v>
      </c>
      <c r="T36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64">
      <c r="A364" s="72"/>
      <c r="B364" s="60" t="s">
        <v>6754</v>
      </c>
      <c r="C364" s="67" t="str">
        <f>IFERROR(__xludf.DUMMYFUNCTION("""COMPUTED_VALUE"""),"LD237")</f>
        <v>LD237</v>
      </c>
      <c r="D364" s="55" t="s">
        <v>188</v>
      </c>
      <c r="E364" s="55" t="s">
        <v>193</v>
      </c>
      <c r="F364" s="54"/>
      <c r="G364" s="44" t="s">
        <v>61</v>
      </c>
      <c r="H364" s="54"/>
      <c r="I364" s="54"/>
      <c r="J364" s="54"/>
      <c r="K364" s="55" t="s">
        <v>61</v>
      </c>
      <c r="L364" s="54"/>
      <c r="M364" s="54"/>
      <c r="N364" s="54"/>
      <c r="O364" s="54"/>
      <c r="P364" s="54"/>
      <c r="Q364" s="67" t="str">
        <f>IFERROR(__xludf.DUMMYFUNCTION("""COMPUTED_VALUE"""),"!!!")</f>
        <v>!!!</v>
      </c>
      <c r="R364" s="67" t="str">
        <f>IFERROR(__xludf.DUMMYFUNCTION("""COMPUTED_VALUE"""),"!!!")</f>
        <v>!!!</v>
      </c>
      <c r="S364" s="67" t="str">
        <f>IFERROR(__xludf.DUMMYFUNCTION("""COMPUTED_VALUE"""),"!!!")</f>
        <v>!!!</v>
      </c>
      <c r="T36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65">
      <c r="A365" s="72"/>
      <c r="B365" s="60" t="s">
        <v>6754</v>
      </c>
      <c r="C365" s="67" t="str">
        <f>IFERROR(__xludf.DUMMYFUNCTION("""COMPUTED_VALUE"""),"LD237")</f>
        <v>LD237</v>
      </c>
      <c r="D365" s="55" t="s">
        <v>188</v>
      </c>
      <c r="E365" s="55" t="s">
        <v>193</v>
      </c>
      <c r="F365" s="54"/>
      <c r="G365" s="44" t="s">
        <v>61</v>
      </c>
      <c r="H365" s="54"/>
      <c r="I365" s="54"/>
      <c r="J365" s="54"/>
      <c r="K365" s="55" t="s">
        <v>61</v>
      </c>
      <c r="L365" s="54"/>
      <c r="M365" s="54"/>
      <c r="N365" s="54"/>
      <c r="O365" s="54"/>
      <c r="P365" s="54"/>
      <c r="Q365" s="67" t="str">
        <f>IFERROR(__xludf.DUMMYFUNCTION("""COMPUTED_VALUE"""),"!!!")</f>
        <v>!!!</v>
      </c>
      <c r="R365" s="67" t="str">
        <f>IFERROR(__xludf.DUMMYFUNCTION("""COMPUTED_VALUE"""),"!!!")</f>
        <v>!!!</v>
      </c>
      <c r="S365" s="67" t="str">
        <f>IFERROR(__xludf.DUMMYFUNCTION("""COMPUTED_VALUE"""),"!!!")</f>
        <v>!!!</v>
      </c>
      <c r="T36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66">
      <c r="A366" s="72"/>
      <c r="B366" s="60" t="s">
        <v>6754</v>
      </c>
      <c r="C366" s="67" t="str">
        <f>IFERROR(__xludf.DUMMYFUNCTION("""COMPUTED_VALUE"""),"LD237")</f>
        <v>LD237</v>
      </c>
      <c r="D366" s="55" t="s">
        <v>188</v>
      </c>
      <c r="E366" s="55" t="s">
        <v>193</v>
      </c>
      <c r="F366" s="54"/>
      <c r="G366" s="44" t="s">
        <v>61</v>
      </c>
      <c r="H366" s="54"/>
      <c r="I366" s="54"/>
      <c r="J366" s="54"/>
      <c r="K366" s="55" t="s">
        <v>61</v>
      </c>
      <c r="L366" s="54"/>
      <c r="M366" s="54"/>
      <c r="N366" s="54"/>
      <c r="O366" s="54"/>
      <c r="P366" s="54"/>
      <c r="Q366" s="67" t="str">
        <f>IFERROR(__xludf.DUMMYFUNCTION("""COMPUTED_VALUE"""),"!!!")</f>
        <v>!!!</v>
      </c>
      <c r="R366" s="67" t="str">
        <f>IFERROR(__xludf.DUMMYFUNCTION("""COMPUTED_VALUE"""),"!!!")</f>
        <v>!!!</v>
      </c>
      <c r="S366" s="67" t="str">
        <f>IFERROR(__xludf.DUMMYFUNCTION("""COMPUTED_VALUE"""),"!!!")</f>
        <v>!!!</v>
      </c>
      <c r="T36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67">
      <c r="A367" s="72"/>
      <c r="B367" s="60" t="s">
        <v>6754</v>
      </c>
      <c r="C367" s="67" t="str">
        <f>IFERROR(__xludf.DUMMYFUNCTION("""COMPUTED_VALUE"""),"LD237")</f>
        <v>LD237</v>
      </c>
      <c r="D367" s="55" t="s">
        <v>188</v>
      </c>
      <c r="E367" s="55" t="s">
        <v>193</v>
      </c>
      <c r="F367" s="54"/>
      <c r="G367" s="44" t="s">
        <v>61</v>
      </c>
      <c r="H367" s="54"/>
      <c r="I367" s="54"/>
      <c r="J367" s="54"/>
      <c r="K367" s="55" t="s">
        <v>61</v>
      </c>
      <c r="L367" s="54"/>
      <c r="M367" s="54"/>
      <c r="N367" s="54"/>
      <c r="O367" s="54"/>
      <c r="P367" s="54"/>
      <c r="Q367" s="67" t="str">
        <f>IFERROR(__xludf.DUMMYFUNCTION("""COMPUTED_VALUE"""),"!!!")</f>
        <v>!!!</v>
      </c>
      <c r="R367" s="67" t="str">
        <f>IFERROR(__xludf.DUMMYFUNCTION("""COMPUTED_VALUE"""),"!!!")</f>
        <v>!!!</v>
      </c>
      <c r="S367" s="67" t="str">
        <f>IFERROR(__xludf.DUMMYFUNCTION("""COMPUTED_VALUE"""),"!!!")</f>
        <v>!!!</v>
      </c>
      <c r="T36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68">
      <c r="A368" s="72"/>
      <c r="B368" s="60" t="s">
        <v>6754</v>
      </c>
      <c r="C368" s="67" t="str">
        <f>IFERROR(__xludf.DUMMYFUNCTION("""COMPUTED_VALUE"""),"LD237")</f>
        <v>LD237</v>
      </c>
      <c r="D368" s="55" t="s">
        <v>188</v>
      </c>
      <c r="E368" s="55" t="s">
        <v>193</v>
      </c>
      <c r="F368" s="54"/>
      <c r="G368" s="44" t="s">
        <v>61</v>
      </c>
      <c r="H368" s="54"/>
      <c r="I368" s="54"/>
      <c r="J368" s="54"/>
      <c r="K368" s="55" t="s">
        <v>61</v>
      </c>
      <c r="L368" s="54"/>
      <c r="M368" s="54"/>
      <c r="N368" s="54"/>
      <c r="O368" s="54"/>
      <c r="P368" s="54"/>
      <c r="Q368" s="67" t="str">
        <f>IFERROR(__xludf.DUMMYFUNCTION("""COMPUTED_VALUE"""),"!!!")</f>
        <v>!!!</v>
      </c>
      <c r="R368" s="67" t="str">
        <f>IFERROR(__xludf.DUMMYFUNCTION("""COMPUTED_VALUE"""),"!!!")</f>
        <v>!!!</v>
      </c>
      <c r="S368" s="67" t="str">
        <f>IFERROR(__xludf.DUMMYFUNCTION("""COMPUTED_VALUE"""),"!!!")</f>
        <v>!!!</v>
      </c>
      <c r="T36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69">
      <c r="A369" s="72"/>
      <c r="B369" s="60" t="s">
        <v>6754</v>
      </c>
      <c r="C369" s="67" t="str">
        <f>IFERROR(__xludf.DUMMYFUNCTION("""COMPUTED_VALUE"""),"LD237")</f>
        <v>LD237</v>
      </c>
      <c r="D369" s="55" t="s">
        <v>188</v>
      </c>
      <c r="E369" s="55" t="s">
        <v>193</v>
      </c>
      <c r="F369" s="54"/>
      <c r="G369" s="44" t="s">
        <v>61</v>
      </c>
      <c r="H369" s="54"/>
      <c r="I369" s="54"/>
      <c r="J369" s="54"/>
      <c r="K369" s="55" t="s">
        <v>61</v>
      </c>
      <c r="L369" s="54"/>
      <c r="M369" s="54"/>
      <c r="N369" s="54"/>
      <c r="O369" s="54"/>
      <c r="P369" s="54"/>
      <c r="Q369" s="67" t="str">
        <f>IFERROR(__xludf.DUMMYFUNCTION("""COMPUTED_VALUE"""),"!!!")</f>
        <v>!!!</v>
      </c>
      <c r="R369" s="67" t="str">
        <f>IFERROR(__xludf.DUMMYFUNCTION("""COMPUTED_VALUE"""),"!!!")</f>
        <v>!!!</v>
      </c>
      <c r="S369" s="67" t="str">
        <f>IFERROR(__xludf.DUMMYFUNCTION("""COMPUTED_VALUE"""),"!!!")</f>
        <v>!!!</v>
      </c>
      <c r="T36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70">
      <c r="A370" s="72"/>
      <c r="B370" s="60" t="s">
        <v>6754</v>
      </c>
      <c r="C370" s="67" t="str">
        <f>IFERROR(__xludf.DUMMYFUNCTION("""COMPUTED_VALUE"""),"LD237")</f>
        <v>LD237</v>
      </c>
      <c r="D370" s="55" t="s">
        <v>188</v>
      </c>
      <c r="E370" s="55" t="s">
        <v>193</v>
      </c>
      <c r="F370" s="54"/>
      <c r="G370" s="44" t="s">
        <v>61</v>
      </c>
      <c r="H370" s="54"/>
      <c r="I370" s="54"/>
      <c r="J370" s="54"/>
      <c r="K370" s="55" t="s">
        <v>61</v>
      </c>
      <c r="L370" s="54"/>
      <c r="M370" s="54"/>
      <c r="N370" s="54"/>
      <c r="O370" s="54"/>
      <c r="P370" s="54"/>
      <c r="Q370" s="67" t="str">
        <f>IFERROR(__xludf.DUMMYFUNCTION("""COMPUTED_VALUE"""),"!!!")</f>
        <v>!!!</v>
      </c>
      <c r="R370" s="67" t="str">
        <f>IFERROR(__xludf.DUMMYFUNCTION("""COMPUTED_VALUE"""),"!!!")</f>
        <v>!!!</v>
      </c>
      <c r="S370" s="67" t="str">
        <f>IFERROR(__xludf.DUMMYFUNCTION("""COMPUTED_VALUE"""),"!!!")</f>
        <v>!!!</v>
      </c>
      <c r="T37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71">
      <c r="A371" s="72"/>
      <c r="B371" s="60" t="s">
        <v>6754</v>
      </c>
      <c r="C371" s="67" t="str">
        <f>IFERROR(__xludf.DUMMYFUNCTION("""COMPUTED_VALUE"""),"LD237")</f>
        <v>LD237</v>
      </c>
      <c r="D371" s="55" t="s">
        <v>188</v>
      </c>
      <c r="E371" s="55" t="s">
        <v>193</v>
      </c>
      <c r="F371" s="54"/>
      <c r="G371" s="44" t="s">
        <v>61</v>
      </c>
      <c r="H371" s="54"/>
      <c r="I371" s="54"/>
      <c r="J371" s="54"/>
      <c r="K371" s="55" t="s">
        <v>61</v>
      </c>
      <c r="L371" s="54"/>
      <c r="M371" s="54"/>
      <c r="N371" s="54"/>
      <c r="O371" s="54"/>
      <c r="P371" s="54"/>
      <c r="Q371" s="67" t="str">
        <f>IFERROR(__xludf.DUMMYFUNCTION("""COMPUTED_VALUE"""),"!!!")</f>
        <v>!!!</v>
      </c>
      <c r="R371" s="67" t="str">
        <f>IFERROR(__xludf.DUMMYFUNCTION("""COMPUTED_VALUE"""),"!!!")</f>
        <v>!!!</v>
      </c>
      <c r="S371" s="67" t="str">
        <f>IFERROR(__xludf.DUMMYFUNCTION("""COMPUTED_VALUE"""),"!!!")</f>
        <v>!!!</v>
      </c>
      <c r="T37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72">
      <c r="A372" s="72"/>
      <c r="B372" s="60" t="s">
        <v>6754</v>
      </c>
      <c r="C372" s="67" t="str">
        <f>IFERROR(__xludf.DUMMYFUNCTION("""COMPUTED_VALUE"""),"LD237")</f>
        <v>LD237</v>
      </c>
      <c r="D372" s="55" t="s">
        <v>188</v>
      </c>
      <c r="E372" s="55" t="s">
        <v>193</v>
      </c>
      <c r="F372" s="54"/>
      <c r="G372" s="44" t="s">
        <v>61</v>
      </c>
      <c r="H372" s="54"/>
      <c r="I372" s="54"/>
      <c r="J372" s="54"/>
      <c r="K372" s="55" t="s">
        <v>61</v>
      </c>
      <c r="L372" s="54"/>
      <c r="M372" s="54"/>
      <c r="N372" s="54"/>
      <c r="O372" s="54"/>
      <c r="P372" s="54"/>
      <c r="Q372" s="67" t="str">
        <f>IFERROR(__xludf.DUMMYFUNCTION("""COMPUTED_VALUE"""),"!!!")</f>
        <v>!!!</v>
      </c>
      <c r="R372" s="67" t="str">
        <f>IFERROR(__xludf.DUMMYFUNCTION("""COMPUTED_VALUE"""),"!!!")</f>
        <v>!!!</v>
      </c>
      <c r="S372" s="67" t="str">
        <f>IFERROR(__xludf.DUMMYFUNCTION("""COMPUTED_VALUE"""),"!!!")</f>
        <v>!!!</v>
      </c>
      <c r="T37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73">
      <c r="A373" s="72"/>
      <c r="B373" s="60" t="s">
        <v>6754</v>
      </c>
      <c r="C373" s="67" t="str">
        <f>IFERROR(__xludf.DUMMYFUNCTION("""COMPUTED_VALUE"""),"LD237")</f>
        <v>LD237</v>
      </c>
      <c r="D373" s="55" t="s">
        <v>188</v>
      </c>
      <c r="E373" s="55" t="s">
        <v>193</v>
      </c>
      <c r="F373" s="54"/>
      <c r="G373" s="44" t="s">
        <v>61</v>
      </c>
      <c r="H373" s="54"/>
      <c r="I373" s="54"/>
      <c r="J373" s="54"/>
      <c r="K373" s="55" t="s">
        <v>61</v>
      </c>
      <c r="L373" s="54"/>
      <c r="M373" s="54"/>
      <c r="N373" s="54"/>
      <c r="O373" s="54"/>
      <c r="P373" s="54"/>
      <c r="Q373" s="67" t="str">
        <f>IFERROR(__xludf.DUMMYFUNCTION("""COMPUTED_VALUE"""),"!!!")</f>
        <v>!!!</v>
      </c>
      <c r="R373" s="67" t="str">
        <f>IFERROR(__xludf.DUMMYFUNCTION("""COMPUTED_VALUE"""),"!!!")</f>
        <v>!!!</v>
      </c>
      <c r="S373" s="67" t="str">
        <f>IFERROR(__xludf.DUMMYFUNCTION("""COMPUTED_VALUE"""),"!!!")</f>
        <v>!!!</v>
      </c>
      <c r="T37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74">
      <c r="A374" s="72"/>
      <c r="B374" s="60" t="s">
        <v>6754</v>
      </c>
      <c r="C374" s="67" t="str">
        <f>IFERROR(__xludf.DUMMYFUNCTION("""COMPUTED_VALUE"""),"LD237")</f>
        <v>LD237</v>
      </c>
      <c r="D374" s="55" t="s">
        <v>188</v>
      </c>
      <c r="E374" s="55" t="s">
        <v>193</v>
      </c>
      <c r="F374" s="54"/>
      <c r="G374" s="44" t="s">
        <v>61</v>
      </c>
      <c r="H374" s="54"/>
      <c r="I374" s="54"/>
      <c r="J374" s="54"/>
      <c r="K374" s="55" t="s">
        <v>61</v>
      </c>
      <c r="L374" s="54"/>
      <c r="M374" s="54"/>
      <c r="N374" s="54"/>
      <c r="O374" s="54"/>
      <c r="P374" s="54"/>
      <c r="Q374" s="67" t="str">
        <f>IFERROR(__xludf.DUMMYFUNCTION("""COMPUTED_VALUE"""),"!!!")</f>
        <v>!!!</v>
      </c>
      <c r="R374" s="67" t="str">
        <f>IFERROR(__xludf.DUMMYFUNCTION("""COMPUTED_VALUE"""),"!!!")</f>
        <v>!!!</v>
      </c>
      <c r="S374" s="67" t="str">
        <f>IFERROR(__xludf.DUMMYFUNCTION("""COMPUTED_VALUE"""),"!!!")</f>
        <v>!!!</v>
      </c>
      <c r="T37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75">
      <c r="A375" s="72"/>
      <c r="B375" s="60" t="s">
        <v>6754</v>
      </c>
      <c r="C375" s="67" t="str">
        <f>IFERROR(__xludf.DUMMYFUNCTION("""COMPUTED_VALUE"""),"LD237")</f>
        <v>LD237</v>
      </c>
      <c r="D375" s="55" t="s">
        <v>188</v>
      </c>
      <c r="E375" s="55" t="s">
        <v>193</v>
      </c>
      <c r="F375" s="54"/>
      <c r="G375" s="44" t="s">
        <v>61</v>
      </c>
      <c r="H375" s="54"/>
      <c r="I375" s="54"/>
      <c r="J375" s="54"/>
      <c r="K375" s="55" t="s">
        <v>61</v>
      </c>
      <c r="L375" s="54"/>
      <c r="M375" s="54"/>
      <c r="N375" s="54"/>
      <c r="O375" s="54"/>
      <c r="P375" s="54"/>
      <c r="Q375" s="67" t="str">
        <f>IFERROR(__xludf.DUMMYFUNCTION("""COMPUTED_VALUE"""),"!!!")</f>
        <v>!!!</v>
      </c>
      <c r="R375" s="67" t="str">
        <f>IFERROR(__xludf.DUMMYFUNCTION("""COMPUTED_VALUE"""),"!!!")</f>
        <v>!!!</v>
      </c>
      <c r="S375" s="67" t="str">
        <f>IFERROR(__xludf.DUMMYFUNCTION("""COMPUTED_VALUE"""),"!!!")</f>
        <v>!!!</v>
      </c>
      <c r="T37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76">
      <c r="A376" s="72"/>
      <c r="B376" s="60" t="s">
        <v>6754</v>
      </c>
      <c r="C376" s="67" t="str">
        <f>IFERROR(__xludf.DUMMYFUNCTION("""COMPUTED_VALUE"""),"LD237")</f>
        <v>LD237</v>
      </c>
      <c r="D376" s="55" t="s">
        <v>188</v>
      </c>
      <c r="E376" s="55" t="s">
        <v>193</v>
      </c>
      <c r="F376" s="54"/>
      <c r="G376" s="44" t="s">
        <v>61</v>
      </c>
      <c r="H376" s="54"/>
      <c r="I376" s="54"/>
      <c r="J376" s="54"/>
      <c r="K376" s="55" t="s">
        <v>61</v>
      </c>
      <c r="L376" s="54"/>
      <c r="M376" s="54"/>
      <c r="N376" s="54"/>
      <c r="O376" s="54"/>
      <c r="P376" s="54"/>
      <c r="Q376" s="67" t="str">
        <f>IFERROR(__xludf.DUMMYFUNCTION("""COMPUTED_VALUE"""),"!!!")</f>
        <v>!!!</v>
      </c>
      <c r="R376" s="67" t="str">
        <f>IFERROR(__xludf.DUMMYFUNCTION("""COMPUTED_VALUE"""),"!!!")</f>
        <v>!!!</v>
      </c>
      <c r="S376" s="67" t="str">
        <f>IFERROR(__xludf.DUMMYFUNCTION("""COMPUTED_VALUE"""),"!!!")</f>
        <v>!!!</v>
      </c>
      <c r="T37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77">
      <c r="A377" s="72"/>
      <c r="B377" s="60" t="s">
        <v>6754</v>
      </c>
      <c r="C377" s="67" t="str">
        <f>IFERROR(__xludf.DUMMYFUNCTION("""COMPUTED_VALUE"""),"LD237")</f>
        <v>LD237</v>
      </c>
      <c r="D377" s="55" t="s">
        <v>188</v>
      </c>
      <c r="E377" s="55" t="s">
        <v>193</v>
      </c>
      <c r="F377" s="54"/>
      <c r="G377" s="44" t="s">
        <v>61</v>
      </c>
      <c r="H377" s="54"/>
      <c r="I377" s="54"/>
      <c r="J377" s="54"/>
      <c r="K377" s="55" t="s">
        <v>61</v>
      </c>
      <c r="L377" s="54"/>
      <c r="M377" s="54"/>
      <c r="N377" s="54"/>
      <c r="O377" s="54"/>
      <c r="P377" s="54"/>
      <c r="Q377" s="67" t="str">
        <f>IFERROR(__xludf.DUMMYFUNCTION("""COMPUTED_VALUE"""),"!!!")</f>
        <v>!!!</v>
      </c>
      <c r="R377" s="67" t="str">
        <f>IFERROR(__xludf.DUMMYFUNCTION("""COMPUTED_VALUE"""),"!!!")</f>
        <v>!!!</v>
      </c>
      <c r="S377" s="67" t="str">
        <f>IFERROR(__xludf.DUMMYFUNCTION("""COMPUTED_VALUE"""),"!!!")</f>
        <v>!!!</v>
      </c>
      <c r="T37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78">
      <c r="A378" s="72"/>
      <c r="B378" s="60" t="s">
        <v>6754</v>
      </c>
      <c r="C378" s="67" t="str">
        <f>IFERROR(__xludf.DUMMYFUNCTION("""COMPUTED_VALUE"""),"LD237")</f>
        <v>LD237</v>
      </c>
      <c r="D378" s="55" t="s">
        <v>188</v>
      </c>
      <c r="E378" s="55" t="s">
        <v>193</v>
      </c>
      <c r="F378" s="54"/>
      <c r="G378" s="44" t="s">
        <v>61</v>
      </c>
      <c r="H378" s="54"/>
      <c r="I378" s="54"/>
      <c r="J378" s="54"/>
      <c r="K378" s="55" t="s">
        <v>61</v>
      </c>
      <c r="L378" s="54"/>
      <c r="M378" s="54"/>
      <c r="N378" s="54"/>
      <c r="O378" s="54"/>
      <c r="P378" s="54"/>
      <c r="Q378" s="67" t="str">
        <f>IFERROR(__xludf.DUMMYFUNCTION("""COMPUTED_VALUE"""),"!!!")</f>
        <v>!!!</v>
      </c>
      <c r="R378" s="67" t="str">
        <f>IFERROR(__xludf.DUMMYFUNCTION("""COMPUTED_VALUE"""),"!!!")</f>
        <v>!!!</v>
      </c>
      <c r="S378" s="67" t="str">
        <f>IFERROR(__xludf.DUMMYFUNCTION("""COMPUTED_VALUE"""),"!!!")</f>
        <v>!!!</v>
      </c>
      <c r="T37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79">
      <c r="A379" s="72"/>
      <c r="B379" s="60" t="s">
        <v>6754</v>
      </c>
      <c r="C379" s="67" t="str">
        <f>IFERROR(__xludf.DUMMYFUNCTION("""COMPUTED_VALUE"""),"LD237")</f>
        <v>LD237</v>
      </c>
      <c r="D379" s="55" t="s">
        <v>188</v>
      </c>
      <c r="E379" s="55" t="s">
        <v>193</v>
      </c>
      <c r="F379" s="54"/>
      <c r="G379" s="44" t="s">
        <v>61</v>
      </c>
      <c r="H379" s="54"/>
      <c r="I379" s="54"/>
      <c r="J379" s="54"/>
      <c r="K379" s="55" t="s">
        <v>61</v>
      </c>
      <c r="L379" s="54"/>
      <c r="M379" s="54"/>
      <c r="N379" s="54"/>
      <c r="O379" s="54"/>
      <c r="P379" s="54"/>
      <c r="Q379" s="67" t="str">
        <f>IFERROR(__xludf.DUMMYFUNCTION("""COMPUTED_VALUE"""),"!!!")</f>
        <v>!!!</v>
      </c>
      <c r="R379" s="67" t="str">
        <f>IFERROR(__xludf.DUMMYFUNCTION("""COMPUTED_VALUE"""),"!!!")</f>
        <v>!!!</v>
      </c>
      <c r="S379" s="67" t="str">
        <f>IFERROR(__xludf.DUMMYFUNCTION("""COMPUTED_VALUE"""),"!!!")</f>
        <v>!!!</v>
      </c>
      <c r="T37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80">
      <c r="A380" s="72"/>
      <c r="B380" s="60" t="s">
        <v>6754</v>
      </c>
      <c r="C380" s="67" t="str">
        <f>IFERROR(__xludf.DUMMYFUNCTION("""COMPUTED_VALUE"""),"LD237")</f>
        <v>LD237</v>
      </c>
      <c r="D380" s="55" t="s">
        <v>188</v>
      </c>
      <c r="E380" s="55" t="s">
        <v>193</v>
      </c>
      <c r="F380" s="54"/>
      <c r="G380" s="44" t="s">
        <v>61</v>
      </c>
      <c r="H380" s="54"/>
      <c r="I380" s="54"/>
      <c r="J380" s="54"/>
      <c r="K380" s="55" t="s">
        <v>61</v>
      </c>
      <c r="L380" s="54"/>
      <c r="M380" s="54"/>
      <c r="N380" s="54"/>
      <c r="O380" s="54"/>
      <c r="P380" s="54"/>
      <c r="Q380" s="67" t="str">
        <f>IFERROR(__xludf.DUMMYFUNCTION("""COMPUTED_VALUE"""),"!!!")</f>
        <v>!!!</v>
      </c>
      <c r="R380" s="67" t="str">
        <f>IFERROR(__xludf.DUMMYFUNCTION("""COMPUTED_VALUE"""),"!!!")</f>
        <v>!!!</v>
      </c>
      <c r="S380" s="67" t="str">
        <f>IFERROR(__xludf.DUMMYFUNCTION("""COMPUTED_VALUE"""),"!!!")</f>
        <v>!!!</v>
      </c>
      <c r="T38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81">
      <c r="A381" s="72"/>
      <c r="B381" s="60" t="s">
        <v>6754</v>
      </c>
      <c r="C381" s="67" t="str">
        <f>IFERROR(__xludf.DUMMYFUNCTION("""COMPUTED_VALUE"""),"LD237")</f>
        <v>LD237</v>
      </c>
      <c r="D381" s="55" t="s">
        <v>188</v>
      </c>
      <c r="E381" s="55" t="s">
        <v>193</v>
      </c>
      <c r="F381" s="54"/>
      <c r="G381" s="44" t="s">
        <v>61</v>
      </c>
      <c r="H381" s="54"/>
      <c r="I381" s="54"/>
      <c r="J381" s="54"/>
      <c r="K381" s="55" t="s">
        <v>61</v>
      </c>
      <c r="L381" s="54"/>
      <c r="M381" s="54"/>
      <c r="N381" s="54"/>
      <c r="O381" s="54"/>
      <c r="P381" s="54"/>
      <c r="Q381" s="67" t="str">
        <f>IFERROR(__xludf.DUMMYFUNCTION("""COMPUTED_VALUE"""),"!!!")</f>
        <v>!!!</v>
      </c>
      <c r="R381" s="67" t="str">
        <f>IFERROR(__xludf.DUMMYFUNCTION("""COMPUTED_VALUE"""),"!!!")</f>
        <v>!!!</v>
      </c>
      <c r="S381" s="67" t="str">
        <f>IFERROR(__xludf.DUMMYFUNCTION("""COMPUTED_VALUE"""),"!!!")</f>
        <v>!!!</v>
      </c>
      <c r="T38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82">
      <c r="A382" s="72"/>
      <c r="B382" s="60" t="s">
        <v>6754</v>
      </c>
      <c r="C382" s="67" t="str">
        <f>IFERROR(__xludf.DUMMYFUNCTION("""COMPUTED_VALUE"""),"LD237")</f>
        <v>LD237</v>
      </c>
      <c r="D382" s="55" t="s">
        <v>188</v>
      </c>
      <c r="E382" s="55" t="s">
        <v>193</v>
      </c>
      <c r="F382" s="54"/>
      <c r="G382" s="44" t="s">
        <v>61</v>
      </c>
      <c r="H382" s="54"/>
      <c r="I382" s="54"/>
      <c r="J382" s="54"/>
      <c r="K382" s="55" t="s">
        <v>61</v>
      </c>
      <c r="L382" s="54"/>
      <c r="M382" s="54"/>
      <c r="N382" s="54"/>
      <c r="O382" s="54"/>
      <c r="P382" s="54"/>
      <c r="Q382" s="67" t="str">
        <f>IFERROR(__xludf.DUMMYFUNCTION("""COMPUTED_VALUE"""),"!!!")</f>
        <v>!!!</v>
      </c>
      <c r="R382" s="67" t="str">
        <f>IFERROR(__xludf.DUMMYFUNCTION("""COMPUTED_VALUE"""),"!!!")</f>
        <v>!!!</v>
      </c>
      <c r="S382" s="67" t="str">
        <f>IFERROR(__xludf.DUMMYFUNCTION("""COMPUTED_VALUE"""),"!!!")</f>
        <v>!!!</v>
      </c>
      <c r="T38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83">
      <c r="A383" s="72"/>
      <c r="B383" s="60" t="s">
        <v>6754</v>
      </c>
      <c r="C383" s="67" t="str">
        <f>IFERROR(__xludf.DUMMYFUNCTION("""COMPUTED_VALUE"""),"LD237")</f>
        <v>LD237</v>
      </c>
      <c r="D383" s="55" t="s">
        <v>188</v>
      </c>
      <c r="E383" s="55" t="s">
        <v>193</v>
      </c>
      <c r="F383" s="54"/>
      <c r="G383" s="44" t="s">
        <v>61</v>
      </c>
      <c r="H383" s="54"/>
      <c r="I383" s="54"/>
      <c r="J383" s="54"/>
      <c r="K383" s="55" t="s">
        <v>61</v>
      </c>
      <c r="L383" s="54"/>
      <c r="M383" s="54"/>
      <c r="N383" s="54"/>
      <c r="O383" s="54"/>
      <c r="P383" s="54"/>
      <c r="Q383" s="67" t="str">
        <f>IFERROR(__xludf.DUMMYFUNCTION("""COMPUTED_VALUE"""),"!!!")</f>
        <v>!!!</v>
      </c>
      <c r="R383" s="67" t="str">
        <f>IFERROR(__xludf.DUMMYFUNCTION("""COMPUTED_VALUE"""),"!!!")</f>
        <v>!!!</v>
      </c>
      <c r="S383" s="67" t="str">
        <f>IFERROR(__xludf.DUMMYFUNCTION("""COMPUTED_VALUE"""),"!!!")</f>
        <v>!!!</v>
      </c>
      <c r="T38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84">
      <c r="A384" s="72"/>
      <c r="B384" s="60" t="s">
        <v>6754</v>
      </c>
      <c r="C384" s="67" t="str">
        <f>IFERROR(__xludf.DUMMYFUNCTION("""COMPUTED_VALUE"""),"LD237")</f>
        <v>LD237</v>
      </c>
      <c r="D384" s="55" t="s">
        <v>188</v>
      </c>
      <c r="E384" s="55" t="s">
        <v>193</v>
      </c>
      <c r="F384" s="54"/>
      <c r="G384" s="44" t="s">
        <v>61</v>
      </c>
      <c r="H384" s="54"/>
      <c r="I384" s="54"/>
      <c r="J384" s="54"/>
      <c r="K384" s="55" t="s">
        <v>61</v>
      </c>
      <c r="L384" s="54"/>
      <c r="M384" s="54"/>
      <c r="N384" s="54"/>
      <c r="O384" s="54"/>
      <c r="P384" s="54"/>
      <c r="Q384" s="67" t="str">
        <f>IFERROR(__xludf.DUMMYFUNCTION("""COMPUTED_VALUE"""),"!!!")</f>
        <v>!!!</v>
      </c>
      <c r="R384" s="67" t="str">
        <f>IFERROR(__xludf.DUMMYFUNCTION("""COMPUTED_VALUE"""),"!!!")</f>
        <v>!!!</v>
      </c>
      <c r="S384" s="67" t="str">
        <f>IFERROR(__xludf.DUMMYFUNCTION("""COMPUTED_VALUE"""),"!!!")</f>
        <v>!!!</v>
      </c>
      <c r="T38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85">
      <c r="A385" s="72"/>
      <c r="B385" s="60" t="s">
        <v>6754</v>
      </c>
      <c r="C385" s="67" t="str">
        <f>IFERROR(__xludf.DUMMYFUNCTION("""COMPUTED_VALUE"""),"LD237")</f>
        <v>LD237</v>
      </c>
      <c r="D385" s="55" t="s">
        <v>188</v>
      </c>
      <c r="E385" s="55" t="s">
        <v>193</v>
      </c>
      <c r="F385" s="54"/>
      <c r="G385" s="44" t="s">
        <v>61</v>
      </c>
      <c r="H385" s="54"/>
      <c r="I385" s="54"/>
      <c r="J385" s="54"/>
      <c r="K385" s="55" t="s">
        <v>61</v>
      </c>
      <c r="L385" s="54"/>
      <c r="M385" s="54"/>
      <c r="N385" s="54"/>
      <c r="O385" s="54"/>
      <c r="P385" s="54"/>
      <c r="Q385" s="67" t="str">
        <f>IFERROR(__xludf.DUMMYFUNCTION("""COMPUTED_VALUE"""),"!!!")</f>
        <v>!!!</v>
      </c>
      <c r="R385" s="67" t="str">
        <f>IFERROR(__xludf.DUMMYFUNCTION("""COMPUTED_VALUE"""),"!!!")</f>
        <v>!!!</v>
      </c>
      <c r="S385" s="67" t="str">
        <f>IFERROR(__xludf.DUMMYFUNCTION("""COMPUTED_VALUE"""),"!!!")</f>
        <v>!!!</v>
      </c>
      <c r="T38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86">
      <c r="A386" s="72"/>
      <c r="B386" s="60" t="s">
        <v>6754</v>
      </c>
      <c r="C386" s="67" t="str">
        <f>IFERROR(__xludf.DUMMYFUNCTION("""COMPUTED_VALUE"""),"LD237")</f>
        <v>LD237</v>
      </c>
      <c r="D386" s="55" t="s">
        <v>188</v>
      </c>
      <c r="E386" s="55" t="s">
        <v>193</v>
      </c>
      <c r="F386" s="54"/>
      <c r="G386" s="44" t="s">
        <v>61</v>
      </c>
      <c r="H386" s="54"/>
      <c r="I386" s="54"/>
      <c r="J386" s="54"/>
      <c r="K386" s="55" t="s">
        <v>61</v>
      </c>
      <c r="L386" s="54"/>
      <c r="M386" s="54"/>
      <c r="N386" s="54"/>
      <c r="O386" s="54"/>
      <c r="P386" s="54"/>
      <c r="Q386" s="67" t="str">
        <f>IFERROR(__xludf.DUMMYFUNCTION("""COMPUTED_VALUE"""),"!!!")</f>
        <v>!!!</v>
      </c>
      <c r="R386" s="67" t="str">
        <f>IFERROR(__xludf.DUMMYFUNCTION("""COMPUTED_VALUE"""),"!!!")</f>
        <v>!!!</v>
      </c>
      <c r="S386" s="67" t="str">
        <f>IFERROR(__xludf.DUMMYFUNCTION("""COMPUTED_VALUE"""),"!!!")</f>
        <v>!!!</v>
      </c>
      <c r="T38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87">
      <c r="A387" s="72"/>
      <c r="B387" s="60" t="s">
        <v>6754</v>
      </c>
      <c r="C387" s="67" t="str">
        <f>IFERROR(__xludf.DUMMYFUNCTION("""COMPUTED_VALUE"""),"LD237")</f>
        <v>LD237</v>
      </c>
      <c r="D387" s="55" t="s">
        <v>188</v>
      </c>
      <c r="E387" s="55" t="s">
        <v>193</v>
      </c>
      <c r="F387" s="54"/>
      <c r="G387" s="44" t="s">
        <v>61</v>
      </c>
      <c r="H387" s="54"/>
      <c r="I387" s="54"/>
      <c r="J387" s="54"/>
      <c r="K387" s="55" t="s">
        <v>61</v>
      </c>
      <c r="L387" s="54"/>
      <c r="M387" s="54"/>
      <c r="N387" s="54"/>
      <c r="O387" s="54"/>
      <c r="P387" s="54"/>
      <c r="Q387" s="67" t="str">
        <f>IFERROR(__xludf.DUMMYFUNCTION("""COMPUTED_VALUE"""),"!!!")</f>
        <v>!!!</v>
      </c>
      <c r="R387" s="67" t="str">
        <f>IFERROR(__xludf.DUMMYFUNCTION("""COMPUTED_VALUE"""),"!!!")</f>
        <v>!!!</v>
      </c>
      <c r="S387" s="67" t="str">
        <f>IFERROR(__xludf.DUMMYFUNCTION("""COMPUTED_VALUE"""),"!!!")</f>
        <v>!!!</v>
      </c>
      <c r="T38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88">
      <c r="A388" s="72"/>
      <c r="B388" s="60" t="s">
        <v>6754</v>
      </c>
      <c r="C388" s="67" t="str">
        <f>IFERROR(__xludf.DUMMYFUNCTION("""COMPUTED_VALUE"""),"LD237")</f>
        <v>LD237</v>
      </c>
      <c r="D388" s="55" t="s">
        <v>188</v>
      </c>
      <c r="E388" s="55" t="s">
        <v>193</v>
      </c>
      <c r="F388" s="54"/>
      <c r="G388" s="44" t="s">
        <v>61</v>
      </c>
      <c r="H388" s="54"/>
      <c r="I388" s="54"/>
      <c r="J388" s="54"/>
      <c r="K388" s="55" t="s">
        <v>61</v>
      </c>
      <c r="L388" s="54"/>
      <c r="M388" s="54"/>
      <c r="N388" s="54"/>
      <c r="O388" s="54"/>
      <c r="P388" s="54"/>
      <c r="Q388" s="67" t="str">
        <f>IFERROR(__xludf.DUMMYFUNCTION("""COMPUTED_VALUE"""),"!!!")</f>
        <v>!!!</v>
      </c>
      <c r="R388" s="67" t="str">
        <f>IFERROR(__xludf.DUMMYFUNCTION("""COMPUTED_VALUE"""),"!!!")</f>
        <v>!!!</v>
      </c>
      <c r="S388" s="67" t="str">
        <f>IFERROR(__xludf.DUMMYFUNCTION("""COMPUTED_VALUE"""),"!!!")</f>
        <v>!!!</v>
      </c>
      <c r="T38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89">
      <c r="A389" s="72"/>
      <c r="B389" s="60" t="s">
        <v>6754</v>
      </c>
      <c r="C389" s="67" t="str">
        <f>IFERROR(__xludf.DUMMYFUNCTION("""COMPUTED_VALUE"""),"LD237")</f>
        <v>LD237</v>
      </c>
      <c r="D389" s="55" t="s">
        <v>188</v>
      </c>
      <c r="E389" s="55" t="s">
        <v>193</v>
      </c>
      <c r="F389" s="54"/>
      <c r="G389" s="44" t="s">
        <v>61</v>
      </c>
      <c r="H389" s="54"/>
      <c r="I389" s="54"/>
      <c r="J389" s="54"/>
      <c r="K389" s="55" t="s">
        <v>61</v>
      </c>
      <c r="L389" s="54"/>
      <c r="M389" s="54"/>
      <c r="N389" s="54"/>
      <c r="O389" s="54"/>
      <c r="P389" s="54"/>
      <c r="Q389" s="67" t="str">
        <f>IFERROR(__xludf.DUMMYFUNCTION("""COMPUTED_VALUE"""),"!!!")</f>
        <v>!!!</v>
      </c>
      <c r="R389" s="67" t="str">
        <f>IFERROR(__xludf.DUMMYFUNCTION("""COMPUTED_VALUE"""),"!!!")</f>
        <v>!!!</v>
      </c>
      <c r="S389" s="67" t="str">
        <f>IFERROR(__xludf.DUMMYFUNCTION("""COMPUTED_VALUE"""),"!!!")</f>
        <v>!!!</v>
      </c>
      <c r="T38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90">
      <c r="A390" s="72"/>
      <c r="B390" s="60" t="s">
        <v>6754</v>
      </c>
      <c r="C390" s="67" t="str">
        <f>IFERROR(__xludf.DUMMYFUNCTION("""COMPUTED_VALUE"""),"LD237")</f>
        <v>LD237</v>
      </c>
      <c r="D390" s="55" t="s">
        <v>188</v>
      </c>
      <c r="E390" s="55" t="s">
        <v>193</v>
      </c>
      <c r="F390" s="54"/>
      <c r="G390" s="44" t="s">
        <v>61</v>
      </c>
      <c r="H390" s="54"/>
      <c r="I390" s="54"/>
      <c r="J390" s="54"/>
      <c r="K390" s="55" t="s">
        <v>61</v>
      </c>
      <c r="L390" s="54"/>
      <c r="M390" s="54"/>
      <c r="N390" s="54"/>
      <c r="O390" s="54"/>
      <c r="P390" s="54"/>
      <c r="Q390" s="67" t="str">
        <f>IFERROR(__xludf.DUMMYFUNCTION("""COMPUTED_VALUE"""),"!!!")</f>
        <v>!!!</v>
      </c>
      <c r="R390" s="67" t="str">
        <f>IFERROR(__xludf.DUMMYFUNCTION("""COMPUTED_VALUE"""),"!!!")</f>
        <v>!!!</v>
      </c>
      <c r="S390" s="67" t="str">
        <f>IFERROR(__xludf.DUMMYFUNCTION("""COMPUTED_VALUE"""),"!!!")</f>
        <v>!!!</v>
      </c>
      <c r="T39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91">
      <c r="A391" s="72"/>
      <c r="B391" s="60" t="s">
        <v>6754</v>
      </c>
      <c r="C391" s="67" t="str">
        <f>IFERROR(__xludf.DUMMYFUNCTION("""COMPUTED_VALUE"""),"LD237")</f>
        <v>LD237</v>
      </c>
      <c r="D391" s="55" t="s">
        <v>188</v>
      </c>
      <c r="E391" s="55" t="s">
        <v>193</v>
      </c>
      <c r="F391" s="54"/>
      <c r="G391" s="44" t="s">
        <v>61</v>
      </c>
      <c r="H391" s="54"/>
      <c r="I391" s="54"/>
      <c r="J391" s="54"/>
      <c r="K391" s="55" t="s">
        <v>61</v>
      </c>
      <c r="L391" s="54"/>
      <c r="M391" s="54"/>
      <c r="N391" s="54"/>
      <c r="O391" s="54"/>
      <c r="P391" s="54"/>
      <c r="Q391" s="67" t="str">
        <f>IFERROR(__xludf.DUMMYFUNCTION("""COMPUTED_VALUE"""),"!!!")</f>
        <v>!!!</v>
      </c>
      <c r="R391" s="67" t="str">
        <f>IFERROR(__xludf.DUMMYFUNCTION("""COMPUTED_VALUE"""),"!!!")</f>
        <v>!!!</v>
      </c>
      <c r="S391" s="67" t="str">
        <f>IFERROR(__xludf.DUMMYFUNCTION("""COMPUTED_VALUE"""),"!!!")</f>
        <v>!!!</v>
      </c>
      <c r="T39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92">
      <c r="A392" s="72"/>
      <c r="B392" s="60" t="s">
        <v>6754</v>
      </c>
      <c r="C392" s="67" t="str">
        <f>IFERROR(__xludf.DUMMYFUNCTION("""COMPUTED_VALUE"""),"LD237")</f>
        <v>LD237</v>
      </c>
      <c r="D392" s="55" t="s">
        <v>188</v>
      </c>
      <c r="E392" s="55" t="s">
        <v>193</v>
      </c>
      <c r="F392" s="54"/>
      <c r="G392" s="44" t="s">
        <v>61</v>
      </c>
      <c r="H392" s="54"/>
      <c r="I392" s="54"/>
      <c r="J392" s="54"/>
      <c r="K392" s="55" t="s">
        <v>61</v>
      </c>
      <c r="L392" s="54"/>
      <c r="M392" s="54"/>
      <c r="N392" s="54"/>
      <c r="O392" s="54"/>
      <c r="P392" s="54"/>
      <c r="Q392" s="67" t="str">
        <f>IFERROR(__xludf.DUMMYFUNCTION("""COMPUTED_VALUE"""),"!!!")</f>
        <v>!!!</v>
      </c>
      <c r="R392" s="67" t="str">
        <f>IFERROR(__xludf.DUMMYFUNCTION("""COMPUTED_VALUE"""),"!!!")</f>
        <v>!!!</v>
      </c>
      <c r="S392" s="67" t="str">
        <f>IFERROR(__xludf.DUMMYFUNCTION("""COMPUTED_VALUE"""),"!!!")</f>
        <v>!!!</v>
      </c>
      <c r="T39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93">
      <c r="A393" s="72"/>
      <c r="B393" s="60" t="s">
        <v>6754</v>
      </c>
      <c r="C393" s="67" t="str">
        <f>IFERROR(__xludf.DUMMYFUNCTION("""COMPUTED_VALUE"""),"LD237")</f>
        <v>LD237</v>
      </c>
      <c r="D393" s="55" t="s">
        <v>188</v>
      </c>
      <c r="E393" s="55" t="s">
        <v>193</v>
      </c>
      <c r="F393" s="54"/>
      <c r="G393" s="44" t="s">
        <v>61</v>
      </c>
      <c r="H393" s="54"/>
      <c r="I393" s="54"/>
      <c r="J393" s="54"/>
      <c r="K393" s="55" t="s">
        <v>61</v>
      </c>
      <c r="L393" s="54"/>
      <c r="M393" s="54"/>
      <c r="N393" s="54"/>
      <c r="O393" s="54"/>
      <c r="P393" s="54"/>
      <c r="Q393" s="67" t="str">
        <f>IFERROR(__xludf.DUMMYFUNCTION("""COMPUTED_VALUE"""),"!!!")</f>
        <v>!!!</v>
      </c>
      <c r="R393" s="67" t="str">
        <f>IFERROR(__xludf.DUMMYFUNCTION("""COMPUTED_VALUE"""),"!!!")</f>
        <v>!!!</v>
      </c>
      <c r="S393" s="67" t="str">
        <f>IFERROR(__xludf.DUMMYFUNCTION("""COMPUTED_VALUE"""),"!!!")</f>
        <v>!!!</v>
      </c>
      <c r="T39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94">
      <c r="A394" s="72"/>
      <c r="B394" s="60" t="s">
        <v>6754</v>
      </c>
      <c r="C394" s="67" t="str">
        <f>IFERROR(__xludf.DUMMYFUNCTION("""COMPUTED_VALUE"""),"LD237")</f>
        <v>LD237</v>
      </c>
      <c r="D394" s="55" t="s">
        <v>188</v>
      </c>
      <c r="E394" s="55" t="s">
        <v>193</v>
      </c>
      <c r="F394" s="54"/>
      <c r="G394" s="44" t="s">
        <v>61</v>
      </c>
      <c r="H394" s="54"/>
      <c r="I394" s="54"/>
      <c r="J394" s="54"/>
      <c r="K394" s="55" t="s">
        <v>61</v>
      </c>
      <c r="L394" s="54"/>
      <c r="M394" s="54"/>
      <c r="N394" s="54"/>
      <c r="O394" s="54"/>
      <c r="P394" s="54"/>
      <c r="Q394" s="67" t="str">
        <f>IFERROR(__xludf.DUMMYFUNCTION("""COMPUTED_VALUE"""),"!!!")</f>
        <v>!!!</v>
      </c>
      <c r="R394" s="67" t="str">
        <f>IFERROR(__xludf.DUMMYFUNCTION("""COMPUTED_VALUE"""),"!!!")</f>
        <v>!!!</v>
      </c>
      <c r="S394" s="67" t="str">
        <f>IFERROR(__xludf.DUMMYFUNCTION("""COMPUTED_VALUE"""),"!!!")</f>
        <v>!!!</v>
      </c>
      <c r="T39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95">
      <c r="A395" s="72"/>
      <c r="B395" s="60" t="s">
        <v>6754</v>
      </c>
      <c r="C395" s="67" t="str">
        <f>IFERROR(__xludf.DUMMYFUNCTION("""COMPUTED_VALUE"""),"LD237")</f>
        <v>LD237</v>
      </c>
      <c r="D395" s="55" t="s">
        <v>188</v>
      </c>
      <c r="E395" s="55" t="s">
        <v>193</v>
      </c>
      <c r="F395" s="54"/>
      <c r="G395" s="44" t="s">
        <v>61</v>
      </c>
      <c r="H395" s="54"/>
      <c r="I395" s="54"/>
      <c r="J395" s="54"/>
      <c r="K395" s="55" t="s">
        <v>61</v>
      </c>
      <c r="L395" s="54"/>
      <c r="M395" s="54"/>
      <c r="N395" s="54"/>
      <c r="O395" s="54"/>
      <c r="P395" s="54"/>
      <c r="Q395" s="67" t="str">
        <f>IFERROR(__xludf.DUMMYFUNCTION("""COMPUTED_VALUE"""),"!!!")</f>
        <v>!!!</v>
      </c>
      <c r="R395" s="67" t="str">
        <f>IFERROR(__xludf.DUMMYFUNCTION("""COMPUTED_VALUE"""),"!!!")</f>
        <v>!!!</v>
      </c>
      <c r="S395" s="67" t="str">
        <f>IFERROR(__xludf.DUMMYFUNCTION("""COMPUTED_VALUE"""),"!!!")</f>
        <v>!!!</v>
      </c>
      <c r="T39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96">
      <c r="A396" s="72"/>
      <c r="B396" s="60" t="s">
        <v>6754</v>
      </c>
      <c r="C396" s="67" t="str">
        <f>IFERROR(__xludf.DUMMYFUNCTION("""COMPUTED_VALUE"""),"LD237")</f>
        <v>LD237</v>
      </c>
      <c r="D396" s="55" t="s">
        <v>188</v>
      </c>
      <c r="E396" s="55" t="s">
        <v>193</v>
      </c>
      <c r="F396" s="54"/>
      <c r="G396" s="44" t="s">
        <v>61</v>
      </c>
      <c r="H396" s="54"/>
      <c r="I396" s="54"/>
      <c r="J396" s="54"/>
      <c r="K396" s="55" t="s">
        <v>61</v>
      </c>
      <c r="L396" s="54"/>
      <c r="M396" s="54"/>
      <c r="N396" s="54"/>
      <c r="O396" s="54"/>
      <c r="P396" s="54"/>
      <c r="Q396" s="67" t="str">
        <f>IFERROR(__xludf.DUMMYFUNCTION("""COMPUTED_VALUE"""),"!!!")</f>
        <v>!!!</v>
      </c>
      <c r="R396" s="67" t="str">
        <f>IFERROR(__xludf.DUMMYFUNCTION("""COMPUTED_VALUE"""),"!!!")</f>
        <v>!!!</v>
      </c>
      <c r="S396" s="67" t="str">
        <f>IFERROR(__xludf.DUMMYFUNCTION("""COMPUTED_VALUE"""),"!!!")</f>
        <v>!!!</v>
      </c>
      <c r="T39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97">
      <c r="A397" s="72"/>
      <c r="B397" s="60" t="s">
        <v>6754</v>
      </c>
      <c r="C397" s="67" t="str">
        <f>IFERROR(__xludf.DUMMYFUNCTION("""COMPUTED_VALUE"""),"LD237")</f>
        <v>LD237</v>
      </c>
      <c r="D397" s="55" t="s">
        <v>188</v>
      </c>
      <c r="E397" s="55" t="s">
        <v>193</v>
      </c>
      <c r="F397" s="54"/>
      <c r="G397" s="44" t="s">
        <v>61</v>
      </c>
      <c r="H397" s="54"/>
      <c r="I397" s="54"/>
      <c r="J397" s="54"/>
      <c r="K397" s="55" t="s">
        <v>61</v>
      </c>
      <c r="L397" s="54"/>
      <c r="M397" s="54"/>
      <c r="N397" s="54"/>
      <c r="O397" s="54"/>
      <c r="P397" s="54"/>
      <c r="Q397" s="67" t="str">
        <f>IFERROR(__xludf.DUMMYFUNCTION("""COMPUTED_VALUE"""),"!!!")</f>
        <v>!!!</v>
      </c>
      <c r="R397" s="67" t="str">
        <f>IFERROR(__xludf.DUMMYFUNCTION("""COMPUTED_VALUE"""),"!!!")</f>
        <v>!!!</v>
      </c>
      <c r="S397" s="67" t="str">
        <f>IFERROR(__xludf.DUMMYFUNCTION("""COMPUTED_VALUE"""),"!!!")</f>
        <v>!!!</v>
      </c>
      <c r="T39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98">
      <c r="A398" s="72"/>
      <c r="B398" s="60" t="s">
        <v>6754</v>
      </c>
      <c r="C398" s="67" t="str">
        <f>IFERROR(__xludf.DUMMYFUNCTION("""COMPUTED_VALUE"""),"LD237")</f>
        <v>LD237</v>
      </c>
      <c r="D398" s="55" t="s">
        <v>188</v>
      </c>
      <c r="E398" s="55" t="s">
        <v>193</v>
      </c>
      <c r="F398" s="54"/>
      <c r="G398" s="44" t="s">
        <v>61</v>
      </c>
      <c r="H398" s="54"/>
      <c r="I398" s="54"/>
      <c r="J398" s="54"/>
      <c r="K398" s="55" t="s">
        <v>61</v>
      </c>
      <c r="L398" s="54"/>
      <c r="M398" s="54"/>
      <c r="N398" s="54"/>
      <c r="O398" s="54"/>
      <c r="P398" s="54"/>
      <c r="Q398" s="67" t="str">
        <f>IFERROR(__xludf.DUMMYFUNCTION("""COMPUTED_VALUE"""),"!!!")</f>
        <v>!!!</v>
      </c>
      <c r="R398" s="67" t="str">
        <f>IFERROR(__xludf.DUMMYFUNCTION("""COMPUTED_VALUE"""),"!!!")</f>
        <v>!!!</v>
      </c>
      <c r="S398" s="67" t="str">
        <f>IFERROR(__xludf.DUMMYFUNCTION("""COMPUTED_VALUE"""),"!!!")</f>
        <v>!!!</v>
      </c>
      <c r="T39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399">
      <c r="A399" s="72"/>
      <c r="B399" s="60" t="s">
        <v>6754</v>
      </c>
      <c r="C399" s="67" t="str">
        <f>IFERROR(__xludf.DUMMYFUNCTION("""COMPUTED_VALUE"""),"LD237")</f>
        <v>LD237</v>
      </c>
      <c r="D399" s="55" t="s">
        <v>188</v>
      </c>
      <c r="E399" s="55" t="s">
        <v>193</v>
      </c>
      <c r="F399" s="54"/>
      <c r="G399" s="44" t="s">
        <v>61</v>
      </c>
      <c r="H399" s="54"/>
      <c r="I399" s="54"/>
      <c r="J399" s="54"/>
      <c r="K399" s="55" t="s">
        <v>61</v>
      </c>
      <c r="L399" s="54"/>
      <c r="M399" s="54"/>
      <c r="N399" s="54"/>
      <c r="O399" s="54"/>
      <c r="P399" s="54"/>
      <c r="Q399" s="67" t="str">
        <f>IFERROR(__xludf.DUMMYFUNCTION("""COMPUTED_VALUE"""),"!!!")</f>
        <v>!!!</v>
      </c>
      <c r="R399" s="67" t="str">
        <f>IFERROR(__xludf.DUMMYFUNCTION("""COMPUTED_VALUE"""),"!!!")</f>
        <v>!!!</v>
      </c>
      <c r="S399" s="67" t="str">
        <f>IFERROR(__xludf.DUMMYFUNCTION("""COMPUTED_VALUE"""),"!!!")</f>
        <v>!!!</v>
      </c>
      <c r="T39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00">
      <c r="A400" s="72"/>
      <c r="B400" s="60" t="s">
        <v>6754</v>
      </c>
      <c r="C400" s="67" t="str">
        <f>IFERROR(__xludf.DUMMYFUNCTION("""COMPUTED_VALUE"""),"LD237")</f>
        <v>LD237</v>
      </c>
      <c r="D400" s="55" t="s">
        <v>188</v>
      </c>
      <c r="E400" s="55" t="s">
        <v>193</v>
      </c>
      <c r="F400" s="54"/>
      <c r="G400" s="44" t="s">
        <v>61</v>
      </c>
      <c r="H400" s="54"/>
      <c r="I400" s="54"/>
      <c r="J400" s="54"/>
      <c r="K400" s="55" t="s">
        <v>61</v>
      </c>
      <c r="L400" s="54"/>
      <c r="M400" s="54"/>
      <c r="N400" s="54"/>
      <c r="O400" s="54"/>
      <c r="P400" s="54"/>
      <c r="Q400" s="67" t="str">
        <f>IFERROR(__xludf.DUMMYFUNCTION("""COMPUTED_VALUE"""),"!!!")</f>
        <v>!!!</v>
      </c>
      <c r="R400" s="67" t="str">
        <f>IFERROR(__xludf.DUMMYFUNCTION("""COMPUTED_VALUE"""),"!!!")</f>
        <v>!!!</v>
      </c>
      <c r="S400" s="67" t="str">
        <f>IFERROR(__xludf.DUMMYFUNCTION("""COMPUTED_VALUE"""),"!!!")</f>
        <v>!!!</v>
      </c>
      <c r="T40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01">
      <c r="A401" s="72"/>
      <c r="B401" s="60" t="s">
        <v>6754</v>
      </c>
      <c r="C401" s="67" t="str">
        <f>IFERROR(__xludf.DUMMYFUNCTION("""COMPUTED_VALUE"""),"LD237")</f>
        <v>LD237</v>
      </c>
      <c r="D401" s="55" t="s">
        <v>188</v>
      </c>
      <c r="E401" s="55" t="s">
        <v>193</v>
      </c>
      <c r="F401" s="54"/>
      <c r="G401" s="44" t="s">
        <v>61</v>
      </c>
      <c r="H401" s="54"/>
      <c r="I401" s="54"/>
      <c r="J401" s="54"/>
      <c r="K401" s="55" t="s">
        <v>61</v>
      </c>
      <c r="L401" s="54"/>
      <c r="M401" s="54"/>
      <c r="N401" s="54"/>
      <c r="O401" s="54"/>
      <c r="P401" s="54"/>
      <c r="Q401" s="67" t="str">
        <f>IFERROR(__xludf.DUMMYFUNCTION("""COMPUTED_VALUE"""),"!!!")</f>
        <v>!!!</v>
      </c>
      <c r="R401" s="67" t="str">
        <f>IFERROR(__xludf.DUMMYFUNCTION("""COMPUTED_VALUE"""),"!!!")</f>
        <v>!!!</v>
      </c>
      <c r="S401" s="67" t="str">
        <f>IFERROR(__xludf.DUMMYFUNCTION("""COMPUTED_VALUE"""),"!!!")</f>
        <v>!!!</v>
      </c>
      <c r="T40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02">
      <c r="A402" s="72"/>
      <c r="B402" s="60" t="s">
        <v>6754</v>
      </c>
      <c r="C402" s="67" t="str">
        <f>IFERROR(__xludf.DUMMYFUNCTION("""COMPUTED_VALUE"""),"LD237")</f>
        <v>LD237</v>
      </c>
      <c r="D402" s="55" t="s">
        <v>188</v>
      </c>
      <c r="E402" s="55" t="s">
        <v>193</v>
      </c>
      <c r="F402" s="54"/>
      <c r="G402" s="44" t="s">
        <v>61</v>
      </c>
      <c r="H402" s="54"/>
      <c r="I402" s="54"/>
      <c r="J402" s="54"/>
      <c r="K402" s="55" t="s">
        <v>61</v>
      </c>
      <c r="L402" s="54"/>
      <c r="M402" s="54"/>
      <c r="N402" s="54"/>
      <c r="O402" s="54"/>
      <c r="P402" s="54"/>
      <c r="Q402" s="67" t="str">
        <f>IFERROR(__xludf.DUMMYFUNCTION("""COMPUTED_VALUE"""),"!!!")</f>
        <v>!!!</v>
      </c>
      <c r="R402" s="67" t="str">
        <f>IFERROR(__xludf.DUMMYFUNCTION("""COMPUTED_VALUE"""),"!!!")</f>
        <v>!!!</v>
      </c>
      <c r="S402" s="67" t="str">
        <f>IFERROR(__xludf.DUMMYFUNCTION("""COMPUTED_VALUE"""),"!!!")</f>
        <v>!!!</v>
      </c>
      <c r="T40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03">
      <c r="A403" s="72"/>
      <c r="B403" s="60" t="s">
        <v>6754</v>
      </c>
      <c r="C403" s="67" t="str">
        <f>IFERROR(__xludf.DUMMYFUNCTION("""COMPUTED_VALUE"""),"LD237")</f>
        <v>LD237</v>
      </c>
      <c r="D403" s="55" t="s">
        <v>188</v>
      </c>
      <c r="E403" s="55" t="s">
        <v>193</v>
      </c>
      <c r="F403" s="54"/>
      <c r="G403" s="44" t="s">
        <v>61</v>
      </c>
      <c r="H403" s="54"/>
      <c r="I403" s="54"/>
      <c r="J403" s="54"/>
      <c r="K403" s="55" t="s">
        <v>61</v>
      </c>
      <c r="L403" s="54"/>
      <c r="M403" s="54"/>
      <c r="N403" s="54"/>
      <c r="O403" s="54"/>
      <c r="P403" s="54"/>
      <c r="Q403" s="67" t="str">
        <f>IFERROR(__xludf.DUMMYFUNCTION("""COMPUTED_VALUE"""),"!!!")</f>
        <v>!!!</v>
      </c>
      <c r="R403" s="67" t="str">
        <f>IFERROR(__xludf.DUMMYFUNCTION("""COMPUTED_VALUE"""),"!!!")</f>
        <v>!!!</v>
      </c>
      <c r="S403" s="67" t="str">
        <f>IFERROR(__xludf.DUMMYFUNCTION("""COMPUTED_VALUE"""),"!!!")</f>
        <v>!!!</v>
      </c>
      <c r="T40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04">
      <c r="A404" s="72"/>
      <c r="B404" s="60" t="s">
        <v>6754</v>
      </c>
      <c r="C404" s="67" t="str">
        <f>IFERROR(__xludf.DUMMYFUNCTION("""COMPUTED_VALUE"""),"LD237")</f>
        <v>LD237</v>
      </c>
      <c r="D404" s="55" t="s">
        <v>188</v>
      </c>
      <c r="E404" s="55" t="s">
        <v>193</v>
      </c>
      <c r="F404" s="54"/>
      <c r="G404" s="44" t="s">
        <v>61</v>
      </c>
      <c r="H404" s="54"/>
      <c r="I404" s="54"/>
      <c r="J404" s="54"/>
      <c r="K404" s="55" t="s">
        <v>61</v>
      </c>
      <c r="L404" s="54"/>
      <c r="M404" s="54"/>
      <c r="N404" s="54"/>
      <c r="O404" s="54"/>
      <c r="P404" s="54"/>
      <c r="Q404" s="67" t="str">
        <f>IFERROR(__xludf.DUMMYFUNCTION("""COMPUTED_VALUE"""),"!!!")</f>
        <v>!!!</v>
      </c>
      <c r="R404" s="67" t="str">
        <f>IFERROR(__xludf.DUMMYFUNCTION("""COMPUTED_VALUE"""),"!!!")</f>
        <v>!!!</v>
      </c>
      <c r="S404" s="67" t="str">
        <f>IFERROR(__xludf.DUMMYFUNCTION("""COMPUTED_VALUE"""),"!!!")</f>
        <v>!!!</v>
      </c>
      <c r="T40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05">
      <c r="A405" s="72"/>
      <c r="B405" s="60" t="s">
        <v>6754</v>
      </c>
      <c r="C405" s="67" t="str">
        <f>IFERROR(__xludf.DUMMYFUNCTION("""COMPUTED_VALUE"""),"LD237")</f>
        <v>LD237</v>
      </c>
      <c r="D405" s="55" t="s">
        <v>188</v>
      </c>
      <c r="E405" s="55" t="s">
        <v>193</v>
      </c>
      <c r="F405" s="54"/>
      <c r="G405" s="44" t="s">
        <v>61</v>
      </c>
      <c r="H405" s="54"/>
      <c r="I405" s="54"/>
      <c r="J405" s="54"/>
      <c r="K405" s="55" t="s">
        <v>61</v>
      </c>
      <c r="L405" s="54"/>
      <c r="M405" s="54"/>
      <c r="N405" s="54"/>
      <c r="O405" s="54"/>
      <c r="P405" s="54"/>
      <c r="Q405" s="67" t="str">
        <f>IFERROR(__xludf.DUMMYFUNCTION("""COMPUTED_VALUE"""),"!!!")</f>
        <v>!!!</v>
      </c>
      <c r="R405" s="67" t="str">
        <f>IFERROR(__xludf.DUMMYFUNCTION("""COMPUTED_VALUE"""),"!!!")</f>
        <v>!!!</v>
      </c>
      <c r="S405" s="67" t="str">
        <f>IFERROR(__xludf.DUMMYFUNCTION("""COMPUTED_VALUE"""),"!!!")</f>
        <v>!!!</v>
      </c>
      <c r="T40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06">
      <c r="A406" s="72"/>
      <c r="B406" s="60" t="s">
        <v>6754</v>
      </c>
      <c r="C406" s="67" t="str">
        <f>IFERROR(__xludf.DUMMYFUNCTION("""COMPUTED_VALUE"""),"LD237")</f>
        <v>LD237</v>
      </c>
      <c r="D406" s="55" t="s">
        <v>188</v>
      </c>
      <c r="E406" s="55" t="s">
        <v>193</v>
      </c>
      <c r="F406" s="54"/>
      <c r="G406" s="44" t="s">
        <v>61</v>
      </c>
      <c r="H406" s="54"/>
      <c r="I406" s="54"/>
      <c r="J406" s="54"/>
      <c r="K406" s="55" t="s">
        <v>61</v>
      </c>
      <c r="L406" s="54"/>
      <c r="M406" s="54"/>
      <c r="N406" s="54"/>
      <c r="O406" s="54"/>
      <c r="P406" s="54"/>
      <c r="Q406" s="67" t="str">
        <f>IFERROR(__xludf.DUMMYFUNCTION("""COMPUTED_VALUE"""),"!!!")</f>
        <v>!!!</v>
      </c>
      <c r="R406" s="67" t="str">
        <f>IFERROR(__xludf.DUMMYFUNCTION("""COMPUTED_VALUE"""),"!!!")</f>
        <v>!!!</v>
      </c>
      <c r="S406" s="67" t="str">
        <f>IFERROR(__xludf.DUMMYFUNCTION("""COMPUTED_VALUE"""),"!!!")</f>
        <v>!!!</v>
      </c>
      <c r="T40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07">
      <c r="A407" s="72"/>
      <c r="B407" s="60" t="s">
        <v>6754</v>
      </c>
      <c r="C407" s="67" t="str">
        <f>IFERROR(__xludf.DUMMYFUNCTION("""COMPUTED_VALUE"""),"LD237")</f>
        <v>LD237</v>
      </c>
      <c r="D407" s="55" t="s">
        <v>188</v>
      </c>
      <c r="E407" s="55" t="s">
        <v>193</v>
      </c>
      <c r="F407" s="54"/>
      <c r="G407" s="44" t="s">
        <v>61</v>
      </c>
      <c r="H407" s="54"/>
      <c r="I407" s="54"/>
      <c r="J407" s="54"/>
      <c r="K407" s="55" t="s">
        <v>61</v>
      </c>
      <c r="L407" s="54"/>
      <c r="M407" s="54"/>
      <c r="N407" s="54"/>
      <c r="O407" s="54"/>
      <c r="P407" s="54"/>
      <c r="Q407" s="67" t="str">
        <f>IFERROR(__xludf.DUMMYFUNCTION("""COMPUTED_VALUE"""),"!!!")</f>
        <v>!!!</v>
      </c>
      <c r="R407" s="67" t="str">
        <f>IFERROR(__xludf.DUMMYFUNCTION("""COMPUTED_VALUE"""),"!!!")</f>
        <v>!!!</v>
      </c>
      <c r="S407" s="67" t="str">
        <f>IFERROR(__xludf.DUMMYFUNCTION("""COMPUTED_VALUE"""),"!!!")</f>
        <v>!!!</v>
      </c>
      <c r="T40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08">
      <c r="A408" s="72"/>
      <c r="B408" s="60" t="s">
        <v>6754</v>
      </c>
      <c r="C408" s="67" t="str">
        <f>IFERROR(__xludf.DUMMYFUNCTION("""COMPUTED_VALUE"""),"LD237")</f>
        <v>LD237</v>
      </c>
      <c r="D408" s="55" t="s">
        <v>188</v>
      </c>
      <c r="E408" s="55" t="s">
        <v>193</v>
      </c>
      <c r="F408" s="54"/>
      <c r="G408" s="44" t="s">
        <v>61</v>
      </c>
      <c r="H408" s="54"/>
      <c r="I408" s="54"/>
      <c r="J408" s="54"/>
      <c r="K408" s="55" t="s">
        <v>61</v>
      </c>
      <c r="L408" s="54"/>
      <c r="M408" s="54"/>
      <c r="N408" s="54"/>
      <c r="O408" s="54"/>
      <c r="P408" s="54"/>
      <c r="Q408" s="67" t="str">
        <f>IFERROR(__xludf.DUMMYFUNCTION("""COMPUTED_VALUE"""),"!!!")</f>
        <v>!!!</v>
      </c>
      <c r="R408" s="67" t="str">
        <f>IFERROR(__xludf.DUMMYFUNCTION("""COMPUTED_VALUE"""),"!!!")</f>
        <v>!!!</v>
      </c>
      <c r="S408" s="67" t="str">
        <f>IFERROR(__xludf.DUMMYFUNCTION("""COMPUTED_VALUE"""),"!!!")</f>
        <v>!!!</v>
      </c>
      <c r="T40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09">
      <c r="A409" s="72"/>
      <c r="B409" s="60" t="s">
        <v>6754</v>
      </c>
      <c r="C409" s="67" t="str">
        <f>IFERROR(__xludf.DUMMYFUNCTION("""COMPUTED_VALUE"""),"LD237")</f>
        <v>LD237</v>
      </c>
      <c r="D409" s="55" t="s">
        <v>188</v>
      </c>
      <c r="E409" s="55" t="s">
        <v>193</v>
      </c>
      <c r="F409" s="54"/>
      <c r="G409" s="44" t="s">
        <v>61</v>
      </c>
      <c r="H409" s="54"/>
      <c r="I409" s="54"/>
      <c r="J409" s="54"/>
      <c r="K409" s="55" t="s">
        <v>61</v>
      </c>
      <c r="L409" s="54"/>
      <c r="M409" s="54"/>
      <c r="N409" s="54"/>
      <c r="O409" s="54"/>
      <c r="P409" s="54"/>
      <c r="Q409" s="67" t="str">
        <f>IFERROR(__xludf.DUMMYFUNCTION("""COMPUTED_VALUE"""),"!!!")</f>
        <v>!!!</v>
      </c>
      <c r="R409" s="67" t="str">
        <f>IFERROR(__xludf.DUMMYFUNCTION("""COMPUTED_VALUE"""),"!!!")</f>
        <v>!!!</v>
      </c>
      <c r="S409" s="67" t="str">
        <f>IFERROR(__xludf.DUMMYFUNCTION("""COMPUTED_VALUE"""),"!!!")</f>
        <v>!!!</v>
      </c>
      <c r="T40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10">
      <c r="A410" s="72"/>
      <c r="B410" s="60" t="s">
        <v>6754</v>
      </c>
      <c r="C410" s="67" t="str">
        <f>IFERROR(__xludf.DUMMYFUNCTION("""COMPUTED_VALUE"""),"LD237")</f>
        <v>LD237</v>
      </c>
      <c r="D410" s="55" t="s">
        <v>188</v>
      </c>
      <c r="E410" s="55" t="s">
        <v>193</v>
      </c>
      <c r="F410" s="54"/>
      <c r="G410" s="44" t="s">
        <v>61</v>
      </c>
      <c r="H410" s="54"/>
      <c r="I410" s="54"/>
      <c r="J410" s="54"/>
      <c r="K410" s="55" t="s">
        <v>61</v>
      </c>
      <c r="L410" s="54"/>
      <c r="M410" s="54"/>
      <c r="N410" s="54"/>
      <c r="O410" s="54"/>
      <c r="P410" s="54"/>
      <c r="Q410" s="67" t="str">
        <f>IFERROR(__xludf.DUMMYFUNCTION("""COMPUTED_VALUE"""),"!!!")</f>
        <v>!!!</v>
      </c>
      <c r="R410" s="67" t="str">
        <f>IFERROR(__xludf.DUMMYFUNCTION("""COMPUTED_VALUE"""),"!!!")</f>
        <v>!!!</v>
      </c>
      <c r="S410" s="67" t="str">
        <f>IFERROR(__xludf.DUMMYFUNCTION("""COMPUTED_VALUE"""),"!!!")</f>
        <v>!!!</v>
      </c>
      <c r="T41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11">
      <c r="A411" s="72"/>
      <c r="B411" s="60" t="s">
        <v>6754</v>
      </c>
      <c r="C411" s="67" t="str">
        <f>IFERROR(__xludf.DUMMYFUNCTION("""COMPUTED_VALUE"""),"LD237")</f>
        <v>LD237</v>
      </c>
      <c r="D411" s="55" t="s">
        <v>188</v>
      </c>
      <c r="E411" s="55" t="s">
        <v>193</v>
      </c>
      <c r="F411" s="54"/>
      <c r="G411" s="44" t="s">
        <v>61</v>
      </c>
      <c r="H411" s="54"/>
      <c r="I411" s="54"/>
      <c r="J411" s="54"/>
      <c r="K411" s="55" t="s">
        <v>61</v>
      </c>
      <c r="L411" s="54"/>
      <c r="M411" s="54"/>
      <c r="N411" s="54"/>
      <c r="O411" s="54"/>
      <c r="P411" s="54"/>
      <c r="Q411" s="67" t="str">
        <f>IFERROR(__xludf.DUMMYFUNCTION("""COMPUTED_VALUE"""),"!!!")</f>
        <v>!!!</v>
      </c>
      <c r="R411" s="67" t="str">
        <f>IFERROR(__xludf.DUMMYFUNCTION("""COMPUTED_VALUE"""),"!!!")</f>
        <v>!!!</v>
      </c>
      <c r="S411" s="67" t="str">
        <f>IFERROR(__xludf.DUMMYFUNCTION("""COMPUTED_VALUE"""),"!!!")</f>
        <v>!!!</v>
      </c>
      <c r="T41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12">
      <c r="A412" s="72"/>
      <c r="B412" s="60" t="s">
        <v>6754</v>
      </c>
      <c r="C412" s="67" t="str">
        <f>IFERROR(__xludf.DUMMYFUNCTION("""COMPUTED_VALUE"""),"LD237")</f>
        <v>LD237</v>
      </c>
      <c r="D412" s="55" t="s">
        <v>188</v>
      </c>
      <c r="E412" s="55" t="s">
        <v>193</v>
      </c>
      <c r="F412" s="54"/>
      <c r="G412" s="44" t="s">
        <v>61</v>
      </c>
      <c r="H412" s="54"/>
      <c r="I412" s="54"/>
      <c r="J412" s="54"/>
      <c r="K412" s="55" t="s">
        <v>61</v>
      </c>
      <c r="L412" s="54"/>
      <c r="M412" s="54"/>
      <c r="N412" s="54"/>
      <c r="O412" s="54"/>
      <c r="P412" s="54"/>
      <c r="Q412" s="67" t="str">
        <f>IFERROR(__xludf.DUMMYFUNCTION("""COMPUTED_VALUE"""),"!!!")</f>
        <v>!!!</v>
      </c>
      <c r="R412" s="67" t="str">
        <f>IFERROR(__xludf.DUMMYFUNCTION("""COMPUTED_VALUE"""),"!!!")</f>
        <v>!!!</v>
      </c>
      <c r="S412" s="67" t="str">
        <f>IFERROR(__xludf.DUMMYFUNCTION("""COMPUTED_VALUE"""),"!!!")</f>
        <v>!!!</v>
      </c>
      <c r="T41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13">
      <c r="A413" s="72"/>
      <c r="B413" s="60" t="s">
        <v>6754</v>
      </c>
      <c r="C413" s="67" t="str">
        <f>IFERROR(__xludf.DUMMYFUNCTION("""COMPUTED_VALUE"""),"LD237")</f>
        <v>LD237</v>
      </c>
      <c r="D413" s="55" t="s">
        <v>188</v>
      </c>
      <c r="E413" s="55" t="s">
        <v>193</v>
      </c>
      <c r="F413" s="54"/>
      <c r="G413" s="44" t="s">
        <v>61</v>
      </c>
      <c r="H413" s="54"/>
      <c r="I413" s="54"/>
      <c r="J413" s="54"/>
      <c r="K413" s="55" t="s">
        <v>61</v>
      </c>
      <c r="L413" s="54"/>
      <c r="M413" s="54"/>
      <c r="N413" s="54"/>
      <c r="O413" s="54"/>
      <c r="P413" s="54"/>
      <c r="Q413" s="67" t="str">
        <f>IFERROR(__xludf.DUMMYFUNCTION("""COMPUTED_VALUE"""),"!!!")</f>
        <v>!!!</v>
      </c>
      <c r="R413" s="67" t="str">
        <f>IFERROR(__xludf.DUMMYFUNCTION("""COMPUTED_VALUE"""),"!!!")</f>
        <v>!!!</v>
      </c>
      <c r="S413" s="67" t="str">
        <f>IFERROR(__xludf.DUMMYFUNCTION("""COMPUTED_VALUE"""),"!!!")</f>
        <v>!!!</v>
      </c>
      <c r="T41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14">
      <c r="A414" s="72"/>
      <c r="B414" s="60" t="s">
        <v>6754</v>
      </c>
      <c r="C414" s="67" t="str">
        <f>IFERROR(__xludf.DUMMYFUNCTION("""COMPUTED_VALUE"""),"LD237")</f>
        <v>LD237</v>
      </c>
      <c r="D414" s="55" t="s">
        <v>188</v>
      </c>
      <c r="E414" s="55" t="s">
        <v>193</v>
      </c>
      <c r="F414" s="54"/>
      <c r="G414" s="44" t="s">
        <v>61</v>
      </c>
      <c r="H414" s="54"/>
      <c r="I414" s="54"/>
      <c r="J414" s="54"/>
      <c r="K414" s="55" t="s">
        <v>61</v>
      </c>
      <c r="L414" s="54"/>
      <c r="M414" s="54"/>
      <c r="N414" s="54"/>
      <c r="O414" s="54"/>
      <c r="P414" s="54"/>
      <c r="Q414" s="67" t="str">
        <f>IFERROR(__xludf.DUMMYFUNCTION("""COMPUTED_VALUE"""),"!!!")</f>
        <v>!!!</v>
      </c>
      <c r="R414" s="67" t="str">
        <f>IFERROR(__xludf.DUMMYFUNCTION("""COMPUTED_VALUE"""),"!!!")</f>
        <v>!!!</v>
      </c>
      <c r="S414" s="67" t="str">
        <f>IFERROR(__xludf.DUMMYFUNCTION("""COMPUTED_VALUE"""),"!!!")</f>
        <v>!!!</v>
      </c>
      <c r="T41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15">
      <c r="A415" s="72"/>
      <c r="B415" s="60" t="s">
        <v>6754</v>
      </c>
      <c r="C415" s="67" t="str">
        <f>IFERROR(__xludf.DUMMYFUNCTION("""COMPUTED_VALUE"""),"LD237")</f>
        <v>LD237</v>
      </c>
      <c r="D415" s="55" t="s">
        <v>188</v>
      </c>
      <c r="E415" s="55" t="s">
        <v>193</v>
      </c>
      <c r="F415" s="54"/>
      <c r="G415" s="44" t="s">
        <v>61</v>
      </c>
      <c r="H415" s="54"/>
      <c r="I415" s="54"/>
      <c r="J415" s="54"/>
      <c r="K415" s="55" t="s">
        <v>61</v>
      </c>
      <c r="L415" s="54"/>
      <c r="M415" s="54"/>
      <c r="N415" s="54"/>
      <c r="O415" s="54"/>
      <c r="P415" s="54"/>
      <c r="Q415" s="67" t="str">
        <f>IFERROR(__xludf.DUMMYFUNCTION("""COMPUTED_VALUE"""),"!!!")</f>
        <v>!!!</v>
      </c>
      <c r="R415" s="67" t="str">
        <f>IFERROR(__xludf.DUMMYFUNCTION("""COMPUTED_VALUE"""),"!!!")</f>
        <v>!!!</v>
      </c>
      <c r="S415" s="67" t="str">
        <f>IFERROR(__xludf.DUMMYFUNCTION("""COMPUTED_VALUE"""),"!!!")</f>
        <v>!!!</v>
      </c>
      <c r="T41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16">
      <c r="A416" s="72"/>
      <c r="B416" s="60" t="s">
        <v>6754</v>
      </c>
      <c r="C416" s="67" t="str">
        <f>IFERROR(__xludf.DUMMYFUNCTION("""COMPUTED_VALUE"""),"LD237")</f>
        <v>LD237</v>
      </c>
      <c r="D416" s="55" t="s">
        <v>188</v>
      </c>
      <c r="E416" s="55" t="s">
        <v>193</v>
      </c>
      <c r="F416" s="54"/>
      <c r="G416" s="44" t="s">
        <v>61</v>
      </c>
      <c r="H416" s="54"/>
      <c r="I416" s="54"/>
      <c r="J416" s="54"/>
      <c r="K416" s="55" t="s">
        <v>61</v>
      </c>
      <c r="L416" s="54"/>
      <c r="M416" s="54"/>
      <c r="N416" s="54"/>
      <c r="O416" s="54"/>
      <c r="P416" s="54"/>
      <c r="Q416" s="67" t="str">
        <f>IFERROR(__xludf.DUMMYFUNCTION("""COMPUTED_VALUE"""),"!!!")</f>
        <v>!!!</v>
      </c>
      <c r="R416" s="67" t="str">
        <f>IFERROR(__xludf.DUMMYFUNCTION("""COMPUTED_VALUE"""),"!!!")</f>
        <v>!!!</v>
      </c>
      <c r="S416" s="67" t="str">
        <f>IFERROR(__xludf.DUMMYFUNCTION("""COMPUTED_VALUE"""),"!!!")</f>
        <v>!!!</v>
      </c>
      <c r="T41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17">
      <c r="A417" s="72"/>
      <c r="B417" s="60" t="s">
        <v>6754</v>
      </c>
      <c r="C417" s="67" t="str">
        <f>IFERROR(__xludf.DUMMYFUNCTION("""COMPUTED_VALUE"""),"LD237")</f>
        <v>LD237</v>
      </c>
      <c r="D417" s="55" t="s">
        <v>188</v>
      </c>
      <c r="E417" s="55" t="s">
        <v>193</v>
      </c>
      <c r="F417" s="54"/>
      <c r="G417" s="44" t="s">
        <v>61</v>
      </c>
      <c r="H417" s="54"/>
      <c r="I417" s="54"/>
      <c r="J417" s="54"/>
      <c r="K417" s="55" t="s">
        <v>61</v>
      </c>
      <c r="L417" s="54"/>
      <c r="M417" s="54"/>
      <c r="N417" s="54"/>
      <c r="O417" s="54"/>
      <c r="P417" s="54"/>
      <c r="Q417" s="67" t="str">
        <f>IFERROR(__xludf.DUMMYFUNCTION("""COMPUTED_VALUE"""),"!!!")</f>
        <v>!!!</v>
      </c>
      <c r="R417" s="67" t="str">
        <f>IFERROR(__xludf.DUMMYFUNCTION("""COMPUTED_VALUE"""),"!!!")</f>
        <v>!!!</v>
      </c>
      <c r="S417" s="67" t="str">
        <f>IFERROR(__xludf.DUMMYFUNCTION("""COMPUTED_VALUE"""),"!!!")</f>
        <v>!!!</v>
      </c>
      <c r="T41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18">
      <c r="A418" s="72"/>
      <c r="B418" s="60" t="s">
        <v>6754</v>
      </c>
      <c r="C418" s="67" t="str">
        <f>IFERROR(__xludf.DUMMYFUNCTION("""COMPUTED_VALUE"""),"LD237")</f>
        <v>LD237</v>
      </c>
      <c r="D418" s="55" t="s">
        <v>188</v>
      </c>
      <c r="E418" s="55" t="s">
        <v>193</v>
      </c>
      <c r="F418" s="54"/>
      <c r="G418" s="44" t="s">
        <v>61</v>
      </c>
      <c r="H418" s="54"/>
      <c r="I418" s="54"/>
      <c r="J418" s="54"/>
      <c r="K418" s="55" t="s">
        <v>61</v>
      </c>
      <c r="L418" s="54"/>
      <c r="M418" s="54"/>
      <c r="N418" s="54"/>
      <c r="O418" s="54"/>
      <c r="P418" s="54"/>
      <c r="Q418" s="67" t="str">
        <f>IFERROR(__xludf.DUMMYFUNCTION("""COMPUTED_VALUE"""),"!!!")</f>
        <v>!!!</v>
      </c>
      <c r="R418" s="67" t="str">
        <f>IFERROR(__xludf.DUMMYFUNCTION("""COMPUTED_VALUE"""),"!!!")</f>
        <v>!!!</v>
      </c>
      <c r="S418" s="67" t="str">
        <f>IFERROR(__xludf.DUMMYFUNCTION("""COMPUTED_VALUE"""),"!!!")</f>
        <v>!!!</v>
      </c>
      <c r="T41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19">
      <c r="A419" s="72"/>
      <c r="B419" s="60" t="s">
        <v>6754</v>
      </c>
      <c r="C419" s="67" t="str">
        <f>IFERROR(__xludf.DUMMYFUNCTION("""COMPUTED_VALUE"""),"LD237")</f>
        <v>LD237</v>
      </c>
      <c r="D419" s="55" t="s">
        <v>188</v>
      </c>
      <c r="E419" s="55" t="s">
        <v>193</v>
      </c>
      <c r="F419" s="54"/>
      <c r="G419" s="44" t="s">
        <v>61</v>
      </c>
      <c r="H419" s="54"/>
      <c r="I419" s="54"/>
      <c r="J419" s="54"/>
      <c r="K419" s="55" t="s">
        <v>61</v>
      </c>
      <c r="L419" s="54"/>
      <c r="M419" s="54"/>
      <c r="N419" s="54"/>
      <c r="O419" s="54"/>
      <c r="P419" s="54"/>
      <c r="Q419" s="67" t="str">
        <f>IFERROR(__xludf.DUMMYFUNCTION("""COMPUTED_VALUE"""),"!!!")</f>
        <v>!!!</v>
      </c>
      <c r="R419" s="67" t="str">
        <f>IFERROR(__xludf.DUMMYFUNCTION("""COMPUTED_VALUE"""),"!!!")</f>
        <v>!!!</v>
      </c>
      <c r="S419" s="67" t="str">
        <f>IFERROR(__xludf.DUMMYFUNCTION("""COMPUTED_VALUE"""),"!!!")</f>
        <v>!!!</v>
      </c>
      <c r="T41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20">
      <c r="A420" s="72"/>
      <c r="B420" s="60" t="s">
        <v>6754</v>
      </c>
      <c r="C420" s="67" t="str">
        <f>IFERROR(__xludf.DUMMYFUNCTION("""COMPUTED_VALUE"""),"LD237")</f>
        <v>LD237</v>
      </c>
      <c r="D420" s="55" t="s">
        <v>188</v>
      </c>
      <c r="E420" s="55" t="s">
        <v>193</v>
      </c>
      <c r="F420" s="54"/>
      <c r="G420" s="44" t="s">
        <v>61</v>
      </c>
      <c r="H420" s="54"/>
      <c r="I420" s="54"/>
      <c r="J420" s="54"/>
      <c r="K420" s="55" t="s">
        <v>61</v>
      </c>
      <c r="L420" s="54"/>
      <c r="M420" s="54"/>
      <c r="N420" s="54"/>
      <c r="O420" s="54"/>
      <c r="P420" s="54"/>
      <c r="Q420" s="67" t="str">
        <f>IFERROR(__xludf.DUMMYFUNCTION("""COMPUTED_VALUE"""),"!!!")</f>
        <v>!!!</v>
      </c>
      <c r="R420" s="67" t="str">
        <f>IFERROR(__xludf.DUMMYFUNCTION("""COMPUTED_VALUE"""),"!!!")</f>
        <v>!!!</v>
      </c>
      <c r="S420" s="67" t="str">
        <f>IFERROR(__xludf.DUMMYFUNCTION("""COMPUTED_VALUE"""),"!!!")</f>
        <v>!!!</v>
      </c>
      <c r="T42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21">
      <c r="A421" s="72"/>
      <c r="B421" s="60" t="s">
        <v>6754</v>
      </c>
      <c r="C421" s="67" t="str">
        <f>IFERROR(__xludf.DUMMYFUNCTION("""COMPUTED_VALUE"""),"LD237")</f>
        <v>LD237</v>
      </c>
      <c r="D421" s="55" t="s">
        <v>188</v>
      </c>
      <c r="E421" s="55" t="s">
        <v>193</v>
      </c>
      <c r="F421" s="54"/>
      <c r="G421" s="44" t="s">
        <v>61</v>
      </c>
      <c r="H421" s="54"/>
      <c r="I421" s="54"/>
      <c r="J421" s="54"/>
      <c r="K421" s="55" t="s">
        <v>61</v>
      </c>
      <c r="L421" s="54"/>
      <c r="M421" s="54"/>
      <c r="N421" s="54"/>
      <c r="O421" s="54"/>
      <c r="P421" s="54"/>
      <c r="Q421" s="67" t="str">
        <f>IFERROR(__xludf.DUMMYFUNCTION("""COMPUTED_VALUE"""),"!!!")</f>
        <v>!!!</v>
      </c>
      <c r="R421" s="67" t="str">
        <f>IFERROR(__xludf.DUMMYFUNCTION("""COMPUTED_VALUE"""),"!!!")</f>
        <v>!!!</v>
      </c>
      <c r="S421" s="67" t="str">
        <f>IFERROR(__xludf.DUMMYFUNCTION("""COMPUTED_VALUE"""),"!!!")</f>
        <v>!!!</v>
      </c>
      <c r="T42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22">
      <c r="A422" s="72"/>
      <c r="B422" s="60" t="s">
        <v>6754</v>
      </c>
      <c r="C422" s="67" t="str">
        <f>IFERROR(__xludf.DUMMYFUNCTION("""COMPUTED_VALUE"""),"LD237")</f>
        <v>LD237</v>
      </c>
      <c r="D422" s="55" t="s">
        <v>188</v>
      </c>
      <c r="E422" s="55" t="s">
        <v>193</v>
      </c>
      <c r="F422" s="54"/>
      <c r="G422" s="44" t="s">
        <v>61</v>
      </c>
      <c r="H422" s="54"/>
      <c r="I422" s="54"/>
      <c r="J422" s="54"/>
      <c r="K422" s="55" t="s">
        <v>61</v>
      </c>
      <c r="L422" s="54"/>
      <c r="M422" s="54"/>
      <c r="N422" s="54"/>
      <c r="O422" s="54"/>
      <c r="P422" s="54"/>
      <c r="Q422" s="67" t="str">
        <f>IFERROR(__xludf.DUMMYFUNCTION("""COMPUTED_VALUE"""),"!!!")</f>
        <v>!!!</v>
      </c>
      <c r="R422" s="67" t="str">
        <f>IFERROR(__xludf.DUMMYFUNCTION("""COMPUTED_VALUE"""),"!!!")</f>
        <v>!!!</v>
      </c>
      <c r="S422" s="67" t="str">
        <f>IFERROR(__xludf.DUMMYFUNCTION("""COMPUTED_VALUE"""),"!!!")</f>
        <v>!!!</v>
      </c>
      <c r="T42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23">
      <c r="A423" s="72"/>
      <c r="B423" s="60" t="s">
        <v>6754</v>
      </c>
      <c r="C423" s="67" t="str">
        <f>IFERROR(__xludf.DUMMYFUNCTION("""COMPUTED_VALUE"""),"LD237")</f>
        <v>LD237</v>
      </c>
      <c r="D423" s="55" t="s">
        <v>188</v>
      </c>
      <c r="E423" s="55" t="s">
        <v>193</v>
      </c>
      <c r="F423" s="54"/>
      <c r="G423" s="44" t="s">
        <v>61</v>
      </c>
      <c r="H423" s="54"/>
      <c r="I423" s="54"/>
      <c r="J423" s="54"/>
      <c r="K423" s="55" t="s">
        <v>61</v>
      </c>
      <c r="L423" s="54"/>
      <c r="M423" s="54"/>
      <c r="N423" s="54"/>
      <c r="O423" s="54"/>
      <c r="P423" s="54"/>
      <c r="Q423" s="67" t="str">
        <f>IFERROR(__xludf.DUMMYFUNCTION("""COMPUTED_VALUE"""),"!!!")</f>
        <v>!!!</v>
      </c>
      <c r="R423" s="67" t="str">
        <f>IFERROR(__xludf.DUMMYFUNCTION("""COMPUTED_VALUE"""),"!!!")</f>
        <v>!!!</v>
      </c>
      <c r="S423" s="67" t="str">
        <f>IFERROR(__xludf.DUMMYFUNCTION("""COMPUTED_VALUE"""),"!!!")</f>
        <v>!!!</v>
      </c>
      <c r="T42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24">
      <c r="A424" s="72"/>
      <c r="B424" s="60" t="s">
        <v>6754</v>
      </c>
      <c r="C424" s="67" t="str">
        <f>IFERROR(__xludf.DUMMYFUNCTION("""COMPUTED_VALUE"""),"LD237")</f>
        <v>LD237</v>
      </c>
      <c r="D424" s="55" t="s">
        <v>188</v>
      </c>
      <c r="E424" s="55" t="s">
        <v>193</v>
      </c>
      <c r="F424" s="54"/>
      <c r="G424" s="44" t="s">
        <v>61</v>
      </c>
      <c r="H424" s="54"/>
      <c r="I424" s="54"/>
      <c r="J424" s="54"/>
      <c r="K424" s="55" t="s">
        <v>61</v>
      </c>
      <c r="L424" s="54"/>
      <c r="M424" s="54"/>
      <c r="N424" s="54"/>
      <c r="O424" s="54"/>
      <c r="P424" s="54"/>
      <c r="Q424" s="67" t="str">
        <f>IFERROR(__xludf.DUMMYFUNCTION("""COMPUTED_VALUE"""),"!!!")</f>
        <v>!!!</v>
      </c>
      <c r="R424" s="67" t="str">
        <f>IFERROR(__xludf.DUMMYFUNCTION("""COMPUTED_VALUE"""),"!!!")</f>
        <v>!!!</v>
      </c>
      <c r="S424" s="67" t="str">
        <f>IFERROR(__xludf.DUMMYFUNCTION("""COMPUTED_VALUE"""),"!!!")</f>
        <v>!!!</v>
      </c>
      <c r="T42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25">
      <c r="A425" s="72"/>
      <c r="B425" s="60" t="s">
        <v>6754</v>
      </c>
      <c r="C425" s="67" t="str">
        <f>IFERROR(__xludf.DUMMYFUNCTION("""COMPUTED_VALUE"""),"LD237")</f>
        <v>LD237</v>
      </c>
      <c r="D425" s="55" t="s">
        <v>188</v>
      </c>
      <c r="E425" s="55" t="s">
        <v>193</v>
      </c>
      <c r="F425" s="54"/>
      <c r="G425" s="44" t="s">
        <v>61</v>
      </c>
      <c r="H425" s="54"/>
      <c r="I425" s="54"/>
      <c r="J425" s="54"/>
      <c r="K425" s="55" t="s">
        <v>61</v>
      </c>
      <c r="L425" s="54"/>
      <c r="M425" s="54"/>
      <c r="N425" s="54"/>
      <c r="O425" s="54"/>
      <c r="P425" s="54"/>
      <c r="Q425" s="67" t="str">
        <f>IFERROR(__xludf.DUMMYFUNCTION("""COMPUTED_VALUE"""),"!!!")</f>
        <v>!!!</v>
      </c>
      <c r="R425" s="67" t="str">
        <f>IFERROR(__xludf.DUMMYFUNCTION("""COMPUTED_VALUE"""),"!!!")</f>
        <v>!!!</v>
      </c>
      <c r="S425" s="67" t="str">
        <f>IFERROR(__xludf.DUMMYFUNCTION("""COMPUTED_VALUE"""),"!!!")</f>
        <v>!!!</v>
      </c>
      <c r="T42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26">
      <c r="A426" s="72"/>
      <c r="B426" s="60" t="s">
        <v>6754</v>
      </c>
      <c r="C426" s="67" t="str">
        <f>IFERROR(__xludf.DUMMYFUNCTION("""COMPUTED_VALUE"""),"LD237")</f>
        <v>LD237</v>
      </c>
      <c r="D426" s="55" t="s">
        <v>188</v>
      </c>
      <c r="E426" s="55" t="s">
        <v>193</v>
      </c>
      <c r="F426" s="54"/>
      <c r="G426" s="44" t="s">
        <v>61</v>
      </c>
      <c r="H426" s="54"/>
      <c r="I426" s="54"/>
      <c r="J426" s="54"/>
      <c r="K426" s="55" t="s">
        <v>61</v>
      </c>
      <c r="L426" s="54"/>
      <c r="M426" s="54"/>
      <c r="N426" s="54"/>
      <c r="O426" s="54"/>
      <c r="P426" s="54"/>
      <c r="Q426" s="67" t="str">
        <f>IFERROR(__xludf.DUMMYFUNCTION("""COMPUTED_VALUE"""),"!!!")</f>
        <v>!!!</v>
      </c>
      <c r="R426" s="67" t="str">
        <f>IFERROR(__xludf.DUMMYFUNCTION("""COMPUTED_VALUE"""),"!!!")</f>
        <v>!!!</v>
      </c>
      <c r="S426" s="67" t="str">
        <f>IFERROR(__xludf.DUMMYFUNCTION("""COMPUTED_VALUE"""),"!!!")</f>
        <v>!!!</v>
      </c>
      <c r="T42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27">
      <c r="A427" s="72"/>
      <c r="B427" s="60" t="s">
        <v>6754</v>
      </c>
      <c r="C427" s="67" t="str">
        <f>IFERROR(__xludf.DUMMYFUNCTION("""COMPUTED_VALUE"""),"LD237")</f>
        <v>LD237</v>
      </c>
      <c r="D427" s="55" t="s">
        <v>188</v>
      </c>
      <c r="E427" s="55" t="s">
        <v>193</v>
      </c>
      <c r="F427" s="54"/>
      <c r="G427" s="44" t="s">
        <v>61</v>
      </c>
      <c r="H427" s="54"/>
      <c r="I427" s="54"/>
      <c r="J427" s="54"/>
      <c r="K427" s="55" t="s">
        <v>61</v>
      </c>
      <c r="L427" s="54"/>
      <c r="M427" s="54"/>
      <c r="N427" s="54"/>
      <c r="O427" s="54"/>
      <c r="P427" s="54"/>
      <c r="Q427" s="67" t="str">
        <f>IFERROR(__xludf.DUMMYFUNCTION("""COMPUTED_VALUE"""),"!!!")</f>
        <v>!!!</v>
      </c>
      <c r="R427" s="67" t="str">
        <f>IFERROR(__xludf.DUMMYFUNCTION("""COMPUTED_VALUE"""),"!!!")</f>
        <v>!!!</v>
      </c>
      <c r="S427" s="67" t="str">
        <f>IFERROR(__xludf.DUMMYFUNCTION("""COMPUTED_VALUE"""),"!!!")</f>
        <v>!!!</v>
      </c>
      <c r="T42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28">
      <c r="A428" s="72"/>
      <c r="B428" s="60" t="s">
        <v>6754</v>
      </c>
      <c r="C428" s="67" t="str">
        <f>IFERROR(__xludf.DUMMYFUNCTION("""COMPUTED_VALUE"""),"LD237")</f>
        <v>LD237</v>
      </c>
      <c r="D428" s="55" t="s">
        <v>188</v>
      </c>
      <c r="E428" s="55" t="s">
        <v>193</v>
      </c>
      <c r="F428" s="54"/>
      <c r="G428" s="44" t="s">
        <v>61</v>
      </c>
      <c r="H428" s="54"/>
      <c r="I428" s="54"/>
      <c r="J428" s="54"/>
      <c r="K428" s="55" t="s">
        <v>61</v>
      </c>
      <c r="L428" s="54"/>
      <c r="M428" s="54"/>
      <c r="N428" s="54"/>
      <c r="O428" s="54"/>
      <c r="P428" s="54"/>
      <c r="Q428" s="67" t="str">
        <f>IFERROR(__xludf.DUMMYFUNCTION("""COMPUTED_VALUE"""),"!!!")</f>
        <v>!!!</v>
      </c>
      <c r="R428" s="67" t="str">
        <f>IFERROR(__xludf.DUMMYFUNCTION("""COMPUTED_VALUE"""),"!!!")</f>
        <v>!!!</v>
      </c>
      <c r="S428" s="67" t="str">
        <f>IFERROR(__xludf.DUMMYFUNCTION("""COMPUTED_VALUE"""),"!!!")</f>
        <v>!!!</v>
      </c>
      <c r="T42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29">
      <c r="A429" s="72"/>
      <c r="B429" s="60" t="s">
        <v>6754</v>
      </c>
      <c r="C429" s="67" t="str">
        <f>IFERROR(__xludf.DUMMYFUNCTION("""COMPUTED_VALUE"""),"LD237")</f>
        <v>LD237</v>
      </c>
      <c r="D429" s="55" t="s">
        <v>188</v>
      </c>
      <c r="E429" s="55" t="s">
        <v>193</v>
      </c>
      <c r="F429" s="54"/>
      <c r="G429" s="44" t="s">
        <v>61</v>
      </c>
      <c r="H429" s="54"/>
      <c r="I429" s="54"/>
      <c r="J429" s="54"/>
      <c r="K429" s="55" t="s">
        <v>61</v>
      </c>
      <c r="L429" s="54"/>
      <c r="M429" s="54"/>
      <c r="N429" s="54"/>
      <c r="O429" s="54"/>
      <c r="P429" s="54"/>
      <c r="Q429" s="67" t="str">
        <f>IFERROR(__xludf.DUMMYFUNCTION("""COMPUTED_VALUE"""),"!!!")</f>
        <v>!!!</v>
      </c>
      <c r="R429" s="67" t="str">
        <f>IFERROR(__xludf.DUMMYFUNCTION("""COMPUTED_VALUE"""),"!!!")</f>
        <v>!!!</v>
      </c>
      <c r="S429" s="67" t="str">
        <f>IFERROR(__xludf.DUMMYFUNCTION("""COMPUTED_VALUE"""),"!!!")</f>
        <v>!!!</v>
      </c>
      <c r="T42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30">
      <c r="A430" s="72"/>
      <c r="B430" s="60" t="s">
        <v>6754</v>
      </c>
      <c r="C430" s="67" t="str">
        <f>IFERROR(__xludf.DUMMYFUNCTION("""COMPUTED_VALUE"""),"LD237")</f>
        <v>LD237</v>
      </c>
      <c r="D430" s="55" t="s">
        <v>188</v>
      </c>
      <c r="E430" s="55" t="s">
        <v>193</v>
      </c>
      <c r="F430" s="54"/>
      <c r="G430" s="44" t="s">
        <v>61</v>
      </c>
      <c r="H430" s="54"/>
      <c r="I430" s="54"/>
      <c r="J430" s="54"/>
      <c r="K430" s="55" t="s">
        <v>61</v>
      </c>
      <c r="L430" s="54"/>
      <c r="M430" s="54"/>
      <c r="N430" s="54"/>
      <c r="O430" s="54"/>
      <c r="P430" s="54"/>
      <c r="Q430" s="67" t="str">
        <f>IFERROR(__xludf.DUMMYFUNCTION("""COMPUTED_VALUE"""),"!!!")</f>
        <v>!!!</v>
      </c>
      <c r="R430" s="67" t="str">
        <f>IFERROR(__xludf.DUMMYFUNCTION("""COMPUTED_VALUE"""),"!!!")</f>
        <v>!!!</v>
      </c>
      <c r="S430" s="67" t="str">
        <f>IFERROR(__xludf.DUMMYFUNCTION("""COMPUTED_VALUE"""),"!!!")</f>
        <v>!!!</v>
      </c>
      <c r="T43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31">
      <c r="A431" s="72"/>
      <c r="B431" s="60" t="s">
        <v>6754</v>
      </c>
      <c r="C431" s="67" t="str">
        <f>IFERROR(__xludf.DUMMYFUNCTION("""COMPUTED_VALUE"""),"LD237")</f>
        <v>LD237</v>
      </c>
      <c r="D431" s="55" t="s">
        <v>188</v>
      </c>
      <c r="E431" s="55" t="s">
        <v>193</v>
      </c>
      <c r="F431" s="54"/>
      <c r="G431" s="44" t="s">
        <v>61</v>
      </c>
      <c r="H431" s="54"/>
      <c r="I431" s="54"/>
      <c r="J431" s="54"/>
      <c r="K431" s="55" t="s">
        <v>61</v>
      </c>
      <c r="L431" s="54"/>
      <c r="M431" s="54"/>
      <c r="N431" s="54"/>
      <c r="O431" s="54"/>
      <c r="P431" s="54"/>
      <c r="Q431" s="67" t="str">
        <f>IFERROR(__xludf.DUMMYFUNCTION("""COMPUTED_VALUE"""),"!!!")</f>
        <v>!!!</v>
      </c>
      <c r="R431" s="67" t="str">
        <f>IFERROR(__xludf.DUMMYFUNCTION("""COMPUTED_VALUE"""),"!!!")</f>
        <v>!!!</v>
      </c>
      <c r="S431" s="67" t="str">
        <f>IFERROR(__xludf.DUMMYFUNCTION("""COMPUTED_VALUE"""),"!!!")</f>
        <v>!!!</v>
      </c>
      <c r="T43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32">
      <c r="A432" s="72"/>
      <c r="B432" s="60" t="s">
        <v>6754</v>
      </c>
      <c r="C432" s="67" t="str">
        <f>IFERROR(__xludf.DUMMYFUNCTION("""COMPUTED_VALUE"""),"LD237")</f>
        <v>LD237</v>
      </c>
      <c r="D432" s="55" t="s">
        <v>188</v>
      </c>
      <c r="E432" s="55" t="s">
        <v>193</v>
      </c>
      <c r="F432" s="54"/>
      <c r="G432" s="44" t="s">
        <v>61</v>
      </c>
      <c r="H432" s="54"/>
      <c r="I432" s="54"/>
      <c r="J432" s="54"/>
      <c r="K432" s="55" t="s">
        <v>61</v>
      </c>
      <c r="L432" s="54"/>
      <c r="M432" s="54"/>
      <c r="N432" s="54"/>
      <c r="O432" s="54"/>
      <c r="P432" s="54"/>
      <c r="Q432" s="67" t="str">
        <f>IFERROR(__xludf.DUMMYFUNCTION("""COMPUTED_VALUE"""),"!!!")</f>
        <v>!!!</v>
      </c>
      <c r="R432" s="67" t="str">
        <f>IFERROR(__xludf.DUMMYFUNCTION("""COMPUTED_VALUE"""),"!!!")</f>
        <v>!!!</v>
      </c>
      <c r="S432" s="67" t="str">
        <f>IFERROR(__xludf.DUMMYFUNCTION("""COMPUTED_VALUE"""),"!!!")</f>
        <v>!!!</v>
      </c>
      <c r="T43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33">
      <c r="A433" s="72"/>
      <c r="B433" s="60" t="s">
        <v>6754</v>
      </c>
      <c r="C433" s="67" t="str">
        <f>IFERROR(__xludf.DUMMYFUNCTION("""COMPUTED_VALUE"""),"LD237")</f>
        <v>LD237</v>
      </c>
      <c r="D433" s="55" t="s">
        <v>188</v>
      </c>
      <c r="E433" s="55" t="s">
        <v>193</v>
      </c>
      <c r="F433" s="54"/>
      <c r="G433" s="44" t="s">
        <v>61</v>
      </c>
      <c r="H433" s="54"/>
      <c r="I433" s="54"/>
      <c r="J433" s="54"/>
      <c r="K433" s="55" t="s">
        <v>61</v>
      </c>
      <c r="L433" s="54"/>
      <c r="M433" s="54"/>
      <c r="N433" s="54"/>
      <c r="O433" s="54"/>
      <c r="P433" s="54"/>
      <c r="Q433" s="67" t="str">
        <f>IFERROR(__xludf.DUMMYFUNCTION("""COMPUTED_VALUE"""),"!!!")</f>
        <v>!!!</v>
      </c>
      <c r="R433" s="67" t="str">
        <f>IFERROR(__xludf.DUMMYFUNCTION("""COMPUTED_VALUE"""),"!!!")</f>
        <v>!!!</v>
      </c>
      <c r="S433" s="67" t="str">
        <f>IFERROR(__xludf.DUMMYFUNCTION("""COMPUTED_VALUE"""),"!!!")</f>
        <v>!!!</v>
      </c>
      <c r="T43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34">
      <c r="A434" s="72"/>
      <c r="B434" s="60" t="s">
        <v>6754</v>
      </c>
      <c r="C434" s="67" t="str">
        <f>IFERROR(__xludf.DUMMYFUNCTION("""COMPUTED_VALUE"""),"LD237")</f>
        <v>LD237</v>
      </c>
      <c r="D434" s="55" t="s">
        <v>188</v>
      </c>
      <c r="E434" s="55" t="s">
        <v>193</v>
      </c>
      <c r="F434" s="54"/>
      <c r="G434" s="44" t="s">
        <v>61</v>
      </c>
      <c r="H434" s="54"/>
      <c r="I434" s="54"/>
      <c r="J434" s="54"/>
      <c r="K434" s="55" t="s">
        <v>61</v>
      </c>
      <c r="L434" s="54"/>
      <c r="M434" s="54"/>
      <c r="N434" s="54"/>
      <c r="O434" s="54"/>
      <c r="P434" s="54"/>
      <c r="Q434" s="67" t="str">
        <f>IFERROR(__xludf.DUMMYFUNCTION("""COMPUTED_VALUE"""),"!!!")</f>
        <v>!!!</v>
      </c>
      <c r="R434" s="67" t="str">
        <f>IFERROR(__xludf.DUMMYFUNCTION("""COMPUTED_VALUE"""),"!!!")</f>
        <v>!!!</v>
      </c>
      <c r="S434" s="67" t="str">
        <f>IFERROR(__xludf.DUMMYFUNCTION("""COMPUTED_VALUE"""),"!!!")</f>
        <v>!!!</v>
      </c>
      <c r="T43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35">
      <c r="A435" s="72"/>
      <c r="B435" s="60" t="s">
        <v>6754</v>
      </c>
      <c r="C435" s="67" t="str">
        <f>IFERROR(__xludf.DUMMYFUNCTION("""COMPUTED_VALUE"""),"LD237")</f>
        <v>LD237</v>
      </c>
      <c r="D435" s="55" t="s">
        <v>188</v>
      </c>
      <c r="E435" s="55" t="s">
        <v>193</v>
      </c>
      <c r="F435" s="54"/>
      <c r="G435" s="44" t="s">
        <v>61</v>
      </c>
      <c r="H435" s="54"/>
      <c r="I435" s="54"/>
      <c r="J435" s="54"/>
      <c r="K435" s="55" t="s">
        <v>61</v>
      </c>
      <c r="L435" s="54"/>
      <c r="M435" s="54"/>
      <c r="N435" s="54"/>
      <c r="O435" s="54"/>
      <c r="P435" s="54"/>
      <c r="Q435" s="67" t="str">
        <f>IFERROR(__xludf.DUMMYFUNCTION("""COMPUTED_VALUE"""),"!!!")</f>
        <v>!!!</v>
      </c>
      <c r="R435" s="67" t="str">
        <f>IFERROR(__xludf.DUMMYFUNCTION("""COMPUTED_VALUE"""),"!!!")</f>
        <v>!!!</v>
      </c>
      <c r="S435" s="67" t="str">
        <f>IFERROR(__xludf.DUMMYFUNCTION("""COMPUTED_VALUE"""),"!!!")</f>
        <v>!!!</v>
      </c>
      <c r="T43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36">
      <c r="A436" s="72"/>
      <c r="B436" s="60" t="s">
        <v>6754</v>
      </c>
      <c r="C436" s="67" t="str">
        <f>IFERROR(__xludf.DUMMYFUNCTION("""COMPUTED_VALUE"""),"LD237")</f>
        <v>LD237</v>
      </c>
      <c r="D436" s="55" t="s">
        <v>188</v>
      </c>
      <c r="E436" s="55" t="s">
        <v>193</v>
      </c>
      <c r="F436" s="54"/>
      <c r="G436" s="44" t="s">
        <v>61</v>
      </c>
      <c r="H436" s="54"/>
      <c r="I436" s="54"/>
      <c r="J436" s="54"/>
      <c r="K436" s="55" t="s">
        <v>61</v>
      </c>
      <c r="L436" s="54"/>
      <c r="M436" s="54"/>
      <c r="N436" s="54"/>
      <c r="O436" s="54"/>
      <c r="P436" s="54"/>
      <c r="Q436" s="67" t="str">
        <f>IFERROR(__xludf.DUMMYFUNCTION("""COMPUTED_VALUE"""),"!!!")</f>
        <v>!!!</v>
      </c>
      <c r="R436" s="67" t="str">
        <f>IFERROR(__xludf.DUMMYFUNCTION("""COMPUTED_VALUE"""),"!!!")</f>
        <v>!!!</v>
      </c>
      <c r="S436" s="67" t="str">
        <f>IFERROR(__xludf.DUMMYFUNCTION("""COMPUTED_VALUE"""),"!!!")</f>
        <v>!!!</v>
      </c>
      <c r="T43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37">
      <c r="A437" s="72"/>
      <c r="B437" s="60" t="s">
        <v>6754</v>
      </c>
      <c r="C437" s="67" t="str">
        <f>IFERROR(__xludf.DUMMYFUNCTION("""COMPUTED_VALUE"""),"LD237")</f>
        <v>LD237</v>
      </c>
      <c r="D437" s="55" t="s">
        <v>188</v>
      </c>
      <c r="E437" s="55" t="s">
        <v>193</v>
      </c>
      <c r="F437" s="54"/>
      <c r="G437" s="44" t="s">
        <v>61</v>
      </c>
      <c r="H437" s="54"/>
      <c r="I437" s="54"/>
      <c r="J437" s="54"/>
      <c r="K437" s="55" t="s">
        <v>61</v>
      </c>
      <c r="L437" s="54"/>
      <c r="M437" s="54"/>
      <c r="N437" s="54"/>
      <c r="O437" s="54"/>
      <c r="P437" s="54"/>
      <c r="Q437" s="67" t="str">
        <f>IFERROR(__xludf.DUMMYFUNCTION("""COMPUTED_VALUE"""),"!!!")</f>
        <v>!!!</v>
      </c>
      <c r="R437" s="67" t="str">
        <f>IFERROR(__xludf.DUMMYFUNCTION("""COMPUTED_VALUE"""),"!!!")</f>
        <v>!!!</v>
      </c>
      <c r="S437" s="67" t="str">
        <f>IFERROR(__xludf.DUMMYFUNCTION("""COMPUTED_VALUE"""),"!!!")</f>
        <v>!!!</v>
      </c>
      <c r="T43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38">
      <c r="A438" s="72"/>
      <c r="B438" s="60" t="s">
        <v>6754</v>
      </c>
      <c r="C438" s="67" t="str">
        <f>IFERROR(__xludf.DUMMYFUNCTION("""COMPUTED_VALUE"""),"LD237")</f>
        <v>LD237</v>
      </c>
      <c r="D438" s="55" t="s">
        <v>188</v>
      </c>
      <c r="E438" s="55" t="s">
        <v>193</v>
      </c>
      <c r="F438" s="54"/>
      <c r="G438" s="44" t="s">
        <v>61</v>
      </c>
      <c r="H438" s="54"/>
      <c r="I438" s="54"/>
      <c r="J438" s="54"/>
      <c r="K438" s="55" t="s">
        <v>61</v>
      </c>
      <c r="L438" s="54"/>
      <c r="M438" s="54"/>
      <c r="N438" s="54"/>
      <c r="O438" s="54"/>
      <c r="P438" s="54"/>
      <c r="Q438" s="67" t="str">
        <f>IFERROR(__xludf.DUMMYFUNCTION("""COMPUTED_VALUE"""),"!!!")</f>
        <v>!!!</v>
      </c>
      <c r="R438" s="67" t="str">
        <f>IFERROR(__xludf.DUMMYFUNCTION("""COMPUTED_VALUE"""),"!!!")</f>
        <v>!!!</v>
      </c>
      <c r="S438" s="67" t="str">
        <f>IFERROR(__xludf.DUMMYFUNCTION("""COMPUTED_VALUE"""),"!!!")</f>
        <v>!!!</v>
      </c>
      <c r="T43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39">
      <c r="A439" s="72"/>
      <c r="B439" s="60" t="s">
        <v>6754</v>
      </c>
      <c r="C439" s="67" t="str">
        <f>IFERROR(__xludf.DUMMYFUNCTION("""COMPUTED_VALUE"""),"LD237")</f>
        <v>LD237</v>
      </c>
      <c r="D439" s="55" t="s">
        <v>188</v>
      </c>
      <c r="E439" s="55" t="s">
        <v>193</v>
      </c>
      <c r="F439" s="54"/>
      <c r="G439" s="44" t="s">
        <v>61</v>
      </c>
      <c r="H439" s="54"/>
      <c r="I439" s="54"/>
      <c r="J439" s="54"/>
      <c r="K439" s="55" t="s">
        <v>61</v>
      </c>
      <c r="L439" s="54"/>
      <c r="M439" s="54"/>
      <c r="N439" s="54"/>
      <c r="O439" s="54"/>
      <c r="P439" s="54"/>
      <c r="Q439" s="67" t="str">
        <f>IFERROR(__xludf.DUMMYFUNCTION("""COMPUTED_VALUE"""),"!!!")</f>
        <v>!!!</v>
      </c>
      <c r="R439" s="67" t="str">
        <f>IFERROR(__xludf.DUMMYFUNCTION("""COMPUTED_VALUE"""),"!!!")</f>
        <v>!!!</v>
      </c>
      <c r="S439" s="67" t="str">
        <f>IFERROR(__xludf.DUMMYFUNCTION("""COMPUTED_VALUE"""),"!!!")</f>
        <v>!!!</v>
      </c>
      <c r="T43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40">
      <c r="A440" s="72"/>
      <c r="B440" s="60" t="s">
        <v>6754</v>
      </c>
      <c r="C440" s="67" t="str">
        <f>IFERROR(__xludf.DUMMYFUNCTION("""COMPUTED_VALUE"""),"LD237")</f>
        <v>LD237</v>
      </c>
      <c r="D440" s="55" t="s">
        <v>188</v>
      </c>
      <c r="E440" s="55" t="s">
        <v>193</v>
      </c>
      <c r="F440" s="54"/>
      <c r="G440" s="44" t="s">
        <v>61</v>
      </c>
      <c r="H440" s="54"/>
      <c r="I440" s="54"/>
      <c r="J440" s="54"/>
      <c r="K440" s="55" t="s">
        <v>61</v>
      </c>
      <c r="L440" s="54"/>
      <c r="M440" s="54"/>
      <c r="N440" s="54"/>
      <c r="O440" s="54"/>
      <c r="P440" s="54"/>
      <c r="Q440" s="67" t="str">
        <f>IFERROR(__xludf.DUMMYFUNCTION("""COMPUTED_VALUE"""),"!!!")</f>
        <v>!!!</v>
      </c>
      <c r="R440" s="67" t="str">
        <f>IFERROR(__xludf.DUMMYFUNCTION("""COMPUTED_VALUE"""),"!!!")</f>
        <v>!!!</v>
      </c>
      <c r="S440" s="67" t="str">
        <f>IFERROR(__xludf.DUMMYFUNCTION("""COMPUTED_VALUE"""),"!!!")</f>
        <v>!!!</v>
      </c>
      <c r="T44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41">
      <c r="A441" s="72"/>
      <c r="B441" s="60" t="s">
        <v>6754</v>
      </c>
      <c r="C441" s="67" t="str">
        <f>IFERROR(__xludf.DUMMYFUNCTION("""COMPUTED_VALUE"""),"LD237")</f>
        <v>LD237</v>
      </c>
      <c r="D441" s="55" t="s">
        <v>188</v>
      </c>
      <c r="E441" s="55" t="s">
        <v>193</v>
      </c>
      <c r="F441" s="54"/>
      <c r="G441" s="44" t="s">
        <v>61</v>
      </c>
      <c r="H441" s="54"/>
      <c r="I441" s="54"/>
      <c r="J441" s="54"/>
      <c r="K441" s="55" t="s">
        <v>61</v>
      </c>
      <c r="L441" s="54"/>
      <c r="M441" s="54"/>
      <c r="N441" s="54"/>
      <c r="O441" s="54"/>
      <c r="P441" s="54"/>
      <c r="Q441" s="67" t="str">
        <f>IFERROR(__xludf.DUMMYFUNCTION("""COMPUTED_VALUE"""),"!!!")</f>
        <v>!!!</v>
      </c>
      <c r="R441" s="67" t="str">
        <f>IFERROR(__xludf.DUMMYFUNCTION("""COMPUTED_VALUE"""),"!!!")</f>
        <v>!!!</v>
      </c>
      <c r="S441" s="67" t="str">
        <f>IFERROR(__xludf.DUMMYFUNCTION("""COMPUTED_VALUE"""),"!!!")</f>
        <v>!!!</v>
      </c>
      <c r="T44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42">
      <c r="A442" s="72"/>
      <c r="B442" s="60" t="s">
        <v>6754</v>
      </c>
      <c r="C442" s="67" t="str">
        <f>IFERROR(__xludf.DUMMYFUNCTION("""COMPUTED_VALUE"""),"LD237")</f>
        <v>LD237</v>
      </c>
      <c r="D442" s="55" t="s">
        <v>188</v>
      </c>
      <c r="E442" s="55" t="s">
        <v>193</v>
      </c>
      <c r="F442" s="54"/>
      <c r="G442" s="44" t="s">
        <v>61</v>
      </c>
      <c r="H442" s="54"/>
      <c r="I442" s="54"/>
      <c r="J442" s="54"/>
      <c r="K442" s="55" t="s">
        <v>61</v>
      </c>
      <c r="L442" s="54"/>
      <c r="M442" s="54"/>
      <c r="N442" s="54"/>
      <c r="O442" s="54"/>
      <c r="P442" s="54"/>
      <c r="Q442" s="67" t="str">
        <f>IFERROR(__xludf.DUMMYFUNCTION("""COMPUTED_VALUE"""),"!!!")</f>
        <v>!!!</v>
      </c>
      <c r="R442" s="67" t="str">
        <f>IFERROR(__xludf.DUMMYFUNCTION("""COMPUTED_VALUE"""),"!!!")</f>
        <v>!!!</v>
      </c>
      <c r="S442" s="67" t="str">
        <f>IFERROR(__xludf.DUMMYFUNCTION("""COMPUTED_VALUE"""),"!!!")</f>
        <v>!!!</v>
      </c>
      <c r="T44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43">
      <c r="A443" s="72"/>
      <c r="B443" s="60" t="s">
        <v>6754</v>
      </c>
      <c r="C443" s="67" t="str">
        <f>IFERROR(__xludf.DUMMYFUNCTION("""COMPUTED_VALUE"""),"LD237")</f>
        <v>LD237</v>
      </c>
      <c r="D443" s="55" t="s">
        <v>188</v>
      </c>
      <c r="E443" s="55" t="s">
        <v>193</v>
      </c>
      <c r="F443" s="54"/>
      <c r="G443" s="44" t="s">
        <v>61</v>
      </c>
      <c r="H443" s="54"/>
      <c r="I443" s="54"/>
      <c r="J443" s="54"/>
      <c r="K443" s="55" t="s">
        <v>61</v>
      </c>
      <c r="L443" s="54"/>
      <c r="M443" s="54"/>
      <c r="N443" s="54"/>
      <c r="O443" s="54"/>
      <c r="P443" s="54"/>
      <c r="Q443" s="67" t="str">
        <f>IFERROR(__xludf.DUMMYFUNCTION("""COMPUTED_VALUE"""),"!!!")</f>
        <v>!!!</v>
      </c>
      <c r="R443" s="67" t="str">
        <f>IFERROR(__xludf.DUMMYFUNCTION("""COMPUTED_VALUE"""),"!!!")</f>
        <v>!!!</v>
      </c>
      <c r="S443" s="67" t="str">
        <f>IFERROR(__xludf.DUMMYFUNCTION("""COMPUTED_VALUE"""),"!!!")</f>
        <v>!!!</v>
      </c>
      <c r="T44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44">
      <c r="A444" s="72"/>
      <c r="B444" s="60" t="s">
        <v>6754</v>
      </c>
      <c r="C444" s="67" t="str">
        <f>IFERROR(__xludf.DUMMYFUNCTION("""COMPUTED_VALUE"""),"LD237")</f>
        <v>LD237</v>
      </c>
      <c r="D444" s="55" t="s">
        <v>188</v>
      </c>
      <c r="E444" s="55" t="s">
        <v>193</v>
      </c>
      <c r="F444" s="54"/>
      <c r="G444" s="44" t="s">
        <v>61</v>
      </c>
      <c r="H444" s="54"/>
      <c r="I444" s="54"/>
      <c r="J444" s="54"/>
      <c r="K444" s="55" t="s">
        <v>61</v>
      </c>
      <c r="L444" s="54"/>
      <c r="M444" s="54"/>
      <c r="N444" s="54"/>
      <c r="O444" s="54"/>
      <c r="P444" s="54"/>
      <c r="Q444" s="67" t="str">
        <f>IFERROR(__xludf.DUMMYFUNCTION("""COMPUTED_VALUE"""),"!!!")</f>
        <v>!!!</v>
      </c>
      <c r="R444" s="67" t="str">
        <f>IFERROR(__xludf.DUMMYFUNCTION("""COMPUTED_VALUE"""),"!!!")</f>
        <v>!!!</v>
      </c>
      <c r="S444" s="67" t="str">
        <f>IFERROR(__xludf.DUMMYFUNCTION("""COMPUTED_VALUE"""),"!!!")</f>
        <v>!!!</v>
      </c>
      <c r="T44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45">
      <c r="A445" s="72"/>
      <c r="B445" s="60" t="s">
        <v>6754</v>
      </c>
      <c r="C445" s="67" t="str">
        <f>IFERROR(__xludf.DUMMYFUNCTION("""COMPUTED_VALUE"""),"LD237")</f>
        <v>LD237</v>
      </c>
      <c r="D445" s="55" t="s">
        <v>188</v>
      </c>
      <c r="E445" s="55" t="s">
        <v>193</v>
      </c>
      <c r="F445" s="54"/>
      <c r="G445" s="44" t="s">
        <v>61</v>
      </c>
      <c r="H445" s="54"/>
      <c r="I445" s="54"/>
      <c r="J445" s="54"/>
      <c r="K445" s="55" t="s">
        <v>61</v>
      </c>
      <c r="L445" s="54"/>
      <c r="M445" s="54"/>
      <c r="N445" s="54"/>
      <c r="O445" s="54"/>
      <c r="P445" s="54"/>
      <c r="Q445" s="67" t="str">
        <f>IFERROR(__xludf.DUMMYFUNCTION("""COMPUTED_VALUE"""),"!!!")</f>
        <v>!!!</v>
      </c>
      <c r="R445" s="67" t="str">
        <f>IFERROR(__xludf.DUMMYFUNCTION("""COMPUTED_VALUE"""),"!!!")</f>
        <v>!!!</v>
      </c>
      <c r="S445" s="67" t="str">
        <f>IFERROR(__xludf.DUMMYFUNCTION("""COMPUTED_VALUE"""),"!!!")</f>
        <v>!!!</v>
      </c>
      <c r="T44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46">
      <c r="A446" s="72"/>
      <c r="B446" s="60" t="s">
        <v>6754</v>
      </c>
      <c r="C446" s="67" t="str">
        <f>IFERROR(__xludf.DUMMYFUNCTION("""COMPUTED_VALUE"""),"LD237")</f>
        <v>LD237</v>
      </c>
      <c r="D446" s="55" t="s">
        <v>188</v>
      </c>
      <c r="E446" s="55" t="s">
        <v>193</v>
      </c>
      <c r="F446" s="54"/>
      <c r="G446" s="44" t="s">
        <v>61</v>
      </c>
      <c r="H446" s="54"/>
      <c r="I446" s="54"/>
      <c r="J446" s="54"/>
      <c r="K446" s="55" t="s">
        <v>61</v>
      </c>
      <c r="L446" s="54"/>
      <c r="M446" s="54"/>
      <c r="N446" s="54"/>
      <c r="O446" s="54"/>
      <c r="P446" s="54"/>
      <c r="Q446" s="67" t="str">
        <f>IFERROR(__xludf.DUMMYFUNCTION("""COMPUTED_VALUE"""),"!!!")</f>
        <v>!!!</v>
      </c>
      <c r="R446" s="67" t="str">
        <f>IFERROR(__xludf.DUMMYFUNCTION("""COMPUTED_VALUE"""),"!!!")</f>
        <v>!!!</v>
      </c>
      <c r="S446" s="67" t="str">
        <f>IFERROR(__xludf.DUMMYFUNCTION("""COMPUTED_VALUE"""),"!!!")</f>
        <v>!!!</v>
      </c>
      <c r="T44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47">
      <c r="A447" s="72"/>
      <c r="B447" s="60" t="s">
        <v>6754</v>
      </c>
      <c r="C447" s="67" t="str">
        <f>IFERROR(__xludf.DUMMYFUNCTION("""COMPUTED_VALUE"""),"LD237")</f>
        <v>LD237</v>
      </c>
      <c r="D447" s="55" t="s">
        <v>188</v>
      </c>
      <c r="E447" s="55" t="s">
        <v>193</v>
      </c>
      <c r="F447" s="54"/>
      <c r="G447" s="44" t="s">
        <v>61</v>
      </c>
      <c r="H447" s="54"/>
      <c r="I447" s="54"/>
      <c r="J447" s="54"/>
      <c r="K447" s="55" t="s">
        <v>61</v>
      </c>
      <c r="L447" s="54"/>
      <c r="M447" s="54"/>
      <c r="N447" s="54"/>
      <c r="O447" s="54"/>
      <c r="P447" s="54"/>
      <c r="Q447" s="67" t="str">
        <f>IFERROR(__xludf.DUMMYFUNCTION("""COMPUTED_VALUE"""),"!!!")</f>
        <v>!!!</v>
      </c>
      <c r="R447" s="67" t="str">
        <f>IFERROR(__xludf.DUMMYFUNCTION("""COMPUTED_VALUE"""),"!!!")</f>
        <v>!!!</v>
      </c>
      <c r="S447" s="67" t="str">
        <f>IFERROR(__xludf.DUMMYFUNCTION("""COMPUTED_VALUE"""),"!!!")</f>
        <v>!!!</v>
      </c>
      <c r="T44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48">
      <c r="A448" s="72"/>
      <c r="B448" s="60" t="s">
        <v>6754</v>
      </c>
      <c r="C448" s="67" t="str">
        <f>IFERROR(__xludf.DUMMYFUNCTION("""COMPUTED_VALUE"""),"LD237")</f>
        <v>LD237</v>
      </c>
      <c r="D448" s="55" t="s">
        <v>188</v>
      </c>
      <c r="E448" s="55" t="s">
        <v>193</v>
      </c>
      <c r="F448" s="54"/>
      <c r="G448" s="44" t="s">
        <v>61</v>
      </c>
      <c r="H448" s="54"/>
      <c r="I448" s="54"/>
      <c r="J448" s="54"/>
      <c r="K448" s="55" t="s">
        <v>61</v>
      </c>
      <c r="L448" s="54"/>
      <c r="M448" s="54"/>
      <c r="N448" s="54"/>
      <c r="O448" s="54"/>
      <c r="P448" s="54"/>
      <c r="Q448" s="67" t="str">
        <f>IFERROR(__xludf.DUMMYFUNCTION("""COMPUTED_VALUE"""),"!!!")</f>
        <v>!!!</v>
      </c>
      <c r="R448" s="67" t="str">
        <f>IFERROR(__xludf.DUMMYFUNCTION("""COMPUTED_VALUE"""),"!!!")</f>
        <v>!!!</v>
      </c>
      <c r="S448" s="67" t="str">
        <f>IFERROR(__xludf.DUMMYFUNCTION("""COMPUTED_VALUE"""),"!!!")</f>
        <v>!!!</v>
      </c>
      <c r="T44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49">
      <c r="A449" s="72"/>
      <c r="B449" s="60" t="s">
        <v>6754</v>
      </c>
      <c r="C449" s="67" t="str">
        <f>IFERROR(__xludf.DUMMYFUNCTION("""COMPUTED_VALUE"""),"LD237")</f>
        <v>LD237</v>
      </c>
      <c r="D449" s="55" t="s">
        <v>188</v>
      </c>
      <c r="E449" s="55" t="s">
        <v>193</v>
      </c>
      <c r="F449" s="54"/>
      <c r="G449" s="44" t="s">
        <v>61</v>
      </c>
      <c r="H449" s="54"/>
      <c r="I449" s="54"/>
      <c r="J449" s="54"/>
      <c r="K449" s="55" t="s">
        <v>61</v>
      </c>
      <c r="L449" s="54"/>
      <c r="M449" s="54"/>
      <c r="N449" s="54"/>
      <c r="O449" s="54"/>
      <c r="P449" s="54"/>
      <c r="Q449" s="67" t="str">
        <f>IFERROR(__xludf.DUMMYFUNCTION("""COMPUTED_VALUE"""),"!!!")</f>
        <v>!!!</v>
      </c>
      <c r="R449" s="67" t="str">
        <f>IFERROR(__xludf.DUMMYFUNCTION("""COMPUTED_VALUE"""),"!!!")</f>
        <v>!!!</v>
      </c>
      <c r="S449" s="67" t="str">
        <f>IFERROR(__xludf.DUMMYFUNCTION("""COMPUTED_VALUE"""),"!!!")</f>
        <v>!!!</v>
      </c>
      <c r="T44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50">
      <c r="A450" s="72"/>
      <c r="B450" s="60" t="s">
        <v>6754</v>
      </c>
      <c r="C450" s="67" t="str">
        <f>IFERROR(__xludf.DUMMYFUNCTION("""COMPUTED_VALUE"""),"LD237")</f>
        <v>LD237</v>
      </c>
      <c r="D450" s="55" t="s">
        <v>188</v>
      </c>
      <c r="E450" s="55" t="s">
        <v>193</v>
      </c>
      <c r="F450" s="54"/>
      <c r="G450" s="44" t="s">
        <v>61</v>
      </c>
      <c r="H450" s="54"/>
      <c r="I450" s="54"/>
      <c r="J450" s="54"/>
      <c r="K450" s="55" t="s">
        <v>61</v>
      </c>
      <c r="L450" s="54"/>
      <c r="M450" s="54"/>
      <c r="N450" s="54"/>
      <c r="O450" s="54"/>
      <c r="P450" s="54"/>
      <c r="Q450" s="67" t="str">
        <f>IFERROR(__xludf.DUMMYFUNCTION("""COMPUTED_VALUE"""),"!!!")</f>
        <v>!!!</v>
      </c>
      <c r="R450" s="67" t="str">
        <f>IFERROR(__xludf.DUMMYFUNCTION("""COMPUTED_VALUE"""),"!!!")</f>
        <v>!!!</v>
      </c>
      <c r="S450" s="67" t="str">
        <f>IFERROR(__xludf.DUMMYFUNCTION("""COMPUTED_VALUE"""),"!!!")</f>
        <v>!!!</v>
      </c>
      <c r="T45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51">
      <c r="A451" s="72"/>
      <c r="B451" s="60" t="s">
        <v>6754</v>
      </c>
      <c r="C451" s="67" t="str">
        <f>IFERROR(__xludf.DUMMYFUNCTION("""COMPUTED_VALUE"""),"LD237")</f>
        <v>LD237</v>
      </c>
      <c r="D451" s="55" t="s">
        <v>188</v>
      </c>
      <c r="E451" s="55" t="s">
        <v>193</v>
      </c>
      <c r="F451" s="54"/>
      <c r="G451" s="44" t="s">
        <v>61</v>
      </c>
      <c r="H451" s="54"/>
      <c r="I451" s="54"/>
      <c r="J451" s="54"/>
      <c r="K451" s="55" t="s">
        <v>61</v>
      </c>
      <c r="L451" s="54"/>
      <c r="M451" s="54"/>
      <c r="N451" s="54"/>
      <c r="O451" s="54"/>
      <c r="P451" s="54"/>
      <c r="Q451" s="67" t="str">
        <f>IFERROR(__xludf.DUMMYFUNCTION("""COMPUTED_VALUE"""),"!!!")</f>
        <v>!!!</v>
      </c>
      <c r="R451" s="67" t="str">
        <f>IFERROR(__xludf.DUMMYFUNCTION("""COMPUTED_VALUE"""),"!!!")</f>
        <v>!!!</v>
      </c>
      <c r="S451" s="67" t="str">
        <f>IFERROR(__xludf.DUMMYFUNCTION("""COMPUTED_VALUE"""),"!!!")</f>
        <v>!!!</v>
      </c>
      <c r="T45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52">
      <c r="A452" s="72"/>
      <c r="B452" s="60" t="s">
        <v>6754</v>
      </c>
      <c r="C452" s="67" t="str">
        <f>IFERROR(__xludf.DUMMYFUNCTION("""COMPUTED_VALUE"""),"LD237")</f>
        <v>LD237</v>
      </c>
      <c r="D452" s="55" t="s">
        <v>188</v>
      </c>
      <c r="E452" s="55" t="s">
        <v>193</v>
      </c>
      <c r="F452" s="54"/>
      <c r="G452" s="44" t="s">
        <v>61</v>
      </c>
      <c r="H452" s="54"/>
      <c r="I452" s="54"/>
      <c r="J452" s="54"/>
      <c r="K452" s="55" t="s">
        <v>61</v>
      </c>
      <c r="L452" s="54"/>
      <c r="M452" s="54"/>
      <c r="N452" s="54"/>
      <c r="O452" s="54"/>
      <c r="P452" s="54"/>
      <c r="Q452" s="67" t="str">
        <f>IFERROR(__xludf.DUMMYFUNCTION("""COMPUTED_VALUE"""),"!!!")</f>
        <v>!!!</v>
      </c>
      <c r="R452" s="67" t="str">
        <f>IFERROR(__xludf.DUMMYFUNCTION("""COMPUTED_VALUE"""),"!!!")</f>
        <v>!!!</v>
      </c>
      <c r="S452" s="67" t="str">
        <f>IFERROR(__xludf.DUMMYFUNCTION("""COMPUTED_VALUE"""),"!!!")</f>
        <v>!!!</v>
      </c>
      <c r="T45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53">
      <c r="A453" s="72"/>
      <c r="B453" s="60" t="s">
        <v>6754</v>
      </c>
      <c r="C453" s="67" t="str">
        <f>IFERROR(__xludf.DUMMYFUNCTION("""COMPUTED_VALUE"""),"LD237")</f>
        <v>LD237</v>
      </c>
      <c r="D453" s="55" t="s">
        <v>188</v>
      </c>
      <c r="E453" s="55" t="s">
        <v>193</v>
      </c>
      <c r="F453" s="54"/>
      <c r="G453" s="44" t="s">
        <v>61</v>
      </c>
      <c r="H453" s="54"/>
      <c r="I453" s="54"/>
      <c r="J453" s="54"/>
      <c r="K453" s="55" t="s">
        <v>61</v>
      </c>
      <c r="L453" s="54"/>
      <c r="M453" s="54"/>
      <c r="N453" s="54"/>
      <c r="O453" s="54"/>
      <c r="P453" s="54"/>
      <c r="Q453" s="67" t="str">
        <f>IFERROR(__xludf.DUMMYFUNCTION("""COMPUTED_VALUE"""),"!!!")</f>
        <v>!!!</v>
      </c>
      <c r="R453" s="67" t="str">
        <f>IFERROR(__xludf.DUMMYFUNCTION("""COMPUTED_VALUE"""),"!!!")</f>
        <v>!!!</v>
      </c>
      <c r="S453" s="67" t="str">
        <f>IFERROR(__xludf.DUMMYFUNCTION("""COMPUTED_VALUE"""),"!!!")</f>
        <v>!!!</v>
      </c>
      <c r="T45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54">
      <c r="A454" s="72"/>
      <c r="B454" s="60" t="s">
        <v>6754</v>
      </c>
      <c r="C454" s="67" t="str">
        <f>IFERROR(__xludf.DUMMYFUNCTION("""COMPUTED_VALUE"""),"LD237")</f>
        <v>LD237</v>
      </c>
      <c r="D454" s="55" t="s">
        <v>188</v>
      </c>
      <c r="E454" s="55" t="s">
        <v>193</v>
      </c>
      <c r="F454" s="54"/>
      <c r="G454" s="44" t="s">
        <v>61</v>
      </c>
      <c r="H454" s="54"/>
      <c r="I454" s="54"/>
      <c r="J454" s="54"/>
      <c r="K454" s="55" t="s">
        <v>61</v>
      </c>
      <c r="L454" s="54"/>
      <c r="M454" s="54"/>
      <c r="N454" s="54"/>
      <c r="O454" s="54"/>
      <c r="P454" s="54"/>
      <c r="Q454" s="67" t="str">
        <f>IFERROR(__xludf.DUMMYFUNCTION("""COMPUTED_VALUE"""),"!!!")</f>
        <v>!!!</v>
      </c>
      <c r="R454" s="67" t="str">
        <f>IFERROR(__xludf.DUMMYFUNCTION("""COMPUTED_VALUE"""),"!!!")</f>
        <v>!!!</v>
      </c>
      <c r="S454" s="67" t="str">
        <f>IFERROR(__xludf.DUMMYFUNCTION("""COMPUTED_VALUE"""),"!!!")</f>
        <v>!!!</v>
      </c>
      <c r="T45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55">
      <c r="A455" s="72"/>
      <c r="B455" s="60" t="s">
        <v>6754</v>
      </c>
      <c r="C455" s="67" t="str">
        <f>IFERROR(__xludf.DUMMYFUNCTION("""COMPUTED_VALUE"""),"LD237")</f>
        <v>LD237</v>
      </c>
      <c r="D455" s="55" t="s">
        <v>188</v>
      </c>
      <c r="E455" s="55" t="s">
        <v>193</v>
      </c>
      <c r="F455" s="54"/>
      <c r="G455" s="44" t="s">
        <v>61</v>
      </c>
      <c r="H455" s="54"/>
      <c r="I455" s="54"/>
      <c r="J455" s="54"/>
      <c r="K455" s="55" t="s">
        <v>61</v>
      </c>
      <c r="L455" s="54"/>
      <c r="M455" s="54"/>
      <c r="N455" s="54"/>
      <c r="O455" s="54"/>
      <c r="P455" s="54"/>
      <c r="Q455" s="67" t="str">
        <f>IFERROR(__xludf.DUMMYFUNCTION("""COMPUTED_VALUE"""),"!!!")</f>
        <v>!!!</v>
      </c>
      <c r="R455" s="67" t="str">
        <f>IFERROR(__xludf.DUMMYFUNCTION("""COMPUTED_VALUE"""),"!!!")</f>
        <v>!!!</v>
      </c>
      <c r="S455" s="67" t="str">
        <f>IFERROR(__xludf.DUMMYFUNCTION("""COMPUTED_VALUE"""),"!!!")</f>
        <v>!!!</v>
      </c>
      <c r="T45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56">
      <c r="A456" s="72"/>
      <c r="B456" s="60" t="s">
        <v>6754</v>
      </c>
      <c r="C456" s="67" t="str">
        <f>IFERROR(__xludf.DUMMYFUNCTION("""COMPUTED_VALUE"""),"LD237")</f>
        <v>LD237</v>
      </c>
      <c r="D456" s="55" t="s">
        <v>188</v>
      </c>
      <c r="E456" s="55" t="s">
        <v>193</v>
      </c>
      <c r="F456" s="54"/>
      <c r="G456" s="44" t="s">
        <v>61</v>
      </c>
      <c r="H456" s="54"/>
      <c r="I456" s="54"/>
      <c r="J456" s="54"/>
      <c r="K456" s="55" t="s">
        <v>61</v>
      </c>
      <c r="L456" s="54"/>
      <c r="M456" s="54"/>
      <c r="N456" s="54"/>
      <c r="O456" s="54"/>
      <c r="P456" s="54"/>
      <c r="Q456" s="67" t="str">
        <f>IFERROR(__xludf.DUMMYFUNCTION("""COMPUTED_VALUE"""),"!!!")</f>
        <v>!!!</v>
      </c>
      <c r="R456" s="67" t="str">
        <f>IFERROR(__xludf.DUMMYFUNCTION("""COMPUTED_VALUE"""),"!!!")</f>
        <v>!!!</v>
      </c>
      <c r="S456" s="67" t="str">
        <f>IFERROR(__xludf.DUMMYFUNCTION("""COMPUTED_VALUE"""),"!!!")</f>
        <v>!!!</v>
      </c>
      <c r="T45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57">
      <c r="A457" s="72"/>
      <c r="B457" s="60" t="s">
        <v>6754</v>
      </c>
      <c r="C457" s="67" t="str">
        <f>IFERROR(__xludf.DUMMYFUNCTION("""COMPUTED_VALUE"""),"LD237")</f>
        <v>LD237</v>
      </c>
      <c r="D457" s="55" t="s">
        <v>188</v>
      </c>
      <c r="E457" s="55" t="s">
        <v>193</v>
      </c>
      <c r="F457" s="54"/>
      <c r="G457" s="44" t="s">
        <v>61</v>
      </c>
      <c r="H457" s="54"/>
      <c r="I457" s="54"/>
      <c r="J457" s="54"/>
      <c r="K457" s="55" t="s">
        <v>61</v>
      </c>
      <c r="L457" s="54"/>
      <c r="M457" s="54"/>
      <c r="N457" s="54"/>
      <c r="O457" s="54"/>
      <c r="P457" s="54"/>
      <c r="Q457" s="67" t="str">
        <f>IFERROR(__xludf.DUMMYFUNCTION("""COMPUTED_VALUE"""),"!!!")</f>
        <v>!!!</v>
      </c>
      <c r="R457" s="67" t="str">
        <f>IFERROR(__xludf.DUMMYFUNCTION("""COMPUTED_VALUE"""),"!!!")</f>
        <v>!!!</v>
      </c>
      <c r="S457" s="67" t="str">
        <f>IFERROR(__xludf.DUMMYFUNCTION("""COMPUTED_VALUE"""),"!!!")</f>
        <v>!!!</v>
      </c>
      <c r="T45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58">
      <c r="A458" s="72"/>
      <c r="B458" s="60" t="s">
        <v>6754</v>
      </c>
      <c r="C458" s="67" t="str">
        <f>IFERROR(__xludf.DUMMYFUNCTION("""COMPUTED_VALUE"""),"LD237")</f>
        <v>LD237</v>
      </c>
      <c r="D458" s="55" t="s">
        <v>188</v>
      </c>
      <c r="E458" s="55" t="s">
        <v>193</v>
      </c>
      <c r="F458" s="54"/>
      <c r="G458" s="44" t="s">
        <v>61</v>
      </c>
      <c r="H458" s="54"/>
      <c r="I458" s="54"/>
      <c r="J458" s="54"/>
      <c r="K458" s="55" t="s">
        <v>61</v>
      </c>
      <c r="L458" s="54"/>
      <c r="M458" s="54"/>
      <c r="N458" s="54"/>
      <c r="O458" s="54"/>
      <c r="P458" s="54"/>
      <c r="Q458" s="67" t="str">
        <f>IFERROR(__xludf.DUMMYFUNCTION("""COMPUTED_VALUE"""),"!!!")</f>
        <v>!!!</v>
      </c>
      <c r="R458" s="67" t="str">
        <f>IFERROR(__xludf.DUMMYFUNCTION("""COMPUTED_VALUE"""),"!!!")</f>
        <v>!!!</v>
      </c>
      <c r="S458" s="67" t="str">
        <f>IFERROR(__xludf.DUMMYFUNCTION("""COMPUTED_VALUE"""),"!!!")</f>
        <v>!!!</v>
      </c>
      <c r="T45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59">
      <c r="A459" s="72"/>
      <c r="B459" s="60" t="s">
        <v>6754</v>
      </c>
      <c r="C459" s="67" t="str">
        <f>IFERROR(__xludf.DUMMYFUNCTION("""COMPUTED_VALUE"""),"LD237")</f>
        <v>LD237</v>
      </c>
      <c r="D459" s="55" t="s">
        <v>188</v>
      </c>
      <c r="E459" s="55" t="s">
        <v>193</v>
      </c>
      <c r="F459" s="54"/>
      <c r="G459" s="44" t="s">
        <v>61</v>
      </c>
      <c r="H459" s="54"/>
      <c r="I459" s="54"/>
      <c r="J459" s="54"/>
      <c r="K459" s="55" t="s">
        <v>61</v>
      </c>
      <c r="L459" s="54"/>
      <c r="M459" s="54"/>
      <c r="N459" s="54"/>
      <c r="O459" s="54"/>
      <c r="P459" s="54"/>
      <c r="Q459" s="67" t="str">
        <f>IFERROR(__xludf.DUMMYFUNCTION("""COMPUTED_VALUE"""),"!!!")</f>
        <v>!!!</v>
      </c>
      <c r="R459" s="67" t="str">
        <f>IFERROR(__xludf.DUMMYFUNCTION("""COMPUTED_VALUE"""),"!!!")</f>
        <v>!!!</v>
      </c>
      <c r="S459" s="67" t="str">
        <f>IFERROR(__xludf.DUMMYFUNCTION("""COMPUTED_VALUE"""),"!!!")</f>
        <v>!!!</v>
      </c>
      <c r="T45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60">
      <c r="A460" s="72"/>
      <c r="B460" s="60" t="s">
        <v>6754</v>
      </c>
      <c r="C460" s="67" t="str">
        <f>IFERROR(__xludf.DUMMYFUNCTION("""COMPUTED_VALUE"""),"LD237")</f>
        <v>LD237</v>
      </c>
      <c r="D460" s="55" t="s">
        <v>188</v>
      </c>
      <c r="E460" s="55" t="s">
        <v>193</v>
      </c>
      <c r="F460" s="54"/>
      <c r="G460" s="44" t="s">
        <v>61</v>
      </c>
      <c r="H460" s="54"/>
      <c r="I460" s="54"/>
      <c r="J460" s="54"/>
      <c r="K460" s="55" t="s">
        <v>61</v>
      </c>
      <c r="L460" s="54"/>
      <c r="M460" s="54"/>
      <c r="N460" s="54"/>
      <c r="O460" s="54"/>
      <c r="P460" s="54"/>
      <c r="Q460" s="67" t="str">
        <f>IFERROR(__xludf.DUMMYFUNCTION("""COMPUTED_VALUE"""),"!!!")</f>
        <v>!!!</v>
      </c>
      <c r="R460" s="67" t="str">
        <f>IFERROR(__xludf.DUMMYFUNCTION("""COMPUTED_VALUE"""),"!!!")</f>
        <v>!!!</v>
      </c>
      <c r="S460" s="67" t="str">
        <f>IFERROR(__xludf.DUMMYFUNCTION("""COMPUTED_VALUE"""),"!!!")</f>
        <v>!!!</v>
      </c>
      <c r="T46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61">
      <c r="A461" s="72"/>
      <c r="B461" s="60" t="s">
        <v>6754</v>
      </c>
      <c r="C461" s="67" t="str">
        <f>IFERROR(__xludf.DUMMYFUNCTION("""COMPUTED_VALUE"""),"LD237")</f>
        <v>LD237</v>
      </c>
      <c r="D461" s="55" t="s">
        <v>188</v>
      </c>
      <c r="E461" s="55" t="s">
        <v>193</v>
      </c>
      <c r="F461" s="54"/>
      <c r="G461" s="44" t="s">
        <v>61</v>
      </c>
      <c r="H461" s="54"/>
      <c r="I461" s="54"/>
      <c r="J461" s="54"/>
      <c r="K461" s="55" t="s">
        <v>61</v>
      </c>
      <c r="L461" s="54"/>
      <c r="M461" s="54"/>
      <c r="N461" s="54"/>
      <c r="O461" s="54"/>
      <c r="P461" s="54"/>
      <c r="Q461" s="67" t="str">
        <f>IFERROR(__xludf.DUMMYFUNCTION("""COMPUTED_VALUE"""),"!!!")</f>
        <v>!!!</v>
      </c>
      <c r="R461" s="67" t="str">
        <f>IFERROR(__xludf.DUMMYFUNCTION("""COMPUTED_VALUE"""),"!!!")</f>
        <v>!!!</v>
      </c>
      <c r="S461" s="67" t="str">
        <f>IFERROR(__xludf.DUMMYFUNCTION("""COMPUTED_VALUE"""),"!!!")</f>
        <v>!!!</v>
      </c>
      <c r="T46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62">
      <c r="A462" s="72"/>
      <c r="B462" s="60" t="s">
        <v>6754</v>
      </c>
      <c r="C462" s="67" t="str">
        <f>IFERROR(__xludf.DUMMYFUNCTION("""COMPUTED_VALUE"""),"LD237")</f>
        <v>LD237</v>
      </c>
      <c r="D462" s="55" t="s">
        <v>188</v>
      </c>
      <c r="E462" s="55" t="s">
        <v>193</v>
      </c>
      <c r="F462" s="54"/>
      <c r="G462" s="44" t="s">
        <v>61</v>
      </c>
      <c r="H462" s="54"/>
      <c r="I462" s="54"/>
      <c r="J462" s="54"/>
      <c r="K462" s="55" t="s">
        <v>61</v>
      </c>
      <c r="L462" s="54"/>
      <c r="M462" s="54"/>
      <c r="N462" s="54"/>
      <c r="O462" s="54"/>
      <c r="P462" s="54"/>
      <c r="Q462" s="67" t="str">
        <f>IFERROR(__xludf.DUMMYFUNCTION("""COMPUTED_VALUE"""),"!!!")</f>
        <v>!!!</v>
      </c>
      <c r="R462" s="67" t="str">
        <f>IFERROR(__xludf.DUMMYFUNCTION("""COMPUTED_VALUE"""),"!!!")</f>
        <v>!!!</v>
      </c>
      <c r="S462" s="67" t="str">
        <f>IFERROR(__xludf.DUMMYFUNCTION("""COMPUTED_VALUE"""),"!!!")</f>
        <v>!!!</v>
      </c>
      <c r="T46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63">
      <c r="A463" s="72"/>
      <c r="B463" s="60" t="s">
        <v>6754</v>
      </c>
      <c r="C463" s="67" t="str">
        <f>IFERROR(__xludf.DUMMYFUNCTION("""COMPUTED_VALUE"""),"LD237")</f>
        <v>LD237</v>
      </c>
      <c r="D463" s="55" t="s">
        <v>188</v>
      </c>
      <c r="E463" s="55" t="s">
        <v>193</v>
      </c>
      <c r="F463" s="54"/>
      <c r="G463" s="44" t="s">
        <v>61</v>
      </c>
      <c r="H463" s="54"/>
      <c r="I463" s="54"/>
      <c r="J463" s="54"/>
      <c r="K463" s="55" t="s">
        <v>61</v>
      </c>
      <c r="L463" s="54"/>
      <c r="M463" s="54"/>
      <c r="N463" s="54"/>
      <c r="O463" s="54"/>
      <c r="P463" s="54"/>
      <c r="Q463" s="67" t="str">
        <f>IFERROR(__xludf.DUMMYFUNCTION("""COMPUTED_VALUE"""),"!!!")</f>
        <v>!!!</v>
      </c>
      <c r="R463" s="67" t="str">
        <f>IFERROR(__xludf.DUMMYFUNCTION("""COMPUTED_VALUE"""),"!!!")</f>
        <v>!!!</v>
      </c>
      <c r="S463" s="67" t="str">
        <f>IFERROR(__xludf.DUMMYFUNCTION("""COMPUTED_VALUE"""),"!!!")</f>
        <v>!!!</v>
      </c>
      <c r="T46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64">
      <c r="A464" s="72"/>
      <c r="B464" s="60" t="s">
        <v>6754</v>
      </c>
      <c r="C464" s="67" t="str">
        <f>IFERROR(__xludf.DUMMYFUNCTION("""COMPUTED_VALUE"""),"LD237")</f>
        <v>LD237</v>
      </c>
      <c r="D464" s="55" t="s">
        <v>188</v>
      </c>
      <c r="E464" s="55" t="s">
        <v>193</v>
      </c>
      <c r="F464" s="54"/>
      <c r="G464" s="44" t="s">
        <v>61</v>
      </c>
      <c r="H464" s="54"/>
      <c r="I464" s="54"/>
      <c r="J464" s="54"/>
      <c r="K464" s="55" t="s">
        <v>61</v>
      </c>
      <c r="L464" s="54"/>
      <c r="M464" s="54"/>
      <c r="N464" s="54"/>
      <c r="O464" s="54"/>
      <c r="P464" s="54"/>
      <c r="Q464" s="67" t="str">
        <f>IFERROR(__xludf.DUMMYFUNCTION("""COMPUTED_VALUE"""),"!!!")</f>
        <v>!!!</v>
      </c>
      <c r="R464" s="67" t="str">
        <f>IFERROR(__xludf.DUMMYFUNCTION("""COMPUTED_VALUE"""),"!!!")</f>
        <v>!!!</v>
      </c>
      <c r="S464" s="67" t="str">
        <f>IFERROR(__xludf.DUMMYFUNCTION("""COMPUTED_VALUE"""),"!!!")</f>
        <v>!!!</v>
      </c>
      <c r="T46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65">
      <c r="A465" s="72"/>
      <c r="B465" s="60" t="s">
        <v>6754</v>
      </c>
      <c r="C465" s="67" t="str">
        <f>IFERROR(__xludf.DUMMYFUNCTION("""COMPUTED_VALUE"""),"LD237")</f>
        <v>LD237</v>
      </c>
      <c r="D465" s="55" t="s">
        <v>188</v>
      </c>
      <c r="E465" s="55" t="s">
        <v>193</v>
      </c>
      <c r="F465" s="54"/>
      <c r="G465" s="44" t="s">
        <v>61</v>
      </c>
      <c r="H465" s="54"/>
      <c r="I465" s="54"/>
      <c r="J465" s="54"/>
      <c r="K465" s="55" t="s">
        <v>61</v>
      </c>
      <c r="L465" s="54"/>
      <c r="M465" s="54"/>
      <c r="N465" s="54"/>
      <c r="O465" s="54"/>
      <c r="P465" s="54"/>
      <c r="Q465" s="67" t="str">
        <f>IFERROR(__xludf.DUMMYFUNCTION("""COMPUTED_VALUE"""),"!!!")</f>
        <v>!!!</v>
      </c>
      <c r="R465" s="67" t="str">
        <f>IFERROR(__xludf.DUMMYFUNCTION("""COMPUTED_VALUE"""),"!!!")</f>
        <v>!!!</v>
      </c>
      <c r="S465" s="67" t="str">
        <f>IFERROR(__xludf.DUMMYFUNCTION("""COMPUTED_VALUE"""),"!!!")</f>
        <v>!!!</v>
      </c>
      <c r="T46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66">
      <c r="A466" s="72"/>
      <c r="B466" s="60" t="s">
        <v>6754</v>
      </c>
      <c r="C466" s="67" t="str">
        <f>IFERROR(__xludf.DUMMYFUNCTION("""COMPUTED_VALUE"""),"LD237")</f>
        <v>LD237</v>
      </c>
      <c r="D466" s="55" t="s">
        <v>188</v>
      </c>
      <c r="E466" s="55" t="s">
        <v>193</v>
      </c>
      <c r="F466" s="54"/>
      <c r="G466" s="44" t="s">
        <v>61</v>
      </c>
      <c r="H466" s="54"/>
      <c r="I466" s="54"/>
      <c r="J466" s="54"/>
      <c r="K466" s="55" t="s">
        <v>61</v>
      </c>
      <c r="L466" s="54"/>
      <c r="M466" s="54"/>
      <c r="N466" s="54"/>
      <c r="O466" s="54"/>
      <c r="P466" s="54"/>
      <c r="Q466" s="67" t="str">
        <f>IFERROR(__xludf.DUMMYFUNCTION("""COMPUTED_VALUE"""),"!!!")</f>
        <v>!!!</v>
      </c>
      <c r="R466" s="67" t="str">
        <f>IFERROR(__xludf.DUMMYFUNCTION("""COMPUTED_VALUE"""),"!!!")</f>
        <v>!!!</v>
      </c>
      <c r="S466" s="67" t="str">
        <f>IFERROR(__xludf.DUMMYFUNCTION("""COMPUTED_VALUE"""),"!!!")</f>
        <v>!!!</v>
      </c>
      <c r="T46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67">
      <c r="A467" s="72"/>
      <c r="B467" s="60" t="s">
        <v>6754</v>
      </c>
      <c r="C467" s="67" t="str">
        <f>IFERROR(__xludf.DUMMYFUNCTION("""COMPUTED_VALUE"""),"LD237")</f>
        <v>LD237</v>
      </c>
      <c r="D467" s="55" t="s">
        <v>188</v>
      </c>
      <c r="E467" s="55" t="s">
        <v>193</v>
      </c>
      <c r="F467" s="54"/>
      <c r="G467" s="44" t="s">
        <v>61</v>
      </c>
      <c r="H467" s="54"/>
      <c r="I467" s="54"/>
      <c r="J467" s="54"/>
      <c r="K467" s="55" t="s">
        <v>61</v>
      </c>
      <c r="L467" s="54"/>
      <c r="M467" s="54"/>
      <c r="N467" s="54"/>
      <c r="O467" s="54"/>
      <c r="P467" s="54"/>
      <c r="Q467" s="67" t="str">
        <f>IFERROR(__xludf.DUMMYFUNCTION("""COMPUTED_VALUE"""),"!!!")</f>
        <v>!!!</v>
      </c>
      <c r="R467" s="67" t="str">
        <f>IFERROR(__xludf.DUMMYFUNCTION("""COMPUTED_VALUE"""),"!!!")</f>
        <v>!!!</v>
      </c>
      <c r="S467" s="67" t="str">
        <f>IFERROR(__xludf.DUMMYFUNCTION("""COMPUTED_VALUE"""),"!!!")</f>
        <v>!!!</v>
      </c>
      <c r="T46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68">
      <c r="A468" s="72"/>
      <c r="B468" s="60" t="s">
        <v>6754</v>
      </c>
      <c r="C468" s="67" t="str">
        <f>IFERROR(__xludf.DUMMYFUNCTION("""COMPUTED_VALUE"""),"LD237")</f>
        <v>LD237</v>
      </c>
      <c r="D468" s="55" t="s">
        <v>188</v>
      </c>
      <c r="E468" s="55" t="s">
        <v>193</v>
      </c>
      <c r="F468" s="54"/>
      <c r="G468" s="44" t="s">
        <v>61</v>
      </c>
      <c r="H468" s="54"/>
      <c r="I468" s="54"/>
      <c r="J468" s="54"/>
      <c r="K468" s="55" t="s">
        <v>61</v>
      </c>
      <c r="L468" s="54"/>
      <c r="M468" s="54"/>
      <c r="N468" s="54"/>
      <c r="O468" s="54"/>
      <c r="P468" s="54"/>
      <c r="Q468" s="67" t="str">
        <f>IFERROR(__xludf.DUMMYFUNCTION("""COMPUTED_VALUE"""),"!!!")</f>
        <v>!!!</v>
      </c>
      <c r="R468" s="67" t="str">
        <f>IFERROR(__xludf.DUMMYFUNCTION("""COMPUTED_VALUE"""),"!!!")</f>
        <v>!!!</v>
      </c>
      <c r="S468" s="67" t="str">
        <f>IFERROR(__xludf.DUMMYFUNCTION("""COMPUTED_VALUE"""),"!!!")</f>
        <v>!!!</v>
      </c>
      <c r="T46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69">
      <c r="A469" s="72"/>
      <c r="B469" s="60" t="s">
        <v>6754</v>
      </c>
      <c r="C469" s="67" t="str">
        <f>IFERROR(__xludf.DUMMYFUNCTION("""COMPUTED_VALUE"""),"LD237")</f>
        <v>LD237</v>
      </c>
      <c r="D469" s="55" t="s">
        <v>188</v>
      </c>
      <c r="E469" s="55" t="s">
        <v>193</v>
      </c>
      <c r="F469" s="54"/>
      <c r="G469" s="44" t="s">
        <v>61</v>
      </c>
      <c r="H469" s="54"/>
      <c r="I469" s="54"/>
      <c r="J469" s="54"/>
      <c r="K469" s="55" t="s">
        <v>61</v>
      </c>
      <c r="L469" s="54"/>
      <c r="M469" s="54"/>
      <c r="N469" s="54"/>
      <c r="O469" s="54"/>
      <c r="P469" s="54"/>
      <c r="Q469" s="67" t="str">
        <f>IFERROR(__xludf.DUMMYFUNCTION("""COMPUTED_VALUE"""),"!!!")</f>
        <v>!!!</v>
      </c>
      <c r="R469" s="67" t="str">
        <f>IFERROR(__xludf.DUMMYFUNCTION("""COMPUTED_VALUE"""),"!!!")</f>
        <v>!!!</v>
      </c>
      <c r="S469" s="67" t="str">
        <f>IFERROR(__xludf.DUMMYFUNCTION("""COMPUTED_VALUE"""),"!!!")</f>
        <v>!!!</v>
      </c>
      <c r="T46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70">
      <c r="A470" s="72"/>
      <c r="B470" s="60" t="s">
        <v>6754</v>
      </c>
      <c r="C470" s="67" t="str">
        <f>IFERROR(__xludf.DUMMYFUNCTION("""COMPUTED_VALUE"""),"LD237")</f>
        <v>LD237</v>
      </c>
      <c r="D470" s="55" t="s">
        <v>188</v>
      </c>
      <c r="E470" s="55" t="s">
        <v>193</v>
      </c>
      <c r="F470" s="54"/>
      <c r="G470" s="44" t="s">
        <v>61</v>
      </c>
      <c r="H470" s="54"/>
      <c r="I470" s="54"/>
      <c r="J470" s="54"/>
      <c r="K470" s="55" t="s">
        <v>61</v>
      </c>
      <c r="L470" s="54"/>
      <c r="M470" s="54"/>
      <c r="N470" s="54"/>
      <c r="O470" s="54"/>
      <c r="P470" s="54"/>
      <c r="Q470" s="67" t="str">
        <f>IFERROR(__xludf.DUMMYFUNCTION("""COMPUTED_VALUE"""),"!!!")</f>
        <v>!!!</v>
      </c>
      <c r="R470" s="67" t="str">
        <f>IFERROR(__xludf.DUMMYFUNCTION("""COMPUTED_VALUE"""),"!!!")</f>
        <v>!!!</v>
      </c>
      <c r="S470" s="67" t="str">
        <f>IFERROR(__xludf.DUMMYFUNCTION("""COMPUTED_VALUE"""),"!!!")</f>
        <v>!!!</v>
      </c>
      <c r="T47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71">
      <c r="A471" s="72"/>
      <c r="B471" s="60" t="s">
        <v>6754</v>
      </c>
      <c r="C471" s="67" t="str">
        <f>IFERROR(__xludf.DUMMYFUNCTION("""COMPUTED_VALUE"""),"LD237")</f>
        <v>LD237</v>
      </c>
      <c r="D471" s="55" t="s">
        <v>188</v>
      </c>
      <c r="E471" s="55" t="s">
        <v>193</v>
      </c>
      <c r="F471" s="54"/>
      <c r="G471" s="44" t="s">
        <v>61</v>
      </c>
      <c r="H471" s="54"/>
      <c r="I471" s="54"/>
      <c r="J471" s="54"/>
      <c r="K471" s="55" t="s">
        <v>61</v>
      </c>
      <c r="L471" s="54"/>
      <c r="M471" s="54"/>
      <c r="N471" s="54"/>
      <c r="O471" s="54"/>
      <c r="P471" s="54"/>
      <c r="Q471" s="67" t="str">
        <f>IFERROR(__xludf.DUMMYFUNCTION("""COMPUTED_VALUE"""),"!!!")</f>
        <v>!!!</v>
      </c>
      <c r="R471" s="67" t="str">
        <f>IFERROR(__xludf.DUMMYFUNCTION("""COMPUTED_VALUE"""),"!!!")</f>
        <v>!!!</v>
      </c>
      <c r="S471" s="67" t="str">
        <f>IFERROR(__xludf.DUMMYFUNCTION("""COMPUTED_VALUE"""),"!!!")</f>
        <v>!!!</v>
      </c>
      <c r="T47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72">
      <c r="A472" s="72"/>
      <c r="B472" s="60" t="s">
        <v>6754</v>
      </c>
      <c r="C472" s="67" t="str">
        <f>IFERROR(__xludf.DUMMYFUNCTION("""COMPUTED_VALUE"""),"LD237")</f>
        <v>LD237</v>
      </c>
      <c r="D472" s="55" t="s">
        <v>188</v>
      </c>
      <c r="E472" s="55" t="s">
        <v>193</v>
      </c>
      <c r="F472" s="54"/>
      <c r="G472" s="44" t="s">
        <v>61</v>
      </c>
      <c r="H472" s="54"/>
      <c r="I472" s="54"/>
      <c r="J472" s="54"/>
      <c r="K472" s="55" t="s">
        <v>61</v>
      </c>
      <c r="L472" s="54"/>
      <c r="M472" s="54"/>
      <c r="N472" s="54"/>
      <c r="O472" s="54"/>
      <c r="P472" s="54"/>
      <c r="Q472" s="67" t="str">
        <f>IFERROR(__xludf.DUMMYFUNCTION("""COMPUTED_VALUE"""),"!!!")</f>
        <v>!!!</v>
      </c>
      <c r="R472" s="67" t="str">
        <f>IFERROR(__xludf.DUMMYFUNCTION("""COMPUTED_VALUE"""),"!!!")</f>
        <v>!!!</v>
      </c>
      <c r="S472" s="67" t="str">
        <f>IFERROR(__xludf.DUMMYFUNCTION("""COMPUTED_VALUE"""),"!!!")</f>
        <v>!!!</v>
      </c>
      <c r="T47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73">
      <c r="A473" s="72"/>
      <c r="B473" s="60" t="s">
        <v>6754</v>
      </c>
      <c r="C473" s="67" t="str">
        <f>IFERROR(__xludf.DUMMYFUNCTION("""COMPUTED_VALUE"""),"LD237")</f>
        <v>LD237</v>
      </c>
      <c r="D473" s="55" t="s">
        <v>188</v>
      </c>
      <c r="E473" s="55" t="s">
        <v>193</v>
      </c>
      <c r="F473" s="54"/>
      <c r="G473" s="44" t="s">
        <v>61</v>
      </c>
      <c r="H473" s="54"/>
      <c r="I473" s="54"/>
      <c r="J473" s="54"/>
      <c r="K473" s="55" t="s">
        <v>61</v>
      </c>
      <c r="L473" s="54"/>
      <c r="M473" s="54"/>
      <c r="N473" s="54"/>
      <c r="O473" s="54"/>
      <c r="P473" s="54"/>
      <c r="Q473" s="67" t="str">
        <f>IFERROR(__xludf.DUMMYFUNCTION("""COMPUTED_VALUE"""),"!!!")</f>
        <v>!!!</v>
      </c>
      <c r="R473" s="67" t="str">
        <f>IFERROR(__xludf.DUMMYFUNCTION("""COMPUTED_VALUE"""),"!!!")</f>
        <v>!!!</v>
      </c>
      <c r="S473" s="67" t="str">
        <f>IFERROR(__xludf.DUMMYFUNCTION("""COMPUTED_VALUE"""),"!!!")</f>
        <v>!!!</v>
      </c>
      <c r="T47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74">
      <c r="A474" s="72"/>
      <c r="B474" s="60" t="s">
        <v>6754</v>
      </c>
      <c r="C474" s="67" t="str">
        <f>IFERROR(__xludf.DUMMYFUNCTION("""COMPUTED_VALUE"""),"LD237")</f>
        <v>LD237</v>
      </c>
      <c r="D474" s="55" t="s">
        <v>188</v>
      </c>
      <c r="E474" s="55" t="s">
        <v>193</v>
      </c>
      <c r="F474" s="54"/>
      <c r="G474" s="44" t="s">
        <v>61</v>
      </c>
      <c r="H474" s="54"/>
      <c r="I474" s="54"/>
      <c r="J474" s="54"/>
      <c r="K474" s="55" t="s">
        <v>61</v>
      </c>
      <c r="L474" s="54"/>
      <c r="M474" s="54"/>
      <c r="N474" s="54"/>
      <c r="O474" s="54"/>
      <c r="P474" s="54"/>
      <c r="Q474" s="67" t="str">
        <f>IFERROR(__xludf.DUMMYFUNCTION("""COMPUTED_VALUE"""),"!!!")</f>
        <v>!!!</v>
      </c>
      <c r="R474" s="67" t="str">
        <f>IFERROR(__xludf.DUMMYFUNCTION("""COMPUTED_VALUE"""),"!!!")</f>
        <v>!!!</v>
      </c>
      <c r="S474" s="67" t="str">
        <f>IFERROR(__xludf.DUMMYFUNCTION("""COMPUTED_VALUE"""),"!!!")</f>
        <v>!!!</v>
      </c>
      <c r="T47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75">
      <c r="A475" s="72"/>
      <c r="B475" s="60" t="s">
        <v>6754</v>
      </c>
      <c r="C475" s="67" t="str">
        <f>IFERROR(__xludf.DUMMYFUNCTION("""COMPUTED_VALUE"""),"LD237")</f>
        <v>LD237</v>
      </c>
      <c r="D475" s="55" t="s">
        <v>188</v>
      </c>
      <c r="E475" s="55" t="s">
        <v>193</v>
      </c>
      <c r="F475" s="54"/>
      <c r="G475" s="44" t="s">
        <v>61</v>
      </c>
      <c r="H475" s="54"/>
      <c r="I475" s="54"/>
      <c r="J475" s="54"/>
      <c r="K475" s="55" t="s">
        <v>61</v>
      </c>
      <c r="L475" s="54"/>
      <c r="M475" s="54"/>
      <c r="N475" s="54"/>
      <c r="O475" s="54"/>
      <c r="P475" s="54"/>
      <c r="Q475" s="67" t="str">
        <f>IFERROR(__xludf.DUMMYFUNCTION("""COMPUTED_VALUE"""),"!!!")</f>
        <v>!!!</v>
      </c>
      <c r="R475" s="67" t="str">
        <f>IFERROR(__xludf.DUMMYFUNCTION("""COMPUTED_VALUE"""),"!!!")</f>
        <v>!!!</v>
      </c>
      <c r="S475" s="67" t="str">
        <f>IFERROR(__xludf.DUMMYFUNCTION("""COMPUTED_VALUE"""),"!!!")</f>
        <v>!!!</v>
      </c>
      <c r="T47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76">
      <c r="A476" s="72"/>
      <c r="B476" s="60" t="s">
        <v>6754</v>
      </c>
      <c r="C476" s="67" t="str">
        <f>IFERROR(__xludf.DUMMYFUNCTION("""COMPUTED_VALUE"""),"LD237")</f>
        <v>LD237</v>
      </c>
      <c r="D476" s="55" t="s">
        <v>188</v>
      </c>
      <c r="E476" s="55" t="s">
        <v>193</v>
      </c>
      <c r="F476" s="54"/>
      <c r="G476" s="44" t="s">
        <v>61</v>
      </c>
      <c r="H476" s="54"/>
      <c r="I476" s="54"/>
      <c r="J476" s="54"/>
      <c r="K476" s="55" t="s">
        <v>61</v>
      </c>
      <c r="L476" s="54"/>
      <c r="M476" s="54"/>
      <c r="N476" s="54"/>
      <c r="O476" s="54"/>
      <c r="P476" s="54"/>
      <c r="Q476" s="67" t="str">
        <f>IFERROR(__xludf.DUMMYFUNCTION("""COMPUTED_VALUE"""),"!!!")</f>
        <v>!!!</v>
      </c>
      <c r="R476" s="67" t="str">
        <f>IFERROR(__xludf.DUMMYFUNCTION("""COMPUTED_VALUE"""),"!!!")</f>
        <v>!!!</v>
      </c>
      <c r="S476" s="67" t="str">
        <f>IFERROR(__xludf.DUMMYFUNCTION("""COMPUTED_VALUE"""),"!!!")</f>
        <v>!!!</v>
      </c>
      <c r="T47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77">
      <c r="A477" s="72"/>
      <c r="B477" s="60" t="s">
        <v>6754</v>
      </c>
      <c r="C477" s="67" t="str">
        <f>IFERROR(__xludf.DUMMYFUNCTION("""COMPUTED_VALUE"""),"LD237")</f>
        <v>LD237</v>
      </c>
      <c r="D477" s="55" t="s">
        <v>188</v>
      </c>
      <c r="E477" s="55" t="s">
        <v>193</v>
      </c>
      <c r="F477" s="54"/>
      <c r="G477" s="44" t="s">
        <v>61</v>
      </c>
      <c r="H477" s="54"/>
      <c r="I477" s="54"/>
      <c r="J477" s="54"/>
      <c r="K477" s="55" t="s">
        <v>61</v>
      </c>
      <c r="L477" s="54"/>
      <c r="M477" s="54"/>
      <c r="N477" s="54"/>
      <c r="O477" s="54"/>
      <c r="P477" s="54"/>
      <c r="Q477" s="67" t="str">
        <f>IFERROR(__xludf.DUMMYFUNCTION("""COMPUTED_VALUE"""),"!!!")</f>
        <v>!!!</v>
      </c>
      <c r="R477" s="67" t="str">
        <f>IFERROR(__xludf.DUMMYFUNCTION("""COMPUTED_VALUE"""),"!!!")</f>
        <v>!!!</v>
      </c>
      <c r="S477" s="67" t="str">
        <f>IFERROR(__xludf.DUMMYFUNCTION("""COMPUTED_VALUE"""),"!!!")</f>
        <v>!!!</v>
      </c>
      <c r="T47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78">
      <c r="A478" s="72"/>
      <c r="B478" s="60" t="s">
        <v>6754</v>
      </c>
      <c r="C478" s="67" t="str">
        <f>IFERROR(__xludf.DUMMYFUNCTION("""COMPUTED_VALUE"""),"LD237")</f>
        <v>LD237</v>
      </c>
      <c r="D478" s="55" t="s">
        <v>188</v>
      </c>
      <c r="E478" s="55" t="s">
        <v>193</v>
      </c>
      <c r="F478" s="54"/>
      <c r="G478" s="44" t="s">
        <v>61</v>
      </c>
      <c r="H478" s="54"/>
      <c r="I478" s="54"/>
      <c r="J478" s="54"/>
      <c r="K478" s="55" t="s">
        <v>61</v>
      </c>
      <c r="L478" s="54"/>
      <c r="M478" s="54"/>
      <c r="N478" s="54"/>
      <c r="O478" s="54"/>
      <c r="P478" s="54"/>
      <c r="Q478" s="67" t="str">
        <f>IFERROR(__xludf.DUMMYFUNCTION("""COMPUTED_VALUE"""),"!!!")</f>
        <v>!!!</v>
      </c>
      <c r="R478" s="67" t="str">
        <f>IFERROR(__xludf.DUMMYFUNCTION("""COMPUTED_VALUE"""),"!!!")</f>
        <v>!!!</v>
      </c>
      <c r="S478" s="67" t="str">
        <f>IFERROR(__xludf.DUMMYFUNCTION("""COMPUTED_VALUE"""),"!!!")</f>
        <v>!!!</v>
      </c>
      <c r="T47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79">
      <c r="A479" s="72"/>
      <c r="B479" s="60" t="s">
        <v>6754</v>
      </c>
      <c r="C479" s="67" t="str">
        <f>IFERROR(__xludf.DUMMYFUNCTION("""COMPUTED_VALUE"""),"LD237")</f>
        <v>LD237</v>
      </c>
      <c r="D479" s="55" t="s">
        <v>188</v>
      </c>
      <c r="E479" s="55" t="s">
        <v>193</v>
      </c>
      <c r="F479" s="54"/>
      <c r="G479" s="44" t="s">
        <v>61</v>
      </c>
      <c r="H479" s="54"/>
      <c r="I479" s="54"/>
      <c r="J479" s="54"/>
      <c r="K479" s="55" t="s">
        <v>61</v>
      </c>
      <c r="L479" s="54"/>
      <c r="M479" s="54"/>
      <c r="N479" s="54"/>
      <c r="O479" s="54"/>
      <c r="P479" s="54"/>
      <c r="Q479" s="67" t="str">
        <f>IFERROR(__xludf.DUMMYFUNCTION("""COMPUTED_VALUE"""),"!!!")</f>
        <v>!!!</v>
      </c>
      <c r="R479" s="67" t="str">
        <f>IFERROR(__xludf.DUMMYFUNCTION("""COMPUTED_VALUE"""),"!!!")</f>
        <v>!!!</v>
      </c>
      <c r="S479" s="67" t="str">
        <f>IFERROR(__xludf.DUMMYFUNCTION("""COMPUTED_VALUE"""),"!!!")</f>
        <v>!!!</v>
      </c>
      <c r="T47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80">
      <c r="A480" s="72"/>
      <c r="B480" s="60" t="s">
        <v>6754</v>
      </c>
      <c r="C480" s="67" t="str">
        <f>IFERROR(__xludf.DUMMYFUNCTION("""COMPUTED_VALUE"""),"LD237")</f>
        <v>LD237</v>
      </c>
      <c r="D480" s="55" t="s">
        <v>188</v>
      </c>
      <c r="E480" s="55" t="s">
        <v>193</v>
      </c>
      <c r="F480" s="54"/>
      <c r="G480" s="44" t="s">
        <v>61</v>
      </c>
      <c r="H480" s="54"/>
      <c r="I480" s="54"/>
      <c r="J480" s="54"/>
      <c r="K480" s="55" t="s">
        <v>61</v>
      </c>
      <c r="L480" s="54"/>
      <c r="M480" s="54"/>
      <c r="N480" s="54"/>
      <c r="O480" s="54"/>
      <c r="P480" s="54"/>
      <c r="Q480" s="67" t="str">
        <f>IFERROR(__xludf.DUMMYFUNCTION("""COMPUTED_VALUE"""),"!!!")</f>
        <v>!!!</v>
      </c>
      <c r="R480" s="67" t="str">
        <f>IFERROR(__xludf.DUMMYFUNCTION("""COMPUTED_VALUE"""),"!!!")</f>
        <v>!!!</v>
      </c>
      <c r="S480" s="67" t="str">
        <f>IFERROR(__xludf.DUMMYFUNCTION("""COMPUTED_VALUE"""),"!!!")</f>
        <v>!!!</v>
      </c>
      <c r="T48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81">
      <c r="A481" s="72"/>
      <c r="B481" s="60" t="s">
        <v>6754</v>
      </c>
      <c r="C481" s="67" t="str">
        <f>IFERROR(__xludf.DUMMYFUNCTION("""COMPUTED_VALUE"""),"LD237")</f>
        <v>LD237</v>
      </c>
      <c r="D481" s="55" t="s">
        <v>188</v>
      </c>
      <c r="E481" s="55" t="s">
        <v>193</v>
      </c>
      <c r="F481" s="54"/>
      <c r="G481" s="44" t="s">
        <v>61</v>
      </c>
      <c r="H481" s="54"/>
      <c r="I481" s="54"/>
      <c r="J481" s="54"/>
      <c r="K481" s="55" t="s">
        <v>61</v>
      </c>
      <c r="L481" s="54"/>
      <c r="M481" s="54"/>
      <c r="N481" s="54"/>
      <c r="O481" s="54"/>
      <c r="P481" s="54"/>
      <c r="Q481" s="67" t="str">
        <f>IFERROR(__xludf.DUMMYFUNCTION("""COMPUTED_VALUE"""),"!!!")</f>
        <v>!!!</v>
      </c>
      <c r="R481" s="67" t="str">
        <f>IFERROR(__xludf.DUMMYFUNCTION("""COMPUTED_VALUE"""),"!!!")</f>
        <v>!!!</v>
      </c>
      <c r="S481" s="67" t="str">
        <f>IFERROR(__xludf.DUMMYFUNCTION("""COMPUTED_VALUE"""),"!!!")</f>
        <v>!!!</v>
      </c>
      <c r="T48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82">
      <c r="A482" s="72"/>
      <c r="B482" s="60" t="s">
        <v>6754</v>
      </c>
      <c r="C482" s="67" t="str">
        <f>IFERROR(__xludf.DUMMYFUNCTION("""COMPUTED_VALUE"""),"LD237")</f>
        <v>LD237</v>
      </c>
      <c r="D482" s="55" t="s">
        <v>188</v>
      </c>
      <c r="E482" s="55" t="s">
        <v>193</v>
      </c>
      <c r="F482" s="54"/>
      <c r="G482" s="44" t="s">
        <v>61</v>
      </c>
      <c r="H482" s="54"/>
      <c r="I482" s="54"/>
      <c r="J482" s="54"/>
      <c r="K482" s="55" t="s">
        <v>61</v>
      </c>
      <c r="L482" s="54"/>
      <c r="M482" s="54"/>
      <c r="N482" s="54"/>
      <c r="O482" s="54"/>
      <c r="P482" s="54"/>
      <c r="Q482" s="67" t="str">
        <f>IFERROR(__xludf.DUMMYFUNCTION("""COMPUTED_VALUE"""),"!!!")</f>
        <v>!!!</v>
      </c>
      <c r="R482" s="67" t="str">
        <f>IFERROR(__xludf.DUMMYFUNCTION("""COMPUTED_VALUE"""),"!!!")</f>
        <v>!!!</v>
      </c>
      <c r="S482" s="67" t="str">
        <f>IFERROR(__xludf.DUMMYFUNCTION("""COMPUTED_VALUE"""),"!!!")</f>
        <v>!!!</v>
      </c>
      <c r="T48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83">
      <c r="A483" s="72"/>
      <c r="B483" s="60" t="s">
        <v>6754</v>
      </c>
      <c r="C483" s="67" t="str">
        <f>IFERROR(__xludf.DUMMYFUNCTION("""COMPUTED_VALUE"""),"LD237")</f>
        <v>LD237</v>
      </c>
      <c r="D483" s="55" t="s">
        <v>188</v>
      </c>
      <c r="E483" s="55" t="s">
        <v>193</v>
      </c>
      <c r="F483" s="54"/>
      <c r="G483" s="44" t="s">
        <v>61</v>
      </c>
      <c r="H483" s="54"/>
      <c r="I483" s="54"/>
      <c r="J483" s="54"/>
      <c r="K483" s="55" t="s">
        <v>61</v>
      </c>
      <c r="L483" s="54"/>
      <c r="M483" s="54"/>
      <c r="N483" s="54"/>
      <c r="O483" s="54"/>
      <c r="P483" s="54"/>
      <c r="Q483" s="67" t="str">
        <f>IFERROR(__xludf.DUMMYFUNCTION("""COMPUTED_VALUE"""),"!!!")</f>
        <v>!!!</v>
      </c>
      <c r="R483" s="67" t="str">
        <f>IFERROR(__xludf.DUMMYFUNCTION("""COMPUTED_VALUE"""),"!!!")</f>
        <v>!!!</v>
      </c>
      <c r="S483" s="67" t="str">
        <f>IFERROR(__xludf.DUMMYFUNCTION("""COMPUTED_VALUE"""),"!!!")</f>
        <v>!!!</v>
      </c>
      <c r="T48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84">
      <c r="A484" s="72"/>
      <c r="B484" s="60" t="s">
        <v>6754</v>
      </c>
      <c r="C484" s="67" t="str">
        <f>IFERROR(__xludf.DUMMYFUNCTION("""COMPUTED_VALUE"""),"LD237")</f>
        <v>LD237</v>
      </c>
      <c r="D484" s="55" t="s">
        <v>188</v>
      </c>
      <c r="E484" s="55" t="s">
        <v>193</v>
      </c>
      <c r="F484" s="54"/>
      <c r="G484" s="44" t="s">
        <v>61</v>
      </c>
      <c r="H484" s="54"/>
      <c r="I484" s="54"/>
      <c r="J484" s="54"/>
      <c r="K484" s="55" t="s">
        <v>61</v>
      </c>
      <c r="L484" s="54"/>
      <c r="M484" s="54"/>
      <c r="N484" s="54"/>
      <c r="O484" s="54"/>
      <c r="P484" s="54"/>
      <c r="Q484" s="67" t="str">
        <f>IFERROR(__xludf.DUMMYFUNCTION("""COMPUTED_VALUE"""),"!!!")</f>
        <v>!!!</v>
      </c>
      <c r="R484" s="67" t="str">
        <f>IFERROR(__xludf.DUMMYFUNCTION("""COMPUTED_VALUE"""),"!!!")</f>
        <v>!!!</v>
      </c>
      <c r="S484" s="67" t="str">
        <f>IFERROR(__xludf.DUMMYFUNCTION("""COMPUTED_VALUE"""),"!!!")</f>
        <v>!!!</v>
      </c>
      <c r="T48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85">
      <c r="A485" s="72"/>
      <c r="B485" s="60" t="s">
        <v>6754</v>
      </c>
      <c r="C485" s="67" t="str">
        <f>IFERROR(__xludf.DUMMYFUNCTION("""COMPUTED_VALUE"""),"LD237")</f>
        <v>LD237</v>
      </c>
      <c r="D485" s="55" t="s">
        <v>188</v>
      </c>
      <c r="E485" s="55" t="s">
        <v>193</v>
      </c>
      <c r="F485" s="54"/>
      <c r="G485" s="44" t="s">
        <v>61</v>
      </c>
      <c r="H485" s="54"/>
      <c r="I485" s="54"/>
      <c r="J485" s="54"/>
      <c r="K485" s="55" t="s">
        <v>61</v>
      </c>
      <c r="L485" s="54"/>
      <c r="M485" s="54"/>
      <c r="N485" s="54"/>
      <c r="O485" s="54"/>
      <c r="P485" s="54"/>
      <c r="Q485" s="67" t="str">
        <f>IFERROR(__xludf.DUMMYFUNCTION("""COMPUTED_VALUE"""),"!!!")</f>
        <v>!!!</v>
      </c>
      <c r="R485" s="67" t="str">
        <f>IFERROR(__xludf.DUMMYFUNCTION("""COMPUTED_VALUE"""),"!!!")</f>
        <v>!!!</v>
      </c>
      <c r="S485" s="67" t="str">
        <f>IFERROR(__xludf.DUMMYFUNCTION("""COMPUTED_VALUE"""),"!!!")</f>
        <v>!!!</v>
      </c>
      <c r="T48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86">
      <c r="A486" s="72"/>
      <c r="B486" s="60" t="s">
        <v>6754</v>
      </c>
      <c r="C486" s="67" t="str">
        <f>IFERROR(__xludf.DUMMYFUNCTION("""COMPUTED_VALUE"""),"LD237")</f>
        <v>LD237</v>
      </c>
      <c r="D486" s="55" t="s">
        <v>188</v>
      </c>
      <c r="E486" s="55" t="s">
        <v>193</v>
      </c>
      <c r="F486" s="54"/>
      <c r="G486" s="44" t="s">
        <v>61</v>
      </c>
      <c r="H486" s="54"/>
      <c r="I486" s="54"/>
      <c r="J486" s="54"/>
      <c r="K486" s="55" t="s">
        <v>61</v>
      </c>
      <c r="L486" s="54"/>
      <c r="M486" s="54"/>
      <c r="N486" s="54"/>
      <c r="O486" s="54"/>
      <c r="P486" s="54"/>
      <c r="Q486" s="67" t="str">
        <f>IFERROR(__xludf.DUMMYFUNCTION("""COMPUTED_VALUE"""),"!!!")</f>
        <v>!!!</v>
      </c>
      <c r="R486" s="67" t="str">
        <f>IFERROR(__xludf.DUMMYFUNCTION("""COMPUTED_VALUE"""),"!!!")</f>
        <v>!!!</v>
      </c>
      <c r="S486" s="67" t="str">
        <f>IFERROR(__xludf.DUMMYFUNCTION("""COMPUTED_VALUE"""),"!!!")</f>
        <v>!!!</v>
      </c>
      <c r="T48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87">
      <c r="A487" s="72"/>
      <c r="B487" s="60" t="s">
        <v>6754</v>
      </c>
      <c r="C487" s="67" t="str">
        <f>IFERROR(__xludf.DUMMYFUNCTION("""COMPUTED_VALUE"""),"LD237")</f>
        <v>LD237</v>
      </c>
      <c r="D487" s="55" t="s">
        <v>188</v>
      </c>
      <c r="E487" s="55" t="s">
        <v>193</v>
      </c>
      <c r="F487" s="54"/>
      <c r="G487" s="44" t="s">
        <v>61</v>
      </c>
      <c r="H487" s="54"/>
      <c r="I487" s="54"/>
      <c r="J487" s="54"/>
      <c r="K487" s="55" t="s">
        <v>61</v>
      </c>
      <c r="L487" s="54"/>
      <c r="M487" s="54"/>
      <c r="N487" s="54"/>
      <c r="O487" s="54"/>
      <c r="P487" s="54"/>
      <c r="Q487" s="67" t="str">
        <f>IFERROR(__xludf.DUMMYFUNCTION("""COMPUTED_VALUE"""),"!!!")</f>
        <v>!!!</v>
      </c>
      <c r="R487" s="67" t="str">
        <f>IFERROR(__xludf.DUMMYFUNCTION("""COMPUTED_VALUE"""),"!!!")</f>
        <v>!!!</v>
      </c>
      <c r="S487" s="67" t="str">
        <f>IFERROR(__xludf.DUMMYFUNCTION("""COMPUTED_VALUE"""),"!!!")</f>
        <v>!!!</v>
      </c>
      <c r="T48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88">
      <c r="A488" s="72"/>
      <c r="B488" s="60" t="s">
        <v>6754</v>
      </c>
      <c r="C488" s="67" t="str">
        <f>IFERROR(__xludf.DUMMYFUNCTION("""COMPUTED_VALUE"""),"LD237")</f>
        <v>LD237</v>
      </c>
      <c r="D488" s="55" t="s">
        <v>188</v>
      </c>
      <c r="E488" s="55" t="s">
        <v>193</v>
      </c>
      <c r="F488" s="54"/>
      <c r="G488" s="44" t="s">
        <v>61</v>
      </c>
      <c r="H488" s="54"/>
      <c r="I488" s="54"/>
      <c r="J488" s="54"/>
      <c r="K488" s="55" t="s">
        <v>61</v>
      </c>
      <c r="L488" s="54"/>
      <c r="M488" s="54"/>
      <c r="N488" s="54"/>
      <c r="O488" s="54"/>
      <c r="P488" s="54"/>
      <c r="Q488" s="67" t="str">
        <f>IFERROR(__xludf.DUMMYFUNCTION("""COMPUTED_VALUE"""),"!!!")</f>
        <v>!!!</v>
      </c>
      <c r="R488" s="67" t="str">
        <f>IFERROR(__xludf.DUMMYFUNCTION("""COMPUTED_VALUE"""),"!!!")</f>
        <v>!!!</v>
      </c>
      <c r="S488" s="67" t="str">
        <f>IFERROR(__xludf.DUMMYFUNCTION("""COMPUTED_VALUE"""),"!!!")</f>
        <v>!!!</v>
      </c>
      <c r="T48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89">
      <c r="A489" s="72"/>
      <c r="B489" s="60" t="s">
        <v>6754</v>
      </c>
      <c r="C489" s="67" t="str">
        <f>IFERROR(__xludf.DUMMYFUNCTION("""COMPUTED_VALUE"""),"LD237")</f>
        <v>LD237</v>
      </c>
      <c r="D489" s="55" t="s">
        <v>188</v>
      </c>
      <c r="E489" s="55" t="s">
        <v>193</v>
      </c>
      <c r="F489" s="54"/>
      <c r="G489" s="44" t="s">
        <v>61</v>
      </c>
      <c r="H489" s="54"/>
      <c r="I489" s="54"/>
      <c r="J489" s="54"/>
      <c r="K489" s="55" t="s">
        <v>61</v>
      </c>
      <c r="L489" s="54"/>
      <c r="M489" s="54"/>
      <c r="N489" s="54"/>
      <c r="O489" s="54"/>
      <c r="P489" s="54"/>
      <c r="Q489" s="67" t="str">
        <f>IFERROR(__xludf.DUMMYFUNCTION("""COMPUTED_VALUE"""),"!!!")</f>
        <v>!!!</v>
      </c>
      <c r="R489" s="67" t="str">
        <f>IFERROR(__xludf.DUMMYFUNCTION("""COMPUTED_VALUE"""),"!!!")</f>
        <v>!!!</v>
      </c>
      <c r="S489" s="67" t="str">
        <f>IFERROR(__xludf.DUMMYFUNCTION("""COMPUTED_VALUE"""),"!!!")</f>
        <v>!!!</v>
      </c>
      <c r="T48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90">
      <c r="A490" s="72"/>
      <c r="B490" s="60" t="s">
        <v>6754</v>
      </c>
      <c r="C490" s="67" t="str">
        <f>IFERROR(__xludf.DUMMYFUNCTION("""COMPUTED_VALUE"""),"LD237")</f>
        <v>LD237</v>
      </c>
      <c r="D490" s="55" t="s">
        <v>188</v>
      </c>
      <c r="E490" s="55" t="s">
        <v>193</v>
      </c>
      <c r="F490" s="54"/>
      <c r="G490" s="44" t="s">
        <v>61</v>
      </c>
      <c r="H490" s="54"/>
      <c r="I490" s="54"/>
      <c r="J490" s="54"/>
      <c r="K490" s="55" t="s">
        <v>61</v>
      </c>
      <c r="L490" s="54"/>
      <c r="M490" s="54"/>
      <c r="N490" s="54"/>
      <c r="O490" s="54"/>
      <c r="P490" s="54"/>
      <c r="Q490" s="67" t="str">
        <f>IFERROR(__xludf.DUMMYFUNCTION("""COMPUTED_VALUE"""),"!!!")</f>
        <v>!!!</v>
      </c>
      <c r="R490" s="67" t="str">
        <f>IFERROR(__xludf.DUMMYFUNCTION("""COMPUTED_VALUE"""),"!!!")</f>
        <v>!!!</v>
      </c>
      <c r="S490" s="67" t="str">
        <f>IFERROR(__xludf.DUMMYFUNCTION("""COMPUTED_VALUE"""),"!!!")</f>
        <v>!!!</v>
      </c>
      <c r="T49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91">
      <c r="A491" s="72"/>
      <c r="B491" s="60" t="s">
        <v>6754</v>
      </c>
      <c r="C491" s="67" t="str">
        <f>IFERROR(__xludf.DUMMYFUNCTION("""COMPUTED_VALUE"""),"LD237")</f>
        <v>LD237</v>
      </c>
      <c r="D491" s="55" t="s">
        <v>188</v>
      </c>
      <c r="E491" s="55" t="s">
        <v>193</v>
      </c>
      <c r="F491" s="54"/>
      <c r="G491" s="44" t="s">
        <v>61</v>
      </c>
      <c r="H491" s="54"/>
      <c r="I491" s="54"/>
      <c r="J491" s="54"/>
      <c r="K491" s="55" t="s">
        <v>61</v>
      </c>
      <c r="L491" s="54"/>
      <c r="M491" s="54"/>
      <c r="N491" s="54"/>
      <c r="O491" s="54"/>
      <c r="P491" s="54"/>
      <c r="Q491" s="67" t="str">
        <f>IFERROR(__xludf.DUMMYFUNCTION("""COMPUTED_VALUE"""),"!!!")</f>
        <v>!!!</v>
      </c>
      <c r="R491" s="67" t="str">
        <f>IFERROR(__xludf.DUMMYFUNCTION("""COMPUTED_VALUE"""),"!!!")</f>
        <v>!!!</v>
      </c>
      <c r="S491" s="67" t="str">
        <f>IFERROR(__xludf.DUMMYFUNCTION("""COMPUTED_VALUE"""),"!!!")</f>
        <v>!!!</v>
      </c>
      <c r="T49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92">
      <c r="A492" s="72"/>
      <c r="B492" s="60" t="s">
        <v>6754</v>
      </c>
      <c r="C492" s="67" t="str">
        <f>IFERROR(__xludf.DUMMYFUNCTION("""COMPUTED_VALUE"""),"LD237")</f>
        <v>LD237</v>
      </c>
      <c r="D492" s="55" t="s">
        <v>188</v>
      </c>
      <c r="E492" s="55" t="s">
        <v>193</v>
      </c>
      <c r="F492" s="54"/>
      <c r="G492" s="44" t="s">
        <v>61</v>
      </c>
      <c r="H492" s="54"/>
      <c r="I492" s="54"/>
      <c r="J492" s="54"/>
      <c r="K492" s="55" t="s">
        <v>61</v>
      </c>
      <c r="L492" s="54"/>
      <c r="M492" s="54"/>
      <c r="N492" s="54"/>
      <c r="O492" s="54"/>
      <c r="P492" s="54"/>
      <c r="Q492" s="67" t="str">
        <f>IFERROR(__xludf.DUMMYFUNCTION("""COMPUTED_VALUE"""),"!!!")</f>
        <v>!!!</v>
      </c>
      <c r="R492" s="67" t="str">
        <f>IFERROR(__xludf.DUMMYFUNCTION("""COMPUTED_VALUE"""),"!!!")</f>
        <v>!!!</v>
      </c>
      <c r="S492" s="67" t="str">
        <f>IFERROR(__xludf.DUMMYFUNCTION("""COMPUTED_VALUE"""),"!!!")</f>
        <v>!!!</v>
      </c>
      <c r="T49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93">
      <c r="A493" s="72"/>
      <c r="B493" s="60" t="s">
        <v>6754</v>
      </c>
      <c r="C493" s="67" t="str">
        <f>IFERROR(__xludf.DUMMYFUNCTION("""COMPUTED_VALUE"""),"LD237")</f>
        <v>LD237</v>
      </c>
      <c r="D493" s="55" t="s">
        <v>188</v>
      </c>
      <c r="E493" s="55" t="s">
        <v>193</v>
      </c>
      <c r="F493" s="54"/>
      <c r="G493" s="44" t="s">
        <v>61</v>
      </c>
      <c r="H493" s="54"/>
      <c r="I493" s="54"/>
      <c r="J493" s="54"/>
      <c r="K493" s="55" t="s">
        <v>61</v>
      </c>
      <c r="L493" s="54"/>
      <c r="M493" s="54"/>
      <c r="N493" s="54"/>
      <c r="O493" s="54"/>
      <c r="P493" s="54"/>
      <c r="Q493" s="67" t="str">
        <f>IFERROR(__xludf.DUMMYFUNCTION("""COMPUTED_VALUE"""),"!!!")</f>
        <v>!!!</v>
      </c>
      <c r="R493" s="67" t="str">
        <f>IFERROR(__xludf.DUMMYFUNCTION("""COMPUTED_VALUE"""),"!!!")</f>
        <v>!!!</v>
      </c>
      <c r="S493" s="67" t="str">
        <f>IFERROR(__xludf.DUMMYFUNCTION("""COMPUTED_VALUE"""),"!!!")</f>
        <v>!!!</v>
      </c>
      <c r="T49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94">
      <c r="A494" s="72"/>
      <c r="B494" s="60" t="s">
        <v>6754</v>
      </c>
      <c r="C494" s="67" t="str">
        <f>IFERROR(__xludf.DUMMYFUNCTION("""COMPUTED_VALUE"""),"LD237")</f>
        <v>LD237</v>
      </c>
      <c r="D494" s="55" t="s">
        <v>188</v>
      </c>
      <c r="E494" s="55" t="s">
        <v>193</v>
      </c>
      <c r="F494" s="54"/>
      <c r="G494" s="44" t="s">
        <v>61</v>
      </c>
      <c r="H494" s="54"/>
      <c r="I494" s="54"/>
      <c r="J494" s="54"/>
      <c r="K494" s="55" t="s">
        <v>61</v>
      </c>
      <c r="L494" s="54"/>
      <c r="M494" s="54"/>
      <c r="N494" s="54"/>
      <c r="O494" s="54"/>
      <c r="P494" s="54"/>
      <c r="Q494" s="67" t="str">
        <f>IFERROR(__xludf.DUMMYFUNCTION("""COMPUTED_VALUE"""),"!!!")</f>
        <v>!!!</v>
      </c>
      <c r="R494" s="67" t="str">
        <f>IFERROR(__xludf.DUMMYFUNCTION("""COMPUTED_VALUE"""),"!!!")</f>
        <v>!!!</v>
      </c>
      <c r="S494" s="67" t="str">
        <f>IFERROR(__xludf.DUMMYFUNCTION("""COMPUTED_VALUE"""),"!!!")</f>
        <v>!!!</v>
      </c>
      <c r="T49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95">
      <c r="A495" s="72"/>
      <c r="B495" s="60" t="s">
        <v>6754</v>
      </c>
      <c r="C495" s="67" t="str">
        <f>IFERROR(__xludf.DUMMYFUNCTION("""COMPUTED_VALUE"""),"LD237")</f>
        <v>LD237</v>
      </c>
      <c r="D495" s="55" t="s">
        <v>188</v>
      </c>
      <c r="E495" s="55" t="s">
        <v>193</v>
      </c>
      <c r="F495" s="54"/>
      <c r="G495" s="44" t="s">
        <v>61</v>
      </c>
      <c r="H495" s="54"/>
      <c r="I495" s="54"/>
      <c r="J495" s="54"/>
      <c r="K495" s="55" t="s">
        <v>61</v>
      </c>
      <c r="L495" s="54"/>
      <c r="M495" s="54"/>
      <c r="N495" s="54"/>
      <c r="O495" s="54"/>
      <c r="P495" s="54"/>
      <c r="Q495" s="67" t="str">
        <f>IFERROR(__xludf.DUMMYFUNCTION("""COMPUTED_VALUE"""),"!!!")</f>
        <v>!!!</v>
      </c>
      <c r="R495" s="67" t="str">
        <f>IFERROR(__xludf.DUMMYFUNCTION("""COMPUTED_VALUE"""),"!!!")</f>
        <v>!!!</v>
      </c>
      <c r="S495" s="67" t="str">
        <f>IFERROR(__xludf.DUMMYFUNCTION("""COMPUTED_VALUE"""),"!!!")</f>
        <v>!!!</v>
      </c>
      <c r="T49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96">
      <c r="A496" s="72"/>
      <c r="B496" s="60" t="s">
        <v>6754</v>
      </c>
      <c r="C496" s="67" t="str">
        <f>IFERROR(__xludf.DUMMYFUNCTION("""COMPUTED_VALUE"""),"LD237")</f>
        <v>LD237</v>
      </c>
      <c r="D496" s="55" t="s">
        <v>188</v>
      </c>
      <c r="E496" s="55" t="s">
        <v>193</v>
      </c>
      <c r="F496" s="54"/>
      <c r="G496" s="44" t="s">
        <v>61</v>
      </c>
      <c r="H496" s="54"/>
      <c r="I496" s="54"/>
      <c r="J496" s="54"/>
      <c r="K496" s="55" t="s">
        <v>61</v>
      </c>
      <c r="L496" s="54"/>
      <c r="M496" s="54"/>
      <c r="N496" s="54"/>
      <c r="O496" s="54"/>
      <c r="P496" s="54"/>
      <c r="Q496" s="67" t="str">
        <f>IFERROR(__xludf.DUMMYFUNCTION("""COMPUTED_VALUE"""),"!!!")</f>
        <v>!!!</v>
      </c>
      <c r="R496" s="67" t="str">
        <f>IFERROR(__xludf.DUMMYFUNCTION("""COMPUTED_VALUE"""),"!!!")</f>
        <v>!!!</v>
      </c>
      <c r="S496" s="67" t="str">
        <f>IFERROR(__xludf.DUMMYFUNCTION("""COMPUTED_VALUE"""),"!!!")</f>
        <v>!!!</v>
      </c>
      <c r="T49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97">
      <c r="A497" s="72"/>
      <c r="B497" s="60" t="s">
        <v>6754</v>
      </c>
      <c r="C497" s="67" t="str">
        <f>IFERROR(__xludf.DUMMYFUNCTION("""COMPUTED_VALUE"""),"LD237")</f>
        <v>LD237</v>
      </c>
      <c r="D497" s="55" t="s">
        <v>188</v>
      </c>
      <c r="E497" s="55" t="s">
        <v>193</v>
      </c>
      <c r="F497" s="54"/>
      <c r="G497" s="44" t="s">
        <v>61</v>
      </c>
      <c r="H497" s="54"/>
      <c r="I497" s="54"/>
      <c r="J497" s="54"/>
      <c r="K497" s="55" t="s">
        <v>61</v>
      </c>
      <c r="L497" s="54"/>
      <c r="M497" s="54"/>
      <c r="N497" s="54"/>
      <c r="O497" s="54"/>
      <c r="P497" s="54"/>
      <c r="Q497" s="67" t="str">
        <f>IFERROR(__xludf.DUMMYFUNCTION("""COMPUTED_VALUE"""),"!!!")</f>
        <v>!!!</v>
      </c>
      <c r="R497" s="67" t="str">
        <f>IFERROR(__xludf.DUMMYFUNCTION("""COMPUTED_VALUE"""),"!!!")</f>
        <v>!!!</v>
      </c>
      <c r="S497" s="67" t="str">
        <f>IFERROR(__xludf.DUMMYFUNCTION("""COMPUTED_VALUE"""),"!!!")</f>
        <v>!!!</v>
      </c>
      <c r="T49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98">
      <c r="A498" s="72"/>
      <c r="B498" s="60" t="s">
        <v>6754</v>
      </c>
      <c r="C498" s="67" t="str">
        <f>IFERROR(__xludf.DUMMYFUNCTION("""COMPUTED_VALUE"""),"LD237")</f>
        <v>LD237</v>
      </c>
      <c r="D498" s="55" t="s">
        <v>188</v>
      </c>
      <c r="E498" s="55" t="s">
        <v>193</v>
      </c>
      <c r="F498" s="54"/>
      <c r="G498" s="44" t="s">
        <v>61</v>
      </c>
      <c r="H498" s="54"/>
      <c r="I498" s="54"/>
      <c r="J498" s="54"/>
      <c r="K498" s="55" t="s">
        <v>61</v>
      </c>
      <c r="L498" s="54"/>
      <c r="M498" s="54"/>
      <c r="N498" s="54"/>
      <c r="O498" s="54"/>
      <c r="P498" s="54"/>
      <c r="Q498" s="67" t="str">
        <f>IFERROR(__xludf.DUMMYFUNCTION("""COMPUTED_VALUE"""),"!!!")</f>
        <v>!!!</v>
      </c>
      <c r="R498" s="67" t="str">
        <f>IFERROR(__xludf.DUMMYFUNCTION("""COMPUTED_VALUE"""),"!!!")</f>
        <v>!!!</v>
      </c>
      <c r="S498" s="67" t="str">
        <f>IFERROR(__xludf.DUMMYFUNCTION("""COMPUTED_VALUE"""),"!!!")</f>
        <v>!!!</v>
      </c>
      <c r="T49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499">
      <c r="A499" s="72"/>
      <c r="B499" s="60" t="s">
        <v>6754</v>
      </c>
      <c r="C499" s="67" t="str">
        <f>IFERROR(__xludf.DUMMYFUNCTION("""COMPUTED_VALUE"""),"LD237")</f>
        <v>LD237</v>
      </c>
      <c r="D499" s="55" t="s">
        <v>188</v>
      </c>
      <c r="E499" s="55" t="s">
        <v>193</v>
      </c>
      <c r="F499" s="54"/>
      <c r="G499" s="44" t="s">
        <v>61</v>
      </c>
      <c r="H499" s="54"/>
      <c r="I499" s="54"/>
      <c r="J499" s="54"/>
      <c r="K499" s="55" t="s">
        <v>61</v>
      </c>
      <c r="L499" s="54"/>
      <c r="M499" s="54"/>
      <c r="N499" s="54"/>
      <c r="O499" s="54"/>
      <c r="P499" s="54"/>
      <c r="Q499" s="67" t="str">
        <f>IFERROR(__xludf.DUMMYFUNCTION("""COMPUTED_VALUE"""),"!!!")</f>
        <v>!!!</v>
      </c>
      <c r="R499" s="67" t="str">
        <f>IFERROR(__xludf.DUMMYFUNCTION("""COMPUTED_VALUE"""),"!!!")</f>
        <v>!!!</v>
      </c>
      <c r="S499" s="67" t="str">
        <f>IFERROR(__xludf.DUMMYFUNCTION("""COMPUTED_VALUE"""),"!!!")</f>
        <v>!!!</v>
      </c>
      <c r="T49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00">
      <c r="A500" s="72"/>
      <c r="B500" s="60" t="s">
        <v>6754</v>
      </c>
      <c r="C500" s="67" t="str">
        <f>IFERROR(__xludf.DUMMYFUNCTION("""COMPUTED_VALUE"""),"LD237")</f>
        <v>LD237</v>
      </c>
      <c r="D500" s="55" t="s">
        <v>188</v>
      </c>
      <c r="E500" s="55" t="s">
        <v>193</v>
      </c>
      <c r="F500" s="54"/>
      <c r="G500" s="44" t="s">
        <v>61</v>
      </c>
      <c r="H500" s="54"/>
      <c r="I500" s="54"/>
      <c r="J500" s="54"/>
      <c r="K500" s="55" t="s">
        <v>61</v>
      </c>
      <c r="L500" s="54"/>
      <c r="M500" s="54"/>
      <c r="N500" s="54"/>
      <c r="O500" s="54"/>
      <c r="P500" s="54"/>
      <c r="Q500" s="67" t="str">
        <f>IFERROR(__xludf.DUMMYFUNCTION("""COMPUTED_VALUE"""),"!!!")</f>
        <v>!!!</v>
      </c>
      <c r="R500" s="67" t="str">
        <f>IFERROR(__xludf.DUMMYFUNCTION("""COMPUTED_VALUE"""),"!!!")</f>
        <v>!!!</v>
      </c>
      <c r="S500" s="67" t="str">
        <f>IFERROR(__xludf.DUMMYFUNCTION("""COMPUTED_VALUE"""),"!!!")</f>
        <v>!!!</v>
      </c>
      <c r="T50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01">
      <c r="A501" s="72"/>
      <c r="B501" s="60" t="s">
        <v>6754</v>
      </c>
      <c r="C501" s="67" t="str">
        <f>IFERROR(__xludf.DUMMYFUNCTION("""COMPUTED_VALUE"""),"LD237")</f>
        <v>LD237</v>
      </c>
      <c r="D501" s="55" t="s">
        <v>188</v>
      </c>
      <c r="E501" s="55" t="s">
        <v>193</v>
      </c>
      <c r="F501" s="54"/>
      <c r="G501" s="44" t="s">
        <v>61</v>
      </c>
      <c r="H501" s="54"/>
      <c r="I501" s="54"/>
      <c r="J501" s="54"/>
      <c r="K501" s="55" t="s">
        <v>61</v>
      </c>
      <c r="L501" s="54"/>
      <c r="M501" s="54"/>
      <c r="N501" s="54"/>
      <c r="O501" s="54"/>
      <c r="P501" s="54"/>
      <c r="Q501" s="67" t="str">
        <f>IFERROR(__xludf.DUMMYFUNCTION("""COMPUTED_VALUE"""),"!!!")</f>
        <v>!!!</v>
      </c>
      <c r="R501" s="67" t="str">
        <f>IFERROR(__xludf.DUMMYFUNCTION("""COMPUTED_VALUE"""),"!!!")</f>
        <v>!!!</v>
      </c>
      <c r="S501" s="67" t="str">
        <f>IFERROR(__xludf.DUMMYFUNCTION("""COMPUTED_VALUE"""),"!!!")</f>
        <v>!!!</v>
      </c>
      <c r="T50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02">
      <c r="A502" s="72"/>
      <c r="B502" s="60" t="s">
        <v>6754</v>
      </c>
      <c r="C502" s="67" t="str">
        <f>IFERROR(__xludf.DUMMYFUNCTION("""COMPUTED_VALUE"""),"LD237")</f>
        <v>LD237</v>
      </c>
      <c r="D502" s="55" t="s">
        <v>188</v>
      </c>
      <c r="E502" s="55" t="s">
        <v>193</v>
      </c>
      <c r="F502" s="54"/>
      <c r="G502" s="44" t="s">
        <v>61</v>
      </c>
      <c r="H502" s="54"/>
      <c r="I502" s="54"/>
      <c r="J502" s="54"/>
      <c r="K502" s="55" t="s">
        <v>61</v>
      </c>
      <c r="L502" s="54"/>
      <c r="M502" s="54"/>
      <c r="N502" s="54"/>
      <c r="O502" s="54"/>
      <c r="P502" s="54"/>
      <c r="Q502" s="67" t="str">
        <f>IFERROR(__xludf.DUMMYFUNCTION("""COMPUTED_VALUE"""),"!!!")</f>
        <v>!!!</v>
      </c>
      <c r="R502" s="67" t="str">
        <f>IFERROR(__xludf.DUMMYFUNCTION("""COMPUTED_VALUE"""),"!!!")</f>
        <v>!!!</v>
      </c>
      <c r="S502" s="67" t="str">
        <f>IFERROR(__xludf.DUMMYFUNCTION("""COMPUTED_VALUE"""),"!!!")</f>
        <v>!!!</v>
      </c>
      <c r="T50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03">
      <c r="A503" s="72"/>
      <c r="B503" s="60" t="s">
        <v>6754</v>
      </c>
      <c r="C503" s="67" t="str">
        <f>IFERROR(__xludf.DUMMYFUNCTION("""COMPUTED_VALUE"""),"LD237")</f>
        <v>LD237</v>
      </c>
      <c r="D503" s="55" t="s">
        <v>188</v>
      </c>
      <c r="E503" s="55" t="s">
        <v>193</v>
      </c>
      <c r="F503" s="54"/>
      <c r="G503" s="44" t="s">
        <v>61</v>
      </c>
      <c r="H503" s="54"/>
      <c r="I503" s="54"/>
      <c r="J503" s="54"/>
      <c r="K503" s="55" t="s">
        <v>61</v>
      </c>
      <c r="L503" s="54"/>
      <c r="M503" s="54"/>
      <c r="N503" s="54"/>
      <c r="O503" s="54"/>
      <c r="P503" s="54"/>
      <c r="Q503" s="67" t="str">
        <f>IFERROR(__xludf.DUMMYFUNCTION("""COMPUTED_VALUE"""),"!!!")</f>
        <v>!!!</v>
      </c>
      <c r="R503" s="67" t="str">
        <f>IFERROR(__xludf.DUMMYFUNCTION("""COMPUTED_VALUE"""),"!!!")</f>
        <v>!!!</v>
      </c>
      <c r="S503" s="67" t="str">
        <f>IFERROR(__xludf.DUMMYFUNCTION("""COMPUTED_VALUE"""),"!!!")</f>
        <v>!!!</v>
      </c>
      <c r="T50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04">
      <c r="A504" s="72"/>
      <c r="B504" s="60" t="s">
        <v>6754</v>
      </c>
      <c r="C504" s="67" t="str">
        <f>IFERROR(__xludf.DUMMYFUNCTION("""COMPUTED_VALUE"""),"LD237")</f>
        <v>LD237</v>
      </c>
      <c r="D504" s="55" t="s">
        <v>188</v>
      </c>
      <c r="E504" s="55" t="s">
        <v>193</v>
      </c>
      <c r="F504" s="54"/>
      <c r="G504" s="44" t="s">
        <v>61</v>
      </c>
      <c r="H504" s="54"/>
      <c r="I504" s="54"/>
      <c r="J504" s="54"/>
      <c r="K504" s="55" t="s">
        <v>61</v>
      </c>
      <c r="L504" s="54"/>
      <c r="M504" s="54"/>
      <c r="N504" s="54"/>
      <c r="O504" s="54"/>
      <c r="P504" s="54"/>
      <c r="Q504" s="67" t="str">
        <f>IFERROR(__xludf.DUMMYFUNCTION("""COMPUTED_VALUE"""),"!!!")</f>
        <v>!!!</v>
      </c>
      <c r="R504" s="67" t="str">
        <f>IFERROR(__xludf.DUMMYFUNCTION("""COMPUTED_VALUE"""),"!!!")</f>
        <v>!!!</v>
      </c>
      <c r="S504" s="67" t="str">
        <f>IFERROR(__xludf.DUMMYFUNCTION("""COMPUTED_VALUE"""),"!!!")</f>
        <v>!!!</v>
      </c>
      <c r="T50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05">
      <c r="A505" s="72"/>
      <c r="B505" s="60" t="s">
        <v>6754</v>
      </c>
      <c r="C505" s="67" t="str">
        <f>IFERROR(__xludf.DUMMYFUNCTION("""COMPUTED_VALUE"""),"LD237")</f>
        <v>LD237</v>
      </c>
      <c r="D505" s="55" t="s">
        <v>188</v>
      </c>
      <c r="E505" s="55" t="s">
        <v>193</v>
      </c>
      <c r="F505" s="54"/>
      <c r="G505" s="44" t="s">
        <v>61</v>
      </c>
      <c r="H505" s="54"/>
      <c r="I505" s="54"/>
      <c r="J505" s="54"/>
      <c r="K505" s="55" t="s">
        <v>61</v>
      </c>
      <c r="L505" s="54"/>
      <c r="M505" s="54"/>
      <c r="N505" s="54"/>
      <c r="O505" s="54"/>
      <c r="P505" s="54"/>
      <c r="Q505" s="67" t="str">
        <f>IFERROR(__xludf.DUMMYFUNCTION("""COMPUTED_VALUE"""),"!!!")</f>
        <v>!!!</v>
      </c>
      <c r="R505" s="67" t="str">
        <f>IFERROR(__xludf.DUMMYFUNCTION("""COMPUTED_VALUE"""),"!!!")</f>
        <v>!!!</v>
      </c>
      <c r="S505" s="67" t="str">
        <f>IFERROR(__xludf.DUMMYFUNCTION("""COMPUTED_VALUE"""),"!!!")</f>
        <v>!!!</v>
      </c>
      <c r="T50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06">
      <c r="A506" s="72"/>
      <c r="B506" s="60" t="s">
        <v>6754</v>
      </c>
      <c r="C506" s="67" t="str">
        <f>IFERROR(__xludf.DUMMYFUNCTION("""COMPUTED_VALUE"""),"LD237")</f>
        <v>LD237</v>
      </c>
      <c r="D506" s="55" t="s">
        <v>188</v>
      </c>
      <c r="E506" s="55" t="s">
        <v>193</v>
      </c>
      <c r="F506" s="54"/>
      <c r="G506" s="44" t="s">
        <v>61</v>
      </c>
      <c r="H506" s="54"/>
      <c r="I506" s="54"/>
      <c r="J506" s="54"/>
      <c r="K506" s="55" t="s">
        <v>61</v>
      </c>
      <c r="L506" s="54"/>
      <c r="M506" s="54"/>
      <c r="N506" s="54"/>
      <c r="O506" s="54"/>
      <c r="P506" s="54"/>
      <c r="Q506" s="67" t="str">
        <f>IFERROR(__xludf.DUMMYFUNCTION("""COMPUTED_VALUE"""),"!!!")</f>
        <v>!!!</v>
      </c>
      <c r="R506" s="67" t="str">
        <f>IFERROR(__xludf.DUMMYFUNCTION("""COMPUTED_VALUE"""),"!!!")</f>
        <v>!!!</v>
      </c>
      <c r="S506" s="67" t="str">
        <f>IFERROR(__xludf.DUMMYFUNCTION("""COMPUTED_VALUE"""),"!!!")</f>
        <v>!!!</v>
      </c>
      <c r="T50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07">
      <c r="A507" s="72"/>
      <c r="B507" s="60" t="s">
        <v>6754</v>
      </c>
      <c r="C507" s="67" t="str">
        <f>IFERROR(__xludf.DUMMYFUNCTION("""COMPUTED_VALUE"""),"LD237")</f>
        <v>LD237</v>
      </c>
      <c r="D507" s="55" t="s">
        <v>188</v>
      </c>
      <c r="E507" s="55" t="s">
        <v>193</v>
      </c>
      <c r="F507" s="54"/>
      <c r="G507" s="44" t="s">
        <v>61</v>
      </c>
      <c r="H507" s="54"/>
      <c r="I507" s="54"/>
      <c r="J507" s="54"/>
      <c r="K507" s="55" t="s">
        <v>61</v>
      </c>
      <c r="L507" s="54"/>
      <c r="M507" s="54"/>
      <c r="N507" s="54"/>
      <c r="O507" s="54"/>
      <c r="P507" s="54"/>
      <c r="Q507" s="67" t="str">
        <f>IFERROR(__xludf.DUMMYFUNCTION("""COMPUTED_VALUE"""),"!!!")</f>
        <v>!!!</v>
      </c>
      <c r="R507" s="67" t="str">
        <f>IFERROR(__xludf.DUMMYFUNCTION("""COMPUTED_VALUE"""),"!!!")</f>
        <v>!!!</v>
      </c>
      <c r="S507" s="67" t="str">
        <f>IFERROR(__xludf.DUMMYFUNCTION("""COMPUTED_VALUE"""),"!!!")</f>
        <v>!!!</v>
      </c>
      <c r="T50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08">
      <c r="A508" s="72"/>
      <c r="B508" s="60" t="s">
        <v>6754</v>
      </c>
      <c r="C508" s="67" t="str">
        <f>IFERROR(__xludf.DUMMYFUNCTION("""COMPUTED_VALUE"""),"LD237")</f>
        <v>LD237</v>
      </c>
      <c r="D508" s="55" t="s">
        <v>188</v>
      </c>
      <c r="E508" s="55" t="s">
        <v>193</v>
      </c>
      <c r="F508" s="54"/>
      <c r="G508" s="44" t="s">
        <v>61</v>
      </c>
      <c r="H508" s="54"/>
      <c r="I508" s="54"/>
      <c r="J508" s="54"/>
      <c r="K508" s="55" t="s">
        <v>61</v>
      </c>
      <c r="L508" s="54"/>
      <c r="M508" s="54"/>
      <c r="N508" s="54"/>
      <c r="O508" s="54"/>
      <c r="P508" s="54"/>
      <c r="Q508" s="67" t="str">
        <f>IFERROR(__xludf.DUMMYFUNCTION("""COMPUTED_VALUE"""),"!!!")</f>
        <v>!!!</v>
      </c>
      <c r="R508" s="67" t="str">
        <f>IFERROR(__xludf.DUMMYFUNCTION("""COMPUTED_VALUE"""),"!!!")</f>
        <v>!!!</v>
      </c>
      <c r="S508" s="67" t="str">
        <f>IFERROR(__xludf.DUMMYFUNCTION("""COMPUTED_VALUE"""),"!!!")</f>
        <v>!!!</v>
      </c>
      <c r="T50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09">
      <c r="A509" s="72"/>
      <c r="B509" s="60" t="s">
        <v>6754</v>
      </c>
      <c r="C509" s="67" t="str">
        <f>IFERROR(__xludf.DUMMYFUNCTION("""COMPUTED_VALUE"""),"LD237")</f>
        <v>LD237</v>
      </c>
      <c r="D509" s="55" t="s">
        <v>188</v>
      </c>
      <c r="E509" s="55" t="s">
        <v>193</v>
      </c>
      <c r="F509" s="54"/>
      <c r="G509" s="44" t="s">
        <v>61</v>
      </c>
      <c r="H509" s="54"/>
      <c r="I509" s="54"/>
      <c r="J509" s="54"/>
      <c r="K509" s="55" t="s">
        <v>61</v>
      </c>
      <c r="L509" s="54"/>
      <c r="M509" s="54"/>
      <c r="N509" s="54"/>
      <c r="O509" s="54"/>
      <c r="P509" s="54"/>
      <c r="Q509" s="67" t="str">
        <f>IFERROR(__xludf.DUMMYFUNCTION("""COMPUTED_VALUE"""),"!!!")</f>
        <v>!!!</v>
      </c>
      <c r="R509" s="67" t="str">
        <f>IFERROR(__xludf.DUMMYFUNCTION("""COMPUTED_VALUE"""),"!!!")</f>
        <v>!!!</v>
      </c>
      <c r="S509" s="67" t="str">
        <f>IFERROR(__xludf.DUMMYFUNCTION("""COMPUTED_VALUE"""),"!!!")</f>
        <v>!!!</v>
      </c>
      <c r="T50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10">
      <c r="A510" s="72"/>
      <c r="B510" s="60" t="s">
        <v>6754</v>
      </c>
      <c r="C510" s="67" t="str">
        <f>IFERROR(__xludf.DUMMYFUNCTION("""COMPUTED_VALUE"""),"LD237")</f>
        <v>LD237</v>
      </c>
      <c r="D510" s="55" t="s">
        <v>188</v>
      </c>
      <c r="E510" s="55" t="s">
        <v>193</v>
      </c>
      <c r="F510" s="54"/>
      <c r="G510" s="44" t="s">
        <v>61</v>
      </c>
      <c r="H510" s="54"/>
      <c r="I510" s="54"/>
      <c r="J510" s="54"/>
      <c r="K510" s="55" t="s">
        <v>61</v>
      </c>
      <c r="L510" s="54"/>
      <c r="M510" s="54"/>
      <c r="N510" s="54"/>
      <c r="O510" s="54"/>
      <c r="P510" s="54"/>
      <c r="Q510" s="67" t="str">
        <f>IFERROR(__xludf.DUMMYFUNCTION("""COMPUTED_VALUE"""),"!!!")</f>
        <v>!!!</v>
      </c>
      <c r="R510" s="67" t="str">
        <f>IFERROR(__xludf.DUMMYFUNCTION("""COMPUTED_VALUE"""),"!!!")</f>
        <v>!!!</v>
      </c>
      <c r="S510" s="67" t="str">
        <f>IFERROR(__xludf.DUMMYFUNCTION("""COMPUTED_VALUE"""),"!!!")</f>
        <v>!!!</v>
      </c>
      <c r="T51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11">
      <c r="A511" s="72"/>
      <c r="B511" s="60" t="s">
        <v>6754</v>
      </c>
      <c r="C511" s="67" t="str">
        <f>IFERROR(__xludf.DUMMYFUNCTION("""COMPUTED_VALUE"""),"LD237")</f>
        <v>LD237</v>
      </c>
      <c r="D511" s="55" t="s">
        <v>188</v>
      </c>
      <c r="E511" s="55" t="s">
        <v>193</v>
      </c>
      <c r="F511" s="54"/>
      <c r="G511" s="44" t="s">
        <v>61</v>
      </c>
      <c r="H511" s="54"/>
      <c r="I511" s="54"/>
      <c r="J511" s="54"/>
      <c r="K511" s="55" t="s">
        <v>61</v>
      </c>
      <c r="L511" s="54"/>
      <c r="M511" s="54"/>
      <c r="N511" s="54"/>
      <c r="O511" s="54"/>
      <c r="P511" s="54"/>
      <c r="Q511" s="67" t="str">
        <f>IFERROR(__xludf.DUMMYFUNCTION("""COMPUTED_VALUE"""),"!!!")</f>
        <v>!!!</v>
      </c>
      <c r="R511" s="67" t="str">
        <f>IFERROR(__xludf.DUMMYFUNCTION("""COMPUTED_VALUE"""),"!!!")</f>
        <v>!!!</v>
      </c>
      <c r="S511" s="67" t="str">
        <f>IFERROR(__xludf.DUMMYFUNCTION("""COMPUTED_VALUE"""),"!!!")</f>
        <v>!!!</v>
      </c>
      <c r="T51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12">
      <c r="A512" s="72"/>
      <c r="B512" s="60" t="s">
        <v>6754</v>
      </c>
      <c r="C512" s="67" t="str">
        <f>IFERROR(__xludf.DUMMYFUNCTION("""COMPUTED_VALUE"""),"LD237")</f>
        <v>LD237</v>
      </c>
      <c r="D512" s="55" t="s">
        <v>188</v>
      </c>
      <c r="E512" s="55" t="s">
        <v>193</v>
      </c>
      <c r="F512" s="54"/>
      <c r="G512" s="44" t="s">
        <v>61</v>
      </c>
      <c r="H512" s="54"/>
      <c r="I512" s="54"/>
      <c r="J512" s="54"/>
      <c r="K512" s="55" t="s">
        <v>61</v>
      </c>
      <c r="L512" s="54"/>
      <c r="M512" s="54"/>
      <c r="N512" s="54"/>
      <c r="O512" s="54"/>
      <c r="P512" s="54"/>
      <c r="Q512" s="67" t="str">
        <f>IFERROR(__xludf.DUMMYFUNCTION("""COMPUTED_VALUE"""),"!!!")</f>
        <v>!!!</v>
      </c>
      <c r="R512" s="67" t="str">
        <f>IFERROR(__xludf.DUMMYFUNCTION("""COMPUTED_VALUE"""),"!!!")</f>
        <v>!!!</v>
      </c>
      <c r="S512" s="67" t="str">
        <f>IFERROR(__xludf.DUMMYFUNCTION("""COMPUTED_VALUE"""),"!!!")</f>
        <v>!!!</v>
      </c>
      <c r="T51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13">
      <c r="A513" s="72"/>
      <c r="B513" s="60" t="s">
        <v>6754</v>
      </c>
      <c r="C513" s="67" t="str">
        <f>IFERROR(__xludf.DUMMYFUNCTION("""COMPUTED_VALUE"""),"LD237")</f>
        <v>LD237</v>
      </c>
      <c r="D513" s="55" t="s">
        <v>188</v>
      </c>
      <c r="E513" s="55" t="s">
        <v>193</v>
      </c>
      <c r="F513" s="54"/>
      <c r="G513" s="44" t="s">
        <v>61</v>
      </c>
      <c r="H513" s="54"/>
      <c r="I513" s="54"/>
      <c r="J513" s="54"/>
      <c r="K513" s="55" t="s">
        <v>61</v>
      </c>
      <c r="L513" s="54"/>
      <c r="M513" s="54"/>
      <c r="N513" s="54"/>
      <c r="O513" s="54"/>
      <c r="P513" s="54"/>
      <c r="Q513" s="67" t="str">
        <f>IFERROR(__xludf.DUMMYFUNCTION("""COMPUTED_VALUE"""),"!!!")</f>
        <v>!!!</v>
      </c>
      <c r="R513" s="67" t="str">
        <f>IFERROR(__xludf.DUMMYFUNCTION("""COMPUTED_VALUE"""),"!!!")</f>
        <v>!!!</v>
      </c>
      <c r="S513" s="67" t="str">
        <f>IFERROR(__xludf.DUMMYFUNCTION("""COMPUTED_VALUE"""),"!!!")</f>
        <v>!!!</v>
      </c>
      <c r="T51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14">
      <c r="A514" s="72"/>
      <c r="B514" s="60" t="s">
        <v>6754</v>
      </c>
      <c r="C514" s="67" t="str">
        <f>IFERROR(__xludf.DUMMYFUNCTION("""COMPUTED_VALUE"""),"LD237")</f>
        <v>LD237</v>
      </c>
      <c r="D514" s="55" t="s">
        <v>188</v>
      </c>
      <c r="E514" s="55" t="s">
        <v>193</v>
      </c>
      <c r="F514" s="54"/>
      <c r="G514" s="44" t="s">
        <v>61</v>
      </c>
      <c r="H514" s="54"/>
      <c r="I514" s="54"/>
      <c r="J514" s="54"/>
      <c r="K514" s="55" t="s">
        <v>61</v>
      </c>
      <c r="L514" s="54"/>
      <c r="M514" s="54"/>
      <c r="N514" s="54"/>
      <c r="O514" s="54"/>
      <c r="P514" s="54"/>
      <c r="Q514" s="67" t="str">
        <f>IFERROR(__xludf.DUMMYFUNCTION("""COMPUTED_VALUE"""),"!!!")</f>
        <v>!!!</v>
      </c>
      <c r="R514" s="67" t="str">
        <f>IFERROR(__xludf.DUMMYFUNCTION("""COMPUTED_VALUE"""),"!!!")</f>
        <v>!!!</v>
      </c>
      <c r="S514" s="67" t="str">
        <f>IFERROR(__xludf.DUMMYFUNCTION("""COMPUTED_VALUE"""),"!!!")</f>
        <v>!!!</v>
      </c>
      <c r="T51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15">
      <c r="A515" s="72"/>
      <c r="B515" s="60" t="s">
        <v>6754</v>
      </c>
      <c r="C515" s="67" t="str">
        <f>IFERROR(__xludf.DUMMYFUNCTION("""COMPUTED_VALUE"""),"LD237")</f>
        <v>LD237</v>
      </c>
      <c r="D515" s="55" t="s">
        <v>188</v>
      </c>
      <c r="E515" s="55" t="s">
        <v>193</v>
      </c>
      <c r="F515" s="54"/>
      <c r="G515" s="44" t="s">
        <v>61</v>
      </c>
      <c r="H515" s="54"/>
      <c r="I515" s="54"/>
      <c r="J515" s="54"/>
      <c r="K515" s="55" t="s">
        <v>61</v>
      </c>
      <c r="L515" s="54"/>
      <c r="M515" s="54"/>
      <c r="N515" s="54"/>
      <c r="O515" s="54"/>
      <c r="P515" s="54"/>
      <c r="Q515" s="67" t="str">
        <f>IFERROR(__xludf.DUMMYFUNCTION("""COMPUTED_VALUE"""),"!!!")</f>
        <v>!!!</v>
      </c>
      <c r="R515" s="67" t="str">
        <f>IFERROR(__xludf.DUMMYFUNCTION("""COMPUTED_VALUE"""),"!!!")</f>
        <v>!!!</v>
      </c>
      <c r="S515" s="67" t="str">
        <f>IFERROR(__xludf.DUMMYFUNCTION("""COMPUTED_VALUE"""),"!!!")</f>
        <v>!!!</v>
      </c>
      <c r="T51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16">
      <c r="A516" s="72"/>
      <c r="B516" s="60" t="s">
        <v>6754</v>
      </c>
      <c r="C516" s="67" t="str">
        <f>IFERROR(__xludf.DUMMYFUNCTION("""COMPUTED_VALUE"""),"LD237")</f>
        <v>LD237</v>
      </c>
      <c r="D516" s="55" t="s">
        <v>188</v>
      </c>
      <c r="E516" s="55" t="s">
        <v>193</v>
      </c>
      <c r="F516" s="54"/>
      <c r="G516" s="44" t="s">
        <v>61</v>
      </c>
      <c r="H516" s="54"/>
      <c r="I516" s="54"/>
      <c r="J516" s="54"/>
      <c r="K516" s="55" t="s">
        <v>61</v>
      </c>
      <c r="L516" s="54"/>
      <c r="M516" s="54"/>
      <c r="N516" s="54"/>
      <c r="O516" s="54"/>
      <c r="P516" s="54"/>
      <c r="Q516" s="67" t="str">
        <f>IFERROR(__xludf.DUMMYFUNCTION("""COMPUTED_VALUE"""),"!!!")</f>
        <v>!!!</v>
      </c>
      <c r="R516" s="67" t="str">
        <f>IFERROR(__xludf.DUMMYFUNCTION("""COMPUTED_VALUE"""),"!!!")</f>
        <v>!!!</v>
      </c>
      <c r="S516" s="67" t="str">
        <f>IFERROR(__xludf.DUMMYFUNCTION("""COMPUTED_VALUE"""),"!!!")</f>
        <v>!!!</v>
      </c>
      <c r="T51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17">
      <c r="A517" s="72"/>
      <c r="B517" s="60" t="s">
        <v>6754</v>
      </c>
      <c r="C517" s="67" t="str">
        <f>IFERROR(__xludf.DUMMYFUNCTION("""COMPUTED_VALUE"""),"LD237")</f>
        <v>LD237</v>
      </c>
      <c r="D517" s="55" t="s">
        <v>188</v>
      </c>
      <c r="E517" s="55" t="s">
        <v>193</v>
      </c>
      <c r="F517" s="54"/>
      <c r="G517" s="44" t="s">
        <v>61</v>
      </c>
      <c r="H517" s="54"/>
      <c r="I517" s="54"/>
      <c r="J517" s="54"/>
      <c r="K517" s="55" t="s">
        <v>61</v>
      </c>
      <c r="L517" s="54"/>
      <c r="M517" s="54"/>
      <c r="N517" s="54"/>
      <c r="O517" s="54"/>
      <c r="P517" s="54"/>
      <c r="Q517" s="67" t="str">
        <f>IFERROR(__xludf.DUMMYFUNCTION("""COMPUTED_VALUE"""),"!!!")</f>
        <v>!!!</v>
      </c>
      <c r="R517" s="67" t="str">
        <f>IFERROR(__xludf.DUMMYFUNCTION("""COMPUTED_VALUE"""),"!!!")</f>
        <v>!!!</v>
      </c>
      <c r="S517" s="67" t="str">
        <f>IFERROR(__xludf.DUMMYFUNCTION("""COMPUTED_VALUE"""),"!!!")</f>
        <v>!!!</v>
      </c>
      <c r="T51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18">
      <c r="A518" s="72"/>
      <c r="B518" s="60" t="s">
        <v>6754</v>
      </c>
      <c r="C518" s="67" t="str">
        <f>IFERROR(__xludf.DUMMYFUNCTION("""COMPUTED_VALUE"""),"LD237")</f>
        <v>LD237</v>
      </c>
      <c r="D518" s="55" t="s">
        <v>188</v>
      </c>
      <c r="E518" s="55" t="s">
        <v>193</v>
      </c>
      <c r="F518" s="54"/>
      <c r="G518" s="44" t="s">
        <v>61</v>
      </c>
      <c r="H518" s="54"/>
      <c r="I518" s="54"/>
      <c r="J518" s="54"/>
      <c r="K518" s="55" t="s">
        <v>61</v>
      </c>
      <c r="L518" s="54"/>
      <c r="M518" s="54"/>
      <c r="N518" s="54"/>
      <c r="O518" s="54"/>
      <c r="P518" s="54"/>
      <c r="Q518" s="67" t="str">
        <f>IFERROR(__xludf.DUMMYFUNCTION("""COMPUTED_VALUE"""),"!!!")</f>
        <v>!!!</v>
      </c>
      <c r="R518" s="67" t="str">
        <f>IFERROR(__xludf.DUMMYFUNCTION("""COMPUTED_VALUE"""),"!!!")</f>
        <v>!!!</v>
      </c>
      <c r="S518" s="67" t="str">
        <f>IFERROR(__xludf.DUMMYFUNCTION("""COMPUTED_VALUE"""),"!!!")</f>
        <v>!!!</v>
      </c>
      <c r="T51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19">
      <c r="A519" s="72"/>
      <c r="B519" s="60" t="s">
        <v>6754</v>
      </c>
      <c r="C519" s="67" t="str">
        <f>IFERROR(__xludf.DUMMYFUNCTION("""COMPUTED_VALUE"""),"LD237")</f>
        <v>LD237</v>
      </c>
      <c r="D519" s="55" t="s">
        <v>188</v>
      </c>
      <c r="E519" s="55" t="s">
        <v>193</v>
      </c>
      <c r="F519" s="54"/>
      <c r="G519" s="44" t="s">
        <v>61</v>
      </c>
      <c r="H519" s="54"/>
      <c r="I519" s="54"/>
      <c r="J519" s="54"/>
      <c r="K519" s="55" t="s">
        <v>61</v>
      </c>
      <c r="L519" s="54"/>
      <c r="M519" s="54"/>
      <c r="N519" s="54"/>
      <c r="O519" s="54"/>
      <c r="P519" s="54"/>
      <c r="Q519" s="67" t="str">
        <f>IFERROR(__xludf.DUMMYFUNCTION("""COMPUTED_VALUE"""),"!!!")</f>
        <v>!!!</v>
      </c>
      <c r="R519" s="67" t="str">
        <f>IFERROR(__xludf.DUMMYFUNCTION("""COMPUTED_VALUE"""),"!!!")</f>
        <v>!!!</v>
      </c>
      <c r="S519" s="67" t="str">
        <f>IFERROR(__xludf.DUMMYFUNCTION("""COMPUTED_VALUE"""),"!!!")</f>
        <v>!!!</v>
      </c>
      <c r="T51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20">
      <c r="A520" s="72"/>
      <c r="B520" s="60" t="s">
        <v>6754</v>
      </c>
      <c r="C520" s="67" t="str">
        <f>IFERROR(__xludf.DUMMYFUNCTION("""COMPUTED_VALUE"""),"LD237")</f>
        <v>LD237</v>
      </c>
      <c r="D520" s="55" t="s">
        <v>188</v>
      </c>
      <c r="E520" s="55" t="s">
        <v>193</v>
      </c>
      <c r="F520" s="54"/>
      <c r="G520" s="44" t="s">
        <v>61</v>
      </c>
      <c r="H520" s="54"/>
      <c r="I520" s="54"/>
      <c r="J520" s="54"/>
      <c r="K520" s="55" t="s">
        <v>61</v>
      </c>
      <c r="L520" s="54"/>
      <c r="M520" s="54"/>
      <c r="N520" s="54"/>
      <c r="O520" s="54"/>
      <c r="P520" s="54"/>
      <c r="Q520" s="67" t="str">
        <f>IFERROR(__xludf.DUMMYFUNCTION("""COMPUTED_VALUE"""),"!!!")</f>
        <v>!!!</v>
      </c>
      <c r="R520" s="67" t="str">
        <f>IFERROR(__xludf.DUMMYFUNCTION("""COMPUTED_VALUE"""),"!!!")</f>
        <v>!!!</v>
      </c>
      <c r="S520" s="67" t="str">
        <f>IFERROR(__xludf.DUMMYFUNCTION("""COMPUTED_VALUE"""),"!!!")</f>
        <v>!!!</v>
      </c>
      <c r="T52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21">
      <c r="A521" s="72"/>
      <c r="B521" s="60" t="s">
        <v>6754</v>
      </c>
      <c r="C521" s="67" t="str">
        <f>IFERROR(__xludf.DUMMYFUNCTION("""COMPUTED_VALUE"""),"LD237")</f>
        <v>LD237</v>
      </c>
      <c r="D521" s="55" t="s">
        <v>188</v>
      </c>
      <c r="E521" s="55" t="s">
        <v>193</v>
      </c>
      <c r="F521" s="54"/>
      <c r="G521" s="44" t="s">
        <v>61</v>
      </c>
      <c r="H521" s="54"/>
      <c r="I521" s="54"/>
      <c r="J521" s="54"/>
      <c r="K521" s="55" t="s">
        <v>61</v>
      </c>
      <c r="L521" s="54"/>
      <c r="M521" s="54"/>
      <c r="N521" s="54"/>
      <c r="O521" s="54"/>
      <c r="P521" s="54"/>
      <c r="Q521" s="67" t="str">
        <f>IFERROR(__xludf.DUMMYFUNCTION("""COMPUTED_VALUE"""),"!!!")</f>
        <v>!!!</v>
      </c>
      <c r="R521" s="67" t="str">
        <f>IFERROR(__xludf.DUMMYFUNCTION("""COMPUTED_VALUE"""),"!!!")</f>
        <v>!!!</v>
      </c>
      <c r="S521" s="67" t="str">
        <f>IFERROR(__xludf.DUMMYFUNCTION("""COMPUTED_VALUE"""),"!!!")</f>
        <v>!!!</v>
      </c>
      <c r="T52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22">
      <c r="A522" s="72"/>
      <c r="B522" s="60" t="s">
        <v>6754</v>
      </c>
      <c r="C522" s="67" t="str">
        <f>IFERROR(__xludf.DUMMYFUNCTION("""COMPUTED_VALUE"""),"LD237")</f>
        <v>LD237</v>
      </c>
      <c r="D522" s="55" t="s">
        <v>188</v>
      </c>
      <c r="E522" s="55" t="s">
        <v>193</v>
      </c>
      <c r="F522" s="54"/>
      <c r="G522" s="44" t="s">
        <v>61</v>
      </c>
      <c r="H522" s="54"/>
      <c r="I522" s="54"/>
      <c r="J522" s="54"/>
      <c r="K522" s="55" t="s">
        <v>61</v>
      </c>
      <c r="L522" s="54"/>
      <c r="M522" s="54"/>
      <c r="N522" s="54"/>
      <c r="O522" s="54"/>
      <c r="P522" s="54"/>
      <c r="Q522" s="67" t="str">
        <f>IFERROR(__xludf.DUMMYFUNCTION("""COMPUTED_VALUE"""),"!!!")</f>
        <v>!!!</v>
      </c>
      <c r="R522" s="67" t="str">
        <f>IFERROR(__xludf.DUMMYFUNCTION("""COMPUTED_VALUE"""),"!!!")</f>
        <v>!!!</v>
      </c>
      <c r="S522" s="67" t="str">
        <f>IFERROR(__xludf.DUMMYFUNCTION("""COMPUTED_VALUE"""),"!!!")</f>
        <v>!!!</v>
      </c>
      <c r="T52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23">
      <c r="A523" s="72"/>
      <c r="B523" s="60" t="s">
        <v>6754</v>
      </c>
      <c r="C523" s="67" t="str">
        <f>IFERROR(__xludf.DUMMYFUNCTION("""COMPUTED_VALUE"""),"LD237")</f>
        <v>LD237</v>
      </c>
      <c r="D523" s="55" t="s">
        <v>188</v>
      </c>
      <c r="E523" s="55" t="s">
        <v>193</v>
      </c>
      <c r="F523" s="54"/>
      <c r="G523" s="44" t="s">
        <v>61</v>
      </c>
      <c r="H523" s="54"/>
      <c r="I523" s="54"/>
      <c r="J523" s="54"/>
      <c r="K523" s="55" t="s">
        <v>61</v>
      </c>
      <c r="L523" s="54"/>
      <c r="M523" s="54"/>
      <c r="N523" s="54"/>
      <c r="O523" s="54"/>
      <c r="P523" s="54"/>
      <c r="Q523" s="67" t="str">
        <f>IFERROR(__xludf.DUMMYFUNCTION("""COMPUTED_VALUE"""),"!!!")</f>
        <v>!!!</v>
      </c>
      <c r="R523" s="67" t="str">
        <f>IFERROR(__xludf.DUMMYFUNCTION("""COMPUTED_VALUE"""),"!!!")</f>
        <v>!!!</v>
      </c>
      <c r="S523" s="67" t="str">
        <f>IFERROR(__xludf.DUMMYFUNCTION("""COMPUTED_VALUE"""),"!!!")</f>
        <v>!!!</v>
      </c>
      <c r="T52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24">
      <c r="A524" s="72"/>
      <c r="B524" s="60" t="s">
        <v>6754</v>
      </c>
      <c r="C524" s="67" t="str">
        <f>IFERROR(__xludf.DUMMYFUNCTION("""COMPUTED_VALUE"""),"LD237")</f>
        <v>LD237</v>
      </c>
      <c r="D524" s="55" t="s">
        <v>188</v>
      </c>
      <c r="E524" s="55" t="s">
        <v>193</v>
      </c>
      <c r="F524" s="54"/>
      <c r="G524" s="44" t="s">
        <v>61</v>
      </c>
      <c r="H524" s="54"/>
      <c r="I524" s="54"/>
      <c r="J524" s="54"/>
      <c r="K524" s="55" t="s">
        <v>61</v>
      </c>
      <c r="L524" s="54"/>
      <c r="M524" s="54"/>
      <c r="N524" s="54"/>
      <c r="O524" s="54"/>
      <c r="P524" s="54"/>
      <c r="Q524" s="67" t="str">
        <f>IFERROR(__xludf.DUMMYFUNCTION("""COMPUTED_VALUE"""),"!!!")</f>
        <v>!!!</v>
      </c>
      <c r="R524" s="67" t="str">
        <f>IFERROR(__xludf.DUMMYFUNCTION("""COMPUTED_VALUE"""),"!!!")</f>
        <v>!!!</v>
      </c>
      <c r="S524" s="67" t="str">
        <f>IFERROR(__xludf.DUMMYFUNCTION("""COMPUTED_VALUE"""),"!!!")</f>
        <v>!!!</v>
      </c>
      <c r="T52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25">
      <c r="A525" s="72"/>
      <c r="B525" s="60" t="s">
        <v>6754</v>
      </c>
      <c r="C525" s="67" t="str">
        <f>IFERROR(__xludf.DUMMYFUNCTION("""COMPUTED_VALUE"""),"LD237")</f>
        <v>LD237</v>
      </c>
      <c r="D525" s="55" t="s">
        <v>188</v>
      </c>
      <c r="E525" s="55" t="s">
        <v>193</v>
      </c>
      <c r="F525" s="54"/>
      <c r="G525" s="44" t="s">
        <v>61</v>
      </c>
      <c r="H525" s="54"/>
      <c r="I525" s="54"/>
      <c r="J525" s="54"/>
      <c r="K525" s="55" t="s">
        <v>61</v>
      </c>
      <c r="L525" s="54"/>
      <c r="M525" s="54"/>
      <c r="N525" s="54"/>
      <c r="O525" s="54"/>
      <c r="P525" s="54"/>
      <c r="Q525" s="67" t="str">
        <f>IFERROR(__xludf.DUMMYFUNCTION("""COMPUTED_VALUE"""),"!!!")</f>
        <v>!!!</v>
      </c>
      <c r="R525" s="67" t="str">
        <f>IFERROR(__xludf.DUMMYFUNCTION("""COMPUTED_VALUE"""),"!!!")</f>
        <v>!!!</v>
      </c>
      <c r="S525" s="67" t="str">
        <f>IFERROR(__xludf.DUMMYFUNCTION("""COMPUTED_VALUE"""),"!!!")</f>
        <v>!!!</v>
      </c>
      <c r="T52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26">
      <c r="A526" s="72"/>
      <c r="B526" s="60" t="s">
        <v>6754</v>
      </c>
      <c r="C526" s="67" t="str">
        <f>IFERROR(__xludf.DUMMYFUNCTION("""COMPUTED_VALUE"""),"LD237")</f>
        <v>LD237</v>
      </c>
      <c r="D526" s="55" t="s">
        <v>188</v>
      </c>
      <c r="E526" s="55" t="s">
        <v>193</v>
      </c>
      <c r="F526" s="54"/>
      <c r="G526" s="44" t="s">
        <v>61</v>
      </c>
      <c r="H526" s="54"/>
      <c r="I526" s="54"/>
      <c r="J526" s="54"/>
      <c r="K526" s="55" t="s">
        <v>61</v>
      </c>
      <c r="L526" s="54"/>
      <c r="M526" s="54"/>
      <c r="N526" s="54"/>
      <c r="O526" s="54"/>
      <c r="P526" s="54"/>
      <c r="Q526" s="67" t="str">
        <f>IFERROR(__xludf.DUMMYFUNCTION("""COMPUTED_VALUE"""),"!!!")</f>
        <v>!!!</v>
      </c>
      <c r="R526" s="67" t="str">
        <f>IFERROR(__xludf.DUMMYFUNCTION("""COMPUTED_VALUE"""),"!!!")</f>
        <v>!!!</v>
      </c>
      <c r="S526" s="67" t="str">
        <f>IFERROR(__xludf.DUMMYFUNCTION("""COMPUTED_VALUE"""),"!!!")</f>
        <v>!!!</v>
      </c>
      <c r="T52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27">
      <c r="A527" s="72"/>
      <c r="B527" s="60" t="s">
        <v>6754</v>
      </c>
      <c r="C527" s="67" t="str">
        <f>IFERROR(__xludf.DUMMYFUNCTION("""COMPUTED_VALUE"""),"LD237")</f>
        <v>LD237</v>
      </c>
      <c r="D527" s="55" t="s">
        <v>188</v>
      </c>
      <c r="E527" s="55" t="s">
        <v>193</v>
      </c>
      <c r="F527" s="54"/>
      <c r="G527" s="44" t="s">
        <v>61</v>
      </c>
      <c r="H527" s="54"/>
      <c r="I527" s="54"/>
      <c r="J527" s="54"/>
      <c r="K527" s="55" t="s">
        <v>61</v>
      </c>
      <c r="L527" s="54"/>
      <c r="M527" s="54"/>
      <c r="N527" s="54"/>
      <c r="O527" s="54"/>
      <c r="P527" s="54"/>
      <c r="Q527" s="67" t="str">
        <f>IFERROR(__xludf.DUMMYFUNCTION("""COMPUTED_VALUE"""),"!!!")</f>
        <v>!!!</v>
      </c>
      <c r="R527" s="67" t="str">
        <f>IFERROR(__xludf.DUMMYFUNCTION("""COMPUTED_VALUE"""),"!!!")</f>
        <v>!!!</v>
      </c>
      <c r="S527" s="67" t="str">
        <f>IFERROR(__xludf.DUMMYFUNCTION("""COMPUTED_VALUE"""),"!!!")</f>
        <v>!!!</v>
      </c>
      <c r="T52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28">
      <c r="A528" s="72"/>
      <c r="B528" s="60" t="s">
        <v>6754</v>
      </c>
      <c r="C528" s="67" t="str">
        <f>IFERROR(__xludf.DUMMYFUNCTION("""COMPUTED_VALUE"""),"LD237")</f>
        <v>LD237</v>
      </c>
      <c r="D528" s="55" t="s">
        <v>188</v>
      </c>
      <c r="E528" s="55" t="s">
        <v>193</v>
      </c>
      <c r="F528" s="54"/>
      <c r="G528" s="44" t="s">
        <v>61</v>
      </c>
      <c r="H528" s="54"/>
      <c r="I528" s="54"/>
      <c r="J528" s="54"/>
      <c r="K528" s="55" t="s">
        <v>61</v>
      </c>
      <c r="L528" s="54"/>
      <c r="M528" s="54"/>
      <c r="N528" s="54"/>
      <c r="O528" s="54"/>
      <c r="P528" s="54"/>
      <c r="Q528" s="67" t="str">
        <f>IFERROR(__xludf.DUMMYFUNCTION("""COMPUTED_VALUE"""),"!!!")</f>
        <v>!!!</v>
      </c>
      <c r="R528" s="67" t="str">
        <f>IFERROR(__xludf.DUMMYFUNCTION("""COMPUTED_VALUE"""),"!!!")</f>
        <v>!!!</v>
      </c>
      <c r="S528" s="67" t="str">
        <f>IFERROR(__xludf.DUMMYFUNCTION("""COMPUTED_VALUE"""),"!!!")</f>
        <v>!!!</v>
      </c>
      <c r="T52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29">
      <c r="A529" s="72"/>
      <c r="B529" s="60" t="s">
        <v>6754</v>
      </c>
      <c r="C529" s="67" t="str">
        <f>IFERROR(__xludf.DUMMYFUNCTION("""COMPUTED_VALUE"""),"LD237")</f>
        <v>LD237</v>
      </c>
      <c r="D529" s="55" t="s">
        <v>188</v>
      </c>
      <c r="E529" s="55" t="s">
        <v>193</v>
      </c>
      <c r="F529" s="54"/>
      <c r="G529" s="44" t="s">
        <v>61</v>
      </c>
      <c r="H529" s="54"/>
      <c r="I529" s="54"/>
      <c r="J529" s="54"/>
      <c r="K529" s="55" t="s">
        <v>61</v>
      </c>
      <c r="L529" s="54"/>
      <c r="M529" s="54"/>
      <c r="N529" s="54"/>
      <c r="O529" s="54"/>
      <c r="P529" s="54"/>
      <c r="Q529" s="67" t="str">
        <f>IFERROR(__xludf.DUMMYFUNCTION("""COMPUTED_VALUE"""),"!!!")</f>
        <v>!!!</v>
      </c>
      <c r="R529" s="67" t="str">
        <f>IFERROR(__xludf.DUMMYFUNCTION("""COMPUTED_VALUE"""),"!!!")</f>
        <v>!!!</v>
      </c>
      <c r="S529" s="67" t="str">
        <f>IFERROR(__xludf.DUMMYFUNCTION("""COMPUTED_VALUE"""),"!!!")</f>
        <v>!!!</v>
      </c>
      <c r="T52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30">
      <c r="A530" s="72"/>
      <c r="B530" s="60" t="s">
        <v>6754</v>
      </c>
      <c r="C530" s="67" t="str">
        <f>IFERROR(__xludf.DUMMYFUNCTION("""COMPUTED_VALUE"""),"LD237")</f>
        <v>LD237</v>
      </c>
      <c r="D530" s="55" t="s">
        <v>188</v>
      </c>
      <c r="E530" s="55" t="s">
        <v>193</v>
      </c>
      <c r="F530" s="54"/>
      <c r="G530" s="44" t="s">
        <v>61</v>
      </c>
      <c r="H530" s="54"/>
      <c r="I530" s="54"/>
      <c r="J530" s="54"/>
      <c r="K530" s="55" t="s">
        <v>61</v>
      </c>
      <c r="L530" s="54"/>
      <c r="M530" s="54"/>
      <c r="N530" s="54"/>
      <c r="O530" s="54"/>
      <c r="P530" s="54"/>
      <c r="Q530" s="67" t="str">
        <f>IFERROR(__xludf.DUMMYFUNCTION("""COMPUTED_VALUE"""),"!!!")</f>
        <v>!!!</v>
      </c>
      <c r="R530" s="67" t="str">
        <f>IFERROR(__xludf.DUMMYFUNCTION("""COMPUTED_VALUE"""),"!!!")</f>
        <v>!!!</v>
      </c>
      <c r="S530" s="67" t="str">
        <f>IFERROR(__xludf.DUMMYFUNCTION("""COMPUTED_VALUE"""),"!!!")</f>
        <v>!!!</v>
      </c>
      <c r="T53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31">
      <c r="A531" s="72"/>
      <c r="B531" s="60" t="s">
        <v>6754</v>
      </c>
      <c r="C531" s="67" t="str">
        <f>IFERROR(__xludf.DUMMYFUNCTION("""COMPUTED_VALUE"""),"LD237")</f>
        <v>LD237</v>
      </c>
      <c r="D531" s="55" t="s">
        <v>188</v>
      </c>
      <c r="E531" s="55" t="s">
        <v>193</v>
      </c>
      <c r="F531" s="54"/>
      <c r="G531" s="44" t="s">
        <v>61</v>
      </c>
      <c r="H531" s="54"/>
      <c r="I531" s="54"/>
      <c r="J531" s="54"/>
      <c r="K531" s="55" t="s">
        <v>61</v>
      </c>
      <c r="L531" s="54"/>
      <c r="M531" s="54"/>
      <c r="N531" s="54"/>
      <c r="O531" s="54"/>
      <c r="P531" s="54"/>
      <c r="Q531" s="67" t="str">
        <f>IFERROR(__xludf.DUMMYFUNCTION("""COMPUTED_VALUE"""),"!!!")</f>
        <v>!!!</v>
      </c>
      <c r="R531" s="67" t="str">
        <f>IFERROR(__xludf.DUMMYFUNCTION("""COMPUTED_VALUE"""),"!!!")</f>
        <v>!!!</v>
      </c>
      <c r="S531" s="67" t="str">
        <f>IFERROR(__xludf.DUMMYFUNCTION("""COMPUTED_VALUE"""),"!!!")</f>
        <v>!!!</v>
      </c>
      <c r="T53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32">
      <c r="A532" s="72"/>
      <c r="B532" s="60" t="s">
        <v>6754</v>
      </c>
      <c r="C532" s="67" t="str">
        <f>IFERROR(__xludf.DUMMYFUNCTION("""COMPUTED_VALUE"""),"LD237")</f>
        <v>LD237</v>
      </c>
      <c r="D532" s="55" t="s">
        <v>188</v>
      </c>
      <c r="E532" s="55" t="s">
        <v>193</v>
      </c>
      <c r="F532" s="54"/>
      <c r="G532" s="44" t="s">
        <v>61</v>
      </c>
      <c r="H532" s="54"/>
      <c r="I532" s="54"/>
      <c r="J532" s="54"/>
      <c r="K532" s="55" t="s">
        <v>61</v>
      </c>
      <c r="L532" s="54"/>
      <c r="M532" s="54"/>
      <c r="N532" s="54"/>
      <c r="O532" s="54"/>
      <c r="P532" s="54"/>
      <c r="Q532" s="67" t="str">
        <f>IFERROR(__xludf.DUMMYFUNCTION("""COMPUTED_VALUE"""),"!!!")</f>
        <v>!!!</v>
      </c>
      <c r="R532" s="67" t="str">
        <f>IFERROR(__xludf.DUMMYFUNCTION("""COMPUTED_VALUE"""),"!!!")</f>
        <v>!!!</v>
      </c>
      <c r="S532" s="67" t="str">
        <f>IFERROR(__xludf.DUMMYFUNCTION("""COMPUTED_VALUE"""),"!!!")</f>
        <v>!!!</v>
      </c>
      <c r="T53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33">
      <c r="A533" s="72"/>
      <c r="B533" s="60" t="s">
        <v>6754</v>
      </c>
      <c r="C533" s="67" t="str">
        <f>IFERROR(__xludf.DUMMYFUNCTION("""COMPUTED_VALUE"""),"LD237")</f>
        <v>LD237</v>
      </c>
      <c r="D533" s="55" t="s">
        <v>188</v>
      </c>
      <c r="E533" s="55" t="s">
        <v>193</v>
      </c>
      <c r="F533" s="54"/>
      <c r="G533" s="44" t="s">
        <v>61</v>
      </c>
      <c r="H533" s="54"/>
      <c r="I533" s="54"/>
      <c r="J533" s="54"/>
      <c r="K533" s="55" t="s">
        <v>61</v>
      </c>
      <c r="L533" s="54"/>
      <c r="M533" s="54"/>
      <c r="N533" s="54"/>
      <c r="O533" s="54"/>
      <c r="P533" s="54"/>
      <c r="Q533" s="67" t="str">
        <f>IFERROR(__xludf.DUMMYFUNCTION("""COMPUTED_VALUE"""),"!!!")</f>
        <v>!!!</v>
      </c>
      <c r="R533" s="67" t="str">
        <f>IFERROR(__xludf.DUMMYFUNCTION("""COMPUTED_VALUE"""),"!!!")</f>
        <v>!!!</v>
      </c>
      <c r="S533" s="67" t="str">
        <f>IFERROR(__xludf.DUMMYFUNCTION("""COMPUTED_VALUE"""),"!!!")</f>
        <v>!!!</v>
      </c>
      <c r="T53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34">
      <c r="A534" s="72"/>
      <c r="B534" s="60" t="s">
        <v>6754</v>
      </c>
      <c r="C534" s="67" t="str">
        <f>IFERROR(__xludf.DUMMYFUNCTION("""COMPUTED_VALUE"""),"LD237")</f>
        <v>LD237</v>
      </c>
      <c r="D534" s="55" t="s">
        <v>188</v>
      </c>
      <c r="E534" s="55" t="s">
        <v>193</v>
      </c>
      <c r="F534" s="54"/>
      <c r="G534" s="44" t="s">
        <v>61</v>
      </c>
      <c r="H534" s="54"/>
      <c r="I534" s="54"/>
      <c r="J534" s="54"/>
      <c r="K534" s="55" t="s">
        <v>61</v>
      </c>
      <c r="L534" s="54"/>
      <c r="M534" s="54"/>
      <c r="N534" s="54"/>
      <c r="O534" s="54"/>
      <c r="P534" s="54"/>
      <c r="Q534" s="67" t="str">
        <f>IFERROR(__xludf.DUMMYFUNCTION("""COMPUTED_VALUE"""),"!!!")</f>
        <v>!!!</v>
      </c>
      <c r="R534" s="67" t="str">
        <f>IFERROR(__xludf.DUMMYFUNCTION("""COMPUTED_VALUE"""),"!!!")</f>
        <v>!!!</v>
      </c>
      <c r="S534" s="67" t="str">
        <f>IFERROR(__xludf.DUMMYFUNCTION("""COMPUTED_VALUE"""),"!!!")</f>
        <v>!!!</v>
      </c>
      <c r="T53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35">
      <c r="A535" s="72"/>
      <c r="B535" s="60" t="s">
        <v>6754</v>
      </c>
      <c r="C535" s="67" t="str">
        <f>IFERROR(__xludf.DUMMYFUNCTION("""COMPUTED_VALUE"""),"LD237")</f>
        <v>LD237</v>
      </c>
      <c r="D535" s="55" t="s">
        <v>188</v>
      </c>
      <c r="E535" s="55" t="s">
        <v>193</v>
      </c>
      <c r="F535" s="54"/>
      <c r="G535" s="44" t="s">
        <v>61</v>
      </c>
      <c r="H535" s="54"/>
      <c r="I535" s="54"/>
      <c r="J535" s="54"/>
      <c r="K535" s="55" t="s">
        <v>61</v>
      </c>
      <c r="L535" s="54"/>
      <c r="M535" s="54"/>
      <c r="N535" s="54"/>
      <c r="O535" s="54"/>
      <c r="P535" s="54"/>
      <c r="Q535" s="67" t="str">
        <f>IFERROR(__xludf.DUMMYFUNCTION("""COMPUTED_VALUE"""),"!!!")</f>
        <v>!!!</v>
      </c>
      <c r="R535" s="67" t="str">
        <f>IFERROR(__xludf.DUMMYFUNCTION("""COMPUTED_VALUE"""),"!!!")</f>
        <v>!!!</v>
      </c>
      <c r="S535" s="67" t="str">
        <f>IFERROR(__xludf.DUMMYFUNCTION("""COMPUTED_VALUE"""),"!!!")</f>
        <v>!!!</v>
      </c>
      <c r="T53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36">
      <c r="A536" s="72"/>
      <c r="B536" s="60" t="s">
        <v>6754</v>
      </c>
      <c r="C536" s="67" t="str">
        <f>IFERROR(__xludf.DUMMYFUNCTION("""COMPUTED_VALUE"""),"LD237")</f>
        <v>LD237</v>
      </c>
      <c r="D536" s="55" t="s">
        <v>188</v>
      </c>
      <c r="E536" s="55" t="s">
        <v>193</v>
      </c>
      <c r="F536" s="54"/>
      <c r="G536" s="44" t="s">
        <v>61</v>
      </c>
      <c r="H536" s="54"/>
      <c r="I536" s="54"/>
      <c r="J536" s="54"/>
      <c r="K536" s="55" t="s">
        <v>61</v>
      </c>
      <c r="L536" s="54"/>
      <c r="M536" s="54"/>
      <c r="N536" s="54"/>
      <c r="O536" s="54"/>
      <c r="P536" s="54"/>
      <c r="Q536" s="67" t="str">
        <f>IFERROR(__xludf.DUMMYFUNCTION("""COMPUTED_VALUE"""),"!!!")</f>
        <v>!!!</v>
      </c>
      <c r="R536" s="67" t="str">
        <f>IFERROR(__xludf.DUMMYFUNCTION("""COMPUTED_VALUE"""),"!!!")</f>
        <v>!!!</v>
      </c>
      <c r="S536" s="67" t="str">
        <f>IFERROR(__xludf.DUMMYFUNCTION("""COMPUTED_VALUE"""),"!!!")</f>
        <v>!!!</v>
      </c>
      <c r="T53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37">
      <c r="A537" s="72"/>
      <c r="B537" s="60" t="s">
        <v>6754</v>
      </c>
      <c r="C537" s="67" t="str">
        <f>IFERROR(__xludf.DUMMYFUNCTION("""COMPUTED_VALUE"""),"LD237")</f>
        <v>LD237</v>
      </c>
      <c r="D537" s="55" t="s">
        <v>188</v>
      </c>
      <c r="E537" s="55" t="s">
        <v>193</v>
      </c>
      <c r="F537" s="54"/>
      <c r="G537" s="44" t="s">
        <v>61</v>
      </c>
      <c r="H537" s="54"/>
      <c r="I537" s="54"/>
      <c r="J537" s="54"/>
      <c r="K537" s="55" t="s">
        <v>61</v>
      </c>
      <c r="L537" s="54"/>
      <c r="M537" s="54"/>
      <c r="N537" s="54"/>
      <c r="O537" s="54"/>
      <c r="P537" s="54"/>
      <c r="Q537" s="67" t="str">
        <f>IFERROR(__xludf.DUMMYFUNCTION("""COMPUTED_VALUE"""),"!!!")</f>
        <v>!!!</v>
      </c>
      <c r="R537" s="67" t="str">
        <f>IFERROR(__xludf.DUMMYFUNCTION("""COMPUTED_VALUE"""),"!!!")</f>
        <v>!!!</v>
      </c>
      <c r="S537" s="67" t="str">
        <f>IFERROR(__xludf.DUMMYFUNCTION("""COMPUTED_VALUE"""),"!!!")</f>
        <v>!!!</v>
      </c>
      <c r="T53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38">
      <c r="A538" s="72"/>
      <c r="B538" s="60" t="s">
        <v>6754</v>
      </c>
      <c r="C538" s="67" t="str">
        <f>IFERROR(__xludf.DUMMYFUNCTION("""COMPUTED_VALUE"""),"LD237")</f>
        <v>LD237</v>
      </c>
      <c r="D538" s="55" t="s">
        <v>188</v>
      </c>
      <c r="E538" s="55" t="s">
        <v>193</v>
      </c>
      <c r="F538" s="54"/>
      <c r="G538" s="44" t="s">
        <v>61</v>
      </c>
      <c r="H538" s="54"/>
      <c r="I538" s="54"/>
      <c r="J538" s="54"/>
      <c r="K538" s="55" t="s">
        <v>61</v>
      </c>
      <c r="L538" s="54"/>
      <c r="M538" s="54"/>
      <c r="N538" s="54"/>
      <c r="O538" s="54"/>
      <c r="P538" s="54"/>
      <c r="Q538" s="67" t="str">
        <f>IFERROR(__xludf.DUMMYFUNCTION("""COMPUTED_VALUE"""),"!!!")</f>
        <v>!!!</v>
      </c>
      <c r="R538" s="67" t="str">
        <f>IFERROR(__xludf.DUMMYFUNCTION("""COMPUTED_VALUE"""),"!!!")</f>
        <v>!!!</v>
      </c>
      <c r="S538" s="67" t="str">
        <f>IFERROR(__xludf.DUMMYFUNCTION("""COMPUTED_VALUE"""),"!!!")</f>
        <v>!!!</v>
      </c>
      <c r="T53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39">
      <c r="A539" s="72"/>
      <c r="B539" s="60" t="s">
        <v>6754</v>
      </c>
      <c r="C539" s="67" t="str">
        <f>IFERROR(__xludf.DUMMYFUNCTION("""COMPUTED_VALUE"""),"LD237")</f>
        <v>LD237</v>
      </c>
      <c r="D539" s="55" t="s">
        <v>188</v>
      </c>
      <c r="E539" s="55" t="s">
        <v>193</v>
      </c>
      <c r="F539" s="54"/>
      <c r="G539" s="44" t="s">
        <v>61</v>
      </c>
      <c r="H539" s="54"/>
      <c r="I539" s="54"/>
      <c r="J539" s="54"/>
      <c r="K539" s="55" t="s">
        <v>61</v>
      </c>
      <c r="L539" s="54"/>
      <c r="M539" s="54"/>
      <c r="N539" s="54"/>
      <c r="O539" s="54"/>
      <c r="P539" s="54"/>
      <c r="Q539" s="67" t="str">
        <f>IFERROR(__xludf.DUMMYFUNCTION("""COMPUTED_VALUE"""),"!!!")</f>
        <v>!!!</v>
      </c>
      <c r="R539" s="67" t="str">
        <f>IFERROR(__xludf.DUMMYFUNCTION("""COMPUTED_VALUE"""),"!!!")</f>
        <v>!!!</v>
      </c>
      <c r="S539" s="67" t="str">
        <f>IFERROR(__xludf.DUMMYFUNCTION("""COMPUTED_VALUE"""),"!!!")</f>
        <v>!!!</v>
      </c>
      <c r="T53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40">
      <c r="A540" s="72"/>
      <c r="B540" s="60" t="s">
        <v>6754</v>
      </c>
      <c r="C540" s="67" t="str">
        <f>IFERROR(__xludf.DUMMYFUNCTION("""COMPUTED_VALUE"""),"LD237")</f>
        <v>LD237</v>
      </c>
      <c r="D540" s="55" t="s">
        <v>188</v>
      </c>
      <c r="E540" s="55" t="s">
        <v>193</v>
      </c>
      <c r="F540" s="54"/>
      <c r="G540" s="44" t="s">
        <v>61</v>
      </c>
      <c r="H540" s="54"/>
      <c r="I540" s="54"/>
      <c r="J540" s="54"/>
      <c r="K540" s="55" t="s">
        <v>61</v>
      </c>
      <c r="L540" s="54"/>
      <c r="M540" s="54"/>
      <c r="N540" s="54"/>
      <c r="O540" s="54"/>
      <c r="P540" s="54"/>
      <c r="Q540" s="67" t="str">
        <f>IFERROR(__xludf.DUMMYFUNCTION("""COMPUTED_VALUE"""),"!!!")</f>
        <v>!!!</v>
      </c>
      <c r="R540" s="67" t="str">
        <f>IFERROR(__xludf.DUMMYFUNCTION("""COMPUTED_VALUE"""),"!!!")</f>
        <v>!!!</v>
      </c>
      <c r="S540" s="67" t="str">
        <f>IFERROR(__xludf.DUMMYFUNCTION("""COMPUTED_VALUE"""),"!!!")</f>
        <v>!!!</v>
      </c>
      <c r="T54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41">
      <c r="A541" s="72"/>
      <c r="B541" s="60" t="s">
        <v>6754</v>
      </c>
      <c r="C541" s="67" t="str">
        <f>IFERROR(__xludf.DUMMYFUNCTION("""COMPUTED_VALUE"""),"LD237")</f>
        <v>LD237</v>
      </c>
      <c r="D541" s="55" t="s">
        <v>188</v>
      </c>
      <c r="E541" s="55" t="s">
        <v>193</v>
      </c>
      <c r="F541" s="54"/>
      <c r="G541" s="44" t="s">
        <v>61</v>
      </c>
      <c r="H541" s="54"/>
      <c r="I541" s="54"/>
      <c r="J541" s="54"/>
      <c r="K541" s="55" t="s">
        <v>61</v>
      </c>
      <c r="L541" s="54"/>
      <c r="M541" s="54"/>
      <c r="N541" s="54"/>
      <c r="O541" s="54"/>
      <c r="P541" s="54"/>
      <c r="Q541" s="67" t="str">
        <f>IFERROR(__xludf.DUMMYFUNCTION("""COMPUTED_VALUE"""),"!!!")</f>
        <v>!!!</v>
      </c>
      <c r="R541" s="67" t="str">
        <f>IFERROR(__xludf.DUMMYFUNCTION("""COMPUTED_VALUE"""),"!!!")</f>
        <v>!!!</v>
      </c>
      <c r="S541" s="67" t="str">
        <f>IFERROR(__xludf.DUMMYFUNCTION("""COMPUTED_VALUE"""),"!!!")</f>
        <v>!!!</v>
      </c>
      <c r="T54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42">
      <c r="A542" s="72"/>
      <c r="B542" s="60" t="s">
        <v>6754</v>
      </c>
      <c r="C542" s="67" t="str">
        <f>IFERROR(__xludf.DUMMYFUNCTION("""COMPUTED_VALUE"""),"LD237")</f>
        <v>LD237</v>
      </c>
      <c r="D542" s="55" t="s">
        <v>188</v>
      </c>
      <c r="E542" s="55" t="s">
        <v>193</v>
      </c>
      <c r="F542" s="54"/>
      <c r="G542" s="44" t="s">
        <v>61</v>
      </c>
      <c r="H542" s="54"/>
      <c r="I542" s="54"/>
      <c r="J542" s="54"/>
      <c r="K542" s="55" t="s">
        <v>61</v>
      </c>
      <c r="L542" s="54"/>
      <c r="M542" s="54"/>
      <c r="N542" s="54"/>
      <c r="O542" s="54"/>
      <c r="P542" s="54"/>
      <c r="Q542" s="67" t="str">
        <f>IFERROR(__xludf.DUMMYFUNCTION("""COMPUTED_VALUE"""),"!!!")</f>
        <v>!!!</v>
      </c>
      <c r="R542" s="67" t="str">
        <f>IFERROR(__xludf.DUMMYFUNCTION("""COMPUTED_VALUE"""),"!!!")</f>
        <v>!!!</v>
      </c>
      <c r="S542" s="67" t="str">
        <f>IFERROR(__xludf.DUMMYFUNCTION("""COMPUTED_VALUE"""),"!!!")</f>
        <v>!!!</v>
      </c>
      <c r="T54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43">
      <c r="A543" s="72"/>
      <c r="B543" s="60" t="s">
        <v>6754</v>
      </c>
      <c r="C543" s="67" t="str">
        <f>IFERROR(__xludf.DUMMYFUNCTION("""COMPUTED_VALUE"""),"LD237")</f>
        <v>LD237</v>
      </c>
      <c r="D543" s="55" t="s">
        <v>188</v>
      </c>
      <c r="E543" s="55" t="s">
        <v>193</v>
      </c>
      <c r="F543" s="54"/>
      <c r="G543" s="44" t="s">
        <v>61</v>
      </c>
      <c r="H543" s="54"/>
      <c r="I543" s="54"/>
      <c r="J543" s="54"/>
      <c r="K543" s="55" t="s">
        <v>61</v>
      </c>
      <c r="L543" s="54"/>
      <c r="M543" s="54"/>
      <c r="N543" s="54"/>
      <c r="O543" s="54"/>
      <c r="P543" s="54"/>
      <c r="Q543" s="67" t="str">
        <f>IFERROR(__xludf.DUMMYFUNCTION("""COMPUTED_VALUE"""),"!!!")</f>
        <v>!!!</v>
      </c>
      <c r="R543" s="67" t="str">
        <f>IFERROR(__xludf.DUMMYFUNCTION("""COMPUTED_VALUE"""),"!!!")</f>
        <v>!!!</v>
      </c>
      <c r="S543" s="67" t="str">
        <f>IFERROR(__xludf.DUMMYFUNCTION("""COMPUTED_VALUE"""),"!!!")</f>
        <v>!!!</v>
      </c>
      <c r="T54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44">
      <c r="A544" s="72"/>
      <c r="B544" s="60" t="s">
        <v>6754</v>
      </c>
      <c r="C544" s="67" t="str">
        <f>IFERROR(__xludf.DUMMYFUNCTION("""COMPUTED_VALUE"""),"LD237")</f>
        <v>LD237</v>
      </c>
      <c r="D544" s="55" t="s">
        <v>188</v>
      </c>
      <c r="E544" s="55" t="s">
        <v>193</v>
      </c>
      <c r="F544" s="54"/>
      <c r="G544" s="44" t="s">
        <v>61</v>
      </c>
      <c r="H544" s="54"/>
      <c r="I544" s="54"/>
      <c r="J544" s="54"/>
      <c r="K544" s="55" t="s">
        <v>61</v>
      </c>
      <c r="L544" s="54"/>
      <c r="M544" s="54"/>
      <c r="N544" s="54"/>
      <c r="O544" s="54"/>
      <c r="P544" s="54"/>
      <c r="Q544" s="67" t="str">
        <f>IFERROR(__xludf.DUMMYFUNCTION("""COMPUTED_VALUE"""),"!!!")</f>
        <v>!!!</v>
      </c>
      <c r="R544" s="67" t="str">
        <f>IFERROR(__xludf.DUMMYFUNCTION("""COMPUTED_VALUE"""),"!!!")</f>
        <v>!!!</v>
      </c>
      <c r="S544" s="67" t="str">
        <f>IFERROR(__xludf.DUMMYFUNCTION("""COMPUTED_VALUE"""),"!!!")</f>
        <v>!!!</v>
      </c>
      <c r="T54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45">
      <c r="A545" s="72"/>
      <c r="B545" s="60" t="s">
        <v>6754</v>
      </c>
      <c r="C545" s="67" t="str">
        <f>IFERROR(__xludf.DUMMYFUNCTION("""COMPUTED_VALUE"""),"LD237")</f>
        <v>LD237</v>
      </c>
      <c r="D545" s="55" t="s">
        <v>188</v>
      </c>
      <c r="E545" s="55" t="s">
        <v>193</v>
      </c>
      <c r="F545" s="54"/>
      <c r="G545" s="44" t="s">
        <v>61</v>
      </c>
      <c r="H545" s="54"/>
      <c r="I545" s="54"/>
      <c r="J545" s="54"/>
      <c r="K545" s="55" t="s">
        <v>61</v>
      </c>
      <c r="L545" s="54"/>
      <c r="M545" s="54"/>
      <c r="N545" s="54"/>
      <c r="O545" s="54"/>
      <c r="P545" s="54"/>
      <c r="Q545" s="67" t="str">
        <f>IFERROR(__xludf.DUMMYFUNCTION("""COMPUTED_VALUE"""),"!!!")</f>
        <v>!!!</v>
      </c>
      <c r="R545" s="67" t="str">
        <f>IFERROR(__xludf.DUMMYFUNCTION("""COMPUTED_VALUE"""),"!!!")</f>
        <v>!!!</v>
      </c>
      <c r="S545" s="67" t="str">
        <f>IFERROR(__xludf.DUMMYFUNCTION("""COMPUTED_VALUE"""),"!!!")</f>
        <v>!!!</v>
      </c>
      <c r="T54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46">
      <c r="A546" s="72"/>
      <c r="B546" s="60" t="s">
        <v>6754</v>
      </c>
      <c r="C546" s="67" t="str">
        <f>IFERROR(__xludf.DUMMYFUNCTION("""COMPUTED_VALUE"""),"LD237")</f>
        <v>LD237</v>
      </c>
      <c r="D546" s="55" t="s">
        <v>188</v>
      </c>
      <c r="E546" s="55" t="s">
        <v>193</v>
      </c>
      <c r="F546" s="54"/>
      <c r="G546" s="44" t="s">
        <v>61</v>
      </c>
      <c r="H546" s="54"/>
      <c r="I546" s="54"/>
      <c r="J546" s="54"/>
      <c r="K546" s="55" t="s">
        <v>61</v>
      </c>
      <c r="L546" s="54"/>
      <c r="M546" s="54"/>
      <c r="N546" s="54"/>
      <c r="O546" s="54"/>
      <c r="P546" s="54"/>
      <c r="Q546" s="67" t="str">
        <f>IFERROR(__xludf.DUMMYFUNCTION("""COMPUTED_VALUE"""),"!!!")</f>
        <v>!!!</v>
      </c>
      <c r="R546" s="67" t="str">
        <f>IFERROR(__xludf.DUMMYFUNCTION("""COMPUTED_VALUE"""),"!!!")</f>
        <v>!!!</v>
      </c>
      <c r="S546" s="67" t="str">
        <f>IFERROR(__xludf.DUMMYFUNCTION("""COMPUTED_VALUE"""),"!!!")</f>
        <v>!!!</v>
      </c>
      <c r="T54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47">
      <c r="A547" s="72"/>
      <c r="B547" s="60" t="s">
        <v>6754</v>
      </c>
      <c r="C547" s="67" t="str">
        <f>IFERROR(__xludf.DUMMYFUNCTION("""COMPUTED_VALUE"""),"LD237")</f>
        <v>LD237</v>
      </c>
      <c r="D547" s="55" t="s">
        <v>188</v>
      </c>
      <c r="E547" s="55" t="s">
        <v>193</v>
      </c>
      <c r="F547" s="54"/>
      <c r="G547" s="44" t="s">
        <v>61</v>
      </c>
      <c r="H547" s="54"/>
      <c r="I547" s="54"/>
      <c r="J547" s="54"/>
      <c r="K547" s="55" t="s">
        <v>61</v>
      </c>
      <c r="L547" s="54"/>
      <c r="M547" s="54"/>
      <c r="N547" s="54"/>
      <c r="O547" s="54"/>
      <c r="P547" s="54"/>
      <c r="Q547" s="67" t="str">
        <f>IFERROR(__xludf.DUMMYFUNCTION("""COMPUTED_VALUE"""),"!!!")</f>
        <v>!!!</v>
      </c>
      <c r="R547" s="67" t="str">
        <f>IFERROR(__xludf.DUMMYFUNCTION("""COMPUTED_VALUE"""),"!!!")</f>
        <v>!!!</v>
      </c>
      <c r="S547" s="67" t="str">
        <f>IFERROR(__xludf.DUMMYFUNCTION("""COMPUTED_VALUE"""),"!!!")</f>
        <v>!!!</v>
      </c>
      <c r="T54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48">
      <c r="A548" s="72"/>
      <c r="B548" s="60" t="s">
        <v>6754</v>
      </c>
      <c r="C548" s="67" t="str">
        <f>IFERROR(__xludf.DUMMYFUNCTION("""COMPUTED_VALUE"""),"LD237")</f>
        <v>LD237</v>
      </c>
      <c r="D548" s="55" t="s">
        <v>188</v>
      </c>
      <c r="E548" s="55" t="s">
        <v>193</v>
      </c>
      <c r="F548" s="54"/>
      <c r="G548" s="44" t="s">
        <v>61</v>
      </c>
      <c r="H548" s="54"/>
      <c r="I548" s="54"/>
      <c r="J548" s="54"/>
      <c r="K548" s="55" t="s">
        <v>61</v>
      </c>
      <c r="L548" s="54"/>
      <c r="M548" s="54"/>
      <c r="N548" s="54"/>
      <c r="O548" s="54"/>
      <c r="P548" s="54"/>
      <c r="Q548" s="67" t="str">
        <f>IFERROR(__xludf.DUMMYFUNCTION("""COMPUTED_VALUE"""),"!!!")</f>
        <v>!!!</v>
      </c>
      <c r="R548" s="67" t="str">
        <f>IFERROR(__xludf.DUMMYFUNCTION("""COMPUTED_VALUE"""),"!!!")</f>
        <v>!!!</v>
      </c>
      <c r="S548" s="67" t="str">
        <f>IFERROR(__xludf.DUMMYFUNCTION("""COMPUTED_VALUE"""),"!!!")</f>
        <v>!!!</v>
      </c>
      <c r="T54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49">
      <c r="A549" s="72"/>
      <c r="B549" s="60" t="s">
        <v>6754</v>
      </c>
      <c r="C549" s="67" t="str">
        <f>IFERROR(__xludf.DUMMYFUNCTION("""COMPUTED_VALUE"""),"LD237")</f>
        <v>LD237</v>
      </c>
      <c r="D549" s="55" t="s">
        <v>188</v>
      </c>
      <c r="E549" s="55" t="s">
        <v>193</v>
      </c>
      <c r="F549" s="54"/>
      <c r="G549" s="44" t="s">
        <v>61</v>
      </c>
      <c r="H549" s="54"/>
      <c r="I549" s="54"/>
      <c r="J549" s="54"/>
      <c r="K549" s="55" t="s">
        <v>61</v>
      </c>
      <c r="L549" s="54"/>
      <c r="M549" s="54"/>
      <c r="N549" s="54"/>
      <c r="O549" s="54"/>
      <c r="P549" s="54"/>
      <c r="Q549" s="67" t="str">
        <f>IFERROR(__xludf.DUMMYFUNCTION("""COMPUTED_VALUE"""),"!!!")</f>
        <v>!!!</v>
      </c>
      <c r="R549" s="67" t="str">
        <f>IFERROR(__xludf.DUMMYFUNCTION("""COMPUTED_VALUE"""),"!!!")</f>
        <v>!!!</v>
      </c>
      <c r="S549" s="67" t="str">
        <f>IFERROR(__xludf.DUMMYFUNCTION("""COMPUTED_VALUE"""),"!!!")</f>
        <v>!!!</v>
      </c>
      <c r="T54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50">
      <c r="A550" s="72"/>
      <c r="B550" s="60" t="s">
        <v>6754</v>
      </c>
      <c r="C550" s="67" t="str">
        <f>IFERROR(__xludf.DUMMYFUNCTION("""COMPUTED_VALUE"""),"LD237")</f>
        <v>LD237</v>
      </c>
      <c r="D550" s="55" t="s">
        <v>188</v>
      </c>
      <c r="E550" s="55" t="s">
        <v>193</v>
      </c>
      <c r="F550" s="54"/>
      <c r="G550" s="44" t="s">
        <v>61</v>
      </c>
      <c r="H550" s="54"/>
      <c r="I550" s="54"/>
      <c r="J550" s="54"/>
      <c r="K550" s="55" t="s">
        <v>61</v>
      </c>
      <c r="L550" s="54"/>
      <c r="M550" s="54"/>
      <c r="N550" s="54"/>
      <c r="O550" s="54"/>
      <c r="P550" s="54"/>
      <c r="Q550" s="67" t="str">
        <f>IFERROR(__xludf.DUMMYFUNCTION("""COMPUTED_VALUE"""),"!!!")</f>
        <v>!!!</v>
      </c>
      <c r="R550" s="67" t="str">
        <f>IFERROR(__xludf.DUMMYFUNCTION("""COMPUTED_VALUE"""),"!!!")</f>
        <v>!!!</v>
      </c>
      <c r="S550" s="67" t="str">
        <f>IFERROR(__xludf.DUMMYFUNCTION("""COMPUTED_VALUE"""),"!!!")</f>
        <v>!!!</v>
      </c>
      <c r="T55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51">
      <c r="A551" s="72"/>
      <c r="B551" s="60" t="s">
        <v>6754</v>
      </c>
      <c r="C551" s="67" t="str">
        <f>IFERROR(__xludf.DUMMYFUNCTION("""COMPUTED_VALUE"""),"LD237")</f>
        <v>LD237</v>
      </c>
      <c r="D551" s="55" t="s">
        <v>188</v>
      </c>
      <c r="E551" s="55" t="s">
        <v>193</v>
      </c>
      <c r="F551" s="54"/>
      <c r="G551" s="44" t="s">
        <v>61</v>
      </c>
      <c r="H551" s="54"/>
      <c r="I551" s="54"/>
      <c r="J551" s="54"/>
      <c r="K551" s="55" t="s">
        <v>61</v>
      </c>
      <c r="L551" s="54"/>
      <c r="M551" s="54"/>
      <c r="N551" s="54"/>
      <c r="O551" s="54"/>
      <c r="P551" s="54"/>
      <c r="Q551" s="67" t="str">
        <f>IFERROR(__xludf.DUMMYFUNCTION("""COMPUTED_VALUE"""),"!!!")</f>
        <v>!!!</v>
      </c>
      <c r="R551" s="67" t="str">
        <f>IFERROR(__xludf.DUMMYFUNCTION("""COMPUTED_VALUE"""),"!!!")</f>
        <v>!!!</v>
      </c>
      <c r="S551" s="67" t="str">
        <f>IFERROR(__xludf.DUMMYFUNCTION("""COMPUTED_VALUE"""),"!!!")</f>
        <v>!!!</v>
      </c>
      <c r="T55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52">
      <c r="A552" s="72"/>
      <c r="B552" s="60" t="s">
        <v>6754</v>
      </c>
      <c r="C552" s="67" t="str">
        <f>IFERROR(__xludf.DUMMYFUNCTION("""COMPUTED_VALUE"""),"LD237")</f>
        <v>LD237</v>
      </c>
      <c r="D552" s="55" t="s">
        <v>188</v>
      </c>
      <c r="E552" s="55" t="s">
        <v>193</v>
      </c>
      <c r="F552" s="54"/>
      <c r="G552" s="44" t="s">
        <v>61</v>
      </c>
      <c r="H552" s="54"/>
      <c r="I552" s="54"/>
      <c r="J552" s="54"/>
      <c r="K552" s="55" t="s">
        <v>61</v>
      </c>
      <c r="L552" s="54"/>
      <c r="M552" s="54"/>
      <c r="N552" s="54"/>
      <c r="O552" s="54"/>
      <c r="P552" s="54"/>
      <c r="Q552" s="67" t="str">
        <f>IFERROR(__xludf.DUMMYFUNCTION("""COMPUTED_VALUE"""),"!!!")</f>
        <v>!!!</v>
      </c>
      <c r="R552" s="67" t="str">
        <f>IFERROR(__xludf.DUMMYFUNCTION("""COMPUTED_VALUE"""),"!!!")</f>
        <v>!!!</v>
      </c>
      <c r="S552" s="67" t="str">
        <f>IFERROR(__xludf.DUMMYFUNCTION("""COMPUTED_VALUE"""),"!!!")</f>
        <v>!!!</v>
      </c>
      <c r="T55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53">
      <c r="A553" s="72"/>
      <c r="B553" s="60" t="s">
        <v>6754</v>
      </c>
      <c r="C553" s="67" t="str">
        <f>IFERROR(__xludf.DUMMYFUNCTION("""COMPUTED_VALUE"""),"LD237")</f>
        <v>LD237</v>
      </c>
      <c r="D553" s="55" t="s">
        <v>188</v>
      </c>
      <c r="E553" s="55" t="s">
        <v>193</v>
      </c>
      <c r="F553" s="54"/>
      <c r="G553" s="44" t="s">
        <v>61</v>
      </c>
      <c r="H553" s="54"/>
      <c r="I553" s="54"/>
      <c r="J553" s="54"/>
      <c r="K553" s="55" t="s">
        <v>61</v>
      </c>
      <c r="L553" s="54"/>
      <c r="M553" s="54"/>
      <c r="N553" s="54"/>
      <c r="O553" s="54"/>
      <c r="P553" s="54"/>
      <c r="Q553" s="67" t="str">
        <f>IFERROR(__xludf.DUMMYFUNCTION("""COMPUTED_VALUE"""),"!!!")</f>
        <v>!!!</v>
      </c>
      <c r="R553" s="67" t="str">
        <f>IFERROR(__xludf.DUMMYFUNCTION("""COMPUTED_VALUE"""),"!!!")</f>
        <v>!!!</v>
      </c>
      <c r="S553" s="67" t="str">
        <f>IFERROR(__xludf.DUMMYFUNCTION("""COMPUTED_VALUE"""),"!!!")</f>
        <v>!!!</v>
      </c>
      <c r="T55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54">
      <c r="A554" s="72"/>
      <c r="B554" s="60" t="s">
        <v>6754</v>
      </c>
      <c r="C554" s="67" t="str">
        <f>IFERROR(__xludf.DUMMYFUNCTION("""COMPUTED_VALUE"""),"LD237")</f>
        <v>LD237</v>
      </c>
      <c r="D554" s="55" t="s">
        <v>188</v>
      </c>
      <c r="E554" s="55" t="s">
        <v>193</v>
      </c>
      <c r="F554" s="54"/>
      <c r="G554" s="44" t="s">
        <v>61</v>
      </c>
      <c r="H554" s="54"/>
      <c r="I554" s="54"/>
      <c r="J554" s="54"/>
      <c r="K554" s="55" t="s">
        <v>61</v>
      </c>
      <c r="L554" s="54"/>
      <c r="M554" s="54"/>
      <c r="N554" s="54"/>
      <c r="O554" s="54"/>
      <c r="P554" s="54"/>
      <c r="Q554" s="67" t="str">
        <f>IFERROR(__xludf.DUMMYFUNCTION("""COMPUTED_VALUE"""),"!!!")</f>
        <v>!!!</v>
      </c>
      <c r="R554" s="67" t="str">
        <f>IFERROR(__xludf.DUMMYFUNCTION("""COMPUTED_VALUE"""),"!!!")</f>
        <v>!!!</v>
      </c>
      <c r="S554" s="67" t="str">
        <f>IFERROR(__xludf.DUMMYFUNCTION("""COMPUTED_VALUE"""),"!!!")</f>
        <v>!!!</v>
      </c>
      <c r="T55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55">
      <c r="A555" s="72"/>
      <c r="B555" s="60" t="s">
        <v>6754</v>
      </c>
      <c r="C555" s="67" t="str">
        <f>IFERROR(__xludf.DUMMYFUNCTION("""COMPUTED_VALUE"""),"LD237")</f>
        <v>LD237</v>
      </c>
      <c r="D555" s="55" t="s">
        <v>188</v>
      </c>
      <c r="E555" s="55" t="s">
        <v>193</v>
      </c>
      <c r="F555" s="54"/>
      <c r="G555" s="44" t="s">
        <v>61</v>
      </c>
      <c r="H555" s="54"/>
      <c r="I555" s="54"/>
      <c r="J555" s="54"/>
      <c r="K555" s="55" t="s">
        <v>61</v>
      </c>
      <c r="L555" s="54"/>
      <c r="M555" s="54"/>
      <c r="N555" s="54"/>
      <c r="O555" s="54"/>
      <c r="P555" s="54"/>
      <c r="Q555" s="67" t="str">
        <f>IFERROR(__xludf.DUMMYFUNCTION("""COMPUTED_VALUE"""),"!!!")</f>
        <v>!!!</v>
      </c>
      <c r="R555" s="67" t="str">
        <f>IFERROR(__xludf.DUMMYFUNCTION("""COMPUTED_VALUE"""),"!!!")</f>
        <v>!!!</v>
      </c>
      <c r="S555" s="67" t="str">
        <f>IFERROR(__xludf.DUMMYFUNCTION("""COMPUTED_VALUE"""),"!!!")</f>
        <v>!!!</v>
      </c>
      <c r="T55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56">
      <c r="A556" s="72"/>
      <c r="B556" s="60" t="s">
        <v>6754</v>
      </c>
      <c r="C556" s="67" t="str">
        <f>IFERROR(__xludf.DUMMYFUNCTION("""COMPUTED_VALUE"""),"LD237")</f>
        <v>LD237</v>
      </c>
      <c r="D556" s="55" t="s">
        <v>188</v>
      </c>
      <c r="E556" s="55" t="s">
        <v>193</v>
      </c>
      <c r="F556" s="54"/>
      <c r="G556" s="44" t="s">
        <v>61</v>
      </c>
      <c r="H556" s="54"/>
      <c r="I556" s="54"/>
      <c r="J556" s="54"/>
      <c r="K556" s="55" t="s">
        <v>61</v>
      </c>
      <c r="L556" s="54"/>
      <c r="M556" s="54"/>
      <c r="N556" s="54"/>
      <c r="O556" s="54"/>
      <c r="P556" s="54"/>
      <c r="Q556" s="67" t="str">
        <f>IFERROR(__xludf.DUMMYFUNCTION("""COMPUTED_VALUE"""),"!!!")</f>
        <v>!!!</v>
      </c>
      <c r="R556" s="67" t="str">
        <f>IFERROR(__xludf.DUMMYFUNCTION("""COMPUTED_VALUE"""),"!!!")</f>
        <v>!!!</v>
      </c>
      <c r="S556" s="67" t="str">
        <f>IFERROR(__xludf.DUMMYFUNCTION("""COMPUTED_VALUE"""),"!!!")</f>
        <v>!!!</v>
      </c>
      <c r="T55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57">
      <c r="A557" s="72"/>
      <c r="B557" s="60" t="s">
        <v>6754</v>
      </c>
      <c r="C557" s="67" t="str">
        <f>IFERROR(__xludf.DUMMYFUNCTION("""COMPUTED_VALUE"""),"LD237")</f>
        <v>LD237</v>
      </c>
      <c r="D557" s="55" t="s">
        <v>188</v>
      </c>
      <c r="E557" s="55" t="s">
        <v>193</v>
      </c>
      <c r="F557" s="54"/>
      <c r="G557" s="44" t="s">
        <v>61</v>
      </c>
      <c r="H557" s="54"/>
      <c r="I557" s="54"/>
      <c r="J557" s="54"/>
      <c r="K557" s="55" t="s">
        <v>61</v>
      </c>
      <c r="L557" s="54"/>
      <c r="M557" s="54"/>
      <c r="N557" s="54"/>
      <c r="O557" s="54"/>
      <c r="P557" s="54"/>
      <c r="Q557" s="67" t="str">
        <f>IFERROR(__xludf.DUMMYFUNCTION("""COMPUTED_VALUE"""),"!!!")</f>
        <v>!!!</v>
      </c>
      <c r="R557" s="67" t="str">
        <f>IFERROR(__xludf.DUMMYFUNCTION("""COMPUTED_VALUE"""),"!!!")</f>
        <v>!!!</v>
      </c>
      <c r="S557" s="67" t="str">
        <f>IFERROR(__xludf.DUMMYFUNCTION("""COMPUTED_VALUE"""),"!!!")</f>
        <v>!!!</v>
      </c>
      <c r="T55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58">
      <c r="A558" s="72"/>
      <c r="B558" s="60" t="s">
        <v>6754</v>
      </c>
      <c r="C558" s="67" t="str">
        <f>IFERROR(__xludf.DUMMYFUNCTION("""COMPUTED_VALUE"""),"LD237")</f>
        <v>LD237</v>
      </c>
      <c r="D558" s="55" t="s">
        <v>188</v>
      </c>
      <c r="E558" s="55" t="s">
        <v>193</v>
      </c>
      <c r="F558" s="54"/>
      <c r="G558" s="44" t="s">
        <v>61</v>
      </c>
      <c r="H558" s="54"/>
      <c r="I558" s="54"/>
      <c r="J558" s="54"/>
      <c r="K558" s="55" t="s">
        <v>61</v>
      </c>
      <c r="L558" s="54"/>
      <c r="M558" s="54"/>
      <c r="N558" s="54"/>
      <c r="O558" s="54"/>
      <c r="P558" s="54"/>
      <c r="Q558" s="67" t="str">
        <f>IFERROR(__xludf.DUMMYFUNCTION("""COMPUTED_VALUE"""),"!!!")</f>
        <v>!!!</v>
      </c>
      <c r="R558" s="67" t="str">
        <f>IFERROR(__xludf.DUMMYFUNCTION("""COMPUTED_VALUE"""),"!!!")</f>
        <v>!!!</v>
      </c>
      <c r="S558" s="67" t="str">
        <f>IFERROR(__xludf.DUMMYFUNCTION("""COMPUTED_VALUE"""),"!!!")</f>
        <v>!!!</v>
      </c>
      <c r="T55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59">
      <c r="A559" s="72"/>
      <c r="B559" s="60" t="s">
        <v>6754</v>
      </c>
      <c r="C559" s="67" t="str">
        <f>IFERROR(__xludf.DUMMYFUNCTION("""COMPUTED_VALUE"""),"LD237")</f>
        <v>LD237</v>
      </c>
      <c r="D559" s="55" t="s">
        <v>188</v>
      </c>
      <c r="E559" s="55" t="s">
        <v>193</v>
      </c>
      <c r="F559" s="54"/>
      <c r="G559" s="44" t="s">
        <v>61</v>
      </c>
      <c r="H559" s="54"/>
      <c r="I559" s="54"/>
      <c r="J559" s="54"/>
      <c r="K559" s="55" t="s">
        <v>61</v>
      </c>
      <c r="L559" s="54"/>
      <c r="M559" s="54"/>
      <c r="N559" s="54"/>
      <c r="O559" s="54"/>
      <c r="P559" s="54"/>
      <c r="Q559" s="67" t="str">
        <f>IFERROR(__xludf.DUMMYFUNCTION("""COMPUTED_VALUE"""),"!!!")</f>
        <v>!!!</v>
      </c>
      <c r="R559" s="67" t="str">
        <f>IFERROR(__xludf.DUMMYFUNCTION("""COMPUTED_VALUE"""),"!!!")</f>
        <v>!!!</v>
      </c>
      <c r="S559" s="67" t="str">
        <f>IFERROR(__xludf.DUMMYFUNCTION("""COMPUTED_VALUE"""),"!!!")</f>
        <v>!!!</v>
      </c>
      <c r="T55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60">
      <c r="A560" s="72"/>
      <c r="B560" s="60" t="s">
        <v>6754</v>
      </c>
      <c r="C560" s="67" t="str">
        <f>IFERROR(__xludf.DUMMYFUNCTION("""COMPUTED_VALUE"""),"LD237")</f>
        <v>LD237</v>
      </c>
      <c r="D560" s="55" t="s">
        <v>188</v>
      </c>
      <c r="E560" s="55" t="s">
        <v>193</v>
      </c>
      <c r="F560" s="54"/>
      <c r="G560" s="44" t="s">
        <v>61</v>
      </c>
      <c r="H560" s="54"/>
      <c r="I560" s="54"/>
      <c r="J560" s="54"/>
      <c r="K560" s="55" t="s">
        <v>61</v>
      </c>
      <c r="L560" s="54"/>
      <c r="M560" s="54"/>
      <c r="N560" s="54"/>
      <c r="O560" s="54"/>
      <c r="P560" s="54"/>
      <c r="Q560" s="67" t="str">
        <f>IFERROR(__xludf.DUMMYFUNCTION("""COMPUTED_VALUE"""),"!!!")</f>
        <v>!!!</v>
      </c>
      <c r="R560" s="67" t="str">
        <f>IFERROR(__xludf.DUMMYFUNCTION("""COMPUTED_VALUE"""),"!!!")</f>
        <v>!!!</v>
      </c>
      <c r="S560" s="67" t="str">
        <f>IFERROR(__xludf.DUMMYFUNCTION("""COMPUTED_VALUE"""),"!!!")</f>
        <v>!!!</v>
      </c>
      <c r="T56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61">
      <c r="A561" s="72"/>
      <c r="B561" s="60" t="s">
        <v>6754</v>
      </c>
      <c r="C561" s="67" t="str">
        <f>IFERROR(__xludf.DUMMYFUNCTION("""COMPUTED_VALUE"""),"LD237")</f>
        <v>LD237</v>
      </c>
      <c r="D561" s="55" t="s">
        <v>188</v>
      </c>
      <c r="E561" s="55" t="s">
        <v>193</v>
      </c>
      <c r="F561" s="54"/>
      <c r="G561" s="44" t="s">
        <v>61</v>
      </c>
      <c r="H561" s="54"/>
      <c r="I561" s="54"/>
      <c r="J561" s="54"/>
      <c r="K561" s="55" t="s">
        <v>61</v>
      </c>
      <c r="L561" s="54"/>
      <c r="M561" s="54"/>
      <c r="N561" s="54"/>
      <c r="O561" s="54"/>
      <c r="P561" s="54"/>
      <c r="Q561" s="67" t="str">
        <f>IFERROR(__xludf.DUMMYFUNCTION("""COMPUTED_VALUE"""),"!!!")</f>
        <v>!!!</v>
      </c>
      <c r="R561" s="67" t="str">
        <f>IFERROR(__xludf.DUMMYFUNCTION("""COMPUTED_VALUE"""),"!!!")</f>
        <v>!!!</v>
      </c>
      <c r="S561" s="67" t="str">
        <f>IFERROR(__xludf.DUMMYFUNCTION("""COMPUTED_VALUE"""),"!!!")</f>
        <v>!!!</v>
      </c>
      <c r="T56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62">
      <c r="A562" s="72"/>
      <c r="B562" s="60" t="s">
        <v>6754</v>
      </c>
      <c r="C562" s="67" t="str">
        <f>IFERROR(__xludf.DUMMYFUNCTION("""COMPUTED_VALUE"""),"LD237")</f>
        <v>LD237</v>
      </c>
      <c r="D562" s="55" t="s">
        <v>188</v>
      </c>
      <c r="E562" s="55" t="s">
        <v>193</v>
      </c>
      <c r="F562" s="54"/>
      <c r="G562" s="44" t="s">
        <v>61</v>
      </c>
      <c r="H562" s="54"/>
      <c r="I562" s="54"/>
      <c r="J562" s="54"/>
      <c r="K562" s="55" t="s">
        <v>61</v>
      </c>
      <c r="L562" s="54"/>
      <c r="M562" s="54"/>
      <c r="N562" s="54"/>
      <c r="O562" s="54"/>
      <c r="P562" s="54"/>
      <c r="Q562" s="67" t="str">
        <f>IFERROR(__xludf.DUMMYFUNCTION("""COMPUTED_VALUE"""),"!!!")</f>
        <v>!!!</v>
      </c>
      <c r="R562" s="67" t="str">
        <f>IFERROR(__xludf.DUMMYFUNCTION("""COMPUTED_VALUE"""),"!!!")</f>
        <v>!!!</v>
      </c>
      <c r="S562" s="67" t="str">
        <f>IFERROR(__xludf.DUMMYFUNCTION("""COMPUTED_VALUE"""),"!!!")</f>
        <v>!!!</v>
      </c>
      <c r="T56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63">
      <c r="A563" s="72"/>
      <c r="B563" s="60" t="s">
        <v>6754</v>
      </c>
      <c r="C563" s="67" t="str">
        <f>IFERROR(__xludf.DUMMYFUNCTION("""COMPUTED_VALUE"""),"LD237")</f>
        <v>LD237</v>
      </c>
      <c r="D563" s="55" t="s">
        <v>188</v>
      </c>
      <c r="E563" s="55" t="s">
        <v>193</v>
      </c>
      <c r="F563" s="54"/>
      <c r="G563" s="44" t="s">
        <v>61</v>
      </c>
      <c r="H563" s="54"/>
      <c r="I563" s="54"/>
      <c r="J563" s="54"/>
      <c r="K563" s="55" t="s">
        <v>61</v>
      </c>
      <c r="L563" s="54"/>
      <c r="M563" s="54"/>
      <c r="N563" s="54"/>
      <c r="O563" s="54"/>
      <c r="P563" s="54"/>
      <c r="Q563" s="67" t="str">
        <f>IFERROR(__xludf.DUMMYFUNCTION("""COMPUTED_VALUE"""),"!!!")</f>
        <v>!!!</v>
      </c>
      <c r="R563" s="67" t="str">
        <f>IFERROR(__xludf.DUMMYFUNCTION("""COMPUTED_VALUE"""),"!!!")</f>
        <v>!!!</v>
      </c>
      <c r="S563" s="67" t="str">
        <f>IFERROR(__xludf.DUMMYFUNCTION("""COMPUTED_VALUE"""),"!!!")</f>
        <v>!!!</v>
      </c>
      <c r="T56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64">
      <c r="A564" s="72"/>
      <c r="B564" s="60" t="s">
        <v>6754</v>
      </c>
      <c r="C564" s="67" t="str">
        <f>IFERROR(__xludf.DUMMYFUNCTION("""COMPUTED_VALUE"""),"LD237")</f>
        <v>LD237</v>
      </c>
      <c r="D564" s="55" t="s">
        <v>188</v>
      </c>
      <c r="E564" s="55" t="s">
        <v>193</v>
      </c>
      <c r="F564" s="54"/>
      <c r="G564" s="44" t="s">
        <v>61</v>
      </c>
      <c r="H564" s="54"/>
      <c r="I564" s="54"/>
      <c r="J564" s="54"/>
      <c r="K564" s="55" t="s">
        <v>61</v>
      </c>
      <c r="L564" s="54"/>
      <c r="M564" s="54"/>
      <c r="N564" s="54"/>
      <c r="O564" s="54"/>
      <c r="P564" s="54"/>
      <c r="Q564" s="67" t="str">
        <f>IFERROR(__xludf.DUMMYFUNCTION("""COMPUTED_VALUE"""),"!!!")</f>
        <v>!!!</v>
      </c>
      <c r="R564" s="67" t="str">
        <f>IFERROR(__xludf.DUMMYFUNCTION("""COMPUTED_VALUE"""),"!!!")</f>
        <v>!!!</v>
      </c>
      <c r="S564" s="67" t="str">
        <f>IFERROR(__xludf.DUMMYFUNCTION("""COMPUTED_VALUE"""),"!!!")</f>
        <v>!!!</v>
      </c>
      <c r="T56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65">
      <c r="A565" s="72"/>
      <c r="B565" s="60" t="s">
        <v>6754</v>
      </c>
      <c r="C565" s="67" t="str">
        <f>IFERROR(__xludf.DUMMYFUNCTION("""COMPUTED_VALUE"""),"LD237")</f>
        <v>LD237</v>
      </c>
      <c r="D565" s="55" t="s">
        <v>188</v>
      </c>
      <c r="E565" s="55" t="s">
        <v>193</v>
      </c>
      <c r="F565" s="54"/>
      <c r="G565" s="44" t="s">
        <v>61</v>
      </c>
      <c r="H565" s="54"/>
      <c r="I565" s="54"/>
      <c r="J565" s="54"/>
      <c r="K565" s="55" t="s">
        <v>61</v>
      </c>
      <c r="L565" s="54"/>
      <c r="M565" s="54"/>
      <c r="N565" s="54"/>
      <c r="O565" s="54"/>
      <c r="P565" s="54"/>
      <c r="Q565" s="67" t="str">
        <f>IFERROR(__xludf.DUMMYFUNCTION("""COMPUTED_VALUE"""),"!!!")</f>
        <v>!!!</v>
      </c>
      <c r="R565" s="67" t="str">
        <f>IFERROR(__xludf.DUMMYFUNCTION("""COMPUTED_VALUE"""),"!!!")</f>
        <v>!!!</v>
      </c>
      <c r="S565" s="67" t="str">
        <f>IFERROR(__xludf.DUMMYFUNCTION("""COMPUTED_VALUE"""),"!!!")</f>
        <v>!!!</v>
      </c>
      <c r="T56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66">
      <c r="A566" s="72"/>
      <c r="B566" s="60" t="s">
        <v>6754</v>
      </c>
      <c r="C566" s="67" t="str">
        <f>IFERROR(__xludf.DUMMYFUNCTION("""COMPUTED_VALUE"""),"LD237")</f>
        <v>LD237</v>
      </c>
      <c r="D566" s="55" t="s">
        <v>188</v>
      </c>
      <c r="E566" s="55" t="s">
        <v>193</v>
      </c>
      <c r="F566" s="54"/>
      <c r="G566" s="44" t="s">
        <v>61</v>
      </c>
      <c r="H566" s="54"/>
      <c r="I566" s="54"/>
      <c r="J566" s="54"/>
      <c r="K566" s="55" t="s">
        <v>61</v>
      </c>
      <c r="L566" s="54"/>
      <c r="M566" s="54"/>
      <c r="N566" s="54"/>
      <c r="O566" s="54"/>
      <c r="P566" s="54"/>
      <c r="Q566" s="67" t="str">
        <f>IFERROR(__xludf.DUMMYFUNCTION("""COMPUTED_VALUE"""),"!!!")</f>
        <v>!!!</v>
      </c>
      <c r="R566" s="67" t="str">
        <f>IFERROR(__xludf.DUMMYFUNCTION("""COMPUTED_VALUE"""),"!!!")</f>
        <v>!!!</v>
      </c>
      <c r="S566" s="67" t="str">
        <f>IFERROR(__xludf.DUMMYFUNCTION("""COMPUTED_VALUE"""),"!!!")</f>
        <v>!!!</v>
      </c>
      <c r="T56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67">
      <c r="A567" s="72"/>
      <c r="B567" s="60" t="s">
        <v>6754</v>
      </c>
      <c r="C567" s="67" t="str">
        <f>IFERROR(__xludf.DUMMYFUNCTION("""COMPUTED_VALUE"""),"LD237")</f>
        <v>LD237</v>
      </c>
      <c r="D567" s="55" t="s">
        <v>188</v>
      </c>
      <c r="E567" s="55" t="s">
        <v>193</v>
      </c>
      <c r="F567" s="54"/>
      <c r="G567" s="44" t="s">
        <v>61</v>
      </c>
      <c r="H567" s="54"/>
      <c r="I567" s="54"/>
      <c r="J567" s="54"/>
      <c r="K567" s="55" t="s">
        <v>61</v>
      </c>
      <c r="L567" s="54"/>
      <c r="M567" s="54"/>
      <c r="N567" s="54"/>
      <c r="O567" s="54"/>
      <c r="P567" s="54"/>
      <c r="Q567" s="67" t="str">
        <f>IFERROR(__xludf.DUMMYFUNCTION("""COMPUTED_VALUE"""),"!!!")</f>
        <v>!!!</v>
      </c>
      <c r="R567" s="67" t="str">
        <f>IFERROR(__xludf.DUMMYFUNCTION("""COMPUTED_VALUE"""),"!!!")</f>
        <v>!!!</v>
      </c>
      <c r="S567" s="67" t="str">
        <f>IFERROR(__xludf.DUMMYFUNCTION("""COMPUTED_VALUE"""),"!!!")</f>
        <v>!!!</v>
      </c>
      <c r="T56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68">
      <c r="A568" s="72"/>
      <c r="B568" s="60" t="s">
        <v>6754</v>
      </c>
      <c r="C568" s="67" t="str">
        <f>IFERROR(__xludf.DUMMYFUNCTION("""COMPUTED_VALUE"""),"LD237")</f>
        <v>LD237</v>
      </c>
      <c r="D568" s="55" t="s">
        <v>188</v>
      </c>
      <c r="E568" s="55" t="s">
        <v>193</v>
      </c>
      <c r="F568" s="54"/>
      <c r="G568" s="44" t="s">
        <v>61</v>
      </c>
      <c r="H568" s="54"/>
      <c r="I568" s="54"/>
      <c r="J568" s="54"/>
      <c r="K568" s="55" t="s">
        <v>61</v>
      </c>
      <c r="L568" s="54"/>
      <c r="M568" s="54"/>
      <c r="N568" s="54"/>
      <c r="O568" s="54"/>
      <c r="P568" s="54"/>
      <c r="Q568" s="67" t="str">
        <f>IFERROR(__xludf.DUMMYFUNCTION("""COMPUTED_VALUE"""),"!!!")</f>
        <v>!!!</v>
      </c>
      <c r="R568" s="67" t="str">
        <f>IFERROR(__xludf.DUMMYFUNCTION("""COMPUTED_VALUE"""),"!!!")</f>
        <v>!!!</v>
      </c>
      <c r="S568" s="67" t="str">
        <f>IFERROR(__xludf.DUMMYFUNCTION("""COMPUTED_VALUE"""),"!!!")</f>
        <v>!!!</v>
      </c>
      <c r="T56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69">
      <c r="A569" s="72"/>
      <c r="B569" s="60" t="s">
        <v>6754</v>
      </c>
      <c r="C569" s="67" t="str">
        <f>IFERROR(__xludf.DUMMYFUNCTION("""COMPUTED_VALUE"""),"LD237")</f>
        <v>LD237</v>
      </c>
      <c r="D569" s="55" t="s">
        <v>188</v>
      </c>
      <c r="E569" s="55" t="s">
        <v>193</v>
      </c>
      <c r="F569" s="54"/>
      <c r="G569" s="44" t="s">
        <v>61</v>
      </c>
      <c r="H569" s="54"/>
      <c r="I569" s="54"/>
      <c r="J569" s="54"/>
      <c r="K569" s="55" t="s">
        <v>61</v>
      </c>
      <c r="L569" s="54"/>
      <c r="M569" s="54"/>
      <c r="N569" s="54"/>
      <c r="O569" s="54"/>
      <c r="P569" s="54"/>
      <c r="Q569" s="67" t="str">
        <f>IFERROR(__xludf.DUMMYFUNCTION("""COMPUTED_VALUE"""),"!!!")</f>
        <v>!!!</v>
      </c>
      <c r="R569" s="67" t="str">
        <f>IFERROR(__xludf.DUMMYFUNCTION("""COMPUTED_VALUE"""),"!!!")</f>
        <v>!!!</v>
      </c>
      <c r="S569" s="67" t="str">
        <f>IFERROR(__xludf.DUMMYFUNCTION("""COMPUTED_VALUE"""),"!!!")</f>
        <v>!!!</v>
      </c>
      <c r="T56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70">
      <c r="A570" s="72"/>
      <c r="B570" s="60" t="s">
        <v>6754</v>
      </c>
      <c r="C570" s="67" t="str">
        <f>IFERROR(__xludf.DUMMYFUNCTION("""COMPUTED_VALUE"""),"LD237")</f>
        <v>LD237</v>
      </c>
      <c r="D570" s="55" t="s">
        <v>188</v>
      </c>
      <c r="E570" s="55" t="s">
        <v>193</v>
      </c>
      <c r="F570" s="54"/>
      <c r="G570" s="44" t="s">
        <v>61</v>
      </c>
      <c r="H570" s="54"/>
      <c r="I570" s="54"/>
      <c r="J570" s="54"/>
      <c r="K570" s="55" t="s">
        <v>61</v>
      </c>
      <c r="L570" s="54"/>
      <c r="M570" s="54"/>
      <c r="N570" s="54"/>
      <c r="O570" s="54"/>
      <c r="P570" s="54"/>
      <c r="Q570" s="67" t="str">
        <f>IFERROR(__xludf.DUMMYFUNCTION("""COMPUTED_VALUE"""),"!!!")</f>
        <v>!!!</v>
      </c>
      <c r="R570" s="67" t="str">
        <f>IFERROR(__xludf.DUMMYFUNCTION("""COMPUTED_VALUE"""),"!!!")</f>
        <v>!!!</v>
      </c>
      <c r="S570" s="67" t="str">
        <f>IFERROR(__xludf.DUMMYFUNCTION("""COMPUTED_VALUE"""),"!!!")</f>
        <v>!!!</v>
      </c>
      <c r="T57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71">
      <c r="A571" s="72"/>
      <c r="B571" s="60" t="s">
        <v>6754</v>
      </c>
      <c r="C571" s="67" t="str">
        <f>IFERROR(__xludf.DUMMYFUNCTION("""COMPUTED_VALUE"""),"LD237")</f>
        <v>LD237</v>
      </c>
      <c r="D571" s="55" t="s">
        <v>188</v>
      </c>
      <c r="E571" s="55" t="s">
        <v>193</v>
      </c>
      <c r="F571" s="54"/>
      <c r="G571" s="44" t="s">
        <v>61</v>
      </c>
      <c r="H571" s="54"/>
      <c r="I571" s="54"/>
      <c r="J571" s="54"/>
      <c r="K571" s="55" t="s">
        <v>61</v>
      </c>
      <c r="L571" s="54"/>
      <c r="M571" s="54"/>
      <c r="N571" s="54"/>
      <c r="O571" s="54"/>
      <c r="P571" s="54"/>
      <c r="Q571" s="67" t="str">
        <f>IFERROR(__xludf.DUMMYFUNCTION("""COMPUTED_VALUE"""),"!!!")</f>
        <v>!!!</v>
      </c>
      <c r="R571" s="67" t="str">
        <f>IFERROR(__xludf.DUMMYFUNCTION("""COMPUTED_VALUE"""),"!!!")</f>
        <v>!!!</v>
      </c>
      <c r="S571" s="67" t="str">
        <f>IFERROR(__xludf.DUMMYFUNCTION("""COMPUTED_VALUE"""),"!!!")</f>
        <v>!!!</v>
      </c>
      <c r="T57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72">
      <c r="A572" s="72"/>
      <c r="B572" s="60" t="s">
        <v>6754</v>
      </c>
      <c r="C572" s="67" t="str">
        <f>IFERROR(__xludf.DUMMYFUNCTION("""COMPUTED_VALUE"""),"LD237")</f>
        <v>LD237</v>
      </c>
      <c r="D572" s="55" t="s">
        <v>188</v>
      </c>
      <c r="E572" s="55" t="s">
        <v>193</v>
      </c>
      <c r="F572" s="54"/>
      <c r="G572" s="44" t="s">
        <v>61</v>
      </c>
      <c r="H572" s="54"/>
      <c r="I572" s="54"/>
      <c r="J572" s="54"/>
      <c r="K572" s="55" t="s">
        <v>61</v>
      </c>
      <c r="L572" s="54"/>
      <c r="M572" s="54"/>
      <c r="N572" s="54"/>
      <c r="O572" s="54"/>
      <c r="P572" s="54"/>
      <c r="Q572" s="67" t="str">
        <f>IFERROR(__xludf.DUMMYFUNCTION("""COMPUTED_VALUE"""),"!!!")</f>
        <v>!!!</v>
      </c>
      <c r="R572" s="67" t="str">
        <f>IFERROR(__xludf.DUMMYFUNCTION("""COMPUTED_VALUE"""),"!!!")</f>
        <v>!!!</v>
      </c>
      <c r="S572" s="67" t="str">
        <f>IFERROR(__xludf.DUMMYFUNCTION("""COMPUTED_VALUE"""),"!!!")</f>
        <v>!!!</v>
      </c>
      <c r="T57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73">
      <c r="A573" s="72"/>
      <c r="B573" s="60" t="s">
        <v>6754</v>
      </c>
      <c r="C573" s="67" t="str">
        <f>IFERROR(__xludf.DUMMYFUNCTION("""COMPUTED_VALUE"""),"LD237")</f>
        <v>LD237</v>
      </c>
      <c r="D573" s="55" t="s">
        <v>188</v>
      </c>
      <c r="E573" s="55" t="s">
        <v>193</v>
      </c>
      <c r="F573" s="54"/>
      <c r="G573" s="44" t="s">
        <v>61</v>
      </c>
      <c r="H573" s="54"/>
      <c r="I573" s="54"/>
      <c r="J573" s="54"/>
      <c r="K573" s="55" t="s">
        <v>61</v>
      </c>
      <c r="L573" s="54"/>
      <c r="M573" s="54"/>
      <c r="N573" s="54"/>
      <c r="O573" s="54"/>
      <c r="P573" s="54"/>
      <c r="Q573" s="67" t="str">
        <f>IFERROR(__xludf.DUMMYFUNCTION("""COMPUTED_VALUE"""),"!!!")</f>
        <v>!!!</v>
      </c>
      <c r="R573" s="67" t="str">
        <f>IFERROR(__xludf.DUMMYFUNCTION("""COMPUTED_VALUE"""),"!!!")</f>
        <v>!!!</v>
      </c>
      <c r="S573" s="67" t="str">
        <f>IFERROR(__xludf.DUMMYFUNCTION("""COMPUTED_VALUE"""),"!!!")</f>
        <v>!!!</v>
      </c>
      <c r="T57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74">
      <c r="A574" s="72"/>
      <c r="B574" s="60" t="s">
        <v>6754</v>
      </c>
      <c r="C574" s="67" t="str">
        <f>IFERROR(__xludf.DUMMYFUNCTION("""COMPUTED_VALUE"""),"LD237")</f>
        <v>LD237</v>
      </c>
      <c r="D574" s="55" t="s">
        <v>188</v>
      </c>
      <c r="E574" s="55" t="s">
        <v>193</v>
      </c>
      <c r="F574" s="54"/>
      <c r="G574" s="44" t="s">
        <v>61</v>
      </c>
      <c r="H574" s="54"/>
      <c r="I574" s="54"/>
      <c r="J574" s="54"/>
      <c r="K574" s="55" t="s">
        <v>61</v>
      </c>
      <c r="L574" s="54"/>
      <c r="M574" s="54"/>
      <c r="N574" s="54"/>
      <c r="O574" s="54"/>
      <c r="P574" s="54"/>
      <c r="Q574" s="67" t="str">
        <f>IFERROR(__xludf.DUMMYFUNCTION("""COMPUTED_VALUE"""),"!!!")</f>
        <v>!!!</v>
      </c>
      <c r="R574" s="67" t="str">
        <f>IFERROR(__xludf.DUMMYFUNCTION("""COMPUTED_VALUE"""),"!!!")</f>
        <v>!!!</v>
      </c>
      <c r="S574" s="67" t="str">
        <f>IFERROR(__xludf.DUMMYFUNCTION("""COMPUTED_VALUE"""),"!!!")</f>
        <v>!!!</v>
      </c>
      <c r="T57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75">
      <c r="A575" s="72"/>
      <c r="B575" s="60" t="s">
        <v>6754</v>
      </c>
      <c r="C575" s="67" t="str">
        <f>IFERROR(__xludf.DUMMYFUNCTION("""COMPUTED_VALUE"""),"LD237")</f>
        <v>LD237</v>
      </c>
      <c r="D575" s="55" t="s">
        <v>188</v>
      </c>
      <c r="E575" s="55" t="s">
        <v>193</v>
      </c>
      <c r="F575" s="54"/>
      <c r="G575" s="44" t="s">
        <v>61</v>
      </c>
      <c r="H575" s="54"/>
      <c r="I575" s="54"/>
      <c r="J575" s="54"/>
      <c r="K575" s="55" t="s">
        <v>61</v>
      </c>
      <c r="L575" s="54"/>
      <c r="M575" s="54"/>
      <c r="N575" s="54"/>
      <c r="O575" s="54"/>
      <c r="P575" s="54"/>
      <c r="Q575" s="67" t="str">
        <f>IFERROR(__xludf.DUMMYFUNCTION("""COMPUTED_VALUE"""),"!!!")</f>
        <v>!!!</v>
      </c>
      <c r="R575" s="67" t="str">
        <f>IFERROR(__xludf.DUMMYFUNCTION("""COMPUTED_VALUE"""),"!!!")</f>
        <v>!!!</v>
      </c>
      <c r="S575" s="67" t="str">
        <f>IFERROR(__xludf.DUMMYFUNCTION("""COMPUTED_VALUE"""),"!!!")</f>
        <v>!!!</v>
      </c>
      <c r="T57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76">
      <c r="A576" s="72"/>
      <c r="B576" s="60" t="s">
        <v>6754</v>
      </c>
      <c r="C576" s="67" t="str">
        <f>IFERROR(__xludf.DUMMYFUNCTION("""COMPUTED_VALUE"""),"LD237")</f>
        <v>LD237</v>
      </c>
      <c r="D576" s="55" t="s">
        <v>188</v>
      </c>
      <c r="E576" s="55" t="s">
        <v>193</v>
      </c>
      <c r="F576" s="54"/>
      <c r="G576" s="44" t="s">
        <v>61</v>
      </c>
      <c r="H576" s="54"/>
      <c r="I576" s="54"/>
      <c r="J576" s="54"/>
      <c r="K576" s="55" t="s">
        <v>61</v>
      </c>
      <c r="L576" s="54"/>
      <c r="M576" s="54"/>
      <c r="N576" s="54"/>
      <c r="O576" s="54"/>
      <c r="P576" s="54"/>
      <c r="Q576" s="67" t="str">
        <f>IFERROR(__xludf.DUMMYFUNCTION("""COMPUTED_VALUE"""),"!!!")</f>
        <v>!!!</v>
      </c>
      <c r="R576" s="67" t="str">
        <f>IFERROR(__xludf.DUMMYFUNCTION("""COMPUTED_VALUE"""),"!!!")</f>
        <v>!!!</v>
      </c>
      <c r="S576" s="67" t="str">
        <f>IFERROR(__xludf.DUMMYFUNCTION("""COMPUTED_VALUE"""),"!!!")</f>
        <v>!!!</v>
      </c>
      <c r="T57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77">
      <c r="A577" s="72"/>
      <c r="B577" s="60" t="s">
        <v>6754</v>
      </c>
      <c r="C577" s="67" t="str">
        <f>IFERROR(__xludf.DUMMYFUNCTION("""COMPUTED_VALUE"""),"LD237")</f>
        <v>LD237</v>
      </c>
      <c r="D577" s="55" t="s">
        <v>188</v>
      </c>
      <c r="E577" s="55" t="s">
        <v>193</v>
      </c>
      <c r="F577" s="54"/>
      <c r="G577" s="44" t="s">
        <v>61</v>
      </c>
      <c r="H577" s="54"/>
      <c r="I577" s="54"/>
      <c r="J577" s="54"/>
      <c r="K577" s="55" t="s">
        <v>61</v>
      </c>
      <c r="L577" s="54"/>
      <c r="M577" s="54"/>
      <c r="N577" s="54"/>
      <c r="O577" s="54"/>
      <c r="P577" s="54"/>
      <c r="Q577" s="67" t="str">
        <f>IFERROR(__xludf.DUMMYFUNCTION("""COMPUTED_VALUE"""),"!!!")</f>
        <v>!!!</v>
      </c>
      <c r="R577" s="67" t="str">
        <f>IFERROR(__xludf.DUMMYFUNCTION("""COMPUTED_VALUE"""),"!!!")</f>
        <v>!!!</v>
      </c>
      <c r="S577" s="67" t="str">
        <f>IFERROR(__xludf.DUMMYFUNCTION("""COMPUTED_VALUE"""),"!!!")</f>
        <v>!!!</v>
      </c>
      <c r="T57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78">
      <c r="A578" s="72"/>
      <c r="B578" s="60" t="s">
        <v>6754</v>
      </c>
      <c r="C578" s="67" t="str">
        <f>IFERROR(__xludf.DUMMYFUNCTION("""COMPUTED_VALUE"""),"LD237")</f>
        <v>LD237</v>
      </c>
      <c r="D578" s="55" t="s">
        <v>188</v>
      </c>
      <c r="E578" s="55" t="s">
        <v>193</v>
      </c>
      <c r="F578" s="54"/>
      <c r="G578" s="44" t="s">
        <v>61</v>
      </c>
      <c r="H578" s="54"/>
      <c r="I578" s="54"/>
      <c r="J578" s="54"/>
      <c r="K578" s="55" t="s">
        <v>61</v>
      </c>
      <c r="L578" s="54"/>
      <c r="M578" s="54"/>
      <c r="N578" s="54"/>
      <c r="O578" s="54"/>
      <c r="P578" s="54"/>
      <c r="Q578" s="67" t="str">
        <f>IFERROR(__xludf.DUMMYFUNCTION("""COMPUTED_VALUE"""),"!!!")</f>
        <v>!!!</v>
      </c>
      <c r="R578" s="67" t="str">
        <f>IFERROR(__xludf.DUMMYFUNCTION("""COMPUTED_VALUE"""),"!!!")</f>
        <v>!!!</v>
      </c>
      <c r="S578" s="67" t="str">
        <f>IFERROR(__xludf.DUMMYFUNCTION("""COMPUTED_VALUE"""),"!!!")</f>
        <v>!!!</v>
      </c>
      <c r="T57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79">
      <c r="A579" s="72"/>
      <c r="B579" s="60" t="s">
        <v>6754</v>
      </c>
      <c r="C579" s="67" t="str">
        <f>IFERROR(__xludf.DUMMYFUNCTION("""COMPUTED_VALUE"""),"LD237")</f>
        <v>LD237</v>
      </c>
      <c r="D579" s="55" t="s">
        <v>188</v>
      </c>
      <c r="E579" s="55" t="s">
        <v>193</v>
      </c>
      <c r="F579" s="54"/>
      <c r="G579" s="44" t="s">
        <v>61</v>
      </c>
      <c r="H579" s="54"/>
      <c r="I579" s="54"/>
      <c r="J579" s="54"/>
      <c r="K579" s="55" t="s">
        <v>61</v>
      </c>
      <c r="L579" s="54"/>
      <c r="M579" s="54"/>
      <c r="N579" s="54"/>
      <c r="O579" s="54"/>
      <c r="P579" s="54"/>
      <c r="Q579" s="67" t="str">
        <f>IFERROR(__xludf.DUMMYFUNCTION("""COMPUTED_VALUE"""),"!!!")</f>
        <v>!!!</v>
      </c>
      <c r="R579" s="67" t="str">
        <f>IFERROR(__xludf.DUMMYFUNCTION("""COMPUTED_VALUE"""),"!!!")</f>
        <v>!!!</v>
      </c>
      <c r="S579" s="67" t="str">
        <f>IFERROR(__xludf.DUMMYFUNCTION("""COMPUTED_VALUE"""),"!!!")</f>
        <v>!!!</v>
      </c>
      <c r="T57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80">
      <c r="A580" s="72"/>
      <c r="B580" s="60" t="s">
        <v>6754</v>
      </c>
      <c r="C580" s="67" t="str">
        <f>IFERROR(__xludf.DUMMYFUNCTION("""COMPUTED_VALUE"""),"LD237")</f>
        <v>LD237</v>
      </c>
      <c r="D580" s="55" t="s">
        <v>188</v>
      </c>
      <c r="E580" s="55" t="s">
        <v>193</v>
      </c>
      <c r="F580" s="54"/>
      <c r="G580" s="44" t="s">
        <v>61</v>
      </c>
      <c r="H580" s="54"/>
      <c r="I580" s="54"/>
      <c r="J580" s="54"/>
      <c r="K580" s="55" t="s">
        <v>61</v>
      </c>
      <c r="L580" s="54"/>
      <c r="M580" s="54"/>
      <c r="N580" s="54"/>
      <c r="O580" s="54"/>
      <c r="P580" s="54"/>
      <c r="Q580" s="67" t="str">
        <f>IFERROR(__xludf.DUMMYFUNCTION("""COMPUTED_VALUE"""),"!!!")</f>
        <v>!!!</v>
      </c>
      <c r="R580" s="67" t="str">
        <f>IFERROR(__xludf.DUMMYFUNCTION("""COMPUTED_VALUE"""),"!!!")</f>
        <v>!!!</v>
      </c>
      <c r="S580" s="67" t="str">
        <f>IFERROR(__xludf.DUMMYFUNCTION("""COMPUTED_VALUE"""),"!!!")</f>
        <v>!!!</v>
      </c>
      <c r="T58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81">
      <c r="A581" s="72"/>
      <c r="B581" s="60" t="s">
        <v>6754</v>
      </c>
      <c r="C581" s="67" t="str">
        <f>IFERROR(__xludf.DUMMYFUNCTION("""COMPUTED_VALUE"""),"LD237")</f>
        <v>LD237</v>
      </c>
      <c r="D581" s="55" t="s">
        <v>188</v>
      </c>
      <c r="E581" s="55" t="s">
        <v>193</v>
      </c>
      <c r="F581" s="54"/>
      <c r="G581" s="44" t="s">
        <v>61</v>
      </c>
      <c r="H581" s="54"/>
      <c r="I581" s="54"/>
      <c r="J581" s="54"/>
      <c r="K581" s="55" t="s">
        <v>61</v>
      </c>
      <c r="L581" s="54"/>
      <c r="M581" s="54"/>
      <c r="N581" s="54"/>
      <c r="O581" s="54"/>
      <c r="P581" s="54"/>
      <c r="Q581" s="67" t="str">
        <f>IFERROR(__xludf.DUMMYFUNCTION("""COMPUTED_VALUE"""),"!!!")</f>
        <v>!!!</v>
      </c>
      <c r="R581" s="67" t="str">
        <f>IFERROR(__xludf.DUMMYFUNCTION("""COMPUTED_VALUE"""),"!!!")</f>
        <v>!!!</v>
      </c>
      <c r="S581" s="67" t="str">
        <f>IFERROR(__xludf.DUMMYFUNCTION("""COMPUTED_VALUE"""),"!!!")</f>
        <v>!!!</v>
      </c>
      <c r="T58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82">
      <c r="A582" s="72"/>
      <c r="B582" s="60" t="s">
        <v>6754</v>
      </c>
      <c r="C582" s="67" t="str">
        <f>IFERROR(__xludf.DUMMYFUNCTION("""COMPUTED_VALUE"""),"LD237")</f>
        <v>LD237</v>
      </c>
      <c r="D582" s="55" t="s">
        <v>188</v>
      </c>
      <c r="E582" s="55" t="s">
        <v>193</v>
      </c>
      <c r="F582" s="54"/>
      <c r="G582" s="44" t="s">
        <v>61</v>
      </c>
      <c r="H582" s="54"/>
      <c r="I582" s="54"/>
      <c r="J582" s="54"/>
      <c r="K582" s="55" t="s">
        <v>61</v>
      </c>
      <c r="L582" s="54"/>
      <c r="M582" s="54"/>
      <c r="N582" s="54"/>
      <c r="O582" s="54"/>
      <c r="P582" s="54"/>
      <c r="Q582" s="67" t="str">
        <f>IFERROR(__xludf.DUMMYFUNCTION("""COMPUTED_VALUE"""),"!!!")</f>
        <v>!!!</v>
      </c>
      <c r="R582" s="67" t="str">
        <f>IFERROR(__xludf.DUMMYFUNCTION("""COMPUTED_VALUE"""),"!!!")</f>
        <v>!!!</v>
      </c>
      <c r="S582" s="67" t="str">
        <f>IFERROR(__xludf.DUMMYFUNCTION("""COMPUTED_VALUE"""),"!!!")</f>
        <v>!!!</v>
      </c>
      <c r="T58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83">
      <c r="A583" s="72"/>
      <c r="B583" s="60" t="s">
        <v>6754</v>
      </c>
      <c r="C583" s="67" t="str">
        <f>IFERROR(__xludf.DUMMYFUNCTION("""COMPUTED_VALUE"""),"LD237")</f>
        <v>LD237</v>
      </c>
      <c r="D583" s="55" t="s">
        <v>188</v>
      </c>
      <c r="E583" s="55" t="s">
        <v>193</v>
      </c>
      <c r="F583" s="54"/>
      <c r="G583" s="44" t="s">
        <v>61</v>
      </c>
      <c r="H583" s="54"/>
      <c r="I583" s="54"/>
      <c r="J583" s="54"/>
      <c r="K583" s="55" t="s">
        <v>61</v>
      </c>
      <c r="L583" s="54"/>
      <c r="M583" s="54"/>
      <c r="N583" s="54"/>
      <c r="O583" s="54"/>
      <c r="P583" s="54"/>
      <c r="Q583" s="67" t="str">
        <f>IFERROR(__xludf.DUMMYFUNCTION("""COMPUTED_VALUE"""),"!!!")</f>
        <v>!!!</v>
      </c>
      <c r="R583" s="67" t="str">
        <f>IFERROR(__xludf.DUMMYFUNCTION("""COMPUTED_VALUE"""),"!!!")</f>
        <v>!!!</v>
      </c>
      <c r="S583" s="67" t="str">
        <f>IFERROR(__xludf.DUMMYFUNCTION("""COMPUTED_VALUE"""),"!!!")</f>
        <v>!!!</v>
      </c>
      <c r="T58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84">
      <c r="A584" s="72"/>
      <c r="B584" s="60" t="s">
        <v>6754</v>
      </c>
      <c r="C584" s="67" t="str">
        <f>IFERROR(__xludf.DUMMYFUNCTION("""COMPUTED_VALUE"""),"LD237")</f>
        <v>LD237</v>
      </c>
      <c r="D584" s="55" t="s">
        <v>188</v>
      </c>
      <c r="E584" s="55" t="s">
        <v>193</v>
      </c>
      <c r="F584" s="54"/>
      <c r="G584" s="44" t="s">
        <v>61</v>
      </c>
      <c r="H584" s="54"/>
      <c r="I584" s="54"/>
      <c r="J584" s="54"/>
      <c r="K584" s="55" t="s">
        <v>61</v>
      </c>
      <c r="L584" s="54"/>
      <c r="M584" s="54"/>
      <c r="N584" s="54"/>
      <c r="O584" s="54"/>
      <c r="P584" s="54"/>
      <c r="Q584" s="67" t="str">
        <f>IFERROR(__xludf.DUMMYFUNCTION("""COMPUTED_VALUE"""),"!!!")</f>
        <v>!!!</v>
      </c>
      <c r="R584" s="67" t="str">
        <f>IFERROR(__xludf.DUMMYFUNCTION("""COMPUTED_VALUE"""),"!!!")</f>
        <v>!!!</v>
      </c>
      <c r="S584" s="67" t="str">
        <f>IFERROR(__xludf.DUMMYFUNCTION("""COMPUTED_VALUE"""),"!!!")</f>
        <v>!!!</v>
      </c>
      <c r="T58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85">
      <c r="A585" s="72"/>
      <c r="B585" s="60" t="s">
        <v>6754</v>
      </c>
      <c r="C585" s="67" t="str">
        <f>IFERROR(__xludf.DUMMYFUNCTION("""COMPUTED_VALUE"""),"LD237")</f>
        <v>LD237</v>
      </c>
      <c r="D585" s="55" t="s">
        <v>188</v>
      </c>
      <c r="E585" s="55" t="s">
        <v>193</v>
      </c>
      <c r="F585" s="54"/>
      <c r="G585" s="44" t="s">
        <v>61</v>
      </c>
      <c r="H585" s="54"/>
      <c r="I585" s="54"/>
      <c r="J585" s="54"/>
      <c r="K585" s="55" t="s">
        <v>61</v>
      </c>
      <c r="L585" s="54"/>
      <c r="M585" s="54"/>
      <c r="N585" s="54"/>
      <c r="O585" s="54"/>
      <c r="P585" s="54"/>
      <c r="Q585" s="67" t="str">
        <f>IFERROR(__xludf.DUMMYFUNCTION("""COMPUTED_VALUE"""),"!!!")</f>
        <v>!!!</v>
      </c>
      <c r="R585" s="67" t="str">
        <f>IFERROR(__xludf.DUMMYFUNCTION("""COMPUTED_VALUE"""),"!!!")</f>
        <v>!!!</v>
      </c>
      <c r="S585" s="67" t="str">
        <f>IFERROR(__xludf.DUMMYFUNCTION("""COMPUTED_VALUE"""),"!!!")</f>
        <v>!!!</v>
      </c>
      <c r="T58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86">
      <c r="A586" s="72"/>
      <c r="B586" s="60" t="s">
        <v>6754</v>
      </c>
      <c r="C586" s="67" t="str">
        <f>IFERROR(__xludf.DUMMYFUNCTION("""COMPUTED_VALUE"""),"LD237")</f>
        <v>LD237</v>
      </c>
      <c r="D586" s="55" t="s">
        <v>188</v>
      </c>
      <c r="E586" s="55" t="s">
        <v>193</v>
      </c>
      <c r="F586" s="54"/>
      <c r="G586" s="44" t="s">
        <v>61</v>
      </c>
      <c r="H586" s="54"/>
      <c r="I586" s="54"/>
      <c r="J586" s="54"/>
      <c r="K586" s="55" t="s">
        <v>61</v>
      </c>
      <c r="L586" s="54"/>
      <c r="M586" s="54"/>
      <c r="N586" s="54"/>
      <c r="O586" s="54"/>
      <c r="P586" s="54"/>
      <c r="Q586" s="67" t="str">
        <f>IFERROR(__xludf.DUMMYFUNCTION("""COMPUTED_VALUE"""),"!!!")</f>
        <v>!!!</v>
      </c>
      <c r="R586" s="67" t="str">
        <f>IFERROR(__xludf.DUMMYFUNCTION("""COMPUTED_VALUE"""),"!!!")</f>
        <v>!!!</v>
      </c>
      <c r="S586" s="67" t="str">
        <f>IFERROR(__xludf.DUMMYFUNCTION("""COMPUTED_VALUE"""),"!!!")</f>
        <v>!!!</v>
      </c>
      <c r="T58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87">
      <c r="A587" s="72"/>
      <c r="B587" s="60" t="s">
        <v>6754</v>
      </c>
      <c r="C587" s="67" t="str">
        <f>IFERROR(__xludf.DUMMYFUNCTION("""COMPUTED_VALUE"""),"LD237")</f>
        <v>LD237</v>
      </c>
      <c r="D587" s="55" t="s">
        <v>188</v>
      </c>
      <c r="E587" s="55" t="s">
        <v>193</v>
      </c>
      <c r="F587" s="54"/>
      <c r="G587" s="44" t="s">
        <v>61</v>
      </c>
      <c r="H587" s="54"/>
      <c r="I587" s="54"/>
      <c r="J587" s="54"/>
      <c r="K587" s="55" t="s">
        <v>61</v>
      </c>
      <c r="L587" s="54"/>
      <c r="M587" s="54"/>
      <c r="N587" s="54"/>
      <c r="O587" s="54"/>
      <c r="P587" s="54"/>
      <c r="Q587" s="67" t="str">
        <f>IFERROR(__xludf.DUMMYFUNCTION("""COMPUTED_VALUE"""),"!!!")</f>
        <v>!!!</v>
      </c>
      <c r="R587" s="67" t="str">
        <f>IFERROR(__xludf.DUMMYFUNCTION("""COMPUTED_VALUE"""),"!!!")</f>
        <v>!!!</v>
      </c>
      <c r="S587" s="67" t="str">
        <f>IFERROR(__xludf.DUMMYFUNCTION("""COMPUTED_VALUE"""),"!!!")</f>
        <v>!!!</v>
      </c>
      <c r="T58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88">
      <c r="A588" s="72"/>
      <c r="B588" s="60" t="s">
        <v>6754</v>
      </c>
      <c r="C588" s="67" t="str">
        <f>IFERROR(__xludf.DUMMYFUNCTION("""COMPUTED_VALUE"""),"LD237")</f>
        <v>LD237</v>
      </c>
      <c r="D588" s="55" t="s">
        <v>188</v>
      </c>
      <c r="E588" s="55" t="s">
        <v>193</v>
      </c>
      <c r="F588" s="54"/>
      <c r="G588" s="44" t="s">
        <v>61</v>
      </c>
      <c r="H588" s="54"/>
      <c r="I588" s="54"/>
      <c r="J588" s="54"/>
      <c r="K588" s="55" t="s">
        <v>61</v>
      </c>
      <c r="L588" s="54"/>
      <c r="M588" s="54"/>
      <c r="N588" s="54"/>
      <c r="O588" s="54"/>
      <c r="P588" s="54"/>
      <c r="Q588" s="67" t="str">
        <f>IFERROR(__xludf.DUMMYFUNCTION("""COMPUTED_VALUE"""),"!!!")</f>
        <v>!!!</v>
      </c>
      <c r="R588" s="67" t="str">
        <f>IFERROR(__xludf.DUMMYFUNCTION("""COMPUTED_VALUE"""),"!!!")</f>
        <v>!!!</v>
      </c>
      <c r="S588" s="67" t="str">
        <f>IFERROR(__xludf.DUMMYFUNCTION("""COMPUTED_VALUE"""),"!!!")</f>
        <v>!!!</v>
      </c>
      <c r="T58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89">
      <c r="A589" s="72"/>
      <c r="B589" s="60" t="s">
        <v>6754</v>
      </c>
      <c r="C589" s="67" t="str">
        <f>IFERROR(__xludf.DUMMYFUNCTION("""COMPUTED_VALUE"""),"LD237")</f>
        <v>LD237</v>
      </c>
      <c r="D589" s="55" t="s">
        <v>188</v>
      </c>
      <c r="E589" s="55" t="s">
        <v>193</v>
      </c>
      <c r="F589" s="54"/>
      <c r="G589" s="44" t="s">
        <v>61</v>
      </c>
      <c r="H589" s="54"/>
      <c r="I589" s="54"/>
      <c r="J589" s="54"/>
      <c r="K589" s="55" t="s">
        <v>61</v>
      </c>
      <c r="L589" s="54"/>
      <c r="M589" s="54"/>
      <c r="N589" s="54"/>
      <c r="O589" s="54"/>
      <c r="P589" s="54"/>
      <c r="Q589" s="67" t="str">
        <f>IFERROR(__xludf.DUMMYFUNCTION("""COMPUTED_VALUE"""),"!!!")</f>
        <v>!!!</v>
      </c>
      <c r="R589" s="67" t="str">
        <f>IFERROR(__xludf.DUMMYFUNCTION("""COMPUTED_VALUE"""),"!!!")</f>
        <v>!!!</v>
      </c>
      <c r="S589" s="67" t="str">
        <f>IFERROR(__xludf.DUMMYFUNCTION("""COMPUTED_VALUE"""),"!!!")</f>
        <v>!!!</v>
      </c>
      <c r="T58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90">
      <c r="A590" s="72"/>
      <c r="B590" s="60" t="s">
        <v>6754</v>
      </c>
      <c r="C590" s="67" t="str">
        <f>IFERROR(__xludf.DUMMYFUNCTION("""COMPUTED_VALUE"""),"LD237")</f>
        <v>LD237</v>
      </c>
      <c r="D590" s="55" t="s">
        <v>188</v>
      </c>
      <c r="E590" s="55" t="s">
        <v>193</v>
      </c>
      <c r="F590" s="54"/>
      <c r="G590" s="44" t="s">
        <v>61</v>
      </c>
      <c r="H590" s="54"/>
      <c r="I590" s="54"/>
      <c r="J590" s="54"/>
      <c r="K590" s="55" t="s">
        <v>61</v>
      </c>
      <c r="L590" s="54"/>
      <c r="M590" s="54"/>
      <c r="N590" s="54"/>
      <c r="O590" s="54"/>
      <c r="P590" s="54"/>
      <c r="Q590" s="67" t="str">
        <f>IFERROR(__xludf.DUMMYFUNCTION("""COMPUTED_VALUE"""),"!!!")</f>
        <v>!!!</v>
      </c>
      <c r="R590" s="67" t="str">
        <f>IFERROR(__xludf.DUMMYFUNCTION("""COMPUTED_VALUE"""),"!!!")</f>
        <v>!!!</v>
      </c>
      <c r="S590" s="67" t="str">
        <f>IFERROR(__xludf.DUMMYFUNCTION("""COMPUTED_VALUE"""),"!!!")</f>
        <v>!!!</v>
      </c>
      <c r="T59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91">
      <c r="A591" s="72"/>
      <c r="B591" s="60" t="s">
        <v>6754</v>
      </c>
      <c r="C591" s="67" t="str">
        <f>IFERROR(__xludf.DUMMYFUNCTION("""COMPUTED_VALUE"""),"LD237")</f>
        <v>LD237</v>
      </c>
      <c r="D591" s="55" t="s">
        <v>188</v>
      </c>
      <c r="E591" s="55" t="s">
        <v>193</v>
      </c>
      <c r="F591" s="54"/>
      <c r="G591" s="44" t="s">
        <v>61</v>
      </c>
      <c r="H591" s="54"/>
      <c r="I591" s="54"/>
      <c r="J591" s="54"/>
      <c r="K591" s="55" t="s">
        <v>61</v>
      </c>
      <c r="L591" s="54"/>
      <c r="M591" s="54"/>
      <c r="N591" s="54"/>
      <c r="O591" s="54"/>
      <c r="P591" s="54"/>
      <c r="Q591" s="67" t="str">
        <f>IFERROR(__xludf.DUMMYFUNCTION("""COMPUTED_VALUE"""),"!!!")</f>
        <v>!!!</v>
      </c>
      <c r="R591" s="67" t="str">
        <f>IFERROR(__xludf.DUMMYFUNCTION("""COMPUTED_VALUE"""),"!!!")</f>
        <v>!!!</v>
      </c>
      <c r="S591" s="67" t="str">
        <f>IFERROR(__xludf.DUMMYFUNCTION("""COMPUTED_VALUE"""),"!!!")</f>
        <v>!!!</v>
      </c>
      <c r="T59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92">
      <c r="A592" s="72"/>
      <c r="B592" s="60" t="s">
        <v>6754</v>
      </c>
      <c r="C592" s="67" t="str">
        <f>IFERROR(__xludf.DUMMYFUNCTION("""COMPUTED_VALUE"""),"LD237")</f>
        <v>LD237</v>
      </c>
      <c r="D592" s="55" t="s">
        <v>188</v>
      </c>
      <c r="E592" s="55" t="s">
        <v>193</v>
      </c>
      <c r="F592" s="54"/>
      <c r="G592" s="44" t="s">
        <v>61</v>
      </c>
      <c r="H592" s="54"/>
      <c r="I592" s="54"/>
      <c r="J592" s="54"/>
      <c r="K592" s="55" t="s">
        <v>61</v>
      </c>
      <c r="L592" s="54"/>
      <c r="M592" s="54"/>
      <c r="N592" s="54"/>
      <c r="O592" s="54"/>
      <c r="P592" s="54"/>
      <c r="Q592" s="67" t="str">
        <f>IFERROR(__xludf.DUMMYFUNCTION("""COMPUTED_VALUE"""),"!!!")</f>
        <v>!!!</v>
      </c>
      <c r="R592" s="67" t="str">
        <f>IFERROR(__xludf.DUMMYFUNCTION("""COMPUTED_VALUE"""),"!!!")</f>
        <v>!!!</v>
      </c>
      <c r="S592" s="67" t="str">
        <f>IFERROR(__xludf.DUMMYFUNCTION("""COMPUTED_VALUE"""),"!!!")</f>
        <v>!!!</v>
      </c>
      <c r="T59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93">
      <c r="A593" s="72"/>
      <c r="B593" s="60" t="s">
        <v>6754</v>
      </c>
      <c r="C593" s="67" t="str">
        <f>IFERROR(__xludf.DUMMYFUNCTION("""COMPUTED_VALUE"""),"LD237")</f>
        <v>LD237</v>
      </c>
      <c r="D593" s="55" t="s">
        <v>188</v>
      </c>
      <c r="E593" s="55" t="s">
        <v>193</v>
      </c>
      <c r="F593" s="54"/>
      <c r="G593" s="44" t="s">
        <v>61</v>
      </c>
      <c r="H593" s="54"/>
      <c r="I593" s="54"/>
      <c r="J593" s="54"/>
      <c r="K593" s="55" t="s">
        <v>61</v>
      </c>
      <c r="L593" s="54"/>
      <c r="M593" s="54"/>
      <c r="N593" s="54"/>
      <c r="O593" s="54"/>
      <c r="P593" s="54"/>
      <c r="Q593" s="67" t="str">
        <f>IFERROR(__xludf.DUMMYFUNCTION("""COMPUTED_VALUE"""),"!!!")</f>
        <v>!!!</v>
      </c>
      <c r="R593" s="67" t="str">
        <f>IFERROR(__xludf.DUMMYFUNCTION("""COMPUTED_VALUE"""),"!!!")</f>
        <v>!!!</v>
      </c>
      <c r="S593" s="67" t="str">
        <f>IFERROR(__xludf.DUMMYFUNCTION("""COMPUTED_VALUE"""),"!!!")</f>
        <v>!!!</v>
      </c>
      <c r="T59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94">
      <c r="A594" s="72"/>
      <c r="B594" s="60" t="s">
        <v>6754</v>
      </c>
      <c r="C594" s="67" t="str">
        <f>IFERROR(__xludf.DUMMYFUNCTION("""COMPUTED_VALUE"""),"LD237")</f>
        <v>LD237</v>
      </c>
      <c r="D594" s="55" t="s">
        <v>188</v>
      </c>
      <c r="E594" s="55" t="s">
        <v>193</v>
      </c>
      <c r="F594" s="54"/>
      <c r="G594" s="44" t="s">
        <v>61</v>
      </c>
      <c r="H594" s="54"/>
      <c r="I594" s="54"/>
      <c r="J594" s="54"/>
      <c r="K594" s="55" t="s">
        <v>61</v>
      </c>
      <c r="L594" s="54"/>
      <c r="M594" s="54"/>
      <c r="N594" s="54"/>
      <c r="O594" s="54"/>
      <c r="P594" s="54"/>
      <c r="Q594" s="67" t="str">
        <f>IFERROR(__xludf.DUMMYFUNCTION("""COMPUTED_VALUE"""),"!!!")</f>
        <v>!!!</v>
      </c>
      <c r="R594" s="67" t="str">
        <f>IFERROR(__xludf.DUMMYFUNCTION("""COMPUTED_VALUE"""),"!!!")</f>
        <v>!!!</v>
      </c>
      <c r="S594" s="67" t="str">
        <f>IFERROR(__xludf.DUMMYFUNCTION("""COMPUTED_VALUE"""),"!!!")</f>
        <v>!!!</v>
      </c>
      <c r="T59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95">
      <c r="A595" s="72"/>
      <c r="B595" s="60" t="s">
        <v>6754</v>
      </c>
      <c r="C595" s="67" t="str">
        <f>IFERROR(__xludf.DUMMYFUNCTION("""COMPUTED_VALUE"""),"LD237")</f>
        <v>LD237</v>
      </c>
      <c r="D595" s="55" t="s">
        <v>188</v>
      </c>
      <c r="E595" s="55" t="s">
        <v>193</v>
      </c>
      <c r="F595" s="54"/>
      <c r="G595" s="44" t="s">
        <v>61</v>
      </c>
      <c r="H595" s="54"/>
      <c r="I595" s="54"/>
      <c r="J595" s="54"/>
      <c r="K595" s="55" t="s">
        <v>61</v>
      </c>
      <c r="L595" s="54"/>
      <c r="M595" s="54"/>
      <c r="N595" s="54"/>
      <c r="O595" s="54"/>
      <c r="P595" s="54"/>
      <c r="Q595" s="67" t="str">
        <f>IFERROR(__xludf.DUMMYFUNCTION("""COMPUTED_VALUE"""),"!!!")</f>
        <v>!!!</v>
      </c>
      <c r="R595" s="67" t="str">
        <f>IFERROR(__xludf.DUMMYFUNCTION("""COMPUTED_VALUE"""),"!!!")</f>
        <v>!!!</v>
      </c>
      <c r="S595" s="67" t="str">
        <f>IFERROR(__xludf.DUMMYFUNCTION("""COMPUTED_VALUE"""),"!!!")</f>
        <v>!!!</v>
      </c>
      <c r="T59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96">
      <c r="A596" s="72"/>
      <c r="B596" s="60" t="s">
        <v>6754</v>
      </c>
      <c r="C596" s="67" t="str">
        <f>IFERROR(__xludf.DUMMYFUNCTION("""COMPUTED_VALUE"""),"LD237")</f>
        <v>LD237</v>
      </c>
      <c r="D596" s="55" t="s">
        <v>188</v>
      </c>
      <c r="E596" s="55" t="s">
        <v>193</v>
      </c>
      <c r="F596" s="54"/>
      <c r="G596" s="44" t="s">
        <v>61</v>
      </c>
      <c r="H596" s="54"/>
      <c r="I596" s="54"/>
      <c r="J596" s="54"/>
      <c r="K596" s="55" t="s">
        <v>61</v>
      </c>
      <c r="L596" s="54"/>
      <c r="M596" s="54"/>
      <c r="N596" s="54"/>
      <c r="O596" s="54"/>
      <c r="P596" s="54"/>
      <c r="Q596" s="67" t="str">
        <f>IFERROR(__xludf.DUMMYFUNCTION("""COMPUTED_VALUE"""),"!!!")</f>
        <v>!!!</v>
      </c>
      <c r="R596" s="67" t="str">
        <f>IFERROR(__xludf.DUMMYFUNCTION("""COMPUTED_VALUE"""),"!!!")</f>
        <v>!!!</v>
      </c>
      <c r="S596" s="67" t="str">
        <f>IFERROR(__xludf.DUMMYFUNCTION("""COMPUTED_VALUE"""),"!!!")</f>
        <v>!!!</v>
      </c>
      <c r="T59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97">
      <c r="A597" s="72"/>
      <c r="B597" s="60" t="s">
        <v>6754</v>
      </c>
      <c r="C597" s="67" t="str">
        <f>IFERROR(__xludf.DUMMYFUNCTION("""COMPUTED_VALUE"""),"LD237")</f>
        <v>LD237</v>
      </c>
      <c r="D597" s="55" t="s">
        <v>188</v>
      </c>
      <c r="E597" s="55" t="s">
        <v>193</v>
      </c>
      <c r="F597" s="54"/>
      <c r="G597" s="44" t="s">
        <v>61</v>
      </c>
      <c r="H597" s="54"/>
      <c r="I597" s="54"/>
      <c r="J597" s="54"/>
      <c r="K597" s="55" t="s">
        <v>61</v>
      </c>
      <c r="L597" s="54"/>
      <c r="M597" s="54"/>
      <c r="N597" s="54"/>
      <c r="O597" s="54"/>
      <c r="P597" s="54"/>
      <c r="Q597" s="67" t="str">
        <f>IFERROR(__xludf.DUMMYFUNCTION("""COMPUTED_VALUE"""),"!!!")</f>
        <v>!!!</v>
      </c>
      <c r="R597" s="67" t="str">
        <f>IFERROR(__xludf.DUMMYFUNCTION("""COMPUTED_VALUE"""),"!!!")</f>
        <v>!!!</v>
      </c>
      <c r="S597" s="67" t="str">
        <f>IFERROR(__xludf.DUMMYFUNCTION("""COMPUTED_VALUE"""),"!!!")</f>
        <v>!!!</v>
      </c>
      <c r="T59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98">
      <c r="A598" s="72"/>
      <c r="B598" s="60" t="s">
        <v>6754</v>
      </c>
      <c r="C598" s="67" t="str">
        <f>IFERROR(__xludf.DUMMYFUNCTION("""COMPUTED_VALUE"""),"LD237")</f>
        <v>LD237</v>
      </c>
      <c r="D598" s="55" t="s">
        <v>188</v>
      </c>
      <c r="E598" s="55" t="s">
        <v>193</v>
      </c>
      <c r="F598" s="54"/>
      <c r="G598" s="44" t="s">
        <v>61</v>
      </c>
      <c r="H598" s="54"/>
      <c r="I598" s="54"/>
      <c r="J598" s="54"/>
      <c r="K598" s="55" t="s">
        <v>61</v>
      </c>
      <c r="L598" s="54"/>
      <c r="M598" s="54"/>
      <c r="N598" s="54"/>
      <c r="O598" s="54"/>
      <c r="P598" s="54"/>
      <c r="Q598" s="67" t="str">
        <f>IFERROR(__xludf.DUMMYFUNCTION("""COMPUTED_VALUE"""),"!!!")</f>
        <v>!!!</v>
      </c>
      <c r="R598" s="67" t="str">
        <f>IFERROR(__xludf.DUMMYFUNCTION("""COMPUTED_VALUE"""),"!!!")</f>
        <v>!!!</v>
      </c>
      <c r="S598" s="67" t="str">
        <f>IFERROR(__xludf.DUMMYFUNCTION("""COMPUTED_VALUE"""),"!!!")</f>
        <v>!!!</v>
      </c>
      <c r="T59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599">
      <c r="A599" s="72"/>
      <c r="B599" s="60" t="s">
        <v>6754</v>
      </c>
      <c r="C599" s="67" t="str">
        <f>IFERROR(__xludf.DUMMYFUNCTION("""COMPUTED_VALUE"""),"LD237")</f>
        <v>LD237</v>
      </c>
      <c r="D599" s="55" t="s">
        <v>188</v>
      </c>
      <c r="E599" s="55" t="s">
        <v>193</v>
      </c>
      <c r="F599" s="54"/>
      <c r="G599" s="44" t="s">
        <v>61</v>
      </c>
      <c r="H599" s="54"/>
      <c r="I599" s="54"/>
      <c r="J599" s="54"/>
      <c r="K599" s="55" t="s">
        <v>61</v>
      </c>
      <c r="L599" s="54"/>
      <c r="M599" s="54"/>
      <c r="N599" s="54"/>
      <c r="O599" s="54"/>
      <c r="P599" s="54"/>
      <c r="Q599" s="67" t="str">
        <f>IFERROR(__xludf.DUMMYFUNCTION("""COMPUTED_VALUE"""),"!!!")</f>
        <v>!!!</v>
      </c>
      <c r="R599" s="67" t="str">
        <f>IFERROR(__xludf.DUMMYFUNCTION("""COMPUTED_VALUE"""),"!!!")</f>
        <v>!!!</v>
      </c>
      <c r="S599" s="67" t="str">
        <f>IFERROR(__xludf.DUMMYFUNCTION("""COMPUTED_VALUE"""),"!!!")</f>
        <v>!!!</v>
      </c>
      <c r="T59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00">
      <c r="A600" s="72"/>
      <c r="B600" s="60" t="s">
        <v>6754</v>
      </c>
      <c r="C600" s="67" t="str">
        <f>IFERROR(__xludf.DUMMYFUNCTION("""COMPUTED_VALUE"""),"LD237")</f>
        <v>LD237</v>
      </c>
      <c r="D600" s="55" t="s">
        <v>188</v>
      </c>
      <c r="E600" s="55" t="s">
        <v>193</v>
      </c>
      <c r="F600" s="54"/>
      <c r="G600" s="44" t="s">
        <v>61</v>
      </c>
      <c r="H600" s="54"/>
      <c r="I600" s="54"/>
      <c r="J600" s="54"/>
      <c r="K600" s="55" t="s">
        <v>61</v>
      </c>
      <c r="L600" s="54"/>
      <c r="M600" s="54"/>
      <c r="N600" s="54"/>
      <c r="O600" s="54"/>
      <c r="P600" s="54"/>
      <c r="Q600" s="67" t="str">
        <f>IFERROR(__xludf.DUMMYFUNCTION("""COMPUTED_VALUE"""),"!!!")</f>
        <v>!!!</v>
      </c>
      <c r="R600" s="67" t="str">
        <f>IFERROR(__xludf.DUMMYFUNCTION("""COMPUTED_VALUE"""),"!!!")</f>
        <v>!!!</v>
      </c>
      <c r="S600" s="67" t="str">
        <f>IFERROR(__xludf.DUMMYFUNCTION("""COMPUTED_VALUE"""),"!!!")</f>
        <v>!!!</v>
      </c>
      <c r="T60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01">
      <c r="A601" s="72"/>
      <c r="B601" s="60" t="s">
        <v>6754</v>
      </c>
      <c r="C601" s="67" t="str">
        <f>IFERROR(__xludf.DUMMYFUNCTION("""COMPUTED_VALUE"""),"LD237")</f>
        <v>LD237</v>
      </c>
      <c r="D601" s="55" t="s">
        <v>188</v>
      </c>
      <c r="E601" s="55" t="s">
        <v>193</v>
      </c>
      <c r="F601" s="54"/>
      <c r="G601" s="44" t="s">
        <v>61</v>
      </c>
      <c r="H601" s="54"/>
      <c r="I601" s="54"/>
      <c r="J601" s="54"/>
      <c r="K601" s="55" t="s">
        <v>61</v>
      </c>
      <c r="L601" s="54"/>
      <c r="M601" s="54"/>
      <c r="N601" s="54"/>
      <c r="O601" s="54"/>
      <c r="P601" s="54"/>
      <c r="Q601" s="67" t="str">
        <f>IFERROR(__xludf.DUMMYFUNCTION("""COMPUTED_VALUE"""),"!!!")</f>
        <v>!!!</v>
      </c>
      <c r="R601" s="67" t="str">
        <f>IFERROR(__xludf.DUMMYFUNCTION("""COMPUTED_VALUE"""),"!!!")</f>
        <v>!!!</v>
      </c>
      <c r="S601" s="67" t="str">
        <f>IFERROR(__xludf.DUMMYFUNCTION("""COMPUTED_VALUE"""),"!!!")</f>
        <v>!!!</v>
      </c>
      <c r="T60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02">
      <c r="A602" s="72"/>
      <c r="B602" s="60" t="s">
        <v>6754</v>
      </c>
      <c r="C602" s="67" t="str">
        <f>IFERROR(__xludf.DUMMYFUNCTION("""COMPUTED_VALUE"""),"LD237")</f>
        <v>LD237</v>
      </c>
      <c r="D602" s="55" t="s">
        <v>188</v>
      </c>
      <c r="E602" s="55" t="s">
        <v>193</v>
      </c>
      <c r="F602" s="54"/>
      <c r="G602" s="44" t="s">
        <v>61</v>
      </c>
      <c r="H602" s="54"/>
      <c r="I602" s="54"/>
      <c r="J602" s="54"/>
      <c r="K602" s="55" t="s">
        <v>61</v>
      </c>
      <c r="L602" s="54"/>
      <c r="M602" s="54"/>
      <c r="N602" s="54"/>
      <c r="O602" s="54"/>
      <c r="P602" s="54"/>
      <c r="Q602" s="67" t="str">
        <f>IFERROR(__xludf.DUMMYFUNCTION("""COMPUTED_VALUE"""),"!!!")</f>
        <v>!!!</v>
      </c>
      <c r="R602" s="67" t="str">
        <f>IFERROR(__xludf.DUMMYFUNCTION("""COMPUTED_VALUE"""),"!!!")</f>
        <v>!!!</v>
      </c>
      <c r="S602" s="67" t="str">
        <f>IFERROR(__xludf.DUMMYFUNCTION("""COMPUTED_VALUE"""),"!!!")</f>
        <v>!!!</v>
      </c>
      <c r="T60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03">
      <c r="A603" s="72"/>
      <c r="B603" s="60" t="s">
        <v>6754</v>
      </c>
      <c r="C603" s="67" t="str">
        <f>IFERROR(__xludf.DUMMYFUNCTION("""COMPUTED_VALUE"""),"LD237")</f>
        <v>LD237</v>
      </c>
      <c r="D603" s="55" t="s">
        <v>188</v>
      </c>
      <c r="E603" s="55" t="s">
        <v>193</v>
      </c>
      <c r="F603" s="54"/>
      <c r="G603" s="44" t="s">
        <v>61</v>
      </c>
      <c r="H603" s="54"/>
      <c r="I603" s="54"/>
      <c r="J603" s="54"/>
      <c r="K603" s="55" t="s">
        <v>61</v>
      </c>
      <c r="L603" s="54"/>
      <c r="M603" s="54"/>
      <c r="N603" s="54"/>
      <c r="O603" s="54"/>
      <c r="P603" s="54"/>
      <c r="Q603" s="67" t="str">
        <f>IFERROR(__xludf.DUMMYFUNCTION("""COMPUTED_VALUE"""),"!!!")</f>
        <v>!!!</v>
      </c>
      <c r="R603" s="67" t="str">
        <f>IFERROR(__xludf.DUMMYFUNCTION("""COMPUTED_VALUE"""),"!!!")</f>
        <v>!!!</v>
      </c>
      <c r="S603" s="67" t="str">
        <f>IFERROR(__xludf.DUMMYFUNCTION("""COMPUTED_VALUE"""),"!!!")</f>
        <v>!!!</v>
      </c>
      <c r="T60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04">
      <c r="A604" s="72"/>
      <c r="B604" s="60" t="s">
        <v>6754</v>
      </c>
      <c r="C604" s="67" t="str">
        <f>IFERROR(__xludf.DUMMYFUNCTION("""COMPUTED_VALUE"""),"LD237")</f>
        <v>LD237</v>
      </c>
      <c r="D604" s="55" t="s">
        <v>188</v>
      </c>
      <c r="E604" s="55" t="s">
        <v>193</v>
      </c>
      <c r="F604" s="54"/>
      <c r="G604" s="44" t="s">
        <v>61</v>
      </c>
      <c r="H604" s="54"/>
      <c r="I604" s="54"/>
      <c r="J604" s="54"/>
      <c r="K604" s="55" t="s">
        <v>61</v>
      </c>
      <c r="L604" s="54"/>
      <c r="M604" s="54"/>
      <c r="N604" s="54"/>
      <c r="O604" s="54"/>
      <c r="P604" s="54"/>
      <c r="Q604" s="67" t="str">
        <f>IFERROR(__xludf.DUMMYFUNCTION("""COMPUTED_VALUE"""),"!!!")</f>
        <v>!!!</v>
      </c>
      <c r="R604" s="67" t="str">
        <f>IFERROR(__xludf.DUMMYFUNCTION("""COMPUTED_VALUE"""),"!!!")</f>
        <v>!!!</v>
      </c>
      <c r="S604" s="67" t="str">
        <f>IFERROR(__xludf.DUMMYFUNCTION("""COMPUTED_VALUE"""),"!!!")</f>
        <v>!!!</v>
      </c>
      <c r="T60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05">
      <c r="A605" s="72"/>
      <c r="B605" s="60" t="s">
        <v>6754</v>
      </c>
      <c r="C605" s="67" t="str">
        <f>IFERROR(__xludf.DUMMYFUNCTION("""COMPUTED_VALUE"""),"LD237")</f>
        <v>LD237</v>
      </c>
      <c r="D605" s="55" t="s">
        <v>188</v>
      </c>
      <c r="E605" s="55" t="s">
        <v>193</v>
      </c>
      <c r="F605" s="54"/>
      <c r="G605" s="44" t="s">
        <v>61</v>
      </c>
      <c r="H605" s="54"/>
      <c r="I605" s="54"/>
      <c r="J605" s="54"/>
      <c r="K605" s="55" t="s">
        <v>61</v>
      </c>
      <c r="L605" s="54"/>
      <c r="M605" s="54"/>
      <c r="N605" s="54"/>
      <c r="O605" s="54"/>
      <c r="P605" s="54"/>
      <c r="Q605" s="67" t="str">
        <f>IFERROR(__xludf.DUMMYFUNCTION("""COMPUTED_VALUE"""),"!!!")</f>
        <v>!!!</v>
      </c>
      <c r="R605" s="67" t="str">
        <f>IFERROR(__xludf.DUMMYFUNCTION("""COMPUTED_VALUE"""),"!!!")</f>
        <v>!!!</v>
      </c>
      <c r="S605" s="67" t="str">
        <f>IFERROR(__xludf.DUMMYFUNCTION("""COMPUTED_VALUE"""),"!!!")</f>
        <v>!!!</v>
      </c>
      <c r="T60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06">
      <c r="A606" s="72"/>
      <c r="B606" s="60" t="s">
        <v>6754</v>
      </c>
      <c r="C606" s="67" t="str">
        <f>IFERROR(__xludf.DUMMYFUNCTION("""COMPUTED_VALUE"""),"LD237")</f>
        <v>LD237</v>
      </c>
      <c r="D606" s="55" t="s">
        <v>188</v>
      </c>
      <c r="E606" s="55" t="s">
        <v>193</v>
      </c>
      <c r="F606" s="54"/>
      <c r="G606" s="44" t="s">
        <v>61</v>
      </c>
      <c r="H606" s="54"/>
      <c r="I606" s="54"/>
      <c r="J606" s="54"/>
      <c r="K606" s="55" t="s">
        <v>61</v>
      </c>
      <c r="L606" s="54"/>
      <c r="M606" s="54"/>
      <c r="N606" s="54"/>
      <c r="O606" s="54"/>
      <c r="P606" s="54"/>
      <c r="Q606" s="67" t="str">
        <f>IFERROR(__xludf.DUMMYFUNCTION("""COMPUTED_VALUE"""),"!!!")</f>
        <v>!!!</v>
      </c>
      <c r="R606" s="67" t="str">
        <f>IFERROR(__xludf.DUMMYFUNCTION("""COMPUTED_VALUE"""),"!!!")</f>
        <v>!!!</v>
      </c>
      <c r="S606" s="67" t="str">
        <f>IFERROR(__xludf.DUMMYFUNCTION("""COMPUTED_VALUE"""),"!!!")</f>
        <v>!!!</v>
      </c>
      <c r="T60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07">
      <c r="A607" s="72"/>
      <c r="B607" s="60" t="s">
        <v>6754</v>
      </c>
      <c r="C607" s="67" t="str">
        <f>IFERROR(__xludf.DUMMYFUNCTION("""COMPUTED_VALUE"""),"LD237")</f>
        <v>LD237</v>
      </c>
      <c r="D607" s="55" t="s">
        <v>188</v>
      </c>
      <c r="E607" s="55" t="s">
        <v>193</v>
      </c>
      <c r="F607" s="54"/>
      <c r="G607" s="44" t="s">
        <v>61</v>
      </c>
      <c r="H607" s="54"/>
      <c r="I607" s="54"/>
      <c r="J607" s="54"/>
      <c r="K607" s="55" t="s">
        <v>61</v>
      </c>
      <c r="L607" s="54"/>
      <c r="M607" s="54"/>
      <c r="N607" s="54"/>
      <c r="O607" s="54"/>
      <c r="P607" s="54"/>
      <c r="Q607" s="67" t="str">
        <f>IFERROR(__xludf.DUMMYFUNCTION("""COMPUTED_VALUE"""),"!!!")</f>
        <v>!!!</v>
      </c>
      <c r="R607" s="67" t="str">
        <f>IFERROR(__xludf.DUMMYFUNCTION("""COMPUTED_VALUE"""),"!!!")</f>
        <v>!!!</v>
      </c>
      <c r="S607" s="67" t="str">
        <f>IFERROR(__xludf.DUMMYFUNCTION("""COMPUTED_VALUE"""),"!!!")</f>
        <v>!!!</v>
      </c>
      <c r="T60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08">
      <c r="A608" s="72"/>
      <c r="B608" s="60" t="s">
        <v>6754</v>
      </c>
      <c r="C608" s="67" t="str">
        <f>IFERROR(__xludf.DUMMYFUNCTION("""COMPUTED_VALUE"""),"LD237")</f>
        <v>LD237</v>
      </c>
      <c r="D608" s="55" t="s">
        <v>188</v>
      </c>
      <c r="E608" s="55" t="s">
        <v>193</v>
      </c>
      <c r="F608" s="54"/>
      <c r="G608" s="44" t="s">
        <v>61</v>
      </c>
      <c r="H608" s="54"/>
      <c r="I608" s="54"/>
      <c r="J608" s="54"/>
      <c r="K608" s="55" t="s">
        <v>61</v>
      </c>
      <c r="L608" s="54"/>
      <c r="M608" s="54"/>
      <c r="N608" s="54"/>
      <c r="O608" s="54"/>
      <c r="P608" s="54"/>
      <c r="Q608" s="67" t="str">
        <f>IFERROR(__xludf.DUMMYFUNCTION("""COMPUTED_VALUE"""),"!!!")</f>
        <v>!!!</v>
      </c>
      <c r="R608" s="67" t="str">
        <f>IFERROR(__xludf.DUMMYFUNCTION("""COMPUTED_VALUE"""),"!!!")</f>
        <v>!!!</v>
      </c>
      <c r="S608" s="67" t="str">
        <f>IFERROR(__xludf.DUMMYFUNCTION("""COMPUTED_VALUE"""),"!!!")</f>
        <v>!!!</v>
      </c>
      <c r="T60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09">
      <c r="A609" s="72"/>
      <c r="B609" s="60" t="s">
        <v>6754</v>
      </c>
      <c r="C609" s="67" t="str">
        <f>IFERROR(__xludf.DUMMYFUNCTION("""COMPUTED_VALUE"""),"LD237")</f>
        <v>LD237</v>
      </c>
      <c r="D609" s="55" t="s">
        <v>188</v>
      </c>
      <c r="E609" s="55" t="s">
        <v>193</v>
      </c>
      <c r="F609" s="54"/>
      <c r="G609" s="44" t="s">
        <v>61</v>
      </c>
      <c r="H609" s="54"/>
      <c r="I609" s="54"/>
      <c r="J609" s="54"/>
      <c r="K609" s="55" t="s">
        <v>61</v>
      </c>
      <c r="L609" s="54"/>
      <c r="M609" s="54"/>
      <c r="N609" s="54"/>
      <c r="O609" s="54"/>
      <c r="P609" s="54"/>
      <c r="Q609" s="67" t="str">
        <f>IFERROR(__xludf.DUMMYFUNCTION("""COMPUTED_VALUE"""),"!!!")</f>
        <v>!!!</v>
      </c>
      <c r="R609" s="67" t="str">
        <f>IFERROR(__xludf.DUMMYFUNCTION("""COMPUTED_VALUE"""),"!!!")</f>
        <v>!!!</v>
      </c>
      <c r="S609" s="67" t="str">
        <f>IFERROR(__xludf.DUMMYFUNCTION("""COMPUTED_VALUE"""),"!!!")</f>
        <v>!!!</v>
      </c>
      <c r="T60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10">
      <c r="A610" s="72"/>
      <c r="B610" s="60" t="s">
        <v>6754</v>
      </c>
      <c r="C610" s="67" t="str">
        <f>IFERROR(__xludf.DUMMYFUNCTION("""COMPUTED_VALUE"""),"LD237")</f>
        <v>LD237</v>
      </c>
      <c r="D610" s="55" t="s">
        <v>188</v>
      </c>
      <c r="E610" s="55" t="s">
        <v>193</v>
      </c>
      <c r="F610" s="54"/>
      <c r="G610" s="44" t="s">
        <v>61</v>
      </c>
      <c r="H610" s="54"/>
      <c r="I610" s="54"/>
      <c r="J610" s="54"/>
      <c r="K610" s="55" t="s">
        <v>61</v>
      </c>
      <c r="L610" s="54"/>
      <c r="M610" s="54"/>
      <c r="N610" s="54"/>
      <c r="O610" s="54"/>
      <c r="P610" s="54"/>
      <c r="Q610" s="67" t="str">
        <f>IFERROR(__xludf.DUMMYFUNCTION("""COMPUTED_VALUE"""),"!!!")</f>
        <v>!!!</v>
      </c>
      <c r="R610" s="67" t="str">
        <f>IFERROR(__xludf.DUMMYFUNCTION("""COMPUTED_VALUE"""),"!!!")</f>
        <v>!!!</v>
      </c>
      <c r="S610" s="67" t="str">
        <f>IFERROR(__xludf.DUMMYFUNCTION("""COMPUTED_VALUE"""),"!!!")</f>
        <v>!!!</v>
      </c>
      <c r="T61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11">
      <c r="A611" s="72"/>
      <c r="B611" s="60" t="s">
        <v>6754</v>
      </c>
      <c r="C611" s="67" t="str">
        <f>IFERROR(__xludf.DUMMYFUNCTION("""COMPUTED_VALUE"""),"LD237")</f>
        <v>LD237</v>
      </c>
      <c r="D611" s="55" t="s">
        <v>188</v>
      </c>
      <c r="E611" s="55" t="s">
        <v>193</v>
      </c>
      <c r="F611" s="54"/>
      <c r="G611" s="44" t="s">
        <v>61</v>
      </c>
      <c r="H611" s="54"/>
      <c r="I611" s="54"/>
      <c r="J611" s="54"/>
      <c r="K611" s="55" t="s">
        <v>61</v>
      </c>
      <c r="L611" s="54"/>
      <c r="M611" s="54"/>
      <c r="N611" s="54"/>
      <c r="O611" s="54"/>
      <c r="P611" s="54"/>
      <c r="Q611" s="67" t="str">
        <f>IFERROR(__xludf.DUMMYFUNCTION("""COMPUTED_VALUE"""),"!!!")</f>
        <v>!!!</v>
      </c>
      <c r="R611" s="67" t="str">
        <f>IFERROR(__xludf.DUMMYFUNCTION("""COMPUTED_VALUE"""),"!!!")</f>
        <v>!!!</v>
      </c>
      <c r="S611" s="67" t="str">
        <f>IFERROR(__xludf.DUMMYFUNCTION("""COMPUTED_VALUE"""),"!!!")</f>
        <v>!!!</v>
      </c>
      <c r="T61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12">
      <c r="A612" s="72"/>
      <c r="B612" s="60" t="s">
        <v>6754</v>
      </c>
      <c r="C612" s="67" t="str">
        <f>IFERROR(__xludf.DUMMYFUNCTION("""COMPUTED_VALUE"""),"LD237")</f>
        <v>LD237</v>
      </c>
      <c r="D612" s="55" t="s">
        <v>188</v>
      </c>
      <c r="E612" s="55" t="s">
        <v>193</v>
      </c>
      <c r="F612" s="54"/>
      <c r="G612" s="44" t="s">
        <v>61</v>
      </c>
      <c r="H612" s="54"/>
      <c r="I612" s="54"/>
      <c r="J612" s="54"/>
      <c r="K612" s="55" t="s">
        <v>61</v>
      </c>
      <c r="L612" s="54"/>
      <c r="M612" s="54"/>
      <c r="N612" s="54"/>
      <c r="O612" s="54"/>
      <c r="P612" s="54"/>
      <c r="Q612" s="67" t="str">
        <f>IFERROR(__xludf.DUMMYFUNCTION("""COMPUTED_VALUE"""),"!!!")</f>
        <v>!!!</v>
      </c>
      <c r="R612" s="67" t="str">
        <f>IFERROR(__xludf.DUMMYFUNCTION("""COMPUTED_VALUE"""),"!!!")</f>
        <v>!!!</v>
      </c>
      <c r="S612" s="67" t="str">
        <f>IFERROR(__xludf.DUMMYFUNCTION("""COMPUTED_VALUE"""),"!!!")</f>
        <v>!!!</v>
      </c>
      <c r="T61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13">
      <c r="A613" s="72"/>
      <c r="B613" s="60" t="s">
        <v>6754</v>
      </c>
      <c r="C613" s="67" t="str">
        <f>IFERROR(__xludf.DUMMYFUNCTION("""COMPUTED_VALUE"""),"LD237")</f>
        <v>LD237</v>
      </c>
      <c r="D613" s="55" t="s">
        <v>188</v>
      </c>
      <c r="E613" s="55" t="s">
        <v>193</v>
      </c>
      <c r="F613" s="54"/>
      <c r="G613" s="44" t="s">
        <v>61</v>
      </c>
      <c r="H613" s="54"/>
      <c r="I613" s="54"/>
      <c r="J613" s="54"/>
      <c r="K613" s="55" t="s">
        <v>61</v>
      </c>
      <c r="L613" s="54"/>
      <c r="M613" s="54"/>
      <c r="N613" s="54"/>
      <c r="O613" s="54"/>
      <c r="P613" s="54"/>
      <c r="Q613" s="67" t="str">
        <f>IFERROR(__xludf.DUMMYFUNCTION("""COMPUTED_VALUE"""),"!!!")</f>
        <v>!!!</v>
      </c>
      <c r="R613" s="67" t="str">
        <f>IFERROR(__xludf.DUMMYFUNCTION("""COMPUTED_VALUE"""),"!!!")</f>
        <v>!!!</v>
      </c>
      <c r="S613" s="67" t="str">
        <f>IFERROR(__xludf.DUMMYFUNCTION("""COMPUTED_VALUE"""),"!!!")</f>
        <v>!!!</v>
      </c>
      <c r="T61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14">
      <c r="A614" s="72"/>
      <c r="B614" s="60" t="s">
        <v>6754</v>
      </c>
      <c r="C614" s="67" t="str">
        <f>IFERROR(__xludf.DUMMYFUNCTION("""COMPUTED_VALUE"""),"LD237")</f>
        <v>LD237</v>
      </c>
      <c r="D614" s="55" t="s">
        <v>188</v>
      </c>
      <c r="E614" s="55" t="s">
        <v>193</v>
      </c>
      <c r="F614" s="54"/>
      <c r="G614" s="44" t="s">
        <v>61</v>
      </c>
      <c r="H614" s="54"/>
      <c r="I614" s="54"/>
      <c r="J614" s="54"/>
      <c r="K614" s="55" t="s">
        <v>61</v>
      </c>
      <c r="L614" s="54"/>
      <c r="M614" s="54"/>
      <c r="N614" s="54"/>
      <c r="O614" s="54"/>
      <c r="P614" s="54"/>
      <c r="Q614" s="67" t="str">
        <f>IFERROR(__xludf.DUMMYFUNCTION("""COMPUTED_VALUE"""),"!!!")</f>
        <v>!!!</v>
      </c>
      <c r="R614" s="67" t="str">
        <f>IFERROR(__xludf.DUMMYFUNCTION("""COMPUTED_VALUE"""),"!!!")</f>
        <v>!!!</v>
      </c>
      <c r="S614" s="67" t="str">
        <f>IFERROR(__xludf.DUMMYFUNCTION("""COMPUTED_VALUE"""),"!!!")</f>
        <v>!!!</v>
      </c>
      <c r="T61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15">
      <c r="A615" s="72"/>
      <c r="B615" s="60" t="s">
        <v>6754</v>
      </c>
      <c r="C615" s="67" t="str">
        <f>IFERROR(__xludf.DUMMYFUNCTION("""COMPUTED_VALUE"""),"LD237")</f>
        <v>LD237</v>
      </c>
      <c r="D615" s="55" t="s">
        <v>188</v>
      </c>
      <c r="E615" s="55" t="s">
        <v>193</v>
      </c>
      <c r="F615" s="54"/>
      <c r="G615" s="44" t="s">
        <v>61</v>
      </c>
      <c r="H615" s="54"/>
      <c r="I615" s="54"/>
      <c r="J615" s="54"/>
      <c r="K615" s="55" t="s">
        <v>61</v>
      </c>
      <c r="L615" s="54"/>
      <c r="M615" s="54"/>
      <c r="N615" s="54"/>
      <c r="O615" s="54"/>
      <c r="P615" s="54"/>
      <c r="Q615" s="67" t="str">
        <f>IFERROR(__xludf.DUMMYFUNCTION("""COMPUTED_VALUE"""),"!!!")</f>
        <v>!!!</v>
      </c>
      <c r="R615" s="67" t="str">
        <f>IFERROR(__xludf.DUMMYFUNCTION("""COMPUTED_VALUE"""),"!!!")</f>
        <v>!!!</v>
      </c>
      <c r="S615" s="67" t="str">
        <f>IFERROR(__xludf.DUMMYFUNCTION("""COMPUTED_VALUE"""),"!!!")</f>
        <v>!!!</v>
      </c>
      <c r="T61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16">
      <c r="A616" s="72"/>
      <c r="B616" s="60" t="s">
        <v>6754</v>
      </c>
      <c r="C616" s="67" t="str">
        <f>IFERROR(__xludf.DUMMYFUNCTION("""COMPUTED_VALUE"""),"LD237")</f>
        <v>LD237</v>
      </c>
      <c r="D616" s="55" t="s">
        <v>188</v>
      </c>
      <c r="E616" s="55" t="s">
        <v>193</v>
      </c>
      <c r="F616" s="54"/>
      <c r="G616" s="44" t="s">
        <v>61</v>
      </c>
      <c r="H616" s="54"/>
      <c r="I616" s="54"/>
      <c r="J616" s="54"/>
      <c r="K616" s="55" t="s">
        <v>61</v>
      </c>
      <c r="L616" s="54"/>
      <c r="M616" s="54"/>
      <c r="N616" s="54"/>
      <c r="O616" s="54"/>
      <c r="P616" s="54"/>
      <c r="Q616" s="67" t="str">
        <f>IFERROR(__xludf.DUMMYFUNCTION("""COMPUTED_VALUE"""),"!!!")</f>
        <v>!!!</v>
      </c>
      <c r="R616" s="67" t="str">
        <f>IFERROR(__xludf.DUMMYFUNCTION("""COMPUTED_VALUE"""),"!!!")</f>
        <v>!!!</v>
      </c>
      <c r="S616" s="67" t="str">
        <f>IFERROR(__xludf.DUMMYFUNCTION("""COMPUTED_VALUE"""),"!!!")</f>
        <v>!!!</v>
      </c>
      <c r="T61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17">
      <c r="A617" s="72"/>
      <c r="B617" s="60" t="s">
        <v>6754</v>
      </c>
      <c r="C617" s="67" t="str">
        <f>IFERROR(__xludf.DUMMYFUNCTION("""COMPUTED_VALUE"""),"LD237")</f>
        <v>LD237</v>
      </c>
      <c r="D617" s="55" t="s">
        <v>188</v>
      </c>
      <c r="E617" s="55" t="s">
        <v>193</v>
      </c>
      <c r="F617" s="54"/>
      <c r="G617" s="44" t="s">
        <v>61</v>
      </c>
      <c r="H617" s="54"/>
      <c r="I617" s="54"/>
      <c r="J617" s="54"/>
      <c r="K617" s="55" t="s">
        <v>61</v>
      </c>
      <c r="L617" s="54"/>
      <c r="M617" s="54"/>
      <c r="N617" s="54"/>
      <c r="O617" s="54"/>
      <c r="P617" s="54"/>
      <c r="Q617" s="67" t="str">
        <f>IFERROR(__xludf.DUMMYFUNCTION("""COMPUTED_VALUE"""),"!!!")</f>
        <v>!!!</v>
      </c>
      <c r="R617" s="67" t="str">
        <f>IFERROR(__xludf.DUMMYFUNCTION("""COMPUTED_VALUE"""),"!!!")</f>
        <v>!!!</v>
      </c>
      <c r="S617" s="67" t="str">
        <f>IFERROR(__xludf.DUMMYFUNCTION("""COMPUTED_VALUE"""),"!!!")</f>
        <v>!!!</v>
      </c>
      <c r="T61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18">
      <c r="A618" s="72"/>
      <c r="B618" s="60" t="s">
        <v>6754</v>
      </c>
      <c r="C618" s="67" t="str">
        <f>IFERROR(__xludf.DUMMYFUNCTION("""COMPUTED_VALUE"""),"LD237")</f>
        <v>LD237</v>
      </c>
      <c r="D618" s="55" t="s">
        <v>188</v>
      </c>
      <c r="E618" s="55" t="s">
        <v>193</v>
      </c>
      <c r="F618" s="54"/>
      <c r="G618" s="44" t="s">
        <v>61</v>
      </c>
      <c r="H618" s="54"/>
      <c r="I618" s="54"/>
      <c r="J618" s="54"/>
      <c r="K618" s="55" t="s">
        <v>61</v>
      </c>
      <c r="L618" s="54"/>
      <c r="M618" s="54"/>
      <c r="N618" s="54"/>
      <c r="O618" s="54"/>
      <c r="P618" s="54"/>
      <c r="Q618" s="67" t="str">
        <f>IFERROR(__xludf.DUMMYFUNCTION("""COMPUTED_VALUE"""),"!!!")</f>
        <v>!!!</v>
      </c>
      <c r="R618" s="67" t="str">
        <f>IFERROR(__xludf.DUMMYFUNCTION("""COMPUTED_VALUE"""),"!!!")</f>
        <v>!!!</v>
      </c>
      <c r="S618" s="67" t="str">
        <f>IFERROR(__xludf.DUMMYFUNCTION("""COMPUTED_VALUE"""),"!!!")</f>
        <v>!!!</v>
      </c>
      <c r="T61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19">
      <c r="A619" s="72"/>
      <c r="B619" s="60" t="s">
        <v>6754</v>
      </c>
      <c r="C619" s="67" t="str">
        <f>IFERROR(__xludf.DUMMYFUNCTION("""COMPUTED_VALUE"""),"LD237")</f>
        <v>LD237</v>
      </c>
      <c r="D619" s="55" t="s">
        <v>188</v>
      </c>
      <c r="E619" s="55" t="s">
        <v>193</v>
      </c>
      <c r="F619" s="54"/>
      <c r="G619" s="44" t="s">
        <v>61</v>
      </c>
      <c r="H619" s="54"/>
      <c r="I619" s="54"/>
      <c r="J619" s="54"/>
      <c r="K619" s="55" t="s">
        <v>61</v>
      </c>
      <c r="L619" s="54"/>
      <c r="M619" s="54"/>
      <c r="N619" s="54"/>
      <c r="O619" s="54"/>
      <c r="P619" s="54"/>
      <c r="Q619" s="67" t="str">
        <f>IFERROR(__xludf.DUMMYFUNCTION("""COMPUTED_VALUE"""),"!!!")</f>
        <v>!!!</v>
      </c>
      <c r="R619" s="67" t="str">
        <f>IFERROR(__xludf.DUMMYFUNCTION("""COMPUTED_VALUE"""),"!!!")</f>
        <v>!!!</v>
      </c>
      <c r="S619" s="67" t="str">
        <f>IFERROR(__xludf.DUMMYFUNCTION("""COMPUTED_VALUE"""),"!!!")</f>
        <v>!!!</v>
      </c>
      <c r="T61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20">
      <c r="A620" s="72"/>
      <c r="B620" s="60" t="s">
        <v>6754</v>
      </c>
      <c r="C620" s="67" t="str">
        <f>IFERROR(__xludf.DUMMYFUNCTION("""COMPUTED_VALUE"""),"LD237")</f>
        <v>LD237</v>
      </c>
      <c r="D620" s="55" t="s">
        <v>188</v>
      </c>
      <c r="E620" s="55" t="s">
        <v>193</v>
      </c>
      <c r="F620" s="54"/>
      <c r="G620" s="44" t="s">
        <v>61</v>
      </c>
      <c r="H620" s="54"/>
      <c r="I620" s="54"/>
      <c r="J620" s="54"/>
      <c r="K620" s="55" t="s">
        <v>61</v>
      </c>
      <c r="L620" s="54"/>
      <c r="M620" s="54"/>
      <c r="N620" s="54"/>
      <c r="O620" s="54"/>
      <c r="P620" s="54"/>
      <c r="Q620" s="67" t="str">
        <f>IFERROR(__xludf.DUMMYFUNCTION("""COMPUTED_VALUE"""),"!!!")</f>
        <v>!!!</v>
      </c>
      <c r="R620" s="67" t="str">
        <f>IFERROR(__xludf.DUMMYFUNCTION("""COMPUTED_VALUE"""),"!!!")</f>
        <v>!!!</v>
      </c>
      <c r="S620" s="67" t="str">
        <f>IFERROR(__xludf.DUMMYFUNCTION("""COMPUTED_VALUE"""),"!!!")</f>
        <v>!!!</v>
      </c>
      <c r="T62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21">
      <c r="A621" s="72"/>
      <c r="B621" s="60" t="s">
        <v>6754</v>
      </c>
      <c r="C621" s="67" t="str">
        <f>IFERROR(__xludf.DUMMYFUNCTION("""COMPUTED_VALUE"""),"LD237")</f>
        <v>LD237</v>
      </c>
      <c r="D621" s="55" t="s">
        <v>188</v>
      </c>
      <c r="E621" s="55" t="s">
        <v>193</v>
      </c>
      <c r="F621" s="54"/>
      <c r="G621" s="44" t="s">
        <v>61</v>
      </c>
      <c r="H621" s="54"/>
      <c r="I621" s="54"/>
      <c r="J621" s="54"/>
      <c r="K621" s="55" t="s">
        <v>61</v>
      </c>
      <c r="L621" s="54"/>
      <c r="M621" s="54"/>
      <c r="N621" s="54"/>
      <c r="O621" s="54"/>
      <c r="P621" s="54"/>
      <c r="Q621" s="67" t="str">
        <f>IFERROR(__xludf.DUMMYFUNCTION("""COMPUTED_VALUE"""),"!!!")</f>
        <v>!!!</v>
      </c>
      <c r="R621" s="67" t="str">
        <f>IFERROR(__xludf.DUMMYFUNCTION("""COMPUTED_VALUE"""),"!!!")</f>
        <v>!!!</v>
      </c>
      <c r="S621" s="67" t="str">
        <f>IFERROR(__xludf.DUMMYFUNCTION("""COMPUTED_VALUE"""),"!!!")</f>
        <v>!!!</v>
      </c>
      <c r="T62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22">
      <c r="A622" s="72"/>
      <c r="B622" s="60" t="s">
        <v>6754</v>
      </c>
      <c r="C622" s="67" t="str">
        <f>IFERROR(__xludf.DUMMYFUNCTION("""COMPUTED_VALUE"""),"LD237")</f>
        <v>LD237</v>
      </c>
      <c r="D622" s="55" t="s">
        <v>188</v>
      </c>
      <c r="E622" s="55" t="s">
        <v>193</v>
      </c>
      <c r="F622" s="54"/>
      <c r="G622" s="44" t="s">
        <v>61</v>
      </c>
      <c r="H622" s="54"/>
      <c r="I622" s="54"/>
      <c r="J622" s="54"/>
      <c r="K622" s="55" t="s">
        <v>61</v>
      </c>
      <c r="L622" s="54"/>
      <c r="M622" s="54"/>
      <c r="N622" s="54"/>
      <c r="O622" s="54"/>
      <c r="P622" s="54"/>
      <c r="Q622" s="67" t="str">
        <f>IFERROR(__xludf.DUMMYFUNCTION("""COMPUTED_VALUE"""),"!!!")</f>
        <v>!!!</v>
      </c>
      <c r="R622" s="67" t="str">
        <f>IFERROR(__xludf.DUMMYFUNCTION("""COMPUTED_VALUE"""),"!!!")</f>
        <v>!!!</v>
      </c>
      <c r="S622" s="67" t="str">
        <f>IFERROR(__xludf.DUMMYFUNCTION("""COMPUTED_VALUE"""),"!!!")</f>
        <v>!!!</v>
      </c>
      <c r="T62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23">
      <c r="A623" s="72"/>
      <c r="B623" s="60" t="s">
        <v>6754</v>
      </c>
      <c r="C623" s="67" t="str">
        <f>IFERROR(__xludf.DUMMYFUNCTION("""COMPUTED_VALUE"""),"LD237")</f>
        <v>LD237</v>
      </c>
      <c r="D623" s="55" t="s">
        <v>188</v>
      </c>
      <c r="E623" s="55" t="s">
        <v>193</v>
      </c>
      <c r="F623" s="54"/>
      <c r="G623" s="44" t="s">
        <v>61</v>
      </c>
      <c r="H623" s="54"/>
      <c r="I623" s="54"/>
      <c r="J623" s="54"/>
      <c r="K623" s="55" t="s">
        <v>61</v>
      </c>
      <c r="L623" s="54"/>
      <c r="M623" s="54"/>
      <c r="N623" s="54"/>
      <c r="O623" s="54"/>
      <c r="P623" s="54"/>
      <c r="Q623" s="67" t="str">
        <f>IFERROR(__xludf.DUMMYFUNCTION("""COMPUTED_VALUE"""),"!!!")</f>
        <v>!!!</v>
      </c>
      <c r="R623" s="67" t="str">
        <f>IFERROR(__xludf.DUMMYFUNCTION("""COMPUTED_VALUE"""),"!!!")</f>
        <v>!!!</v>
      </c>
      <c r="S623" s="67" t="str">
        <f>IFERROR(__xludf.DUMMYFUNCTION("""COMPUTED_VALUE"""),"!!!")</f>
        <v>!!!</v>
      </c>
      <c r="T62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24">
      <c r="A624" s="72"/>
      <c r="B624" s="60" t="s">
        <v>6754</v>
      </c>
      <c r="C624" s="67" t="str">
        <f>IFERROR(__xludf.DUMMYFUNCTION("""COMPUTED_VALUE"""),"LD237")</f>
        <v>LD237</v>
      </c>
      <c r="D624" s="55" t="s">
        <v>188</v>
      </c>
      <c r="E624" s="55" t="s">
        <v>193</v>
      </c>
      <c r="F624" s="54"/>
      <c r="G624" s="44" t="s">
        <v>61</v>
      </c>
      <c r="H624" s="54"/>
      <c r="I624" s="54"/>
      <c r="J624" s="54"/>
      <c r="K624" s="55" t="s">
        <v>61</v>
      </c>
      <c r="L624" s="54"/>
      <c r="M624" s="54"/>
      <c r="N624" s="54"/>
      <c r="O624" s="54"/>
      <c r="P624" s="54"/>
      <c r="Q624" s="67" t="str">
        <f>IFERROR(__xludf.DUMMYFUNCTION("""COMPUTED_VALUE"""),"!!!")</f>
        <v>!!!</v>
      </c>
      <c r="R624" s="67" t="str">
        <f>IFERROR(__xludf.DUMMYFUNCTION("""COMPUTED_VALUE"""),"!!!")</f>
        <v>!!!</v>
      </c>
      <c r="S624" s="67" t="str">
        <f>IFERROR(__xludf.DUMMYFUNCTION("""COMPUTED_VALUE"""),"!!!")</f>
        <v>!!!</v>
      </c>
      <c r="T62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25">
      <c r="A625" s="72"/>
      <c r="B625" s="60" t="s">
        <v>6754</v>
      </c>
      <c r="C625" s="67" t="str">
        <f>IFERROR(__xludf.DUMMYFUNCTION("""COMPUTED_VALUE"""),"LD237")</f>
        <v>LD237</v>
      </c>
      <c r="D625" s="55" t="s">
        <v>188</v>
      </c>
      <c r="E625" s="55" t="s">
        <v>193</v>
      </c>
      <c r="F625" s="54"/>
      <c r="G625" s="44" t="s">
        <v>61</v>
      </c>
      <c r="H625" s="54"/>
      <c r="I625" s="54"/>
      <c r="J625" s="54"/>
      <c r="K625" s="55" t="s">
        <v>61</v>
      </c>
      <c r="L625" s="54"/>
      <c r="M625" s="54"/>
      <c r="N625" s="54"/>
      <c r="O625" s="54"/>
      <c r="P625" s="54"/>
      <c r="Q625" s="67" t="str">
        <f>IFERROR(__xludf.DUMMYFUNCTION("""COMPUTED_VALUE"""),"!!!")</f>
        <v>!!!</v>
      </c>
      <c r="R625" s="67" t="str">
        <f>IFERROR(__xludf.DUMMYFUNCTION("""COMPUTED_VALUE"""),"!!!")</f>
        <v>!!!</v>
      </c>
      <c r="S625" s="67" t="str">
        <f>IFERROR(__xludf.DUMMYFUNCTION("""COMPUTED_VALUE"""),"!!!")</f>
        <v>!!!</v>
      </c>
      <c r="T62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26">
      <c r="A626" s="72"/>
      <c r="B626" s="60" t="s">
        <v>6754</v>
      </c>
      <c r="C626" s="67" t="str">
        <f>IFERROR(__xludf.DUMMYFUNCTION("""COMPUTED_VALUE"""),"LD237")</f>
        <v>LD237</v>
      </c>
      <c r="D626" s="55" t="s">
        <v>188</v>
      </c>
      <c r="E626" s="55" t="s">
        <v>193</v>
      </c>
      <c r="F626" s="54"/>
      <c r="G626" s="44" t="s">
        <v>61</v>
      </c>
      <c r="H626" s="54"/>
      <c r="I626" s="54"/>
      <c r="J626" s="54"/>
      <c r="K626" s="55" t="s">
        <v>61</v>
      </c>
      <c r="L626" s="54"/>
      <c r="M626" s="54"/>
      <c r="N626" s="54"/>
      <c r="O626" s="54"/>
      <c r="P626" s="54"/>
      <c r="Q626" s="67" t="str">
        <f>IFERROR(__xludf.DUMMYFUNCTION("""COMPUTED_VALUE"""),"!!!")</f>
        <v>!!!</v>
      </c>
      <c r="R626" s="67" t="str">
        <f>IFERROR(__xludf.DUMMYFUNCTION("""COMPUTED_VALUE"""),"!!!")</f>
        <v>!!!</v>
      </c>
      <c r="S626" s="67" t="str">
        <f>IFERROR(__xludf.DUMMYFUNCTION("""COMPUTED_VALUE"""),"!!!")</f>
        <v>!!!</v>
      </c>
      <c r="T62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27">
      <c r="A627" s="72"/>
      <c r="B627" s="60" t="s">
        <v>6754</v>
      </c>
      <c r="C627" s="67" t="str">
        <f>IFERROR(__xludf.DUMMYFUNCTION("""COMPUTED_VALUE"""),"LD237")</f>
        <v>LD237</v>
      </c>
      <c r="D627" s="55" t="s">
        <v>188</v>
      </c>
      <c r="E627" s="55" t="s">
        <v>193</v>
      </c>
      <c r="F627" s="54"/>
      <c r="G627" s="44" t="s">
        <v>61</v>
      </c>
      <c r="H627" s="54"/>
      <c r="I627" s="54"/>
      <c r="J627" s="54"/>
      <c r="K627" s="55" t="s">
        <v>61</v>
      </c>
      <c r="L627" s="54"/>
      <c r="M627" s="54"/>
      <c r="N627" s="54"/>
      <c r="O627" s="54"/>
      <c r="P627" s="54"/>
      <c r="Q627" s="67" t="str">
        <f>IFERROR(__xludf.DUMMYFUNCTION("""COMPUTED_VALUE"""),"!!!")</f>
        <v>!!!</v>
      </c>
      <c r="R627" s="67" t="str">
        <f>IFERROR(__xludf.DUMMYFUNCTION("""COMPUTED_VALUE"""),"!!!")</f>
        <v>!!!</v>
      </c>
      <c r="S627" s="67" t="str">
        <f>IFERROR(__xludf.DUMMYFUNCTION("""COMPUTED_VALUE"""),"!!!")</f>
        <v>!!!</v>
      </c>
      <c r="T62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28">
      <c r="A628" s="72"/>
      <c r="B628" s="60" t="s">
        <v>6754</v>
      </c>
      <c r="C628" s="67" t="str">
        <f>IFERROR(__xludf.DUMMYFUNCTION("""COMPUTED_VALUE"""),"LD237")</f>
        <v>LD237</v>
      </c>
      <c r="D628" s="55" t="s">
        <v>188</v>
      </c>
      <c r="E628" s="55" t="s">
        <v>193</v>
      </c>
      <c r="F628" s="54"/>
      <c r="G628" s="44" t="s">
        <v>61</v>
      </c>
      <c r="H628" s="54"/>
      <c r="I628" s="54"/>
      <c r="J628" s="54"/>
      <c r="K628" s="55" t="s">
        <v>61</v>
      </c>
      <c r="L628" s="54"/>
      <c r="M628" s="54"/>
      <c r="N628" s="54"/>
      <c r="O628" s="54"/>
      <c r="P628" s="54"/>
      <c r="Q628" s="67" t="str">
        <f>IFERROR(__xludf.DUMMYFUNCTION("""COMPUTED_VALUE"""),"!!!")</f>
        <v>!!!</v>
      </c>
      <c r="R628" s="67" t="str">
        <f>IFERROR(__xludf.DUMMYFUNCTION("""COMPUTED_VALUE"""),"!!!")</f>
        <v>!!!</v>
      </c>
      <c r="S628" s="67" t="str">
        <f>IFERROR(__xludf.DUMMYFUNCTION("""COMPUTED_VALUE"""),"!!!")</f>
        <v>!!!</v>
      </c>
      <c r="T62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29">
      <c r="A629" s="72"/>
      <c r="B629" s="60" t="s">
        <v>6754</v>
      </c>
      <c r="C629" s="67" t="str">
        <f>IFERROR(__xludf.DUMMYFUNCTION("""COMPUTED_VALUE"""),"LD237")</f>
        <v>LD237</v>
      </c>
      <c r="D629" s="55" t="s">
        <v>188</v>
      </c>
      <c r="E629" s="55" t="s">
        <v>193</v>
      </c>
      <c r="F629" s="54"/>
      <c r="G629" s="44" t="s">
        <v>61</v>
      </c>
      <c r="H629" s="54"/>
      <c r="I629" s="54"/>
      <c r="J629" s="54"/>
      <c r="K629" s="55" t="s">
        <v>61</v>
      </c>
      <c r="L629" s="54"/>
      <c r="M629" s="54"/>
      <c r="N629" s="54"/>
      <c r="O629" s="54"/>
      <c r="P629" s="54"/>
      <c r="Q629" s="67" t="str">
        <f>IFERROR(__xludf.DUMMYFUNCTION("""COMPUTED_VALUE"""),"!!!")</f>
        <v>!!!</v>
      </c>
      <c r="R629" s="67" t="str">
        <f>IFERROR(__xludf.DUMMYFUNCTION("""COMPUTED_VALUE"""),"!!!")</f>
        <v>!!!</v>
      </c>
      <c r="S629" s="67" t="str">
        <f>IFERROR(__xludf.DUMMYFUNCTION("""COMPUTED_VALUE"""),"!!!")</f>
        <v>!!!</v>
      </c>
      <c r="T62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30">
      <c r="A630" s="72"/>
      <c r="B630" s="60" t="s">
        <v>6754</v>
      </c>
      <c r="C630" s="67" t="str">
        <f>IFERROR(__xludf.DUMMYFUNCTION("""COMPUTED_VALUE"""),"LD237")</f>
        <v>LD237</v>
      </c>
      <c r="D630" s="55" t="s">
        <v>188</v>
      </c>
      <c r="E630" s="55" t="s">
        <v>193</v>
      </c>
      <c r="F630" s="54"/>
      <c r="G630" s="44" t="s">
        <v>61</v>
      </c>
      <c r="H630" s="54"/>
      <c r="I630" s="54"/>
      <c r="J630" s="54"/>
      <c r="K630" s="55" t="s">
        <v>61</v>
      </c>
      <c r="L630" s="54"/>
      <c r="M630" s="54"/>
      <c r="N630" s="54"/>
      <c r="O630" s="54"/>
      <c r="P630" s="54"/>
      <c r="Q630" s="67" t="str">
        <f>IFERROR(__xludf.DUMMYFUNCTION("""COMPUTED_VALUE"""),"!!!")</f>
        <v>!!!</v>
      </c>
      <c r="R630" s="67" t="str">
        <f>IFERROR(__xludf.DUMMYFUNCTION("""COMPUTED_VALUE"""),"!!!")</f>
        <v>!!!</v>
      </c>
      <c r="S630" s="67" t="str">
        <f>IFERROR(__xludf.DUMMYFUNCTION("""COMPUTED_VALUE"""),"!!!")</f>
        <v>!!!</v>
      </c>
      <c r="T63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31">
      <c r="A631" s="72"/>
      <c r="B631" s="60" t="s">
        <v>6754</v>
      </c>
      <c r="C631" s="67" t="str">
        <f>IFERROR(__xludf.DUMMYFUNCTION("""COMPUTED_VALUE"""),"LD237")</f>
        <v>LD237</v>
      </c>
      <c r="D631" s="55" t="s">
        <v>188</v>
      </c>
      <c r="E631" s="55" t="s">
        <v>193</v>
      </c>
      <c r="F631" s="54"/>
      <c r="G631" s="44" t="s">
        <v>61</v>
      </c>
      <c r="H631" s="54"/>
      <c r="I631" s="54"/>
      <c r="J631" s="54"/>
      <c r="K631" s="55" t="s">
        <v>61</v>
      </c>
      <c r="L631" s="54"/>
      <c r="M631" s="54"/>
      <c r="N631" s="54"/>
      <c r="O631" s="54"/>
      <c r="P631" s="54"/>
      <c r="Q631" s="67" t="str">
        <f>IFERROR(__xludf.DUMMYFUNCTION("""COMPUTED_VALUE"""),"!!!")</f>
        <v>!!!</v>
      </c>
      <c r="R631" s="67" t="str">
        <f>IFERROR(__xludf.DUMMYFUNCTION("""COMPUTED_VALUE"""),"!!!")</f>
        <v>!!!</v>
      </c>
      <c r="S631" s="67" t="str">
        <f>IFERROR(__xludf.DUMMYFUNCTION("""COMPUTED_VALUE"""),"!!!")</f>
        <v>!!!</v>
      </c>
      <c r="T63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32">
      <c r="A632" s="72"/>
      <c r="B632" s="60" t="s">
        <v>6754</v>
      </c>
      <c r="C632" s="67" t="str">
        <f>IFERROR(__xludf.DUMMYFUNCTION("""COMPUTED_VALUE"""),"LD237")</f>
        <v>LD237</v>
      </c>
      <c r="D632" s="55" t="s">
        <v>188</v>
      </c>
      <c r="E632" s="55" t="s">
        <v>193</v>
      </c>
      <c r="F632" s="54"/>
      <c r="G632" s="44" t="s">
        <v>61</v>
      </c>
      <c r="H632" s="54"/>
      <c r="I632" s="54"/>
      <c r="J632" s="54"/>
      <c r="K632" s="55" t="s">
        <v>61</v>
      </c>
      <c r="L632" s="54"/>
      <c r="M632" s="54"/>
      <c r="N632" s="54"/>
      <c r="O632" s="54"/>
      <c r="P632" s="54"/>
      <c r="Q632" s="67" t="str">
        <f>IFERROR(__xludf.DUMMYFUNCTION("""COMPUTED_VALUE"""),"!!!")</f>
        <v>!!!</v>
      </c>
      <c r="R632" s="67" t="str">
        <f>IFERROR(__xludf.DUMMYFUNCTION("""COMPUTED_VALUE"""),"!!!")</f>
        <v>!!!</v>
      </c>
      <c r="S632" s="67" t="str">
        <f>IFERROR(__xludf.DUMMYFUNCTION("""COMPUTED_VALUE"""),"!!!")</f>
        <v>!!!</v>
      </c>
      <c r="T63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33">
      <c r="A633" s="72"/>
      <c r="B633" s="60" t="s">
        <v>6754</v>
      </c>
      <c r="C633" s="67" t="str">
        <f>IFERROR(__xludf.DUMMYFUNCTION("""COMPUTED_VALUE"""),"LD237")</f>
        <v>LD237</v>
      </c>
      <c r="D633" s="55" t="s">
        <v>188</v>
      </c>
      <c r="E633" s="55" t="s">
        <v>193</v>
      </c>
      <c r="F633" s="54"/>
      <c r="G633" s="44" t="s">
        <v>61</v>
      </c>
      <c r="H633" s="54"/>
      <c r="I633" s="54"/>
      <c r="J633" s="54"/>
      <c r="K633" s="55" t="s">
        <v>61</v>
      </c>
      <c r="L633" s="54"/>
      <c r="M633" s="54"/>
      <c r="N633" s="54"/>
      <c r="O633" s="54"/>
      <c r="P633" s="54"/>
      <c r="Q633" s="67" t="str">
        <f>IFERROR(__xludf.DUMMYFUNCTION("""COMPUTED_VALUE"""),"!!!")</f>
        <v>!!!</v>
      </c>
      <c r="R633" s="67" t="str">
        <f>IFERROR(__xludf.DUMMYFUNCTION("""COMPUTED_VALUE"""),"!!!")</f>
        <v>!!!</v>
      </c>
      <c r="S633" s="67" t="str">
        <f>IFERROR(__xludf.DUMMYFUNCTION("""COMPUTED_VALUE"""),"!!!")</f>
        <v>!!!</v>
      </c>
      <c r="T63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34">
      <c r="A634" s="72"/>
      <c r="B634" s="60" t="s">
        <v>6754</v>
      </c>
      <c r="C634" s="67" t="str">
        <f>IFERROR(__xludf.DUMMYFUNCTION("""COMPUTED_VALUE"""),"LD237")</f>
        <v>LD237</v>
      </c>
      <c r="D634" s="55" t="s">
        <v>188</v>
      </c>
      <c r="E634" s="55" t="s">
        <v>193</v>
      </c>
      <c r="F634" s="54"/>
      <c r="G634" s="44" t="s">
        <v>61</v>
      </c>
      <c r="H634" s="54"/>
      <c r="I634" s="54"/>
      <c r="J634" s="54"/>
      <c r="K634" s="55" t="s">
        <v>61</v>
      </c>
      <c r="L634" s="54"/>
      <c r="M634" s="54"/>
      <c r="N634" s="54"/>
      <c r="O634" s="54"/>
      <c r="P634" s="54"/>
      <c r="Q634" s="67" t="str">
        <f>IFERROR(__xludf.DUMMYFUNCTION("""COMPUTED_VALUE"""),"!!!")</f>
        <v>!!!</v>
      </c>
      <c r="R634" s="67" t="str">
        <f>IFERROR(__xludf.DUMMYFUNCTION("""COMPUTED_VALUE"""),"!!!")</f>
        <v>!!!</v>
      </c>
      <c r="S634" s="67" t="str">
        <f>IFERROR(__xludf.DUMMYFUNCTION("""COMPUTED_VALUE"""),"!!!")</f>
        <v>!!!</v>
      </c>
      <c r="T63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35">
      <c r="A635" s="72"/>
      <c r="B635" s="60" t="s">
        <v>6754</v>
      </c>
      <c r="C635" s="67" t="str">
        <f>IFERROR(__xludf.DUMMYFUNCTION("""COMPUTED_VALUE"""),"LD237")</f>
        <v>LD237</v>
      </c>
      <c r="D635" s="55" t="s">
        <v>188</v>
      </c>
      <c r="E635" s="55" t="s">
        <v>193</v>
      </c>
      <c r="F635" s="54"/>
      <c r="G635" s="44" t="s">
        <v>61</v>
      </c>
      <c r="H635" s="54"/>
      <c r="I635" s="54"/>
      <c r="J635" s="54"/>
      <c r="K635" s="55" t="s">
        <v>61</v>
      </c>
      <c r="L635" s="54"/>
      <c r="M635" s="54"/>
      <c r="N635" s="54"/>
      <c r="O635" s="54"/>
      <c r="P635" s="54"/>
      <c r="Q635" s="67" t="str">
        <f>IFERROR(__xludf.DUMMYFUNCTION("""COMPUTED_VALUE"""),"!!!")</f>
        <v>!!!</v>
      </c>
      <c r="R635" s="67" t="str">
        <f>IFERROR(__xludf.DUMMYFUNCTION("""COMPUTED_VALUE"""),"!!!")</f>
        <v>!!!</v>
      </c>
      <c r="S635" s="67" t="str">
        <f>IFERROR(__xludf.DUMMYFUNCTION("""COMPUTED_VALUE"""),"!!!")</f>
        <v>!!!</v>
      </c>
      <c r="T63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36">
      <c r="A636" s="72"/>
      <c r="B636" s="60" t="s">
        <v>6754</v>
      </c>
      <c r="C636" s="67" t="str">
        <f>IFERROR(__xludf.DUMMYFUNCTION("""COMPUTED_VALUE"""),"LD237")</f>
        <v>LD237</v>
      </c>
      <c r="D636" s="55" t="s">
        <v>188</v>
      </c>
      <c r="E636" s="55" t="s">
        <v>193</v>
      </c>
      <c r="F636" s="54"/>
      <c r="G636" s="44" t="s">
        <v>61</v>
      </c>
      <c r="H636" s="54"/>
      <c r="I636" s="54"/>
      <c r="J636" s="54"/>
      <c r="K636" s="55" t="s">
        <v>61</v>
      </c>
      <c r="L636" s="54"/>
      <c r="M636" s="54"/>
      <c r="N636" s="54"/>
      <c r="O636" s="54"/>
      <c r="P636" s="54"/>
      <c r="Q636" s="67" t="str">
        <f>IFERROR(__xludf.DUMMYFUNCTION("""COMPUTED_VALUE"""),"!!!")</f>
        <v>!!!</v>
      </c>
      <c r="R636" s="67" t="str">
        <f>IFERROR(__xludf.DUMMYFUNCTION("""COMPUTED_VALUE"""),"!!!")</f>
        <v>!!!</v>
      </c>
      <c r="S636" s="67" t="str">
        <f>IFERROR(__xludf.DUMMYFUNCTION("""COMPUTED_VALUE"""),"!!!")</f>
        <v>!!!</v>
      </c>
      <c r="T63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37">
      <c r="A637" s="72"/>
      <c r="B637" s="60" t="s">
        <v>6754</v>
      </c>
      <c r="C637" s="67" t="str">
        <f>IFERROR(__xludf.DUMMYFUNCTION("""COMPUTED_VALUE"""),"LD237")</f>
        <v>LD237</v>
      </c>
      <c r="D637" s="55" t="s">
        <v>188</v>
      </c>
      <c r="E637" s="55" t="s">
        <v>193</v>
      </c>
      <c r="F637" s="54"/>
      <c r="G637" s="44" t="s">
        <v>61</v>
      </c>
      <c r="H637" s="54"/>
      <c r="I637" s="54"/>
      <c r="J637" s="54"/>
      <c r="K637" s="55" t="s">
        <v>61</v>
      </c>
      <c r="L637" s="54"/>
      <c r="M637" s="54"/>
      <c r="N637" s="54"/>
      <c r="O637" s="54"/>
      <c r="P637" s="54"/>
      <c r="Q637" s="67" t="str">
        <f>IFERROR(__xludf.DUMMYFUNCTION("""COMPUTED_VALUE"""),"!!!")</f>
        <v>!!!</v>
      </c>
      <c r="R637" s="67" t="str">
        <f>IFERROR(__xludf.DUMMYFUNCTION("""COMPUTED_VALUE"""),"!!!")</f>
        <v>!!!</v>
      </c>
      <c r="S637" s="67" t="str">
        <f>IFERROR(__xludf.DUMMYFUNCTION("""COMPUTED_VALUE"""),"!!!")</f>
        <v>!!!</v>
      </c>
      <c r="T63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38">
      <c r="A638" s="72"/>
      <c r="B638" s="60" t="s">
        <v>6754</v>
      </c>
      <c r="C638" s="67" t="str">
        <f>IFERROR(__xludf.DUMMYFUNCTION("""COMPUTED_VALUE"""),"LD237")</f>
        <v>LD237</v>
      </c>
      <c r="D638" s="55" t="s">
        <v>188</v>
      </c>
      <c r="E638" s="55" t="s">
        <v>193</v>
      </c>
      <c r="F638" s="54"/>
      <c r="G638" s="44" t="s">
        <v>61</v>
      </c>
      <c r="H638" s="54"/>
      <c r="I638" s="54"/>
      <c r="J638" s="54"/>
      <c r="K638" s="55" t="s">
        <v>61</v>
      </c>
      <c r="L638" s="54"/>
      <c r="M638" s="54"/>
      <c r="N638" s="54"/>
      <c r="O638" s="54"/>
      <c r="P638" s="54"/>
      <c r="Q638" s="67" t="str">
        <f>IFERROR(__xludf.DUMMYFUNCTION("""COMPUTED_VALUE"""),"!!!")</f>
        <v>!!!</v>
      </c>
      <c r="R638" s="67" t="str">
        <f>IFERROR(__xludf.DUMMYFUNCTION("""COMPUTED_VALUE"""),"!!!")</f>
        <v>!!!</v>
      </c>
      <c r="S638" s="67" t="str">
        <f>IFERROR(__xludf.DUMMYFUNCTION("""COMPUTED_VALUE"""),"!!!")</f>
        <v>!!!</v>
      </c>
      <c r="T63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39">
      <c r="A639" s="72"/>
      <c r="B639" s="60" t="s">
        <v>6754</v>
      </c>
      <c r="C639" s="67" t="str">
        <f>IFERROR(__xludf.DUMMYFUNCTION("""COMPUTED_VALUE"""),"LD237")</f>
        <v>LD237</v>
      </c>
      <c r="D639" s="55" t="s">
        <v>188</v>
      </c>
      <c r="E639" s="55" t="s">
        <v>193</v>
      </c>
      <c r="F639" s="54"/>
      <c r="G639" s="44" t="s">
        <v>61</v>
      </c>
      <c r="H639" s="54"/>
      <c r="I639" s="54"/>
      <c r="J639" s="54"/>
      <c r="K639" s="55" t="s">
        <v>61</v>
      </c>
      <c r="L639" s="54"/>
      <c r="M639" s="54"/>
      <c r="N639" s="54"/>
      <c r="O639" s="54"/>
      <c r="P639" s="54"/>
      <c r="Q639" s="67" t="str">
        <f>IFERROR(__xludf.DUMMYFUNCTION("""COMPUTED_VALUE"""),"!!!")</f>
        <v>!!!</v>
      </c>
      <c r="R639" s="67" t="str">
        <f>IFERROR(__xludf.DUMMYFUNCTION("""COMPUTED_VALUE"""),"!!!")</f>
        <v>!!!</v>
      </c>
      <c r="S639" s="67" t="str">
        <f>IFERROR(__xludf.DUMMYFUNCTION("""COMPUTED_VALUE"""),"!!!")</f>
        <v>!!!</v>
      </c>
      <c r="T63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40">
      <c r="A640" s="72"/>
      <c r="B640" s="60" t="s">
        <v>6754</v>
      </c>
      <c r="C640" s="67" t="str">
        <f>IFERROR(__xludf.DUMMYFUNCTION("""COMPUTED_VALUE"""),"LD237")</f>
        <v>LD237</v>
      </c>
      <c r="D640" s="55" t="s">
        <v>188</v>
      </c>
      <c r="E640" s="55" t="s">
        <v>193</v>
      </c>
      <c r="F640" s="54"/>
      <c r="G640" s="44" t="s">
        <v>61</v>
      </c>
      <c r="H640" s="54"/>
      <c r="I640" s="54"/>
      <c r="J640" s="54"/>
      <c r="K640" s="55" t="s">
        <v>61</v>
      </c>
      <c r="L640" s="54"/>
      <c r="M640" s="54"/>
      <c r="N640" s="54"/>
      <c r="O640" s="54"/>
      <c r="P640" s="54"/>
      <c r="Q640" s="67" t="str">
        <f>IFERROR(__xludf.DUMMYFUNCTION("""COMPUTED_VALUE"""),"!!!")</f>
        <v>!!!</v>
      </c>
      <c r="R640" s="67" t="str">
        <f>IFERROR(__xludf.DUMMYFUNCTION("""COMPUTED_VALUE"""),"!!!")</f>
        <v>!!!</v>
      </c>
      <c r="S640" s="67" t="str">
        <f>IFERROR(__xludf.DUMMYFUNCTION("""COMPUTED_VALUE"""),"!!!")</f>
        <v>!!!</v>
      </c>
      <c r="T64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41">
      <c r="A641" s="72"/>
      <c r="B641" s="60" t="s">
        <v>6754</v>
      </c>
      <c r="C641" s="67" t="str">
        <f>IFERROR(__xludf.DUMMYFUNCTION("""COMPUTED_VALUE"""),"LD237")</f>
        <v>LD237</v>
      </c>
      <c r="D641" s="55" t="s">
        <v>188</v>
      </c>
      <c r="E641" s="55" t="s">
        <v>193</v>
      </c>
      <c r="F641" s="54"/>
      <c r="G641" s="44" t="s">
        <v>61</v>
      </c>
      <c r="H641" s="54"/>
      <c r="I641" s="54"/>
      <c r="J641" s="54"/>
      <c r="K641" s="55" t="s">
        <v>61</v>
      </c>
      <c r="L641" s="54"/>
      <c r="M641" s="54"/>
      <c r="N641" s="54"/>
      <c r="O641" s="54"/>
      <c r="P641" s="54"/>
      <c r="Q641" s="67" t="str">
        <f>IFERROR(__xludf.DUMMYFUNCTION("""COMPUTED_VALUE"""),"!!!")</f>
        <v>!!!</v>
      </c>
      <c r="R641" s="67" t="str">
        <f>IFERROR(__xludf.DUMMYFUNCTION("""COMPUTED_VALUE"""),"!!!")</f>
        <v>!!!</v>
      </c>
      <c r="S641" s="67" t="str">
        <f>IFERROR(__xludf.DUMMYFUNCTION("""COMPUTED_VALUE"""),"!!!")</f>
        <v>!!!</v>
      </c>
      <c r="T64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42">
      <c r="A642" s="72"/>
      <c r="B642" s="60" t="s">
        <v>6754</v>
      </c>
      <c r="C642" s="67" t="str">
        <f>IFERROR(__xludf.DUMMYFUNCTION("""COMPUTED_VALUE"""),"LD237")</f>
        <v>LD237</v>
      </c>
      <c r="D642" s="55" t="s">
        <v>188</v>
      </c>
      <c r="E642" s="55" t="s">
        <v>193</v>
      </c>
      <c r="F642" s="54"/>
      <c r="G642" s="44" t="s">
        <v>61</v>
      </c>
      <c r="H642" s="54"/>
      <c r="I642" s="54"/>
      <c r="J642" s="54"/>
      <c r="K642" s="55" t="s">
        <v>61</v>
      </c>
      <c r="L642" s="54"/>
      <c r="M642" s="54"/>
      <c r="N642" s="54"/>
      <c r="O642" s="54"/>
      <c r="P642" s="54"/>
      <c r="Q642" s="67" t="str">
        <f>IFERROR(__xludf.DUMMYFUNCTION("""COMPUTED_VALUE"""),"!!!")</f>
        <v>!!!</v>
      </c>
      <c r="R642" s="67" t="str">
        <f>IFERROR(__xludf.DUMMYFUNCTION("""COMPUTED_VALUE"""),"!!!")</f>
        <v>!!!</v>
      </c>
      <c r="S642" s="67" t="str">
        <f>IFERROR(__xludf.DUMMYFUNCTION("""COMPUTED_VALUE"""),"!!!")</f>
        <v>!!!</v>
      </c>
      <c r="T64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43">
      <c r="A643" s="72"/>
      <c r="B643" s="60" t="s">
        <v>6754</v>
      </c>
      <c r="C643" s="67" t="str">
        <f>IFERROR(__xludf.DUMMYFUNCTION("""COMPUTED_VALUE"""),"LD237")</f>
        <v>LD237</v>
      </c>
      <c r="D643" s="55" t="s">
        <v>188</v>
      </c>
      <c r="E643" s="55" t="s">
        <v>193</v>
      </c>
      <c r="F643" s="54"/>
      <c r="G643" s="44" t="s">
        <v>61</v>
      </c>
      <c r="H643" s="54"/>
      <c r="I643" s="54"/>
      <c r="J643" s="54"/>
      <c r="K643" s="55" t="s">
        <v>61</v>
      </c>
      <c r="L643" s="54"/>
      <c r="M643" s="54"/>
      <c r="N643" s="54"/>
      <c r="O643" s="54"/>
      <c r="P643" s="54"/>
      <c r="Q643" s="67" t="str">
        <f>IFERROR(__xludf.DUMMYFUNCTION("""COMPUTED_VALUE"""),"!!!")</f>
        <v>!!!</v>
      </c>
      <c r="R643" s="67" t="str">
        <f>IFERROR(__xludf.DUMMYFUNCTION("""COMPUTED_VALUE"""),"!!!")</f>
        <v>!!!</v>
      </c>
      <c r="S643" s="67" t="str">
        <f>IFERROR(__xludf.DUMMYFUNCTION("""COMPUTED_VALUE"""),"!!!")</f>
        <v>!!!</v>
      </c>
      <c r="T64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44">
      <c r="A644" s="72"/>
      <c r="B644" s="60" t="s">
        <v>6754</v>
      </c>
      <c r="C644" s="67" t="str">
        <f>IFERROR(__xludf.DUMMYFUNCTION("""COMPUTED_VALUE"""),"LD237")</f>
        <v>LD237</v>
      </c>
      <c r="D644" s="55" t="s">
        <v>188</v>
      </c>
      <c r="E644" s="55" t="s">
        <v>193</v>
      </c>
      <c r="F644" s="54"/>
      <c r="G644" s="44" t="s">
        <v>61</v>
      </c>
      <c r="H644" s="54"/>
      <c r="I644" s="54"/>
      <c r="J644" s="54"/>
      <c r="K644" s="55" t="s">
        <v>61</v>
      </c>
      <c r="L644" s="54"/>
      <c r="M644" s="54"/>
      <c r="N644" s="54"/>
      <c r="O644" s="54"/>
      <c r="P644" s="54"/>
      <c r="Q644" s="67" t="str">
        <f>IFERROR(__xludf.DUMMYFUNCTION("""COMPUTED_VALUE"""),"!!!")</f>
        <v>!!!</v>
      </c>
      <c r="R644" s="67" t="str">
        <f>IFERROR(__xludf.DUMMYFUNCTION("""COMPUTED_VALUE"""),"!!!")</f>
        <v>!!!</v>
      </c>
      <c r="S644" s="67" t="str">
        <f>IFERROR(__xludf.DUMMYFUNCTION("""COMPUTED_VALUE"""),"!!!")</f>
        <v>!!!</v>
      </c>
      <c r="T64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45">
      <c r="A645" s="72"/>
      <c r="B645" s="60" t="s">
        <v>6754</v>
      </c>
      <c r="C645" s="67" t="str">
        <f>IFERROR(__xludf.DUMMYFUNCTION("""COMPUTED_VALUE"""),"LD237")</f>
        <v>LD237</v>
      </c>
      <c r="D645" s="55" t="s">
        <v>188</v>
      </c>
      <c r="E645" s="55" t="s">
        <v>193</v>
      </c>
      <c r="F645" s="54"/>
      <c r="G645" s="44" t="s">
        <v>61</v>
      </c>
      <c r="H645" s="54"/>
      <c r="I645" s="54"/>
      <c r="J645" s="54"/>
      <c r="K645" s="55" t="s">
        <v>61</v>
      </c>
      <c r="L645" s="54"/>
      <c r="M645" s="54"/>
      <c r="N645" s="54"/>
      <c r="O645" s="54"/>
      <c r="P645" s="54"/>
      <c r="Q645" s="67" t="str">
        <f>IFERROR(__xludf.DUMMYFUNCTION("""COMPUTED_VALUE"""),"!!!")</f>
        <v>!!!</v>
      </c>
      <c r="R645" s="67" t="str">
        <f>IFERROR(__xludf.DUMMYFUNCTION("""COMPUTED_VALUE"""),"!!!")</f>
        <v>!!!</v>
      </c>
      <c r="S645" s="67" t="str">
        <f>IFERROR(__xludf.DUMMYFUNCTION("""COMPUTED_VALUE"""),"!!!")</f>
        <v>!!!</v>
      </c>
      <c r="T645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46">
      <c r="A646" s="72"/>
      <c r="B646" s="60" t="s">
        <v>6754</v>
      </c>
      <c r="C646" s="67" t="str">
        <f>IFERROR(__xludf.DUMMYFUNCTION("""COMPUTED_VALUE"""),"LD237")</f>
        <v>LD237</v>
      </c>
      <c r="D646" s="55" t="s">
        <v>188</v>
      </c>
      <c r="E646" s="55" t="s">
        <v>193</v>
      </c>
      <c r="F646" s="54"/>
      <c r="G646" s="44" t="s">
        <v>61</v>
      </c>
      <c r="H646" s="54"/>
      <c r="I646" s="54"/>
      <c r="J646" s="54"/>
      <c r="K646" s="55" t="s">
        <v>61</v>
      </c>
      <c r="L646" s="54"/>
      <c r="M646" s="54"/>
      <c r="N646" s="54"/>
      <c r="O646" s="54"/>
      <c r="P646" s="54"/>
      <c r="Q646" s="67" t="str">
        <f>IFERROR(__xludf.DUMMYFUNCTION("""COMPUTED_VALUE"""),"!!!")</f>
        <v>!!!</v>
      </c>
      <c r="R646" s="67" t="str">
        <f>IFERROR(__xludf.DUMMYFUNCTION("""COMPUTED_VALUE"""),"!!!")</f>
        <v>!!!</v>
      </c>
      <c r="S646" s="67" t="str">
        <f>IFERROR(__xludf.DUMMYFUNCTION("""COMPUTED_VALUE"""),"!!!")</f>
        <v>!!!</v>
      </c>
      <c r="T646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47">
      <c r="A647" s="72"/>
      <c r="B647" s="60" t="s">
        <v>6754</v>
      </c>
      <c r="C647" s="67" t="str">
        <f>IFERROR(__xludf.DUMMYFUNCTION("""COMPUTED_VALUE"""),"LD237")</f>
        <v>LD237</v>
      </c>
      <c r="D647" s="55" t="s">
        <v>188</v>
      </c>
      <c r="E647" s="55" t="s">
        <v>193</v>
      </c>
      <c r="F647" s="54"/>
      <c r="G647" s="44" t="s">
        <v>61</v>
      </c>
      <c r="H647" s="54"/>
      <c r="I647" s="54"/>
      <c r="J647" s="54"/>
      <c r="K647" s="55" t="s">
        <v>61</v>
      </c>
      <c r="L647" s="54"/>
      <c r="M647" s="54"/>
      <c r="N647" s="54"/>
      <c r="O647" s="54"/>
      <c r="P647" s="54"/>
      <c r="Q647" s="67" t="str">
        <f>IFERROR(__xludf.DUMMYFUNCTION("""COMPUTED_VALUE"""),"!!!")</f>
        <v>!!!</v>
      </c>
      <c r="R647" s="67" t="str">
        <f>IFERROR(__xludf.DUMMYFUNCTION("""COMPUTED_VALUE"""),"!!!")</f>
        <v>!!!</v>
      </c>
      <c r="S647" s="67" t="str">
        <f>IFERROR(__xludf.DUMMYFUNCTION("""COMPUTED_VALUE"""),"!!!")</f>
        <v>!!!</v>
      </c>
      <c r="T647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48">
      <c r="A648" s="72"/>
      <c r="B648" s="60" t="s">
        <v>6754</v>
      </c>
      <c r="C648" s="67" t="str">
        <f>IFERROR(__xludf.DUMMYFUNCTION("""COMPUTED_VALUE"""),"LD237")</f>
        <v>LD237</v>
      </c>
      <c r="D648" s="55" t="s">
        <v>188</v>
      </c>
      <c r="E648" s="55" t="s">
        <v>193</v>
      </c>
      <c r="F648" s="54"/>
      <c r="G648" s="44" t="s">
        <v>61</v>
      </c>
      <c r="H648" s="54"/>
      <c r="I648" s="54"/>
      <c r="J648" s="54"/>
      <c r="K648" s="55" t="s">
        <v>61</v>
      </c>
      <c r="L648" s="54"/>
      <c r="M648" s="54"/>
      <c r="N648" s="54"/>
      <c r="O648" s="54"/>
      <c r="P648" s="54"/>
      <c r="Q648" s="67" t="str">
        <f>IFERROR(__xludf.DUMMYFUNCTION("""COMPUTED_VALUE"""),"!!!")</f>
        <v>!!!</v>
      </c>
      <c r="R648" s="67" t="str">
        <f>IFERROR(__xludf.DUMMYFUNCTION("""COMPUTED_VALUE"""),"!!!")</f>
        <v>!!!</v>
      </c>
      <c r="S648" s="67" t="str">
        <f>IFERROR(__xludf.DUMMYFUNCTION("""COMPUTED_VALUE"""),"!!!")</f>
        <v>!!!</v>
      </c>
      <c r="T648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49">
      <c r="A649" s="72"/>
      <c r="B649" s="60" t="s">
        <v>6754</v>
      </c>
      <c r="C649" s="67" t="str">
        <f>IFERROR(__xludf.DUMMYFUNCTION("""COMPUTED_VALUE"""),"LD237")</f>
        <v>LD237</v>
      </c>
      <c r="D649" s="55" t="s">
        <v>188</v>
      </c>
      <c r="E649" s="55" t="s">
        <v>193</v>
      </c>
      <c r="F649" s="54"/>
      <c r="G649" s="44" t="s">
        <v>61</v>
      </c>
      <c r="H649" s="54"/>
      <c r="I649" s="54"/>
      <c r="J649" s="54"/>
      <c r="K649" s="55" t="s">
        <v>61</v>
      </c>
      <c r="L649" s="54"/>
      <c r="M649" s="54"/>
      <c r="N649" s="54"/>
      <c r="O649" s="54"/>
      <c r="P649" s="54"/>
      <c r="Q649" s="67" t="str">
        <f>IFERROR(__xludf.DUMMYFUNCTION("""COMPUTED_VALUE"""),"!!!")</f>
        <v>!!!</v>
      </c>
      <c r="R649" s="67" t="str">
        <f>IFERROR(__xludf.DUMMYFUNCTION("""COMPUTED_VALUE"""),"!!!")</f>
        <v>!!!</v>
      </c>
      <c r="S649" s="67" t="str">
        <f>IFERROR(__xludf.DUMMYFUNCTION("""COMPUTED_VALUE"""),"!!!")</f>
        <v>!!!</v>
      </c>
      <c r="T649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50">
      <c r="A650" s="72"/>
      <c r="B650" s="60" t="s">
        <v>6754</v>
      </c>
      <c r="C650" s="67" t="str">
        <f>IFERROR(__xludf.DUMMYFUNCTION("""COMPUTED_VALUE"""),"LD237")</f>
        <v>LD237</v>
      </c>
      <c r="D650" s="55" t="s">
        <v>188</v>
      </c>
      <c r="E650" s="55" t="s">
        <v>193</v>
      </c>
      <c r="F650" s="54"/>
      <c r="G650" s="44" t="s">
        <v>61</v>
      </c>
      <c r="H650" s="54"/>
      <c r="I650" s="54"/>
      <c r="J650" s="54"/>
      <c r="K650" s="55" t="s">
        <v>61</v>
      </c>
      <c r="L650" s="54"/>
      <c r="M650" s="54"/>
      <c r="N650" s="54"/>
      <c r="O650" s="54"/>
      <c r="P650" s="54"/>
      <c r="Q650" s="67" t="str">
        <f>IFERROR(__xludf.DUMMYFUNCTION("""COMPUTED_VALUE"""),"!!!")</f>
        <v>!!!</v>
      </c>
      <c r="R650" s="67" t="str">
        <f>IFERROR(__xludf.DUMMYFUNCTION("""COMPUTED_VALUE"""),"!!!")</f>
        <v>!!!</v>
      </c>
      <c r="S650" s="67" t="str">
        <f>IFERROR(__xludf.DUMMYFUNCTION("""COMPUTED_VALUE"""),"!!!")</f>
        <v>!!!</v>
      </c>
      <c r="T650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51">
      <c r="A651" s="72"/>
      <c r="B651" s="60" t="s">
        <v>6754</v>
      </c>
      <c r="C651" s="67" t="str">
        <f>IFERROR(__xludf.DUMMYFUNCTION("""COMPUTED_VALUE"""),"LD237")</f>
        <v>LD237</v>
      </c>
      <c r="D651" s="55" t="s">
        <v>188</v>
      </c>
      <c r="E651" s="55" t="s">
        <v>193</v>
      </c>
      <c r="F651" s="54"/>
      <c r="G651" s="44" t="s">
        <v>61</v>
      </c>
      <c r="H651" s="54"/>
      <c r="I651" s="54"/>
      <c r="J651" s="54"/>
      <c r="K651" s="55" t="s">
        <v>61</v>
      </c>
      <c r="L651" s="54"/>
      <c r="M651" s="54"/>
      <c r="N651" s="54"/>
      <c r="O651" s="54"/>
      <c r="P651" s="54"/>
      <c r="Q651" s="67" t="str">
        <f>IFERROR(__xludf.DUMMYFUNCTION("""COMPUTED_VALUE"""),"!!!")</f>
        <v>!!!</v>
      </c>
      <c r="R651" s="67" t="str">
        <f>IFERROR(__xludf.DUMMYFUNCTION("""COMPUTED_VALUE"""),"!!!")</f>
        <v>!!!</v>
      </c>
      <c r="S651" s="67" t="str">
        <f>IFERROR(__xludf.DUMMYFUNCTION("""COMPUTED_VALUE"""),"!!!")</f>
        <v>!!!</v>
      </c>
      <c r="T651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52">
      <c r="A652" s="72"/>
      <c r="B652" s="60" t="s">
        <v>6754</v>
      </c>
      <c r="C652" s="67" t="str">
        <f>IFERROR(__xludf.DUMMYFUNCTION("""COMPUTED_VALUE"""),"LD237")</f>
        <v>LD237</v>
      </c>
      <c r="D652" s="55" t="s">
        <v>188</v>
      </c>
      <c r="E652" s="55" t="s">
        <v>193</v>
      </c>
      <c r="F652" s="54"/>
      <c r="G652" s="44" t="s">
        <v>61</v>
      </c>
      <c r="H652" s="54"/>
      <c r="I652" s="54"/>
      <c r="J652" s="54"/>
      <c r="K652" s="55" t="s">
        <v>61</v>
      </c>
      <c r="L652" s="54"/>
      <c r="M652" s="54"/>
      <c r="N652" s="54"/>
      <c r="O652" s="54"/>
      <c r="P652" s="54"/>
      <c r="Q652" s="67" t="str">
        <f>IFERROR(__xludf.DUMMYFUNCTION("""COMPUTED_VALUE"""),"!!!")</f>
        <v>!!!</v>
      </c>
      <c r="R652" s="67" t="str">
        <f>IFERROR(__xludf.DUMMYFUNCTION("""COMPUTED_VALUE"""),"!!!")</f>
        <v>!!!</v>
      </c>
      <c r="S652" s="67" t="str">
        <f>IFERROR(__xludf.DUMMYFUNCTION("""COMPUTED_VALUE"""),"!!!")</f>
        <v>!!!</v>
      </c>
      <c r="T652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53">
      <c r="A653" s="72"/>
      <c r="B653" s="60" t="s">
        <v>6754</v>
      </c>
      <c r="C653" s="67" t="str">
        <f>IFERROR(__xludf.DUMMYFUNCTION("""COMPUTED_VALUE"""),"LD237")</f>
        <v>LD237</v>
      </c>
      <c r="D653" s="55" t="s">
        <v>188</v>
      </c>
      <c r="E653" s="55" t="s">
        <v>193</v>
      </c>
      <c r="F653" s="54"/>
      <c r="G653" s="44" t="s">
        <v>61</v>
      </c>
      <c r="H653" s="54"/>
      <c r="I653" s="54"/>
      <c r="J653" s="54"/>
      <c r="K653" s="55" t="s">
        <v>61</v>
      </c>
      <c r="L653" s="54"/>
      <c r="M653" s="54"/>
      <c r="N653" s="54"/>
      <c r="O653" s="54"/>
      <c r="P653" s="54"/>
      <c r="Q653" s="67" t="str">
        <f>IFERROR(__xludf.DUMMYFUNCTION("""COMPUTED_VALUE"""),"!!!")</f>
        <v>!!!</v>
      </c>
      <c r="R653" s="67" t="str">
        <f>IFERROR(__xludf.DUMMYFUNCTION("""COMPUTED_VALUE"""),"!!!")</f>
        <v>!!!</v>
      </c>
      <c r="S653" s="67" t="str">
        <f>IFERROR(__xludf.DUMMYFUNCTION("""COMPUTED_VALUE"""),"!!!")</f>
        <v>!!!</v>
      </c>
      <c r="T653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54">
      <c r="A654" s="72"/>
      <c r="B654" s="60" t="s">
        <v>6754</v>
      </c>
      <c r="C654" s="67" t="str">
        <f>IFERROR(__xludf.DUMMYFUNCTION("""COMPUTED_VALUE"""),"LD237")</f>
        <v>LD237</v>
      </c>
      <c r="D654" s="55" t="s">
        <v>188</v>
      </c>
      <c r="E654" s="55" t="s">
        <v>193</v>
      </c>
      <c r="F654" s="54"/>
      <c r="G654" s="44" t="s">
        <v>61</v>
      </c>
      <c r="H654" s="54"/>
      <c r="I654" s="54"/>
      <c r="J654" s="54"/>
      <c r="K654" s="55" t="s">
        <v>61</v>
      </c>
      <c r="L654" s="54"/>
      <c r="M654" s="54"/>
      <c r="N654" s="54"/>
      <c r="O654" s="54"/>
      <c r="P654" s="54"/>
      <c r="Q654" s="67" t="str">
        <f>IFERROR(__xludf.DUMMYFUNCTION("""COMPUTED_VALUE"""),"!!!")</f>
        <v>!!!</v>
      </c>
      <c r="R654" s="67" t="str">
        <f>IFERROR(__xludf.DUMMYFUNCTION("""COMPUTED_VALUE"""),"!!!")</f>
        <v>!!!</v>
      </c>
      <c r="S654" s="67" t="str">
        <f>IFERROR(__xludf.DUMMYFUNCTION("""COMPUTED_VALUE"""),"!!!")</f>
        <v>!!!</v>
      </c>
      <c r="T654" s="107" t="str">
        <f>IFERROR(__xludf.DUMMYFUNCTION("""COMPUTED_VALUE"""),"https://patadovietnam.edu.vn/hlg_gt_sea/?utm_source=Google&amp;utm_medium=SEA&amp;utm_term=!!!&amp;utm_content=!!!&amp;utm_campaign=!!!")</f>
        <v>https://patadovietnam.edu.vn/hlg_gt_sea/?utm_source=Google&amp;utm_medium=SEA&amp;utm_term=!!!&amp;utm_content=!!!&amp;utm_campaign=!!!</v>
      </c>
    </row>
    <row r="655">
      <c r="A655" s="72"/>
      <c r="B655" s="95"/>
      <c r="C655" s="67"/>
      <c r="D655" s="55" t="s">
        <v>188</v>
      </c>
      <c r="E655" s="55" t="s">
        <v>193</v>
      </c>
      <c r="F655" s="54"/>
      <c r="G655" s="44" t="s">
        <v>61</v>
      </c>
      <c r="H655" s="54"/>
      <c r="I655" s="54"/>
      <c r="J655" s="54"/>
      <c r="K655" s="55" t="s">
        <v>61</v>
      </c>
      <c r="L655" s="54"/>
      <c r="M655" s="54"/>
      <c r="N655" s="54"/>
      <c r="O655" s="54"/>
      <c r="P655" s="54"/>
      <c r="Q655" s="67"/>
      <c r="R655" s="67"/>
      <c r="S655" s="67"/>
      <c r="T655" s="67"/>
    </row>
    <row r="656">
      <c r="A656" s="72"/>
      <c r="B656" s="95"/>
      <c r="C656" s="67"/>
      <c r="D656" s="55" t="s">
        <v>188</v>
      </c>
      <c r="E656" s="55" t="s">
        <v>193</v>
      </c>
      <c r="F656" s="54"/>
      <c r="G656" s="44" t="s">
        <v>61</v>
      </c>
      <c r="H656" s="54"/>
      <c r="I656" s="54"/>
      <c r="J656" s="54"/>
      <c r="K656" s="55" t="s">
        <v>61</v>
      </c>
      <c r="L656" s="54"/>
      <c r="M656" s="54"/>
      <c r="N656" s="54"/>
      <c r="O656" s="54"/>
      <c r="P656" s="54"/>
      <c r="Q656" s="67"/>
      <c r="R656" s="67"/>
      <c r="S656" s="67"/>
      <c r="T656" s="67"/>
    </row>
    <row r="657">
      <c r="A657" s="72"/>
      <c r="B657" s="95"/>
      <c r="C657" s="67"/>
      <c r="D657" s="55" t="s">
        <v>188</v>
      </c>
      <c r="E657" s="55" t="s">
        <v>193</v>
      </c>
      <c r="F657" s="54"/>
      <c r="G657" s="44" t="s">
        <v>61</v>
      </c>
      <c r="H657" s="54"/>
      <c r="I657" s="54"/>
      <c r="J657" s="54"/>
      <c r="K657" s="55" t="s">
        <v>61</v>
      </c>
      <c r="L657" s="54"/>
      <c r="M657" s="54"/>
      <c r="N657" s="54"/>
      <c r="O657" s="54"/>
      <c r="P657" s="54"/>
      <c r="Q657" s="67"/>
      <c r="R657" s="67"/>
      <c r="S657" s="67"/>
      <c r="T657" s="67"/>
    </row>
    <row r="658">
      <c r="A658" s="72"/>
      <c r="B658" s="95"/>
      <c r="C658" s="67"/>
      <c r="D658" s="55" t="s">
        <v>188</v>
      </c>
      <c r="E658" s="55" t="s">
        <v>193</v>
      </c>
      <c r="F658" s="54"/>
      <c r="G658" s="44" t="s">
        <v>61</v>
      </c>
      <c r="H658" s="54"/>
      <c r="I658" s="54"/>
      <c r="J658" s="54"/>
      <c r="K658" s="55" t="s">
        <v>61</v>
      </c>
      <c r="L658" s="54"/>
      <c r="M658" s="54"/>
      <c r="N658" s="54"/>
      <c r="O658" s="54"/>
      <c r="P658" s="54"/>
      <c r="Q658" s="67"/>
      <c r="R658" s="67"/>
      <c r="S658" s="67"/>
      <c r="T658" s="67"/>
    </row>
    <row r="659">
      <c r="A659" s="72"/>
      <c r="B659" s="95"/>
      <c r="C659" s="67"/>
      <c r="D659" s="55" t="s">
        <v>188</v>
      </c>
      <c r="E659" s="55" t="s">
        <v>193</v>
      </c>
      <c r="F659" s="54"/>
      <c r="G659" s="44" t="s">
        <v>61</v>
      </c>
      <c r="H659" s="54"/>
      <c r="I659" s="54"/>
      <c r="J659" s="54"/>
      <c r="K659" s="55" t="s">
        <v>61</v>
      </c>
      <c r="L659" s="54"/>
      <c r="M659" s="54"/>
      <c r="N659" s="54"/>
      <c r="O659" s="54"/>
      <c r="P659" s="54"/>
      <c r="Q659" s="67"/>
      <c r="R659" s="67"/>
      <c r="S659" s="67"/>
      <c r="T659" s="67"/>
    </row>
    <row r="660">
      <c r="A660" s="72"/>
      <c r="B660" s="95"/>
      <c r="C660" s="67"/>
      <c r="D660" s="55" t="s">
        <v>188</v>
      </c>
      <c r="E660" s="55" t="s">
        <v>193</v>
      </c>
      <c r="F660" s="54"/>
      <c r="G660" s="44" t="s">
        <v>61</v>
      </c>
      <c r="H660" s="54"/>
      <c r="I660" s="54"/>
      <c r="J660" s="54"/>
      <c r="K660" s="55" t="s">
        <v>61</v>
      </c>
      <c r="L660" s="54"/>
      <c r="M660" s="54"/>
      <c r="N660" s="54"/>
      <c r="O660" s="54"/>
      <c r="P660" s="54"/>
      <c r="Q660" s="67"/>
      <c r="R660" s="67"/>
      <c r="S660" s="67"/>
      <c r="T660" s="67"/>
    </row>
    <row r="661">
      <c r="A661" s="72"/>
      <c r="B661" s="95"/>
      <c r="C661" s="67"/>
      <c r="D661" s="55" t="s">
        <v>188</v>
      </c>
      <c r="E661" s="55" t="s">
        <v>193</v>
      </c>
      <c r="F661" s="54"/>
      <c r="G661" s="44" t="s">
        <v>61</v>
      </c>
      <c r="H661" s="54"/>
      <c r="I661" s="54"/>
      <c r="J661" s="54"/>
      <c r="K661" s="55" t="s">
        <v>61</v>
      </c>
      <c r="L661" s="54"/>
      <c r="M661" s="54"/>
      <c r="N661" s="54"/>
      <c r="O661" s="54"/>
      <c r="P661" s="54"/>
      <c r="Q661" s="67"/>
      <c r="R661" s="67"/>
      <c r="S661" s="67"/>
      <c r="T661" s="67"/>
    </row>
    <row r="662">
      <c r="A662" s="72"/>
      <c r="B662" s="95"/>
      <c r="C662" s="67"/>
      <c r="D662" s="55" t="s">
        <v>188</v>
      </c>
      <c r="E662" s="55" t="s">
        <v>193</v>
      </c>
      <c r="F662" s="54"/>
      <c r="G662" s="44" t="s">
        <v>61</v>
      </c>
      <c r="H662" s="54"/>
      <c r="I662" s="54"/>
      <c r="J662" s="54"/>
      <c r="K662" s="55" t="s">
        <v>61</v>
      </c>
      <c r="L662" s="54"/>
      <c r="M662" s="54"/>
      <c r="N662" s="54"/>
      <c r="O662" s="54"/>
      <c r="P662" s="54"/>
      <c r="Q662" s="67"/>
      <c r="R662" s="67"/>
      <c r="S662" s="67"/>
      <c r="T662" s="67"/>
    </row>
  </sheetData>
  <customSheetViews>
    <customSheetView guid="{24EFF1FC-519A-4255-99C0-8464DF1D4EED}" filter="1" showAutoFilter="1">
      <autoFilter ref="$A$1:$T$662"/>
    </customSheetView>
    <customSheetView guid="{B9FC2153-85FE-4597-B01F-2D8A49A1D991}" filter="1" showAutoFilter="1">
      <autoFilter ref="$A$1:$T$662"/>
    </customSheetView>
  </customSheetViews>
  <dataValidations>
    <dataValidation type="list" allowBlank="1" showErrorMessage="1" sqref="D9:D662">
      <formula1>Data!$C$2:$C662</formula1>
    </dataValidation>
    <dataValidation type="list" allowBlank="1" showErrorMessage="1" sqref="E9:E662">
      <formula1>Data!$D$2:$D662</formula1>
    </dataValidation>
    <dataValidation type="list" allowBlank="1" showErrorMessage="1" sqref="N9:N662">
      <formula1>Data!$K$3:$K662</formula1>
    </dataValidation>
    <dataValidation type="list" allowBlank="1" showErrorMessage="1" sqref="B9:B662">
      <formula1>Data!$A$2:$A662</formula1>
    </dataValidation>
    <dataValidation type="list" allowBlank="1" showErrorMessage="1" sqref="O9:O662">
      <formula1>Data!$O$2:$O662</formula1>
    </dataValidation>
    <dataValidation type="list" allowBlank="1" showErrorMessage="1" sqref="M9:M662">
      <formula1>Data!$P$2:$P662</formula1>
    </dataValidation>
    <dataValidation type="custom" allowBlank="1" showDropDown="1" sqref="A9:A662">
      <formula1>OR(NOT(ISERROR(DATEVALUE(A9))), AND(ISNUMBER(A9), LEFT(CELL("format", A9))="D"))</formula1>
    </dataValidation>
    <dataValidation type="list" allowBlank="1" showErrorMessage="1" sqref="L9:L662">
      <formula1>Data!$I$2:$I662</formula1>
    </dataValidation>
    <dataValidation type="list" allowBlank="1" showErrorMessage="1" sqref="F9:F662">
      <formula1>Data!$F$2:$F662</formula1>
    </dataValidation>
    <dataValidation type="list" allowBlank="1" showErrorMessage="1" sqref="H9:H662">
      <formula1>Data!$H$2:$H662</formula1>
    </dataValidation>
    <dataValidation type="list" allowBlank="1" showErrorMessage="1" sqref="P9:P662">
      <formula1>Data!$M$2:$M662</formula1>
    </dataValidation>
  </dataValidations>
  <hyperlinks>
    <hyperlink r:id="rId1" ref="C3"/>
    <hyperlink r:id="rId2" ref="B9"/>
    <hyperlink r:id="rId3" ref="B10"/>
    <hyperlink r:id="rId4" ref="T10"/>
    <hyperlink r:id="rId5" ref="B11"/>
    <hyperlink r:id="rId6" ref="T11"/>
    <hyperlink r:id="rId7" ref="B12"/>
    <hyperlink r:id="rId8" ref="T12"/>
    <hyperlink r:id="rId9" ref="B13"/>
    <hyperlink r:id="rId10" ref="T13"/>
    <hyperlink r:id="rId11" ref="B14"/>
    <hyperlink r:id="rId12" ref="T14"/>
    <hyperlink r:id="rId13" ref="B15"/>
    <hyperlink r:id="rId14" ref="T15"/>
    <hyperlink r:id="rId15" ref="B16"/>
    <hyperlink r:id="rId16" ref="T16"/>
    <hyperlink r:id="rId17" ref="B17"/>
    <hyperlink r:id="rId18" ref="T17"/>
    <hyperlink r:id="rId19" ref="B18"/>
    <hyperlink r:id="rId20" ref="T18"/>
    <hyperlink r:id="rId21" ref="B19"/>
    <hyperlink r:id="rId22" ref="T19"/>
    <hyperlink r:id="rId23" ref="B20"/>
    <hyperlink r:id="rId24" ref="T20"/>
    <hyperlink r:id="rId25" ref="B21"/>
    <hyperlink r:id="rId26" ref="T21"/>
    <hyperlink r:id="rId27" ref="B22"/>
    <hyperlink r:id="rId28" ref="T22"/>
    <hyperlink r:id="rId29" ref="B23"/>
    <hyperlink r:id="rId30" ref="T23"/>
    <hyperlink r:id="rId31" ref="B24"/>
    <hyperlink r:id="rId32" ref="T24"/>
    <hyperlink r:id="rId33" ref="B25"/>
    <hyperlink r:id="rId34" ref="T25"/>
    <hyperlink r:id="rId35" ref="B26"/>
    <hyperlink r:id="rId36" ref="T26"/>
    <hyperlink r:id="rId37" ref="B27"/>
    <hyperlink r:id="rId38" ref="T27"/>
    <hyperlink r:id="rId39" ref="B28"/>
    <hyperlink r:id="rId40" ref="T28"/>
    <hyperlink r:id="rId41" ref="B29"/>
    <hyperlink r:id="rId42" ref="T29"/>
    <hyperlink r:id="rId43" ref="B30"/>
    <hyperlink r:id="rId44" ref="T30"/>
    <hyperlink r:id="rId45" ref="B31"/>
    <hyperlink r:id="rId46" ref="T31"/>
    <hyperlink r:id="rId47" ref="B32"/>
    <hyperlink r:id="rId48" ref="T32"/>
    <hyperlink r:id="rId49" ref="B33"/>
    <hyperlink r:id="rId50" ref="T33"/>
    <hyperlink r:id="rId51" ref="B34"/>
    <hyperlink r:id="rId52" ref="T34"/>
    <hyperlink r:id="rId53" ref="B35"/>
    <hyperlink r:id="rId54" ref="T35"/>
    <hyperlink r:id="rId55" ref="B36"/>
    <hyperlink r:id="rId56" ref="T36"/>
    <hyperlink r:id="rId57" ref="B37"/>
    <hyperlink r:id="rId58" ref="T37"/>
    <hyperlink r:id="rId59" ref="B38"/>
    <hyperlink r:id="rId60" ref="T38"/>
    <hyperlink r:id="rId61" ref="B39"/>
    <hyperlink r:id="rId62" ref="T39"/>
    <hyperlink r:id="rId63" ref="B40"/>
    <hyperlink r:id="rId64" ref="T40"/>
    <hyperlink r:id="rId65" ref="B41"/>
    <hyperlink r:id="rId66" ref="T41"/>
    <hyperlink r:id="rId67" ref="B42"/>
    <hyperlink r:id="rId68" ref="T42"/>
    <hyperlink r:id="rId69" ref="B43"/>
    <hyperlink r:id="rId70" ref="T43"/>
    <hyperlink r:id="rId71" ref="B44"/>
    <hyperlink r:id="rId72" ref="T44"/>
    <hyperlink r:id="rId73" ref="B45"/>
    <hyperlink r:id="rId74" ref="T45"/>
    <hyperlink r:id="rId75" ref="B46"/>
    <hyperlink r:id="rId76" ref="T46"/>
    <hyperlink r:id="rId77" ref="B47"/>
    <hyperlink r:id="rId78" ref="T47"/>
    <hyperlink r:id="rId79" ref="B48"/>
    <hyperlink r:id="rId80" ref="T48"/>
    <hyperlink r:id="rId81" ref="B49"/>
    <hyperlink r:id="rId82" ref="T49"/>
    <hyperlink r:id="rId83" ref="B50"/>
    <hyperlink r:id="rId84" ref="T50"/>
    <hyperlink r:id="rId85" ref="B51"/>
    <hyperlink r:id="rId86" ref="T51"/>
    <hyperlink r:id="rId87" ref="B52"/>
    <hyperlink r:id="rId88" ref="T52"/>
    <hyperlink r:id="rId89" ref="B53"/>
    <hyperlink r:id="rId90" ref="T53"/>
    <hyperlink r:id="rId91" ref="B54"/>
    <hyperlink r:id="rId92" ref="T54"/>
    <hyperlink r:id="rId93" ref="B55"/>
    <hyperlink r:id="rId94" ref="T55"/>
    <hyperlink r:id="rId95" ref="B56"/>
    <hyperlink r:id="rId96" ref="T56"/>
    <hyperlink r:id="rId97" ref="B57"/>
    <hyperlink r:id="rId98" ref="T57"/>
    <hyperlink r:id="rId99" ref="B58"/>
    <hyperlink r:id="rId100" ref="T58"/>
    <hyperlink r:id="rId101" ref="B59"/>
    <hyperlink r:id="rId102" ref="T59"/>
    <hyperlink r:id="rId103" ref="B60"/>
    <hyperlink r:id="rId104" ref="T60"/>
    <hyperlink r:id="rId105" ref="B61"/>
    <hyperlink r:id="rId106" ref="T61"/>
    <hyperlink r:id="rId107" ref="B62"/>
    <hyperlink r:id="rId108" ref="T62"/>
    <hyperlink r:id="rId109" ref="B63"/>
    <hyperlink r:id="rId110" ref="T63"/>
    <hyperlink r:id="rId111" ref="B64"/>
    <hyperlink r:id="rId112" ref="T64"/>
    <hyperlink r:id="rId113" ref="B65"/>
    <hyperlink r:id="rId114" ref="T65"/>
    <hyperlink r:id="rId115" ref="B66"/>
    <hyperlink r:id="rId116" ref="T66"/>
    <hyperlink r:id="rId117" ref="B67"/>
    <hyperlink r:id="rId118" ref="T67"/>
    <hyperlink r:id="rId119" ref="B68"/>
    <hyperlink r:id="rId120" ref="T68"/>
    <hyperlink r:id="rId121" ref="B69"/>
    <hyperlink r:id="rId122" ref="T69"/>
    <hyperlink r:id="rId123" ref="B70"/>
    <hyperlink r:id="rId124" ref="T70"/>
    <hyperlink r:id="rId125" ref="B71"/>
    <hyperlink r:id="rId126" ref="T71"/>
    <hyperlink r:id="rId127" ref="B72"/>
    <hyperlink r:id="rId128" ref="T72"/>
    <hyperlink r:id="rId129" ref="B73"/>
    <hyperlink r:id="rId130" ref="T73"/>
    <hyperlink r:id="rId131" ref="B74"/>
    <hyperlink r:id="rId132" ref="T74"/>
    <hyperlink r:id="rId133" ref="B75"/>
    <hyperlink r:id="rId134" ref="T75"/>
    <hyperlink r:id="rId135" ref="B76"/>
    <hyperlink r:id="rId136" ref="T76"/>
    <hyperlink r:id="rId137" ref="B77"/>
    <hyperlink r:id="rId138" ref="T77"/>
    <hyperlink r:id="rId139" ref="B78"/>
    <hyperlink r:id="rId140" ref="T78"/>
    <hyperlink r:id="rId141" ref="B79"/>
    <hyperlink r:id="rId142" ref="T79"/>
    <hyperlink r:id="rId143" ref="B80"/>
    <hyperlink r:id="rId144" ref="T80"/>
    <hyperlink r:id="rId145" ref="B81"/>
    <hyperlink r:id="rId146" ref="T81"/>
    <hyperlink r:id="rId147" ref="B82"/>
    <hyperlink r:id="rId148" ref="T82"/>
    <hyperlink r:id="rId149" ref="B83"/>
    <hyperlink r:id="rId150" ref="T83"/>
    <hyperlink r:id="rId151" ref="B84"/>
    <hyperlink r:id="rId152" ref="T84"/>
    <hyperlink r:id="rId153" ref="B85"/>
    <hyperlink r:id="rId154" ref="T85"/>
    <hyperlink r:id="rId155" ref="B86"/>
    <hyperlink r:id="rId156" ref="T86"/>
    <hyperlink r:id="rId157" ref="B87"/>
    <hyperlink r:id="rId158" ref="T87"/>
    <hyperlink r:id="rId159" ref="B88"/>
    <hyperlink r:id="rId160" ref="T88"/>
    <hyperlink r:id="rId161" ref="B89"/>
    <hyperlink r:id="rId162" ref="T89"/>
    <hyperlink r:id="rId163" ref="B90"/>
    <hyperlink r:id="rId164" ref="T90"/>
    <hyperlink r:id="rId165" ref="B91"/>
    <hyperlink r:id="rId166" ref="T91"/>
    <hyperlink r:id="rId167" ref="B92"/>
    <hyperlink r:id="rId168" ref="T92"/>
    <hyperlink r:id="rId169" ref="B93"/>
    <hyperlink r:id="rId170" ref="T93"/>
    <hyperlink r:id="rId171" ref="B94"/>
    <hyperlink r:id="rId172" ref="T94"/>
    <hyperlink r:id="rId173" ref="B95"/>
    <hyperlink r:id="rId174" ref="T95"/>
    <hyperlink r:id="rId175" ref="B96"/>
    <hyperlink r:id="rId176" ref="T96"/>
    <hyperlink r:id="rId177" ref="B97"/>
    <hyperlink r:id="rId178" ref="T97"/>
    <hyperlink r:id="rId179" ref="B98"/>
    <hyperlink r:id="rId180" ref="T98"/>
    <hyperlink r:id="rId181" ref="B99"/>
    <hyperlink r:id="rId182" ref="T99"/>
    <hyperlink r:id="rId183" ref="B100"/>
    <hyperlink r:id="rId184" ref="T100"/>
    <hyperlink r:id="rId185" ref="B101"/>
    <hyperlink r:id="rId186" ref="T101"/>
    <hyperlink r:id="rId187" ref="B102"/>
    <hyperlink r:id="rId188" ref="T102"/>
    <hyperlink r:id="rId189" ref="B103"/>
    <hyperlink r:id="rId190" ref="T103"/>
    <hyperlink r:id="rId191" ref="B104"/>
    <hyperlink r:id="rId192" ref="T104"/>
    <hyperlink r:id="rId193" ref="B105"/>
    <hyperlink r:id="rId194" ref="T105"/>
    <hyperlink r:id="rId195" ref="B106"/>
    <hyperlink r:id="rId196" ref="T106"/>
    <hyperlink r:id="rId197" ref="B107"/>
    <hyperlink r:id="rId198" ref="T107"/>
    <hyperlink r:id="rId199" ref="B108"/>
    <hyperlink r:id="rId200" ref="T108"/>
    <hyperlink r:id="rId201" ref="B109"/>
    <hyperlink r:id="rId202" ref="T109"/>
    <hyperlink r:id="rId203" ref="B110"/>
    <hyperlink r:id="rId204" ref="T110"/>
    <hyperlink r:id="rId205" ref="B111"/>
    <hyperlink r:id="rId206" ref="T111"/>
    <hyperlink r:id="rId207" ref="B112"/>
    <hyperlink r:id="rId208" ref="T112"/>
    <hyperlink r:id="rId209" ref="B113"/>
    <hyperlink r:id="rId210" ref="T113"/>
    <hyperlink r:id="rId211" ref="B114"/>
    <hyperlink r:id="rId212" ref="T114"/>
    <hyperlink r:id="rId213" ref="B115"/>
    <hyperlink r:id="rId214" ref="T115"/>
    <hyperlink r:id="rId215" ref="B116"/>
    <hyperlink r:id="rId216" ref="T116"/>
    <hyperlink r:id="rId217" ref="B117"/>
    <hyperlink r:id="rId218" ref="T117"/>
    <hyperlink r:id="rId219" ref="B118"/>
    <hyperlink r:id="rId220" ref="T118"/>
    <hyperlink r:id="rId221" ref="B119"/>
    <hyperlink r:id="rId222" ref="T119"/>
    <hyperlink r:id="rId223" ref="B120"/>
    <hyperlink r:id="rId224" ref="T120"/>
    <hyperlink r:id="rId225" ref="B121"/>
    <hyperlink r:id="rId226" ref="T121"/>
    <hyperlink r:id="rId227" ref="B122"/>
    <hyperlink r:id="rId228" ref="T122"/>
    <hyperlink r:id="rId229" ref="B123"/>
    <hyperlink r:id="rId230" ref="T123"/>
    <hyperlink r:id="rId231" ref="B124"/>
    <hyperlink r:id="rId232" ref="T124"/>
    <hyperlink r:id="rId233" ref="B125"/>
    <hyperlink r:id="rId234" ref="T125"/>
    <hyperlink r:id="rId235" ref="B126"/>
    <hyperlink r:id="rId236" ref="T126"/>
    <hyperlink r:id="rId237" ref="B127"/>
    <hyperlink r:id="rId238" ref="T127"/>
    <hyperlink r:id="rId239" ref="B128"/>
    <hyperlink r:id="rId240" ref="T128"/>
    <hyperlink r:id="rId241" ref="B129"/>
    <hyperlink r:id="rId242" ref="T129"/>
    <hyperlink r:id="rId243" ref="B130"/>
    <hyperlink r:id="rId244" ref="T130"/>
    <hyperlink r:id="rId245" ref="B131"/>
    <hyperlink r:id="rId246" ref="T131"/>
    <hyperlink r:id="rId247" ref="B132"/>
    <hyperlink r:id="rId248" ref="T132"/>
    <hyperlink r:id="rId249" ref="B133"/>
    <hyperlink r:id="rId250" ref="T133"/>
    <hyperlink r:id="rId251" ref="B134"/>
    <hyperlink r:id="rId252" ref="T134"/>
    <hyperlink r:id="rId253" ref="B135"/>
    <hyperlink r:id="rId254" ref="T135"/>
    <hyperlink r:id="rId255" ref="B136"/>
    <hyperlink r:id="rId256" ref="T136"/>
    <hyperlink r:id="rId257" ref="B137"/>
    <hyperlink r:id="rId258" ref="T137"/>
    <hyperlink r:id="rId259" ref="B138"/>
    <hyperlink r:id="rId260" ref="T138"/>
    <hyperlink r:id="rId261" ref="B139"/>
    <hyperlink r:id="rId262" ref="T139"/>
    <hyperlink r:id="rId263" ref="B140"/>
    <hyperlink r:id="rId264" ref="T140"/>
    <hyperlink r:id="rId265" ref="B141"/>
    <hyperlink r:id="rId266" ref="T141"/>
    <hyperlink r:id="rId267" ref="B142"/>
    <hyperlink r:id="rId268" ref="T142"/>
    <hyperlink r:id="rId269" ref="B143"/>
    <hyperlink r:id="rId270" ref="T143"/>
    <hyperlink r:id="rId271" ref="B144"/>
    <hyperlink r:id="rId272" ref="T144"/>
    <hyperlink r:id="rId273" ref="B145"/>
    <hyperlink r:id="rId274" ref="T145"/>
    <hyperlink r:id="rId275" ref="B146"/>
    <hyperlink r:id="rId276" ref="T146"/>
    <hyperlink r:id="rId277" ref="B147"/>
    <hyperlink r:id="rId278" ref="T147"/>
    <hyperlink r:id="rId279" ref="B148"/>
    <hyperlink r:id="rId280" ref="T148"/>
    <hyperlink r:id="rId281" ref="B149"/>
    <hyperlink r:id="rId282" ref="T149"/>
    <hyperlink r:id="rId283" ref="B150"/>
    <hyperlink r:id="rId284" ref="T150"/>
    <hyperlink r:id="rId285" ref="B151"/>
    <hyperlink r:id="rId286" ref="T151"/>
    <hyperlink r:id="rId287" ref="B152"/>
    <hyperlink r:id="rId288" ref="T152"/>
    <hyperlink r:id="rId289" ref="B153"/>
    <hyperlink r:id="rId290" ref="T153"/>
    <hyperlink r:id="rId291" ref="B154"/>
    <hyperlink r:id="rId292" ref="T154"/>
    <hyperlink r:id="rId293" ref="B155"/>
    <hyperlink r:id="rId294" ref="T155"/>
    <hyperlink r:id="rId295" ref="B156"/>
    <hyperlink r:id="rId296" ref="T156"/>
    <hyperlink r:id="rId297" ref="B157"/>
    <hyperlink r:id="rId298" ref="T157"/>
    <hyperlink r:id="rId299" ref="B158"/>
    <hyperlink r:id="rId300" ref="T158"/>
    <hyperlink r:id="rId301" ref="B159"/>
    <hyperlink r:id="rId302" ref="T159"/>
    <hyperlink r:id="rId303" ref="B160"/>
    <hyperlink r:id="rId304" ref="T160"/>
    <hyperlink r:id="rId305" ref="B161"/>
    <hyperlink r:id="rId306" ref="T161"/>
    <hyperlink r:id="rId307" ref="B162"/>
    <hyperlink r:id="rId308" ref="T162"/>
    <hyperlink r:id="rId309" ref="B163"/>
    <hyperlink r:id="rId310" ref="T163"/>
    <hyperlink r:id="rId311" ref="B164"/>
    <hyperlink r:id="rId312" ref="T164"/>
    <hyperlink r:id="rId313" ref="B165"/>
    <hyperlink r:id="rId314" ref="T165"/>
    <hyperlink r:id="rId315" ref="B166"/>
    <hyperlink r:id="rId316" ref="T166"/>
    <hyperlink r:id="rId317" ref="B167"/>
    <hyperlink r:id="rId318" ref="T167"/>
    <hyperlink r:id="rId319" ref="B168"/>
    <hyperlink r:id="rId320" ref="T168"/>
    <hyperlink r:id="rId321" ref="B169"/>
    <hyperlink r:id="rId322" ref="T169"/>
    <hyperlink r:id="rId323" ref="B170"/>
    <hyperlink r:id="rId324" ref="T170"/>
    <hyperlink r:id="rId325" ref="B171"/>
    <hyperlink r:id="rId326" ref="T171"/>
    <hyperlink r:id="rId327" ref="B172"/>
    <hyperlink r:id="rId328" ref="T172"/>
    <hyperlink r:id="rId329" ref="B173"/>
    <hyperlink r:id="rId330" ref="T173"/>
    <hyperlink r:id="rId331" ref="B174"/>
    <hyperlink r:id="rId332" ref="T174"/>
    <hyperlink r:id="rId333" ref="B175"/>
    <hyperlink r:id="rId334" ref="T175"/>
    <hyperlink r:id="rId335" ref="B176"/>
    <hyperlink r:id="rId336" ref="T176"/>
    <hyperlink r:id="rId337" ref="B177"/>
    <hyperlink r:id="rId338" ref="T177"/>
    <hyperlink r:id="rId339" ref="B178"/>
    <hyperlink r:id="rId340" ref="T178"/>
    <hyperlink r:id="rId341" ref="B179"/>
    <hyperlink r:id="rId342" ref="T179"/>
    <hyperlink r:id="rId343" ref="B180"/>
    <hyperlink r:id="rId344" ref="T180"/>
    <hyperlink r:id="rId345" ref="B181"/>
    <hyperlink r:id="rId346" ref="T181"/>
    <hyperlink r:id="rId347" ref="B182"/>
    <hyperlink r:id="rId348" ref="T182"/>
    <hyperlink r:id="rId349" ref="B183"/>
    <hyperlink r:id="rId350" ref="T183"/>
    <hyperlink r:id="rId351" ref="B184"/>
    <hyperlink r:id="rId352" ref="T184"/>
    <hyperlink r:id="rId353" ref="B185"/>
    <hyperlink r:id="rId354" ref="T185"/>
    <hyperlink r:id="rId355" ref="B186"/>
    <hyperlink r:id="rId356" ref="T186"/>
    <hyperlink r:id="rId357" ref="B187"/>
    <hyperlink r:id="rId358" ref="T187"/>
    <hyperlink r:id="rId359" ref="B188"/>
    <hyperlink r:id="rId360" ref="T188"/>
    <hyperlink r:id="rId361" ref="B189"/>
    <hyperlink r:id="rId362" ref="T189"/>
    <hyperlink r:id="rId363" ref="B190"/>
    <hyperlink r:id="rId364" ref="T190"/>
    <hyperlink r:id="rId365" ref="B191"/>
    <hyperlink r:id="rId366" ref="T191"/>
    <hyperlink r:id="rId367" ref="B192"/>
    <hyperlink r:id="rId368" ref="T192"/>
    <hyperlink r:id="rId369" ref="B193"/>
    <hyperlink r:id="rId370" ref="T193"/>
    <hyperlink r:id="rId371" ref="B194"/>
    <hyperlink r:id="rId372" ref="T194"/>
    <hyperlink r:id="rId373" ref="B195"/>
    <hyperlink r:id="rId374" ref="T195"/>
    <hyperlink r:id="rId375" ref="B196"/>
    <hyperlink r:id="rId376" ref="T196"/>
    <hyperlink r:id="rId377" ref="B197"/>
    <hyperlink r:id="rId378" ref="T197"/>
    <hyperlink r:id="rId379" ref="B198"/>
    <hyperlink r:id="rId380" ref="T198"/>
    <hyperlink r:id="rId381" ref="B199"/>
    <hyperlink r:id="rId382" ref="T199"/>
    <hyperlink r:id="rId383" ref="B200"/>
    <hyperlink r:id="rId384" ref="T200"/>
    <hyperlink r:id="rId385" ref="B201"/>
    <hyperlink r:id="rId386" ref="T201"/>
    <hyperlink r:id="rId387" ref="B202"/>
    <hyperlink r:id="rId388" ref="T202"/>
    <hyperlink r:id="rId389" ref="B203"/>
    <hyperlink r:id="rId390" ref="T203"/>
    <hyperlink r:id="rId391" ref="B204"/>
    <hyperlink r:id="rId392" ref="T204"/>
    <hyperlink r:id="rId393" ref="B205"/>
    <hyperlink r:id="rId394" ref="T205"/>
    <hyperlink r:id="rId395" ref="B206"/>
    <hyperlink r:id="rId396" ref="T206"/>
    <hyperlink r:id="rId397" ref="B207"/>
    <hyperlink r:id="rId398" ref="T207"/>
    <hyperlink r:id="rId399" ref="B208"/>
    <hyperlink r:id="rId400" ref="T208"/>
    <hyperlink r:id="rId401" ref="B209"/>
    <hyperlink r:id="rId402" ref="T209"/>
    <hyperlink r:id="rId403" ref="B210"/>
    <hyperlink r:id="rId404" ref="T210"/>
    <hyperlink r:id="rId405" ref="B211"/>
    <hyperlink r:id="rId406" ref="T211"/>
    <hyperlink r:id="rId407" ref="B212"/>
    <hyperlink r:id="rId408" ref="T212"/>
    <hyperlink r:id="rId409" ref="B213"/>
    <hyperlink r:id="rId410" ref="T213"/>
    <hyperlink r:id="rId411" ref="B214"/>
    <hyperlink r:id="rId412" ref="T214"/>
    <hyperlink r:id="rId413" ref="B215"/>
    <hyperlink r:id="rId414" ref="T215"/>
    <hyperlink r:id="rId415" ref="B216"/>
    <hyperlink r:id="rId416" ref="T216"/>
    <hyperlink r:id="rId417" ref="B217"/>
    <hyperlink r:id="rId418" ref="T217"/>
    <hyperlink r:id="rId419" ref="B218"/>
    <hyperlink r:id="rId420" ref="T218"/>
    <hyperlink r:id="rId421" ref="B219"/>
    <hyperlink r:id="rId422" ref="T219"/>
    <hyperlink r:id="rId423" ref="B220"/>
    <hyperlink r:id="rId424" ref="T220"/>
    <hyperlink r:id="rId425" ref="B221"/>
    <hyperlink r:id="rId426" ref="T221"/>
    <hyperlink r:id="rId427" ref="B222"/>
    <hyperlink r:id="rId428" ref="T222"/>
    <hyperlink r:id="rId429" ref="B223"/>
    <hyperlink r:id="rId430" ref="T223"/>
    <hyperlink r:id="rId431" ref="B224"/>
    <hyperlink r:id="rId432" ref="T224"/>
    <hyperlink r:id="rId433" ref="B225"/>
    <hyperlink r:id="rId434" ref="T225"/>
    <hyperlink r:id="rId435" ref="B226"/>
    <hyperlink r:id="rId436" ref="T226"/>
    <hyperlink r:id="rId437" ref="B227"/>
    <hyperlink r:id="rId438" ref="T227"/>
    <hyperlink r:id="rId439" ref="B228"/>
    <hyperlink r:id="rId440" ref="T228"/>
    <hyperlink r:id="rId441" ref="B229"/>
    <hyperlink r:id="rId442" ref="T229"/>
    <hyperlink r:id="rId443" ref="B230"/>
    <hyperlink r:id="rId444" ref="T230"/>
    <hyperlink r:id="rId445" ref="B231"/>
    <hyperlink r:id="rId446" ref="T231"/>
    <hyperlink r:id="rId447" ref="B232"/>
    <hyperlink r:id="rId448" ref="T232"/>
    <hyperlink r:id="rId449" ref="B233"/>
    <hyperlink r:id="rId450" ref="T233"/>
    <hyperlink r:id="rId451" ref="B234"/>
    <hyperlink r:id="rId452" ref="T234"/>
    <hyperlink r:id="rId453" ref="B235"/>
    <hyperlink r:id="rId454" ref="T235"/>
    <hyperlink r:id="rId455" ref="B236"/>
    <hyperlink r:id="rId456" ref="T236"/>
    <hyperlink r:id="rId457" ref="B237"/>
    <hyperlink r:id="rId458" ref="T237"/>
    <hyperlink r:id="rId459" ref="B238"/>
    <hyperlink r:id="rId460" ref="T238"/>
    <hyperlink r:id="rId461" ref="B239"/>
    <hyperlink r:id="rId462" ref="T239"/>
    <hyperlink r:id="rId463" ref="B240"/>
    <hyperlink r:id="rId464" ref="T240"/>
    <hyperlink r:id="rId465" ref="B241"/>
    <hyperlink r:id="rId466" ref="T241"/>
    <hyperlink r:id="rId467" ref="B242"/>
    <hyperlink r:id="rId468" ref="T242"/>
    <hyperlink r:id="rId469" ref="B243"/>
    <hyperlink r:id="rId470" ref="T243"/>
    <hyperlink r:id="rId471" ref="B244"/>
    <hyperlink r:id="rId472" ref="T244"/>
    <hyperlink r:id="rId473" ref="B245"/>
    <hyperlink r:id="rId474" ref="T245"/>
    <hyperlink r:id="rId475" ref="B246"/>
    <hyperlink r:id="rId476" ref="T246"/>
    <hyperlink r:id="rId477" ref="B247"/>
    <hyperlink r:id="rId478" ref="T247"/>
    <hyperlink r:id="rId479" ref="B248"/>
    <hyperlink r:id="rId480" ref="T248"/>
    <hyperlink r:id="rId481" ref="B249"/>
    <hyperlink r:id="rId482" ref="T249"/>
    <hyperlink r:id="rId483" ref="B250"/>
    <hyperlink r:id="rId484" ref="T250"/>
    <hyperlink r:id="rId485" ref="B251"/>
    <hyperlink r:id="rId486" ref="T251"/>
    <hyperlink r:id="rId487" ref="B252"/>
    <hyperlink r:id="rId488" ref="T252"/>
    <hyperlink r:id="rId489" ref="B253"/>
    <hyperlink r:id="rId490" ref="T253"/>
    <hyperlink r:id="rId491" ref="B254"/>
    <hyperlink r:id="rId492" ref="T254"/>
    <hyperlink r:id="rId493" ref="B255"/>
    <hyperlink r:id="rId494" ref="T255"/>
    <hyperlink r:id="rId495" ref="B256"/>
    <hyperlink r:id="rId496" ref="T256"/>
    <hyperlink r:id="rId497" ref="B257"/>
    <hyperlink r:id="rId498" ref="T257"/>
    <hyperlink r:id="rId499" ref="B258"/>
    <hyperlink r:id="rId500" ref="T258"/>
    <hyperlink r:id="rId501" ref="B259"/>
    <hyperlink r:id="rId502" ref="T259"/>
    <hyperlink r:id="rId503" ref="B260"/>
    <hyperlink r:id="rId504" ref="T260"/>
    <hyperlink r:id="rId505" ref="B261"/>
    <hyperlink r:id="rId506" ref="T261"/>
    <hyperlink r:id="rId507" ref="B262"/>
    <hyperlink r:id="rId508" ref="T262"/>
    <hyperlink r:id="rId509" ref="B263"/>
    <hyperlink r:id="rId510" ref="T263"/>
    <hyperlink r:id="rId511" ref="B264"/>
    <hyperlink r:id="rId512" ref="T264"/>
    <hyperlink r:id="rId513" ref="B265"/>
    <hyperlink r:id="rId514" ref="T265"/>
    <hyperlink r:id="rId515" ref="B266"/>
    <hyperlink r:id="rId516" ref="T266"/>
    <hyperlink r:id="rId517" ref="B267"/>
    <hyperlink r:id="rId518" ref="T267"/>
    <hyperlink r:id="rId519" ref="B268"/>
    <hyperlink r:id="rId520" ref="T268"/>
    <hyperlink r:id="rId521" ref="B269"/>
    <hyperlink r:id="rId522" ref="T269"/>
    <hyperlink r:id="rId523" ref="B270"/>
    <hyperlink r:id="rId524" ref="T270"/>
    <hyperlink r:id="rId525" ref="B271"/>
    <hyperlink r:id="rId526" ref="T271"/>
    <hyperlink r:id="rId527" ref="B272"/>
    <hyperlink r:id="rId528" ref="T272"/>
    <hyperlink r:id="rId529" ref="B273"/>
    <hyperlink r:id="rId530" ref="T273"/>
    <hyperlink r:id="rId531" ref="B274"/>
    <hyperlink r:id="rId532" ref="T274"/>
    <hyperlink r:id="rId533" ref="B275"/>
    <hyperlink r:id="rId534" ref="T275"/>
    <hyperlink r:id="rId535" ref="B276"/>
    <hyperlink r:id="rId536" ref="T276"/>
    <hyperlink r:id="rId537" ref="B277"/>
    <hyperlink r:id="rId538" ref="T277"/>
    <hyperlink r:id="rId539" ref="B278"/>
    <hyperlink r:id="rId540" ref="T278"/>
    <hyperlink r:id="rId541" ref="B279"/>
    <hyperlink r:id="rId542" ref="T279"/>
    <hyperlink r:id="rId543" ref="B280"/>
    <hyperlink r:id="rId544" ref="T280"/>
    <hyperlink r:id="rId545" ref="B281"/>
    <hyperlink r:id="rId546" ref="T281"/>
    <hyperlink r:id="rId547" ref="B282"/>
    <hyperlink r:id="rId548" ref="T282"/>
    <hyperlink r:id="rId549" ref="B283"/>
    <hyperlink r:id="rId550" ref="T283"/>
    <hyperlink r:id="rId551" ref="B284"/>
    <hyperlink r:id="rId552" ref="T284"/>
    <hyperlink r:id="rId553" ref="B285"/>
    <hyperlink r:id="rId554" ref="T285"/>
    <hyperlink r:id="rId555" ref="B286"/>
    <hyperlink r:id="rId556" ref="T286"/>
    <hyperlink r:id="rId557" ref="B287"/>
    <hyperlink r:id="rId558" ref="T287"/>
    <hyperlink r:id="rId559" ref="B288"/>
    <hyperlink r:id="rId560" ref="T288"/>
    <hyperlink r:id="rId561" ref="B289"/>
    <hyperlink r:id="rId562" ref="T289"/>
    <hyperlink r:id="rId563" ref="B290"/>
    <hyperlink r:id="rId564" ref="T290"/>
    <hyperlink r:id="rId565" ref="B291"/>
    <hyperlink r:id="rId566" ref="T291"/>
    <hyperlink r:id="rId567" ref="B292"/>
    <hyperlink r:id="rId568" ref="T292"/>
    <hyperlink r:id="rId569" ref="B293"/>
    <hyperlink r:id="rId570" ref="T293"/>
    <hyperlink r:id="rId571" ref="B294"/>
    <hyperlink r:id="rId572" ref="T294"/>
    <hyperlink r:id="rId573" ref="B295"/>
    <hyperlink r:id="rId574" ref="T295"/>
    <hyperlink r:id="rId575" ref="B296"/>
    <hyperlink r:id="rId576" ref="T296"/>
    <hyperlink r:id="rId577" ref="B297"/>
    <hyperlink r:id="rId578" ref="T297"/>
    <hyperlink r:id="rId579" ref="B298"/>
    <hyperlink r:id="rId580" ref="T298"/>
    <hyperlink r:id="rId581" ref="B299"/>
    <hyperlink r:id="rId582" ref="T299"/>
    <hyperlink r:id="rId583" ref="B300"/>
    <hyperlink r:id="rId584" ref="T300"/>
    <hyperlink r:id="rId585" ref="B301"/>
    <hyperlink r:id="rId586" ref="T301"/>
    <hyperlink r:id="rId587" ref="B302"/>
    <hyperlink r:id="rId588" ref="T302"/>
    <hyperlink r:id="rId589" ref="B303"/>
    <hyperlink r:id="rId590" ref="T303"/>
    <hyperlink r:id="rId591" ref="B304"/>
    <hyperlink r:id="rId592" ref="T304"/>
    <hyperlink r:id="rId593" ref="B305"/>
    <hyperlink r:id="rId594" ref="T305"/>
    <hyperlink r:id="rId595" ref="B306"/>
    <hyperlink r:id="rId596" ref="T306"/>
    <hyperlink r:id="rId597" ref="B307"/>
    <hyperlink r:id="rId598" ref="T307"/>
    <hyperlink r:id="rId599" ref="B308"/>
    <hyperlink r:id="rId600" ref="T308"/>
    <hyperlink r:id="rId601" ref="B309"/>
    <hyperlink r:id="rId602" ref="T309"/>
    <hyperlink r:id="rId603" ref="B310"/>
    <hyperlink r:id="rId604" ref="T310"/>
    <hyperlink r:id="rId605" ref="B311"/>
    <hyperlink r:id="rId606" ref="T311"/>
    <hyperlink r:id="rId607" ref="B312"/>
    <hyperlink r:id="rId608" ref="T312"/>
    <hyperlink r:id="rId609" ref="B313"/>
    <hyperlink r:id="rId610" ref="T313"/>
    <hyperlink r:id="rId611" ref="B314"/>
    <hyperlink r:id="rId612" ref="T314"/>
    <hyperlink r:id="rId613" ref="B315"/>
    <hyperlink r:id="rId614" ref="T315"/>
    <hyperlink r:id="rId615" ref="B316"/>
    <hyperlink r:id="rId616" ref="T316"/>
    <hyperlink r:id="rId617" ref="B317"/>
    <hyperlink r:id="rId618" ref="T317"/>
    <hyperlink r:id="rId619" ref="B318"/>
    <hyperlink r:id="rId620" ref="T318"/>
    <hyperlink r:id="rId621" ref="B319"/>
    <hyperlink r:id="rId622" ref="T319"/>
    <hyperlink r:id="rId623" ref="B320"/>
    <hyperlink r:id="rId624" ref="T320"/>
    <hyperlink r:id="rId625" ref="B321"/>
    <hyperlink r:id="rId626" ref="T321"/>
    <hyperlink r:id="rId627" ref="B322"/>
    <hyperlink r:id="rId628" ref="T322"/>
    <hyperlink r:id="rId629" ref="B323"/>
    <hyperlink r:id="rId630" ref="T323"/>
    <hyperlink r:id="rId631" ref="B324"/>
    <hyperlink r:id="rId632" ref="T324"/>
    <hyperlink r:id="rId633" ref="B325"/>
    <hyperlink r:id="rId634" ref="T325"/>
    <hyperlink r:id="rId635" ref="B326"/>
    <hyperlink r:id="rId636" ref="T326"/>
    <hyperlink r:id="rId637" ref="B327"/>
    <hyperlink r:id="rId638" ref="T327"/>
    <hyperlink r:id="rId639" ref="B328"/>
    <hyperlink r:id="rId640" ref="T328"/>
    <hyperlink r:id="rId641" ref="B329"/>
    <hyperlink r:id="rId642" ref="T329"/>
    <hyperlink r:id="rId643" ref="B330"/>
    <hyperlink r:id="rId644" ref="T330"/>
    <hyperlink r:id="rId645" ref="B331"/>
    <hyperlink r:id="rId646" ref="T331"/>
    <hyperlink r:id="rId647" ref="B332"/>
    <hyperlink r:id="rId648" ref="T332"/>
    <hyperlink r:id="rId649" ref="B333"/>
    <hyperlink r:id="rId650" ref="T333"/>
    <hyperlink r:id="rId651" ref="B334"/>
    <hyperlink r:id="rId652" ref="T334"/>
    <hyperlink r:id="rId653" ref="B335"/>
    <hyperlink r:id="rId654" ref="T335"/>
    <hyperlink r:id="rId655" ref="B336"/>
    <hyperlink r:id="rId656" ref="T336"/>
    <hyperlink r:id="rId657" ref="B337"/>
    <hyperlink r:id="rId658" ref="T337"/>
    <hyperlink r:id="rId659" ref="B338"/>
    <hyperlink r:id="rId660" ref="T338"/>
    <hyperlink r:id="rId661" ref="B339"/>
    <hyperlink r:id="rId662" ref="T339"/>
    <hyperlink r:id="rId663" ref="B340"/>
    <hyperlink r:id="rId664" ref="T340"/>
    <hyperlink r:id="rId665" ref="B341"/>
    <hyperlink r:id="rId666" ref="T341"/>
    <hyperlink r:id="rId667" ref="B342"/>
    <hyperlink r:id="rId668" ref="T342"/>
    <hyperlink r:id="rId669" ref="B343"/>
    <hyperlink r:id="rId670" ref="T343"/>
    <hyperlink r:id="rId671" ref="B344"/>
    <hyperlink r:id="rId672" ref="T344"/>
    <hyperlink r:id="rId673" ref="B345"/>
    <hyperlink r:id="rId674" ref="T345"/>
    <hyperlink r:id="rId675" ref="B346"/>
    <hyperlink r:id="rId676" ref="T346"/>
    <hyperlink r:id="rId677" ref="B347"/>
    <hyperlink r:id="rId678" ref="T347"/>
    <hyperlink r:id="rId679" ref="B348"/>
    <hyperlink r:id="rId680" ref="T348"/>
    <hyperlink r:id="rId681" ref="B349"/>
    <hyperlink r:id="rId682" ref="T349"/>
    <hyperlink r:id="rId683" ref="B350"/>
    <hyperlink r:id="rId684" ref="T350"/>
    <hyperlink r:id="rId685" ref="B351"/>
    <hyperlink r:id="rId686" ref="T351"/>
    <hyperlink r:id="rId687" ref="B352"/>
    <hyperlink r:id="rId688" ref="T352"/>
    <hyperlink r:id="rId689" ref="B353"/>
    <hyperlink r:id="rId690" ref="T353"/>
    <hyperlink r:id="rId691" ref="B354"/>
    <hyperlink r:id="rId692" ref="T354"/>
    <hyperlink r:id="rId693" ref="B355"/>
    <hyperlink r:id="rId694" ref="T355"/>
    <hyperlink r:id="rId695" ref="B356"/>
    <hyperlink r:id="rId696" ref="T356"/>
    <hyperlink r:id="rId697" ref="B357"/>
    <hyperlink r:id="rId698" ref="T357"/>
    <hyperlink r:id="rId699" ref="B358"/>
    <hyperlink r:id="rId700" ref="T358"/>
    <hyperlink r:id="rId701" ref="B359"/>
    <hyperlink r:id="rId702" ref="T359"/>
    <hyperlink r:id="rId703" ref="B360"/>
    <hyperlink r:id="rId704" ref="T360"/>
    <hyperlink r:id="rId705" ref="B361"/>
    <hyperlink r:id="rId706" ref="T361"/>
    <hyperlink r:id="rId707" ref="B362"/>
    <hyperlink r:id="rId708" ref="T362"/>
    <hyperlink r:id="rId709" ref="B363"/>
    <hyperlink r:id="rId710" ref="T363"/>
    <hyperlink r:id="rId711" ref="B364"/>
    <hyperlink r:id="rId712" ref="T364"/>
    <hyperlink r:id="rId713" ref="B365"/>
    <hyperlink r:id="rId714" ref="T365"/>
    <hyperlink r:id="rId715" ref="B366"/>
    <hyperlink r:id="rId716" ref="T366"/>
    <hyperlink r:id="rId717" ref="B367"/>
    <hyperlink r:id="rId718" ref="T367"/>
    <hyperlink r:id="rId719" ref="B368"/>
    <hyperlink r:id="rId720" ref="T368"/>
    <hyperlink r:id="rId721" ref="B369"/>
    <hyperlink r:id="rId722" ref="T369"/>
    <hyperlink r:id="rId723" ref="B370"/>
    <hyperlink r:id="rId724" ref="T370"/>
    <hyperlink r:id="rId725" ref="B371"/>
    <hyperlink r:id="rId726" ref="T371"/>
    <hyperlink r:id="rId727" ref="B372"/>
    <hyperlink r:id="rId728" ref="T372"/>
    <hyperlink r:id="rId729" ref="B373"/>
    <hyperlink r:id="rId730" ref="T373"/>
    <hyperlink r:id="rId731" ref="B374"/>
    <hyperlink r:id="rId732" ref="T374"/>
    <hyperlink r:id="rId733" ref="B375"/>
    <hyperlink r:id="rId734" ref="T375"/>
    <hyperlink r:id="rId735" ref="B376"/>
    <hyperlink r:id="rId736" ref="T376"/>
    <hyperlink r:id="rId737" ref="B377"/>
    <hyperlink r:id="rId738" ref="T377"/>
    <hyperlink r:id="rId739" ref="B378"/>
    <hyperlink r:id="rId740" ref="T378"/>
    <hyperlink r:id="rId741" ref="B379"/>
    <hyperlink r:id="rId742" ref="T379"/>
    <hyperlink r:id="rId743" ref="B380"/>
    <hyperlink r:id="rId744" ref="T380"/>
    <hyperlink r:id="rId745" ref="B381"/>
    <hyperlink r:id="rId746" ref="T381"/>
    <hyperlink r:id="rId747" ref="B382"/>
    <hyperlink r:id="rId748" ref="T382"/>
    <hyperlink r:id="rId749" ref="B383"/>
    <hyperlink r:id="rId750" ref="T383"/>
    <hyperlink r:id="rId751" ref="B384"/>
    <hyperlink r:id="rId752" ref="T384"/>
    <hyperlink r:id="rId753" ref="B385"/>
    <hyperlink r:id="rId754" ref="T385"/>
    <hyperlink r:id="rId755" ref="B386"/>
    <hyperlink r:id="rId756" ref="T386"/>
    <hyperlink r:id="rId757" ref="B387"/>
    <hyperlink r:id="rId758" ref="T387"/>
    <hyperlink r:id="rId759" ref="B388"/>
    <hyperlink r:id="rId760" ref="T388"/>
    <hyperlink r:id="rId761" ref="B389"/>
    <hyperlink r:id="rId762" ref="T389"/>
    <hyperlink r:id="rId763" ref="B390"/>
    <hyperlink r:id="rId764" ref="T390"/>
    <hyperlink r:id="rId765" ref="B391"/>
    <hyperlink r:id="rId766" ref="T391"/>
    <hyperlink r:id="rId767" ref="B392"/>
    <hyperlink r:id="rId768" ref="T392"/>
    <hyperlink r:id="rId769" ref="B393"/>
    <hyperlink r:id="rId770" ref="T393"/>
    <hyperlink r:id="rId771" ref="B394"/>
    <hyperlink r:id="rId772" ref="T394"/>
    <hyperlink r:id="rId773" ref="B395"/>
    <hyperlink r:id="rId774" ref="T395"/>
    <hyperlink r:id="rId775" ref="B396"/>
    <hyperlink r:id="rId776" ref="T396"/>
    <hyperlink r:id="rId777" ref="B397"/>
    <hyperlink r:id="rId778" ref="T397"/>
    <hyperlink r:id="rId779" ref="B398"/>
    <hyperlink r:id="rId780" ref="T398"/>
    <hyperlink r:id="rId781" ref="B399"/>
    <hyperlink r:id="rId782" ref="T399"/>
    <hyperlink r:id="rId783" ref="B400"/>
    <hyperlink r:id="rId784" ref="T400"/>
    <hyperlink r:id="rId785" ref="B401"/>
    <hyperlink r:id="rId786" ref="T401"/>
    <hyperlink r:id="rId787" ref="B402"/>
    <hyperlink r:id="rId788" ref="T402"/>
    <hyperlink r:id="rId789" ref="B403"/>
    <hyperlink r:id="rId790" ref="T403"/>
    <hyperlink r:id="rId791" ref="B404"/>
    <hyperlink r:id="rId792" ref="T404"/>
    <hyperlink r:id="rId793" ref="B405"/>
    <hyperlink r:id="rId794" ref="T405"/>
    <hyperlink r:id="rId795" ref="B406"/>
    <hyperlink r:id="rId796" ref="T406"/>
    <hyperlink r:id="rId797" ref="B407"/>
    <hyperlink r:id="rId798" ref="T407"/>
    <hyperlink r:id="rId799" ref="B408"/>
    <hyperlink r:id="rId800" ref="T408"/>
    <hyperlink r:id="rId801" ref="B409"/>
    <hyperlink r:id="rId802" ref="T409"/>
    <hyperlink r:id="rId803" ref="B410"/>
    <hyperlink r:id="rId804" ref="T410"/>
    <hyperlink r:id="rId805" ref="B411"/>
    <hyperlink r:id="rId806" ref="T411"/>
    <hyperlink r:id="rId807" ref="B412"/>
    <hyperlink r:id="rId808" ref="T412"/>
    <hyperlink r:id="rId809" ref="B413"/>
    <hyperlink r:id="rId810" ref="T413"/>
    <hyperlink r:id="rId811" ref="B414"/>
    <hyperlink r:id="rId812" ref="T414"/>
    <hyperlink r:id="rId813" ref="B415"/>
    <hyperlink r:id="rId814" ref="T415"/>
    <hyperlink r:id="rId815" ref="B416"/>
    <hyperlink r:id="rId816" ref="T416"/>
    <hyperlink r:id="rId817" ref="B417"/>
    <hyperlink r:id="rId818" ref="T417"/>
    <hyperlink r:id="rId819" ref="B418"/>
    <hyperlink r:id="rId820" ref="T418"/>
    <hyperlink r:id="rId821" ref="B419"/>
    <hyperlink r:id="rId822" ref="T419"/>
    <hyperlink r:id="rId823" ref="B420"/>
    <hyperlink r:id="rId824" ref="T420"/>
    <hyperlink r:id="rId825" ref="B421"/>
    <hyperlink r:id="rId826" ref="T421"/>
    <hyperlink r:id="rId827" ref="B422"/>
    <hyperlink r:id="rId828" ref="T422"/>
    <hyperlink r:id="rId829" ref="B423"/>
    <hyperlink r:id="rId830" ref="T423"/>
    <hyperlink r:id="rId831" ref="B424"/>
    <hyperlink r:id="rId832" ref="T424"/>
    <hyperlink r:id="rId833" ref="B425"/>
    <hyperlink r:id="rId834" ref="T425"/>
    <hyperlink r:id="rId835" ref="B426"/>
    <hyperlink r:id="rId836" ref="T426"/>
    <hyperlink r:id="rId837" ref="B427"/>
    <hyperlink r:id="rId838" ref="T427"/>
    <hyperlink r:id="rId839" ref="B428"/>
    <hyperlink r:id="rId840" ref="T428"/>
    <hyperlink r:id="rId841" ref="B429"/>
    <hyperlink r:id="rId842" ref="T429"/>
    <hyperlink r:id="rId843" ref="B430"/>
    <hyperlink r:id="rId844" ref="T430"/>
    <hyperlink r:id="rId845" ref="B431"/>
    <hyperlink r:id="rId846" ref="T431"/>
    <hyperlink r:id="rId847" ref="B432"/>
    <hyperlink r:id="rId848" ref="T432"/>
    <hyperlink r:id="rId849" ref="B433"/>
    <hyperlink r:id="rId850" ref="T433"/>
    <hyperlink r:id="rId851" ref="B434"/>
    <hyperlink r:id="rId852" ref="T434"/>
    <hyperlink r:id="rId853" ref="B435"/>
    <hyperlink r:id="rId854" ref="T435"/>
    <hyperlink r:id="rId855" ref="B436"/>
    <hyperlink r:id="rId856" ref="T436"/>
    <hyperlink r:id="rId857" ref="B437"/>
    <hyperlink r:id="rId858" ref="T437"/>
    <hyperlink r:id="rId859" ref="B438"/>
    <hyperlink r:id="rId860" ref="T438"/>
    <hyperlink r:id="rId861" ref="B439"/>
    <hyperlink r:id="rId862" ref="T439"/>
    <hyperlink r:id="rId863" ref="B440"/>
    <hyperlink r:id="rId864" ref="T440"/>
    <hyperlink r:id="rId865" ref="B441"/>
    <hyperlink r:id="rId866" ref="T441"/>
    <hyperlink r:id="rId867" ref="B442"/>
    <hyperlink r:id="rId868" ref="T442"/>
    <hyperlink r:id="rId869" ref="B443"/>
    <hyperlink r:id="rId870" ref="T443"/>
    <hyperlink r:id="rId871" ref="B444"/>
    <hyperlink r:id="rId872" ref="T444"/>
    <hyperlink r:id="rId873" ref="B445"/>
    <hyperlink r:id="rId874" ref="T445"/>
    <hyperlink r:id="rId875" ref="B446"/>
    <hyperlink r:id="rId876" ref="T446"/>
    <hyperlink r:id="rId877" ref="B447"/>
    <hyperlink r:id="rId878" ref="T447"/>
    <hyperlink r:id="rId879" ref="B448"/>
    <hyperlink r:id="rId880" ref="T448"/>
    <hyperlink r:id="rId881" ref="B449"/>
    <hyperlink r:id="rId882" ref="T449"/>
    <hyperlink r:id="rId883" ref="B450"/>
    <hyperlink r:id="rId884" ref="T450"/>
    <hyperlink r:id="rId885" ref="B451"/>
    <hyperlink r:id="rId886" ref="T451"/>
    <hyperlink r:id="rId887" ref="B452"/>
    <hyperlink r:id="rId888" ref="T452"/>
    <hyperlink r:id="rId889" ref="B453"/>
    <hyperlink r:id="rId890" ref="T453"/>
    <hyperlink r:id="rId891" ref="B454"/>
    <hyperlink r:id="rId892" ref="T454"/>
    <hyperlink r:id="rId893" ref="B455"/>
    <hyperlink r:id="rId894" ref="T455"/>
    <hyperlink r:id="rId895" ref="B456"/>
    <hyperlink r:id="rId896" ref="T456"/>
    <hyperlink r:id="rId897" ref="B457"/>
    <hyperlink r:id="rId898" ref="T457"/>
    <hyperlink r:id="rId899" ref="B458"/>
    <hyperlink r:id="rId900" ref="T458"/>
    <hyperlink r:id="rId901" ref="B459"/>
    <hyperlink r:id="rId902" ref="T459"/>
    <hyperlink r:id="rId903" ref="B460"/>
    <hyperlink r:id="rId904" ref="T460"/>
    <hyperlink r:id="rId905" ref="B461"/>
    <hyperlink r:id="rId906" ref="T461"/>
    <hyperlink r:id="rId907" ref="B462"/>
    <hyperlink r:id="rId908" ref="T462"/>
    <hyperlink r:id="rId909" ref="B463"/>
    <hyperlink r:id="rId910" ref="T463"/>
    <hyperlink r:id="rId911" ref="B464"/>
    <hyperlink r:id="rId912" ref="T464"/>
    <hyperlink r:id="rId913" ref="B465"/>
    <hyperlink r:id="rId914" ref="T465"/>
    <hyperlink r:id="rId915" ref="B466"/>
    <hyperlink r:id="rId916" ref="T466"/>
    <hyperlink r:id="rId917" ref="B467"/>
    <hyperlink r:id="rId918" ref="T467"/>
    <hyperlink r:id="rId919" ref="B468"/>
    <hyperlink r:id="rId920" ref="T468"/>
    <hyperlink r:id="rId921" ref="B469"/>
    <hyperlink r:id="rId922" ref="T469"/>
    <hyperlink r:id="rId923" ref="B470"/>
    <hyperlink r:id="rId924" ref="T470"/>
    <hyperlink r:id="rId925" ref="B471"/>
    <hyperlink r:id="rId926" ref="T471"/>
    <hyperlink r:id="rId927" ref="B472"/>
    <hyperlink r:id="rId928" ref="T472"/>
    <hyperlink r:id="rId929" ref="B473"/>
    <hyperlink r:id="rId930" ref="T473"/>
    <hyperlink r:id="rId931" ref="B474"/>
    <hyperlink r:id="rId932" ref="T474"/>
    <hyperlink r:id="rId933" ref="B475"/>
    <hyperlink r:id="rId934" ref="T475"/>
    <hyperlink r:id="rId935" ref="B476"/>
    <hyperlink r:id="rId936" ref="T476"/>
    <hyperlink r:id="rId937" ref="B477"/>
    <hyperlink r:id="rId938" ref="T477"/>
    <hyperlink r:id="rId939" ref="B478"/>
    <hyperlink r:id="rId940" ref="T478"/>
    <hyperlink r:id="rId941" ref="B479"/>
    <hyperlink r:id="rId942" ref="T479"/>
    <hyperlink r:id="rId943" ref="B480"/>
    <hyperlink r:id="rId944" ref="T480"/>
    <hyperlink r:id="rId945" ref="B481"/>
    <hyperlink r:id="rId946" ref="T481"/>
    <hyperlink r:id="rId947" ref="B482"/>
    <hyperlink r:id="rId948" ref="T482"/>
    <hyperlink r:id="rId949" ref="B483"/>
    <hyperlink r:id="rId950" ref="T483"/>
    <hyperlink r:id="rId951" ref="B484"/>
    <hyperlink r:id="rId952" ref="T484"/>
    <hyperlink r:id="rId953" ref="B485"/>
    <hyperlink r:id="rId954" ref="T485"/>
    <hyperlink r:id="rId955" ref="B486"/>
    <hyperlink r:id="rId956" ref="T486"/>
    <hyperlink r:id="rId957" ref="B487"/>
    <hyperlink r:id="rId958" ref="T487"/>
    <hyperlink r:id="rId959" ref="B488"/>
    <hyperlink r:id="rId960" ref="T488"/>
    <hyperlink r:id="rId961" ref="B489"/>
    <hyperlink r:id="rId962" ref="T489"/>
    <hyperlink r:id="rId963" ref="B490"/>
    <hyperlink r:id="rId964" ref="T490"/>
    <hyperlink r:id="rId965" ref="B491"/>
    <hyperlink r:id="rId966" ref="T491"/>
    <hyperlink r:id="rId967" ref="B492"/>
    <hyperlink r:id="rId968" ref="T492"/>
    <hyperlink r:id="rId969" ref="B493"/>
    <hyperlink r:id="rId970" ref="T493"/>
    <hyperlink r:id="rId971" ref="B494"/>
    <hyperlink r:id="rId972" ref="T494"/>
    <hyperlink r:id="rId973" ref="B495"/>
    <hyperlink r:id="rId974" ref="T495"/>
    <hyperlink r:id="rId975" ref="B496"/>
    <hyperlink r:id="rId976" ref="T496"/>
    <hyperlink r:id="rId977" ref="B497"/>
    <hyperlink r:id="rId978" ref="T497"/>
    <hyperlink r:id="rId979" ref="B498"/>
    <hyperlink r:id="rId980" ref="T498"/>
    <hyperlink r:id="rId981" ref="B499"/>
    <hyperlink r:id="rId982" ref="T499"/>
    <hyperlink r:id="rId983" ref="B500"/>
    <hyperlink r:id="rId984" ref="T500"/>
    <hyperlink r:id="rId985" ref="B501"/>
    <hyperlink r:id="rId986" ref="T501"/>
    <hyperlink r:id="rId987" ref="B502"/>
    <hyperlink r:id="rId988" ref="T502"/>
    <hyperlink r:id="rId989" ref="B503"/>
    <hyperlink r:id="rId990" ref="T503"/>
    <hyperlink r:id="rId991" ref="B504"/>
    <hyperlink r:id="rId992" ref="T504"/>
    <hyperlink r:id="rId993" ref="B505"/>
    <hyperlink r:id="rId994" ref="T505"/>
    <hyperlink r:id="rId995" ref="B506"/>
    <hyperlink r:id="rId996" ref="T506"/>
    <hyperlink r:id="rId997" ref="B507"/>
    <hyperlink r:id="rId998" ref="T507"/>
    <hyperlink r:id="rId999" ref="B508"/>
    <hyperlink r:id="rId1000" ref="T508"/>
    <hyperlink r:id="rId1001" ref="B509"/>
    <hyperlink r:id="rId1002" ref="T509"/>
    <hyperlink r:id="rId1003" ref="B510"/>
    <hyperlink r:id="rId1004" ref="T510"/>
    <hyperlink r:id="rId1005" ref="B511"/>
    <hyperlink r:id="rId1006" ref="T511"/>
    <hyperlink r:id="rId1007" ref="B512"/>
    <hyperlink r:id="rId1008" ref="T512"/>
    <hyperlink r:id="rId1009" ref="B513"/>
    <hyperlink r:id="rId1010" ref="T513"/>
    <hyperlink r:id="rId1011" ref="B514"/>
    <hyperlink r:id="rId1012" ref="T514"/>
    <hyperlink r:id="rId1013" ref="B515"/>
    <hyperlink r:id="rId1014" ref="T515"/>
    <hyperlink r:id="rId1015" ref="B516"/>
    <hyperlink r:id="rId1016" ref="T516"/>
    <hyperlink r:id="rId1017" ref="B517"/>
    <hyperlink r:id="rId1018" ref="T517"/>
    <hyperlink r:id="rId1019" ref="B518"/>
    <hyperlink r:id="rId1020" ref="T518"/>
    <hyperlink r:id="rId1021" ref="B519"/>
    <hyperlink r:id="rId1022" ref="T519"/>
    <hyperlink r:id="rId1023" ref="B520"/>
    <hyperlink r:id="rId1024" ref="T520"/>
    <hyperlink r:id="rId1025" ref="B521"/>
    <hyperlink r:id="rId1026" ref="T521"/>
    <hyperlink r:id="rId1027" ref="B522"/>
    <hyperlink r:id="rId1028" ref="T522"/>
    <hyperlink r:id="rId1029" ref="B523"/>
    <hyperlink r:id="rId1030" ref="T523"/>
    <hyperlink r:id="rId1031" ref="B524"/>
    <hyperlink r:id="rId1032" ref="T524"/>
    <hyperlink r:id="rId1033" ref="B525"/>
    <hyperlink r:id="rId1034" ref="T525"/>
    <hyperlink r:id="rId1035" ref="B526"/>
    <hyperlink r:id="rId1036" ref="T526"/>
    <hyperlink r:id="rId1037" ref="B527"/>
    <hyperlink r:id="rId1038" ref="T527"/>
    <hyperlink r:id="rId1039" ref="B528"/>
    <hyperlink r:id="rId1040" ref="T528"/>
    <hyperlink r:id="rId1041" ref="B529"/>
    <hyperlink r:id="rId1042" ref="T529"/>
    <hyperlink r:id="rId1043" ref="B530"/>
    <hyperlink r:id="rId1044" ref="T530"/>
    <hyperlink r:id="rId1045" ref="B531"/>
    <hyperlink r:id="rId1046" ref="T531"/>
    <hyperlink r:id="rId1047" ref="B532"/>
    <hyperlink r:id="rId1048" ref="T532"/>
    <hyperlink r:id="rId1049" ref="B533"/>
    <hyperlink r:id="rId1050" ref="T533"/>
    <hyperlink r:id="rId1051" ref="B534"/>
    <hyperlink r:id="rId1052" ref="T534"/>
    <hyperlink r:id="rId1053" ref="B535"/>
    <hyperlink r:id="rId1054" ref="T535"/>
    <hyperlink r:id="rId1055" ref="B536"/>
    <hyperlink r:id="rId1056" ref="T536"/>
    <hyperlink r:id="rId1057" ref="B537"/>
    <hyperlink r:id="rId1058" ref="T537"/>
    <hyperlink r:id="rId1059" ref="B538"/>
    <hyperlink r:id="rId1060" ref="T538"/>
    <hyperlink r:id="rId1061" ref="B539"/>
    <hyperlink r:id="rId1062" ref="T539"/>
    <hyperlink r:id="rId1063" ref="B540"/>
    <hyperlink r:id="rId1064" ref="T540"/>
    <hyperlink r:id="rId1065" ref="B541"/>
    <hyperlink r:id="rId1066" ref="T541"/>
    <hyperlink r:id="rId1067" ref="B542"/>
    <hyperlink r:id="rId1068" ref="T542"/>
    <hyperlink r:id="rId1069" ref="B543"/>
    <hyperlink r:id="rId1070" ref="T543"/>
    <hyperlink r:id="rId1071" ref="B544"/>
    <hyperlink r:id="rId1072" ref="T544"/>
    <hyperlink r:id="rId1073" ref="B545"/>
    <hyperlink r:id="rId1074" ref="T545"/>
    <hyperlink r:id="rId1075" ref="B546"/>
    <hyperlink r:id="rId1076" ref="T546"/>
    <hyperlink r:id="rId1077" ref="B547"/>
    <hyperlink r:id="rId1078" ref="T547"/>
    <hyperlink r:id="rId1079" ref="B548"/>
    <hyperlink r:id="rId1080" ref="T548"/>
    <hyperlink r:id="rId1081" ref="B549"/>
    <hyperlink r:id="rId1082" ref="T549"/>
    <hyperlink r:id="rId1083" ref="B550"/>
    <hyperlink r:id="rId1084" ref="T550"/>
    <hyperlink r:id="rId1085" ref="B551"/>
    <hyperlink r:id="rId1086" ref="T551"/>
    <hyperlink r:id="rId1087" ref="B552"/>
    <hyperlink r:id="rId1088" ref="T552"/>
    <hyperlink r:id="rId1089" ref="B553"/>
    <hyperlink r:id="rId1090" ref="T553"/>
    <hyperlink r:id="rId1091" ref="B554"/>
    <hyperlink r:id="rId1092" ref="T554"/>
    <hyperlink r:id="rId1093" ref="B555"/>
    <hyperlink r:id="rId1094" ref="T555"/>
    <hyperlink r:id="rId1095" ref="B556"/>
    <hyperlink r:id="rId1096" ref="T556"/>
    <hyperlink r:id="rId1097" ref="B557"/>
    <hyperlink r:id="rId1098" ref="T557"/>
    <hyperlink r:id="rId1099" ref="B558"/>
    <hyperlink r:id="rId1100" ref="T558"/>
    <hyperlink r:id="rId1101" ref="B559"/>
    <hyperlink r:id="rId1102" ref="T559"/>
    <hyperlink r:id="rId1103" ref="B560"/>
    <hyperlink r:id="rId1104" ref="T560"/>
    <hyperlink r:id="rId1105" ref="B561"/>
    <hyperlink r:id="rId1106" ref="T561"/>
    <hyperlink r:id="rId1107" ref="B562"/>
    <hyperlink r:id="rId1108" ref="T562"/>
    <hyperlink r:id="rId1109" ref="B563"/>
    <hyperlink r:id="rId1110" ref="T563"/>
    <hyperlink r:id="rId1111" ref="B564"/>
    <hyperlink r:id="rId1112" ref="T564"/>
    <hyperlink r:id="rId1113" ref="B565"/>
    <hyperlink r:id="rId1114" ref="T565"/>
    <hyperlink r:id="rId1115" ref="B566"/>
    <hyperlink r:id="rId1116" ref="T566"/>
    <hyperlink r:id="rId1117" ref="B567"/>
    <hyperlink r:id="rId1118" ref="T567"/>
    <hyperlink r:id="rId1119" ref="B568"/>
    <hyperlink r:id="rId1120" ref="T568"/>
    <hyperlink r:id="rId1121" ref="B569"/>
    <hyperlink r:id="rId1122" ref="T569"/>
    <hyperlink r:id="rId1123" ref="B570"/>
    <hyperlink r:id="rId1124" ref="T570"/>
    <hyperlink r:id="rId1125" ref="B571"/>
    <hyperlink r:id="rId1126" ref="T571"/>
    <hyperlink r:id="rId1127" ref="B572"/>
    <hyperlink r:id="rId1128" ref="T572"/>
    <hyperlink r:id="rId1129" ref="B573"/>
    <hyperlink r:id="rId1130" ref="T573"/>
    <hyperlink r:id="rId1131" ref="B574"/>
    <hyperlink r:id="rId1132" ref="T574"/>
    <hyperlink r:id="rId1133" ref="B575"/>
    <hyperlink r:id="rId1134" ref="T575"/>
    <hyperlink r:id="rId1135" ref="B576"/>
    <hyperlink r:id="rId1136" ref="T576"/>
    <hyperlink r:id="rId1137" ref="B577"/>
    <hyperlink r:id="rId1138" ref="T577"/>
    <hyperlink r:id="rId1139" ref="B578"/>
    <hyperlink r:id="rId1140" ref="T578"/>
    <hyperlink r:id="rId1141" ref="B579"/>
    <hyperlink r:id="rId1142" ref="T579"/>
    <hyperlink r:id="rId1143" ref="B580"/>
    <hyperlink r:id="rId1144" ref="T580"/>
    <hyperlink r:id="rId1145" ref="B581"/>
    <hyperlink r:id="rId1146" ref="T581"/>
    <hyperlink r:id="rId1147" ref="B582"/>
    <hyperlink r:id="rId1148" ref="T582"/>
    <hyperlink r:id="rId1149" ref="B583"/>
    <hyperlink r:id="rId1150" ref="T583"/>
    <hyperlink r:id="rId1151" ref="B584"/>
    <hyperlink r:id="rId1152" ref="T584"/>
    <hyperlink r:id="rId1153" ref="B585"/>
    <hyperlink r:id="rId1154" ref="T585"/>
    <hyperlink r:id="rId1155" ref="B586"/>
    <hyperlink r:id="rId1156" ref="T586"/>
    <hyperlink r:id="rId1157" ref="B587"/>
    <hyperlink r:id="rId1158" ref="T587"/>
    <hyperlink r:id="rId1159" ref="B588"/>
    <hyperlink r:id="rId1160" ref="T588"/>
    <hyperlink r:id="rId1161" ref="B589"/>
    <hyperlink r:id="rId1162" ref="T589"/>
    <hyperlink r:id="rId1163" ref="B590"/>
    <hyperlink r:id="rId1164" ref="T590"/>
    <hyperlink r:id="rId1165" ref="B591"/>
    <hyperlink r:id="rId1166" ref="T591"/>
    <hyperlink r:id="rId1167" ref="B592"/>
    <hyperlink r:id="rId1168" ref="T592"/>
    <hyperlink r:id="rId1169" ref="B593"/>
    <hyperlink r:id="rId1170" ref="T593"/>
    <hyperlink r:id="rId1171" ref="B594"/>
    <hyperlink r:id="rId1172" ref="T594"/>
    <hyperlink r:id="rId1173" ref="B595"/>
    <hyperlink r:id="rId1174" ref="T595"/>
    <hyperlink r:id="rId1175" ref="B596"/>
    <hyperlink r:id="rId1176" ref="T596"/>
    <hyperlink r:id="rId1177" ref="B597"/>
    <hyperlink r:id="rId1178" ref="T597"/>
    <hyperlink r:id="rId1179" ref="B598"/>
    <hyperlink r:id="rId1180" ref="T598"/>
    <hyperlink r:id="rId1181" ref="B599"/>
    <hyperlink r:id="rId1182" ref="T599"/>
    <hyperlink r:id="rId1183" ref="B600"/>
    <hyperlink r:id="rId1184" ref="T600"/>
    <hyperlink r:id="rId1185" ref="B601"/>
    <hyperlink r:id="rId1186" ref="T601"/>
    <hyperlink r:id="rId1187" ref="B602"/>
    <hyperlink r:id="rId1188" ref="T602"/>
    <hyperlink r:id="rId1189" ref="B603"/>
    <hyperlink r:id="rId1190" ref="T603"/>
    <hyperlink r:id="rId1191" ref="B604"/>
    <hyperlink r:id="rId1192" ref="T604"/>
    <hyperlink r:id="rId1193" ref="B605"/>
    <hyperlink r:id="rId1194" ref="T605"/>
    <hyperlink r:id="rId1195" ref="B606"/>
    <hyperlink r:id="rId1196" ref="T606"/>
    <hyperlink r:id="rId1197" ref="B607"/>
    <hyperlink r:id="rId1198" ref="T607"/>
    <hyperlink r:id="rId1199" ref="B608"/>
    <hyperlink r:id="rId1200" ref="T608"/>
    <hyperlink r:id="rId1201" ref="B609"/>
    <hyperlink r:id="rId1202" ref="T609"/>
    <hyperlink r:id="rId1203" ref="B610"/>
    <hyperlink r:id="rId1204" ref="T610"/>
    <hyperlink r:id="rId1205" ref="B611"/>
    <hyperlink r:id="rId1206" ref="T611"/>
    <hyperlink r:id="rId1207" ref="B612"/>
    <hyperlink r:id="rId1208" ref="T612"/>
    <hyperlink r:id="rId1209" ref="B613"/>
    <hyperlink r:id="rId1210" ref="T613"/>
    <hyperlink r:id="rId1211" ref="B614"/>
    <hyperlink r:id="rId1212" ref="T614"/>
    <hyperlink r:id="rId1213" ref="B615"/>
    <hyperlink r:id="rId1214" ref="T615"/>
    <hyperlink r:id="rId1215" ref="B616"/>
    <hyperlink r:id="rId1216" ref="T616"/>
    <hyperlink r:id="rId1217" ref="B617"/>
    <hyperlink r:id="rId1218" ref="T617"/>
    <hyperlink r:id="rId1219" ref="B618"/>
    <hyperlink r:id="rId1220" ref="T618"/>
    <hyperlink r:id="rId1221" ref="B619"/>
    <hyperlink r:id="rId1222" ref="T619"/>
    <hyperlink r:id="rId1223" ref="B620"/>
    <hyperlink r:id="rId1224" ref="T620"/>
    <hyperlink r:id="rId1225" ref="B621"/>
    <hyperlink r:id="rId1226" ref="T621"/>
    <hyperlink r:id="rId1227" ref="B622"/>
    <hyperlink r:id="rId1228" ref="T622"/>
    <hyperlink r:id="rId1229" ref="B623"/>
    <hyperlink r:id="rId1230" ref="T623"/>
    <hyperlink r:id="rId1231" ref="B624"/>
    <hyperlink r:id="rId1232" ref="T624"/>
    <hyperlink r:id="rId1233" ref="B625"/>
    <hyperlink r:id="rId1234" ref="T625"/>
    <hyperlink r:id="rId1235" ref="B626"/>
    <hyperlink r:id="rId1236" ref="T626"/>
    <hyperlink r:id="rId1237" ref="B627"/>
    <hyperlink r:id="rId1238" ref="T627"/>
    <hyperlink r:id="rId1239" ref="B628"/>
    <hyperlink r:id="rId1240" ref="T628"/>
    <hyperlink r:id="rId1241" ref="B629"/>
    <hyperlink r:id="rId1242" ref="T629"/>
    <hyperlink r:id="rId1243" ref="B630"/>
    <hyperlink r:id="rId1244" ref="T630"/>
    <hyperlink r:id="rId1245" ref="B631"/>
    <hyperlink r:id="rId1246" ref="T631"/>
    <hyperlink r:id="rId1247" ref="B632"/>
    <hyperlink r:id="rId1248" ref="T632"/>
    <hyperlink r:id="rId1249" ref="B633"/>
    <hyperlink r:id="rId1250" ref="T633"/>
    <hyperlink r:id="rId1251" ref="B634"/>
    <hyperlink r:id="rId1252" ref="T634"/>
    <hyperlink r:id="rId1253" ref="B635"/>
    <hyperlink r:id="rId1254" ref="T635"/>
    <hyperlink r:id="rId1255" ref="B636"/>
    <hyperlink r:id="rId1256" ref="T636"/>
    <hyperlink r:id="rId1257" ref="B637"/>
    <hyperlink r:id="rId1258" ref="T637"/>
    <hyperlink r:id="rId1259" ref="B638"/>
    <hyperlink r:id="rId1260" ref="T638"/>
    <hyperlink r:id="rId1261" ref="B639"/>
    <hyperlink r:id="rId1262" ref="T639"/>
    <hyperlink r:id="rId1263" ref="B640"/>
    <hyperlink r:id="rId1264" ref="T640"/>
    <hyperlink r:id="rId1265" ref="B641"/>
    <hyperlink r:id="rId1266" ref="T641"/>
    <hyperlink r:id="rId1267" ref="B642"/>
    <hyperlink r:id="rId1268" ref="T642"/>
    <hyperlink r:id="rId1269" ref="B643"/>
    <hyperlink r:id="rId1270" ref="T643"/>
    <hyperlink r:id="rId1271" ref="B644"/>
    <hyperlink r:id="rId1272" ref="T644"/>
    <hyperlink r:id="rId1273" ref="B645"/>
    <hyperlink r:id="rId1274" ref="T645"/>
    <hyperlink r:id="rId1275" ref="B646"/>
    <hyperlink r:id="rId1276" ref="T646"/>
    <hyperlink r:id="rId1277" ref="B647"/>
    <hyperlink r:id="rId1278" ref="T647"/>
    <hyperlink r:id="rId1279" ref="B648"/>
    <hyperlink r:id="rId1280" ref="T648"/>
    <hyperlink r:id="rId1281" ref="B649"/>
    <hyperlink r:id="rId1282" ref="T649"/>
    <hyperlink r:id="rId1283" ref="B650"/>
    <hyperlink r:id="rId1284" ref="T650"/>
    <hyperlink r:id="rId1285" ref="B651"/>
    <hyperlink r:id="rId1286" ref="T651"/>
    <hyperlink r:id="rId1287" ref="B652"/>
    <hyperlink r:id="rId1288" ref="T652"/>
    <hyperlink r:id="rId1289" ref="B653"/>
    <hyperlink r:id="rId1290" ref="T653"/>
    <hyperlink r:id="rId1291" ref="B654"/>
    <hyperlink r:id="rId1292" ref="T654"/>
  </hyperlinks>
  <drawing r:id="rId129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3" t="s">
        <v>6868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4.25"/>
  </cols>
  <sheetData>
    <row r="1">
      <c r="A1" s="239" t="s">
        <v>6880</v>
      </c>
      <c r="B1" s="239" t="s">
        <v>6881</v>
      </c>
      <c r="C1" s="239" t="s">
        <v>6882</v>
      </c>
      <c r="D1" s="239" t="s">
        <v>6883</v>
      </c>
      <c r="E1" s="239" t="s">
        <v>6881</v>
      </c>
    </row>
    <row r="2">
      <c r="A2" s="240" t="s">
        <v>6884</v>
      </c>
      <c r="B2" s="240" t="s">
        <v>6885</v>
      </c>
      <c r="C2" s="240" t="s">
        <v>6886</v>
      </c>
      <c r="D2" s="240" t="s">
        <v>6887</v>
      </c>
      <c r="E2" s="240" t="s">
        <v>68</v>
      </c>
    </row>
    <row r="3">
      <c r="A3" s="240" t="s">
        <v>6888</v>
      </c>
      <c r="B3" s="240" t="s">
        <v>6889</v>
      </c>
      <c r="C3" s="240" t="s">
        <v>6890</v>
      </c>
      <c r="D3" s="240" t="s">
        <v>6891</v>
      </c>
      <c r="E3" s="240" t="s">
        <v>168</v>
      </c>
    </row>
    <row r="4">
      <c r="A4" s="240" t="s">
        <v>6892</v>
      </c>
      <c r="B4" s="240" t="s">
        <v>6893</v>
      </c>
      <c r="C4" s="52" t="s">
        <v>6894</v>
      </c>
      <c r="D4" s="52" t="s">
        <v>6895</v>
      </c>
      <c r="E4" s="52" t="s">
        <v>2846</v>
      </c>
    </row>
    <row r="5">
      <c r="A5" s="240" t="s">
        <v>6896</v>
      </c>
      <c r="B5" s="240" t="s">
        <v>6897</v>
      </c>
      <c r="C5" s="52" t="s">
        <v>6898</v>
      </c>
      <c r="D5" s="52" t="s">
        <v>6899</v>
      </c>
      <c r="E5" s="52" t="s">
        <v>6900</v>
      </c>
    </row>
    <row r="6">
      <c r="A6" s="240" t="s">
        <v>6901</v>
      </c>
      <c r="B6" s="240" t="s">
        <v>6902</v>
      </c>
      <c r="C6" s="52" t="s">
        <v>6903</v>
      </c>
      <c r="D6" s="52" t="s">
        <v>6904</v>
      </c>
      <c r="E6" s="241" t="s">
        <v>6905</v>
      </c>
    </row>
    <row r="7">
      <c r="A7" s="240" t="s">
        <v>6906</v>
      </c>
      <c r="B7" s="240" t="s">
        <v>6907</v>
      </c>
      <c r="C7" s="52" t="s">
        <v>6908</v>
      </c>
      <c r="D7" s="52" t="s">
        <v>6909</v>
      </c>
      <c r="E7" s="52" t="s">
        <v>6910</v>
      </c>
    </row>
    <row r="8">
      <c r="A8" s="240" t="s">
        <v>6911</v>
      </c>
      <c r="B8" s="240" t="s">
        <v>6912</v>
      </c>
      <c r="C8" s="240" t="s">
        <v>6913</v>
      </c>
      <c r="D8" s="240" t="s">
        <v>6914</v>
      </c>
      <c r="E8" s="240" t="s">
        <v>4678</v>
      </c>
    </row>
    <row r="9">
      <c r="A9" s="52"/>
      <c r="B9" s="52"/>
      <c r="C9" s="240" t="s">
        <v>6915</v>
      </c>
      <c r="D9" s="240" t="s">
        <v>6916</v>
      </c>
      <c r="E9" s="240" t="s">
        <v>6917</v>
      </c>
    </row>
    <row r="10">
      <c r="A10" s="52"/>
      <c r="B10" s="52"/>
      <c r="C10" s="240" t="s">
        <v>6918</v>
      </c>
      <c r="D10" s="240" t="s">
        <v>6919</v>
      </c>
      <c r="E10" s="240" t="s">
        <v>6920</v>
      </c>
    </row>
    <row r="11">
      <c r="A11" s="240"/>
      <c r="B11" s="52"/>
      <c r="C11" s="240" t="s">
        <v>6921</v>
      </c>
      <c r="D11" s="240" t="s">
        <v>6922</v>
      </c>
      <c r="E11" s="242" t="s">
        <v>136</v>
      </c>
    </row>
    <row r="12">
      <c r="A12" s="240"/>
      <c r="B12" s="52"/>
      <c r="C12" s="240" t="s">
        <v>6923</v>
      </c>
      <c r="D12" s="240" t="s">
        <v>6924</v>
      </c>
      <c r="E12" s="240" t="s">
        <v>95</v>
      </c>
    </row>
    <row r="13">
      <c r="A13" s="240"/>
      <c r="B13" s="52"/>
      <c r="C13" s="240" t="s">
        <v>6925</v>
      </c>
      <c r="D13" s="240" t="s">
        <v>6926</v>
      </c>
      <c r="E13" s="240" t="s">
        <v>41</v>
      </c>
    </row>
    <row r="14">
      <c r="A14" s="240"/>
      <c r="B14" s="52"/>
      <c r="C14" s="240" t="s">
        <v>6927</v>
      </c>
      <c r="D14" s="240" t="s">
        <v>6928</v>
      </c>
      <c r="E14" s="240" t="s">
        <v>6929</v>
      </c>
    </row>
    <row r="15">
      <c r="A15" s="240"/>
      <c r="B15" s="52"/>
      <c r="C15" s="240" t="s">
        <v>6930</v>
      </c>
      <c r="D15" s="240" t="s">
        <v>6931</v>
      </c>
      <c r="E15" s="240" t="s">
        <v>6932</v>
      </c>
    </row>
    <row r="16">
      <c r="A16" s="240"/>
      <c r="B16" s="52"/>
      <c r="C16" s="240" t="s">
        <v>2676</v>
      </c>
      <c r="D16" s="240" t="s">
        <v>6933</v>
      </c>
      <c r="E16" s="240" t="s">
        <v>589</v>
      </c>
      <c r="I16" s="243"/>
    </row>
    <row r="17">
      <c r="A17" s="240"/>
      <c r="B17" s="52"/>
      <c r="C17" s="240" t="s">
        <v>6934</v>
      </c>
      <c r="D17" s="240" t="s">
        <v>6937</v>
      </c>
      <c r="E17" s="240" t="s">
        <v>118</v>
      </c>
    </row>
    <row r="18">
      <c r="A18" s="240"/>
      <c r="B18" s="52"/>
      <c r="C18" s="240" t="s">
        <v>6938</v>
      </c>
      <c r="D18" s="240" t="s">
        <v>6939</v>
      </c>
      <c r="E18" s="240" t="s">
        <v>78</v>
      </c>
    </row>
    <row r="19">
      <c r="A19" s="240"/>
      <c r="B19" s="52"/>
      <c r="C19" s="240" t="s">
        <v>6940</v>
      </c>
      <c r="D19" s="240" t="s">
        <v>6941</v>
      </c>
      <c r="E19" s="240" t="s">
        <v>103</v>
      </c>
    </row>
    <row r="20">
      <c r="A20" s="240"/>
      <c r="B20" s="52"/>
      <c r="C20" s="240" t="s">
        <v>6906</v>
      </c>
      <c r="D20" s="240" t="s">
        <v>6942</v>
      </c>
      <c r="E20" s="240" t="s">
        <v>6907</v>
      </c>
    </row>
    <row r="21">
      <c r="A21" s="240"/>
      <c r="B21" s="52"/>
      <c r="C21" s="240" t="s">
        <v>6943</v>
      </c>
      <c r="D21" s="240" t="s">
        <v>6944</v>
      </c>
      <c r="E21" s="240" t="s">
        <v>384</v>
      </c>
    </row>
    <row r="22">
      <c r="A22" s="240"/>
      <c r="B22" s="52"/>
      <c r="C22" s="240" t="s">
        <v>6945</v>
      </c>
      <c r="D22" s="240" t="s">
        <v>6946</v>
      </c>
      <c r="E22" s="240" t="s">
        <v>6947</v>
      </c>
    </row>
    <row r="23">
      <c r="A23" s="52"/>
      <c r="B23" s="52"/>
      <c r="C23" s="240" t="s">
        <v>6948</v>
      </c>
      <c r="D23" s="240" t="s">
        <v>6949</v>
      </c>
      <c r="E23" s="240" t="s">
        <v>6950</v>
      </c>
    </row>
    <row r="24">
      <c r="A24" s="52"/>
      <c r="B24" s="52"/>
      <c r="C24" s="240" t="s">
        <v>6951</v>
      </c>
      <c r="D24" s="240" t="s">
        <v>6952</v>
      </c>
      <c r="E24" s="240" t="s">
        <v>6953</v>
      </c>
    </row>
    <row r="25">
      <c r="A25" s="52"/>
      <c r="B25" s="52"/>
      <c r="C25" s="52" t="s">
        <v>6954</v>
      </c>
      <c r="D25" s="52" t="s">
        <v>6955</v>
      </c>
      <c r="E25" s="74" t="s">
        <v>2789</v>
      </c>
    </row>
    <row r="26">
      <c r="A26" s="52"/>
      <c r="B26" s="52"/>
      <c r="C26" s="52" t="s">
        <v>6957</v>
      </c>
      <c r="D26" s="52" t="s">
        <v>6958</v>
      </c>
      <c r="E26" s="52" t="s">
        <v>6959</v>
      </c>
    </row>
    <row r="27">
      <c r="A27" s="52"/>
      <c r="B27" s="52"/>
      <c r="C27" s="52" t="s">
        <v>6960</v>
      </c>
      <c r="D27" s="52" t="s">
        <v>6961</v>
      </c>
      <c r="E27" s="52" t="s">
        <v>116</v>
      </c>
    </row>
    <row r="28">
      <c r="A28" s="174"/>
      <c r="B28" s="174"/>
      <c r="C28" s="174"/>
      <c r="D28" s="174"/>
      <c r="E28" s="131" t="s">
        <v>126</v>
      </c>
    </row>
    <row r="29">
      <c r="A29" s="174"/>
      <c r="B29" s="174"/>
      <c r="C29" s="174"/>
      <c r="D29" s="174"/>
      <c r="E29" s="74" t="s">
        <v>3918</v>
      </c>
    </row>
    <row r="30">
      <c r="A30" s="174"/>
      <c r="B30" s="174"/>
      <c r="C30" s="174"/>
      <c r="D30" s="131" t="s">
        <v>6962</v>
      </c>
      <c r="E30" s="131" t="s">
        <v>6770</v>
      </c>
    </row>
    <row r="31">
      <c r="A31" s="174"/>
      <c r="B31" s="174"/>
      <c r="C31" s="174"/>
      <c r="D31" s="174"/>
      <c r="E31" s="131" t="s">
        <v>5380</v>
      </c>
    </row>
    <row r="32">
      <c r="A32" s="174"/>
      <c r="B32" s="174"/>
      <c r="C32" s="174"/>
      <c r="D32" s="174"/>
      <c r="E32" s="174"/>
    </row>
    <row r="33">
      <c r="A33" s="174"/>
      <c r="B33" s="174"/>
      <c r="C33" s="174"/>
      <c r="D33" s="174"/>
      <c r="E33" s="174"/>
    </row>
    <row r="34">
      <c r="A34" s="174"/>
      <c r="B34" s="174"/>
      <c r="C34" s="174"/>
      <c r="D34" s="174"/>
      <c r="E34" s="174"/>
    </row>
    <row r="35">
      <c r="A35" s="174"/>
      <c r="B35" s="174"/>
      <c r="C35" s="174"/>
      <c r="D35" s="174"/>
      <c r="E35" s="174"/>
    </row>
    <row r="36">
      <c r="A36" s="174"/>
      <c r="B36" s="174"/>
      <c r="C36" s="174"/>
      <c r="D36" s="174"/>
      <c r="E36" s="174"/>
    </row>
    <row r="37">
      <c r="A37" s="174"/>
      <c r="B37" s="174"/>
      <c r="C37" s="174"/>
      <c r="D37" s="174"/>
      <c r="E37" s="174"/>
    </row>
    <row r="38">
      <c r="A38" s="174"/>
      <c r="B38" s="174"/>
      <c r="C38" s="174"/>
      <c r="D38" s="174"/>
      <c r="E38" s="174"/>
    </row>
    <row r="39">
      <c r="A39" s="174"/>
      <c r="B39" s="174"/>
      <c r="C39" s="174"/>
      <c r="D39" s="174"/>
      <c r="E39" s="174"/>
    </row>
    <row r="40">
      <c r="A40" s="174"/>
      <c r="B40" s="174"/>
      <c r="C40" s="174"/>
      <c r="D40" s="174"/>
      <c r="E40" s="174"/>
    </row>
    <row r="41">
      <c r="A41" s="174"/>
      <c r="B41" s="174"/>
      <c r="C41" s="174"/>
      <c r="D41" s="174"/>
      <c r="E41" s="174"/>
    </row>
    <row r="42">
      <c r="A42" s="174"/>
      <c r="B42" s="174"/>
      <c r="C42" s="174"/>
      <c r="D42" s="174"/>
      <c r="E42" s="174"/>
    </row>
    <row r="43">
      <c r="A43" s="174"/>
      <c r="B43" s="174"/>
      <c r="C43" s="174"/>
      <c r="D43" s="174"/>
      <c r="E43" s="174"/>
    </row>
    <row r="44">
      <c r="A44" s="174"/>
      <c r="B44" s="174"/>
      <c r="C44" s="174"/>
      <c r="D44" s="174"/>
      <c r="E44" s="174"/>
    </row>
    <row r="45">
      <c r="A45" s="174"/>
      <c r="B45" s="174"/>
      <c r="C45" s="174"/>
      <c r="D45" s="174"/>
      <c r="E45" s="174"/>
    </row>
    <row r="46">
      <c r="A46" s="174"/>
      <c r="B46" s="174"/>
      <c r="C46" s="174"/>
      <c r="D46" s="174"/>
      <c r="E46" s="174"/>
    </row>
    <row r="47">
      <c r="A47" s="174"/>
      <c r="B47" s="174"/>
      <c r="C47" s="174"/>
      <c r="D47" s="174"/>
      <c r="E47" s="174"/>
    </row>
    <row r="48">
      <c r="A48" s="174"/>
      <c r="B48" s="174"/>
      <c r="C48" s="174"/>
      <c r="D48" s="174"/>
      <c r="E48" s="174"/>
    </row>
    <row r="49">
      <c r="A49" s="174"/>
      <c r="B49" s="174"/>
      <c r="C49" s="174"/>
      <c r="D49" s="174"/>
      <c r="E49" s="174"/>
    </row>
    <row r="50">
      <c r="A50" s="174"/>
      <c r="B50" s="174"/>
      <c r="C50" s="174"/>
      <c r="D50" s="174"/>
      <c r="E50" s="174"/>
    </row>
    <row r="51">
      <c r="A51" s="174"/>
      <c r="B51" s="174"/>
      <c r="C51" s="174"/>
      <c r="D51" s="174"/>
      <c r="E51" s="174"/>
    </row>
    <row r="52">
      <c r="A52" s="174"/>
      <c r="B52" s="174"/>
      <c r="C52" s="174"/>
      <c r="D52" s="174"/>
      <c r="E52" s="174"/>
    </row>
    <row r="53">
      <c r="A53" s="174"/>
      <c r="B53" s="174"/>
      <c r="C53" s="174"/>
      <c r="D53" s="174"/>
      <c r="E53" s="174"/>
    </row>
    <row r="54">
      <c r="A54" s="174"/>
      <c r="B54" s="174"/>
      <c r="C54" s="174"/>
      <c r="D54" s="174"/>
      <c r="E54" s="174"/>
    </row>
    <row r="55">
      <c r="A55" s="174"/>
      <c r="B55" s="174"/>
      <c r="C55" s="174"/>
      <c r="D55" s="174"/>
      <c r="E55" s="174"/>
    </row>
    <row r="56">
      <c r="A56" s="174"/>
      <c r="B56" s="174"/>
      <c r="C56" s="174"/>
      <c r="D56" s="174"/>
      <c r="E56" s="174"/>
    </row>
    <row r="57">
      <c r="A57" s="174"/>
      <c r="B57" s="174"/>
      <c r="C57" s="174"/>
      <c r="D57" s="174"/>
      <c r="E57" s="174"/>
    </row>
    <row r="58">
      <c r="A58" s="174"/>
      <c r="B58" s="174"/>
      <c r="C58" s="174"/>
      <c r="D58" s="174"/>
      <c r="E58" s="174"/>
    </row>
    <row r="59">
      <c r="A59" s="174"/>
      <c r="B59" s="174"/>
      <c r="C59" s="174"/>
      <c r="D59" s="174"/>
      <c r="E59" s="174"/>
    </row>
    <row r="60">
      <c r="A60" s="174"/>
      <c r="B60" s="174"/>
      <c r="C60" s="174"/>
      <c r="D60" s="174"/>
      <c r="E60" s="174"/>
    </row>
    <row r="61">
      <c r="A61" s="174"/>
      <c r="B61" s="174"/>
      <c r="C61" s="174"/>
      <c r="D61" s="174"/>
      <c r="E61" s="174"/>
    </row>
    <row r="62">
      <c r="A62" s="174"/>
      <c r="B62" s="174"/>
      <c r="C62" s="174"/>
      <c r="D62" s="174"/>
      <c r="E62" s="174"/>
    </row>
    <row r="63">
      <c r="A63" s="174"/>
      <c r="B63" s="174"/>
      <c r="C63" s="174"/>
      <c r="D63" s="174"/>
      <c r="E63" s="174"/>
    </row>
    <row r="64">
      <c r="A64" s="174"/>
      <c r="B64" s="174"/>
      <c r="C64" s="174"/>
      <c r="D64" s="174"/>
      <c r="E64" s="174"/>
    </row>
    <row r="65">
      <c r="A65" s="174"/>
      <c r="B65" s="174"/>
      <c r="C65" s="174"/>
      <c r="D65" s="174"/>
      <c r="E65" s="174"/>
    </row>
    <row r="66">
      <c r="A66" s="174"/>
      <c r="B66" s="174"/>
      <c r="C66" s="174"/>
      <c r="D66" s="174"/>
      <c r="E66" s="174"/>
    </row>
    <row r="67">
      <c r="A67" s="174"/>
      <c r="B67" s="174"/>
      <c r="C67" s="174"/>
      <c r="D67" s="174"/>
      <c r="E67" s="174"/>
    </row>
    <row r="68">
      <c r="A68" s="174"/>
      <c r="B68" s="174"/>
      <c r="C68" s="174"/>
      <c r="D68" s="174"/>
      <c r="E68" s="174"/>
    </row>
    <row r="69">
      <c r="A69" s="174"/>
      <c r="B69" s="174"/>
      <c r="C69" s="174"/>
      <c r="D69" s="174"/>
      <c r="E69" s="174"/>
    </row>
    <row r="70">
      <c r="A70" s="174"/>
      <c r="B70" s="174"/>
      <c r="C70" s="174"/>
      <c r="D70" s="174"/>
      <c r="E70" s="174"/>
    </row>
    <row r="71">
      <c r="A71" s="174"/>
      <c r="B71" s="174"/>
      <c r="C71" s="174"/>
      <c r="D71" s="174"/>
      <c r="E71" s="174"/>
    </row>
    <row r="72">
      <c r="A72" s="174"/>
      <c r="B72" s="174"/>
      <c r="C72" s="174"/>
      <c r="D72" s="174"/>
      <c r="E72" s="174"/>
    </row>
    <row r="73">
      <c r="A73" s="174"/>
      <c r="B73" s="174"/>
      <c r="C73" s="174"/>
      <c r="D73" s="174"/>
      <c r="E73" s="174"/>
    </row>
    <row r="74">
      <c r="A74" s="174"/>
      <c r="B74" s="174"/>
      <c r="C74" s="174"/>
      <c r="D74" s="174"/>
      <c r="E74" s="174"/>
    </row>
    <row r="75">
      <c r="A75" s="174"/>
      <c r="B75" s="174"/>
      <c r="C75" s="174"/>
      <c r="D75" s="174"/>
      <c r="E75" s="174"/>
    </row>
    <row r="76">
      <c r="A76" s="174"/>
      <c r="B76" s="174"/>
      <c r="C76" s="174"/>
      <c r="D76" s="174"/>
      <c r="E76" s="174"/>
    </row>
    <row r="77">
      <c r="A77" s="174"/>
      <c r="B77" s="174"/>
      <c r="C77" s="174"/>
      <c r="D77" s="174"/>
      <c r="E77" s="174"/>
    </row>
    <row r="78">
      <c r="A78" s="174"/>
      <c r="B78" s="174"/>
      <c r="C78" s="174"/>
      <c r="D78" s="174"/>
      <c r="E78" s="174"/>
    </row>
    <row r="79">
      <c r="A79" s="174"/>
      <c r="B79" s="174"/>
      <c r="C79" s="174"/>
      <c r="D79" s="174"/>
      <c r="E79" s="174"/>
    </row>
    <row r="80">
      <c r="A80" s="174"/>
      <c r="B80" s="174"/>
      <c r="C80" s="174"/>
      <c r="D80" s="174"/>
      <c r="E80" s="174"/>
    </row>
    <row r="81">
      <c r="A81" s="174"/>
      <c r="B81" s="174"/>
      <c r="C81" s="174"/>
      <c r="D81" s="174"/>
      <c r="E81" s="174"/>
    </row>
    <row r="82">
      <c r="A82" s="174"/>
      <c r="B82" s="174"/>
      <c r="C82" s="174"/>
      <c r="D82" s="174"/>
      <c r="E82" s="174"/>
    </row>
    <row r="83">
      <c r="A83" s="174"/>
      <c r="B83" s="174"/>
      <c r="C83" s="174"/>
      <c r="D83" s="174"/>
      <c r="E83" s="174"/>
    </row>
    <row r="84">
      <c r="A84" s="174"/>
      <c r="B84" s="174"/>
      <c r="C84" s="174"/>
      <c r="D84" s="174"/>
      <c r="E84" s="174"/>
    </row>
    <row r="85">
      <c r="A85" s="174"/>
      <c r="B85" s="174"/>
      <c r="C85" s="174"/>
      <c r="D85" s="174"/>
      <c r="E85" s="174"/>
    </row>
    <row r="86">
      <c r="A86" s="174"/>
      <c r="B86" s="174"/>
      <c r="C86" s="174"/>
      <c r="D86" s="174"/>
      <c r="E86" s="174"/>
    </row>
    <row r="87">
      <c r="A87" s="174"/>
      <c r="B87" s="174"/>
      <c r="C87" s="174"/>
      <c r="D87" s="174"/>
      <c r="E87" s="174"/>
    </row>
    <row r="88">
      <c r="A88" s="174"/>
      <c r="B88" s="174"/>
      <c r="C88" s="174"/>
      <c r="D88" s="174"/>
      <c r="E88" s="174"/>
    </row>
    <row r="89">
      <c r="A89" s="174"/>
      <c r="B89" s="174"/>
      <c r="C89" s="174"/>
      <c r="D89" s="174"/>
      <c r="E89" s="174"/>
    </row>
    <row r="90">
      <c r="A90" s="174"/>
      <c r="B90" s="174"/>
      <c r="C90" s="174"/>
      <c r="D90" s="174"/>
      <c r="E90" s="174"/>
    </row>
    <row r="91">
      <c r="A91" s="174"/>
      <c r="B91" s="174"/>
      <c r="C91" s="174"/>
      <c r="D91" s="174"/>
      <c r="E91" s="174"/>
    </row>
    <row r="92">
      <c r="A92" s="174"/>
      <c r="B92" s="174"/>
      <c r="C92" s="174"/>
      <c r="D92" s="174"/>
      <c r="E92" s="174"/>
    </row>
    <row r="93">
      <c r="A93" s="174"/>
      <c r="B93" s="174"/>
      <c r="C93" s="174"/>
      <c r="D93" s="174"/>
      <c r="E93" s="174"/>
    </row>
    <row r="94">
      <c r="A94" s="174"/>
      <c r="B94" s="174"/>
      <c r="C94" s="174"/>
      <c r="D94" s="174"/>
      <c r="E94" s="174"/>
    </row>
    <row r="95">
      <c r="A95" s="174"/>
      <c r="B95" s="174"/>
      <c r="C95" s="174"/>
      <c r="D95" s="174"/>
      <c r="E95" s="174"/>
    </row>
    <row r="96">
      <c r="A96" s="174"/>
      <c r="B96" s="174"/>
      <c r="C96" s="174"/>
      <c r="D96" s="174"/>
      <c r="E96" s="174"/>
    </row>
    <row r="97">
      <c r="A97" s="174"/>
      <c r="B97" s="174"/>
      <c r="C97" s="174"/>
      <c r="D97" s="174"/>
      <c r="E97" s="174"/>
    </row>
    <row r="98">
      <c r="A98" s="174"/>
      <c r="B98" s="174"/>
      <c r="C98" s="174"/>
      <c r="D98" s="174"/>
      <c r="E98" s="174"/>
    </row>
    <row r="99">
      <c r="A99" s="174"/>
      <c r="B99" s="174"/>
      <c r="C99" s="174"/>
      <c r="D99" s="174"/>
      <c r="E99" s="174"/>
    </row>
    <row r="100">
      <c r="A100" s="174"/>
      <c r="B100" s="174"/>
      <c r="C100" s="174"/>
      <c r="D100" s="174"/>
      <c r="E100" s="174"/>
    </row>
    <row r="101">
      <c r="A101" s="174"/>
      <c r="B101" s="174"/>
      <c r="C101" s="174"/>
      <c r="D101" s="174"/>
      <c r="E101" s="174"/>
    </row>
    <row r="102">
      <c r="A102" s="174"/>
      <c r="B102" s="174"/>
      <c r="C102" s="174"/>
      <c r="D102" s="174"/>
      <c r="E102" s="174"/>
    </row>
    <row r="103">
      <c r="A103" s="174"/>
      <c r="B103" s="174"/>
      <c r="C103" s="174"/>
      <c r="D103" s="174"/>
      <c r="E103" s="174"/>
    </row>
    <row r="104">
      <c r="A104" s="174"/>
      <c r="B104" s="174"/>
      <c r="C104" s="174"/>
      <c r="D104" s="174"/>
      <c r="E104" s="174"/>
    </row>
    <row r="105">
      <c r="A105" s="174"/>
      <c r="B105" s="174"/>
      <c r="C105" s="174"/>
      <c r="D105" s="174"/>
      <c r="E105" s="174"/>
    </row>
    <row r="106">
      <c r="A106" s="174"/>
      <c r="B106" s="174"/>
      <c r="C106" s="174"/>
      <c r="D106" s="174"/>
      <c r="E106" s="174"/>
    </row>
    <row r="107">
      <c r="A107" s="174"/>
      <c r="B107" s="174"/>
      <c r="C107" s="174"/>
      <c r="D107" s="174"/>
      <c r="E107" s="174"/>
    </row>
    <row r="108">
      <c r="A108" s="174"/>
      <c r="B108" s="174"/>
      <c r="C108" s="174"/>
      <c r="D108" s="174"/>
      <c r="E108" s="174"/>
    </row>
    <row r="109">
      <c r="A109" s="174"/>
      <c r="B109" s="174"/>
      <c r="C109" s="174"/>
      <c r="D109" s="174"/>
      <c r="E109" s="174"/>
    </row>
    <row r="110">
      <c r="A110" s="174"/>
      <c r="B110" s="174"/>
      <c r="C110" s="174"/>
      <c r="D110" s="174"/>
      <c r="E110" s="174"/>
    </row>
    <row r="111">
      <c r="A111" s="174"/>
      <c r="B111" s="174"/>
      <c r="C111" s="174"/>
      <c r="D111" s="174"/>
      <c r="E111" s="174"/>
    </row>
    <row r="112">
      <c r="A112" s="174"/>
      <c r="B112" s="174"/>
      <c r="C112" s="174"/>
      <c r="D112" s="174"/>
      <c r="E112" s="174"/>
    </row>
    <row r="113">
      <c r="A113" s="174"/>
      <c r="B113" s="174"/>
      <c r="C113" s="174"/>
      <c r="D113" s="174"/>
      <c r="E113" s="174"/>
    </row>
    <row r="114">
      <c r="A114" s="174"/>
      <c r="B114" s="174"/>
      <c r="C114" s="174"/>
      <c r="D114" s="174"/>
      <c r="E114" s="174"/>
    </row>
    <row r="115">
      <c r="A115" s="174"/>
      <c r="B115" s="174"/>
      <c r="C115" s="174"/>
      <c r="D115" s="174"/>
      <c r="E115" s="174"/>
    </row>
    <row r="116">
      <c r="A116" s="174"/>
      <c r="B116" s="174"/>
      <c r="C116" s="174"/>
      <c r="D116" s="174"/>
      <c r="E116" s="174"/>
    </row>
    <row r="117">
      <c r="A117" s="174"/>
      <c r="B117" s="174"/>
      <c r="C117" s="174"/>
      <c r="D117" s="174"/>
      <c r="E117" s="174"/>
    </row>
    <row r="118">
      <c r="A118" s="174"/>
      <c r="B118" s="174"/>
      <c r="C118" s="174"/>
      <c r="D118" s="174"/>
      <c r="E118" s="174"/>
    </row>
    <row r="119">
      <c r="A119" s="174"/>
      <c r="B119" s="174"/>
      <c r="C119" s="174"/>
      <c r="D119" s="174"/>
      <c r="E119" s="174"/>
    </row>
    <row r="120">
      <c r="A120" s="174"/>
      <c r="B120" s="174"/>
      <c r="C120" s="174"/>
      <c r="D120" s="174"/>
      <c r="E120" s="174"/>
    </row>
    <row r="121">
      <c r="A121" s="174"/>
      <c r="B121" s="174"/>
      <c r="C121" s="174"/>
      <c r="D121" s="174"/>
      <c r="E121" s="174"/>
    </row>
    <row r="122">
      <c r="A122" s="174"/>
      <c r="B122" s="174"/>
      <c r="C122" s="174"/>
      <c r="D122" s="174"/>
      <c r="E122" s="174"/>
    </row>
    <row r="123">
      <c r="A123" s="174"/>
      <c r="B123" s="174"/>
      <c r="C123" s="174"/>
      <c r="D123" s="174"/>
      <c r="E123" s="174"/>
    </row>
    <row r="124">
      <c r="A124" s="174"/>
      <c r="B124" s="174"/>
      <c r="C124" s="174"/>
      <c r="D124" s="174"/>
      <c r="E124" s="174"/>
    </row>
    <row r="125">
      <c r="A125" s="174"/>
      <c r="B125" s="174"/>
      <c r="C125" s="174"/>
      <c r="D125" s="174"/>
      <c r="E125" s="174"/>
    </row>
    <row r="126">
      <c r="A126" s="174"/>
      <c r="B126" s="174"/>
      <c r="C126" s="174"/>
      <c r="D126" s="174"/>
      <c r="E126" s="174"/>
    </row>
    <row r="127">
      <c r="A127" s="174"/>
      <c r="B127" s="174"/>
      <c r="C127" s="174"/>
      <c r="D127" s="174"/>
      <c r="E127" s="174"/>
    </row>
    <row r="128">
      <c r="A128" s="174"/>
      <c r="B128" s="174"/>
      <c r="C128" s="174"/>
      <c r="D128" s="174"/>
      <c r="E128" s="174"/>
    </row>
    <row r="129">
      <c r="A129" s="174"/>
      <c r="B129" s="174"/>
      <c r="C129" s="174"/>
      <c r="D129" s="174"/>
      <c r="E129" s="174"/>
    </row>
    <row r="130">
      <c r="A130" s="174"/>
      <c r="B130" s="174"/>
      <c r="C130" s="174"/>
      <c r="D130" s="174"/>
      <c r="E130" s="174"/>
    </row>
    <row r="131">
      <c r="A131" s="174"/>
      <c r="B131" s="174"/>
      <c r="C131" s="174"/>
      <c r="D131" s="174"/>
      <c r="E131" s="174"/>
    </row>
    <row r="132">
      <c r="A132" s="174"/>
      <c r="B132" s="174"/>
      <c r="C132" s="174"/>
      <c r="D132" s="174"/>
      <c r="E132" s="174"/>
    </row>
    <row r="133">
      <c r="A133" s="174"/>
      <c r="B133" s="174"/>
      <c r="C133" s="174"/>
      <c r="D133" s="174"/>
      <c r="E133" s="174"/>
    </row>
    <row r="134">
      <c r="A134" s="174"/>
      <c r="B134" s="174"/>
      <c r="C134" s="174"/>
      <c r="D134" s="174"/>
      <c r="E134" s="174"/>
    </row>
    <row r="135">
      <c r="A135" s="174"/>
      <c r="B135" s="174"/>
      <c r="C135" s="174"/>
      <c r="D135" s="174"/>
      <c r="E135" s="174"/>
    </row>
    <row r="136">
      <c r="A136" s="174"/>
      <c r="B136" s="174"/>
      <c r="C136" s="174"/>
      <c r="D136" s="174"/>
      <c r="E136" s="174"/>
    </row>
    <row r="137">
      <c r="A137" s="174"/>
      <c r="B137" s="174"/>
      <c r="C137" s="174"/>
      <c r="D137" s="174"/>
      <c r="E137" s="174"/>
    </row>
    <row r="138">
      <c r="A138" s="174"/>
      <c r="B138" s="174"/>
      <c r="C138" s="174"/>
      <c r="D138" s="174"/>
      <c r="E138" s="174"/>
    </row>
    <row r="139">
      <c r="A139" s="174"/>
      <c r="B139" s="174"/>
      <c r="C139" s="174"/>
      <c r="D139" s="174"/>
      <c r="E139" s="174"/>
    </row>
    <row r="140">
      <c r="A140" s="174"/>
      <c r="B140" s="174"/>
      <c r="C140" s="174"/>
      <c r="D140" s="174"/>
      <c r="E140" s="174"/>
    </row>
    <row r="141">
      <c r="A141" s="174"/>
      <c r="B141" s="174"/>
      <c r="C141" s="174"/>
      <c r="D141" s="174"/>
      <c r="E141" s="174"/>
    </row>
    <row r="142">
      <c r="A142" s="174"/>
      <c r="B142" s="174"/>
      <c r="C142" s="174"/>
      <c r="D142" s="174"/>
      <c r="E142" s="174"/>
    </row>
    <row r="143">
      <c r="A143" s="174"/>
      <c r="B143" s="174"/>
      <c r="C143" s="174"/>
      <c r="D143" s="174"/>
      <c r="E143" s="174"/>
    </row>
    <row r="144">
      <c r="A144" s="174"/>
      <c r="B144" s="174"/>
      <c r="C144" s="174"/>
      <c r="D144" s="174"/>
      <c r="E144" s="174"/>
    </row>
    <row r="145">
      <c r="A145" s="174"/>
      <c r="B145" s="174"/>
      <c r="C145" s="174"/>
      <c r="D145" s="174"/>
      <c r="E145" s="174"/>
    </row>
    <row r="146">
      <c r="A146" s="174"/>
      <c r="B146" s="174"/>
      <c r="C146" s="174"/>
      <c r="D146" s="174"/>
      <c r="E146" s="174"/>
    </row>
    <row r="147">
      <c r="A147" s="174"/>
      <c r="B147" s="174"/>
      <c r="C147" s="174"/>
      <c r="D147" s="174"/>
      <c r="E147" s="174"/>
    </row>
    <row r="148">
      <c r="A148" s="174"/>
      <c r="B148" s="174"/>
      <c r="C148" s="174"/>
      <c r="D148" s="174"/>
      <c r="E148" s="174"/>
    </row>
    <row r="149">
      <c r="A149" s="174"/>
      <c r="B149" s="174"/>
      <c r="C149" s="174"/>
      <c r="D149" s="174"/>
      <c r="E149" s="174"/>
    </row>
    <row r="150">
      <c r="A150" s="174"/>
      <c r="B150" s="174"/>
      <c r="C150" s="174"/>
      <c r="D150" s="174"/>
      <c r="E150" s="174"/>
    </row>
    <row r="151">
      <c r="A151" s="174"/>
      <c r="B151" s="174"/>
      <c r="C151" s="174"/>
      <c r="D151" s="174"/>
      <c r="E151" s="174"/>
    </row>
    <row r="152">
      <c r="A152" s="174"/>
      <c r="B152" s="174"/>
      <c r="C152" s="174"/>
      <c r="D152" s="174"/>
      <c r="E152" s="174"/>
    </row>
    <row r="153">
      <c r="A153" s="174"/>
      <c r="B153" s="174"/>
      <c r="C153" s="174"/>
      <c r="D153" s="174"/>
      <c r="E153" s="174"/>
    </row>
    <row r="154">
      <c r="A154" s="174"/>
      <c r="B154" s="174"/>
      <c r="C154" s="174"/>
      <c r="D154" s="174"/>
      <c r="E154" s="174"/>
    </row>
    <row r="155">
      <c r="A155" s="174"/>
      <c r="B155" s="174"/>
      <c r="C155" s="174"/>
      <c r="D155" s="174"/>
      <c r="E155" s="174"/>
    </row>
    <row r="156">
      <c r="A156" s="174"/>
      <c r="B156" s="174"/>
      <c r="C156" s="174"/>
      <c r="D156" s="174"/>
      <c r="E156" s="174"/>
    </row>
    <row r="157">
      <c r="A157" s="174"/>
      <c r="B157" s="174"/>
      <c r="C157" s="174"/>
      <c r="D157" s="174"/>
      <c r="E157" s="174"/>
    </row>
    <row r="158">
      <c r="A158" s="174"/>
      <c r="B158" s="174"/>
      <c r="C158" s="174"/>
      <c r="D158" s="174"/>
      <c r="E158" s="174"/>
    </row>
    <row r="159">
      <c r="A159" s="174"/>
      <c r="B159" s="174"/>
      <c r="C159" s="174"/>
      <c r="D159" s="174"/>
      <c r="E159" s="174"/>
    </row>
    <row r="160">
      <c r="A160" s="174"/>
      <c r="B160" s="174"/>
      <c r="C160" s="174"/>
      <c r="D160" s="174"/>
      <c r="E160" s="174"/>
    </row>
    <row r="161">
      <c r="A161" s="174"/>
      <c r="B161" s="174"/>
      <c r="C161" s="174"/>
      <c r="D161" s="174"/>
      <c r="E161" s="174"/>
    </row>
    <row r="162">
      <c r="A162" s="174"/>
      <c r="B162" s="174"/>
      <c r="C162" s="174"/>
      <c r="D162" s="174"/>
      <c r="E162" s="174"/>
    </row>
    <row r="163">
      <c r="A163" s="174"/>
      <c r="B163" s="174"/>
      <c r="C163" s="174"/>
      <c r="D163" s="174"/>
      <c r="E163" s="174"/>
    </row>
    <row r="164">
      <c r="A164" s="174"/>
      <c r="B164" s="174"/>
      <c r="C164" s="174"/>
      <c r="D164" s="174"/>
      <c r="E164" s="174"/>
    </row>
    <row r="165">
      <c r="A165" s="174"/>
      <c r="B165" s="174"/>
      <c r="C165" s="174"/>
      <c r="D165" s="174"/>
      <c r="E165" s="174"/>
    </row>
    <row r="166">
      <c r="A166" s="174"/>
      <c r="B166" s="174"/>
      <c r="C166" s="174"/>
      <c r="D166" s="174"/>
      <c r="E166" s="174"/>
    </row>
    <row r="167">
      <c r="A167" s="174"/>
      <c r="B167" s="174"/>
      <c r="C167" s="174"/>
      <c r="D167" s="174"/>
      <c r="E167" s="174"/>
    </row>
    <row r="168">
      <c r="A168" s="174"/>
      <c r="B168" s="174"/>
      <c r="C168" s="174"/>
      <c r="D168" s="174"/>
      <c r="E168" s="174"/>
    </row>
    <row r="169">
      <c r="A169" s="174"/>
      <c r="B169" s="174"/>
      <c r="C169" s="174"/>
      <c r="D169" s="174"/>
      <c r="E169" s="174"/>
    </row>
    <row r="170">
      <c r="A170" s="174"/>
      <c r="B170" s="174"/>
      <c r="C170" s="174"/>
      <c r="D170" s="174"/>
      <c r="E170" s="174"/>
    </row>
    <row r="171">
      <c r="A171" s="174"/>
      <c r="B171" s="174"/>
      <c r="C171" s="174"/>
      <c r="D171" s="174"/>
      <c r="E171" s="174"/>
    </row>
    <row r="172">
      <c r="A172" s="174"/>
      <c r="B172" s="174"/>
      <c r="C172" s="174"/>
      <c r="D172" s="174"/>
      <c r="E172" s="174"/>
    </row>
    <row r="173">
      <c r="A173" s="174"/>
      <c r="B173" s="174"/>
      <c r="C173" s="174"/>
      <c r="D173" s="174"/>
      <c r="E173" s="174"/>
    </row>
    <row r="174">
      <c r="A174" s="174"/>
      <c r="B174" s="174"/>
      <c r="C174" s="174"/>
      <c r="D174" s="174"/>
      <c r="E174" s="174"/>
    </row>
    <row r="175">
      <c r="A175" s="174"/>
      <c r="B175" s="174"/>
      <c r="C175" s="174"/>
      <c r="D175" s="174"/>
      <c r="E175" s="174"/>
    </row>
    <row r="176">
      <c r="A176" s="174"/>
      <c r="B176" s="174"/>
      <c r="C176" s="174"/>
      <c r="D176" s="174"/>
      <c r="E176" s="174"/>
    </row>
    <row r="177">
      <c r="A177" s="174"/>
      <c r="B177" s="174"/>
      <c r="C177" s="174"/>
      <c r="D177" s="174"/>
      <c r="E177" s="174"/>
    </row>
    <row r="178">
      <c r="A178" s="174"/>
      <c r="B178" s="174"/>
      <c r="C178" s="174"/>
      <c r="D178" s="174"/>
      <c r="E178" s="174"/>
    </row>
    <row r="179">
      <c r="A179" s="174"/>
      <c r="B179" s="174"/>
      <c r="C179" s="174"/>
      <c r="D179" s="174"/>
      <c r="E179" s="174"/>
    </row>
    <row r="180">
      <c r="A180" s="174"/>
      <c r="B180" s="174"/>
      <c r="C180" s="174"/>
      <c r="D180" s="174"/>
      <c r="E180" s="174"/>
    </row>
    <row r="181">
      <c r="A181" s="174"/>
      <c r="B181" s="174"/>
      <c r="C181" s="174"/>
      <c r="D181" s="174"/>
      <c r="E181" s="174"/>
    </row>
    <row r="182">
      <c r="A182" s="174"/>
      <c r="B182" s="174"/>
      <c r="C182" s="174"/>
      <c r="D182" s="174"/>
      <c r="E182" s="174"/>
    </row>
    <row r="183">
      <c r="A183" s="174"/>
      <c r="B183" s="174"/>
      <c r="C183" s="174"/>
      <c r="D183" s="174"/>
      <c r="E183" s="174"/>
    </row>
    <row r="184">
      <c r="A184" s="174"/>
      <c r="B184" s="174"/>
      <c r="C184" s="174"/>
      <c r="D184" s="174"/>
      <c r="E184" s="174"/>
    </row>
    <row r="185">
      <c r="A185" s="174"/>
      <c r="B185" s="174"/>
      <c r="C185" s="174"/>
      <c r="D185" s="174"/>
      <c r="E185" s="174"/>
    </row>
    <row r="186">
      <c r="A186" s="174"/>
      <c r="B186" s="174"/>
      <c r="C186" s="174"/>
      <c r="D186" s="174"/>
      <c r="E186" s="174"/>
    </row>
    <row r="187">
      <c r="A187" s="174"/>
      <c r="B187" s="174"/>
      <c r="C187" s="174"/>
      <c r="D187" s="174"/>
      <c r="E187" s="174"/>
    </row>
    <row r="188">
      <c r="A188" s="174"/>
      <c r="B188" s="174"/>
      <c r="C188" s="174"/>
      <c r="D188" s="174"/>
      <c r="E188" s="174"/>
    </row>
    <row r="189">
      <c r="A189" s="174"/>
      <c r="B189" s="174"/>
      <c r="C189" s="174"/>
      <c r="D189" s="174"/>
      <c r="E189" s="174"/>
    </row>
    <row r="190">
      <c r="A190" s="174"/>
      <c r="B190" s="174"/>
      <c r="C190" s="174"/>
      <c r="D190" s="174"/>
      <c r="E190" s="174"/>
    </row>
    <row r="191">
      <c r="A191" s="174"/>
      <c r="B191" s="174"/>
      <c r="C191" s="174"/>
      <c r="D191" s="174"/>
      <c r="E191" s="174"/>
    </row>
    <row r="192">
      <c r="A192" s="174"/>
      <c r="B192" s="174"/>
      <c r="C192" s="174"/>
      <c r="D192" s="174"/>
      <c r="E192" s="174"/>
    </row>
    <row r="193">
      <c r="A193" s="174"/>
      <c r="B193" s="174"/>
      <c r="C193" s="174"/>
      <c r="D193" s="174"/>
      <c r="E193" s="174"/>
    </row>
    <row r="194">
      <c r="A194" s="174"/>
      <c r="B194" s="174"/>
      <c r="C194" s="174"/>
      <c r="D194" s="174"/>
      <c r="E194" s="174"/>
    </row>
    <row r="195">
      <c r="A195" s="174"/>
      <c r="B195" s="174"/>
      <c r="C195" s="174"/>
      <c r="D195" s="174"/>
      <c r="E195" s="174"/>
    </row>
    <row r="196">
      <c r="A196" s="174"/>
      <c r="B196" s="174"/>
      <c r="C196" s="174"/>
      <c r="D196" s="174"/>
      <c r="E196" s="174"/>
    </row>
    <row r="197">
      <c r="A197" s="174"/>
      <c r="B197" s="174"/>
      <c r="C197" s="174"/>
      <c r="D197" s="174"/>
      <c r="E197" s="174"/>
    </row>
    <row r="198">
      <c r="A198" s="174"/>
      <c r="B198" s="174"/>
      <c r="C198" s="174"/>
      <c r="D198" s="174"/>
      <c r="E198" s="174"/>
    </row>
    <row r="199">
      <c r="A199" s="174"/>
      <c r="B199" s="174"/>
      <c r="C199" s="174"/>
      <c r="D199" s="174"/>
      <c r="E199" s="174"/>
    </row>
    <row r="200">
      <c r="A200" s="174"/>
      <c r="B200" s="174"/>
      <c r="C200" s="174"/>
      <c r="D200" s="174"/>
      <c r="E200" s="174"/>
    </row>
    <row r="201">
      <c r="A201" s="174"/>
      <c r="B201" s="174"/>
      <c r="C201" s="174"/>
      <c r="D201" s="174"/>
      <c r="E201" s="174"/>
    </row>
    <row r="202">
      <c r="A202" s="174"/>
      <c r="B202" s="174"/>
      <c r="C202" s="174"/>
      <c r="D202" s="174"/>
      <c r="E202" s="174"/>
    </row>
    <row r="203">
      <c r="A203" s="174"/>
      <c r="B203" s="174"/>
      <c r="C203" s="174"/>
      <c r="D203" s="174"/>
      <c r="E203" s="174"/>
    </row>
    <row r="204">
      <c r="A204" s="174"/>
      <c r="B204" s="174"/>
      <c r="C204" s="174"/>
      <c r="D204" s="174"/>
      <c r="E204" s="174"/>
    </row>
    <row r="205">
      <c r="A205" s="174"/>
      <c r="B205" s="174"/>
      <c r="C205" s="174"/>
      <c r="D205" s="174"/>
      <c r="E205" s="174"/>
    </row>
    <row r="206">
      <c r="A206" s="174"/>
      <c r="B206" s="174"/>
      <c r="C206" s="174"/>
      <c r="D206" s="174"/>
      <c r="E206" s="174"/>
    </row>
    <row r="207">
      <c r="A207" s="174"/>
      <c r="B207" s="174"/>
      <c r="C207" s="174"/>
      <c r="D207" s="174"/>
      <c r="E207" s="174"/>
    </row>
    <row r="208">
      <c r="A208" s="174"/>
      <c r="B208" s="174"/>
      <c r="C208" s="174"/>
      <c r="D208" s="174"/>
      <c r="E208" s="174"/>
    </row>
    <row r="209">
      <c r="A209" s="174"/>
      <c r="B209" s="174"/>
      <c r="C209" s="174"/>
      <c r="D209" s="174"/>
      <c r="E209" s="174"/>
    </row>
    <row r="210">
      <c r="A210" s="174"/>
      <c r="B210" s="174"/>
      <c r="C210" s="174"/>
      <c r="D210" s="174"/>
      <c r="E210" s="174"/>
    </row>
    <row r="211">
      <c r="A211" s="174"/>
      <c r="B211" s="174"/>
      <c r="C211" s="174"/>
      <c r="D211" s="174"/>
      <c r="E211" s="174"/>
    </row>
    <row r="212">
      <c r="A212" s="174"/>
      <c r="B212" s="174"/>
      <c r="C212" s="174"/>
      <c r="D212" s="174"/>
      <c r="E212" s="174"/>
    </row>
    <row r="213">
      <c r="A213" s="174"/>
      <c r="B213" s="174"/>
      <c r="C213" s="174"/>
      <c r="D213" s="174"/>
      <c r="E213" s="174"/>
    </row>
    <row r="214">
      <c r="A214" s="174"/>
      <c r="B214" s="174"/>
      <c r="C214" s="174"/>
      <c r="D214" s="174"/>
      <c r="E214" s="174"/>
    </row>
    <row r="215">
      <c r="A215" s="174"/>
      <c r="B215" s="174"/>
      <c r="C215" s="174"/>
      <c r="D215" s="174"/>
      <c r="E215" s="174"/>
    </row>
    <row r="216">
      <c r="A216" s="174"/>
      <c r="B216" s="174"/>
      <c r="C216" s="174"/>
      <c r="D216" s="174"/>
      <c r="E216" s="174"/>
    </row>
    <row r="217">
      <c r="A217" s="174"/>
      <c r="B217" s="174"/>
      <c r="C217" s="174"/>
      <c r="D217" s="174"/>
      <c r="E217" s="174"/>
    </row>
    <row r="218">
      <c r="A218" s="174"/>
      <c r="B218" s="174"/>
      <c r="C218" s="174"/>
      <c r="D218" s="174"/>
      <c r="E218" s="174"/>
    </row>
    <row r="219">
      <c r="A219" s="174"/>
      <c r="B219" s="174"/>
      <c r="C219" s="174"/>
      <c r="D219" s="174"/>
      <c r="E219" s="174"/>
    </row>
    <row r="220">
      <c r="A220" s="174"/>
      <c r="B220" s="174"/>
      <c r="C220" s="174"/>
      <c r="D220" s="174"/>
      <c r="E220" s="174"/>
    </row>
    <row r="221">
      <c r="A221" s="174"/>
      <c r="B221" s="174"/>
      <c r="C221" s="174"/>
      <c r="D221" s="174"/>
      <c r="E221" s="174"/>
    </row>
    <row r="222">
      <c r="A222" s="174"/>
      <c r="B222" s="174"/>
      <c r="C222" s="174"/>
      <c r="D222" s="174"/>
      <c r="E222" s="174"/>
    </row>
    <row r="223">
      <c r="A223" s="174"/>
      <c r="B223" s="174"/>
      <c r="C223" s="174"/>
      <c r="D223" s="174"/>
      <c r="E223" s="174"/>
    </row>
    <row r="224">
      <c r="A224" s="174"/>
      <c r="B224" s="174"/>
      <c r="C224" s="174"/>
      <c r="D224" s="174"/>
      <c r="E224" s="174"/>
    </row>
    <row r="225">
      <c r="A225" s="174"/>
      <c r="B225" s="174"/>
      <c r="C225" s="174"/>
      <c r="D225" s="174"/>
      <c r="E225" s="174"/>
    </row>
    <row r="226">
      <c r="A226" s="174"/>
      <c r="B226" s="174"/>
      <c r="C226" s="174"/>
      <c r="D226" s="174"/>
      <c r="E226" s="174"/>
    </row>
    <row r="227">
      <c r="A227" s="174"/>
      <c r="B227" s="174"/>
      <c r="C227" s="174"/>
      <c r="D227" s="174"/>
      <c r="E227" s="174"/>
    </row>
    <row r="228">
      <c r="A228" s="174"/>
      <c r="B228" s="174"/>
      <c r="C228" s="174"/>
      <c r="D228" s="174"/>
      <c r="E228" s="174"/>
    </row>
    <row r="229">
      <c r="A229" s="174"/>
      <c r="B229" s="174"/>
      <c r="C229" s="174"/>
      <c r="D229" s="174"/>
      <c r="E229" s="174"/>
    </row>
    <row r="230">
      <c r="A230" s="174"/>
      <c r="B230" s="174"/>
      <c r="C230" s="174"/>
      <c r="D230" s="174"/>
      <c r="E230" s="174"/>
    </row>
    <row r="231">
      <c r="A231" s="174"/>
      <c r="B231" s="174"/>
      <c r="C231" s="174"/>
      <c r="D231" s="174"/>
      <c r="E231" s="174"/>
    </row>
    <row r="232">
      <c r="A232" s="174"/>
      <c r="B232" s="174"/>
      <c r="C232" s="174"/>
      <c r="D232" s="174"/>
      <c r="E232" s="174"/>
    </row>
    <row r="233">
      <c r="A233" s="174"/>
      <c r="B233" s="174"/>
      <c r="C233" s="174"/>
      <c r="D233" s="174"/>
      <c r="E233" s="174"/>
    </row>
    <row r="234">
      <c r="A234" s="174"/>
      <c r="B234" s="174"/>
      <c r="C234" s="174"/>
      <c r="D234" s="174"/>
      <c r="E234" s="174"/>
    </row>
    <row r="235">
      <c r="A235" s="174"/>
      <c r="B235" s="174"/>
      <c r="C235" s="174"/>
      <c r="D235" s="174"/>
      <c r="E235" s="174"/>
    </row>
    <row r="236">
      <c r="A236" s="174"/>
      <c r="B236" s="174"/>
      <c r="C236" s="174"/>
      <c r="D236" s="174"/>
      <c r="E236" s="174"/>
    </row>
    <row r="237">
      <c r="A237" s="174"/>
      <c r="B237" s="174"/>
      <c r="C237" s="174"/>
      <c r="D237" s="174"/>
      <c r="E237" s="174"/>
    </row>
    <row r="238">
      <c r="A238" s="174"/>
      <c r="B238" s="174"/>
      <c r="C238" s="174"/>
      <c r="D238" s="174"/>
      <c r="E238" s="174"/>
    </row>
    <row r="239">
      <c r="A239" s="174"/>
      <c r="B239" s="174"/>
      <c r="C239" s="174"/>
      <c r="D239" s="174"/>
      <c r="E239" s="174"/>
    </row>
    <row r="240">
      <c r="A240" s="174"/>
      <c r="B240" s="174"/>
      <c r="C240" s="174"/>
      <c r="D240" s="174"/>
      <c r="E240" s="174"/>
    </row>
    <row r="241">
      <c r="A241" s="174"/>
      <c r="B241" s="174"/>
      <c r="C241" s="174"/>
      <c r="D241" s="174"/>
      <c r="E241" s="174"/>
    </row>
    <row r="242">
      <c r="A242" s="174"/>
      <c r="B242" s="174"/>
      <c r="C242" s="174"/>
      <c r="D242" s="174"/>
      <c r="E242" s="174"/>
    </row>
    <row r="243">
      <c r="A243" s="174"/>
      <c r="B243" s="174"/>
      <c r="C243" s="174"/>
      <c r="D243" s="174"/>
      <c r="E243" s="174"/>
    </row>
    <row r="244">
      <c r="A244" s="174"/>
      <c r="B244" s="174"/>
      <c r="C244" s="174"/>
      <c r="D244" s="174"/>
      <c r="E244" s="174"/>
    </row>
    <row r="245">
      <c r="A245" s="174"/>
      <c r="B245" s="174"/>
      <c r="C245" s="174"/>
      <c r="D245" s="174"/>
      <c r="E245" s="174"/>
    </row>
    <row r="246">
      <c r="A246" s="174"/>
      <c r="B246" s="174"/>
      <c r="C246" s="174"/>
      <c r="D246" s="174"/>
      <c r="E246" s="174"/>
    </row>
    <row r="247">
      <c r="A247" s="174"/>
      <c r="B247" s="174"/>
      <c r="C247" s="174"/>
      <c r="D247" s="174"/>
      <c r="E247" s="174"/>
    </row>
    <row r="248">
      <c r="A248" s="174"/>
      <c r="B248" s="174"/>
      <c r="C248" s="174"/>
      <c r="D248" s="174"/>
      <c r="E248" s="174"/>
    </row>
    <row r="249">
      <c r="A249" s="174"/>
      <c r="B249" s="174"/>
      <c r="C249" s="174"/>
      <c r="D249" s="174"/>
      <c r="E249" s="174"/>
    </row>
    <row r="250">
      <c r="A250" s="174"/>
      <c r="B250" s="174"/>
      <c r="C250" s="174"/>
      <c r="D250" s="174"/>
      <c r="E250" s="174"/>
    </row>
    <row r="251">
      <c r="A251" s="174"/>
      <c r="B251" s="174"/>
      <c r="C251" s="174"/>
      <c r="D251" s="174"/>
      <c r="E251" s="174"/>
    </row>
    <row r="252">
      <c r="A252" s="174"/>
      <c r="B252" s="174"/>
      <c r="C252" s="174"/>
      <c r="D252" s="174"/>
      <c r="E252" s="174"/>
    </row>
    <row r="253">
      <c r="A253" s="174"/>
      <c r="B253" s="174"/>
      <c r="C253" s="174"/>
      <c r="D253" s="174"/>
      <c r="E253" s="174"/>
    </row>
    <row r="254">
      <c r="A254" s="174"/>
      <c r="B254" s="174"/>
      <c r="C254" s="174"/>
      <c r="D254" s="174"/>
      <c r="E254" s="174"/>
    </row>
    <row r="255">
      <c r="A255" s="174"/>
      <c r="B255" s="174"/>
      <c r="C255" s="174"/>
      <c r="D255" s="174"/>
      <c r="E255" s="174"/>
    </row>
    <row r="256">
      <c r="A256" s="174"/>
      <c r="B256" s="174"/>
      <c r="C256" s="174"/>
      <c r="D256" s="174"/>
      <c r="E256" s="174"/>
    </row>
    <row r="257">
      <c r="A257" s="174"/>
      <c r="B257" s="174"/>
      <c r="C257" s="174"/>
      <c r="D257" s="174"/>
      <c r="E257" s="174"/>
    </row>
    <row r="258">
      <c r="A258" s="174"/>
      <c r="B258" s="174"/>
      <c r="C258" s="174"/>
      <c r="D258" s="174"/>
      <c r="E258" s="174"/>
    </row>
    <row r="259">
      <c r="A259" s="174"/>
      <c r="B259" s="174"/>
      <c r="C259" s="174"/>
      <c r="D259" s="174"/>
      <c r="E259" s="174"/>
    </row>
    <row r="260">
      <c r="A260" s="174"/>
      <c r="B260" s="174"/>
      <c r="C260" s="174"/>
      <c r="D260" s="174"/>
      <c r="E260" s="174"/>
    </row>
    <row r="261">
      <c r="A261" s="174"/>
      <c r="B261" s="174"/>
      <c r="C261" s="174"/>
      <c r="D261" s="174"/>
      <c r="E261" s="174"/>
    </row>
    <row r="262">
      <c r="A262" s="174"/>
      <c r="B262" s="174"/>
      <c r="C262" s="174"/>
      <c r="D262" s="174"/>
      <c r="E262" s="174"/>
    </row>
    <row r="263">
      <c r="A263" s="174"/>
      <c r="B263" s="174"/>
      <c r="C263" s="174"/>
      <c r="D263" s="174"/>
      <c r="E263" s="174"/>
    </row>
    <row r="264">
      <c r="A264" s="174"/>
      <c r="B264" s="174"/>
      <c r="C264" s="174"/>
      <c r="D264" s="174"/>
      <c r="E264" s="174"/>
    </row>
    <row r="265">
      <c r="A265" s="174"/>
      <c r="B265" s="174"/>
      <c r="C265" s="174"/>
      <c r="D265" s="174"/>
      <c r="E265" s="174"/>
    </row>
    <row r="266">
      <c r="A266" s="174"/>
      <c r="B266" s="174"/>
      <c r="C266" s="174"/>
      <c r="D266" s="174"/>
      <c r="E266" s="174"/>
    </row>
    <row r="267">
      <c r="A267" s="174"/>
      <c r="B267" s="174"/>
      <c r="C267" s="174"/>
      <c r="D267" s="174"/>
      <c r="E267" s="174"/>
    </row>
    <row r="268">
      <c r="A268" s="174"/>
      <c r="B268" s="174"/>
      <c r="C268" s="174"/>
      <c r="D268" s="174"/>
      <c r="E268" s="174"/>
    </row>
    <row r="269">
      <c r="A269" s="174"/>
      <c r="B269" s="174"/>
      <c r="C269" s="174"/>
      <c r="D269" s="174"/>
      <c r="E269" s="174"/>
    </row>
    <row r="270">
      <c r="A270" s="174"/>
      <c r="B270" s="174"/>
      <c r="C270" s="174"/>
      <c r="D270" s="174"/>
      <c r="E270" s="174"/>
    </row>
    <row r="271">
      <c r="A271" s="174"/>
      <c r="B271" s="174"/>
      <c r="C271" s="174"/>
      <c r="D271" s="174"/>
      <c r="E271" s="174"/>
    </row>
    <row r="272">
      <c r="A272" s="174"/>
      <c r="B272" s="174"/>
      <c r="C272" s="174"/>
      <c r="D272" s="174"/>
      <c r="E272" s="174"/>
    </row>
    <row r="273">
      <c r="A273" s="174"/>
      <c r="B273" s="174"/>
      <c r="C273" s="174"/>
      <c r="D273" s="174"/>
      <c r="E273" s="174"/>
    </row>
    <row r="274">
      <c r="A274" s="174"/>
      <c r="B274" s="174"/>
      <c r="C274" s="174"/>
      <c r="D274" s="174"/>
      <c r="E274" s="174"/>
    </row>
    <row r="275">
      <c r="A275" s="174"/>
      <c r="B275" s="174"/>
      <c r="C275" s="174"/>
      <c r="D275" s="174"/>
      <c r="E275" s="174"/>
    </row>
    <row r="276">
      <c r="A276" s="174"/>
      <c r="B276" s="174"/>
      <c r="C276" s="174"/>
      <c r="D276" s="174"/>
      <c r="E276" s="174"/>
    </row>
    <row r="277">
      <c r="A277" s="174"/>
      <c r="B277" s="174"/>
      <c r="C277" s="174"/>
      <c r="D277" s="174"/>
      <c r="E277" s="174"/>
    </row>
    <row r="278">
      <c r="A278" s="174"/>
      <c r="B278" s="174"/>
      <c r="C278" s="174"/>
      <c r="D278" s="174"/>
      <c r="E278" s="174"/>
    </row>
    <row r="279">
      <c r="A279" s="174"/>
      <c r="B279" s="174"/>
      <c r="C279" s="174"/>
      <c r="D279" s="174"/>
      <c r="E279" s="174"/>
    </row>
    <row r="280">
      <c r="A280" s="174"/>
      <c r="B280" s="174"/>
      <c r="C280" s="174"/>
      <c r="D280" s="174"/>
      <c r="E280" s="174"/>
    </row>
    <row r="281">
      <c r="A281" s="174"/>
      <c r="B281" s="174"/>
      <c r="C281" s="174"/>
      <c r="D281" s="174"/>
      <c r="E281" s="174"/>
    </row>
    <row r="282">
      <c r="A282" s="174"/>
      <c r="B282" s="174"/>
      <c r="C282" s="174"/>
      <c r="D282" s="174"/>
      <c r="E282" s="174"/>
    </row>
    <row r="283">
      <c r="A283" s="174"/>
      <c r="B283" s="174"/>
      <c r="C283" s="174"/>
      <c r="D283" s="174"/>
      <c r="E283" s="174"/>
    </row>
    <row r="284">
      <c r="A284" s="174"/>
      <c r="B284" s="174"/>
      <c r="C284" s="174"/>
      <c r="D284" s="174"/>
      <c r="E284" s="174"/>
    </row>
    <row r="285">
      <c r="A285" s="174"/>
      <c r="B285" s="174"/>
      <c r="C285" s="174"/>
      <c r="D285" s="174"/>
      <c r="E285" s="174"/>
    </row>
    <row r="286">
      <c r="A286" s="174"/>
      <c r="B286" s="174"/>
      <c r="C286" s="174"/>
      <c r="D286" s="174"/>
      <c r="E286" s="174"/>
    </row>
    <row r="287">
      <c r="A287" s="174"/>
      <c r="B287" s="174"/>
      <c r="C287" s="174"/>
      <c r="D287" s="174"/>
      <c r="E287" s="174"/>
    </row>
    <row r="288">
      <c r="A288" s="174"/>
      <c r="B288" s="174"/>
      <c r="C288" s="174"/>
      <c r="D288" s="174"/>
      <c r="E288" s="174"/>
    </row>
    <row r="289">
      <c r="A289" s="174"/>
      <c r="B289" s="174"/>
      <c r="C289" s="174"/>
      <c r="D289" s="174"/>
      <c r="E289" s="174"/>
    </row>
    <row r="290">
      <c r="A290" s="174"/>
      <c r="B290" s="174"/>
      <c r="C290" s="174"/>
      <c r="D290" s="174"/>
      <c r="E290" s="174"/>
    </row>
    <row r="291">
      <c r="A291" s="174"/>
      <c r="B291" s="174"/>
      <c r="C291" s="174"/>
      <c r="D291" s="174"/>
      <c r="E291" s="174"/>
    </row>
    <row r="292">
      <c r="A292" s="174"/>
      <c r="B292" s="174"/>
      <c r="C292" s="174"/>
      <c r="D292" s="174"/>
      <c r="E292" s="174"/>
    </row>
    <row r="293">
      <c r="A293" s="174"/>
      <c r="B293" s="174"/>
      <c r="C293" s="174"/>
      <c r="D293" s="174"/>
      <c r="E293" s="174"/>
    </row>
    <row r="294">
      <c r="A294" s="174"/>
      <c r="B294" s="174"/>
      <c r="C294" s="174"/>
      <c r="D294" s="174"/>
      <c r="E294" s="174"/>
    </row>
    <row r="295">
      <c r="A295" s="174"/>
      <c r="B295" s="174"/>
      <c r="C295" s="174"/>
      <c r="D295" s="174"/>
      <c r="E295" s="174"/>
    </row>
    <row r="296">
      <c r="A296" s="174"/>
      <c r="B296" s="174"/>
      <c r="C296" s="174"/>
      <c r="D296" s="174"/>
      <c r="E296" s="174"/>
    </row>
    <row r="297">
      <c r="A297" s="174"/>
      <c r="B297" s="174"/>
      <c r="C297" s="174"/>
      <c r="D297" s="174"/>
      <c r="E297" s="174"/>
    </row>
    <row r="298">
      <c r="A298" s="174"/>
      <c r="B298" s="174"/>
      <c r="C298" s="174"/>
      <c r="D298" s="174"/>
      <c r="E298" s="174"/>
    </row>
    <row r="299">
      <c r="A299" s="174"/>
      <c r="B299" s="174"/>
      <c r="C299" s="174"/>
      <c r="D299" s="174"/>
      <c r="E299" s="174"/>
    </row>
    <row r="300">
      <c r="A300" s="174"/>
      <c r="B300" s="174"/>
      <c r="C300" s="174"/>
      <c r="D300" s="174"/>
      <c r="E300" s="174"/>
    </row>
    <row r="301">
      <c r="A301" s="174"/>
      <c r="B301" s="174"/>
      <c r="C301" s="174"/>
      <c r="D301" s="174"/>
      <c r="E301" s="174"/>
    </row>
    <row r="302">
      <c r="A302" s="174"/>
      <c r="B302" s="174"/>
      <c r="C302" s="174"/>
      <c r="D302" s="174"/>
      <c r="E302" s="174"/>
    </row>
    <row r="303">
      <c r="A303" s="174"/>
      <c r="B303" s="174"/>
      <c r="C303" s="174"/>
      <c r="D303" s="174"/>
      <c r="E303" s="174"/>
    </row>
    <row r="304">
      <c r="A304" s="174"/>
      <c r="B304" s="174"/>
      <c r="C304" s="174"/>
      <c r="D304" s="174"/>
      <c r="E304" s="174"/>
    </row>
    <row r="305">
      <c r="A305" s="174"/>
      <c r="B305" s="174"/>
      <c r="C305" s="174"/>
      <c r="D305" s="174"/>
      <c r="E305" s="174"/>
    </row>
    <row r="306">
      <c r="A306" s="174"/>
      <c r="B306" s="174"/>
      <c r="C306" s="174"/>
      <c r="D306" s="174"/>
      <c r="E306" s="174"/>
    </row>
    <row r="307">
      <c r="A307" s="174"/>
      <c r="B307" s="174"/>
      <c r="C307" s="174"/>
      <c r="D307" s="174"/>
      <c r="E307" s="174"/>
    </row>
    <row r="308">
      <c r="A308" s="174"/>
      <c r="B308" s="174"/>
      <c r="C308" s="174"/>
      <c r="D308" s="174"/>
      <c r="E308" s="174"/>
    </row>
    <row r="309">
      <c r="A309" s="174"/>
      <c r="B309" s="174"/>
      <c r="C309" s="174"/>
      <c r="D309" s="174"/>
      <c r="E309" s="174"/>
    </row>
    <row r="310">
      <c r="A310" s="174"/>
      <c r="B310" s="174"/>
      <c r="C310" s="174"/>
      <c r="D310" s="174"/>
      <c r="E310" s="174"/>
    </row>
    <row r="311">
      <c r="A311" s="174"/>
      <c r="B311" s="174"/>
      <c r="C311" s="174"/>
      <c r="D311" s="174"/>
      <c r="E311" s="174"/>
    </row>
    <row r="312">
      <c r="A312" s="174"/>
      <c r="B312" s="174"/>
      <c r="C312" s="174"/>
      <c r="D312" s="174"/>
      <c r="E312" s="174"/>
    </row>
    <row r="313">
      <c r="A313" s="174"/>
      <c r="B313" s="174"/>
      <c r="C313" s="174"/>
      <c r="D313" s="174"/>
      <c r="E313" s="174"/>
    </row>
    <row r="314">
      <c r="A314" s="174"/>
      <c r="B314" s="174"/>
      <c r="C314" s="174"/>
      <c r="D314" s="174"/>
      <c r="E314" s="174"/>
    </row>
    <row r="315">
      <c r="A315" s="174"/>
      <c r="B315" s="174"/>
      <c r="C315" s="174"/>
      <c r="D315" s="174"/>
      <c r="E315" s="174"/>
    </row>
    <row r="316">
      <c r="A316" s="174"/>
      <c r="B316" s="174"/>
      <c r="C316" s="174"/>
      <c r="D316" s="174"/>
      <c r="E316" s="174"/>
    </row>
    <row r="317">
      <c r="A317" s="174"/>
      <c r="B317" s="174"/>
      <c r="C317" s="174"/>
      <c r="D317" s="174"/>
      <c r="E317" s="174"/>
    </row>
    <row r="318">
      <c r="A318" s="174"/>
      <c r="B318" s="174"/>
      <c r="C318" s="174"/>
      <c r="D318" s="174"/>
      <c r="E318" s="174"/>
    </row>
    <row r="319">
      <c r="A319" s="174"/>
      <c r="B319" s="174"/>
      <c r="C319" s="174"/>
      <c r="D319" s="174"/>
      <c r="E319" s="174"/>
    </row>
    <row r="320">
      <c r="A320" s="174"/>
      <c r="B320" s="174"/>
      <c r="C320" s="174"/>
      <c r="D320" s="174"/>
      <c r="E320" s="174"/>
    </row>
    <row r="321">
      <c r="A321" s="174"/>
      <c r="B321" s="174"/>
      <c r="C321" s="174"/>
      <c r="D321" s="174"/>
      <c r="E321" s="174"/>
    </row>
    <row r="322">
      <c r="A322" s="174"/>
      <c r="B322" s="174"/>
      <c r="C322" s="174"/>
      <c r="D322" s="174"/>
      <c r="E322" s="174"/>
    </row>
    <row r="323">
      <c r="A323" s="174"/>
      <c r="B323" s="174"/>
      <c r="C323" s="174"/>
      <c r="D323" s="174"/>
      <c r="E323" s="174"/>
    </row>
    <row r="324">
      <c r="A324" s="174"/>
      <c r="B324" s="174"/>
      <c r="C324" s="174"/>
      <c r="D324" s="174"/>
      <c r="E324" s="174"/>
    </row>
    <row r="325">
      <c r="A325" s="174"/>
      <c r="B325" s="174"/>
      <c r="C325" s="174"/>
      <c r="D325" s="174"/>
      <c r="E325" s="174"/>
    </row>
    <row r="326">
      <c r="A326" s="174"/>
      <c r="B326" s="174"/>
      <c r="C326" s="174"/>
      <c r="D326" s="174"/>
      <c r="E326" s="174"/>
    </row>
    <row r="327">
      <c r="A327" s="174"/>
      <c r="B327" s="174"/>
      <c r="C327" s="174"/>
      <c r="D327" s="174"/>
      <c r="E327" s="174"/>
    </row>
    <row r="328">
      <c r="A328" s="174"/>
      <c r="B328" s="174"/>
      <c r="C328" s="174"/>
      <c r="D328" s="174"/>
      <c r="E328" s="174"/>
    </row>
    <row r="329">
      <c r="A329" s="174"/>
      <c r="B329" s="174"/>
      <c r="C329" s="174"/>
      <c r="D329" s="174"/>
      <c r="E329" s="174"/>
    </row>
    <row r="330">
      <c r="A330" s="174"/>
      <c r="B330" s="174"/>
      <c r="C330" s="174"/>
      <c r="D330" s="174"/>
      <c r="E330" s="174"/>
    </row>
    <row r="331">
      <c r="A331" s="174"/>
      <c r="B331" s="174"/>
      <c r="C331" s="174"/>
      <c r="D331" s="174"/>
      <c r="E331" s="174"/>
    </row>
    <row r="332">
      <c r="A332" s="174"/>
      <c r="B332" s="174"/>
      <c r="C332" s="174"/>
      <c r="D332" s="174"/>
      <c r="E332" s="174"/>
    </row>
    <row r="333">
      <c r="A333" s="174"/>
      <c r="B333" s="174"/>
      <c r="C333" s="174"/>
      <c r="D333" s="174"/>
      <c r="E333" s="174"/>
    </row>
    <row r="334">
      <c r="A334" s="174"/>
      <c r="B334" s="174"/>
      <c r="C334" s="174"/>
      <c r="D334" s="174"/>
      <c r="E334" s="174"/>
    </row>
    <row r="335">
      <c r="A335" s="174"/>
      <c r="B335" s="174"/>
      <c r="C335" s="174"/>
      <c r="D335" s="174"/>
      <c r="E335" s="174"/>
    </row>
    <row r="336">
      <c r="A336" s="174"/>
      <c r="B336" s="174"/>
      <c r="C336" s="174"/>
      <c r="D336" s="174"/>
      <c r="E336" s="174"/>
    </row>
    <row r="337">
      <c r="A337" s="174"/>
      <c r="B337" s="174"/>
      <c r="C337" s="174"/>
      <c r="D337" s="174"/>
      <c r="E337" s="174"/>
    </row>
    <row r="338">
      <c r="A338" s="174"/>
      <c r="B338" s="174"/>
      <c r="C338" s="174"/>
      <c r="D338" s="174"/>
      <c r="E338" s="174"/>
    </row>
    <row r="339">
      <c r="A339" s="174"/>
      <c r="B339" s="174"/>
      <c r="C339" s="174"/>
      <c r="D339" s="174"/>
      <c r="E339" s="174"/>
    </row>
    <row r="340">
      <c r="A340" s="174"/>
      <c r="B340" s="174"/>
      <c r="C340" s="174"/>
      <c r="D340" s="174"/>
      <c r="E340" s="174"/>
    </row>
    <row r="341">
      <c r="A341" s="174"/>
      <c r="B341" s="174"/>
      <c r="C341" s="174"/>
      <c r="D341" s="174"/>
      <c r="E341" s="174"/>
    </row>
    <row r="342">
      <c r="A342" s="174"/>
      <c r="B342" s="174"/>
      <c r="C342" s="174"/>
      <c r="D342" s="174"/>
      <c r="E342" s="174"/>
    </row>
    <row r="343">
      <c r="A343" s="174"/>
      <c r="B343" s="174"/>
      <c r="C343" s="174"/>
      <c r="D343" s="174"/>
      <c r="E343" s="174"/>
    </row>
    <row r="344">
      <c r="A344" s="174"/>
      <c r="B344" s="174"/>
      <c r="C344" s="174"/>
      <c r="D344" s="174"/>
      <c r="E344" s="174"/>
    </row>
    <row r="345">
      <c r="A345" s="174"/>
      <c r="B345" s="174"/>
      <c r="C345" s="174"/>
      <c r="D345" s="174"/>
      <c r="E345" s="174"/>
    </row>
    <row r="346">
      <c r="A346" s="174"/>
      <c r="B346" s="174"/>
      <c r="C346" s="174"/>
      <c r="D346" s="174"/>
      <c r="E346" s="174"/>
    </row>
    <row r="347">
      <c r="A347" s="174"/>
      <c r="B347" s="174"/>
      <c r="C347" s="174"/>
      <c r="D347" s="174"/>
      <c r="E347" s="174"/>
    </row>
    <row r="348">
      <c r="A348" s="174"/>
      <c r="B348" s="174"/>
      <c r="C348" s="174"/>
      <c r="D348" s="174"/>
      <c r="E348" s="174"/>
    </row>
    <row r="349">
      <c r="A349" s="174"/>
      <c r="B349" s="174"/>
      <c r="C349" s="174"/>
      <c r="D349" s="174"/>
      <c r="E349" s="174"/>
    </row>
    <row r="350">
      <c r="A350" s="174"/>
      <c r="B350" s="174"/>
      <c r="C350" s="174"/>
      <c r="D350" s="174"/>
      <c r="E350" s="174"/>
    </row>
    <row r="351">
      <c r="A351" s="174"/>
      <c r="B351" s="174"/>
      <c r="C351" s="174"/>
      <c r="D351" s="174"/>
      <c r="E351" s="174"/>
    </row>
    <row r="352">
      <c r="A352" s="174"/>
      <c r="B352" s="174"/>
      <c r="C352" s="174"/>
      <c r="D352" s="174"/>
      <c r="E352" s="174"/>
    </row>
    <row r="353">
      <c r="A353" s="174"/>
      <c r="B353" s="174"/>
      <c r="C353" s="174"/>
      <c r="D353" s="174"/>
      <c r="E353" s="174"/>
    </row>
    <row r="354">
      <c r="A354" s="174"/>
      <c r="B354" s="174"/>
      <c r="C354" s="174"/>
      <c r="D354" s="174"/>
      <c r="E354" s="174"/>
    </row>
    <row r="355">
      <c r="A355" s="174"/>
      <c r="B355" s="174"/>
      <c r="C355" s="174"/>
      <c r="D355" s="174"/>
      <c r="E355" s="174"/>
    </row>
    <row r="356">
      <c r="A356" s="174"/>
      <c r="B356" s="174"/>
      <c r="C356" s="174"/>
      <c r="D356" s="174"/>
      <c r="E356" s="174"/>
    </row>
    <row r="357">
      <c r="A357" s="174"/>
      <c r="B357" s="174"/>
      <c r="C357" s="174"/>
      <c r="D357" s="174"/>
      <c r="E357" s="174"/>
    </row>
    <row r="358">
      <c r="A358" s="174"/>
      <c r="B358" s="174"/>
      <c r="C358" s="174"/>
      <c r="D358" s="174"/>
      <c r="E358" s="174"/>
    </row>
    <row r="359">
      <c r="A359" s="174"/>
      <c r="B359" s="174"/>
      <c r="C359" s="174"/>
      <c r="D359" s="174"/>
      <c r="E359" s="174"/>
    </row>
    <row r="360">
      <c r="A360" s="174"/>
      <c r="B360" s="174"/>
      <c r="C360" s="174"/>
      <c r="D360" s="174"/>
      <c r="E360" s="174"/>
    </row>
    <row r="361">
      <c r="A361" s="174"/>
      <c r="B361" s="174"/>
      <c r="C361" s="174"/>
      <c r="D361" s="174"/>
      <c r="E361" s="174"/>
    </row>
    <row r="362">
      <c r="A362" s="174"/>
      <c r="B362" s="174"/>
      <c r="C362" s="174"/>
      <c r="D362" s="174"/>
      <c r="E362" s="174"/>
    </row>
    <row r="363">
      <c r="A363" s="174"/>
      <c r="B363" s="174"/>
      <c r="C363" s="174"/>
      <c r="D363" s="174"/>
      <c r="E363" s="174"/>
    </row>
    <row r="364">
      <c r="A364" s="174"/>
      <c r="B364" s="174"/>
      <c r="C364" s="174"/>
      <c r="D364" s="174"/>
      <c r="E364" s="174"/>
    </row>
    <row r="365">
      <c r="A365" s="174"/>
      <c r="B365" s="174"/>
      <c r="C365" s="174"/>
      <c r="D365" s="174"/>
      <c r="E365" s="174"/>
    </row>
    <row r="366">
      <c r="A366" s="174"/>
      <c r="B366" s="174"/>
      <c r="C366" s="174"/>
      <c r="D366" s="174"/>
      <c r="E366" s="174"/>
    </row>
    <row r="367">
      <c r="A367" s="174"/>
      <c r="B367" s="174"/>
      <c r="C367" s="174"/>
      <c r="D367" s="174"/>
      <c r="E367" s="174"/>
    </row>
    <row r="368">
      <c r="A368" s="174"/>
      <c r="B368" s="174"/>
      <c r="C368" s="174"/>
      <c r="D368" s="174"/>
      <c r="E368" s="174"/>
    </row>
    <row r="369">
      <c r="A369" s="174"/>
      <c r="B369" s="174"/>
      <c r="C369" s="174"/>
      <c r="D369" s="174"/>
      <c r="E369" s="174"/>
    </row>
    <row r="370">
      <c r="A370" s="174"/>
      <c r="B370" s="174"/>
      <c r="C370" s="174"/>
      <c r="D370" s="174"/>
      <c r="E370" s="174"/>
    </row>
    <row r="371">
      <c r="A371" s="174"/>
      <c r="B371" s="174"/>
      <c r="C371" s="174"/>
      <c r="D371" s="174"/>
      <c r="E371" s="174"/>
    </row>
    <row r="372">
      <c r="A372" s="174"/>
      <c r="B372" s="174"/>
      <c r="C372" s="174"/>
      <c r="D372" s="174"/>
      <c r="E372" s="174"/>
    </row>
    <row r="373">
      <c r="A373" s="174"/>
      <c r="B373" s="174"/>
      <c r="C373" s="174"/>
      <c r="D373" s="174"/>
      <c r="E373" s="174"/>
    </row>
    <row r="374">
      <c r="A374" s="174"/>
      <c r="B374" s="174"/>
      <c r="C374" s="174"/>
      <c r="D374" s="174"/>
      <c r="E374" s="174"/>
    </row>
    <row r="375">
      <c r="A375" s="174"/>
      <c r="B375" s="174"/>
      <c r="C375" s="174"/>
      <c r="D375" s="174"/>
      <c r="E375" s="174"/>
    </row>
    <row r="376">
      <c r="A376" s="174"/>
      <c r="B376" s="174"/>
      <c r="C376" s="174"/>
      <c r="D376" s="174"/>
      <c r="E376" s="174"/>
    </row>
    <row r="377">
      <c r="A377" s="174"/>
      <c r="B377" s="174"/>
      <c r="C377" s="174"/>
      <c r="D377" s="174"/>
      <c r="E377" s="174"/>
    </row>
    <row r="378">
      <c r="A378" s="174"/>
      <c r="B378" s="174"/>
      <c r="C378" s="174"/>
      <c r="D378" s="174"/>
      <c r="E378" s="174"/>
    </row>
    <row r="379">
      <c r="A379" s="174"/>
      <c r="B379" s="174"/>
      <c r="C379" s="174"/>
      <c r="D379" s="174"/>
      <c r="E379" s="174"/>
    </row>
    <row r="380">
      <c r="A380" s="174"/>
      <c r="B380" s="174"/>
      <c r="C380" s="174"/>
      <c r="D380" s="174"/>
      <c r="E380" s="174"/>
    </row>
    <row r="381">
      <c r="A381" s="174"/>
      <c r="B381" s="174"/>
      <c r="C381" s="174"/>
      <c r="D381" s="174"/>
      <c r="E381" s="174"/>
    </row>
    <row r="382">
      <c r="A382" s="174"/>
      <c r="B382" s="174"/>
      <c r="C382" s="174"/>
      <c r="D382" s="174"/>
      <c r="E382" s="174"/>
    </row>
    <row r="383">
      <c r="A383" s="174"/>
      <c r="B383" s="174"/>
      <c r="C383" s="174"/>
      <c r="D383" s="174"/>
      <c r="E383" s="174"/>
    </row>
    <row r="384">
      <c r="A384" s="174"/>
      <c r="B384" s="174"/>
      <c r="C384" s="174"/>
      <c r="D384" s="174"/>
      <c r="E384" s="174"/>
    </row>
    <row r="385">
      <c r="A385" s="174"/>
      <c r="B385" s="174"/>
      <c r="C385" s="174"/>
      <c r="D385" s="174"/>
      <c r="E385" s="174"/>
    </row>
    <row r="386">
      <c r="A386" s="174"/>
      <c r="B386" s="174"/>
      <c r="C386" s="174"/>
      <c r="D386" s="174"/>
      <c r="E386" s="174"/>
    </row>
    <row r="387">
      <c r="A387" s="174"/>
      <c r="B387" s="174"/>
      <c r="C387" s="174"/>
      <c r="D387" s="174"/>
      <c r="E387" s="174"/>
    </row>
    <row r="388">
      <c r="A388" s="174"/>
      <c r="B388" s="174"/>
      <c r="C388" s="174"/>
      <c r="D388" s="174"/>
      <c r="E388" s="174"/>
    </row>
    <row r="389">
      <c r="A389" s="174"/>
      <c r="B389" s="174"/>
      <c r="C389" s="174"/>
      <c r="D389" s="174"/>
      <c r="E389" s="174"/>
    </row>
    <row r="390">
      <c r="A390" s="174"/>
      <c r="B390" s="174"/>
      <c r="C390" s="174"/>
      <c r="D390" s="174"/>
      <c r="E390" s="174"/>
    </row>
    <row r="391">
      <c r="A391" s="174"/>
      <c r="B391" s="174"/>
      <c r="C391" s="174"/>
      <c r="D391" s="174"/>
      <c r="E391" s="174"/>
    </row>
    <row r="392">
      <c r="A392" s="174"/>
      <c r="B392" s="174"/>
      <c r="C392" s="174"/>
      <c r="D392" s="174"/>
      <c r="E392" s="174"/>
    </row>
    <row r="393">
      <c r="A393" s="174"/>
      <c r="B393" s="174"/>
      <c r="C393" s="174"/>
      <c r="D393" s="174"/>
      <c r="E393" s="174"/>
    </row>
    <row r="394">
      <c r="A394" s="174"/>
      <c r="B394" s="174"/>
      <c r="C394" s="174"/>
      <c r="D394" s="174"/>
      <c r="E394" s="174"/>
    </row>
    <row r="395">
      <c r="A395" s="174"/>
      <c r="B395" s="174"/>
      <c r="C395" s="174"/>
      <c r="D395" s="174"/>
      <c r="E395" s="174"/>
    </row>
    <row r="396">
      <c r="A396" s="174"/>
      <c r="B396" s="174"/>
      <c r="C396" s="174"/>
      <c r="D396" s="174"/>
      <c r="E396" s="174"/>
    </row>
    <row r="397">
      <c r="A397" s="174"/>
      <c r="B397" s="174"/>
      <c r="C397" s="174"/>
      <c r="D397" s="174"/>
      <c r="E397" s="174"/>
    </row>
    <row r="398">
      <c r="A398" s="174"/>
      <c r="B398" s="174"/>
      <c r="C398" s="174"/>
      <c r="D398" s="174"/>
      <c r="E398" s="174"/>
    </row>
    <row r="399">
      <c r="A399" s="174"/>
      <c r="B399" s="174"/>
      <c r="C399" s="174"/>
      <c r="D399" s="174"/>
      <c r="E399" s="174"/>
    </row>
    <row r="400">
      <c r="A400" s="174"/>
      <c r="B400" s="174"/>
      <c r="C400" s="174"/>
      <c r="D400" s="174"/>
      <c r="E400" s="174"/>
    </row>
    <row r="401">
      <c r="A401" s="174"/>
      <c r="B401" s="174"/>
      <c r="C401" s="174"/>
      <c r="D401" s="174"/>
      <c r="E401" s="174"/>
    </row>
    <row r="402">
      <c r="A402" s="174"/>
      <c r="B402" s="174"/>
      <c r="C402" s="174"/>
      <c r="D402" s="174"/>
      <c r="E402" s="174"/>
    </row>
    <row r="403">
      <c r="A403" s="174"/>
      <c r="B403" s="174"/>
      <c r="C403" s="174"/>
      <c r="D403" s="174"/>
      <c r="E403" s="174"/>
    </row>
    <row r="404">
      <c r="A404" s="174"/>
      <c r="B404" s="174"/>
      <c r="C404" s="174"/>
      <c r="D404" s="174"/>
      <c r="E404" s="174"/>
    </row>
    <row r="405">
      <c r="A405" s="174"/>
      <c r="B405" s="174"/>
      <c r="C405" s="174"/>
      <c r="D405" s="174"/>
      <c r="E405" s="174"/>
    </row>
    <row r="406">
      <c r="A406" s="174"/>
      <c r="B406" s="174"/>
      <c r="C406" s="174"/>
      <c r="D406" s="174"/>
      <c r="E406" s="174"/>
    </row>
    <row r="407">
      <c r="A407" s="174"/>
      <c r="B407" s="174"/>
      <c r="C407" s="174"/>
      <c r="D407" s="174"/>
      <c r="E407" s="174"/>
    </row>
    <row r="408">
      <c r="A408" s="174"/>
      <c r="B408" s="174"/>
      <c r="C408" s="174"/>
      <c r="D408" s="174"/>
      <c r="E408" s="174"/>
    </row>
    <row r="409">
      <c r="A409" s="174"/>
      <c r="B409" s="174"/>
      <c r="C409" s="174"/>
      <c r="D409" s="174"/>
      <c r="E409" s="174"/>
    </row>
    <row r="410">
      <c r="A410" s="174"/>
      <c r="B410" s="174"/>
      <c r="C410" s="174"/>
      <c r="D410" s="174"/>
      <c r="E410" s="174"/>
    </row>
    <row r="411">
      <c r="A411" s="174"/>
      <c r="B411" s="174"/>
      <c r="C411" s="174"/>
      <c r="D411" s="174"/>
      <c r="E411" s="174"/>
    </row>
    <row r="412">
      <c r="A412" s="174"/>
      <c r="B412" s="174"/>
      <c r="C412" s="174"/>
      <c r="D412" s="174"/>
      <c r="E412" s="174"/>
    </row>
    <row r="413">
      <c r="A413" s="174"/>
      <c r="B413" s="174"/>
      <c r="C413" s="174"/>
      <c r="D413" s="174"/>
      <c r="E413" s="174"/>
    </row>
    <row r="414">
      <c r="A414" s="174"/>
      <c r="B414" s="174"/>
      <c r="C414" s="174"/>
      <c r="D414" s="174"/>
      <c r="E414" s="174"/>
    </row>
    <row r="415">
      <c r="A415" s="174"/>
      <c r="B415" s="174"/>
      <c r="C415" s="174"/>
      <c r="D415" s="174"/>
      <c r="E415" s="174"/>
    </row>
    <row r="416">
      <c r="A416" s="174"/>
      <c r="B416" s="174"/>
      <c r="C416" s="174"/>
      <c r="D416" s="174"/>
      <c r="E416" s="174"/>
    </row>
    <row r="417">
      <c r="A417" s="174"/>
      <c r="B417" s="174"/>
      <c r="C417" s="174"/>
      <c r="D417" s="174"/>
      <c r="E417" s="174"/>
    </row>
    <row r="418">
      <c r="A418" s="174"/>
      <c r="B418" s="174"/>
      <c r="C418" s="174"/>
      <c r="D418" s="174"/>
      <c r="E418" s="174"/>
    </row>
    <row r="419">
      <c r="A419" s="174"/>
      <c r="B419" s="174"/>
      <c r="C419" s="174"/>
      <c r="D419" s="174"/>
      <c r="E419" s="174"/>
    </row>
    <row r="420">
      <c r="A420" s="174"/>
      <c r="B420" s="174"/>
      <c r="C420" s="174"/>
      <c r="D420" s="174"/>
      <c r="E420" s="174"/>
    </row>
    <row r="421">
      <c r="A421" s="174"/>
      <c r="B421" s="174"/>
      <c r="C421" s="174"/>
      <c r="D421" s="174"/>
      <c r="E421" s="174"/>
    </row>
    <row r="422">
      <c r="A422" s="174"/>
      <c r="B422" s="174"/>
      <c r="C422" s="174"/>
      <c r="D422" s="174"/>
      <c r="E422" s="174"/>
    </row>
    <row r="423">
      <c r="A423" s="174"/>
      <c r="B423" s="174"/>
      <c r="C423" s="174"/>
      <c r="D423" s="174"/>
      <c r="E423" s="174"/>
    </row>
    <row r="424">
      <c r="A424" s="174"/>
      <c r="B424" s="174"/>
      <c r="C424" s="174"/>
      <c r="D424" s="174"/>
      <c r="E424" s="174"/>
    </row>
    <row r="425">
      <c r="A425" s="174"/>
      <c r="B425" s="174"/>
      <c r="C425" s="174"/>
      <c r="D425" s="174"/>
      <c r="E425" s="174"/>
    </row>
    <row r="426">
      <c r="A426" s="174"/>
      <c r="B426" s="174"/>
      <c r="C426" s="174"/>
      <c r="D426" s="174"/>
      <c r="E426" s="174"/>
    </row>
    <row r="427">
      <c r="A427" s="174"/>
      <c r="B427" s="174"/>
      <c r="C427" s="174"/>
      <c r="D427" s="174"/>
      <c r="E427" s="174"/>
    </row>
    <row r="428">
      <c r="A428" s="174"/>
      <c r="B428" s="174"/>
      <c r="C428" s="174"/>
      <c r="D428" s="174"/>
      <c r="E428" s="174"/>
    </row>
    <row r="429">
      <c r="A429" s="174"/>
      <c r="B429" s="174"/>
      <c r="C429" s="174"/>
      <c r="D429" s="174"/>
      <c r="E429" s="174"/>
    </row>
    <row r="430">
      <c r="A430" s="174"/>
      <c r="B430" s="174"/>
      <c r="C430" s="174"/>
      <c r="D430" s="174"/>
      <c r="E430" s="174"/>
    </row>
    <row r="431">
      <c r="A431" s="174"/>
      <c r="B431" s="174"/>
      <c r="C431" s="174"/>
      <c r="D431" s="174"/>
      <c r="E431" s="174"/>
    </row>
    <row r="432">
      <c r="A432" s="174"/>
      <c r="B432" s="174"/>
      <c r="C432" s="174"/>
      <c r="D432" s="174"/>
      <c r="E432" s="174"/>
    </row>
    <row r="433">
      <c r="A433" s="174"/>
      <c r="B433" s="174"/>
      <c r="C433" s="174"/>
      <c r="D433" s="174"/>
      <c r="E433" s="174"/>
    </row>
    <row r="434">
      <c r="A434" s="174"/>
      <c r="B434" s="174"/>
      <c r="C434" s="174"/>
      <c r="D434" s="174"/>
      <c r="E434" s="174"/>
    </row>
    <row r="435">
      <c r="A435" s="174"/>
      <c r="B435" s="174"/>
      <c r="C435" s="174"/>
      <c r="D435" s="174"/>
      <c r="E435" s="174"/>
    </row>
    <row r="436">
      <c r="A436" s="174"/>
      <c r="B436" s="174"/>
      <c r="C436" s="174"/>
      <c r="D436" s="174"/>
      <c r="E436" s="174"/>
    </row>
    <row r="437">
      <c r="A437" s="174"/>
      <c r="B437" s="174"/>
      <c r="C437" s="174"/>
      <c r="D437" s="174"/>
      <c r="E437" s="174"/>
    </row>
    <row r="438">
      <c r="A438" s="174"/>
      <c r="B438" s="174"/>
      <c r="C438" s="174"/>
      <c r="D438" s="174"/>
      <c r="E438" s="174"/>
    </row>
    <row r="439">
      <c r="A439" s="174"/>
      <c r="B439" s="174"/>
      <c r="C439" s="174"/>
      <c r="D439" s="174"/>
      <c r="E439" s="174"/>
    </row>
    <row r="440">
      <c r="A440" s="174"/>
      <c r="B440" s="174"/>
      <c r="C440" s="174"/>
      <c r="D440" s="174"/>
      <c r="E440" s="174"/>
    </row>
    <row r="441">
      <c r="A441" s="174"/>
      <c r="B441" s="174"/>
      <c r="C441" s="174"/>
      <c r="D441" s="174"/>
      <c r="E441" s="174"/>
    </row>
    <row r="442">
      <c r="A442" s="174"/>
      <c r="B442" s="174"/>
      <c r="C442" s="174"/>
      <c r="D442" s="174"/>
      <c r="E442" s="174"/>
    </row>
    <row r="443">
      <c r="A443" s="174"/>
      <c r="B443" s="174"/>
      <c r="C443" s="174"/>
      <c r="D443" s="174"/>
      <c r="E443" s="174"/>
    </row>
    <row r="444">
      <c r="A444" s="174"/>
      <c r="B444" s="174"/>
      <c r="C444" s="174"/>
      <c r="D444" s="174"/>
      <c r="E444" s="174"/>
    </row>
    <row r="445">
      <c r="A445" s="174"/>
      <c r="B445" s="174"/>
      <c r="C445" s="174"/>
      <c r="D445" s="174"/>
      <c r="E445" s="174"/>
    </row>
    <row r="446">
      <c r="A446" s="174"/>
      <c r="B446" s="174"/>
      <c r="C446" s="174"/>
      <c r="D446" s="174"/>
      <c r="E446" s="174"/>
    </row>
    <row r="447">
      <c r="A447" s="174"/>
      <c r="B447" s="174"/>
      <c r="C447" s="174"/>
      <c r="D447" s="174"/>
      <c r="E447" s="174"/>
    </row>
    <row r="448">
      <c r="A448" s="174"/>
      <c r="B448" s="174"/>
      <c r="C448" s="174"/>
      <c r="D448" s="174"/>
      <c r="E448" s="174"/>
    </row>
    <row r="449">
      <c r="A449" s="174"/>
      <c r="B449" s="174"/>
      <c r="C449" s="174"/>
      <c r="D449" s="174"/>
      <c r="E449" s="174"/>
    </row>
    <row r="450">
      <c r="A450" s="174"/>
      <c r="B450" s="174"/>
      <c r="C450" s="174"/>
      <c r="D450" s="174"/>
      <c r="E450" s="174"/>
    </row>
    <row r="451">
      <c r="A451" s="174"/>
      <c r="B451" s="174"/>
      <c r="C451" s="174"/>
      <c r="D451" s="174"/>
      <c r="E451" s="174"/>
    </row>
    <row r="452">
      <c r="A452" s="174"/>
      <c r="B452" s="174"/>
      <c r="C452" s="174"/>
      <c r="D452" s="174"/>
      <c r="E452" s="174"/>
    </row>
    <row r="453">
      <c r="A453" s="174"/>
      <c r="B453" s="174"/>
      <c r="C453" s="174"/>
      <c r="D453" s="174"/>
      <c r="E453" s="174"/>
    </row>
    <row r="454">
      <c r="A454" s="174"/>
      <c r="B454" s="174"/>
      <c r="C454" s="174"/>
      <c r="D454" s="174"/>
      <c r="E454" s="174"/>
    </row>
    <row r="455">
      <c r="A455" s="174"/>
      <c r="B455" s="174"/>
      <c r="C455" s="174"/>
      <c r="D455" s="174"/>
      <c r="E455" s="174"/>
    </row>
    <row r="456">
      <c r="A456" s="174"/>
      <c r="B456" s="174"/>
      <c r="C456" s="174"/>
      <c r="D456" s="174"/>
      <c r="E456" s="174"/>
    </row>
    <row r="457">
      <c r="A457" s="174"/>
      <c r="B457" s="174"/>
      <c r="C457" s="174"/>
      <c r="D457" s="174"/>
      <c r="E457" s="174"/>
    </row>
    <row r="458">
      <c r="A458" s="174"/>
      <c r="B458" s="174"/>
      <c r="C458" s="174"/>
      <c r="D458" s="174"/>
      <c r="E458" s="174"/>
    </row>
    <row r="459">
      <c r="A459" s="174"/>
      <c r="B459" s="174"/>
      <c r="C459" s="174"/>
      <c r="D459" s="174"/>
      <c r="E459" s="174"/>
    </row>
    <row r="460">
      <c r="A460" s="174"/>
      <c r="B460" s="174"/>
      <c r="C460" s="174"/>
      <c r="D460" s="174"/>
      <c r="E460" s="174"/>
    </row>
    <row r="461">
      <c r="A461" s="174"/>
      <c r="B461" s="174"/>
      <c r="C461" s="174"/>
      <c r="D461" s="174"/>
      <c r="E461" s="174"/>
    </row>
    <row r="462">
      <c r="A462" s="174"/>
      <c r="B462" s="174"/>
      <c r="C462" s="174"/>
      <c r="D462" s="174"/>
      <c r="E462" s="174"/>
    </row>
    <row r="463">
      <c r="A463" s="174"/>
      <c r="B463" s="174"/>
      <c r="C463" s="174"/>
      <c r="D463" s="174"/>
      <c r="E463" s="174"/>
    </row>
    <row r="464">
      <c r="A464" s="174"/>
      <c r="B464" s="174"/>
      <c r="C464" s="174"/>
      <c r="D464" s="174"/>
      <c r="E464" s="174"/>
    </row>
    <row r="465">
      <c r="A465" s="174"/>
      <c r="B465" s="174"/>
      <c r="C465" s="174"/>
      <c r="D465" s="174"/>
      <c r="E465" s="174"/>
    </row>
    <row r="466">
      <c r="A466" s="174"/>
      <c r="B466" s="174"/>
      <c r="C466" s="174"/>
      <c r="D466" s="174"/>
      <c r="E466" s="174"/>
    </row>
    <row r="467">
      <c r="A467" s="174"/>
      <c r="B467" s="174"/>
      <c r="C467" s="174"/>
      <c r="D467" s="174"/>
      <c r="E467" s="174"/>
    </row>
    <row r="468">
      <c r="A468" s="174"/>
      <c r="B468" s="174"/>
      <c r="C468" s="174"/>
      <c r="D468" s="174"/>
      <c r="E468" s="174"/>
    </row>
    <row r="469">
      <c r="A469" s="174"/>
      <c r="B469" s="174"/>
      <c r="C469" s="174"/>
      <c r="D469" s="174"/>
      <c r="E469" s="174"/>
    </row>
    <row r="470">
      <c r="A470" s="174"/>
      <c r="B470" s="174"/>
      <c r="C470" s="174"/>
      <c r="D470" s="174"/>
      <c r="E470" s="174"/>
    </row>
    <row r="471">
      <c r="A471" s="174"/>
      <c r="B471" s="174"/>
      <c r="C471" s="174"/>
      <c r="D471" s="174"/>
      <c r="E471" s="174"/>
    </row>
    <row r="472">
      <c r="A472" s="174"/>
      <c r="B472" s="174"/>
      <c r="C472" s="174"/>
      <c r="D472" s="174"/>
      <c r="E472" s="174"/>
    </row>
    <row r="473">
      <c r="A473" s="174"/>
      <c r="B473" s="174"/>
      <c r="C473" s="174"/>
      <c r="D473" s="174"/>
      <c r="E473" s="174"/>
    </row>
    <row r="474">
      <c r="A474" s="174"/>
      <c r="B474" s="174"/>
      <c r="C474" s="174"/>
      <c r="D474" s="174"/>
      <c r="E474" s="174"/>
    </row>
    <row r="475">
      <c r="A475" s="174"/>
      <c r="B475" s="174"/>
      <c r="C475" s="174"/>
      <c r="D475" s="174"/>
      <c r="E475" s="174"/>
    </row>
    <row r="476">
      <c r="A476" s="174"/>
      <c r="B476" s="174"/>
      <c r="C476" s="174"/>
      <c r="D476" s="174"/>
      <c r="E476" s="174"/>
    </row>
    <row r="477">
      <c r="A477" s="174"/>
      <c r="B477" s="174"/>
      <c r="C477" s="174"/>
      <c r="D477" s="174"/>
      <c r="E477" s="174"/>
    </row>
    <row r="478">
      <c r="A478" s="174"/>
      <c r="B478" s="174"/>
      <c r="C478" s="174"/>
      <c r="D478" s="174"/>
      <c r="E478" s="174"/>
    </row>
    <row r="479">
      <c r="A479" s="174"/>
      <c r="B479" s="174"/>
      <c r="C479" s="174"/>
      <c r="D479" s="174"/>
      <c r="E479" s="174"/>
    </row>
    <row r="480">
      <c r="A480" s="174"/>
      <c r="B480" s="174"/>
      <c r="C480" s="174"/>
      <c r="D480" s="174"/>
      <c r="E480" s="174"/>
    </row>
    <row r="481">
      <c r="A481" s="174"/>
      <c r="B481" s="174"/>
      <c r="C481" s="174"/>
      <c r="D481" s="174"/>
      <c r="E481" s="174"/>
    </row>
    <row r="482">
      <c r="A482" s="174"/>
      <c r="B482" s="174"/>
      <c r="C482" s="174"/>
      <c r="D482" s="174"/>
      <c r="E482" s="174"/>
    </row>
    <row r="483">
      <c r="A483" s="174"/>
      <c r="B483" s="174"/>
      <c r="C483" s="174"/>
      <c r="D483" s="174"/>
      <c r="E483" s="174"/>
    </row>
    <row r="484">
      <c r="A484" s="174"/>
      <c r="B484" s="174"/>
      <c r="C484" s="174"/>
      <c r="D484" s="174"/>
      <c r="E484" s="174"/>
    </row>
    <row r="485">
      <c r="A485" s="174"/>
      <c r="B485" s="174"/>
      <c r="C485" s="174"/>
      <c r="D485" s="174"/>
      <c r="E485" s="174"/>
    </row>
    <row r="486">
      <c r="A486" s="174"/>
      <c r="B486" s="174"/>
      <c r="C486" s="174"/>
      <c r="D486" s="174"/>
      <c r="E486" s="174"/>
    </row>
    <row r="487">
      <c r="A487" s="174"/>
      <c r="B487" s="174"/>
      <c r="C487" s="174"/>
      <c r="D487" s="174"/>
      <c r="E487" s="174"/>
    </row>
    <row r="488">
      <c r="A488" s="174"/>
      <c r="B488" s="174"/>
      <c r="C488" s="174"/>
      <c r="D488" s="174"/>
      <c r="E488" s="174"/>
    </row>
    <row r="489">
      <c r="A489" s="174"/>
      <c r="B489" s="174"/>
      <c r="C489" s="174"/>
      <c r="D489" s="174"/>
      <c r="E489" s="174"/>
    </row>
    <row r="490">
      <c r="A490" s="174"/>
      <c r="B490" s="174"/>
      <c r="C490" s="174"/>
      <c r="D490" s="174"/>
      <c r="E490" s="174"/>
    </row>
    <row r="491">
      <c r="A491" s="174"/>
      <c r="B491" s="174"/>
      <c r="C491" s="174"/>
      <c r="D491" s="174"/>
      <c r="E491" s="174"/>
    </row>
    <row r="492">
      <c r="A492" s="174"/>
      <c r="B492" s="174"/>
      <c r="C492" s="174"/>
      <c r="D492" s="174"/>
      <c r="E492" s="174"/>
    </row>
    <row r="493">
      <c r="A493" s="174"/>
      <c r="B493" s="174"/>
      <c r="C493" s="174"/>
      <c r="D493" s="174"/>
      <c r="E493" s="174"/>
    </row>
    <row r="494">
      <c r="A494" s="174"/>
      <c r="B494" s="174"/>
      <c r="C494" s="174"/>
      <c r="D494" s="174"/>
      <c r="E494" s="174"/>
    </row>
    <row r="495">
      <c r="A495" s="174"/>
      <c r="B495" s="174"/>
      <c r="C495" s="174"/>
      <c r="D495" s="174"/>
      <c r="E495" s="174"/>
    </row>
    <row r="496">
      <c r="A496" s="174"/>
      <c r="B496" s="174"/>
      <c r="C496" s="174"/>
      <c r="D496" s="174"/>
      <c r="E496" s="174"/>
    </row>
    <row r="497">
      <c r="A497" s="174"/>
      <c r="B497" s="174"/>
      <c r="C497" s="174"/>
      <c r="D497" s="174"/>
      <c r="E497" s="174"/>
    </row>
    <row r="498">
      <c r="A498" s="174"/>
      <c r="B498" s="174"/>
      <c r="C498" s="174"/>
      <c r="D498" s="174"/>
      <c r="E498" s="174"/>
    </row>
    <row r="499">
      <c r="A499" s="174"/>
      <c r="B499" s="174"/>
      <c r="C499" s="174"/>
      <c r="D499" s="174"/>
      <c r="E499" s="174"/>
    </row>
    <row r="500">
      <c r="A500" s="174"/>
      <c r="B500" s="174"/>
      <c r="C500" s="174"/>
      <c r="D500" s="174"/>
      <c r="E500" s="174"/>
    </row>
    <row r="501">
      <c r="A501" s="174"/>
      <c r="B501" s="174"/>
      <c r="C501" s="174"/>
      <c r="D501" s="174"/>
      <c r="E501" s="174"/>
    </row>
    <row r="502">
      <c r="A502" s="174"/>
      <c r="B502" s="174"/>
      <c r="C502" s="174"/>
      <c r="D502" s="174"/>
      <c r="E502" s="174"/>
    </row>
    <row r="503">
      <c r="A503" s="174"/>
      <c r="B503" s="174"/>
      <c r="C503" s="174"/>
      <c r="D503" s="174"/>
      <c r="E503" s="174"/>
    </row>
    <row r="504">
      <c r="A504" s="174"/>
      <c r="B504" s="174"/>
      <c r="C504" s="174"/>
      <c r="D504" s="174"/>
      <c r="E504" s="174"/>
    </row>
    <row r="505">
      <c r="A505" s="174"/>
      <c r="B505" s="174"/>
      <c r="C505" s="174"/>
      <c r="D505" s="174"/>
      <c r="E505" s="174"/>
    </row>
    <row r="506">
      <c r="A506" s="174"/>
      <c r="B506" s="174"/>
      <c r="C506" s="174"/>
      <c r="D506" s="174"/>
      <c r="E506" s="174"/>
    </row>
    <row r="507">
      <c r="A507" s="174"/>
      <c r="B507" s="174"/>
      <c r="C507" s="174"/>
      <c r="D507" s="174"/>
      <c r="E507" s="174"/>
    </row>
    <row r="508">
      <c r="A508" s="174"/>
      <c r="B508" s="174"/>
      <c r="C508" s="174"/>
      <c r="D508" s="174"/>
      <c r="E508" s="174"/>
    </row>
    <row r="509">
      <c r="A509" s="174"/>
      <c r="B509" s="174"/>
      <c r="C509" s="174"/>
      <c r="D509" s="174"/>
      <c r="E509" s="174"/>
    </row>
    <row r="510">
      <c r="A510" s="174"/>
      <c r="B510" s="174"/>
      <c r="C510" s="174"/>
      <c r="D510" s="174"/>
      <c r="E510" s="174"/>
    </row>
    <row r="511">
      <c r="A511" s="174"/>
      <c r="B511" s="174"/>
      <c r="C511" s="174"/>
      <c r="D511" s="174"/>
      <c r="E511" s="174"/>
    </row>
    <row r="512">
      <c r="A512" s="174"/>
      <c r="B512" s="174"/>
      <c r="C512" s="174"/>
      <c r="D512" s="174"/>
      <c r="E512" s="174"/>
    </row>
    <row r="513">
      <c r="A513" s="174"/>
      <c r="B513" s="174"/>
      <c r="C513" s="174"/>
      <c r="D513" s="174"/>
      <c r="E513" s="174"/>
    </row>
    <row r="514">
      <c r="A514" s="174"/>
      <c r="B514" s="174"/>
      <c r="C514" s="174"/>
      <c r="D514" s="174"/>
      <c r="E514" s="174"/>
    </row>
    <row r="515">
      <c r="A515" s="174"/>
      <c r="B515" s="174"/>
      <c r="C515" s="174"/>
      <c r="D515" s="174"/>
      <c r="E515" s="174"/>
    </row>
    <row r="516">
      <c r="A516" s="174"/>
      <c r="B516" s="174"/>
      <c r="C516" s="174"/>
      <c r="D516" s="174"/>
      <c r="E516" s="174"/>
    </row>
    <row r="517">
      <c r="A517" s="174"/>
      <c r="B517" s="174"/>
      <c r="C517" s="174"/>
      <c r="D517" s="174"/>
      <c r="E517" s="174"/>
    </row>
    <row r="518">
      <c r="A518" s="174"/>
      <c r="B518" s="174"/>
      <c r="C518" s="174"/>
      <c r="D518" s="174"/>
      <c r="E518" s="174"/>
    </row>
    <row r="519">
      <c r="A519" s="174"/>
      <c r="B519" s="174"/>
      <c r="C519" s="174"/>
      <c r="D519" s="174"/>
      <c r="E519" s="174"/>
    </row>
    <row r="520">
      <c r="A520" s="174"/>
      <c r="B520" s="174"/>
      <c r="C520" s="174"/>
      <c r="D520" s="174"/>
      <c r="E520" s="174"/>
    </row>
    <row r="521">
      <c r="A521" s="174"/>
      <c r="B521" s="174"/>
      <c r="C521" s="174"/>
      <c r="D521" s="174"/>
      <c r="E521" s="174"/>
    </row>
    <row r="522">
      <c r="A522" s="174"/>
      <c r="B522" s="174"/>
      <c r="C522" s="174"/>
      <c r="D522" s="174"/>
      <c r="E522" s="174"/>
    </row>
    <row r="523">
      <c r="A523" s="174"/>
      <c r="B523" s="174"/>
      <c r="C523" s="174"/>
      <c r="D523" s="174"/>
      <c r="E523" s="174"/>
    </row>
    <row r="524">
      <c r="A524" s="174"/>
      <c r="B524" s="174"/>
      <c r="C524" s="174"/>
      <c r="D524" s="174"/>
      <c r="E524" s="174"/>
    </row>
    <row r="525">
      <c r="A525" s="174"/>
      <c r="B525" s="174"/>
      <c r="C525" s="174"/>
      <c r="D525" s="174"/>
      <c r="E525" s="174"/>
    </row>
    <row r="526">
      <c r="A526" s="174"/>
      <c r="B526" s="174"/>
      <c r="C526" s="174"/>
      <c r="D526" s="174"/>
      <c r="E526" s="174"/>
    </row>
    <row r="527">
      <c r="A527" s="174"/>
      <c r="B527" s="174"/>
      <c r="C527" s="174"/>
      <c r="D527" s="174"/>
      <c r="E527" s="174"/>
    </row>
    <row r="528">
      <c r="A528" s="174"/>
      <c r="B528" s="174"/>
      <c r="C528" s="174"/>
      <c r="D528" s="174"/>
      <c r="E528" s="174"/>
    </row>
    <row r="529">
      <c r="A529" s="174"/>
      <c r="B529" s="174"/>
      <c r="C529" s="174"/>
      <c r="D529" s="174"/>
      <c r="E529" s="174"/>
    </row>
    <row r="530">
      <c r="A530" s="174"/>
      <c r="B530" s="174"/>
      <c r="C530" s="174"/>
      <c r="D530" s="174"/>
      <c r="E530" s="174"/>
    </row>
    <row r="531">
      <c r="A531" s="174"/>
      <c r="B531" s="174"/>
      <c r="C531" s="174"/>
      <c r="D531" s="174"/>
      <c r="E531" s="174"/>
    </row>
    <row r="532">
      <c r="A532" s="174"/>
      <c r="B532" s="174"/>
      <c r="C532" s="174"/>
      <c r="D532" s="174"/>
      <c r="E532" s="174"/>
    </row>
    <row r="533">
      <c r="A533" s="174"/>
      <c r="B533" s="174"/>
      <c r="C533" s="174"/>
      <c r="D533" s="174"/>
      <c r="E533" s="174"/>
    </row>
    <row r="534">
      <c r="A534" s="174"/>
      <c r="B534" s="174"/>
      <c r="C534" s="174"/>
      <c r="D534" s="174"/>
      <c r="E534" s="174"/>
    </row>
    <row r="535">
      <c r="A535" s="174"/>
      <c r="B535" s="174"/>
      <c r="C535" s="174"/>
      <c r="D535" s="174"/>
      <c r="E535" s="174"/>
    </row>
    <row r="536">
      <c r="A536" s="174"/>
      <c r="B536" s="174"/>
      <c r="C536" s="174"/>
      <c r="D536" s="174"/>
      <c r="E536" s="174"/>
    </row>
    <row r="537">
      <c r="A537" s="174"/>
      <c r="B537" s="174"/>
      <c r="C537" s="174"/>
      <c r="D537" s="174"/>
      <c r="E537" s="174"/>
    </row>
    <row r="538">
      <c r="A538" s="174"/>
      <c r="B538" s="174"/>
      <c r="C538" s="174"/>
      <c r="D538" s="174"/>
      <c r="E538" s="174"/>
    </row>
    <row r="539">
      <c r="A539" s="174"/>
      <c r="B539" s="174"/>
      <c r="C539" s="174"/>
      <c r="D539" s="174"/>
      <c r="E539" s="174"/>
    </row>
    <row r="540">
      <c r="A540" s="174"/>
      <c r="B540" s="174"/>
      <c r="C540" s="174"/>
      <c r="D540" s="174"/>
      <c r="E540" s="174"/>
    </row>
    <row r="541">
      <c r="A541" s="174"/>
      <c r="B541" s="174"/>
      <c r="C541" s="174"/>
      <c r="D541" s="174"/>
      <c r="E541" s="174"/>
    </row>
    <row r="542">
      <c r="A542" s="174"/>
      <c r="B542" s="174"/>
      <c r="C542" s="174"/>
      <c r="D542" s="174"/>
      <c r="E542" s="174"/>
    </row>
    <row r="543">
      <c r="A543" s="174"/>
      <c r="B543" s="174"/>
      <c r="C543" s="174"/>
      <c r="D543" s="174"/>
      <c r="E543" s="174"/>
    </row>
    <row r="544">
      <c r="A544" s="174"/>
      <c r="B544" s="174"/>
      <c r="C544" s="174"/>
      <c r="D544" s="174"/>
      <c r="E544" s="174"/>
    </row>
    <row r="545">
      <c r="A545" s="174"/>
      <c r="B545" s="174"/>
      <c r="C545" s="174"/>
      <c r="D545" s="174"/>
      <c r="E545" s="174"/>
    </row>
    <row r="546">
      <c r="A546" s="174"/>
      <c r="B546" s="174"/>
      <c r="C546" s="174"/>
      <c r="D546" s="174"/>
      <c r="E546" s="174"/>
    </row>
    <row r="547">
      <c r="A547" s="174"/>
      <c r="B547" s="174"/>
      <c r="C547" s="174"/>
      <c r="D547" s="174"/>
      <c r="E547" s="174"/>
    </row>
    <row r="548">
      <c r="A548" s="174"/>
      <c r="B548" s="174"/>
      <c r="C548" s="174"/>
      <c r="D548" s="174"/>
      <c r="E548" s="174"/>
    </row>
    <row r="549">
      <c r="A549" s="174"/>
      <c r="B549" s="174"/>
      <c r="C549" s="174"/>
      <c r="D549" s="174"/>
      <c r="E549" s="174"/>
    </row>
    <row r="550">
      <c r="A550" s="174"/>
      <c r="B550" s="174"/>
      <c r="C550" s="174"/>
      <c r="D550" s="174"/>
      <c r="E550" s="174"/>
    </row>
    <row r="551">
      <c r="A551" s="174"/>
      <c r="B551" s="174"/>
      <c r="C551" s="174"/>
      <c r="D551" s="174"/>
      <c r="E551" s="174"/>
    </row>
    <row r="552">
      <c r="A552" s="174"/>
      <c r="B552" s="174"/>
      <c r="C552" s="174"/>
      <c r="D552" s="174"/>
      <c r="E552" s="174"/>
    </row>
    <row r="553">
      <c r="A553" s="174"/>
      <c r="B553" s="174"/>
      <c r="C553" s="174"/>
      <c r="D553" s="174"/>
      <c r="E553" s="174"/>
    </row>
    <row r="554">
      <c r="A554" s="174"/>
      <c r="B554" s="174"/>
      <c r="C554" s="174"/>
      <c r="D554" s="174"/>
      <c r="E554" s="174"/>
    </row>
    <row r="555">
      <c r="A555" s="174"/>
      <c r="B555" s="174"/>
      <c r="C555" s="174"/>
      <c r="D555" s="174"/>
      <c r="E555" s="174"/>
    </row>
    <row r="556">
      <c r="A556" s="174"/>
      <c r="B556" s="174"/>
      <c r="C556" s="174"/>
      <c r="D556" s="174"/>
      <c r="E556" s="174"/>
    </row>
    <row r="557">
      <c r="A557" s="174"/>
      <c r="B557" s="174"/>
      <c r="C557" s="174"/>
      <c r="D557" s="174"/>
      <c r="E557" s="174"/>
    </row>
    <row r="558">
      <c r="A558" s="174"/>
      <c r="B558" s="174"/>
      <c r="C558" s="174"/>
      <c r="D558" s="174"/>
      <c r="E558" s="174"/>
    </row>
    <row r="559">
      <c r="A559" s="174"/>
      <c r="B559" s="174"/>
      <c r="C559" s="174"/>
      <c r="D559" s="174"/>
      <c r="E559" s="174"/>
    </row>
    <row r="560">
      <c r="A560" s="174"/>
      <c r="B560" s="174"/>
      <c r="C560" s="174"/>
      <c r="D560" s="174"/>
      <c r="E560" s="174"/>
    </row>
    <row r="561">
      <c r="A561" s="174"/>
      <c r="B561" s="174"/>
      <c r="C561" s="174"/>
      <c r="D561" s="174"/>
      <c r="E561" s="174"/>
    </row>
    <row r="562">
      <c r="A562" s="174"/>
      <c r="B562" s="174"/>
      <c r="C562" s="174"/>
      <c r="D562" s="174"/>
      <c r="E562" s="174"/>
    </row>
    <row r="563">
      <c r="A563" s="174"/>
      <c r="B563" s="174"/>
      <c r="C563" s="174"/>
      <c r="D563" s="174"/>
      <c r="E563" s="174"/>
    </row>
    <row r="564">
      <c r="A564" s="174"/>
      <c r="B564" s="174"/>
      <c r="C564" s="174"/>
      <c r="D564" s="174"/>
      <c r="E564" s="174"/>
    </row>
    <row r="565">
      <c r="A565" s="174"/>
      <c r="B565" s="174"/>
      <c r="C565" s="174"/>
      <c r="D565" s="174"/>
      <c r="E565" s="174"/>
    </row>
    <row r="566">
      <c r="A566" s="174"/>
      <c r="B566" s="174"/>
      <c r="C566" s="174"/>
      <c r="D566" s="174"/>
      <c r="E566" s="174"/>
    </row>
    <row r="567">
      <c r="A567" s="174"/>
      <c r="B567" s="174"/>
      <c r="C567" s="174"/>
      <c r="D567" s="174"/>
      <c r="E567" s="174"/>
    </row>
    <row r="568">
      <c r="A568" s="174"/>
      <c r="B568" s="174"/>
      <c r="C568" s="174"/>
      <c r="D568" s="174"/>
      <c r="E568" s="174"/>
    </row>
    <row r="569">
      <c r="A569" s="174"/>
      <c r="B569" s="174"/>
      <c r="C569" s="174"/>
      <c r="D569" s="174"/>
      <c r="E569" s="174"/>
    </row>
    <row r="570">
      <c r="A570" s="174"/>
      <c r="B570" s="174"/>
      <c r="C570" s="174"/>
      <c r="D570" s="174"/>
      <c r="E570" s="174"/>
    </row>
    <row r="571">
      <c r="A571" s="174"/>
      <c r="B571" s="174"/>
      <c r="C571" s="174"/>
      <c r="D571" s="174"/>
      <c r="E571" s="174"/>
    </row>
    <row r="572">
      <c r="A572" s="174"/>
      <c r="B572" s="174"/>
      <c r="C572" s="174"/>
      <c r="D572" s="174"/>
      <c r="E572" s="174"/>
    </row>
    <row r="573">
      <c r="A573" s="174"/>
      <c r="B573" s="174"/>
      <c r="C573" s="174"/>
      <c r="D573" s="174"/>
      <c r="E573" s="174"/>
    </row>
    <row r="574">
      <c r="A574" s="174"/>
      <c r="B574" s="174"/>
      <c r="C574" s="174"/>
      <c r="D574" s="174"/>
      <c r="E574" s="174"/>
    </row>
    <row r="575">
      <c r="A575" s="174"/>
      <c r="B575" s="174"/>
      <c r="C575" s="174"/>
      <c r="D575" s="174"/>
      <c r="E575" s="174"/>
    </row>
    <row r="576">
      <c r="A576" s="174"/>
      <c r="B576" s="174"/>
      <c r="C576" s="174"/>
      <c r="D576" s="174"/>
      <c r="E576" s="174"/>
    </row>
    <row r="577">
      <c r="A577" s="174"/>
      <c r="B577" s="174"/>
      <c r="C577" s="174"/>
      <c r="D577" s="174"/>
      <c r="E577" s="174"/>
    </row>
    <row r="578">
      <c r="A578" s="174"/>
      <c r="B578" s="174"/>
      <c r="C578" s="174"/>
      <c r="D578" s="174"/>
      <c r="E578" s="174"/>
    </row>
    <row r="579">
      <c r="A579" s="174"/>
      <c r="B579" s="174"/>
      <c r="C579" s="174"/>
      <c r="D579" s="174"/>
      <c r="E579" s="174"/>
    </row>
    <row r="580">
      <c r="A580" s="174"/>
      <c r="B580" s="174"/>
      <c r="C580" s="174"/>
      <c r="D580" s="174"/>
      <c r="E580" s="174"/>
    </row>
    <row r="581">
      <c r="A581" s="174"/>
      <c r="B581" s="174"/>
      <c r="C581" s="174"/>
      <c r="D581" s="174"/>
      <c r="E581" s="174"/>
    </row>
    <row r="582">
      <c r="A582" s="174"/>
      <c r="B582" s="174"/>
      <c r="C582" s="174"/>
      <c r="D582" s="174"/>
      <c r="E582" s="174"/>
    </row>
    <row r="583">
      <c r="A583" s="174"/>
      <c r="B583" s="174"/>
      <c r="C583" s="174"/>
      <c r="D583" s="174"/>
      <c r="E583" s="174"/>
    </row>
    <row r="584">
      <c r="A584" s="174"/>
      <c r="B584" s="174"/>
      <c r="C584" s="174"/>
      <c r="D584" s="174"/>
      <c r="E584" s="174"/>
    </row>
    <row r="585">
      <c r="A585" s="174"/>
      <c r="B585" s="174"/>
      <c r="C585" s="174"/>
      <c r="D585" s="174"/>
      <c r="E585" s="174"/>
    </row>
    <row r="586">
      <c r="A586" s="174"/>
      <c r="B586" s="174"/>
      <c r="C586" s="174"/>
      <c r="D586" s="174"/>
      <c r="E586" s="174"/>
    </row>
    <row r="587">
      <c r="A587" s="174"/>
      <c r="B587" s="174"/>
      <c r="C587" s="174"/>
      <c r="D587" s="174"/>
      <c r="E587" s="174"/>
    </row>
    <row r="588">
      <c r="A588" s="174"/>
      <c r="B588" s="174"/>
      <c r="C588" s="174"/>
      <c r="D588" s="174"/>
      <c r="E588" s="174"/>
    </row>
    <row r="589">
      <c r="A589" s="174"/>
      <c r="B589" s="174"/>
      <c r="C589" s="174"/>
      <c r="D589" s="174"/>
      <c r="E589" s="174"/>
    </row>
    <row r="590">
      <c r="A590" s="174"/>
      <c r="B590" s="174"/>
      <c r="C590" s="174"/>
      <c r="D590" s="174"/>
      <c r="E590" s="174"/>
    </row>
    <row r="591">
      <c r="A591" s="174"/>
      <c r="B591" s="174"/>
      <c r="C591" s="174"/>
      <c r="D591" s="174"/>
      <c r="E591" s="174"/>
    </row>
    <row r="592">
      <c r="A592" s="174"/>
      <c r="B592" s="174"/>
      <c r="C592" s="174"/>
      <c r="D592" s="174"/>
      <c r="E592" s="174"/>
    </row>
    <row r="593">
      <c r="A593" s="174"/>
      <c r="B593" s="174"/>
      <c r="C593" s="174"/>
      <c r="D593" s="174"/>
      <c r="E593" s="174"/>
    </row>
    <row r="594">
      <c r="A594" s="174"/>
      <c r="B594" s="174"/>
      <c r="C594" s="174"/>
      <c r="D594" s="174"/>
      <c r="E594" s="174"/>
    </row>
    <row r="595">
      <c r="A595" s="174"/>
      <c r="B595" s="174"/>
      <c r="C595" s="174"/>
      <c r="D595" s="174"/>
      <c r="E595" s="174"/>
    </row>
    <row r="596">
      <c r="A596" s="174"/>
      <c r="B596" s="174"/>
      <c r="C596" s="174"/>
      <c r="D596" s="174"/>
      <c r="E596" s="174"/>
    </row>
    <row r="597">
      <c r="A597" s="174"/>
      <c r="B597" s="174"/>
      <c r="C597" s="174"/>
      <c r="D597" s="174"/>
      <c r="E597" s="174"/>
    </row>
    <row r="598">
      <c r="A598" s="174"/>
      <c r="B598" s="174"/>
      <c r="C598" s="174"/>
      <c r="D598" s="174"/>
      <c r="E598" s="174"/>
    </row>
    <row r="599">
      <c r="A599" s="174"/>
      <c r="B599" s="174"/>
      <c r="C599" s="174"/>
      <c r="D599" s="174"/>
      <c r="E599" s="174"/>
    </row>
    <row r="600">
      <c r="A600" s="174"/>
      <c r="B600" s="174"/>
      <c r="C600" s="174"/>
      <c r="D600" s="174"/>
      <c r="E600" s="174"/>
    </row>
    <row r="601">
      <c r="A601" s="174"/>
      <c r="B601" s="174"/>
      <c r="C601" s="174"/>
      <c r="D601" s="174"/>
      <c r="E601" s="174"/>
    </row>
    <row r="602">
      <c r="A602" s="174"/>
      <c r="B602" s="174"/>
      <c r="C602" s="174"/>
      <c r="D602" s="174"/>
      <c r="E602" s="174"/>
    </row>
    <row r="603">
      <c r="A603" s="174"/>
      <c r="B603" s="174"/>
      <c r="C603" s="174"/>
      <c r="D603" s="174"/>
      <c r="E603" s="174"/>
    </row>
    <row r="604">
      <c r="A604" s="174"/>
      <c r="B604" s="174"/>
      <c r="C604" s="174"/>
      <c r="D604" s="174"/>
      <c r="E604" s="174"/>
    </row>
    <row r="605">
      <c r="A605" s="174"/>
      <c r="B605" s="174"/>
      <c r="C605" s="174"/>
      <c r="D605" s="174"/>
      <c r="E605" s="174"/>
    </row>
    <row r="606">
      <c r="A606" s="174"/>
      <c r="B606" s="174"/>
      <c r="C606" s="174"/>
      <c r="D606" s="174"/>
      <c r="E606" s="174"/>
    </row>
    <row r="607">
      <c r="A607" s="174"/>
      <c r="B607" s="174"/>
      <c r="C607" s="174"/>
      <c r="D607" s="174"/>
      <c r="E607" s="174"/>
    </row>
    <row r="608">
      <c r="A608" s="174"/>
      <c r="B608" s="174"/>
      <c r="C608" s="174"/>
      <c r="D608" s="174"/>
      <c r="E608" s="174"/>
    </row>
    <row r="609">
      <c r="A609" s="174"/>
      <c r="B609" s="174"/>
      <c r="C609" s="174"/>
      <c r="D609" s="174"/>
      <c r="E609" s="174"/>
    </row>
    <row r="610">
      <c r="A610" s="174"/>
      <c r="B610" s="174"/>
      <c r="C610" s="174"/>
      <c r="D610" s="174"/>
      <c r="E610" s="174"/>
    </row>
    <row r="611">
      <c r="A611" s="174"/>
      <c r="B611" s="174"/>
      <c r="C611" s="174"/>
      <c r="D611" s="174"/>
      <c r="E611" s="174"/>
    </row>
    <row r="612">
      <c r="A612" s="174"/>
      <c r="B612" s="174"/>
      <c r="C612" s="174"/>
      <c r="D612" s="174"/>
      <c r="E612" s="174"/>
    </row>
    <row r="613">
      <c r="A613" s="174"/>
      <c r="B613" s="174"/>
      <c r="C613" s="174"/>
      <c r="D613" s="174"/>
      <c r="E613" s="174"/>
    </row>
    <row r="614">
      <c r="A614" s="174"/>
      <c r="B614" s="174"/>
      <c r="C614" s="174"/>
      <c r="D614" s="174"/>
      <c r="E614" s="174"/>
    </row>
    <row r="615">
      <c r="A615" s="174"/>
      <c r="B615" s="174"/>
      <c r="C615" s="174"/>
      <c r="D615" s="174"/>
      <c r="E615" s="174"/>
    </row>
    <row r="616">
      <c r="A616" s="174"/>
      <c r="B616" s="174"/>
      <c r="C616" s="174"/>
      <c r="D616" s="174"/>
      <c r="E616" s="174"/>
    </row>
    <row r="617">
      <c r="A617" s="174"/>
      <c r="B617" s="174"/>
      <c r="C617" s="174"/>
      <c r="D617" s="174"/>
      <c r="E617" s="174"/>
    </row>
    <row r="618">
      <c r="A618" s="174"/>
      <c r="B618" s="174"/>
      <c r="C618" s="174"/>
      <c r="D618" s="174"/>
      <c r="E618" s="174"/>
    </row>
    <row r="619">
      <c r="A619" s="174"/>
      <c r="B619" s="174"/>
      <c r="C619" s="174"/>
      <c r="D619" s="174"/>
      <c r="E619" s="174"/>
    </row>
    <row r="620">
      <c r="A620" s="174"/>
      <c r="B620" s="174"/>
      <c r="C620" s="174"/>
      <c r="D620" s="174"/>
      <c r="E620" s="174"/>
    </row>
    <row r="621">
      <c r="A621" s="174"/>
      <c r="B621" s="174"/>
      <c r="C621" s="174"/>
      <c r="D621" s="174"/>
      <c r="E621" s="174"/>
    </row>
    <row r="622">
      <c r="A622" s="174"/>
      <c r="B622" s="174"/>
      <c r="C622" s="174"/>
      <c r="D622" s="174"/>
      <c r="E622" s="174"/>
    </row>
    <row r="623">
      <c r="A623" s="174"/>
      <c r="B623" s="174"/>
      <c r="C623" s="174"/>
      <c r="D623" s="174"/>
      <c r="E623" s="174"/>
    </row>
    <row r="624">
      <c r="A624" s="174"/>
      <c r="B624" s="174"/>
      <c r="C624" s="174"/>
      <c r="D624" s="174"/>
      <c r="E624" s="174"/>
    </row>
    <row r="625">
      <c r="A625" s="174"/>
      <c r="B625" s="174"/>
      <c r="C625" s="174"/>
      <c r="D625" s="174"/>
      <c r="E625" s="174"/>
    </row>
    <row r="626">
      <c r="A626" s="174"/>
      <c r="B626" s="174"/>
      <c r="C626" s="174"/>
      <c r="D626" s="174"/>
      <c r="E626" s="174"/>
    </row>
    <row r="627">
      <c r="A627" s="174"/>
      <c r="B627" s="174"/>
      <c r="C627" s="174"/>
      <c r="D627" s="174"/>
      <c r="E627" s="174"/>
    </row>
    <row r="628">
      <c r="A628" s="174"/>
      <c r="B628" s="174"/>
      <c r="C628" s="174"/>
      <c r="D628" s="174"/>
      <c r="E628" s="174"/>
    </row>
    <row r="629">
      <c r="A629" s="174"/>
      <c r="B629" s="174"/>
      <c r="C629" s="174"/>
      <c r="D629" s="174"/>
      <c r="E629" s="174"/>
    </row>
    <row r="630">
      <c r="A630" s="174"/>
      <c r="B630" s="174"/>
      <c r="C630" s="174"/>
      <c r="D630" s="174"/>
      <c r="E630" s="174"/>
    </row>
    <row r="631">
      <c r="A631" s="174"/>
      <c r="B631" s="174"/>
      <c r="C631" s="174"/>
      <c r="D631" s="174"/>
      <c r="E631" s="174"/>
    </row>
    <row r="632">
      <c r="A632" s="174"/>
      <c r="B632" s="174"/>
      <c r="C632" s="174"/>
      <c r="D632" s="174"/>
      <c r="E632" s="174"/>
    </row>
    <row r="633">
      <c r="A633" s="174"/>
      <c r="B633" s="174"/>
      <c r="C633" s="174"/>
      <c r="D633" s="174"/>
      <c r="E633" s="174"/>
    </row>
    <row r="634">
      <c r="A634" s="174"/>
      <c r="B634" s="174"/>
      <c r="C634" s="174"/>
      <c r="D634" s="174"/>
      <c r="E634" s="174"/>
    </row>
    <row r="635">
      <c r="A635" s="174"/>
      <c r="B635" s="174"/>
      <c r="C635" s="174"/>
      <c r="D635" s="174"/>
      <c r="E635" s="174"/>
    </row>
    <row r="636">
      <c r="A636" s="174"/>
      <c r="B636" s="174"/>
      <c r="C636" s="174"/>
      <c r="D636" s="174"/>
      <c r="E636" s="174"/>
    </row>
    <row r="637">
      <c r="A637" s="174"/>
      <c r="B637" s="174"/>
      <c r="C637" s="174"/>
      <c r="D637" s="174"/>
      <c r="E637" s="174"/>
    </row>
    <row r="638">
      <c r="A638" s="174"/>
      <c r="B638" s="174"/>
      <c r="C638" s="174"/>
      <c r="D638" s="174"/>
      <c r="E638" s="174"/>
    </row>
    <row r="639">
      <c r="A639" s="174"/>
      <c r="B639" s="174"/>
      <c r="C639" s="174"/>
      <c r="D639" s="174"/>
      <c r="E639" s="174"/>
    </row>
    <row r="640">
      <c r="A640" s="174"/>
      <c r="B640" s="174"/>
      <c r="C640" s="174"/>
      <c r="D640" s="174"/>
      <c r="E640" s="174"/>
    </row>
    <row r="641">
      <c r="A641" s="174"/>
      <c r="B641" s="174"/>
      <c r="C641" s="174"/>
      <c r="D641" s="174"/>
      <c r="E641" s="174"/>
    </row>
    <row r="642">
      <c r="A642" s="174"/>
      <c r="B642" s="174"/>
      <c r="C642" s="174"/>
      <c r="D642" s="174"/>
      <c r="E642" s="174"/>
    </row>
    <row r="643">
      <c r="A643" s="174"/>
      <c r="B643" s="174"/>
      <c r="C643" s="174"/>
      <c r="D643" s="174"/>
      <c r="E643" s="174"/>
    </row>
    <row r="644">
      <c r="A644" s="174"/>
      <c r="B644" s="174"/>
      <c r="C644" s="174"/>
      <c r="D644" s="174"/>
      <c r="E644" s="174"/>
    </row>
    <row r="645">
      <c r="A645" s="174"/>
      <c r="B645" s="174"/>
      <c r="C645" s="174"/>
      <c r="D645" s="174"/>
      <c r="E645" s="174"/>
    </row>
    <row r="646">
      <c r="A646" s="174"/>
      <c r="B646" s="174"/>
      <c r="C646" s="174"/>
      <c r="D646" s="174"/>
      <c r="E646" s="174"/>
    </row>
    <row r="647">
      <c r="A647" s="174"/>
      <c r="B647" s="174"/>
      <c r="C647" s="174"/>
      <c r="D647" s="174"/>
      <c r="E647" s="174"/>
    </row>
    <row r="648">
      <c r="A648" s="174"/>
      <c r="B648" s="174"/>
      <c r="C648" s="174"/>
      <c r="D648" s="174"/>
      <c r="E648" s="174"/>
    </row>
    <row r="649">
      <c r="A649" s="174"/>
      <c r="B649" s="174"/>
      <c r="C649" s="174"/>
      <c r="D649" s="174"/>
      <c r="E649" s="174"/>
    </row>
    <row r="650">
      <c r="A650" s="174"/>
      <c r="B650" s="174"/>
      <c r="C650" s="174"/>
      <c r="D650" s="174"/>
      <c r="E650" s="174"/>
    </row>
    <row r="651">
      <c r="A651" s="174"/>
      <c r="B651" s="174"/>
      <c r="C651" s="174"/>
      <c r="D651" s="174"/>
      <c r="E651" s="174"/>
    </row>
    <row r="652">
      <c r="A652" s="174"/>
      <c r="B652" s="174"/>
      <c r="C652" s="174"/>
      <c r="D652" s="174"/>
      <c r="E652" s="174"/>
    </row>
    <row r="653">
      <c r="A653" s="174"/>
      <c r="B653" s="174"/>
      <c r="C653" s="174"/>
      <c r="D653" s="174"/>
      <c r="E653" s="174"/>
    </row>
    <row r="654">
      <c r="A654" s="174"/>
      <c r="B654" s="174"/>
      <c r="C654" s="174"/>
      <c r="D654" s="174"/>
      <c r="E654" s="174"/>
    </row>
    <row r="655">
      <c r="A655" s="174"/>
      <c r="B655" s="174"/>
      <c r="C655" s="174"/>
      <c r="D655" s="174"/>
      <c r="E655" s="174"/>
    </row>
    <row r="656">
      <c r="A656" s="174"/>
      <c r="B656" s="174"/>
      <c r="C656" s="174"/>
      <c r="D656" s="174"/>
      <c r="E656" s="174"/>
    </row>
    <row r="657">
      <c r="A657" s="174"/>
      <c r="B657" s="174"/>
      <c r="C657" s="174"/>
      <c r="D657" s="174"/>
      <c r="E657" s="174"/>
    </row>
    <row r="658">
      <c r="A658" s="174"/>
      <c r="B658" s="174"/>
      <c r="C658" s="174"/>
      <c r="D658" s="174"/>
      <c r="E658" s="174"/>
    </row>
    <row r="659">
      <c r="A659" s="174"/>
      <c r="B659" s="174"/>
      <c r="C659" s="174"/>
      <c r="D659" s="174"/>
      <c r="E659" s="174"/>
    </row>
    <row r="660">
      <c r="A660" s="174"/>
      <c r="B660" s="174"/>
      <c r="C660" s="174"/>
      <c r="D660" s="174"/>
      <c r="E660" s="174"/>
    </row>
    <row r="661">
      <c r="A661" s="174"/>
      <c r="B661" s="174"/>
      <c r="C661" s="174"/>
      <c r="D661" s="174"/>
      <c r="E661" s="174"/>
    </row>
    <row r="662">
      <c r="A662" s="174"/>
      <c r="B662" s="174"/>
      <c r="C662" s="174"/>
      <c r="D662" s="174"/>
      <c r="E662" s="174"/>
    </row>
    <row r="663">
      <c r="A663" s="174"/>
      <c r="B663" s="174"/>
      <c r="C663" s="174"/>
      <c r="D663" s="174"/>
      <c r="E663" s="174"/>
    </row>
    <row r="664">
      <c r="A664" s="174"/>
      <c r="B664" s="174"/>
      <c r="C664" s="174"/>
      <c r="D664" s="174"/>
      <c r="E664" s="174"/>
    </row>
    <row r="665">
      <c r="A665" s="174"/>
      <c r="B665" s="174"/>
      <c r="C665" s="174"/>
      <c r="D665" s="174"/>
      <c r="E665" s="174"/>
    </row>
    <row r="666">
      <c r="A666" s="174"/>
      <c r="B666" s="174"/>
      <c r="C666" s="174"/>
      <c r="D666" s="174"/>
      <c r="E666" s="174"/>
    </row>
    <row r="667">
      <c r="A667" s="174"/>
      <c r="B667" s="174"/>
      <c r="C667" s="174"/>
      <c r="D667" s="174"/>
      <c r="E667" s="174"/>
    </row>
    <row r="668">
      <c r="A668" s="174"/>
      <c r="B668" s="174"/>
      <c r="C668" s="174"/>
      <c r="D668" s="174"/>
      <c r="E668" s="174"/>
    </row>
    <row r="669">
      <c r="A669" s="174"/>
      <c r="B669" s="174"/>
      <c r="C669" s="174"/>
      <c r="D669" s="174"/>
      <c r="E669" s="174"/>
    </row>
    <row r="670">
      <c r="A670" s="174"/>
      <c r="B670" s="174"/>
      <c r="C670" s="174"/>
      <c r="D670" s="174"/>
      <c r="E670" s="174"/>
    </row>
    <row r="671">
      <c r="A671" s="174"/>
      <c r="B671" s="174"/>
      <c r="C671" s="174"/>
      <c r="D671" s="174"/>
      <c r="E671" s="174"/>
    </row>
    <row r="672">
      <c r="A672" s="174"/>
      <c r="B672" s="174"/>
      <c r="C672" s="174"/>
      <c r="D672" s="174"/>
      <c r="E672" s="174"/>
    </row>
    <row r="673">
      <c r="A673" s="174"/>
      <c r="B673" s="174"/>
      <c r="C673" s="174"/>
      <c r="D673" s="174"/>
      <c r="E673" s="174"/>
    </row>
    <row r="674">
      <c r="A674" s="174"/>
      <c r="B674" s="174"/>
      <c r="C674" s="174"/>
      <c r="D674" s="174"/>
      <c r="E674" s="174"/>
    </row>
    <row r="675">
      <c r="A675" s="174"/>
      <c r="B675" s="174"/>
      <c r="C675" s="174"/>
      <c r="D675" s="174"/>
      <c r="E675" s="174"/>
    </row>
    <row r="676">
      <c r="A676" s="174"/>
      <c r="B676" s="174"/>
      <c r="C676" s="174"/>
      <c r="D676" s="174"/>
      <c r="E676" s="174"/>
    </row>
    <row r="677">
      <c r="A677" s="174"/>
      <c r="B677" s="174"/>
      <c r="C677" s="174"/>
      <c r="D677" s="174"/>
      <c r="E677" s="174"/>
    </row>
    <row r="678">
      <c r="A678" s="174"/>
      <c r="B678" s="174"/>
      <c r="C678" s="174"/>
      <c r="D678" s="174"/>
      <c r="E678" s="174"/>
    </row>
    <row r="679">
      <c r="A679" s="174"/>
      <c r="B679" s="174"/>
      <c r="C679" s="174"/>
      <c r="D679" s="174"/>
      <c r="E679" s="174"/>
    </row>
    <row r="680">
      <c r="A680" s="174"/>
      <c r="B680" s="174"/>
      <c r="C680" s="174"/>
      <c r="D680" s="174"/>
      <c r="E680" s="174"/>
    </row>
    <row r="681">
      <c r="A681" s="174"/>
      <c r="B681" s="174"/>
      <c r="C681" s="174"/>
      <c r="D681" s="174"/>
      <c r="E681" s="174"/>
    </row>
    <row r="682">
      <c r="A682" s="174"/>
      <c r="B682" s="174"/>
      <c r="C682" s="174"/>
      <c r="D682" s="174"/>
      <c r="E682" s="174"/>
    </row>
    <row r="683">
      <c r="A683" s="174"/>
      <c r="B683" s="174"/>
      <c r="C683" s="174"/>
      <c r="D683" s="174"/>
      <c r="E683" s="174"/>
    </row>
    <row r="684">
      <c r="A684" s="174"/>
      <c r="B684" s="174"/>
      <c r="C684" s="174"/>
      <c r="D684" s="174"/>
      <c r="E684" s="174"/>
    </row>
    <row r="685">
      <c r="A685" s="174"/>
      <c r="B685" s="174"/>
      <c r="C685" s="174"/>
      <c r="D685" s="174"/>
      <c r="E685" s="174"/>
    </row>
    <row r="686">
      <c r="A686" s="174"/>
      <c r="B686" s="174"/>
      <c r="C686" s="174"/>
      <c r="D686" s="174"/>
      <c r="E686" s="174"/>
    </row>
    <row r="687">
      <c r="A687" s="174"/>
      <c r="B687" s="174"/>
      <c r="C687" s="174"/>
      <c r="D687" s="174"/>
      <c r="E687" s="174"/>
    </row>
    <row r="688">
      <c r="A688" s="174"/>
      <c r="B688" s="174"/>
      <c r="C688" s="174"/>
      <c r="D688" s="174"/>
      <c r="E688" s="174"/>
    </row>
    <row r="689">
      <c r="A689" s="174"/>
      <c r="B689" s="174"/>
      <c r="C689" s="174"/>
      <c r="D689" s="174"/>
      <c r="E689" s="174"/>
    </row>
    <row r="690">
      <c r="A690" s="174"/>
      <c r="B690" s="174"/>
      <c r="C690" s="174"/>
      <c r="D690" s="174"/>
      <c r="E690" s="174"/>
    </row>
    <row r="691">
      <c r="A691" s="174"/>
      <c r="B691" s="174"/>
      <c r="C691" s="174"/>
      <c r="D691" s="174"/>
      <c r="E691" s="174"/>
    </row>
    <row r="692">
      <c r="A692" s="174"/>
      <c r="B692" s="174"/>
      <c r="C692" s="174"/>
      <c r="D692" s="174"/>
      <c r="E692" s="174"/>
    </row>
    <row r="693">
      <c r="A693" s="174"/>
      <c r="B693" s="174"/>
      <c r="C693" s="174"/>
      <c r="D693" s="174"/>
      <c r="E693" s="174"/>
    </row>
    <row r="694">
      <c r="A694" s="174"/>
      <c r="B694" s="174"/>
      <c r="C694" s="174"/>
      <c r="D694" s="174"/>
      <c r="E694" s="174"/>
    </row>
    <row r="695">
      <c r="A695" s="174"/>
      <c r="B695" s="174"/>
      <c r="C695" s="174"/>
      <c r="D695" s="174"/>
      <c r="E695" s="174"/>
    </row>
    <row r="696">
      <c r="A696" s="174"/>
      <c r="B696" s="174"/>
      <c r="C696" s="174"/>
      <c r="D696" s="174"/>
      <c r="E696" s="174"/>
    </row>
    <row r="697">
      <c r="A697" s="174"/>
      <c r="B697" s="174"/>
      <c r="C697" s="174"/>
      <c r="D697" s="174"/>
      <c r="E697" s="174"/>
    </row>
    <row r="698">
      <c r="A698" s="174"/>
      <c r="B698" s="174"/>
      <c r="C698" s="174"/>
      <c r="D698" s="174"/>
      <c r="E698" s="174"/>
    </row>
    <row r="699">
      <c r="A699" s="174"/>
      <c r="B699" s="174"/>
      <c r="C699" s="174"/>
      <c r="D699" s="174"/>
      <c r="E699" s="174"/>
    </row>
    <row r="700">
      <c r="A700" s="174"/>
      <c r="B700" s="174"/>
      <c r="C700" s="174"/>
      <c r="D700" s="174"/>
      <c r="E700" s="174"/>
    </row>
    <row r="701">
      <c r="A701" s="174"/>
      <c r="B701" s="174"/>
      <c r="C701" s="174"/>
      <c r="D701" s="174"/>
      <c r="E701" s="174"/>
    </row>
    <row r="702">
      <c r="A702" s="174"/>
      <c r="B702" s="174"/>
      <c r="C702" s="174"/>
      <c r="D702" s="174"/>
      <c r="E702" s="174"/>
    </row>
    <row r="703">
      <c r="A703" s="174"/>
      <c r="B703" s="174"/>
      <c r="C703" s="174"/>
      <c r="D703" s="174"/>
      <c r="E703" s="174"/>
    </row>
    <row r="704">
      <c r="A704" s="174"/>
      <c r="B704" s="174"/>
      <c r="C704" s="174"/>
      <c r="D704" s="174"/>
      <c r="E704" s="174"/>
    </row>
    <row r="705">
      <c r="A705" s="174"/>
      <c r="B705" s="174"/>
      <c r="C705" s="174"/>
      <c r="D705" s="174"/>
      <c r="E705" s="174"/>
    </row>
    <row r="706">
      <c r="A706" s="174"/>
      <c r="B706" s="174"/>
      <c r="C706" s="174"/>
      <c r="D706" s="174"/>
      <c r="E706" s="174"/>
    </row>
    <row r="707">
      <c r="A707" s="174"/>
      <c r="B707" s="174"/>
      <c r="C707" s="174"/>
      <c r="D707" s="174"/>
      <c r="E707" s="174"/>
    </row>
    <row r="708">
      <c r="A708" s="174"/>
      <c r="B708" s="174"/>
      <c r="C708" s="174"/>
      <c r="D708" s="174"/>
      <c r="E708" s="174"/>
    </row>
    <row r="709">
      <c r="A709" s="174"/>
      <c r="B709" s="174"/>
      <c r="C709" s="174"/>
      <c r="D709" s="174"/>
      <c r="E709" s="174"/>
    </row>
    <row r="710">
      <c r="A710" s="174"/>
      <c r="B710" s="174"/>
      <c r="C710" s="174"/>
      <c r="D710" s="174"/>
      <c r="E710" s="174"/>
    </row>
    <row r="711">
      <c r="A711" s="174"/>
      <c r="B711" s="174"/>
      <c r="C711" s="174"/>
      <c r="D711" s="174"/>
      <c r="E711" s="174"/>
    </row>
    <row r="712">
      <c r="A712" s="174"/>
      <c r="B712" s="174"/>
      <c r="C712" s="174"/>
      <c r="D712" s="174"/>
      <c r="E712" s="174"/>
    </row>
    <row r="713">
      <c r="A713" s="174"/>
      <c r="B713" s="174"/>
      <c r="C713" s="174"/>
      <c r="D713" s="174"/>
      <c r="E713" s="174"/>
    </row>
    <row r="714">
      <c r="A714" s="174"/>
      <c r="B714" s="174"/>
      <c r="C714" s="174"/>
      <c r="D714" s="174"/>
      <c r="E714" s="174"/>
    </row>
    <row r="715">
      <c r="A715" s="174"/>
      <c r="B715" s="174"/>
      <c r="C715" s="174"/>
      <c r="D715" s="174"/>
      <c r="E715" s="174"/>
    </row>
    <row r="716">
      <c r="A716" s="174"/>
      <c r="B716" s="174"/>
      <c r="C716" s="174"/>
      <c r="D716" s="174"/>
      <c r="E716" s="174"/>
    </row>
    <row r="717">
      <c r="A717" s="174"/>
      <c r="B717" s="174"/>
      <c r="C717" s="174"/>
      <c r="D717" s="174"/>
      <c r="E717" s="174"/>
    </row>
    <row r="718">
      <c r="A718" s="174"/>
      <c r="B718" s="174"/>
      <c r="C718" s="174"/>
      <c r="D718" s="174"/>
      <c r="E718" s="174"/>
    </row>
    <row r="719">
      <c r="A719" s="174"/>
      <c r="B719" s="174"/>
      <c r="C719" s="174"/>
      <c r="D719" s="174"/>
      <c r="E719" s="174"/>
    </row>
    <row r="720">
      <c r="A720" s="174"/>
      <c r="B720" s="174"/>
      <c r="C720" s="174"/>
      <c r="D720" s="174"/>
      <c r="E720" s="174"/>
    </row>
    <row r="721">
      <c r="A721" s="174"/>
      <c r="B721" s="174"/>
      <c r="C721" s="174"/>
      <c r="D721" s="174"/>
      <c r="E721" s="174"/>
    </row>
    <row r="722">
      <c r="A722" s="174"/>
      <c r="B722" s="174"/>
      <c r="C722" s="174"/>
      <c r="D722" s="174"/>
      <c r="E722" s="174"/>
    </row>
    <row r="723">
      <c r="A723" s="174"/>
      <c r="B723" s="174"/>
      <c r="C723" s="174"/>
      <c r="D723" s="174"/>
      <c r="E723" s="174"/>
    </row>
    <row r="724">
      <c r="A724" s="174"/>
      <c r="B724" s="174"/>
      <c r="C724" s="174"/>
      <c r="D724" s="174"/>
      <c r="E724" s="174"/>
    </row>
    <row r="725">
      <c r="A725" s="174"/>
      <c r="B725" s="174"/>
      <c r="C725" s="174"/>
      <c r="D725" s="174"/>
      <c r="E725" s="174"/>
    </row>
    <row r="726">
      <c r="A726" s="174"/>
      <c r="B726" s="174"/>
      <c r="C726" s="174"/>
      <c r="D726" s="174"/>
      <c r="E726" s="174"/>
    </row>
    <row r="727">
      <c r="A727" s="174"/>
      <c r="B727" s="174"/>
      <c r="C727" s="174"/>
      <c r="D727" s="174"/>
      <c r="E727" s="174"/>
    </row>
    <row r="728">
      <c r="A728" s="174"/>
      <c r="B728" s="174"/>
      <c r="C728" s="174"/>
      <c r="D728" s="174"/>
      <c r="E728" s="174"/>
    </row>
    <row r="729">
      <c r="A729" s="174"/>
      <c r="B729" s="174"/>
      <c r="C729" s="174"/>
      <c r="D729" s="174"/>
      <c r="E729" s="174"/>
    </row>
    <row r="730">
      <c r="A730" s="174"/>
      <c r="B730" s="174"/>
      <c r="C730" s="174"/>
      <c r="D730" s="174"/>
      <c r="E730" s="174"/>
    </row>
    <row r="731">
      <c r="A731" s="174"/>
      <c r="B731" s="174"/>
      <c r="C731" s="174"/>
      <c r="D731" s="174"/>
      <c r="E731" s="174"/>
    </row>
    <row r="732">
      <c r="A732" s="174"/>
      <c r="B732" s="174"/>
      <c r="C732" s="174"/>
      <c r="D732" s="174"/>
      <c r="E732" s="174"/>
    </row>
    <row r="733">
      <c r="A733" s="174"/>
      <c r="B733" s="174"/>
      <c r="C733" s="174"/>
      <c r="D733" s="174"/>
      <c r="E733" s="174"/>
    </row>
    <row r="734">
      <c r="A734" s="174"/>
      <c r="B734" s="174"/>
      <c r="C734" s="174"/>
      <c r="D734" s="174"/>
      <c r="E734" s="174"/>
    </row>
    <row r="735">
      <c r="A735" s="174"/>
      <c r="B735" s="174"/>
      <c r="C735" s="174"/>
      <c r="D735" s="174"/>
      <c r="E735" s="174"/>
    </row>
    <row r="736">
      <c r="A736" s="174"/>
      <c r="B736" s="174"/>
      <c r="C736" s="174"/>
      <c r="D736" s="174"/>
      <c r="E736" s="174"/>
    </row>
    <row r="737">
      <c r="A737" s="174"/>
      <c r="B737" s="174"/>
      <c r="C737" s="174"/>
      <c r="D737" s="174"/>
      <c r="E737" s="174"/>
    </row>
    <row r="738">
      <c r="A738" s="174"/>
      <c r="B738" s="174"/>
      <c r="C738" s="174"/>
      <c r="D738" s="174"/>
      <c r="E738" s="174"/>
    </row>
    <row r="739">
      <c r="A739" s="174"/>
      <c r="B739" s="174"/>
      <c r="C739" s="174"/>
      <c r="D739" s="174"/>
      <c r="E739" s="174"/>
    </row>
    <row r="740">
      <c r="A740" s="174"/>
      <c r="B740" s="174"/>
      <c r="C740" s="174"/>
      <c r="D740" s="174"/>
      <c r="E740" s="174"/>
    </row>
    <row r="741">
      <c r="A741" s="174"/>
      <c r="B741" s="174"/>
      <c r="C741" s="174"/>
      <c r="D741" s="174"/>
      <c r="E741" s="174"/>
    </row>
    <row r="742">
      <c r="A742" s="174"/>
      <c r="B742" s="174"/>
      <c r="C742" s="174"/>
      <c r="D742" s="174"/>
      <c r="E742" s="174"/>
    </row>
    <row r="743">
      <c r="A743" s="174"/>
      <c r="B743" s="174"/>
      <c r="C743" s="174"/>
      <c r="D743" s="174"/>
      <c r="E743" s="174"/>
    </row>
    <row r="744">
      <c r="A744" s="174"/>
      <c r="B744" s="174"/>
      <c r="C744" s="174"/>
      <c r="D744" s="174"/>
      <c r="E744" s="174"/>
    </row>
    <row r="745">
      <c r="A745" s="174"/>
      <c r="B745" s="174"/>
      <c r="C745" s="174"/>
      <c r="D745" s="174"/>
      <c r="E745" s="174"/>
    </row>
    <row r="746">
      <c r="A746" s="174"/>
      <c r="B746" s="174"/>
      <c r="C746" s="174"/>
      <c r="D746" s="174"/>
      <c r="E746" s="174"/>
    </row>
    <row r="747">
      <c r="A747" s="174"/>
      <c r="B747" s="174"/>
      <c r="C747" s="174"/>
      <c r="D747" s="174"/>
      <c r="E747" s="174"/>
    </row>
    <row r="748">
      <c r="A748" s="174"/>
      <c r="B748" s="174"/>
      <c r="C748" s="174"/>
      <c r="D748" s="174"/>
      <c r="E748" s="174"/>
    </row>
    <row r="749">
      <c r="A749" s="174"/>
      <c r="B749" s="174"/>
      <c r="C749" s="174"/>
      <c r="D749" s="174"/>
      <c r="E749" s="174"/>
    </row>
    <row r="750">
      <c r="A750" s="174"/>
      <c r="B750" s="174"/>
      <c r="C750" s="174"/>
      <c r="D750" s="174"/>
      <c r="E750" s="174"/>
    </row>
    <row r="751">
      <c r="A751" s="174"/>
      <c r="B751" s="174"/>
      <c r="C751" s="174"/>
      <c r="D751" s="174"/>
      <c r="E751" s="174"/>
    </row>
    <row r="752">
      <c r="A752" s="174"/>
      <c r="B752" s="174"/>
      <c r="C752" s="174"/>
      <c r="D752" s="174"/>
      <c r="E752" s="174"/>
    </row>
    <row r="753">
      <c r="A753" s="174"/>
      <c r="B753" s="174"/>
      <c r="C753" s="174"/>
      <c r="D753" s="174"/>
      <c r="E753" s="174"/>
    </row>
    <row r="754">
      <c r="A754" s="174"/>
      <c r="B754" s="174"/>
      <c r="C754" s="174"/>
      <c r="D754" s="174"/>
      <c r="E754" s="174"/>
    </row>
    <row r="755">
      <c r="A755" s="174"/>
      <c r="B755" s="174"/>
      <c r="C755" s="174"/>
      <c r="D755" s="174"/>
      <c r="E755" s="174"/>
    </row>
    <row r="756">
      <c r="A756" s="174"/>
      <c r="B756" s="174"/>
      <c r="C756" s="174"/>
      <c r="D756" s="174"/>
      <c r="E756" s="174"/>
    </row>
    <row r="757">
      <c r="A757" s="174"/>
      <c r="B757" s="174"/>
      <c r="C757" s="174"/>
      <c r="D757" s="174"/>
      <c r="E757" s="174"/>
    </row>
    <row r="758">
      <c r="A758" s="174"/>
      <c r="B758" s="174"/>
      <c r="C758" s="174"/>
      <c r="D758" s="174"/>
      <c r="E758" s="174"/>
    </row>
    <row r="759">
      <c r="A759" s="174"/>
      <c r="B759" s="174"/>
      <c r="C759" s="174"/>
      <c r="D759" s="174"/>
      <c r="E759" s="174"/>
    </row>
    <row r="760">
      <c r="A760" s="174"/>
      <c r="B760" s="174"/>
      <c r="C760" s="174"/>
      <c r="D760" s="174"/>
      <c r="E760" s="174"/>
    </row>
    <row r="761">
      <c r="A761" s="174"/>
      <c r="B761" s="174"/>
      <c r="C761" s="174"/>
      <c r="D761" s="174"/>
      <c r="E761" s="174"/>
    </row>
    <row r="762">
      <c r="A762" s="174"/>
      <c r="B762" s="174"/>
      <c r="C762" s="174"/>
      <c r="D762" s="174"/>
      <c r="E762" s="174"/>
    </row>
    <row r="763">
      <c r="A763" s="174"/>
      <c r="B763" s="174"/>
      <c r="C763" s="174"/>
      <c r="D763" s="174"/>
      <c r="E763" s="174"/>
    </row>
    <row r="764">
      <c r="A764" s="174"/>
      <c r="B764" s="174"/>
      <c r="C764" s="174"/>
      <c r="D764" s="174"/>
      <c r="E764" s="174"/>
    </row>
    <row r="765">
      <c r="A765" s="174"/>
      <c r="B765" s="174"/>
      <c r="C765" s="174"/>
      <c r="D765" s="174"/>
      <c r="E765" s="174"/>
    </row>
    <row r="766">
      <c r="A766" s="174"/>
      <c r="B766" s="174"/>
      <c r="C766" s="174"/>
      <c r="D766" s="174"/>
      <c r="E766" s="174"/>
    </row>
    <row r="767">
      <c r="A767" s="174"/>
      <c r="B767" s="174"/>
      <c r="C767" s="174"/>
      <c r="D767" s="174"/>
      <c r="E767" s="174"/>
    </row>
    <row r="768">
      <c r="A768" s="174"/>
      <c r="B768" s="174"/>
      <c r="C768" s="174"/>
      <c r="D768" s="174"/>
      <c r="E768" s="174"/>
    </row>
    <row r="769">
      <c r="A769" s="174"/>
      <c r="B769" s="174"/>
      <c r="C769" s="174"/>
      <c r="D769" s="174"/>
      <c r="E769" s="174"/>
    </row>
    <row r="770">
      <c r="A770" s="174"/>
      <c r="B770" s="174"/>
      <c r="C770" s="174"/>
      <c r="D770" s="174"/>
      <c r="E770" s="174"/>
    </row>
    <row r="771">
      <c r="A771" s="174"/>
      <c r="B771" s="174"/>
      <c r="C771" s="174"/>
      <c r="D771" s="174"/>
      <c r="E771" s="174"/>
    </row>
    <row r="772">
      <c r="A772" s="174"/>
      <c r="B772" s="174"/>
      <c r="C772" s="174"/>
      <c r="D772" s="174"/>
      <c r="E772" s="174"/>
    </row>
    <row r="773">
      <c r="A773" s="174"/>
      <c r="B773" s="174"/>
      <c r="C773" s="174"/>
      <c r="D773" s="174"/>
      <c r="E773" s="174"/>
    </row>
    <row r="774">
      <c r="A774" s="174"/>
      <c r="B774" s="174"/>
      <c r="C774" s="174"/>
      <c r="D774" s="174"/>
      <c r="E774" s="174"/>
    </row>
    <row r="775">
      <c r="A775" s="174"/>
      <c r="B775" s="174"/>
      <c r="C775" s="174"/>
      <c r="D775" s="174"/>
      <c r="E775" s="174"/>
    </row>
    <row r="776">
      <c r="A776" s="174"/>
      <c r="B776" s="174"/>
      <c r="C776" s="174"/>
      <c r="D776" s="174"/>
      <c r="E776" s="174"/>
    </row>
    <row r="777">
      <c r="A777" s="174"/>
      <c r="B777" s="174"/>
      <c r="C777" s="174"/>
      <c r="D777" s="174"/>
      <c r="E777" s="174"/>
    </row>
    <row r="778">
      <c r="A778" s="174"/>
      <c r="B778" s="174"/>
      <c r="C778" s="174"/>
      <c r="D778" s="174"/>
      <c r="E778" s="174"/>
    </row>
    <row r="779">
      <c r="A779" s="174"/>
      <c r="B779" s="174"/>
      <c r="C779" s="174"/>
      <c r="D779" s="174"/>
      <c r="E779" s="174"/>
    </row>
    <row r="780">
      <c r="A780" s="174"/>
      <c r="B780" s="174"/>
      <c r="C780" s="174"/>
      <c r="D780" s="174"/>
      <c r="E780" s="174"/>
    </row>
    <row r="781">
      <c r="A781" s="174"/>
      <c r="B781" s="174"/>
      <c r="C781" s="174"/>
      <c r="D781" s="174"/>
      <c r="E781" s="174"/>
    </row>
    <row r="782">
      <c r="A782" s="174"/>
      <c r="B782" s="174"/>
      <c r="C782" s="174"/>
      <c r="D782" s="174"/>
      <c r="E782" s="174"/>
    </row>
    <row r="783">
      <c r="A783" s="174"/>
      <c r="B783" s="174"/>
      <c r="C783" s="174"/>
      <c r="D783" s="174"/>
      <c r="E783" s="174"/>
    </row>
    <row r="784">
      <c r="A784" s="174"/>
      <c r="B784" s="174"/>
      <c r="C784" s="174"/>
      <c r="D784" s="174"/>
      <c r="E784" s="174"/>
    </row>
    <row r="785">
      <c r="A785" s="174"/>
      <c r="B785" s="174"/>
      <c r="C785" s="174"/>
      <c r="D785" s="174"/>
      <c r="E785" s="174"/>
    </row>
    <row r="786">
      <c r="A786" s="174"/>
      <c r="B786" s="174"/>
      <c r="C786" s="174"/>
      <c r="D786" s="174"/>
      <c r="E786" s="174"/>
    </row>
    <row r="787">
      <c r="A787" s="174"/>
      <c r="B787" s="174"/>
      <c r="C787" s="174"/>
      <c r="D787" s="174"/>
      <c r="E787" s="174"/>
    </row>
    <row r="788">
      <c r="A788" s="174"/>
      <c r="B788" s="174"/>
      <c r="C788" s="174"/>
      <c r="D788" s="174"/>
      <c r="E788" s="174"/>
    </row>
    <row r="789">
      <c r="A789" s="174"/>
      <c r="B789" s="174"/>
      <c r="C789" s="174"/>
      <c r="D789" s="174"/>
      <c r="E789" s="174"/>
    </row>
    <row r="790">
      <c r="A790" s="174"/>
      <c r="B790" s="174"/>
      <c r="C790" s="174"/>
      <c r="D790" s="174"/>
      <c r="E790" s="174"/>
    </row>
    <row r="791">
      <c r="A791" s="174"/>
      <c r="B791" s="174"/>
      <c r="C791" s="174"/>
      <c r="D791" s="174"/>
      <c r="E791" s="174"/>
    </row>
    <row r="792">
      <c r="A792" s="174"/>
      <c r="B792" s="174"/>
      <c r="C792" s="174"/>
      <c r="D792" s="174"/>
      <c r="E792" s="174"/>
    </row>
    <row r="793">
      <c r="A793" s="174"/>
      <c r="B793" s="174"/>
      <c r="C793" s="174"/>
      <c r="D793" s="174"/>
      <c r="E793" s="174"/>
    </row>
    <row r="794">
      <c r="A794" s="174"/>
      <c r="B794" s="174"/>
      <c r="C794" s="174"/>
      <c r="D794" s="174"/>
      <c r="E794" s="174"/>
    </row>
    <row r="795">
      <c r="A795" s="174"/>
      <c r="B795" s="174"/>
      <c r="C795" s="174"/>
      <c r="D795" s="174"/>
      <c r="E795" s="174"/>
    </row>
    <row r="796">
      <c r="A796" s="174"/>
      <c r="B796" s="174"/>
      <c r="C796" s="174"/>
      <c r="D796" s="174"/>
      <c r="E796" s="174"/>
    </row>
    <row r="797">
      <c r="A797" s="174"/>
      <c r="B797" s="174"/>
      <c r="C797" s="174"/>
      <c r="D797" s="174"/>
      <c r="E797" s="174"/>
    </row>
    <row r="798">
      <c r="A798" s="174"/>
      <c r="B798" s="174"/>
      <c r="C798" s="174"/>
      <c r="D798" s="174"/>
      <c r="E798" s="174"/>
    </row>
    <row r="799">
      <c r="A799" s="174"/>
      <c r="B799" s="174"/>
      <c r="C799" s="174"/>
      <c r="D799" s="174"/>
      <c r="E799" s="174"/>
    </row>
    <row r="800">
      <c r="A800" s="174"/>
      <c r="B800" s="174"/>
      <c r="C800" s="174"/>
      <c r="D800" s="174"/>
      <c r="E800" s="174"/>
    </row>
    <row r="801">
      <c r="A801" s="174"/>
      <c r="B801" s="174"/>
      <c r="C801" s="174"/>
      <c r="D801" s="174"/>
      <c r="E801" s="174"/>
    </row>
    <row r="802">
      <c r="A802" s="174"/>
      <c r="B802" s="174"/>
      <c r="C802" s="174"/>
      <c r="D802" s="174"/>
      <c r="E802" s="174"/>
    </row>
    <row r="803">
      <c r="A803" s="174"/>
      <c r="B803" s="174"/>
      <c r="C803" s="174"/>
      <c r="D803" s="174"/>
      <c r="E803" s="174"/>
    </row>
    <row r="804">
      <c r="A804" s="174"/>
      <c r="B804" s="174"/>
      <c r="C804" s="174"/>
      <c r="D804" s="174"/>
      <c r="E804" s="174"/>
    </row>
    <row r="805">
      <c r="A805" s="174"/>
      <c r="B805" s="174"/>
      <c r="C805" s="174"/>
      <c r="D805" s="174"/>
      <c r="E805" s="174"/>
    </row>
    <row r="806">
      <c r="A806" s="174"/>
      <c r="B806" s="174"/>
      <c r="C806" s="174"/>
      <c r="D806" s="174"/>
      <c r="E806" s="174"/>
    </row>
    <row r="807">
      <c r="A807" s="174"/>
      <c r="B807" s="174"/>
      <c r="C807" s="174"/>
      <c r="D807" s="174"/>
      <c r="E807" s="174"/>
    </row>
    <row r="808">
      <c r="A808" s="174"/>
      <c r="B808" s="174"/>
      <c r="C808" s="174"/>
      <c r="D808" s="174"/>
      <c r="E808" s="174"/>
    </row>
    <row r="809">
      <c r="A809" s="174"/>
      <c r="B809" s="174"/>
      <c r="C809" s="174"/>
      <c r="D809" s="174"/>
      <c r="E809" s="174"/>
    </row>
    <row r="810">
      <c r="A810" s="174"/>
      <c r="B810" s="174"/>
      <c r="C810" s="174"/>
      <c r="D810" s="174"/>
      <c r="E810" s="174"/>
    </row>
    <row r="811">
      <c r="A811" s="174"/>
      <c r="B811" s="174"/>
      <c r="C811" s="174"/>
      <c r="D811" s="174"/>
      <c r="E811" s="174"/>
    </row>
    <row r="812">
      <c r="A812" s="174"/>
      <c r="B812" s="174"/>
      <c r="C812" s="174"/>
      <c r="D812" s="174"/>
      <c r="E812" s="174"/>
    </row>
    <row r="813">
      <c r="A813" s="174"/>
      <c r="B813" s="174"/>
      <c r="C813" s="174"/>
      <c r="D813" s="174"/>
      <c r="E813" s="174"/>
    </row>
    <row r="814">
      <c r="A814" s="174"/>
      <c r="B814" s="174"/>
      <c r="C814" s="174"/>
      <c r="D814" s="174"/>
      <c r="E814" s="174"/>
    </row>
    <row r="815">
      <c r="A815" s="174"/>
      <c r="B815" s="174"/>
      <c r="C815" s="174"/>
      <c r="D815" s="174"/>
      <c r="E815" s="174"/>
    </row>
    <row r="816">
      <c r="A816" s="174"/>
      <c r="B816" s="174"/>
      <c r="C816" s="174"/>
      <c r="D816" s="174"/>
      <c r="E816" s="174"/>
    </row>
    <row r="817">
      <c r="A817" s="174"/>
      <c r="B817" s="174"/>
      <c r="C817" s="174"/>
      <c r="D817" s="174"/>
      <c r="E817" s="174"/>
    </row>
    <row r="818">
      <c r="A818" s="174"/>
      <c r="B818" s="174"/>
      <c r="C818" s="174"/>
      <c r="D818" s="174"/>
      <c r="E818" s="174"/>
    </row>
    <row r="819">
      <c r="A819" s="174"/>
      <c r="B819" s="174"/>
      <c r="C819" s="174"/>
      <c r="D819" s="174"/>
      <c r="E819" s="174"/>
    </row>
    <row r="820">
      <c r="A820" s="174"/>
      <c r="B820" s="174"/>
      <c r="C820" s="174"/>
      <c r="D820" s="174"/>
      <c r="E820" s="174"/>
    </row>
    <row r="821">
      <c r="A821" s="174"/>
      <c r="B821" s="174"/>
      <c r="C821" s="174"/>
      <c r="D821" s="174"/>
      <c r="E821" s="174"/>
    </row>
    <row r="822">
      <c r="A822" s="174"/>
      <c r="B822" s="174"/>
      <c r="C822" s="174"/>
      <c r="D822" s="174"/>
      <c r="E822" s="174"/>
    </row>
    <row r="823">
      <c r="A823" s="174"/>
      <c r="B823" s="174"/>
      <c r="C823" s="174"/>
      <c r="D823" s="174"/>
      <c r="E823" s="174"/>
    </row>
    <row r="824">
      <c r="A824" s="174"/>
      <c r="B824" s="174"/>
      <c r="C824" s="174"/>
      <c r="D824" s="174"/>
      <c r="E824" s="174"/>
    </row>
    <row r="825">
      <c r="A825" s="174"/>
      <c r="B825" s="174"/>
      <c r="C825" s="174"/>
      <c r="D825" s="174"/>
      <c r="E825" s="174"/>
    </row>
    <row r="826">
      <c r="A826" s="174"/>
      <c r="B826" s="174"/>
      <c r="C826" s="174"/>
      <c r="D826" s="174"/>
      <c r="E826" s="174"/>
    </row>
    <row r="827">
      <c r="A827" s="174"/>
      <c r="B827" s="174"/>
      <c r="C827" s="174"/>
      <c r="D827" s="174"/>
      <c r="E827" s="174"/>
    </row>
    <row r="828">
      <c r="A828" s="174"/>
      <c r="B828" s="174"/>
      <c r="C828" s="174"/>
      <c r="D828" s="174"/>
      <c r="E828" s="174"/>
    </row>
    <row r="829">
      <c r="A829" s="174"/>
      <c r="B829" s="174"/>
      <c r="C829" s="174"/>
      <c r="D829" s="174"/>
      <c r="E829" s="174"/>
    </row>
    <row r="830">
      <c r="A830" s="174"/>
      <c r="B830" s="174"/>
      <c r="C830" s="174"/>
      <c r="D830" s="174"/>
      <c r="E830" s="174"/>
    </row>
    <row r="831">
      <c r="A831" s="174"/>
      <c r="B831" s="174"/>
      <c r="C831" s="174"/>
      <c r="D831" s="174"/>
      <c r="E831" s="174"/>
    </row>
    <row r="832">
      <c r="A832" s="174"/>
      <c r="B832" s="174"/>
      <c r="C832" s="174"/>
      <c r="D832" s="174"/>
      <c r="E832" s="174"/>
    </row>
    <row r="833">
      <c r="A833" s="174"/>
      <c r="B833" s="174"/>
      <c r="C833" s="174"/>
      <c r="D833" s="174"/>
      <c r="E833" s="174"/>
    </row>
    <row r="834">
      <c r="A834" s="174"/>
      <c r="B834" s="174"/>
      <c r="C834" s="174"/>
      <c r="D834" s="174"/>
      <c r="E834" s="174"/>
    </row>
    <row r="835">
      <c r="A835" s="174"/>
      <c r="B835" s="174"/>
      <c r="C835" s="174"/>
      <c r="D835" s="174"/>
      <c r="E835" s="174"/>
    </row>
    <row r="836">
      <c r="A836" s="174"/>
      <c r="B836" s="174"/>
      <c r="C836" s="174"/>
      <c r="D836" s="174"/>
      <c r="E836" s="174"/>
    </row>
    <row r="837">
      <c r="A837" s="174"/>
      <c r="B837" s="174"/>
      <c r="C837" s="174"/>
      <c r="D837" s="174"/>
      <c r="E837" s="174"/>
    </row>
    <row r="838">
      <c r="A838" s="174"/>
      <c r="B838" s="174"/>
      <c r="C838" s="174"/>
      <c r="D838" s="174"/>
      <c r="E838" s="174"/>
    </row>
    <row r="839">
      <c r="A839" s="174"/>
      <c r="B839" s="174"/>
      <c r="C839" s="174"/>
      <c r="D839" s="174"/>
      <c r="E839" s="174"/>
    </row>
    <row r="840">
      <c r="A840" s="174"/>
      <c r="B840" s="174"/>
      <c r="C840" s="174"/>
      <c r="D840" s="174"/>
      <c r="E840" s="174"/>
    </row>
    <row r="841">
      <c r="A841" s="174"/>
      <c r="B841" s="174"/>
      <c r="C841" s="174"/>
      <c r="D841" s="174"/>
      <c r="E841" s="174"/>
    </row>
    <row r="842">
      <c r="A842" s="174"/>
      <c r="B842" s="174"/>
      <c r="C842" s="174"/>
      <c r="D842" s="174"/>
      <c r="E842" s="174"/>
    </row>
    <row r="843">
      <c r="A843" s="174"/>
      <c r="B843" s="174"/>
      <c r="C843" s="174"/>
      <c r="D843" s="174"/>
      <c r="E843" s="174"/>
    </row>
    <row r="844">
      <c r="A844" s="174"/>
      <c r="B844" s="174"/>
      <c r="C844" s="174"/>
      <c r="D844" s="174"/>
      <c r="E844" s="174"/>
    </row>
    <row r="845">
      <c r="A845" s="174"/>
      <c r="B845" s="174"/>
      <c r="C845" s="174"/>
      <c r="D845" s="174"/>
      <c r="E845" s="174"/>
    </row>
    <row r="846">
      <c r="A846" s="174"/>
      <c r="B846" s="174"/>
      <c r="C846" s="174"/>
      <c r="D846" s="174"/>
      <c r="E846" s="174"/>
    </row>
    <row r="847">
      <c r="A847" s="174"/>
      <c r="B847" s="174"/>
      <c r="C847" s="174"/>
      <c r="D847" s="174"/>
      <c r="E847" s="174"/>
    </row>
    <row r="848">
      <c r="A848" s="174"/>
      <c r="B848" s="174"/>
      <c r="C848" s="174"/>
      <c r="D848" s="174"/>
      <c r="E848" s="174"/>
    </row>
    <row r="849">
      <c r="A849" s="174"/>
      <c r="B849" s="174"/>
      <c r="C849" s="174"/>
      <c r="D849" s="174"/>
      <c r="E849" s="174"/>
    </row>
    <row r="850">
      <c r="A850" s="174"/>
      <c r="B850" s="174"/>
      <c r="C850" s="174"/>
      <c r="D850" s="174"/>
      <c r="E850" s="174"/>
    </row>
    <row r="851">
      <c r="A851" s="174"/>
      <c r="B851" s="174"/>
      <c r="C851" s="174"/>
      <c r="D851" s="174"/>
      <c r="E851" s="174"/>
    </row>
    <row r="852">
      <c r="A852" s="174"/>
      <c r="B852" s="174"/>
      <c r="C852" s="174"/>
      <c r="D852" s="174"/>
      <c r="E852" s="174"/>
    </row>
    <row r="853">
      <c r="A853" s="174"/>
      <c r="B853" s="174"/>
      <c r="C853" s="174"/>
      <c r="D853" s="174"/>
      <c r="E853" s="174"/>
    </row>
    <row r="854">
      <c r="A854" s="174"/>
      <c r="B854" s="174"/>
      <c r="C854" s="174"/>
      <c r="D854" s="174"/>
      <c r="E854" s="174"/>
    </row>
    <row r="855">
      <c r="A855" s="174"/>
      <c r="B855" s="174"/>
      <c r="C855" s="174"/>
      <c r="D855" s="174"/>
      <c r="E855" s="174"/>
    </row>
    <row r="856">
      <c r="A856" s="174"/>
      <c r="B856" s="174"/>
      <c r="C856" s="174"/>
      <c r="D856" s="174"/>
      <c r="E856" s="174"/>
    </row>
    <row r="857">
      <c r="A857" s="174"/>
      <c r="B857" s="174"/>
      <c r="C857" s="174"/>
      <c r="D857" s="174"/>
      <c r="E857" s="174"/>
    </row>
    <row r="858">
      <c r="A858" s="174"/>
      <c r="B858" s="174"/>
      <c r="C858" s="174"/>
      <c r="D858" s="174"/>
      <c r="E858" s="174"/>
    </row>
    <row r="859">
      <c r="A859" s="174"/>
      <c r="B859" s="174"/>
      <c r="C859" s="174"/>
      <c r="D859" s="174"/>
      <c r="E859" s="174"/>
    </row>
    <row r="860">
      <c r="A860" s="174"/>
      <c r="B860" s="174"/>
      <c r="C860" s="174"/>
      <c r="D860" s="174"/>
      <c r="E860" s="174"/>
    </row>
    <row r="861">
      <c r="A861" s="174"/>
      <c r="B861" s="174"/>
      <c r="C861" s="174"/>
      <c r="D861" s="174"/>
      <c r="E861" s="174"/>
    </row>
    <row r="862">
      <c r="A862" s="174"/>
      <c r="B862" s="174"/>
      <c r="C862" s="174"/>
      <c r="D862" s="174"/>
      <c r="E862" s="174"/>
    </row>
    <row r="863">
      <c r="A863" s="174"/>
      <c r="B863" s="174"/>
      <c r="C863" s="174"/>
      <c r="D863" s="174"/>
      <c r="E863" s="174"/>
    </row>
    <row r="864">
      <c r="A864" s="174"/>
      <c r="B864" s="174"/>
      <c r="C864" s="174"/>
      <c r="D864" s="174"/>
      <c r="E864" s="174"/>
    </row>
    <row r="865">
      <c r="A865" s="174"/>
      <c r="B865" s="174"/>
      <c r="C865" s="174"/>
      <c r="D865" s="174"/>
      <c r="E865" s="174"/>
    </row>
    <row r="866">
      <c r="A866" s="174"/>
      <c r="B866" s="174"/>
      <c r="C866" s="174"/>
      <c r="D866" s="174"/>
      <c r="E866" s="174"/>
    </row>
    <row r="867">
      <c r="A867" s="174"/>
      <c r="B867" s="174"/>
      <c r="C867" s="174"/>
      <c r="D867" s="174"/>
      <c r="E867" s="174"/>
    </row>
    <row r="868">
      <c r="A868" s="174"/>
      <c r="B868" s="174"/>
      <c r="C868" s="174"/>
      <c r="D868" s="174"/>
      <c r="E868" s="174"/>
    </row>
    <row r="869">
      <c r="A869" s="174"/>
      <c r="B869" s="174"/>
      <c r="C869" s="174"/>
      <c r="D869" s="174"/>
      <c r="E869" s="174"/>
    </row>
    <row r="870">
      <c r="A870" s="174"/>
      <c r="B870" s="174"/>
      <c r="C870" s="174"/>
      <c r="D870" s="174"/>
      <c r="E870" s="174"/>
    </row>
    <row r="871">
      <c r="A871" s="174"/>
      <c r="B871" s="174"/>
      <c r="C871" s="174"/>
      <c r="D871" s="174"/>
      <c r="E871" s="174"/>
    </row>
    <row r="872">
      <c r="A872" s="174"/>
      <c r="B872" s="174"/>
      <c r="C872" s="174"/>
      <c r="D872" s="174"/>
      <c r="E872" s="174"/>
    </row>
    <row r="873">
      <c r="A873" s="174"/>
      <c r="B873" s="174"/>
      <c r="C873" s="174"/>
      <c r="D873" s="174"/>
      <c r="E873" s="174"/>
    </row>
    <row r="874">
      <c r="A874" s="174"/>
      <c r="B874" s="174"/>
      <c r="C874" s="174"/>
      <c r="D874" s="174"/>
      <c r="E874" s="174"/>
    </row>
    <row r="875">
      <c r="A875" s="174"/>
      <c r="B875" s="174"/>
      <c r="C875" s="174"/>
      <c r="D875" s="174"/>
      <c r="E875" s="174"/>
    </row>
    <row r="876">
      <c r="A876" s="174"/>
      <c r="B876" s="174"/>
      <c r="C876" s="174"/>
      <c r="D876" s="174"/>
      <c r="E876" s="174"/>
    </row>
    <row r="877">
      <c r="A877" s="174"/>
      <c r="B877" s="174"/>
      <c r="C877" s="174"/>
      <c r="D877" s="174"/>
      <c r="E877" s="174"/>
    </row>
    <row r="878">
      <c r="A878" s="174"/>
      <c r="B878" s="174"/>
      <c r="C878" s="174"/>
      <c r="D878" s="174"/>
      <c r="E878" s="174"/>
    </row>
    <row r="879">
      <c r="A879" s="174"/>
      <c r="B879" s="174"/>
      <c r="C879" s="174"/>
      <c r="D879" s="174"/>
      <c r="E879" s="174"/>
    </row>
    <row r="880">
      <c r="A880" s="174"/>
      <c r="B880" s="174"/>
      <c r="C880" s="174"/>
      <c r="D880" s="174"/>
      <c r="E880" s="174"/>
    </row>
    <row r="881">
      <c r="A881" s="174"/>
      <c r="B881" s="174"/>
      <c r="C881" s="174"/>
      <c r="D881" s="174"/>
      <c r="E881" s="174"/>
    </row>
    <row r="882">
      <c r="A882" s="174"/>
      <c r="B882" s="174"/>
      <c r="C882" s="174"/>
      <c r="D882" s="174"/>
      <c r="E882" s="174"/>
    </row>
    <row r="883">
      <c r="A883" s="174"/>
      <c r="B883" s="174"/>
      <c r="C883" s="174"/>
      <c r="D883" s="174"/>
      <c r="E883" s="174"/>
    </row>
    <row r="884">
      <c r="A884" s="174"/>
      <c r="B884" s="174"/>
      <c r="C884" s="174"/>
      <c r="D884" s="174"/>
      <c r="E884" s="174"/>
    </row>
    <row r="885">
      <c r="A885" s="174"/>
      <c r="B885" s="174"/>
      <c r="C885" s="174"/>
      <c r="D885" s="174"/>
      <c r="E885" s="174"/>
    </row>
    <row r="886">
      <c r="A886" s="174"/>
      <c r="B886" s="174"/>
      <c r="C886" s="174"/>
      <c r="D886" s="174"/>
      <c r="E886" s="174"/>
    </row>
    <row r="887">
      <c r="A887" s="174"/>
      <c r="B887" s="174"/>
      <c r="C887" s="174"/>
      <c r="D887" s="174"/>
      <c r="E887" s="174"/>
    </row>
    <row r="888">
      <c r="A888" s="174"/>
      <c r="B888" s="174"/>
      <c r="C888" s="174"/>
      <c r="D888" s="174"/>
      <c r="E888" s="174"/>
    </row>
    <row r="889">
      <c r="A889" s="174"/>
      <c r="B889" s="174"/>
      <c r="C889" s="174"/>
      <c r="D889" s="174"/>
      <c r="E889" s="174"/>
    </row>
    <row r="890">
      <c r="A890" s="174"/>
      <c r="B890" s="174"/>
      <c r="C890" s="174"/>
      <c r="D890" s="174"/>
      <c r="E890" s="174"/>
    </row>
    <row r="891">
      <c r="A891" s="174"/>
      <c r="B891" s="174"/>
      <c r="C891" s="174"/>
      <c r="D891" s="174"/>
      <c r="E891" s="174"/>
    </row>
    <row r="892">
      <c r="A892" s="174"/>
      <c r="B892" s="174"/>
      <c r="C892" s="174"/>
      <c r="D892" s="174"/>
      <c r="E892" s="174"/>
    </row>
    <row r="893">
      <c r="A893" s="174"/>
      <c r="B893" s="174"/>
      <c r="C893" s="174"/>
      <c r="D893" s="174"/>
      <c r="E893" s="174"/>
    </row>
    <row r="894">
      <c r="A894" s="174"/>
      <c r="B894" s="174"/>
      <c r="C894" s="174"/>
      <c r="D894" s="174"/>
      <c r="E894" s="174"/>
    </row>
    <row r="895">
      <c r="A895" s="174"/>
      <c r="B895" s="174"/>
      <c r="C895" s="174"/>
      <c r="D895" s="174"/>
      <c r="E895" s="174"/>
    </row>
    <row r="896">
      <c r="A896" s="174"/>
      <c r="B896" s="174"/>
      <c r="C896" s="174"/>
      <c r="D896" s="174"/>
      <c r="E896" s="174"/>
    </row>
    <row r="897">
      <c r="A897" s="174"/>
      <c r="B897" s="174"/>
      <c r="C897" s="174"/>
      <c r="D897" s="174"/>
      <c r="E897" s="174"/>
    </row>
    <row r="898">
      <c r="A898" s="174"/>
      <c r="B898" s="174"/>
      <c r="C898" s="174"/>
      <c r="D898" s="174"/>
      <c r="E898" s="174"/>
    </row>
    <row r="899">
      <c r="A899" s="174"/>
      <c r="B899" s="174"/>
      <c r="C899" s="174"/>
      <c r="D899" s="174"/>
      <c r="E899" s="174"/>
    </row>
    <row r="900">
      <c r="A900" s="174"/>
      <c r="B900" s="174"/>
      <c r="C900" s="174"/>
      <c r="D900" s="174"/>
      <c r="E900" s="174"/>
    </row>
    <row r="901">
      <c r="A901" s="174"/>
      <c r="B901" s="174"/>
      <c r="C901" s="174"/>
      <c r="D901" s="174"/>
      <c r="E901" s="174"/>
    </row>
    <row r="902">
      <c r="A902" s="174"/>
      <c r="B902" s="174"/>
      <c r="C902" s="174"/>
      <c r="D902" s="174"/>
      <c r="E902" s="174"/>
    </row>
    <row r="903">
      <c r="A903" s="174"/>
      <c r="B903" s="174"/>
      <c r="C903" s="174"/>
      <c r="D903" s="174"/>
      <c r="E903" s="174"/>
    </row>
    <row r="904">
      <c r="A904" s="174"/>
      <c r="B904" s="174"/>
      <c r="C904" s="174"/>
      <c r="D904" s="174"/>
      <c r="E904" s="174"/>
    </row>
    <row r="905">
      <c r="A905" s="174"/>
      <c r="B905" s="174"/>
      <c r="C905" s="174"/>
      <c r="D905" s="174"/>
      <c r="E905" s="174"/>
    </row>
    <row r="906">
      <c r="A906" s="174"/>
      <c r="B906" s="174"/>
      <c r="C906" s="174"/>
      <c r="D906" s="174"/>
      <c r="E906" s="174"/>
    </row>
    <row r="907">
      <c r="A907" s="174"/>
      <c r="B907" s="174"/>
      <c r="C907" s="174"/>
      <c r="D907" s="174"/>
      <c r="E907" s="174"/>
    </row>
    <row r="908">
      <c r="A908" s="174"/>
      <c r="B908" s="174"/>
      <c r="C908" s="174"/>
      <c r="D908" s="174"/>
      <c r="E908" s="174"/>
    </row>
    <row r="909">
      <c r="A909" s="174"/>
      <c r="B909" s="174"/>
      <c r="C909" s="174"/>
      <c r="D909" s="174"/>
      <c r="E909" s="174"/>
    </row>
    <row r="910">
      <c r="A910" s="174"/>
      <c r="B910" s="174"/>
      <c r="C910" s="174"/>
      <c r="D910" s="174"/>
      <c r="E910" s="174"/>
    </row>
    <row r="911">
      <c r="A911" s="174"/>
      <c r="B911" s="174"/>
      <c r="C911" s="174"/>
      <c r="D911" s="174"/>
      <c r="E911" s="174"/>
    </row>
    <row r="912">
      <c r="A912" s="174"/>
      <c r="B912" s="174"/>
      <c r="C912" s="174"/>
      <c r="D912" s="174"/>
      <c r="E912" s="174"/>
    </row>
    <row r="913">
      <c r="A913" s="174"/>
      <c r="B913" s="174"/>
      <c r="C913" s="174"/>
      <c r="D913" s="174"/>
      <c r="E913" s="174"/>
    </row>
    <row r="914">
      <c r="A914" s="174"/>
      <c r="B914" s="174"/>
      <c r="C914" s="174"/>
      <c r="D914" s="174"/>
      <c r="E914" s="174"/>
    </row>
    <row r="915">
      <c r="A915" s="174"/>
      <c r="B915" s="174"/>
      <c r="C915" s="174"/>
      <c r="D915" s="174"/>
      <c r="E915" s="174"/>
    </row>
    <row r="916">
      <c r="A916" s="174"/>
      <c r="B916" s="174"/>
      <c r="C916" s="174"/>
      <c r="D916" s="174"/>
      <c r="E916" s="174"/>
    </row>
    <row r="917">
      <c r="A917" s="174"/>
      <c r="B917" s="174"/>
      <c r="C917" s="174"/>
      <c r="D917" s="174"/>
      <c r="E917" s="174"/>
    </row>
    <row r="918">
      <c r="A918" s="174"/>
      <c r="B918" s="174"/>
      <c r="C918" s="174"/>
      <c r="D918" s="174"/>
      <c r="E918" s="174"/>
    </row>
    <row r="919">
      <c r="A919" s="174"/>
      <c r="B919" s="174"/>
      <c r="C919" s="174"/>
      <c r="D919" s="174"/>
      <c r="E919" s="174"/>
    </row>
    <row r="920">
      <c r="A920" s="174"/>
      <c r="B920" s="174"/>
      <c r="C920" s="174"/>
      <c r="D920" s="174"/>
      <c r="E920" s="174"/>
    </row>
    <row r="921">
      <c r="A921" s="174"/>
      <c r="B921" s="174"/>
      <c r="C921" s="174"/>
      <c r="D921" s="174"/>
      <c r="E921" s="174"/>
    </row>
    <row r="922">
      <c r="A922" s="174"/>
      <c r="B922" s="174"/>
      <c r="C922" s="174"/>
      <c r="D922" s="174"/>
      <c r="E922" s="174"/>
    </row>
    <row r="923">
      <c r="A923" s="174"/>
      <c r="B923" s="174"/>
      <c r="C923" s="174"/>
      <c r="D923" s="174"/>
      <c r="E923" s="174"/>
    </row>
    <row r="924">
      <c r="A924" s="174"/>
      <c r="B924" s="174"/>
      <c r="C924" s="174"/>
      <c r="D924" s="174"/>
      <c r="E924" s="174"/>
    </row>
    <row r="925">
      <c r="A925" s="174"/>
      <c r="B925" s="174"/>
      <c r="C925" s="174"/>
      <c r="D925" s="174"/>
      <c r="E925" s="174"/>
    </row>
    <row r="926">
      <c r="A926" s="174"/>
      <c r="B926" s="174"/>
      <c r="C926" s="174"/>
      <c r="D926" s="174"/>
      <c r="E926" s="174"/>
    </row>
    <row r="927">
      <c r="A927" s="174"/>
      <c r="B927" s="174"/>
      <c r="C927" s="174"/>
      <c r="D927" s="174"/>
      <c r="E927" s="174"/>
    </row>
    <row r="928">
      <c r="A928" s="174"/>
      <c r="B928" s="174"/>
      <c r="C928" s="174"/>
      <c r="D928" s="174"/>
      <c r="E928" s="174"/>
    </row>
    <row r="929">
      <c r="A929" s="174"/>
      <c r="B929" s="174"/>
      <c r="C929" s="174"/>
      <c r="D929" s="174"/>
      <c r="E929" s="174"/>
    </row>
    <row r="930">
      <c r="A930" s="174"/>
      <c r="B930" s="174"/>
      <c r="C930" s="174"/>
      <c r="D930" s="174"/>
      <c r="E930" s="174"/>
    </row>
    <row r="931">
      <c r="A931" s="174"/>
      <c r="B931" s="174"/>
      <c r="C931" s="174"/>
      <c r="D931" s="174"/>
      <c r="E931" s="174"/>
    </row>
    <row r="932">
      <c r="A932" s="174"/>
      <c r="B932" s="174"/>
      <c r="C932" s="174"/>
      <c r="D932" s="174"/>
      <c r="E932" s="174"/>
    </row>
    <row r="933">
      <c r="A933" s="174"/>
      <c r="B933" s="174"/>
      <c r="C933" s="174"/>
      <c r="D933" s="174"/>
      <c r="E933" s="174"/>
    </row>
    <row r="934">
      <c r="A934" s="174"/>
      <c r="B934" s="174"/>
      <c r="C934" s="174"/>
      <c r="D934" s="174"/>
      <c r="E934" s="174"/>
    </row>
    <row r="935">
      <c r="A935" s="174"/>
      <c r="B935" s="174"/>
      <c r="C935" s="174"/>
      <c r="D935" s="174"/>
      <c r="E935" s="174"/>
    </row>
    <row r="936">
      <c r="A936" s="174"/>
      <c r="B936" s="174"/>
      <c r="C936" s="174"/>
      <c r="D936" s="174"/>
      <c r="E936" s="174"/>
    </row>
    <row r="937">
      <c r="A937" s="174"/>
      <c r="B937" s="174"/>
      <c r="C937" s="174"/>
      <c r="D937" s="174"/>
      <c r="E937" s="174"/>
    </row>
    <row r="938">
      <c r="A938" s="174"/>
      <c r="B938" s="174"/>
      <c r="C938" s="174"/>
      <c r="D938" s="174"/>
      <c r="E938" s="174"/>
    </row>
    <row r="939">
      <c r="A939" s="174"/>
      <c r="B939" s="174"/>
      <c r="C939" s="174"/>
      <c r="D939" s="174"/>
      <c r="E939" s="174"/>
    </row>
    <row r="940">
      <c r="A940" s="174"/>
      <c r="B940" s="174"/>
      <c r="C940" s="174"/>
      <c r="D940" s="174"/>
      <c r="E940" s="174"/>
    </row>
    <row r="941">
      <c r="A941" s="174"/>
      <c r="B941" s="174"/>
      <c r="C941" s="174"/>
      <c r="D941" s="174"/>
      <c r="E941" s="174"/>
    </row>
    <row r="942">
      <c r="A942" s="174"/>
      <c r="B942" s="174"/>
      <c r="C942" s="174"/>
      <c r="D942" s="174"/>
      <c r="E942" s="174"/>
    </row>
    <row r="943">
      <c r="A943" s="174"/>
      <c r="B943" s="174"/>
      <c r="C943" s="174"/>
      <c r="D943" s="174"/>
      <c r="E943" s="174"/>
    </row>
    <row r="944">
      <c r="A944" s="174"/>
      <c r="B944" s="174"/>
      <c r="C944" s="174"/>
      <c r="D944" s="174"/>
      <c r="E944" s="174"/>
    </row>
    <row r="945">
      <c r="A945" s="174"/>
      <c r="B945" s="174"/>
      <c r="C945" s="174"/>
      <c r="D945" s="174"/>
      <c r="E945" s="174"/>
    </row>
    <row r="946">
      <c r="A946" s="174"/>
      <c r="B946" s="174"/>
      <c r="C946" s="174"/>
      <c r="D946" s="174"/>
      <c r="E946" s="174"/>
    </row>
    <row r="947">
      <c r="A947" s="174"/>
      <c r="B947" s="174"/>
      <c r="C947" s="174"/>
      <c r="D947" s="174"/>
      <c r="E947" s="174"/>
    </row>
    <row r="948">
      <c r="A948" s="174"/>
      <c r="B948" s="174"/>
      <c r="C948" s="174"/>
      <c r="D948" s="174"/>
      <c r="E948" s="174"/>
    </row>
    <row r="949">
      <c r="A949" s="174"/>
      <c r="B949" s="174"/>
      <c r="C949" s="174"/>
      <c r="D949" s="174"/>
      <c r="E949" s="174"/>
    </row>
    <row r="950">
      <c r="A950" s="174"/>
      <c r="B950" s="174"/>
      <c r="C950" s="174"/>
      <c r="D950" s="174"/>
      <c r="E950" s="174"/>
    </row>
    <row r="951">
      <c r="A951" s="174"/>
      <c r="B951" s="174"/>
      <c r="C951" s="174"/>
      <c r="D951" s="174"/>
      <c r="E951" s="174"/>
    </row>
    <row r="952">
      <c r="A952" s="174"/>
      <c r="B952" s="174"/>
      <c r="C952" s="174"/>
      <c r="D952" s="174"/>
      <c r="E952" s="174"/>
    </row>
    <row r="953">
      <c r="A953" s="174"/>
      <c r="B953" s="174"/>
      <c r="C953" s="174"/>
      <c r="D953" s="174"/>
      <c r="E953" s="174"/>
    </row>
    <row r="954">
      <c r="A954" s="174"/>
      <c r="B954" s="174"/>
      <c r="C954" s="174"/>
      <c r="D954" s="174"/>
      <c r="E954" s="174"/>
    </row>
    <row r="955">
      <c r="A955" s="174"/>
      <c r="B955" s="174"/>
      <c r="C955" s="174"/>
      <c r="D955" s="174"/>
      <c r="E955" s="174"/>
    </row>
    <row r="956">
      <c r="A956" s="174"/>
      <c r="B956" s="174"/>
      <c r="C956" s="174"/>
      <c r="D956" s="174"/>
      <c r="E956" s="174"/>
    </row>
    <row r="957">
      <c r="A957" s="174"/>
      <c r="B957" s="174"/>
      <c r="C957" s="174"/>
      <c r="D957" s="174"/>
      <c r="E957" s="174"/>
    </row>
    <row r="958">
      <c r="A958" s="174"/>
      <c r="B958" s="174"/>
      <c r="C958" s="174"/>
      <c r="D958" s="174"/>
      <c r="E958" s="174"/>
    </row>
    <row r="959">
      <c r="A959" s="174"/>
      <c r="B959" s="174"/>
      <c r="C959" s="174"/>
      <c r="D959" s="174"/>
      <c r="E959" s="174"/>
    </row>
    <row r="960">
      <c r="A960" s="174"/>
      <c r="B960" s="174"/>
      <c r="C960" s="174"/>
      <c r="D960" s="174"/>
      <c r="E960" s="174"/>
    </row>
    <row r="961">
      <c r="A961" s="174"/>
      <c r="B961" s="174"/>
      <c r="C961" s="174"/>
      <c r="D961" s="174"/>
      <c r="E961" s="174"/>
    </row>
    <row r="962">
      <c r="A962" s="174"/>
      <c r="B962" s="174"/>
      <c r="C962" s="174"/>
      <c r="D962" s="174"/>
      <c r="E962" s="174"/>
    </row>
    <row r="963">
      <c r="A963" s="174"/>
      <c r="B963" s="174"/>
      <c r="C963" s="174"/>
      <c r="D963" s="174"/>
      <c r="E963" s="174"/>
    </row>
    <row r="964">
      <c r="A964" s="174"/>
      <c r="B964" s="174"/>
      <c r="C964" s="174"/>
      <c r="D964" s="174"/>
      <c r="E964" s="174"/>
    </row>
    <row r="965">
      <c r="A965" s="174"/>
      <c r="B965" s="174"/>
      <c r="C965" s="174"/>
      <c r="D965" s="174"/>
      <c r="E965" s="174"/>
    </row>
    <row r="966">
      <c r="A966" s="174"/>
      <c r="B966" s="174"/>
      <c r="C966" s="174"/>
      <c r="D966" s="174"/>
      <c r="E966" s="174"/>
    </row>
    <row r="967">
      <c r="A967" s="174"/>
      <c r="B967" s="174"/>
      <c r="C967" s="174"/>
      <c r="D967" s="174"/>
      <c r="E967" s="174"/>
    </row>
    <row r="968">
      <c r="A968" s="174"/>
      <c r="B968" s="174"/>
      <c r="C968" s="174"/>
      <c r="D968" s="174"/>
      <c r="E968" s="174"/>
    </row>
    <row r="969">
      <c r="A969" s="174"/>
      <c r="B969" s="174"/>
      <c r="C969" s="174"/>
      <c r="D969" s="174"/>
      <c r="E969" s="174"/>
    </row>
    <row r="970">
      <c r="A970" s="174"/>
      <c r="B970" s="174"/>
      <c r="C970" s="174"/>
      <c r="D970" s="174"/>
      <c r="E970" s="174"/>
    </row>
    <row r="971">
      <c r="A971" s="174"/>
      <c r="B971" s="174"/>
      <c r="C971" s="174"/>
      <c r="D971" s="174"/>
      <c r="E971" s="174"/>
    </row>
    <row r="972">
      <c r="A972" s="174"/>
      <c r="B972" s="174"/>
      <c r="C972" s="174"/>
      <c r="D972" s="174"/>
      <c r="E972" s="174"/>
    </row>
    <row r="973">
      <c r="A973" s="174"/>
      <c r="B973" s="174"/>
      <c r="C973" s="174"/>
      <c r="D973" s="174"/>
      <c r="E973" s="174"/>
    </row>
    <row r="974">
      <c r="A974" s="174"/>
      <c r="B974" s="174"/>
      <c r="C974" s="174"/>
      <c r="D974" s="174"/>
      <c r="E974" s="174"/>
    </row>
    <row r="975">
      <c r="A975" s="174"/>
      <c r="B975" s="174"/>
      <c r="C975" s="174"/>
      <c r="D975" s="174"/>
      <c r="E975" s="174"/>
    </row>
    <row r="976">
      <c r="A976" s="174"/>
      <c r="B976" s="174"/>
      <c r="C976" s="174"/>
      <c r="D976" s="174"/>
      <c r="E976" s="174"/>
    </row>
    <row r="977">
      <c r="A977" s="174"/>
      <c r="B977" s="174"/>
      <c r="C977" s="174"/>
      <c r="D977" s="174"/>
      <c r="E977" s="174"/>
    </row>
    <row r="978">
      <c r="A978" s="174"/>
      <c r="B978" s="174"/>
      <c r="C978" s="174"/>
      <c r="D978" s="174"/>
      <c r="E978" s="174"/>
    </row>
    <row r="979">
      <c r="A979" s="174"/>
      <c r="B979" s="174"/>
      <c r="C979" s="174"/>
      <c r="D979" s="174"/>
      <c r="E979" s="174"/>
    </row>
    <row r="980">
      <c r="A980" s="174"/>
      <c r="B980" s="174"/>
      <c r="C980" s="174"/>
      <c r="D980" s="174"/>
      <c r="E980" s="174"/>
    </row>
    <row r="981">
      <c r="A981" s="174"/>
      <c r="B981" s="174"/>
      <c r="C981" s="174"/>
      <c r="D981" s="174"/>
      <c r="E981" s="174"/>
    </row>
    <row r="982">
      <c r="A982" s="174"/>
      <c r="B982" s="174"/>
      <c r="C982" s="174"/>
      <c r="D982" s="174"/>
      <c r="E982" s="174"/>
    </row>
    <row r="983">
      <c r="A983" s="174"/>
      <c r="B983" s="174"/>
      <c r="C983" s="174"/>
      <c r="D983" s="174"/>
      <c r="E983" s="174"/>
    </row>
    <row r="984">
      <c r="A984" s="174"/>
      <c r="B984" s="174"/>
      <c r="C984" s="174"/>
      <c r="D984" s="174"/>
      <c r="E984" s="174"/>
    </row>
    <row r="985">
      <c r="A985" s="174"/>
      <c r="B985" s="174"/>
      <c r="C985" s="174"/>
      <c r="D985" s="174"/>
      <c r="E985" s="174"/>
    </row>
    <row r="986">
      <c r="A986" s="174"/>
      <c r="B986" s="174"/>
      <c r="C986" s="174"/>
      <c r="D986" s="174"/>
      <c r="E986" s="174"/>
    </row>
    <row r="987">
      <c r="A987" s="174"/>
      <c r="B987" s="174"/>
      <c r="C987" s="174"/>
      <c r="D987" s="174"/>
      <c r="E987" s="174"/>
    </row>
    <row r="988">
      <c r="A988" s="174"/>
      <c r="B988" s="174"/>
      <c r="C988" s="174"/>
      <c r="D988" s="174"/>
      <c r="E988" s="174"/>
    </row>
    <row r="989">
      <c r="A989" s="174"/>
      <c r="B989" s="174"/>
      <c r="C989" s="174"/>
      <c r="D989" s="174"/>
      <c r="E989" s="174"/>
    </row>
    <row r="990">
      <c r="A990" s="174"/>
      <c r="B990" s="174"/>
      <c r="C990" s="174"/>
      <c r="D990" s="174"/>
      <c r="E990" s="174"/>
    </row>
    <row r="991">
      <c r="A991" s="174"/>
      <c r="B991" s="174"/>
      <c r="C991" s="174"/>
      <c r="D991" s="174"/>
      <c r="E991" s="174"/>
    </row>
    <row r="992">
      <c r="A992" s="174"/>
      <c r="B992" s="174"/>
      <c r="C992" s="174"/>
      <c r="D992" s="174"/>
      <c r="E992" s="174"/>
    </row>
    <row r="993">
      <c r="A993" s="174"/>
      <c r="B993" s="174"/>
      <c r="C993" s="174"/>
      <c r="D993" s="174"/>
      <c r="E993" s="174"/>
    </row>
    <row r="994">
      <c r="A994" s="174"/>
      <c r="B994" s="174"/>
      <c r="C994" s="174"/>
      <c r="D994" s="174"/>
      <c r="E994" s="174"/>
    </row>
    <row r="995">
      <c r="A995" s="174"/>
      <c r="B995" s="174"/>
      <c r="C995" s="174"/>
      <c r="D995" s="174"/>
      <c r="E995" s="174"/>
    </row>
    <row r="996">
      <c r="A996" s="174"/>
      <c r="B996" s="174"/>
      <c r="C996" s="174"/>
      <c r="D996" s="174"/>
      <c r="E996" s="174"/>
    </row>
    <row r="997">
      <c r="A997" s="174"/>
      <c r="B997" s="174"/>
      <c r="C997" s="174"/>
      <c r="D997" s="174"/>
      <c r="E997" s="17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2.13"/>
    <col customWidth="1" min="5" max="5" width="18.88"/>
    <col customWidth="1" min="6" max="6" width="15.88"/>
  </cols>
  <sheetData>
    <row r="1">
      <c r="A1" s="244" t="s">
        <v>8</v>
      </c>
      <c r="B1" s="245" t="s">
        <v>10</v>
      </c>
      <c r="C1" s="246" t="s">
        <v>1</v>
      </c>
      <c r="D1" s="246" t="s">
        <v>2</v>
      </c>
      <c r="E1" s="246" t="s">
        <v>3</v>
      </c>
      <c r="F1" s="246" t="s">
        <v>4</v>
      </c>
      <c r="G1" s="247" t="s">
        <v>11</v>
      </c>
      <c r="H1" s="247" t="s">
        <v>13</v>
      </c>
      <c r="I1" s="247" t="s">
        <v>19</v>
      </c>
      <c r="J1" s="248" t="s">
        <v>7037</v>
      </c>
      <c r="K1" s="249"/>
      <c r="L1" s="248" t="s">
        <v>7038</v>
      </c>
      <c r="M1" s="249"/>
      <c r="N1" s="248" t="s">
        <v>23</v>
      </c>
      <c r="O1" s="249"/>
      <c r="P1" s="250" t="s">
        <v>7039</v>
      </c>
      <c r="Q1" s="251" t="s">
        <v>6881</v>
      </c>
      <c r="R1" s="252" t="s">
        <v>7040</v>
      </c>
      <c r="S1" s="252" t="s">
        <v>7041</v>
      </c>
      <c r="T1" s="252" t="s">
        <v>7042</v>
      </c>
    </row>
    <row r="2">
      <c r="A2" s="156" t="s">
        <v>51</v>
      </c>
      <c r="B2" s="253" t="s">
        <v>7044</v>
      </c>
      <c r="C2" s="52" t="s">
        <v>42</v>
      </c>
      <c r="D2" s="52"/>
      <c r="E2" s="52" t="s">
        <v>42</v>
      </c>
      <c r="F2" s="52" t="s">
        <v>46</v>
      </c>
      <c r="G2" s="74">
        <v>2232.0</v>
      </c>
      <c r="H2" s="74" t="s">
        <v>6179</v>
      </c>
      <c r="I2" s="74" t="s">
        <v>66</v>
      </c>
      <c r="J2" s="242" t="s">
        <v>42</v>
      </c>
      <c r="K2" s="242"/>
      <c r="L2" s="242" t="s">
        <v>42</v>
      </c>
      <c r="M2" s="242"/>
      <c r="N2" s="242" t="s">
        <v>7045</v>
      </c>
      <c r="O2" s="242" t="s">
        <v>71</v>
      </c>
      <c r="P2" s="240" t="str">
        <f t="array" ref="P2:P32">UNIQUE('Định nghĩa content'!E2:E1000)</f>
        <v>h4hocvien</v>
      </c>
      <c r="Q2" s="240" t="s">
        <v>6885</v>
      </c>
      <c r="R2" s="242" t="s">
        <v>7048</v>
      </c>
      <c r="S2" s="242" t="s">
        <v>7049</v>
      </c>
      <c r="T2" s="242" t="s">
        <v>191</v>
      </c>
    </row>
    <row r="3">
      <c r="A3" s="254" t="s">
        <v>7050</v>
      </c>
      <c r="B3" s="253" t="s">
        <v>7051</v>
      </c>
      <c r="C3" s="74" t="s">
        <v>7052</v>
      </c>
      <c r="D3" s="242" t="s">
        <v>79</v>
      </c>
      <c r="E3" s="52" t="s">
        <v>7053</v>
      </c>
      <c r="F3" s="52" t="s">
        <v>3032</v>
      </c>
      <c r="G3" s="52"/>
      <c r="H3" s="52"/>
      <c r="I3" s="113" t="s">
        <v>97</v>
      </c>
      <c r="J3" s="240"/>
      <c r="K3" s="242" t="s">
        <v>69</v>
      </c>
      <c r="L3" s="240"/>
      <c r="M3" s="242" t="s">
        <v>5323</v>
      </c>
      <c r="N3" s="242" t="s">
        <v>7054</v>
      </c>
      <c r="O3" s="242" t="s">
        <v>197</v>
      </c>
      <c r="P3" s="240" t="s">
        <v>168</v>
      </c>
      <c r="Q3" s="240" t="s">
        <v>6889</v>
      </c>
      <c r="R3" s="242" t="s">
        <v>7056</v>
      </c>
      <c r="S3" s="242" t="s">
        <v>7057</v>
      </c>
      <c r="T3" s="242" t="s">
        <v>7058</v>
      </c>
    </row>
    <row r="4">
      <c r="A4" s="161" t="s">
        <v>80</v>
      </c>
      <c r="B4" s="253" t="s">
        <v>7061</v>
      </c>
      <c r="C4" s="74" t="s">
        <v>1135</v>
      </c>
      <c r="D4" s="242" t="s">
        <v>6656</v>
      </c>
      <c r="E4" s="52" t="s">
        <v>188</v>
      </c>
      <c r="F4" s="74" t="s">
        <v>60</v>
      </c>
      <c r="G4" s="52"/>
      <c r="H4" s="52"/>
      <c r="I4" s="113" t="s">
        <v>7062</v>
      </c>
      <c r="J4" s="52"/>
      <c r="K4" s="74" t="s">
        <v>7063</v>
      </c>
      <c r="L4" s="52"/>
      <c r="M4" s="74" t="s">
        <v>72</v>
      </c>
      <c r="N4" s="74" t="s">
        <v>7064</v>
      </c>
      <c r="O4" s="74" t="s">
        <v>7065</v>
      </c>
      <c r="P4" s="52" t="s">
        <v>2846</v>
      </c>
      <c r="Q4" s="240" t="s">
        <v>6893</v>
      </c>
      <c r="R4" s="242" t="s">
        <v>7066</v>
      </c>
      <c r="S4" s="242" t="s">
        <v>322</v>
      </c>
      <c r="T4" s="242" t="s">
        <v>2793</v>
      </c>
    </row>
    <row r="5">
      <c r="A5" s="161" t="s">
        <v>99</v>
      </c>
      <c r="B5" s="253" t="s">
        <v>7067</v>
      </c>
      <c r="C5" s="74" t="s">
        <v>7068</v>
      </c>
      <c r="D5" s="255" t="s">
        <v>69</v>
      </c>
      <c r="E5" s="52" t="s">
        <v>7069</v>
      </c>
      <c r="F5" s="74" t="s">
        <v>674</v>
      </c>
      <c r="G5" s="52"/>
      <c r="H5" s="74"/>
      <c r="I5" s="113" t="s">
        <v>7070</v>
      </c>
      <c r="J5" s="52"/>
      <c r="K5" s="74" t="s">
        <v>79</v>
      </c>
      <c r="L5" s="52"/>
      <c r="M5" s="74" t="s">
        <v>110</v>
      </c>
      <c r="N5" s="74" t="s">
        <v>7071</v>
      </c>
      <c r="O5" s="74" t="s">
        <v>224</v>
      </c>
      <c r="P5" s="52" t="s">
        <v>6900</v>
      </c>
      <c r="Q5" s="240" t="s">
        <v>6897</v>
      </c>
      <c r="R5" s="242" t="s">
        <v>6884</v>
      </c>
      <c r="S5" s="240"/>
      <c r="T5" s="240"/>
    </row>
    <row r="6">
      <c r="A6" s="112" t="s">
        <v>166</v>
      </c>
      <c r="B6" s="253" t="s">
        <v>7075</v>
      </c>
      <c r="C6" s="83" t="s">
        <v>188</v>
      </c>
      <c r="D6" s="242" t="s">
        <v>53</v>
      </c>
      <c r="E6" s="52"/>
      <c r="F6" s="131" t="s">
        <v>539</v>
      </c>
      <c r="G6" s="52"/>
      <c r="H6" s="74"/>
      <c r="I6" s="113" t="s">
        <v>7076</v>
      </c>
      <c r="J6" s="52"/>
      <c r="K6" s="241" t="s">
        <v>563</v>
      </c>
      <c r="L6" s="241"/>
      <c r="M6" s="241" t="s">
        <v>70</v>
      </c>
      <c r="N6" s="241"/>
      <c r="O6" s="241" t="s">
        <v>218</v>
      </c>
      <c r="P6" s="241" t="s">
        <v>6905</v>
      </c>
      <c r="Q6" s="240" t="s">
        <v>6902</v>
      </c>
      <c r="R6" s="240"/>
      <c r="S6" s="240"/>
      <c r="T6" s="240"/>
    </row>
    <row r="7">
      <c r="A7" s="161" t="s">
        <v>7077</v>
      </c>
      <c r="B7" s="253" t="s">
        <v>7078</v>
      </c>
      <c r="C7" s="113" t="s">
        <v>6653</v>
      </c>
      <c r="D7" s="242" t="s">
        <v>72</v>
      </c>
      <c r="E7" s="52"/>
      <c r="F7" s="52" t="s">
        <v>199</v>
      </c>
      <c r="G7" s="52"/>
      <c r="H7" s="74"/>
      <c r="I7" s="113" t="s">
        <v>7079</v>
      </c>
      <c r="J7" s="52"/>
      <c r="K7" s="74" t="s">
        <v>313</v>
      </c>
      <c r="L7" s="74" t="s">
        <v>188</v>
      </c>
      <c r="M7" s="52"/>
      <c r="N7" s="74" t="s">
        <v>7080</v>
      </c>
      <c r="O7" s="74" t="s">
        <v>228</v>
      </c>
      <c r="P7" s="52" t="s">
        <v>6910</v>
      </c>
      <c r="Q7" s="240" t="s">
        <v>6907</v>
      </c>
      <c r="R7" s="240"/>
      <c r="S7" s="240"/>
      <c r="T7" s="240"/>
    </row>
    <row r="8">
      <c r="A8" s="161" t="s">
        <v>7081</v>
      </c>
      <c r="B8" s="253" t="s">
        <v>7083</v>
      </c>
      <c r="D8" s="113" t="s">
        <v>81</v>
      </c>
      <c r="E8" s="52"/>
      <c r="F8" s="74" t="s">
        <v>7084</v>
      </c>
      <c r="G8" s="52"/>
      <c r="H8" s="74"/>
      <c r="I8" s="113">
        <v>3603.0</v>
      </c>
      <c r="J8" s="52"/>
      <c r="K8" s="242" t="s">
        <v>70</v>
      </c>
      <c r="L8" s="240"/>
      <c r="M8" s="240"/>
      <c r="N8" s="240"/>
      <c r="O8" s="74" t="s">
        <v>240</v>
      </c>
      <c r="P8" s="240" t="s">
        <v>4678</v>
      </c>
      <c r="Q8" s="240" t="s">
        <v>6912</v>
      </c>
      <c r="R8" s="240"/>
      <c r="S8" s="240"/>
      <c r="T8" s="240"/>
    </row>
    <row r="9">
      <c r="A9" s="112" t="s">
        <v>83</v>
      </c>
      <c r="B9" s="253" t="s">
        <v>7085</v>
      </c>
      <c r="C9" s="52"/>
      <c r="D9" s="74" t="s">
        <v>313</v>
      </c>
      <c r="E9" s="52"/>
      <c r="F9" s="52" t="s">
        <v>4141</v>
      </c>
      <c r="G9" s="52"/>
      <c r="H9" s="74" t="s">
        <v>1131</v>
      </c>
      <c r="I9" s="74" t="s">
        <v>7086</v>
      </c>
      <c r="J9" s="52"/>
      <c r="K9" s="242" t="s">
        <v>340</v>
      </c>
      <c r="L9" s="240"/>
      <c r="M9" s="240"/>
      <c r="N9" s="240"/>
      <c r="O9" s="74" t="s">
        <v>7087</v>
      </c>
      <c r="P9" s="240" t="s">
        <v>6917</v>
      </c>
      <c r="Q9" s="52"/>
      <c r="R9" s="52"/>
      <c r="S9" s="52"/>
      <c r="T9" s="52"/>
    </row>
    <row r="10">
      <c r="A10" s="156" t="s">
        <v>319</v>
      </c>
      <c r="B10" s="253" t="s">
        <v>7088</v>
      </c>
      <c r="C10" s="52"/>
      <c r="D10" s="74" t="s">
        <v>125</v>
      </c>
      <c r="E10" s="52"/>
      <c r="F10" s="52" t="s">
        <v>4143</v>
      </c>
      <c r="G10" s="52"/>
      <c r="H10" s="74"/>
      <c r="I10" s="74" t="s">
        <v>253</v>
      </c>
      <c r="J10" s="52"/>
      <c r="K10" s="242" t="s">
        <v>381</v>
      </c>
      <c r="L10" s="240"/>
      <c r="M10" s="240"/>
      <c r="N10" s="240"/>
      <c r="O10" s="242" t="s">
        <v>242</v>
      </c>
      <c r="P10" s="240" t="s">
        <v>6920</v>
      </c>
      <c r="Q10" s="52"/>
      <c r="R10" s="52"/>
      <c r="S10" s="52"/>
      <c r="T10" s="52"/>
    </row>
    <row r="11">
      <c r="A11" s="112" t="s">
        <v>205</v>
      </c>
      <c r="B11" s="253" t="s">
        <v>7090</v>
      </c>
      <c r="C11" s="83"/>
      <c r="D11" s="242" t="s">
        <v>563</v>
      </c>
      <c r="E11" s="52"/>
      <c r="F11" s="52" t="s">
        <v>4145</v>
      </c>
      <c r="G11" s="52"/>
      <c r="H11" s="74" t="s">
        <v>426</v>
      </c>
      <c r="I11" s="74" t="s">
        <v>7091</v>
      </c>
      <c r="K11" s="113" t="s">
        <v>606</v>
      </c>
      <c r="L11" s="242"/>
      <c r="M11" s="242"/>
      <c r="N11" s="242"/>
      <c r="O11" s="242" t="s">
        <v>7092</v>
      </c>
      <c r="P11" s="240" t="s">
        <v>136</v>
      </c>
      <c r="Q11" s="52"/>
      <c r="R11" s="52"/>
      <c r="S11" s="52"/>
      <c r="T11" s="52"/>
    </row>
    <row r="12">
      <c r="A12" s="112" t="s">
        <v>90</v>
      </c>
      <c r="B12" s="253" t="s">
        <v>7093</v>
      </c>
      <c r="D12" s="113" t="s">
        <v>7094</v>
      </c>
      <c r="E12" s="52"/>
      <c r="F12" s="52" t="s">
        <v>4147</v>
      </c>
      <c r="G12" s="52"/>
      <c r="H12" s="74"/>
      <c r="I12" s="74" t="s">
        <v>217</v>
      </c>
      <c r="K12" s="113" t="s">
        <v>1135</v>
      </c>
      <c r="L12" s="240"/>
      <c r="M12" s="240"/>
      <c r="N12" s="240"/>
      <c r="O12" s="242" t="s">
        <v>70</v>
      </c>
      <c r="P12" s="240" t="s">
        <v>95</v>
      </c>
      <c r="Q12" s="52"/>
      <c r="R12" s="52"/>
      <c r="S12" s="52"/>
      <c r="T12" s="52"/>
    </row>
    <row r="13">
      <c r="A13" s="112" t="s">
        <v>73</v>
      </c>
      <c r="B13" s="253" t="s">
        <v>7095</v>
      </c>
      <c r="D13" s="113" t="s">
        <v>3916</v>
      </c>
      <c r="E13" s="52"/>
      <c r="F13" s="149" t="s">
        <v>4150</v>
      </c>
      <c r="G13" s="52"/>
      <c r="H13" s="74"/>
      <c r="I13" s="74" t="s">
        <v>1130</v>
      </c>
      <c r="K13" s="113" t="s">
        <v>3916</v>
      </c>
      <c r="L13" s="240"/>
      <c r="M13" s="240"/>
      <c r="N13" s="240"/>
      <c r="O13" s="242" t="s">
        <v>415</v>
      </c>
      <c r="P13" s="240" t="s">
        <v>41</v>
      </c>
      <c r="Q13" s="52"/>
      <c r="R13" s="52"/>
      <c r="S13" s="52"/>
      <c r="T13" s="52"/>
    </row>
    <row r="14">
      <c r="A14" s="112" t="s">
        <v>111</v>
      </c>
      <c r="B14" s="253" t="s">
        <v>7097</v>
      </c>
      <c r="C14" s="83"/>
      <c r="D14" s="242" t="s">
        <v>1625</v>
      </c>
      <c r="E14" s="52"/>
      <c r="F14" s="149" t="s">
        <v>3092</v>
      </c>
      <c r="G14" s="52"/>
      <c r="H14" s="74"/>
      <c r="I14" s="74">
        <v>261714.0</v>
      </c>
      <c r="K14" s="113" t="s">
        <v>53</v>
      </c>
      <c r="L14" s="240"/>
      <c r="M14" s="240"/>
      <c r="N14" s="240"/>
      <c r="O14" s="242" t="s">
        <v>415</v>
      </c>
      <c r="P14" s="240" t="s">
        <v>6929</v>
      </c>
      <c r="Q14" s="52"/>
      <c r="R14" s="52"/>
      <c r="S14" s="52"/>
      <c r="T14" s="52"/>
    </row>
    <row r="15">
      <c r="A15" s="234" t="s">
        <v>232</v>
      </c>
      <c r="B15" s="253" t="s">
        <v>7098</v>
      </c>
      <c r="C15" s="52"/>
      <c r="D15" s="74" t="s">
        <v>193</v>
      </c>
      <c r="E15" s="52"/>
      <c r="F15" s="256" t="s">
        <v>4153</v>
      </c>
      <c r="G15" s="52"/>
      <c r="H15" s="74"/>
      <c r="I15" s="74" t="s">
        <v>1141</v>
      </c>
      <c r="J15" s="242" t="s">
        <v>188</v>
      </c>
      <c r="K15" s="242"/>
      <c r="L15" s="240"/>
      <c r="M15" s="240"/>
      <c r="N15" s="240"/>
      <c r="O15" s="242" t="s">
        <v>910</v>
      </c>
      <c r="P15" s="240" t="s">
        <v>6932</v>
      </c>
      <c r="Q15" s="52"/>
      <c r="R15" s="52"/>
      <c r="S15" s="52"/>
      <c r="T15" s="52"/>
    </row>
    <row r="16">
      <c r="A16" s="234" t="s">
        <v>200</v>
      </c>
      <c r="B16" s="253" t="s">
        <v>7100</v>
      </c>
      <c r="C16" s="52"/>
      <c r="D16" s="240" t="s">
        <v>207</v>
      </c>
      <c r="E16" s="52"/>
      <c r="F16" s="52" t="s">
        <v>129</v>
      </c>
      <c r="G16" s="52"/>
      <c r="H16" s="74"/>
      <c r="I16" s="74" t="s">
        <v>227</v>
      </c>
      <c r="J16" s="240"/>
      <c r="K16" s="242" t="s">
        <v>193</v>
      </c>
      <c r="L16" s="240"/>
      <c r="M16" s="240"/>
      <c r="N16" s="240"/>
      <c r="O16" s="242" t="s">
        <v>3271</v>
      </c>
      <c r="P16" s="240" t="s">
        <v>589</v>
      </c>
      <c r="Q16" s="52"/>
      <c r="R16" s="52"/>
      <c r="S16" s="52"/>
      <c r="T16" s="52"/>
    </row>
    <row r="17">
      <c r="A17" s="234" t="s">
        <v>343</v>
      </c>
      <c r="B17" s="253" t="s">
        <v>7103</v>
      </c>
      <c r="C17" s="74" t="s">
        <v>7104</v>
      </c>
      <c r="D17" s="52"/>
      <c r="E17" s="52"/>
      <c r="F17" s="52" t="s">
        <v>465</v>
      </c>
      <c r="G17" s="52"/>
      <c r="H17" s="74" t="s">
        <v>3306</v>
      </c>
      <c r="I17" s="74" t="s">
        <v>231</v>
      </c>
      <c r="J17" s="240"/>
      <c r="K17" s="242" t="s">
        <v>1409</v>
      </c>
      <c r="L17" s="240"/>
      <c r="M17" s="240"/>
      <c r="N17" s="240"/>
      <c r="O17" s="242" t="s">
        <v>1142</v>
      </c>
      <c r="P17" s="240" t="s">
        <v>118</v>
      </c>
      <c r="Q17" s="52"/>
      <c r="R17" s="52"/>
      <c r="S17" s="52"/>
      <c r="T17" s="52"/>
    </row>
    <row r="18">
      <c r="A18" s="234" t="s">
        <v>305</v>
      </c>
      <c r="B18" s="253" t="s">
        <v>7105</v>
      </c>
      <c r="C18" s="52" t="s">
        <v>7106</v>
      </c>
      <c r="D18" s="52"/>
      <c r="E18" s="52"/>
      <c r="F18" s="52" t="s">
        <v>4157</v>
      </c>
      <c r="G18" s="52"/>
      <c r="H18" s="74" t="s">
        <v>1137</v>
      </c>
      <c r="I18" s="74" t="s">
        <v>234</v>
      </c>
      <c r="J18" s="240"/>
      <c r="K18" s="242"/>
      <c r="L18" s="240"/>
      <c r="M18" s="240"/>
      <c r="N18" s="240"/>
      <c r="O18" s="242" t="s">
        <v>1142</v>
      </c>
      <c r="P18" s="240" t="s">
        <v>78</v>
      </c>
      <c r="Q18" s="52"/>
      <c r="R18" s="52"/>
      <c r="S18" s="52"/>
      <c r="T18" s="52"/>
    </row>
    <row r="19">
      <c r="A19" s="234" t="s">
        <v>345</v>
      </c>
      <c r="B19" s="253" t="s">
        <v>7109</v>
      </c>
      <c r="C19" s="52"/>
      <c r="D19" s="240" t="s">
        <v>7110</v>
      </c>
      <c r="E19" s="52"/>
      <c r="F19" s="149" t="s">
        <v>4160</v>
      </c>
      <c r="G19" s="52"/>
      <c r="H19" s="74" t="s">
        <v>4619</v>
      </c>
      <c r="I19" s="74" t="s">
        <v>239</v>
      </c>
      <c r="J19" s="240"/>
      <c r="K19" s="242"/>
      <c r="L19" s="240"/>
      <c r="M19" s="240"/>
      <c r="N19" s="240"/>
      <c r="O19" s="242" t="s">
        <v>4624</v>
      </c>
      <c r="P19" s="240" t="s">
        <v>103</v>
      </c>
      <c r="Q19" s="52"/>
      <c r="R19" s="52"/>
      <c r="S19" s="52"/>
      <c r="T19" s="52"/>
    </row>
    <row r="20">
      <c r="A20" s="234" t="s">
        <v>347</v>
      </c>
      <c r="B20" s="253" t="s">
        <v>7112</v>
      </c>
      <c r="C20" s="52"/>
      <c r="D20" s="242" t="s">
        <v>7113</v>
      </c>
      <c r="E20" s="52"/>
      <c r="F20" s="52" t="s">
        <v>4163</v>
      </c>
      <c r="G20" s="52"/>
      <c r="H20" s="74" t="s">
        <v>1261</v>
      </c>
      <c r="I20" s="74">
        <v>3291.0</v>
      </c>
      <c r="J20" s="240"/>
      <c r="K20" s="242" t="s">
        <v>210</v>
      </c>
      <c r="L20" s="240"/>
      <c r="M20" s="240"/>
      <c r="N20" s="240"/>
      <c r="O20" s="242" t="s">
        <v>3971</v>
      </c>
      <c r="P20" s="240" t="s">
        <v>6907</v>
      </c>
      <c r="Q20" s="52"/>
      <c r="R20" s="52"/>
      <c r="S20" s="52"/>
      <c r="T20" s="52"/>
    </row>
    <row r="21">
      <c r="A21" s="234" t="s">
        <v>350</v>
      </c>
      <c r="B21" s="253" t="s">
        <v>7116</v>
      </c>
      <c r="C21" s="52"/>
      <c r="D21" s="242" t="s">
        <v>7117</v>
      </c>
      <c r="E21" s="52"/>
      <c r="F21" s="52" t="s">
        <v>4165</v>
      </c>
      <c r="G21" s="52"/>
      <c r="H21" s="74" t="s">
        <v>1485</v>
      </c>
      <c r="I21" s="74" t="s">
        <v>270</v>
      </c>
      <c r="J21" s="240"/>
      <c r="K21" s="242" t="s">
        <v>7118</v>
      </c>
      <c r="L21" s="240"/>
      <c r="M21" s="240"/>
      <c r="N21" s="240"/>
      <c r="O21" s="242" t="s">
        <v>4350</v>
      </c>
      <c r="P21" s="240" t="s">
        <v>384</v>
      </c>
      <c r="Q21" s="52"/>
      <c r="R21" s="52"/>
      <c r="S21" s="52"/>
      <c r="T21" s="52"/>
    </row>
    <row r="22">
      <c r="A22" s="234" t="s">
        <v>351</v>
      </c>
      <c r="B22" s="253" t="s">
        <v>7119</v>
      </c>
      <c r="C22" s="52"/>
      <c r="D22" s="257" t="s">
        <v>7120</v>
      </c>
      <c r="E22" s="52"/>
      <c r="F22" s="52" t="s">
        <v>4167</v>
      </c>
      <c r="G22" s="52"/>
      <c r="H22" s="74" t="s">
        <v>7123</v>
      </c>
      <c r="I22" s="74" t="s">
        <v>70</v>
      </c>
      <c r="J22" s="240"/>
      <c r="K22" s="242" t="s">
        <v>2839</v>
      </c>
      <c r="L22" s="240"/>
      <c r="M22" s="240"/>
      <c r="N22" s="240"/>
      <c r="O22" s="242" t="s">
        <v>1768</v>
      </c>
      <c r="P22" s="240" t="s">
        <v>6947</v>
      </c>
      <c r="Q22" s="52"/>
      <c r="R22" s="52"/>
      <c r="S22" s="52"/>
      <c r="T22" s="52"/>
    </row>
    <row r="23">
      <c r="A23" s="234" t="s">
        <v>353</v>
      </c>
      <c r="B23" s="253" t="s">
        <v>7124</v>
      </c>
      <c r="C23" s="52"/>
      <c r="D23" s="240" t="s">
        <v>7125</v>
      </c>
      <c r="E23" s="52"/>
      <c r="F23" s="52" t="s">
        <v>4169</v>
      </c>
      <c r="G23" s="52"/>
      <c r="H23" s="52"/>
      <c r="I23" s="74" t="s">
        <v>326</v>
      </c>
      <c r="J23" s="240"/>
      <c r="K23" s="242" t="s">
        <v>7126</v>
      </c>
      <c r="L23" s="240"/>
      <c r="M23" s="240"/>
      <c r="N23" s="240"/>
      <c r="O23" s="242" t="s">
        <v>1981</v>
      </c>
      <c r="P23" s="240" t="s">
        <v>6950</v>
      </c>
      <c r="Q23" s="52"/>
      <c r="R23" s="52"/>
      <c r="S23" s="52"/>
      <c r="T23" s="52"/>
    </row>
    <row r="24">
      <c r="A24" s="234" t="s">
        <v>355</v>
      </c>
      <c r="B24" s="253" t="s">
        <v>7127</v>
      </c>
      <c r="C24" s="52"/>
      <c r="D24" s="240" t="s">
        <v>7128</v>
      </c>
      <c r="E24" s="52"/>
      <c r="F24" s="52" t="s">
        <v>469</v>
      </c>
      <c r="G24" s="52"/>
      <c r="H24" s="52"/>
      <c r="I24" s="74" t="s">
        <v>317</v>
      </c>
      <c r="J24" s="240"/>
      <c r="K24" s="242" t="s">
        <v>7129</v>
      </c>
      <c r="L24" s="240"/>
      <c r="M24" s="240"/>
      <c r="N24" s="240"/>
      <c r="O24" s="240"/>
      <c r="P24" s="240" t="s">
        <v>6953</v>
      </c>
      <c r="Q24" s="52"/>
      <c r="R24" s="52"/>
      <c r="S24" s="52"/>
      <c r="T24" s="52"/>
    </row>
    <row r="25">
      <c r="A25" s="234" t="s">
        <v>356</v>
      </c>
      <c r="B25" s="253" t="s">
        <v>7132</v>
      </c>
      <c r="C25" s="52"/>
      <c r="D25" s="258" t="s">
        <v>7133</v>
      </c>
      <c r="E25" s="52"/>
      <c r="F25" s="52" t="s">
        <v>4172</v>
      </c>
      <c r="G25" s="52"/>
      <c r="H25" s="52"/>
      <c r="I25" s="74" t="s">
        <v>395</v>
      </c>
      <c r="J25" s="240"/>
      <c r="K25" s="242" t="s">
        <v>70</v>
      </c>
      <c r="L25" s="240"/>
      <c r="M25" s="240"/>
      <c r="N25" s="240"/>
      <c r="O25" s="240"/>
      <c r="P25" s="240" t="s">
        <v>2789</v>
      </c>
      <c r="Q25" s="52"/>
      <c r="R25" s="52"/>
      <c r="S25" s="52"/>
      <c r="T25" s="52"/>
    </row>
    <row r="26">
      <c r="A26" s="234" t="s">
        <v>357</v>
      </c>
      <c r="B26" s="253" t="s">
        <v>7134</v>
      </c>
      <c r="C26" s="52"/>
      <c r="D26" s="257" t="s">
        <v>7135</v>
      </c>
      <c r="E26" s="52"/>
      <c r="F26" s="52" t="s">
        <v>4174</v>
      </c>
      <c r="G26" s="52"/>
      <c r="H26" s="52"/>
      <c r="I26" s="74" t="s">
        <v>7138</v>
      </c>
      <c r="J26" s="74" t="s">
        <v>212</v>
      </c>
      <c r="K26" s="240"/>
      <c r="L26" s="240"/>
      <c r="M26" s="240"/>
      <c r="N26" s="240"/>
      <c r="O26" s="240"/>
      <c r="P26" s="240" t="s">
        <v>6959</v>
      </c>
      <c r="Q26" s="52"/>
      <c r="R26" s="52"/>
      <c r="S26" s="52"/>
      <c r="T26" s="52"/>
    </row>
    <row r="27">
      <c r="A27" s="234" t="s">
        <v>122</v>
      </c>
      <c r="B27" s="253" t="s">
        <v>7139</v>
      </c>
      <c r="C27" s="52"/>
      <c r="D27" s="240" t="s">
        <v>7140</v>
      </c>
      <c r="E27" s="52"/>
      <c r="F27" s="52" t="s">
        <v>4176</v>
      </c>
      <c r="G27" s="52"/>
      <c r="H27" s="52"/>
      <c r="I27" s="74" t="s">
        <v>7141</v>
      </c>
      <c r="J27" s="240"/>
      <c r="K27" s="242" t="s">
        <v>213</v>
      </c>
      <c r="L27" s="240"/>
      <c r="M27" s="240"/>
      <c r="N27" s="240"/>
      <c r="O27" s="240"/>
      <c r="P27" s="52" t="s">
        <v>116</v>
      </c>
      <c r="Q27" s="52"/>
      <c r="R27" s="52"/>
      <c r="S27" s="52"/>
      <c r="T27" s="52"/>
    </row>
    <row r="28">
      <c r="A28" s="234" t="s">
        <v>361</v>
      </c>
      <c r="B28" s="253" t="s">
        <v>7144</v>
      </c>
      <c r="C28" s="52"/>
      <c r="D28" s="240" t="s">
        <v>7146</v>
      </c>
      <c r="E28" s="52"/>
      <c r="F28" s="52" t="s">
        <v>4178</v>
      </c>
      <c r="G28" s="52"/>
      <c r="H28" s="52"/>
      <c r="I28" s="74">
        <v>95360.0</v>
      </c>
      <c r="J28" s="52"/>
      <c r="K28" s="74" t="s">
        <v>125</v>
      </c>
      <c r="L28" s="52"/>
      <c r="M28" s="52"/>
      <c r="N28" s="52"/>
      <c r="O28" s="52"/>
      <c r="P28" s="74" t="s">
        <v>126</v>
      </c>
      <c r="Q28" s="52"/>
      <c r="R28" s="52"/>
      <c r="S28" s="52"/>
      <c r="T28" s="52"/>
    </row>
    <row r="29">
      <c r="A29" s="234" t="s">
        <v>363</v>
      </c>
      <c r="B29" s="253" t="s">
        <v>7147</v>
      </c>
      <c r="C29" s="52"/>
      <c r="D29" s="258" t="s">
        <v>7148</v>
      </c>
      <c r="E29" s="52"/>
      <c r="F29" s="52" t="s">
        <v>4182</v>
      </c>
      <c r="G29" s="52"/>
      <c r="H29" s="52"/>
      <c r="I29" s="74" t="s">
        <v>1264</v>
      </c>
      <c r="J29" s="52"/>
      <c r="K29" s="242" t="s">
        <v>1625</v>
      </c>
      <c r="L29" s="52"/>
      <c r="M29" s="52"/>
      <c r="N29" s="52"/>
      <c r="O29" s="52"/>
      <c r="P29" s="74" t="s">
        <v>3918</v>
      </c>
      <c r="Q29" s="52"/>
      <c r="R29" s="52"/>
      <c r="S29" s="52"/>
      <c r="T29" s="52"/>
    </row>
    <row r="30">
      <c r="A30" s="234" t="s">
        <v>365</v>
      </c>
      <c r="B30" s="253" t="s">
        <v>7149</v>
      </c>
      <c r="C30" s="52"/>
      <c r="D30" s="258" t="s">
        <v>7150</v>
      </c>
      <c r="E30" s="52"/>
      <c r="F30" s="52" t="s">
        <v>4184</v>
      </c>
      <c r="G30" s="52"/>
      <c r="H30" s="52"/>
      <c r="I30" s="74"/>
      <c r="J30" s="52"/>
      <c r="K30" s="74" t="s">
        <v>7151</v>
      </c>
      <c r="L30" s="52"/>
      <c r="M30" s="52"/>
      <c r="N30" s="52"/>
      <c r="O30" s="52"/>
      <c r="P30" s="84" t="s">
        <v>6770</v>
      </c>
      <c r="Q30" s="52"/>
      <c r="R30" s="52"/>
      <c r="S30" s="52"/>
      <c r="T30" s="52"/>
    </row>
    <row r="31">
      <c r="A31" s="234" t="s">
        <v>366</v>
      </c>
      <c r="B31" s="253" t="s">
        <v>7154</v>
      </c>
      <c r="C31" s="52"/>
      <c r="D31" s="259" t="s">
        <v>7155</v>
      </c>
      <c r="E31" s="52"/>
      <c r="F31" s="52" t="s">
        <v>4186</v>
      </c>
      <c r="G31" s="52"/>
      <c r="H31" s="52"/>
      <c r="I31" s="74" t="s">
        <v>3607</v>
      </c>
      <c r="J31" s="174"/>
      <c r="K31" s="74" t="s">
        <v>7156</v>
      </c>
      <c r="L31" s="174"/>
      <c r="M31" s="174"/>
      <c r="N31" s="174"/>
      <c r="O31" s="174"/>
      <c r="P31" s="131" t="s">
        <v>5380</v>
      </c>
      <c r="Q31" s="174"/>
      <c r="R31" s="174"/>
      <c r="S31" s="174"/>
      <c r="T31" s="174"/>
    </row>
    <row r="32">
      <c r="A32" s="234" t="s">
        <v>369</v>
      </c>
      <c r="B32" s="253" t="s">
        <v>7159</v>
      </c>
      <c r="C32" s="52"/>
      <c r="D32" s="240" t="s">
        <v>95</v>
      </c>
      <c r="E32" s="52"/>
      <c r="F32" s="52" t="s">
        <v>4189</v>
      </c>
      <c r="G32" s="52"/>
      <c r="H32" s="52"/>
      <c r="I32" s="74">
        <v>16917.0</v>
      </c>
      <c r="J32" s="174"/>
      <c r="K32" s="131" t="s">
        <v>6656</v>
      </c>
      <c r="L32" s="174"/>
      <c r="M32" s="174"/>
      <c r="N32" s="174"/>
      <c r="O32" s="174"/>
      <c r="P32" s="174"/>
      <c r="Q32" s="174"/>
      <c r="R32" s="174"/>
      <c r="S32" s="174"/>
      <c r="T32" s="174"/>
    </row>
    <row r="33">
      <c r="A33" s="156" t="s">
        <v>2654</v>
      </c>
      <c r="B33" s="253" t="s">
        <v>7162</v>
      </c>
      <c r="C33" s="52"/>
      <c r="D33" s="240" t="s">
        <v>7163</v>
      </c>
      <c r="E33" s="52"/>
      <c r="F33" s="52" t="s">
        <v>4191</v>
      </c>
      <c r="G33" s="52"/>
      <c r="H33" s="52"/>
      <c r="I33" s="74" t="s">
        <v>7164</v>
      </c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</row>
    <row r="34">
      <c r="A34" s="112" t="s">
        <v>2660</v>
      </c>
      <c r="B34" s="253" t="s">
        <v>7165</v>
      </c>
      <c r="C34" s="52"/>
      <c r="D34" s="240" t="s">
        <v>7166</v>
      </c>
      <c r="E34" s="52"/>
      <c r="F34" s="52" t="s">
        <v>4193</v>
      </c>
      <c r="G34" s="52"/>
      <c r="H34" s="52"/>
      <c r="I34" s="52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</row>
    <row r="35">
      <c r="A35" s="112" t="s">
        <v>245</v>
      </c>
      <c r="B35" s="253" t="s">
        <v>7168</v>
      </c>
      <c r="C35" s="52"/>
      <c r="D35" s="240" t="s">
        <v>7169</v>
      </c>
      <c r="E35" s="52"/>
      <c r="F35" s="52" t="s">
        <v>4195</v>
      </c>
      <c r="G35" s="52"/>
      <c r="H35" s="52"/>
      <c r="I35" s="74" t="s">
        <v>2403</v>
      </c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</row>
    <row r="36">
      <c r="A36" s="112" t="s">
        <v>7170</v>
      </c>
      <c r="B36" s="253" t="s">
        <v>7173</v>
      </c>
      <c r="C36" s="52"/>
      <c r="D36" s="240" t="s">
        <v>7174</v>
      </c>
      <c r="E36" s="52"/>
      <c r="F36" s="52" t="s">
        <v>303</v>
      </c>
      <c r="G36" s="52"/>
      <c r="H36" s="52"/>
      <c r="I36" s="74" t="s">
        <v>2726</v>
      </c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</row>
    <row r="37">
      <c r="A37" s="112" t="s">
        <v>105</v>
      </c>
      <c r="B37" s="253" t="s">
        <v>7176</v>
      </c>
      <c r="C37" s="52"/>
      <c r="D37" s="240" t="s">
        <v>7177</v>
      </c>
      <c r="E37" s="52"/>
      <c r="F37" s="52" t="s">
        <v>4198</v>
      </c>
      <c r="G37" s="52"/>
      <c r="H37" s="52"/>
      <c r="I37" s="55" t="s">
        <v>5396</v>
      </c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</row>
    <row r="38">
      <c r="A38" s="112" t="s">
        <v>2685</v>
      </c>
      <c r="B38" s="253" t="s">
        <v>7181</v>
      </c>
      <c r="C38" s="52"/>
      <c r="D38" s="240" t="s">
        <v>7182</v>
      </c>
      <c r="E38" s="52"/>
      <c r="F38" s="52" t="s">
        <v>112</v>
      </c>
      <c r="G38" s="52"/>
      <c r="H38" s="52"/>
      <c r="I38" s="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</row>
    <row r="39">
      <c r="A39" s="112" t="s">
        <v>121</v>
      </c>
      <c r="B39" s="253" t="s">
        <v>7183</v>
      </c>
      <c r="C39" s="52"/>
      <c r="D39" s="240" t="s">
        <v>7184</v>
      </c>
      <c r="E39" s="52"/>
      <c r="F39" s="52" t="s">
        <v>4201</v>
      </c>
      <c r="G39" s="52"/>
      <c r="H39" s="52"/>
      <c r="I39" s="55" t="s">
        <v>5437</v>
      </c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</row>
    <row r="40">
      <c r="A40" s="156" t="s">
        <v>2691</v>
      </c>
      <c r="B40" s="253" t="s">
        <v>7188</v>
      </c>
      <c r="C40" s="52" t="s">
        <v>537</v>
      </c>
      <c r="D40" s="52"/>
      <c r="E40" s="52"/>
      <c r="F40" s="52" t="s">
        <v>4203</v>
      </c>
      <c r="G40" s="52"/>
      <c r="H40" s="52"/>
      <c r="I40" s="52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</row>
    <row r="41">
      <c r="A41" s="156" t="s">
        <v>479</v>
      </c>
      <c r="B41" s="253" t="s">
        <v>7189</v>
      </c>
      <c r="C41" s="52"/>
      <c r="D41" s="240" t="s">
        <v>538</v>
      </c>
      <c r="E41" s="52"/>
      <c r="F41" s="52" t="s">
        <v>4205</v>
      </c>
      <c r="G41" s="52"/>
      <c r="H41" s="52"/>
      <c r="I41" s="52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</row>
    <row r="42">
      <c r="A42" s="112" t="s">
        <v>375</v>
      </c>
      <c r="B42" s="253" t="s">
        <v>7191</v>
      </c>
      <c r="C42" s="52"/>
      <c r="D42" s="240" t="s">
        <v>7192</v>
      </c>
      <c r="E42" s="52"/>
      <c r="F42" s="52" t="s">
        <v>4207</v>
      </c>
      <c r="G42" s="52"/>
      <c r="H42" s="52"/>
      <c r="I42" s="52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</row>
    <row r="43">
      <c r="A43" s="112" t="s">
        <v>141</v>
      </c>
      <c r="B43" s="253" t="s">
        <v>7193</v>
      </c>
      <c r="C43" s="52"/>
      <c r="D43" s="240" t="s">
        <v>7194</v>
      </c>
      <c r="E43" s="52"/>
      <c r="F43" s="52" t="s">
        <v>444</v>
      </c>
      <c r="G43" s="52"/>
      <c r="H43" s="52"/>
      <c r="I43" s="52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</row>
    <row r="44">
      <c r="A44" s="112" t="s">
        <v>156</v>
      </c>
      <c r="B44" s="253" t="s">
        <v>7197</v>
      </c>
      <c r="C44" s="52"/>
      <c r="D44" s="240" t="s">
        <v>7198</v>
      </c>
      <c r="E44" s="52"/>
      <c r="F44" s="52" t="s">
        <v>4210</v>
      </c>
      <c r="G44" s="52"/>
      <c r="H44" s="52"/>
      <c r="I44" s="52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</row>
    <row r="45">
      <c r="A45" s="112" t="s">
        <v>206</v>
      </c>
      <c r="B45" s="253" t="s">
        <v>7199</v>
      </c>
      <c r="C45" s="52"/>
      <c r="D45" s="240" t="s">
        <v>1132</v>
      </c>
      <c r="E45" s="52"/>
      <c r="F45" s="52" t="s">
        <v>4212</v>
      </c>
      <c r="G45" s="52"/>
      <c r="H45" s="52"/>
      <c r="I45" s="52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</row>
    <row r="46">
      <c r="A46" s="112" t="s">
        <v>2716</v>
      </c>
      <c r="B46" s="253" t="s">
        <v>7201</v>
      </c>
      <c r="C46" s="52"/>
      <c r="D46" s="240" t="s">
        <v>7202</v>
      </c>
      <c r="E46" s="52"/>
      <c r="F46" s="52" t="s">
        <v>4214</v>
      </c>
      <c r="G46" s="52"/>
      <c r="H46" s="52"/>
      <c r="I46" s="52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</row>
    <row r="47">
      <c r="A47" s="260" t="s">
        <v>405</v>
      </c>
      <c r="B47" s="253" t="s">
        <v>7205</v>
      </c>
      <c r="C47" s="52"/>
      <c r="D47" s="240" t="s">
        <v>7206</v>
      </c>
      <c r="E47" s="52"/>
      <c r="F47" s="52" t="s">
        <v>4216</v>
      </c>
      <c r="G47" s="52"/>
      <c r="H47" s="52"/>
      <c r="I47" s="52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</row>
    <row r="48">
      <c r="A48" s="112" t="s">
        <v>179</v>
      </c>
      <c r="B48" s="253" t="s">
        <v>7207</v>
      </c>
      <c r="C48" s="52"/>
      <c r="D48" s="240"/>
      <c r="E48" s="52"/>
      <c r="F48" s="52" t="s">
        <v>4218</v>
      </c>
      <c r="G48" s="52"/>
      <c r="H48" s="52"/>
      <c r="I48" s="52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</row>
    <row r="49">
      <c r="A49" s="112" t="s">
        <v>195</v>
      </c>
      <c r="B49" s="253" t="s">
        <v>7209</v>
      </c>
      <c r="C49" s="52"/>
      <c r="D49" s="240" t="s">
        <v>7210</v>
      </c>
      <c r="E49" s="52"/>
      <c r="F49" s="52" t="s">
        <v>4221</v>
      </c>
      <c r="G49" s="52"/>
      <c r="H49" s="52"/>
      <c r="I49" s="52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</row>
    <row r="50">
      <c r="A50" s="112" t="s">
        <v>200</v>
      </c>
      <c r="B50" s="253" t="s">
        <v>7211</v>
      </c>
      <c r="C50" s="52"/>
      <c r="D50" s="240" t="s">
        <v>7212</v>
      </c>
      <c r="E50" s="52"/>
      <c r="F50" s="52" t="s">
        <v>4223</v>
      </c>
      <c r="G50" s="52"/>
      <c r="H50" s="52"/>
      <c r="I50" s="52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</row>
    <row r="51">
      <c r="A51" s="112" t="s">
        <v>206</v>
      </c>
      <c r="B51" s="253" t="s">
        <v>7213</v>
      </c>
      <c r="C51" s="52"/>
      <c r="D51" s="240" t="s">
        <v>7214</v>
      </c>
      <c r="E51" s="52"/>
      <c r="F51" s="52" t="s">
        <v>4225</v>
      </c>
      <c r="G51" s="52"/>
      <c r="H51" s="52"/>
      <c r="I51" s="52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</row>
    <row r="52">
      <c r="A52" s="156" t="s">
        <v>222</v>
      </c>
      <c r="B52" s="253" t="s">
        <v>7217</v>
      </c>
      <c r="C52" s="52"/>
      <c r="D52" s="240" t="s">
        <v>7218</v>
      </c>
      <c r="E52" s="52"/>
      <c r="F52" s="52" t="s">
        <v>4227</v>
      </c>
      <c r="G52" s="52"/>
      <c r="H52" s="52"/>
      <c r="I52" s="52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</row>
    <row r="53">
      <c r="A53" s="112" t="s">
        <v>232</v>
      </c>
      <c r="B53" s="253" t="s">
        <v>7219</v>
      </c>
      <c r="C53" s="52"/>
      <c r="D53" s="240" t="s">
        <v>7220</v>
      </c>
      <c r="E53" s="52"/>
      <c r="F53" s="52" t="s">
        <v>461</v>
      </c>
      <c r="G53" s="52"/>
      <c r="H53" s="52"/>
      <c r="I53" s="52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</row>
    <row r="54">
      <c r="A54" s="112" t="s">
        <v>254</v>
      </c>
      <c r="B54" s="253" t="s">
        <v>7222</v>
      </c>
      <c r="C54" s="52"/>
      <c r="D54" s="240" t="s">
        <v>7223</v>
      </c>
      <c r="E54" s="52"/>
      <c r="F54" s="52" t="s">
        <v>1104</v>
      </c>
      <c r="G54" s="52"/>
      <c r="H54" s="52"/>
      <c r="I54" s="52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</row>
    <row r="55">
      <c r="A55" s="156" t="s">
        <v>331</v>
      </c>
      <c r="B55" s="253" t="s">
        <v>7224</v>
      </c>
      <c r="C55" s="52"/>
      <c r="D55" s="240"/>
      <c r="E55" s="52"/>
      <c r="F55" s="52" t="s">
        <v>4231</v>
      </c>
      <c r="G55" s="52"/>
      <c r="H55" s="52"/>
      <c r="I55" s="52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</row>
    <row r="56">
      <c r="A56" s="112" t="s">
        <v>276</v>
      </c>
      <c r="B56" s="253" t="s">
        <v>7227</v>
      </c>
      <c r="C56" s="52" t="s">
        <v>7228</v>
      </c>
      <c r="D56" s="52"/>
      <c r="E56" s="52"/>
      <c r="F56" s="52" t="s">
        <v>4233</v>
      </c>
      <c r="G56" s="52"/>
      <c r="H56" s="52"/>
      <c r="I56" s="52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</row>
    <row r="57">
      <c r="A57" s="112" t="s">
        <v>261</v>
      </c>
      <c r="B57" s="253" t="s">
        <v>7229</v>
      </c>
      <c r="C57" s="52"/>
      <c r="D57" s="261" t="s">
        <v>7230</v>
      </c>
      <c r="E57" s="52"/>
      <c r="F57" s="52" t="s">
        <v>4235</v>
      </c>
      <c r="G57" s="52"/>
      <c r="H57" s="52"/>
      <c r="I57" s="52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</row>
    <row r="58">
      <c r="A58" s="112" t="s">
        <v>285</v>
      </c>
      <c r="B58" s="253" t="s">
        <v>7232</v>
      </c>
      <c r="C58" s="52"/>
      <c r="D58" s="240" t="s">
        <v>7233</v>
      </c>
      <c r="E58" s="52"/>
      <c r="F58" s="52" t="s">
        <v>4237</v>
      </c>
      <c r="G58" s="52"/>
      <c r="H58" s="52"/>
      <c r="I58" s="52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</row>
    <row r="59">
      <c r="A59" s="156" t="s">
        <v>291</v>
      </c>
      <c r="B59" s="253" t="s">
        <v>7236</v>
      </c>
      <c r="C59" s="52"/>
      <c r="D59" s="240" t="s">
        <v>7237</v>
      </c>
      <c r="E59" s="52"/>
      <c r="F59" s="52" t="s">
        <v>4239</v>
      </c>
      <c r="G59" s="52"/>
      <c r="H59" s="52"/>
      <c r="I59" s="52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</row>
    <row r="60">
      <c r="A60" s="112" t="s">
        <v>457</v>
      </c>
      <c r="B60" s="253" t="s">
        <v>7238</v>
      </c>
      <c r="C60" s="52"/>
      <c r="D60" s="240" t="s">
        <v>7052</v>
      </c>
      <c r="E60" s="52"/>
      <c r="F60" s="52" t="s">
        <v>4241</v>
      </c>
      <c r="G60" s="52"/>
      <c r="H60" s="52"/>
      <c r="I60" s="52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</row>
    <row r="61">
      <c r="A61" s="156" t="s">
        <v>2738</v>
      </c>
      <c r="B61" s="253" t="s">
        <v>7240</v>
      </c>
      <c r="C61" s="52"/>
      <c r="D61" s="240" t="s">
        <v>42</v>
      </c>
      <c r="E61" s="52"/>
      <c r="F61" s="52" t="s">
        <v>4243</v>
      </c>
      <c r="G61" s="52"/>
      <c r="H61" s="52"/>
      <c r="I61" s="52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</row>
    <row r="62">
      <c r="A62" s="112" t="s">
        <v>299</v>
      </c>
      <c r="B62" s="253" t="s">
        <v>7243</v>
      </c>
      <c r="C62" s="52"/>
      <c r="D62" s="240" t="s">
        <v>6653</v>
      </c>
      <c r="E62" s="52"/>
      <c r="F62" s="52" t="s">
        <v>4246</v>
      </c>
      <c r="G62" s="52"/>
      <c r="H62" s="52"/>
      <c r="I62" s="52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</row>
    <row r="63">
      <c r="A63" s="112" t="s">
        <v>305</v>
      </c>
      <c r="B63" s="253" t="s">
        <v>7244</v>
      </c>
      <c r="C63" s="52"/>
      <c r="D63" s="52" t="s">
        <v>1135</v>
      </c>
      <c r="E63" s="52"/>
      <c r="F63" s="52" t="s">
        <v>4248</v>
      </c>
      <c r="G63" s="52"/>
      <c r="H63" s="52"/>
      <c r="I63" s="52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</row>
    <row r="64">
      <c r="A64" s="112" t="s">
        <v>106</v>
      </c>
      <c r="B64" s="253" t="s">
        <v>7245</v>
      </c>
      <c r="C64" s="52" t="s">
        <v>7246</v>
      </c>
      <c r="D64" s="74" t="s">
        <v>2839</v>
      </c>
      <c r="E64" s="52"/>
      <c r="F64" s="52" t="s">
        <v>4250</v>
      </c>
      <c r="G64" s="52"/>
      <c r="H64" s="52"/>
      <c r="I64" s="52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</row>
    <row r="65">
      <c r="A65" s="112" t="s">
        <v>1127</v>
      </c>
      <c r="B65" s="253" t="s">
        <v>7247</v>
      </c>
      <c r="C65" s="52" t="s">
        <v>630</v>
      </c>
      <c r="D65" s="74" t="s">
        <v>631</v>
      </c>
      <c r="E65" s="52"/>
      <c r="F65" s="52" t="s">
        <v>4252</v>
      </c>
      <c r="G65" s="52"/>
      <c r="H65" s="52"/>
      <c r="I65" s="52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</row>
    <row r="66">
      <c r="A66" s="112" t="s">
        <v>419</v>
      </c>
      <c r="B66" s="253" t="s">
        <v>7248</v>
      </c>
      <c r="C66" s="74" t="s">
        <v>7249</v>
      </c>
      <c r="D66" s="52"/>
      <c r="E66" s="52"/>
      <c r="F66" s="52" t="s">
        <v>4254</v>
      </c>
      <c r="G66" s="52"/>
      <c r="H66" s="52"/>
      <c r="I66" s="52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</row>
    <row r="67">
      <c r="A67" s="112" t="s">
        <v>331</v>
      </c>
      <c r="B67" s="253" t="s">
        <v>7250</v>
      </c>
      <c r="C67" s="52"/>
      <c r="D67" s="74" t="s">
        <v>7251</v>
      </c>
      <c r="E67" s="52"/>
      <c r="F67" s="52" t="s">
        <v>272</v>
      </c>
      <c r="G67" s="52"/>
      <c r="H67" s="52"/>
      <c r="I67" s="52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</row>
    <row r="68">
      <c r="A68" s="156" t="s">
        <v>416</v>
      </c>
      <c r="B68" s="253" t="s">
        <v>7253</v>
      </c>
      <c r="C68" s="52"/>
      <c r="D68" s="74" t="s">
        <v>7254</v>
      </c>
      <c r="E68" s="52"/>
      <c r="F68" s="52" t="s">
        <v>4257</v>
      </c>
      <c r="G68" s="52"/>
      <c r="H68" s="52"/>
      <c r="I68" s="52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</row>
    <row r="69">
      <c r="A69" s="112" t="s">
        <v>777</v>
      </c>
      <c r="B69" s="253" t="s">
        <v>7255</v>
      </c>
      <c r="C69" s="52"/>
      <c r="D69" s="74" t="s">
        <v>7256</v>
      </c>
      <c r="E69" s="52"/>
      <c r="F69" s="52" t="s">
        <v>4259</v>
      </c>
      <c r="G69" s="52"/>
      <c r="H69" s="52"/>
      <c r="I69" s="52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</row>
    <row r="70">
      <c r="A70" s="156" t="s">
        <v>439</v>
      </c>
      <c r="B70" s="253" t="s">
        <v>7258</v>
      </c>
      <c r="C70" s="74" t="s">
        <v>603</v>
      </c>
      <c r="D70" s="52"/>
      <c r="E70" s="52"/>
      <c r="F70" s="149" t="s">
        <v>4261</v>
      </c>
      <c r="G70" s="52"/>
      <c r="H70" s="52"/>
      <c r="I70" s="52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</row>
    <row r="71">
      <c r="A71" s="156" t="s">
        <v>52</v>
      </c>
      <c r="B71" s="253" t="s">
        <v>7260</v>
      </c>
      <c r="C71" s="52"/>
      <c r="D71" s="74" t="s">
        <v>212</v>
      </c>
      <c r="E71" s="52"/>
      <c r="F71" s="52" t="s">
        <v>4263</v>
      </c>
      <c r="G71" s="52"/>
      <c r="H71" s="52"/>
      <c r="I71" s="52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</row>
    <row r="72">
      <c r="A72" s="156" t="s">
        <v>131</v>
      </c>
      <c r="B72" s="253" t="s">
        <v>7261</v>
      </c>
      <c r="C72" s="52"/>
      <c r="D72" s="74" t="s">
        <v>604</v>
      </c>
      <c r="E72" s="52"/>
      <c r="F72" s="52" t="s">
        <v>258</v>
      </c>
      <c r="G72" s="52"/>
      <c r="H72" s="52"/>
      <c r="I72" s="52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</row>
    <row r="73">
      <c r="A73" s="112" t="s">
        <v>7263</v>
      </c>
      <c r="B73" s="253" t="s">
        <v>7264</v>
      </c>
      <c r="C73" s="52"/>
      <c r="D73" s="74" t="s">
        <v>1409</v>
      </c>
      <c r="E73" s="52"/>
      <c r="F73" s="52" t="s">
        <v>4266</v>
      </c>
      <c r="G73" s="52"/>
      <c r="H73" s="262"/>
      <c r="I73" s="52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</row>
    <row r="74">
      <c r="A74" s="112" t="s">
        <v>424</v>
      </c>
      <c r="B74" s="253" t="s">
        <v>7267</v>
      </c>
      <c r="C74" s="52"/>
      <c r="D74" s="52"/>
      <c r="E74" s="52"/>
      <c r="F74" s="52" t="s">
        <v>4268</v>
      </c>
      <c r="G74" s="52"/>
      <c r="H74" s="52"/>
      <c r="I74" s="52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</row>
    <row r="75">
      <c r="A75" s="156" t="s">
        <v>450</v>
      </c>
      <c r="B75" s="253" t="s">
        <v>7268</v>
      </c>
      <c r="C75" s="52"/>
      <c r="D75" s="74" t="s">
        <v>7269</v>
      </c>
      <c r="E75" s="52"/>
      <c r="F75" s="52" t="s">
        <v>4271</v>
      </c>
      <c r="G75" s="52"/>
      <c r="H75" s="52"/>
      <c r="I75" s="52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</row>
    <row r="76">
      <c r="A76" s="112" t="s">
        <v>571</v>
      </c>
      <c r="B76" s="253" t="s">
        <v>7271</v>
      </c>
      <c r="C76" s="52"/>
      <c r="D76" s="74" t="s">
        <v>7272</v>
      </c>
      <c r="E76" s="52"/>
      <c r="F76" s="52" t="s">
        <v>4274</v>
      </c>
      <c r="G76" s="52"/>
      <c r="H76" s="52"/>
      <c r="I76" s="52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</row>
    <row r="77">
      <c r="A77" s="112" t="s">
        <v>573</v>
      </c>
      <c r="B77" s="253" t="s">
        <v>7275</v>
      </c>
      <c r="C77" s="52"/>
      <c r="D77" s="74" t="s">
        <v>5323</v>
      </c>
      <c r="E77" s="52"/>
      <c r="F77" s="52" t="s">
        <v>4277</v>
      </c>
      <c r="G77" s="52"/>
      <c r="H77" s="52"/>
      <c r="I77" s="52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</row>
    <row r="78">
      <c r="A78" s="112" t="s">
        <v>2990</v>
      </c>
      <c r="B78" s="253" t="s">
        <v>7276</v>
      </c>
      <c r="C78" s="174"/>
      <c r="D78" s="131" t="s">
        <v>6837</v>
      </c>
      <c r="E78" s="174"/>
      <c r="F78" s="256" t="s">
        <v>4279</v>
      </c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</row>
    <row r="79">
      <c r="A79" s="112" t="s">
        <v>587</v>
      </c>
      <c r="B79" s="253" t="s">
        <v>7278</v>
      </c>
      <c r="C79" s="174"/>
      <c r="D79" s="131" t="s">
        <v>6653</v>
      </c>
      <c r="E79" s="174"/>
      <c r="F79" s="256" t="s">
        <v>4281</v>
      </c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</row>
    <row r="80">
      <c r="A80" s="112" t="s">
        <v>357</v>
      </c>
      <c r="B80" s="253" t="s">
        <v>7279</v>
      </c>
      <c r="C80" s="174"/>
      <c r="D80" s="174"/>
      <c r="E80" s="174"/>
      <c r="F80" s="256" t="s">
        <v>4283</v>
      </c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</row>
    <row r="81">
      <c r="A81" s="156" t="s">
        <v>344</v>
      </c>
      <c r="B81" s="253" t="s">
        <v>7282</v>
      </c>
      <c r="C81" s="174"/>
      <c r="D81" s="174"/>
      <c r="E81" s="174"/>
      <c r="F81" s="256" t="s">
        <v>4285</v>
      </c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</row>
    <row r="82">
      <c r="A82" s="156" t="s">
        <v>348</v>
      </c>
      <c r="B82" s="253" t="s">
        <v>7283</v>
      </c>
      <c r="C82" s="174"/>
      <c r="D82" s="174"/>
      <c r="E82" s="174"/>
      <c r="F82" s="256" t="s">
        <v>1166</v>
      </c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</row>
    <row r="83">
      <c r="A83" s="156" t="s">
        <v>352</v>
      </c>
      <c r="B83" s="253" t="s">
        <v>7285</v>
      </c>
      <c r="C83" s="174"/>
      <c r="D83" s="174"/>
      <c r="E83" s="174"/>
      <c r="F83" s="174" t="s">
        <v>4288</v>
      </c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</row>
    <row r="84">
      <c r="A84" s="156" t="s">
        <v>358</v>
      </c>
      <c r="B84" s="253" t="s">
        <v>7288</v>
      </c>
      <c r="C84" s="174"/>
      <c r="D84" s="174"/>
      <c r="E84" s="174"/>
      <c r="F84" s="174" t="s">
        <v>616</v>
      </c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</row>
    <row r="85">
      <c r="A85" s="112" t="s">
        <v>362</v>
      </c>
      <c r="B85" s="253" t="s">
        <v>7290</v>
      </c>
      <c r="C85" s="174"/>
      <c r="D85" s="174"/>
      <c r="E85" s="174"/>
      <c r="F85" s="174" t="s">
        <v>280</v>
      </c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</row>
    <row r="86">
      <c r="A86" s="156" t="s">
        <v>368</v>
      </c>
      <c r="B86" s="253" t="s">
        <v>7292</v>
      </c>
      <c r="C86" s="174"/>
      <c r="D86" s="174"/>
      <c r="E86" s="174"/>
      <c r="F86" s="174" t="s">
        <v>4292</v>
      </c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</row>
    <row r="87">
      <c r="A87" s="156" t="s">
        <v>373</v>
      </c>
      <c r="B87" s="253" t="s">
        <v>7295</v>
      </c>
      <c r="C87" s="174"/>
      <c r="D87" s="174"/>
      <c r="E87" s="174"/>
      <c r="F87" s="174" t="s">
        <v>4294</v>
      </c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</row>
    <row r="88">
      <c r="A88" s="156" t="s">
        <v>385</v>
      </c>
      <c r="B88" s="253" t="s">
        <v>7296</v>
      </c>
      <c r="C88" s="174"/>
      <c r="D88" s="174"/>
      <c r="E88" s="174"/>
      <c r="F88" s="174" t="s">
        <v>3556</v>
      </c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</row>
    <row r="89">
      <c r="A89" s="133" t="s">
        <v>7298</v>
      </c>
      <c r="B89" s="253" t="s">
        <v>7299</v>
      </c>
      <c r="C89" s="174"/>
      <c r="D89" s="174"/>
      <c r="E89" s="174"/>
      <c r="F89" s="174" t="s">
        <v>4297</v>
      </c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</row>
    <row r="90">
      <c r="A90" s="112" t="s">
        <v>3009</v>
      </c>
      <c r="B90" s="253" t="s">
        <v>7300</v>
      </c>
      <c r="C90" s="174"/>
      <c r="D90" s="174"/>
      <c r="E90" s="174"/>
      <c r="F90" s="174" t="s">
        <v>514</v>
      </c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</row>
    <row r="91">
      <c r="A91" s="156" t="s">
        <v>394</v>
      </c>
      <c r="B91" s="253" t="s">
        <v>7303</v>
      </c>
      <c r="C91" s="174"/>
      <c r="D91" s="174"/>
      <c r="E91" s="174"/>
      <c r="F91" s="174" t="s">
        <v>4302</v>
      </c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</row>
    <row r="92">
      <c r="A92" s="156" t="s">
        <v>402</v>
      </c>
      <c r="B92" s="253" t="s">
        <v>7305</v>
      </c>
      <c r="C92" s="174"/>
      <c r="D92" s="174"/>
      <c r="E92" s="174"/>
      <c r="F92" s="174" t="s">
        <v>133</v>
      </c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</row>
    <row r="93">
      <c r="A93" s="112" t="s">
        <v>412</v>
      </c>
      <c r="B93" s="253" t="s">
        <v>7307</v>
      </c>
      <c r="C93" s="174"/>
      <c r="D93" s="174"/>
      <c r="E93" s="174"/>
      <c r="F93" s="174" t="s">
        <v>4305</v>
      </c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</row>
    <row r="94">
      <c r="A94" s="156" t="s">
        <v>420</v>
      </c>
      <c r="B94" s="253" t="s">
        <v>7310</v>
      </c>
      <c r="C94" s="174"/>
      <c r="D94" s="174"/>
      <c r="E94" s="174"/>
      <c r="F94" s="174" t="s">
        <v>549</v>
      </c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</row>
    <row r="95">
      <c r="A95" s="112" t="s">
        <v>425</v>
      </c>
      <c r="B95" s="253" t="s">
        <v>7311</v>
      </c>
      <c r="C95" s="174"/>
      <c r="D95" s="174"/>
      <c r="E95" s="174"/>
      <c r="F95" s="174" t="s">
        <v>4308</v>
      </c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</row>
    <row r="96">
      <c r="A96" s="112" t="s">
        <v>432</v>
      </c>
      <c r="B96" s="253" t="s">
        <v>7313</v>
      </c>
      <c r="C96" s="174"/>
      <c r="D96" s="174"/>
      <c r="E96" s="174"/>
      <c r="F96" s="174" t="s">
        <v>4310</v>
      </c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</row>
    <row r="97">
      <c r="A97" s="156" t="s">
        <v>122</v>
      </c>
      <c r="B97" s="253" t="s">
        <v>7316</v>
      </c>
      <c r="C97" s="174"/>
      <c r="D97" s="174"/>
      <c r="E97" s="174"/>
      <c r="F97" s="174" t="s">
        <v>625</v>
      </c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</row>
    <row r="98">
      <c r="A98" s="112" t="s">
        <v>486</v>
      </c>
      <c r="B98" s="253" t="s">
        <v>7317</v>
      </c>
      <c r="C98" s="174"/>
      <c r="D98" s="174"/>
      <c r="E98" s="174"/>
      <c r="F98" s="174" t="s">
        <v>4313</v>
      </c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</row>
    <row r="99">
      <c r="A99" s="112" t="s">
        <v>143</v>
      </c>
      <c r="B99" s="253" t="s">
        <v>7319</v>
      </c>
      <c r="C99" s="174"/>
      <c r="D99" s="174"/>
      <c r="E99" s="174"/>
      <c r="F99" s="174" t="s">
        <v>4316</v>
      </c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</row>
    <row r="100">
      <c r="A100" s="112" t="s">
        <v>507</v>
      </c>
      <c r="B100" s="253" t="s">
        <v>7322</v>
      </c>
      <c r="C100" s="174"/>
      <c r="D100" s="174"/>
      <c r="E100" s="174"/>
      <c r="F100" s="174" t="s">
        <v>4318</v>
      </c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</row>
    <row r="101">
      <c r="A101" s="112" t="s">
        <v>516</v>
      </c>
      <c r="B101" s="253" t="s">
        <v>7324</v>
      </c>
      <c r="C101" s="174"/>
      <c r="D101" s="174"/>
      <c r="E101" s="174"/>
      <c r="F101" s="174" t="s">
        <v>518</v>
      </c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</row>
    <row r="102">
      <c r="A102" s="112" t="s">
        <v>525</v>
      </c>
      <c r="B102" s="253" t="s">
        <v>7327</v>
      </c>
      <c r="C102" s="174"/>
      <c r="D102" s="174"/>
      <c r="E102" s="174"/>
      <c r="F102" s="174" t="s">
        <v>4321</v>
      </c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</row>
    <row r="103">
      <c r="A103" s="112" t="s">
        <v>535</v>
      </c>
      <c r="B103" s="253" t="s">
        <v>7328</v>
      </c>
      <c r="C103" s="174"/>
      <c r="D103" s="174"/>
      <c r="E103" s="174"/>
      <c r="F103" s="174" t="s">
        <v>4323</v>
      </c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</row>
    <row r="104">
      <c r="A104" s="112" t="s">
        <v>548</v>
      </c>
      <c r="B104" s="253" t="s">
        <v>7330</v>
      </c>
      <c r="C104" s="174"/>
      <c r="D104" s="174"/>
      <c r="E104" s="174"/>
      <c r="F104" s="174" t="s">
        <v>4325</v>
      </c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</row>
    <row r="105">
      <c r="A105" s="112" t="s">
        <v>556</v>
      </c>
      <c r="B105" s="253" t="s">
        <v>7333</v>
      </c>
      <c r="C105" s="174"/>
      <c r="D105" s="174"/>
      <c r="E105" s="174"/>
      <c r="F105" s="174" t="s">
        <v>4327</v>
      </c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</row>
    <row r="106">
      <c r="A106" s="112" t="s">
        <v>565</v>
      </c>
      <c r="B106" s="253" t="s">
        <v>7334</v>
      </c>
      <c r="C106" s="174"/>
      <c r="D106" s="174"/>
      <c r="E106" s="174"/>
      <c r="F106" s="174" t="s">
        <v>4329</v>
      </c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</row>
    <row r="107">
      <c r="A107" s="156" t="s">
        <v>7335</v>
      </c>
      <c r="B107" s="253" t="s">
        <v>7336</v>
      </c>
      <c r="C107" s="174"/>
      <c r="D107" s="174"/>
      <c r="E107" s="174"/>
      <c r="F107" s="174" t="s">
        <v>4331</v>
      </c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</row>
    <row r="108">
      <c r="A108" s="112" t="s">
        <v>7337</v>
      </c>
      <c r="B108" s="253" t="s">
        <v>7339</v>
      </c>
      <c r="C108" s="174"/>
      <c r="D108" s="174"/>
      <c r="E108" s="174"/>
      <c r="F108" s="174" t="s">
        <v>4333</v>
      </c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</row>
    <row r="109">
      <c r="A109" s="112" t="s">
        <v>7340</v>
      </c>
      <c r="B109" s="253" t="s">
        <v>7341</v>
      </c>
      <c r="C109" s="174"/>
      <c r="D109" s="174"/>
      <c r="E109" s="174"/>
      <c r="F109" s="174" t="s">
        <v>4335</v>
      </c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</row>
    <row r="110">
      <c r="A110" s="112" t="s">
        <v>712</v>
      </c>
      <c r="B110" s="253" t="s">
        <v>7344</v>
      </c>
      <c r="C110" s="174"/>
      <c r="D110" s="174"/>
      <c r="E110" s="174"/>
      <c r="F110" s="174" t="s">
        <v>4337</v>
      </c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</row>
    <row r="111">
      <c r="A111" s="112" t="s">
        <v>7345</v>
      </c>
      <c r="B111" s="253" t="s">
        <v>7346</v>
      </c>
      <c r="C111" s="174"/>
      <c r="D111" s="174"/>
      <c r="E111" s="174"/>
      <c r="F111" s="174" t="s">
        <v>4339</v>
      </c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</row>
    <row r="112">
      <c r="A112" s="112" t="s">
        <v>7347</v>
      </c>
      <c r="B112" s="253" t="s">
        <v>7348</v>
      </c>
      <c r="C112" s="174"/>
      <c r="D112" s="174"/>
      <c r="E112" s="174"/>
      <c r="F112" s="174" t="s">
        <v>182</v>
      </c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</row>
    <row r="113">
      <c r="A113" s="133" t="s">
        <v>7349</v>
      </c>
      <c r="B113" s="253" t="s">
        <v>7351</v>
      </c>
      <c r="C113" s="174"/>
      <c r="D113" s="174"/>
      <c r="E113" s="174"/>
      <c r="F113" s="174" t="s">
        <v>4342</v>
      </c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</row>
    <row r="114">
      <c r="A114" s="112" t="s">
        <v>7352</v>
      </c>
      <c r="B114" s="253" t="s">
        <v>7353</v>
      </c>
      <c r="C114" s="174"/>
      <c r="D114" s="174"/>
      <c r="E114" s="174"/>
      <c r="F114" s="174" t="s">
        <v>4344</v>
      </c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</row>
    <row r="115">
      <c r="A115" s="156" t="s">
        <v>769</v>
      </c>
      <c r="B115" s="253" t="s">
        <v>7356</v>
      </c>
      <c r="C115" s="174"/>
      <c r="D115" s="174"/>
      <c r="E115" s="174"/>
      <c r="F115" s="174" t="s">
        <v>4347</v>
      </c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</row>
    <row r="116">
      <c r="A116" s="112" t="s">
        <v>772</v>
      </c>
      <c r="B116" s="253" t="s">
        <v>7357</v>
      </c>
      <c r="C116" s="174"/>
      <c r="D116" s="174"/>
      <c r="E116" s="174"/>
      <c r="F116" s="174" t="s">
        <v>4349</v>
      </c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</row>
    <row r="117">
      <c r="A117" s="112" t="s">
        <v>712</v>
      </c>
      <c r="B117" s="253" t="s">
        <v>7358</v>
      </c>
      <c r="C117" s="174"/>
      <c r="D117" s="174"/>
      <c r="E117" s="174"/>
      <c r="F117" s="174" t="s">
        <v>4352</v>
      </c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</row>
    <row r="118">
      <c r="A118" s="112" t="s">
        <v>776</v>
      </c>
      <c r="B118" s="253" t="s">
        <v>7360</v>
      </c>
      <c r="C118" s="174"/>
      <c r="D118" s="174"/>
      <c r="E118" s="174"/>
      <c r="F118" s="174" t="s">
        <v>4354</v>
      </c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</row>
    <row r="119">
      <c r="A119" s="112" t="s">
        <v>7363</v>
      </c>
      <c r="B119" s="253" t="s">
        <v>7364</v>
      </c>
      <c r="C119" s="174"/>
      <c r="D119" s="174"/>
      <c r="E119" s="174"/>
      <c r="F119" s="174" t="s">
        <v>311</v>
      </c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</row>
    <row r="120">
      <c r="A120" s="112" t="s">
        <v>7365</v>
      </c>
      <c r="B120" s="253" t="s">
        <v>7366</v>
      </c>
      <c r="C120" s="174"/>
      <c r="D120" s="174"/>
      <c r="E120" s="174"/>
      <c r="F120" s="174" t="s">
        <v>4357</v>
      </c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</row>
    <row r="121">
      <c r="A121" s="112" t="s">
        <v>3734</v>
      </c>
      <c r="B121" s="253" t="s">
        <v>7368</v>
      </c>
      <c r="C121" s="174"/>
      <c r="D121" s="174"/>
      <c r="E121" s="174"/>
      <c r="F121" s="174" t="s">
        <v>4359</v>
      </c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</row>
    <row r="122">
      <c r="A122" s="112" t="s">
        <v>7369</v>
      </c>
      <c r="B122" s="253" t="s">
        <v>7372</v>
      </c>
      <c r="C122" s="174"/>
      <c r="D122" s="174"/>
      <c r="E122" s="174"/>
      <c r="F122" s="174" t="s">
        <v>4361</v>
      </c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</row>
    <row r="123">
      <c r="A123" s="112" t="s">
        <v>7373</v>
      </c>
      <c r="B123" s="253" t="s">
        <v>7374</v>
      </c>
      <c r="C123" s="174"/>
      <c r="D123" s="174"/>
      <c r="E123" s="174"/>
      <c r="F123" s="174" t="s">
        <v>4363</v>
      </c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</row>
    <row r="124">
      <c r="A124" s="112" t="s">
        <v>7375</v>
      </c>
      <c r="B124" s="253" t="s">
        <v>7377</v>
      </c>
      <c r="C124" s="174"/>
      <c r="D124" s="174"/>
      <c r="E124" s="174"/>
      <c r="F124" s="174" t="s">
        <v>4365</v>
      </c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</row>
    <row r="125">
      <c r="A125" s="112" t="s">
        <v>7378</v>
      </c>
      <c r="B125" s="253" t="s">
        <v>7379</v>
      </c>
      <c r="C125" s="174"/>
      <c r="D125" s="174"/>
      <c r="E125" s="174"/>
      <c r="F125" s="174" t="s">
        <v>4367</v>
      </c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</row>
    <row r="126">
      <c r="A126" s="112" t="s">
        <v>1120</v>
      </c>
      <c r="B126" s="253" t="s">
        <v>7382</v>
      </c>
      <c r="C126" s="174"/>
      <c r="D126" s="174"/>
      <c r="E126" s="174"/>
      <c r="F126" s="174" t="s">
        <v>4369</v>
      </c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</row>
    <row r="127">
      <c r="A127" s="133" t="s">
        <v>3303</v>
      </c>
      <c r="B127" s="253" t="s">
        <v>7383</v>
      </c>
      <c r="C127" s="174"/>
      <c r="D127" s="174"/>
      <c r="E127" s="174"/>
      <c r="F127" s="174" t="s">
        <v>584</v>
      </c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</row>
    <row r="128">
      <c r="A128" s="112" t="s">
        <v>3324</v>
      </c>
      <c r="B128" s="253" t="s">
        <v>7385</v>
      </c>
      <c r="C128" s="174"/>
      <c r="D128" s="174"/>
      <c r="E128" s="174"/>
      <c r="F128" s="174" t="s">
        <v>4372</v>
      </c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</row>
    <row r="129">
      <c r="A129" s="112" t="s">
        <v>7386</v>
      </c>
      <c r="B129" s="253" t="s">
        <v>7389</v>
      </c>
      <c r="C129" s="174"/>
      <c r="D129" s="174"/>
      <c r="E129" s="174"/>
      <c r="F129" s="174" t="s">
        <v>4375</v>
      </c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</row>
    <row r="130">
      <c r="A130" s="112" t="s">
        <v>3346</v>
      </c>
      <c r="B130" s="253" t="s">
        <v>7390</v>
      </c>
      <c r="C130" s="174"/>
      <c r="D130" s="174"/>
      <c r="E130" s="174"/>
      <c r="F130" s="174" t="s">
        <v>4378</v>
      </c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</row>
    <row r="131">
      <c r="A131" s="112" t="s">
        <v>7391</v>
      </c>
      <c r="B131" s="253" t="s">
        <v>7392</v>
      </c>
      <c r="C131" s="174"/>
      <c r="D131" s="174"/>
      <c r="E131" s="174"/>
      <c r="F131" s="174" t="s">
        <v>3465</v>
      </c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</row>
    <row r="132">
      <c r="A132" s="112" t="s">
        <v>3340</v>
      </c>
      <c r="B132" s="253" t="s">
        <v>7394</v>
      </c>
      <c r="C132" s="174"/>
      <c r="D132" s="174"/>
      <c r="E132" s="174"/>
      <c r="F132" s="174" t="s">
        <v>119</v>
      </c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</row>
    <row r="133">
      <c r="A133" s="112" t="s">
        <v>3358</v>
      </c>
      <c r="B133" s="253" t="s">
        <v>7403</v>
      </c>
      <c r="C133" s="174"/>
      <c r="D133" s="174"/>
      <c r="E133" s="174"/>
      <c r="F133" s="174" t="s">
        <v>4382</v>
      </c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</row>
    <row r="134">
      <c r="A134" s="112" t="s">
        <v>3402</v>
      </c>
      <c r="B134" s="253" t="s">
        <v>7405</v>
      </c>
      <c r="C134" s="174"/>
      <c r="D134" s="174"/>
      <c r="E134" s="174"/>
      <c r="F134" s="174" t="s">
        <v>4384</v>
      </c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</row>
    <row r="135">
      <c r="A135" s="112" t="s">
        <v>3410</v>
      </c>
      <c r="B135" s="253" t="s">
        <v>7406</v>
      </c>
      <c r="C135" s="174"/>
      <c r="D135" s="174"/>
      <c r="E135" s="174"/>
      <c r="F135" s="174" t="s">
        <v>4386</v>
      </c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</row>
    <row r="136">
      <c r="A136" s="112" t="s">
        <v>3416</v>
      </c>
      <c r="B136" s="253" t="s">
        <v>7407</v>
      </c>
      <c r="C136" s="174"/>
      <c r="D136" s="174"/>
      <c r="E136" s="174"/>
      <c r="F136" s="174" t="s">
        <v>3457</v>
      </c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</row>
    <row r="137">
      <c r="A137" s="112" t="s">
        <v>3424</v>
      </c>
      <c r="B137" s="253" t="s">
        <v>7408</v>
      </c>
      <c r="C137" s="174"/>
      <c r="D137" s="174"/>
      <c r="E137" s="174"/>
      <c r="F137" s="174" t="s">
        <v>4389</v>
      </c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</row>
    <row r="138">
      <c r="A138" s="112" t="s">
        <v>3435</v>
      </c>
      <c r="B138" s="253" t="s">
        <v>7409</v>
      </c>
      <c r="C138" s="174"/>
      <c r="D138" s="174"/>
      <c r="E138" s="174"/>
      <c r="F138" s="174" t="s">
        <v>4392</v>
      </c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</row>
    <row r="139">
      <c r="A139" s="112" t="s">
        <v>3454</v>
      </c>
      <c r="B139" s="253" t="s">
        <v>7410</v>
      </c>
      <c r="C139" s="174"/>
      <c r="D139" s="174"/>
      <c r="E139" s="174"/>
      <c r="F139" s="174" t="s">
        <v>4394</v>
      </c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</row>
    <row r="140">
      <c r="A140" s="112" t="s">
        <v>3464</v>
      </c>
      <c r="B140" s="253" t="s">
        <v>7413</v>
      </c>
      <c r="C140" s="174"/>
      <c r="D140" s="174"/>
      <c r="E140" s="174"/>
      <c r="F140" s="174" t="s">
        <v>4396</v>
      </c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</row>
    <row r="141">
      <c r="A141" s="112" t="s">
        <v>3474</v>
      </c>
      <c r="B141" s="253" t="s">
        <v>7414</v>
      </c>
      <c r="C141" s="174"/>
      <c r="D141" s="174"/>
      <c r="E141" s="174"/>
      <c r="F141" s="174" t="s">
        <v>4398</v>
      </c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</row>
    <row r="142">
      <c r="A142" s="112" t="s">
        <v>3482</v>
      </c>
      <c r="B142" s="253" t="s">
        <v>7416</v>
      </c>
      <c r="C142" s="174"/>
      <c r="D142" s="174"/>
      <c r="E142" s="174"/>
      <c r="F142" s="174" t="s">
        <v>4400</v>
      </c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</row>
    <row r="143">
      <c r="A143" s="112" t="s">
        <v>7417</v>
      </c>
      <c r="B143" s="263"/>
      <c r="C143" s="174"/>
      <c r="D143" s="174"/>
      <c r="E143" s="174"/>
      <c r="F143" s="174" t="s">
        <v>4402</v>
      </c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</row>
    <row r="144">
      <c r="A144" s="112" t="s">
        <v>7419</v>
      </c>
      <c r="B144" s="263"/>
      <c r="C144" s="174"/>
      <c r="D144" s="174"/>
      <c r="E144" s="174"/>
      <c r="F144" s="174" t="s">
        <v>174</v>
      </c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</row>
    <row r="145">
      <c r="A145" s="112" t="s">
        <v>3443</v>
      </c>
      <c r="B145" s="253" t="s">
        <v>7422</v>
      </c>
      <c r="C145" s="174"/>
      <c r="D145" s="174"/>
      <c r="E145" s="174"/>
      <c r="F145" s="174" t="s">
        <v>467</v>
      </c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</row>
    <row r="146">
      <c r="A146" s="112" t="s">
        <v>3496</v>
      </c>
      <c r="B146" s="253" t="s">
        <v>7424</v>
      </c>
      <c r="C146" s="174"/>
      <c r="D146" s="174"/>
      <c r="E146" s="174"/>
      <c r="F146" s="174" t="s">
        <v>471</v>
      </c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</row>
    <row r="147">
      <c r="A147" s="112" t="s">
        <v>3502</v>
      </c>
      <c r="B147" s="253" t="s">
        <v>7426</v>
      </c>
      <c r="C147" s="174"/>
      <c r="D147" s="174"/>
      <c r="E147" s="174"/>
      <c r="F147" s="174" t="s">
        <v>610</v>
      </c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</row>
    <row r="148">
      <c r="A148" s="112" t="s">
        <v>3509</v>
      </c>
      <c r="B148" s="253" t="s">
        <v>7427</v>
      </c>
      <c r="C148" s="174"/>
      <c r="D148" s="174"/>
      <c r="E148" s="174"/>
      <c r="F148" s="174" t="s">
        <v>4408</v>
      </c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</row>
    <row r="149">
      <c r="A149" s="112" t="s">
        <v>3553</v>
      </c>
      <c r="B149" s="253" t="s">
        <v>7429</v>
      </c>
      <c r="C149" s="174"/>
      <c r="D149" s="174"/>
      <c r="E149" s="174"/>
      <c r="F149" s="174" t="s">
        <v>264</v>
      </c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</row>
    <row r="150">
      <c r="A150" s="112" t="s">
        <v>3567</v>
      </c>
      <c r="B150" s="253" t="s">
        <v>7430</v>
      </c>
      <c r="C150" s="174"/>
      <c r="D150" s="174"/>
      <c r="E150" s="174"/>
      <c r="F150" s="174" t="s">
        <v>4411</v>
      </c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</row>
    <row r="151">
      <c r="A151" s="112" t="s">
        <v>3573</v>
      </c>
      <c r="B151" s="253" t="s">
        <v>7431</v>
      </c>
      <c r="C151" s="174"/>
      <c r="D151" s="174"/>
      <c r="E151" s="174"/>
      <c r="F151" s="174" t="s">
        <v>4413</v>
      </c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</row>
    <row r="152">
      <c r="A152" s="112" t="s">
        <v>3579</v>
      </c>
      <c r="B152" s="253" t="s">
        <v>7435</v>
      </c>
      <c r="C152" s="174"/>
      <c r="D152" s="174"/>
      <c r="E152" s="174"/>
      <c r="F152" s="174" t="s">
        <v>4415</v>
      </c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</row>
    <row r="153">
      <c r="A153" s="112" t="s">
        <v>3600</v>
      </c>
      <c r="B153" s="253" t="s">
        <v>7436</v>
      </c>
      <c r="C153" s="174"/>
      <c r="D153" s="174"/>
      <c r="E153" s="174"/>
      <c r="F153" s="174" t="s">
        <v>4417</v>
      </c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</row>
    <row r="154">
      <c r="A154" s="112" t="s">
        <v>3616</v>
      </c>
      <c r="B154" s="253" t="s">
        <v>7438</v>
      </c>
      <c r="C154" s="174"/>
      <c r="D154" s="174"/>
      <c r="E154" s="174"/>
      <c r="F154" s="174" t="s">
        <v>4419</v>
      </c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</row>
    <row r="155">
      <c r="A155" s="112" t="s">
        <v>3645</v>
      </c>
      <c r="B155" s="253" t="s">
        <v>7439</v>
      </c>
      <c r="C155" s="174"/>
      <c r="D155" s="174"/>
      <c r="E155" s="174"/>
      <c r="F155" s="174" t="s">
        <v>4421</v>
      </c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</row>
    <row r="156">
      <c r="A156" s="112" t="s">
        <v>1134</v>
      </c>
      <c r="B156" s="253" t="s">
        <v>7441</v>
      </c>
      <c r="C156" s="174"/>
      <c r="D156" s="174"/>
      <c r="E156" s="174"/>
      <c r="F156" s="174" t="s">
        <v>4423</v>
      </c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</row>
    <row r="157">
      <c r="A157" s="133" t="s">
        <v>3461</v>
      </c>
      <c r="B157" s="253" t="s">
        <v>7444</v>
      </c>
      <c r="C157" s="174"/>
      <c r="D157" s="174"/>
      <c r="E157" s="174"/>
      <c r="F157" s="174" t="s">
        <v>4425</v>
      </c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</row>
    <row r="158">
      <c r="A158" s="112" t="s">
        <v>1194</v>
      </c>
      <c r="B158" s="253" t="s">
        <v>7445</v>
      </c>
      <c r="C158" s="174"/>
      <c r="D158" s="174"/>
      <c r="E158" s="174"/>
      <c r="F158" s="174" t="s">
        <v>4427</v>
      </c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</row>
    <row r="159">
      <c r="A159" s="112" t="s">
        <v>1203</v>
      </c>
      <c r="B159" s="253" t="s">
        <v>7447</v>
      </c>
      <c r="C159" s="174"/>
      <c r="D159" s="174"/>
      <c r="E159" s="174"/>
      <c r="F159" s="174" t="s">
        <v>4430</v>
      </c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</row>
    <row r="160">
      <c r="A160" s="112" t="s">
        <v>1216</v>
      </c>
      <c r="B160" s="253" t="s">
        <v>7448</v>
      </c>
      <c r="C160" s="174"/>
      <c r="D160" s="174"/>
      <c r="E160" s="174"/>
      <c r="F160" s="174" t="s">
        <v>4432</v>
      </c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</row>
    <row r="161">
      <c r="A161" s="112" t="s">
        <v>1224</v>
      </c>
      <c r="B161" s="253" t="s">
        <v>7451</v>
      </c>
      <c r="C161" s="174"/>
      <c r="D161" s="174"/>
      <c r="E161" s="174"/>
      <c r="F161" s="174" t="s">
        <v>4434</v>
      </c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</row>
    <row r="162">
      <c r="A162" s="112" t="s">
        <v>1231</v>
      </c>
      <c r="B162" s="253" t="s">
        <v>7452</v>
      </c>
      <c r="C162" s="174"/>
      <c r="D162" s="174"/>
      <c r="E162" s="174"/>
      <c r="F162" s="174" t="s">
        <v>162</v>
      </c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</row>
    <row r="163">
      <c r="A163" s="112" t="s">
        <v>1240</v>
      </c>
      <c r="B163" s="253" t="s">
        <v>7454</v>
      </c>
      <c r="C163" s="174"/>
      <c r="D163" s="174"/>
      <c r="E163" s="174"/>
      <c r="F163" s="174" t="s">
        <v>4437</v>
      </c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</row>
    <row r="164">
      <c r="A164" s="112" t="s">
        <v>1245</v>
      </c>
      <c r="B164" s="253" t="s">
        <v>7457</v>
      </c>
      <c r="C164" s="174"/>
      <c r="D164" s="174"/>
      <c r="E164" s="174"/>
      <c r="F164" s="174" t="s">
        <v>4439</v>
      </c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</row>
    <row r="165">
      <c r="A165" s="112" t="s">
        <v>1269</v>
      </c>
      <c r="B165" s="253" t="s">
        <v>7458</v>
      </c>
      <c r="C165" s="174"/>
      <c r="D165" s="174"/>
      <c r="E165" s="174"/>
      <c r="F165" s="174" t="s">
        <v>4441</v>
      </c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</row>
    <row r="166">
      <c r="A166" s="112" t="s">
        <v>1282</v>
      </c>
      <c r="B166" s="253" t="s">
        <v>7459</v>
      </c>
      <c r="C166" s="174"/>
      <c r="D166" s="174"/>
      <c r="E166" s="174"/>
      <c r="F166" s="174" t="s">
        <v>4443</v>
      </c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</row>
    <row r="167">
      <c r="A167" s="112" t="s">
        <v>1229</v>
      </c>
      <c r="B167" s="253" t="s">
        <v>7461</v>
      </c>
      <c r="C167" s="174"/>
      <c r="D167" s="174"/>
      <c r="E167" s="174"/>
      <c r="F167" s="174" t="s">
        <v>4445</v>
      </c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</row>
    <row r="168">
      <c r="A168" s="112" t="s">
        <v>1356</v>
      </c>
      <c r="B168" s="253" t="s">
        <v>7463</v>
      </c>
      <c r="C168" s="174"/>
      <c r="D168" s="174"/>
      <c r="E168" s="174"/>
      <c r="F168" s="174" t="s">
        <v>474</v>
      </c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</row>
    <row r="169">
      <c r="A169" s="112" t="s">
        <v>1379</v>
      </c>
      <c r="B169" s="253" t="s">
        <v>7465</v>
      </c>
      <c r="C169" s="174"/>
      <c r="D169" s="174"/>
      <c r="E169" s="174"/>
      <c r="F169" s="174" t="s">
        <v>4448</v>
      </c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</row>
    <row r="170">
      <c r="A170" s="194" t="s">
        <v>3782</v>
      </c>
      <c r="B170" s="253" t="s">
        <v>7466</v>
      </c>
      <c r="C170" s="174"/>
      <c r="D170" s="174"/>
      <c r="E170" s="174"/>
      <c r="F170" s="174" t="s">
        <v>4450</v>
      </c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</row>
    <row r="171">
      <c r="A171" s="112" t="s">
        <v>4612</v>
      </c>
      <c r="B171" s="253" t="s">
        <v>7468</v>
      </c>
      <c r="C171" s="174"/>
      <c r="D171" s="174"/>
      <c r="E171" s="174"/>
      <c r="F171" s="174" t="s">
        <v>4452</v>
      </c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</row>
    <row r="172">
      <c r="A172" s="112" t="s">
        <v>1594</v>
      </c>
      <c r="B172" s="253" t="s">
        <v>7471</v>
      </c>
      <c r="C172" s="174"/>
      <c r="D172" s="174"/>
      <c r="E172" s="174"/>
      <c r="F172" s="174" t="s">
        <v>4454</v>
      </c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</row>
    <row r="173">
      <c r="A173" s="112" t="s">
        <v>1607</v>
      </c>
      <c r="B173" s="253" t="s">
        <v>7472</v>
      </c>
      <c r="C173" s="174"/>
      <c r="D173" s="174"/>
      <c r="E173" s="174"/>
      <c r="F173" s="174" t="s">
        <v>1101</v>
      </c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</row>
    <row r="174">
      <c r="A174" s="133" t="s">
        <v>4738</v>
      </c>
      <c r="B174" s="253" t="s">
        <v>7473</v>
      </c>
      <c r="C174" s="174"/>
      <c r="D174" s="174"/>
      <c r="E174" s="174"/>
      <c r="F174" s="174" t="s">
        <v>236</v>
      </c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</row>
    <row r="175">
      <c r="A175" s="112" t="s">
        <v>1620</v>
      </c>
      <c r="B175" s="253" t="s">
        <v>7475</v>
      </c>
      <c r="C175" s="174"/>
      <c r="D175" s="174"/>
      <c r="E175" s="174"/>
      <c r="F175" s="174" t="s">
        <v>4460</v>
      </c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</row>
    <row r="176">
      <c r="A176" s="112" t="s">
        <v>1728</v>
      </c>
      <c r="B176" s="253" t="s">
        <v>7478</v>
      </c>
      <c r="C176" s="174"/>
      <c r="D176" s="174"/>
      <c r="E176" s="174"/>
      <c r="F176" s="174" t="s">
        <v>164</v>
      </c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</row>
    <row r="177">
      <c r="A177" s="112" t="s">
        <v>3957</v>
      </c>
      <c r="B177" s="253" t="s">
        <v>7479</v>
      </c>
      <c r="C177" s="174"/>
      <c r="D177" s="174"/>
      <c r="E177" s="174"/>
      <c r="F177" s="174" t="s">
        <v>4463</v>
      </c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</row>
    <row r="178">
      <c r="A178" s="112" t="s">
        <v>7480</v>
      </c>
      <c r="B178" s="253" t="s">
        <v>7481</v>
      </c>
      <c r="C178" s="174"/>
      <c r="D178" s="174"/>
      <c r="E178" s="174"/>
      <c r="F178" s="174" t="s">
        <v>4466</v>
      </c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</row>
    <row r="179">
      <c r="A179" s="112" t="s">
        <v>3974</v>
      </c>
      <c r="B179" s="253" t="s">
        <v>7484</v>
      </c>
      <c r="C179" s="174"/>
      <c r="D179" s="174"/>
      <c r="E179" s="174"/>
      <c r="F179" s="174" t="s">
        <v>488</v>
      </c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</row>
    <row r="180">
      <c r="A180" s="112" t="s">
        <v>7485</v>
      </c>
      <c r="B180" s="253" t="s">
        <v>7486</v>
      </c>
      <c r="C180" s="174"/>
      <c r="D180" s="174"/>
      <c r="E180" s="174"/>
      <c r="F180" s="174" t="s">
        <v>4469</v>
      </c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</row>
    <row r="181">
      <c r="A181" s="112" t="s">
        <v>7487</v>
      </c>
      <c r="B181" s="253" t="s">
        <v>7488</v>
      </c>
      <c r="C181" s="174"/>
      <c r="D181" s="174"/>
      <c r="E181" s="174"/>
      <c r="F181" s="174" t="s">
        <v>4471</v>
      </c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</row>
    <row r="182">
      <c r="A182" s="112" t="s">
        <v>7489</v>
      </c>
      <c r="B182" s="253" t="s">
        <v>7490</v>
      </c>
      <c r="C182" s="174"/>
      <c r="D182" s="174"/>
      <c r="E182" s="174"/>
      <c r="F182" s="174" t="s">
        <v>4474</v>
      </c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</row>
    <row r="183">
      <c r="A183" s="112" t="s">
        <v>7491</v>
      </c>
      <c r="B183" s="253" t="s">
        <v>7492</v>
      </c>
      <c r="C183" s="174"/>
      <c r="D183" s="174"/>
      <c r="E183" s="174"/>
      <c r="F183" s="174" t="s">
        <v>4476</v>
      </c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</row>
    <row r="184">
      <c r="A184" s="112" t="s">
        <v>4550</v>
      </c>
      <c r="B184" s="253" t="s">
        <v>7494</v>
      </c>
      <c r="C184" s="174"/>
      <c r="D184" s="174"/>
      <c r="E184" s="174"/>
      <c r="F184" s="174" t="s">
        <v>4478</v>
      </c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</row>
    <row r="185">
      <c r="A185" s="112" t="s">
        <v>4592</v>
      </c>
      <c r="B185" s="253" t="s">
        <v>7495</v>
      </c>
      <c r="C185" s="174"/>
      <c r="D185" s="174"/>
      <c r="E185" s="174"/>
      <c r="F185" s="174" t="s">
        <v>4480</v>
      </c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</row>
    <row r="186">
      <c r="A186" s="194" t="s">
        <v>4315</v>
      </c>
      <c r="B186" s="253" t="s">
        <v>7498</v>
      </c>
      <c r="C186" s="174"/>
      <c r="D186" s="174"/>
      <c r="E186" s="174"/>
      <c r="F186" s="174" t="s">
        <v>4482</v>
      </c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</row>
    <row r="187">
      <c r="A187" s="194" t="s">
        <v>4391</v>
      </c>
      <c r="B187" s="253" t="s">
        <v>7499</v>
      </c>
      <c r="C187" s="174"/>
      <c r="D187" s="174"/>
      <c r="E187" s="174"/>
      <c r="F187" s="174" t="s">
        <v>4484</v>
      </c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</row>
    <row r="188">
      <c r="A188" s="194" t="s">
        <v>4598</v>
      </c>
      <c r="B188" s="253" t="s">
        <v>7501</v>
      </c>
      <c r="C188" s="174"/>
      <c r="D188" s="174"/>
      <c r="E188" s="174"/>
      <c r="F188" s="174" t="s">
        <v>4486</v>
      </c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</row>
    <row r="189">
      <c r="A189" s="112" t="s">
        <v>4604</v>
      </c>
      <c r="B189" s="253" t="s">
        <v>7504</v>
      </c>
      <c r="C189" s="174"/>
      <c r="D189" s="174"/>
      <c r="E189" s="174"/>
      <c r="F189" s="174" t="s">
        <v>397</v>
      </c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</row>
    <row r="190">
      <c r="A190" s="112" t="s">
        <v>2371</v>
      </c>
      <c r="B190" s="253" t="s">
        <v>7505</v>
      </c>
      <c r="C190" s="174"/>
      <c r="D190" s="174"/>
      <c r="E190" s="174"/>
      <c r="F190" s="174" t="s">
        <v>274</v>
      </c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</row>
    <row r="191">
      <c r="A191" s="133" t="s">
        <v>1188</v>
      </c>
      <c r="B191" s="253" t="s">
        <v>7506</v>
      </c>
      <c r="C191" s="174"/>
      <c r="D191" s="174"/>
      <c r="E191" s="174"/>
      <c r="F191" s="174" t="s">
        <v>107</v>
      </c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</row>
    <row r="192">
      <c r="A192" s="133" t="s">
        <v>1144</v>
      </c>
      <c r="B192" s="253" t="s">
        <v>7508</v>
      </c>
      <c r="C192" s="174"/>
      <c r="D192" s="174"/>
      <c r="E192" s="174"/>
      <c r="F192" s="174" t="s">
        <v>4491</v>
      </c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</row>
    <row r="193">
      <c r="A193" s="112" t="s">
        <v>1152</v>
      </c>
      <c r="B193" s="253" t="s">
        <v>7511</v>
      </c>
      <c r="C193" s="174"/>
      <c r="D193" s="174"/>
      <c r="E193" s="174"/>
      <c r="F193" s="174" t="s">
        <v>4493</v>
      </c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</row>
    <row r="194">
      <c r="A194" s="112" t="s">
        <v>1133</v>
      </c>
      <c r="B194" s="253" t="s">
        <v>7512</v>
      </c>
      <c r="C194" s="174"/>
      <c r="D194" s="174"/>
      <c r="E194" s="174"/>
      <c r="F194" s="174" t="s">
        <v>4495</v>
      </c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</row>
    <row r="195">
      <c r="A195" s="112" t="s">
        <v>1178</v>
      </c>
      <c r="B195" s="253" t="s">
        <v>7514</v>
      </c>
      <c r="C195" s="174"/>
      <c r="D195" s="174"/>
      <c r="E195" s="174"/>
      <c r="F195" s="174" t="s">
        <v>4497</v>
      </c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</row>
    <row r="196">
      <c r="A196" s="112" t="s">
        <v>1170</v>
      </c>
      <c r="B196" s="253" t="s">
        <v>7515</v>
      </c>
      <c r="C196" s="174"/>
      <c r="D196" s="174"/>
      <c r="E196" s="174"/>
      <c r="F196" s="174" t="s">
        <v>4499</v>
      </c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</row>
    <row r="197">
      <c r="A197" s="112" t="s">
        <v>1184</v>
      </c>
      <c r="B197" s="253" t="s">
        <v>7518</v>
      </c>
      <c r="C197" s="174"/>
      <c r="D197" s="174"/>
      <c r="E197" s="174"/>
      <c r="F197" s="174" t="s">
        <v>4501</v>
      </c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</row>
    <row r="198">
      <c r="A198" s="112" t="s">
        <v>1158</v>
      </c>
      <c r="B198" s="253" t="s">
        <v>7519</v>
      </c>
      <c r="C198" s="174"/>
      <c r="D198" s="174"/>
      <c r="E198" s="174"/>
      <c r="F198" s="174" t="s">
        <v>4505</v>
      </c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</row>
    <row r="199">
      <c r="A199" s="112" t="s">
        <v>2542</v>
      </c>
      <c r="B199" s="253" t="s">
        <v>7521</v>
      </c>
      <c r="C199" s="174"/>
      <c r="D199" s="174"/>
      <c r="E199" s="174"/>
      <c r="F199" s="174" t="s">
        <v>4507</v>
      </c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</row>
    <row r="200">
      <c r="A200" s="112" t="s">
        <v>1212</v>
      </c>
      <c r="B200" s="253" t="s">
        <v>7524</v>
      </c>
      <c r="C200" s="174"/>
      <c r="D200" s="174"/>
      <c r="E200" s="174"/>
      <c r="F200" s="174" t="s">
        <v>608</v>
      </c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</row>
    <row r="201">
      <c r="A201" s="133" t="s">
        <v>1188</v>
      </c>
      <c r="B201" s="253" t="s">
        <v>7525</v>
      </c>
      <c r="C201" s="174"/>
      <c r="D201" s="174"/>
      <c r="E201" s="174"/>
      <c r="F201" s="174" t="s">
        <v>307</v>
      </c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</row>
    <row r="202">
      <c r="A202" s="112" t="s">
        <v>1192</v>
      </c>
      <c r="B202" s="253" t="s">
        <v>7527</v>
      </c>
      <c r="C202" s="174"/>
      <c r="D202" s="174"/>
      <c r="E202" s="174"/>
      <c r="F202" s="131" t="s">
        <v>614</v>
      </c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</row>
    <row r="203">
      <c r="A203" s="112" t="s">
        <v>1200</v>
      </c>
      <c r="B203" s="253" t="s">
        <v>7530</v>
      </c>
      <c r="C203" s="174"/>
      <c r="D203" s="174"/>
      <c r="E203" s="174"/>
      <c r="F203" s="131" t="s">
        <v>828</v>
      </c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</row>
    <row r="204">
      <c r="A204" s="112" t="s">
        <v>1206</v>
      </c>
      <c r="B204" s="253" t="s">
        <v>7531</v>
      </c>
      <c r="C204" s="174"/>
      <c r="D204" s="174"/>
      <c r="E204" s="174"/>
      <c r="F204" s="131" t="s">
        <v>3928</v>
      </c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</row>
    <row r="205">
      <c r="A205" s="264" t="s">
        <v>2721</v>
      </c>
      <c r="B205" s="253" t="s">
        <v>7533</v>
      </c>
      <c r="C205" s="174"/>
      <c r="D205" s="174"/>
      <c r="E205" s="174"/>
      <c r="F205" s="131" t="s">
        <v>4666</v>
      </c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</row>
    <row r="206">
      <c r="A206" s="112" t="s">
        <v>5285</v>
      </c>
      <c r="B206" s="253" t="s">
        <v>7536</v>
      </c>
      <c r="C206" s="174"/>
      <c r="D206" s="174"/>
      <c r="E206" s="174"/>
      <c r="F206" s="131" t="s">
        <v>4730</v>
      </c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</row>
    <row r="207">
      <c r="A207" s="112" t="s">
        <v>4033</v>
      </c>
      <c r="B207" s="253" t="s">
        <v>7537</v>
      </c>
      <c r="C207" s="174"/>
      <c r="D207" s="174"/>
      <c r="E207" s="174"/>
      <c r="F207" s="131" t="s">
        <v>4774</v>
      </c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</row>
    <row r="208">
      <c r="A208" s="112" t="s">
        <v>3989</v>
      </c>
      <c r="B208" s="253" t="s">
        <v>7539</v>
      </c>
      <c r="C208" s="174"/>
      <c r="D208" s="174"/>
      <c r="E208" s="174"/>
      <c r="F208" s="131" t="s">
        <v>3935</v>
      </c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</row>
    <row r="209">
      <c r="A209" s="194" t="s">
        <v>5536</v>
      </c>
      <c r="B209" s="253" t="s">
        <v>7542</v>
      </c>
      <c r="C209" s="174"/>
      <c r="D209" s="174"/>
      <c r="E209" s="174"/>
      <c r="F209" s="131" t="s">
        <v>6485</v>
      </c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</row>
    <row r="210">
      <c r="A210" s="194" t="s">
        <v>5547</v>
      </c>
      <c r="B210" s="253" t="s">
        <v>7543</v>
      </c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</row>
    <row r="211">
      <c r="A211" s="112" t="s">
        <v>3999</v>
      </c>
      <c r="B211" s="253" t="s">
        <v>7545</v>
      </c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</row>
    <row r="212">
      <c r="A212" s="112" t="s">
        <v>4013</v>
      </c>
      <c r="B212" s="253" t="s">
        <v>7547</v>
      </c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</row>
    <row r="213">
      <c r="A213" s="112" t="s">
        <v>5295</v>
      </c>
      <c r="B213" s="253" t="s">
        <v>7548</v>
      </c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</row>
    <row r="214">
      <c r="A214" s="112" t="s">
        <v>1163</v>
      </c>
      <c r="B214" s="253" t="s">
        <v>7550</v>
      </c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</row>
    <row r="215">
      <c r="A215" s="112" t="s">
        <v>3023</v>
      </c>
      <c r="B215" s="253" t="s">
        <v>7552</v>
      </c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</row>
    <row r="216">
      <c r="A216" s="194" t="s">
        <v>5561</v>
      </c>
      <c r="B216" s="253" t="s">
        <v>7553</v>
      </c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</row>
    <row r="217">
      <c r="A217" s="112" t="s">
        <v>5572</v>
      </c>
      <c r="B217" s="253" t="s">
        <v>7554</v>
      </c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</row>
    <row r="218">
      <c r="A218" s="112" t="s">
        <v>3322</v>
      </c>
      <c r="B218" s="253" t="s">
        <v>7556</v>
      </c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</row>
    <row r="219">
      <c r="A219" s="112" t="s">
        <v>3516</v>
      </c>
      <c r="B219" s="253" t="s">
        <v>7557</v>
      </c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</row>
    <row r="220">
      <c r="A220" s="112" t="s">
        <v>3523</v>
      </c>
      <c r="B220" s="253" t="s">
        <v>7558</v>
      </c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</row>
    <row r="221">
      <c r="A221" s="112" t="s">
        <v>5945</v>
      </c>
      <c r="B221" s="253" t="s">
        <v>7559</v>
      </c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</row>
    <row r="222">
      <c r="A222" s="112" t="s">
        <v>6176</v>
      </c>
      <c r="B222" s="253" t="s">
        <v>7561</v>
      </c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</row>
    <row r="223">
      <c r="A223" s="112" t="s">
        <v>6267</v>
      </c>
      <c r="B223" s="253" t="s">
        <v>7562</v>
      </c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</row>
    <row r="224">
      <c r="A224" s="112" t="s">
        <v>3857</v>
      </c>
      <c r="B224" s="253" t="s">
        <v>7563</v>
      </c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</row>
    <row r="225">
      <c r="A225" s="112" t="s">
        <v>3863</v>
      </c>
      <c r="B225" s="253" t="s">
        <v>7564</v>
      </c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</row>
    <row r="226">
      <c r="A226" s="112" t="s">
        <v>4632</v>
      </c>
      <c r="B226" s="253" t="s">
        <v>7565</v>
      </c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</row>
    <row r="227">
      <c r="A227" s="112" t="s">
        <v>3903</v>
      </c>
      <c r="B227" s="253" t="s">
        <v>7566</v>
      </c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</row>
    <row r="228">
      <c r="A228" s="112" t="s">
        <v>7568</v>
      </c>
      <c r="B228" s="253" t="s">
        <v>7569</v>
      </c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</row>
    <row r="229">
      <c r="A229" s="112" t="s">
        <v>4760</v>
      </c>
      <c r="B229" s="253" t="s">
        <v>7570</v>
      </c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</row>
    <row r="230">
      <c r="A230" s="112" t="s">
        <v>5431</v>
      </c>
      <c r="B230" s="253" t="s">
        <v>7571</v>
      </c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</row>
    <row r="231">
      <c r="A231" s="133" t="s">
        <v>7573</v>
      </c>
      <c r="B231" s="253" t="s">
        <v>7574</v>
      </c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</row>
    <row r="232">
      <c r="A232" s="112" t="s">
        <v>4785</v>
      </c>
      <c r="B232" s="253" t="s">
        <v>7577</v>
      </c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</row>
    <row r="233">
      <c r="A233" s="112" t="s">
        <v>5983</v>
      </c>
      <c r="B233" s="253" t="s">
        <v>7578</v>
      </c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</row>
    <row r="234">
      <c r="A234" s="112" t="s">
        <v>6037</v>
      </c>
      <c r="B234" s="253" t="s">
        <v>7579</v>
      </c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</row>
    <row r="235">
      <c r="A235" s="112" t="s">
        <v>6058</v>
      </c>
      <c r="B235" s="253" t="s">
        <v>7581</v>
      </c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</row>
    <row r="236">
      <c r="A236" s="112" t="s">
        <v>4887</v>
      </c>
      <c r="B236" s="253" t="s">
        <v>7584</v>
      </c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</row>
    <row r="237">
      <c r="A237" s="112" t="s">
        <v>6486</v>
      </c>
      <c r="B237" s="253" t="s">
        <v>7585</v>
      </c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</row>
    <row r="238">
      <c r="A238" s="112" t="s">
        <v>7586</v>
      </c>
      <c r="B238" s="253" t="s">
        <v>7587</v>
      </c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</row>
    <row r="239">
      <c r="A239" s="112" t="s">
        <v>6448</v>
      </c>
      <c r="B239" s="253" t="s">
        <v>7589</v>
      </c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</row>
    <row r="240">
      <c r="A240" s="112" t="s">
        <v>6754</v>
      </c>
      <c r="B240" s="253" t="s">
        <v>7591</v>
      </c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</row>
    <row r="241">
      <c r="A241" s="133" t="s">
        <v>7592</v>
      </c>
      <c r="B241" s="253" t="s">
        <v>7593</v>
      </c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</row>
    <row r="242">
      <c r="A242" s="112" t="s">
        <v>1892</v>
      </c>
      <c r="B242" s="253" t="s">
        <v>7594</v>
      </c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</row>
    <row r="243">
      <c r="A243" s="112" t="s">
        <v>5535</v>
      </c>
      <c r="B243" s="253" t="s">
        <v>7595</v>
      </c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</row>
    <row r="244">
      <c r="A244" s="112" t="s">
        <v>7291</v>
      </c>
      <c r="B244" s="253" t="s">
        <v>7597</v>
      </c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</row>
    <row r="245">
      <c r="A245" s="112" t="s">
        <v>7306</v>
      </c>
      <c r="B245" s="253" t="s">
        <v>7598</v>
      </c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</row>
    <row r="246">
      <c r="A246" s="112" t="s">
        <v>7277</v>
      </c>
      <c r="B246" s="253" t="s">
        <v>7599</v>
      </c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</row>
    <row r="247">
      <c r="A247" s="112" t="s">
        <v>5639</v>
      </c>
      <c r="B247" s="253" t="s">
        <v>7600</v>
      </c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</row>
    <row r="248">
      <c r="A248" s="112" t="s">
        <v>5622</v>
      </c>
      <c r="B248" s="253" t="s">
        <v>7602</v>
      </c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</row>
    <row r="249">
      <c r="A249" s="112" t="s">
        <v>7483</v>
      </c>
      <c r="B249" s="253" t="s">
        <v>7605</v>
      </c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</row>
    <row r="250">
      <c r="A250" s="133" t="s">
        <v>5729</v>
      </c>
      <c r="B250" s="253" t="s">
        <v>7606</v>
      </c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</row>
    <row r="251">
      <c r="A251" s="112" t="s">
        <v>7546</v>
      </c>
      <c r="B251" s="253" t="s">
        <v>7608</v>
      </c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</row>
    <row r="252">
      <c r="A252" s="112" t="s">
        <v>5752</v>
      </c>
      <c r="B252" s="253" t="s">
        <v>7609</v>
      </c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</row>
    <row r="253">
      <c r="A253" s="112" t="s">
        <v>7590</v>
      </c>
      <c r="B253" s="253" t="s">
        <v>7610</v>
      </c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</row>
    <row r="254">
      <c r="A254" s="112" t="s">
        <v>7611</v>
      </c>
      <c r="B254" s="253" t="s">
        <v>7612</v>
      </c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</row>
    <row r="255">
      <c r="A255" s="112" t="s">
        <v>1270</v>
      </c>
      <c r="B255" s="253" t="s">
        <v>7614</v>
      </c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</row>
    <row r="256">
      <c r="A256" s="112" t="s">
        <v>1958</v>
      </c>
      <c r="B256" s="253" t="s">
        <v>7615</v>
      </c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</row>
    <row r="257">
      <c r="A257" s="112" t="s">
        <v>2048</v>
      </c>
      <c r="B257" s="253" t="s">
        <v>7616</v>
      </c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</row>
    <row r="258">
      <c r="A258" s="112" t="s">
        <v>1256</v>
      </c>
      <c r="B258" s="253" t="s">
        <v>7618</v>
      </c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</row>
    <row r="259">
      <c r="A259" s="133" t="s">
        <v>1290</v>
      </c>
      <c r="B259" s="253" t="s">
        <v>7619</v>
      </c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</row>
    <row r="260">
      <c r="A260" s="112" t="s">
        <v>1281</v>
      </c>
      <c r="B260" s="253" t="s">
        <v>7620</v>
      </c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</row>
    <row r="261">
      <c r="A261" s="112" t="s">
        <v>2720</v>
      </c>
      <c r="B261" s="253" t="s">
        <v>7621</v>
      </c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</row>
    <row r="262">
      <c r="A262" s="75" t="s">
        <v>2770</v>
      </c>
      <c r="B262" s="253" t="s">
        <v>7623</v>
      </c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</row>
    <row r="263">
      <c r="A263" s="112" t="s">
        <v>2866</v>
      </c>
      <c r="B263" s="253" t="s">
        <v>7624</v>
      </c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</row>
    <row r="264">
      <c r="A264" s="161" t="s">
        <v>2963</v>
      </c>
      <c r="B264" s="253" t="s">
        <v>7627</v>
      </c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</row>
    <row r="265">
      <c r="A265" s="112" t="s">
        <v>3059</v>
      </c>
      <c r="B265" s="253" t="s">
        <v>7628</v>
      </c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</row>
    <row r="266">
      <c r="A266" s="112" t="s">
        <v>1553</v>
      </c>
      <c r="B266" s="253" t="s">
        <v>7630</v>
      </c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</row>
    <row r="267">
      <c r="A267" s="112" t="s">
        <v>1564</v>
      </c>
      <c r="B267" s="253" t="s">
        <v>7631</v>
      </c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</row>
    <row r="268">
      <c r="A268" s="112" t="s">
        <v>2543</v>
      </c>
      <c r="B268" s="253" t="s">
        <v>7632</v>
      </c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</row>
    <row r="269">
      <c r="A269" s="112" t="s">
        <v>7633</v>
      </c>
      <c r="B269" s="253" t="s">
        <v>7634</v>
      </c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</row>
    <row r="270">
      <c r="A270" s="112" t="s">
        <v>2434</v>
      </c>
      <c r="B270" s="253" t="s">
        <v>7635</v>
      </c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</row>
    <row r="271">
      <c r="A271" s="133" t="s">
        <v>3052</v>
      </c>
      <c r="B271" s="253" t="s">
        <v>7636</v>
      </c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</row>
    <row r="272">
      <c r="A272" s="133" t="s">
        <v>2860</v>
      </c>
      <c r="B272" s="253" t="s">
        <v>7637</v>
      </c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</row>
    <row r="273">
      <c r="A273" s="133" t="s">
        <v>2621</v>
      </c>
      <c r="B273" s="253" t="s">
        <v>7640</v>
      </c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</row>
    <row r="274">
      <c r="A274" s="133" t="s">
        <v>5898</v>
      </c>
      <c r="B274" s="253" t="s">
        <v>7641</v>
      </c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</row>
    <row r="275">
      <c r="A275" s="161" t="s">
        <v>7642</v>
      </c>
      <c r="B275" s="253" t="s">
        <v>7643</v>
      </c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</row>
    <row r="276">
      <c r="A276" s="112" t="s">
        <v>5935</v>
      </c>
      <c r="B276" s="253" t="s">
        <v>7645</v>
      </c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</row>
    <row r="277">
      <c r="A277" s="112" t="s">
        <v>6093</v>
      </c>
      <c r="B277" s="253" t="s">
        <v>7646</v>
      </c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</row>
    <row r="278">
      <c r="A278" s="133" t="s">
        <v>1642</v>
      </c>
      <c r="B278" s="253" t="s">
        <v>7647</v>
      </c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</row>
    <row r="279">
      <c r="A279" s="133" t="s">
        <v>1651</v>
      </c>
      <c r="B279" s="253" t="s">
        <v>7648</v>
      </c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</row>
    <row r="280">
      <c r="A280" s="133" t="s">
        <v>3255</v>
      </c>
      <c r="B280" s="253" t="s">
        <v>7649</v>
      </c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</row>
    <row r="281">
      <c r="A281" s="112" t="s">
        <v>3270</v>
      </c>
      <c r="B281" s="253" t="s">
        <v>7650</v>
      </c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</row>
    <row r="282">
      <c r="A282" s="112" t="s">
        <v>3977</v>
      </c>
      <c r="B282" s="253" t="s">
        <v>7651</v>
      </c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</row>
    <row r="283">
      <c r="A283" s="133" t="s">
        <v>1977</v>
      </c>
      <c r="B283" s="253" t="s">
        <v>7653</v>
      </c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</row>
    <row r="284">
      <c r="A284" s="133" t="s">
        <v>7654</v>
      </c>
      <c r="B284" s="253" t="s">
        <v>7655</v>
      </c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</row>
    <row r="285">
      <c r="A285" s="112" t="s">
        <v>7658</v>
      </c>
      <c r="B285" s="253" t="s">
        <v>7659</v>
      </c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</row>
    <row r="286">
      <c r="A286" s="112" t="s">
        <v>3278</v>
      </c>
      <c r="B286" s="253" t="s">
        <v>7660</v>
      </c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</row>
    <row r="287">
      <c r="A287" s="112" t="s">
        <v>7662</v>
      </c>
      <c r="B287" s="253" t="s">
        <v>7663</v>
      </c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</row>
    <row r="288">
      <c r="A288" s="112" t="s">
        <v>3282</v>
      </c>
      <c r="B288" s="253" t="s">
        <v>7666</v>
      </c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</row>
    <row r="289">
      <c r="A289" s="112" t="s">
        <v>3287</v>
      </c>
      <c r="B289" s="253" t="s">
        <v>7667</v>
      </c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</row>
    <row r="290">
      <c r="A290" s="112" t="s">
        <v>2115</v>
      </c>
      <c r="B290" s="253" t="s">
        <v>7669</v>
      </c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</row>
    <row r="291">
      <c r="A291" s="112" t="s">
        <v>2134</v>
      </c>
      <c r="B291" s="253" t="s">
        <v>7670</v>
      </c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</row>
    <row r="292">
      <c r="A292" s="174"/>
      <c r="B292" s="253" t="s">
        <v>7673</v>
      </c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</row>
    <row r="293">
      <c r="A293" s="174"/>
      <c r="B293" s="253" t="s">
        <v>7674</v>
      </c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</row>
    <row r="294">
      <c r="A294" s="174"/>
      <c r="B294" s="253" t="s">
        <v>7675</v>
      </c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</row>
    <row r="295">
      <c r="A295" s="174"/>
      <c r="B295" s="253" t="s">
        <v>7676</v>
      </c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</row>
    <row r="296">
      <c r="A296" s="174"/>
      <c r="B296" s="253" t="s">
        <v>7677</v>
      </c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</row>
    <row r="297">
      <c r="A297" s="174"/>
      <c r="B297" s="253" t="s">
        <v>7678</v>
      </c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</row>
    <row r="298">
      <c r="A298" s="174"/>
      <c r="B298" s="253" t="s">
        <v>7679</v>
      </c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</row>
    <row r="299">
      <c r="A299" s="174"/>
      <c r="B299" s="253" t="s">
        <v>7680</v>
      </c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</row>
    <row r="300">
      <c r="A300" s="174"/>
      <c r="B300" s="253" t="s">
        <v>7681</v>
      </c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</row>
    <row r="301">
      <c r="A301" s="174"/>
      <c r="B301" s="253" t="s">
        <v>7682</v>
      </c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</row>
    <row r="302">
      <c r="A302" s="174"/>
      <c r="B302" s="253" t="s">
        <v>7684</v>
      </c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</row>
    <row r="303">
      <c r="A303" s="174"/>
      <c r="B303" s="253" t="s">
        <v>7685</v>
      </c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</row>
    <row r="304">
      <c r="A304" s="174"/>
      <c r="B304" s="253" t="s">
        <v>7686</v>
      </c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</row>
    <row r="305">
      <c r="A305" s="174"/>
      <c r="B305" s="253" t="s">
        <v>7687</v>
      </c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</row>
    <row r="306">
      <c r="A306" s="174"/>
      <c r="B306" s="263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</row>
    <row r="307">
      <c r="A307" s="174"/>
      <c r="B307" s="263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</row>
    <row r="308">
      <c r="A308" s="174"/>
      <c r="B308" s="263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</row>
    <row r="309">
      <c r="A309" s="174"/>
      <c r="B309" s="263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</row>
    <row r="310">
      <c r="A310" s="174"/>
      <c r="B310" s="263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</row>
    <row r="311">
      <c r="A311" s="174"/>
      <c r="B311" s="263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</row>
    <row r="312">
      <c r="A312" s="174"/>
      <c r="B312" s="263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</row>
    <row r="313">
      <c r="A313" s="174"/>
      <c r="B313" s="263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</row>
    <row r="314">
      <c r="A314" s="174"/>
      <c r="B314" s="263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</row>
    <row r="315">
      <c r="A315" s="174"/>
      <c r="B315" s="263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</row>
    <row r="316">
      <c r="A316" s="174"/>
      <c r="B316" s="263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</row>
    <row r="317">
      <c r="A317" s="174"/>
      <c r="B317" s="263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</row>
    <row r="318">
      <c r="A318" s="174"/>
      <c r="B318" s="263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</row>
    <row r="319">
      <c r="A319" s="174"/>
      <c r="B319" s="263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</row>
    <row r="320">
      <c r="A320" s="174"/>
      <c r="B320" s="263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</row>
    <row r="321">
      <c r="A321" s="174"/>
      <c r="B321" s="263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</row>
    <row r="322">
      <c r="A322" s="174"/>
      <c r="B322" s="263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</row>
    <row r="323">
      <c r="A323" s="174"/>
      <c r="B323" s="263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</row>
    <row r="324">
      <c r="A324" s="174"/>
      <c r="B324" s="263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</row>
    <row r="325">
      <c r="A325" s="174"/>
      <c r="B325" s="263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</row>
    <row r="326">
      <c r="A326" s="174"/>
      <c r="B326" s="263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</row>
    <row r="327">
      <c r="A327" s="174"/>
      <c r="B327" s="263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</row>
    <row r="328">
      <c r="A328" s="174"/>
      <c r="B328" s="263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</row>
    <row r="329">
      <c r="A329" s="174"/>
      <c r="B329" s="263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</row>
    <row r="330">
      <c r="A330" s="174"/>
      <c r="B330" s="263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</row>
    <row r="331">
      <c r="A331" s="174"/>
      <c r="B331" s="263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</row>
    <row r="332">
      <c r="A332" s="174"/>
      <c r="B332" s="263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</row>
    <row r="333">
      <c r="A333" s="174"/>
      <c r="B333" s="263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</row>
    <row r="334">
      <c r="A334" s="174"/>
      <c r="B334" s="263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</row>
    <row r="335">
      <c r="A335" s="174"/>
      <c r="B335" s="263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</row>
    <row r="336">
      <c r="A336" s="174"/>
      <c r="B336" s="263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</row>
    <row r="337">
      <c r="A337" s="174"/>
      <c r="B337" s="263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</row>
    <row r="338">
      <c r="A338" s="174"/>
      <c r="B338" s="263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</row>
    <row r="339">
      <c r="A339" s="174"/>
      <c r="B339" s="263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</row>
    <row r="340">
      <c r="A340" s="174"/>
      <c r="B340" s="263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</row>
    <row r="341">
      <c r="A341" s="174"/>
      <c r="B341" s="263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</row>
    <row r="342">
      <c r="A342" s="174"/>
      <c r="B342" s="263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</row>
    <row r="343">
      <c r="A343" s="174"/>
      <c r="B343" s="263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</row>
    <row r="344">
      <c r="A344" s="174"/>
      <c r="B344" s="263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</row>
    <row r="345">
      <c r="A345" s="174"/>
      <c r="B345" s="263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</row>
    <row r="346">
      <c r="A346" s="174"/>
      <c r="B346" s="263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</row>
    <row r="347">
      <c r="A347" s="174"/>
      <c r="B347" s="263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</row>
    <row r="348">
      <c r="A348" s="174"/>
      <c r="B348" s="263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</row>
    <row r="349">
      <c r="A349" s="174"/>
      <c r="B349" s="263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</row>
    <row r="350">
      <c r="A350" s="174"/>
      <c r="B350" s="263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</row>
    <row r="351">
      <c r="A351" s="174"/>
      <c r="B351" s="263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</row>
    <row r="352">
      <c r="A352" s="174"/>
      <c r="B352" s="263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</row>
    <row r="353">
      <c r="A353" s="174"/>
      <c r="B353" s="263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</row>
    <row r="354">
      <c r="A354" s="174"/>
      <c r="B354" s="263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</row>
    <row r="355">
      <c r="A355" s="174"/>
      <c r="B355" s="263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</row>
    <row r="356">
      <c r="A356" s="174"/>
      <c r="B356" s="263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</row>
    <row r="357">
      <c r="A357" s="174"/>
      <c r="B357" s="263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</row>
    <row r="358">
      <c r="A358" s="174"/>
      <c r="B358" s="263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</row>
    <row r="359">
      <c r="A359" s="174"/>
      <c r="B359" s="263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</row>
    <row r="360">
      <c r="A360" s="174"/>
      <c r="B360" s="263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</row>
    <row r="361">
      <c r="A361" s="174"/>
      <c r="B361" s="263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</row>
    <row r="362">
      <c r="A362" s="174"/>
      <c r="B362" s="263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</row>
    <row r="363">
      <c r="A363" s="174"/>
      <c r="B363" s="263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</row>
    <row r="364">
      <c r="A364" s="174"/>
      <c r="B364" s="263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</row>
    <row r="365">
      <c r="A365" s="174"/>
      <c r="B365" s="263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</row>
    <row r="366">
      <c r="A366" s="174"/>
      <c r="B366" s="263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</row>
    <row r="367">
      <c r="A367" s="174"/>
      <c r="B367" s="263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</row>
    <row r="368">
      <c r="A368" s="174"/>
      <c r="B368" s="263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</row>
    <row r="369">
      <c r="A369" s="174"/>
      <c r="B369" s="263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</row>
    <row r="370">
      <c r="A370" s="174"/>
      <c r="B370" s="263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</row>
    <row r="371">
      <c r="A371" s="174"/>
      <c r="B371" s="263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</row>
    <row r="372">
      <c r="A372" s="174"/>
      <c r="B372" s="263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</row>
    <row r="373">
      <c r="A373" s="174"/>
      <c r="B373" s="263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</row>
    <row r="374">
      <c r="A374" s="174"/>
      <c r="B374" s="263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</row>
    <row r="375">
      <c r="A375" s="174"/>
      <c r="B375" s="263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</row>
    <row r="376">
      <c r="A376" s="174"/>
      <c r="B376" s="263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</row>
    <row r="377">
      <c r="A377" s="174"/>
      <c r="B377" s="263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</row>
    <row r="378">
      <c r="A378" s="174"/>
      <c r="B378" s="263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</row>
    <row r="379">
      <c r="A379" s="174"/>
      <c r="B379" s="263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</row>
    <row r="380">
      <c r="A380" s="174"/>
      <c r="B380" s="263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</row>
    <row r="381">
      <c r="A381" s="174"/>
      <c r="B381" s="263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</row>
    <row r="382">
      <c r="A382" s="174"/>
      <c r="B382" s="263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</row>
    <row r="383">
      <c r="A383" s="174"/>
      <c r="B383" s="263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</row>
    <row r="384">
      <c r="A384" s="174"/>
      <c r="B384" s="263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</row>
    <row r="385">
      <c r="A385" s="174"/>
      <c r="B385" s="263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</row>
    <row r="386">
      <c r="A386" s="174"/>
      <c r="B386" s="263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</row>
    <row r="387">
      <c r="A387" s="174"/>
      <c r="B387" s="263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</row>
    <row r="388">
      <c r="A388" s="174"/>
      <c r="B388" s="263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</row>
    <row r="389">
      <c r="A389" s="174"/>
      <c r="B389" s="263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</row>
    <row r="390">
      <c r="A390" s="174"/>
      <c r="B390" s="263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</row>
    <row r="391">
      <c r="A391" s="174"/>
      <c r="B391" s="263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</row>
    <row r="392">
      <c r="A392" s="174"/>
      <c r="B392" s="263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</row>
    <row r="393">
      <c r="A393" s="174"/>
      <c r="B393" s="263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</row>
    <row r="394">
      <c r="A394" s="174"/>
      <c r="B394" s="263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</row>
    <row r="395">
      <c r="A395" s="174"/>
      <c r="B395" s="263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</row>
    <row r="396">
      <c r="A396" s="174"/>
      <c r="B396" s="263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</row>
    <row r="397">
      <c r="A397" s="174"/>
      <c r="B397" s="263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</row>
    <row r="398">
      <c r="A398" s="174"/>
      <c r="B398" s="263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</row>
    <row r="399">
      <c r="A399" s="174"/>
      <c r="B399" s="263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</row>
    <row r="400">
      <c r="A400" s="174"/>
      <c r="B400" s="263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</row>
    <row r="401">
      <c r="A401" s="174"/>
      <c r="B401" s="263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</row>
    <row r="402">
      <c r="A402" s="174"/>
      <c r="B402" s="263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</row>
    <row r="403">
      <c r="A403" s="174"/>
      <c r="B403" s="263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</row>
    <row r="404">
      <c r="A404" s="174"/>
      <c r="B404" s="263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</row>
    <row r="405">
      <c r="A405" s="174"/>
      <c r="B405" s="263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</row>
    <row r="406">
      <c r="A406" s="174"/>
      <c r="B406" s="263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</row>
    <row r="407">
      <c r="A407" s="174"/>
      <c r="B407" s="263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</row>
    <row r="408">
      <c r="A408" s="174"/>
      <c r="B408" s="263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</row>
    <row r="409">
      <c r="A409" s="174"/>
      <c r="B409" s="263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</row>
    <row r="410">
      <c r="A410" s="174"/>
      <c r="B410" s="263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</row>
    <row r="411">
      <c r="A411" s="174"/>
      <c r="B411" s="263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</row>
    <row r="412">
      <c r="A412" s="174"/>
      <c r="B412" s="263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</row>
    <row r="413">
      <c r="A413" s="174"/>
      <c r="B413" s="263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</row>
    <row r="414">
      <c r="A414" s="174"/>
      <c r="B414" s="263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</row>
    <row r="415">
      <c r="A415" s="174"/>
      <c r="B415" s="263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</row>
    <row r="416">
      <c r="A416" s="174"/>
      <c r="B416" s="263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</row>
    <row r="417">
      <c r="A417" s="174"/>
      <c r="B417" s="263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</row>
    <row r="418">
      <c r="A418" s="174"/>
      <c r="B418" s="263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</row>
    <row r="419">
      <c r="A419" s="174"/>
      <c r="B419" s="263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</row>
    <row r="420">
      <c r="A420" s="174"/>
      <c r="B420" s="263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</row>
    <row r="421">
      <c r="A421" s="174"/>
      <c r="B421" s="263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</row>
    <row r="422">
      <c r="A422" s="174"/>
      <c r="B422" s="263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</row>
    <row r="423">
      <c r="A423" s="174"/>
      <c r="B423" s="263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</row>
    <row r="424">
      <c r="A424" s="174"/>
      <c r="B424" s="263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</row>
    <row r="425">
      <c r="A425" s="174"/>
      <c r="B425" s="263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</row>
    <row r="426">
      <c r="A426" s="174"/>
      <c r="B426" s="263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</row>
    <row r="427">
      <c r="A427" s="174"/>
      <c r="B427" s="263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</row>
    <row r="428">
      <c r="A428" s="174"/>
      <c r="B428" s="263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</row>
    <row r="429">
      <c r="A429" s="174"/>
      <c r="B429" s="263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</row>
    <row r="430">
      <c r="A430" s="174"/>
      <c r="B430" s="263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</row>
    <row r="431">
      <c r="A431" s="174"/>
      <c r="B431" s="263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</row>
    <row r="432">
      <c r="A432" s="174"/>
      <c r="B432" s="263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</row>
    <row r="433">
      <c r="A433" s="174"/>
      <c r="B433" s="263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</row>
    <row r="434">
      <c r="A434" s="174"/>
      <c r="B434" s="263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</row>
    <row r="435">
      <c r="A435" s="174"/>
      <c r="B435" s="263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</row>
    <row r="436">
      <c r="A436" s="174"/>
      <c r="B436" s="263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</row>
    <row r="437">
      <c r="A437" s="174"/>
      <c r="B437" s="263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</row>
    <row r="438">
      <c r="A438" s="174"/>
      <c r="B438" s="263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</row>
    <row r="439">
      <c r="A439" s="174"/>
      <c r="B439" s="263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</row>
    <row r="440">
      <c r="A440" s="174"/>
      <c r="B440" s="263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</row>
    <row r="441">
      <c r="A441" s="174"/>
      <c r="B441" s="263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</row>
    <row r="442">
      <c r="A442" s="174"/>
      <c r="B442" s="263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</row>
    <row r="443">
      <c r="A443" s="174"/>
      <c r="B443" s="263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</row>
    <row r="444">
      <c r="A444" s="174"/>
      <c r="B444" s="263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</row>
    <row r="445">
      <c r="A445" s="174"/>
      <c r="B445" s="263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</row>
    <row r="446">
      <c r="A446" s="174"/>
      <c r="B446" s="263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</row>
    <row r="447">
      <c r="A447" s="174"/>
      <c r="B447" s="263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</row>
    <row r="448">
      <c r="A448" s="174"/>
      <c r="B448" s="263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</row>
    <row r="449">
      <c r="A449" s="174"/>
      <c r="B449" s="263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</row>
    <row r="450">
      <c r="A450" s="174"/>
      <c r="B450" s="263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</row>
    <row r="451">
      <c r="A451" s="174"/>
      <c r="B451" s="263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</row>
    <row r="452">
      <c r="A452" s="174"/>
      <c r="B452" s="263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</row>
    <row r="453">
      <c r="A453" s="174"/>
      <c r="B453" s="263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</row>
    <row r="454">
      <c r="A454" s="174"/>
      <c r="B454" s="263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</row>
    <row r="455">
      <c r="A455" s="174"/>
      <c r="B455" s="263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</row>
    <row r="456">
      <c r="A456" s="174"/>
      <c r="B456" s="263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</row>
    <row r="457">
      <c r="A457" s="174"/>
      <c r="B457" s="263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</row>
    <row r="458">
      <c r="A458" s="174"/>
      <c r="B458" s="263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</row>
    <row r="459">
      <c r="A459" s="174"/>
      <c r="B459" s="263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</row>
    <row r="460">
      <c r="A460" s="174"/>
      <c r="B460" s="263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</row>
    <row r="461">
      <c r="A461" s="174"/>
      <c r="B461" s="263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</row>
    <row r="462">
      <c r="A462" s="174"/>
      <c r="B462" s="263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</row>
    <row r="463">
      <c r="A463" s="174"/>
      <c r="B463" s="263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</row>
    <row r="464">
      <c r="A464" s="174"/>
      <c r="B464" s="263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</row>
    <row r="465">
      <c r="A465" s="174"/>
      <c r="B465" s="263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</row>
    <row r="466">
      <c r="A466" s="174"/>
      <c r="B466" s="263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</row>
    <row r="467">
      <c r="A467" s="174"/>
      <c r="B467" s="263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</row>
    <row r="468">
      <c r="A468" s="174"/>
      <c r="B468" s="263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</row>
    <row r="469">
      <c r="A469" s="174"/>
      <c r="B469" s="263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</row>
    <row r="470">
      <c r="A470" s="174"/>
      <c r="B470" s="263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</row>
    <row r="471">
      <c r="A471" s="174"/>
      <c r="B471" s="263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</row>
    <row r="472">
      <c r="A472" s="174"/>
      <c r="B472" s="263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</row>
    <row r="473">
      <c r="A473" s="174"/>
      <c r="B473" s="263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</row>
    <row r="474">
      <c r="A474" s="174"/>
      <c r="B474" s="263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</row>
    <row r="475">
      <c r="A475" s="174"/>
      <c r="B475" s="263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</row>
    <row r="476">
      <c r="A476" s="174"/>
      <c r="B476" s="263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</row>
    <row r="477">
      <c r="A477" s="174"/>
      <c r="B477" s="263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</row>
    <row r="478">
      <c r="A478" s="174"/>
      <c r="B478" s="263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</row>
    <row r="479">
      <c r="A479" s="174"/>
      <c r="B479" s="263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</row>
    <row r="480">
      <c r="A480" s="174"/>
      <c r="B480" s="263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</row>
    <row r="481">
      <c r="A481" s="174"/>
      <c r="B481" s="263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</row>
    <row r="482">
      <c r="A482" s="174"/>
      <c r="B482" s="263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</row>
    <row r="483">
      <c r="A483" s="174"/>
      <c r="B483" s="263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</row>
    <row r="484">
      <c r="A484" s="174"/>
      <c r="B484" s="263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</row>
    <row r="485">
      <c r="A485" s="174"/>
      <c r="B485" s="263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</row>
    <row r="486">
      <c r="A486" s="174"/>
      <c r="B486" s="263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</row>
    <row r="487">
      <c r="A487" s="174"/>
      <c r="B487" s="263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</row>
    <row r="488">
      <c r="A488" s="174"/>
      <c r="B488" s="263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</row>
    <row r="489">
      <c r="A489" s="174"/>
      <c r="B489" s="263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</row>
    <row r="490">
      <c r="A490" s="174"/>
      <c r="B490" s="263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</row>
    <row r="491">
      <c r="A491" s="174"/>
      <c r="B491" s="263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</row>
    <row r="492">
      <c r="A492" s="174"/>
      <c r="B492" s="263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</row>
    <row r="493">
      <c r="A493" s="174"/>
      <c r="B493" s="263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</row>
    <row r="494">
      <c r="A494" s="174"/>
      <c r="B494" s="263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</row>
    <row r="495">
      <c r="A495" s="174"/>
      <c r="B495" s="263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</row>
    <row r="496">
      <c r="A496" s="174"/>
      <c r="B496" s="263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</row>
    <row r="497">
      <c r="A497" s="174"/>
      <c r="B497" s="263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</row>
    <row r="498">
      <c r="A498" s="174"/>
      <c r="B498" s="263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</row>
    <row r="499">
      <c r="A499" s="174"/>
      <c r="B499" s="263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</row>
    <row r="500">
      <c r="A500" s="174"/>
      <c r="B500" s="263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</row>
    <row r="501">
      <c r="A501" s="174"/>
      <c r="B501" s="263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</row>
    <row r="502">
      <c r="A502" s="174"/>
      <c r="B502" s="263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</row>
    <row r="503">
      <c r="A503" s="174"/>
      <c r="B503" s="263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</row>
    <row r="504">
      <c r="A504" s="174"/>
      <c r="B504" s="263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</row>
    <row r="505">
      <c r="A505" s="174"/>
      <c r="B505" s="263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</row>
    <row r="506">
      <c r="A506" s="174"/>
      <c r="B506" s="263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</row>
    <row r="507">
      <c r="A507" s="174"/>
      <c r="B507" s="263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</row>
    <row r="508">
      <c r="A508" s="174"/>
      <c r="B508" s="263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</row>
    <row r="509">
      <c r="A509" s="174"/>
      <c r="B509" s="263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</row>
    <row r="510">
      <c r="A510" s="174"/>
      <c r="B510" s="263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</row>
    <row r="511">
      <c r="A511" s="174"/>
      <c r="B511" s="263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</row>
    <row r="512">
      <c r="A512" s="174"/>
      <c r="B512" s="263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</row>
    <row r="513">
      <c r="A513" s="174"/>
      <c r="B513" s="263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</row>
    <row r="514">
      <c r="A514" s="174"/>
      <c r="B514" s="263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</row>
    <row r="515">
      <c r="A515" s="174"/>
      <c r="B515" s="263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</row>
    <row r="516">
      <c r="A516" s="174"/>
      <c r="B516" s="263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</row>
    <row r="517">
      <c r="A517" s="174"/>
      <c r="B517" s="263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</row>
    <row r="518">
      <c r="A518" s="174"/>
      <c r="B518" s="263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</row>
    <row r="519">
      <c r="A519" s="174"/>
      <c r="B519" s="263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</row>
    <row r="520">
      <c r="A520" s="174"/>
      <c r="B520" s="263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</row>
    <row r="521">
      <c r="A521" s="174"/>
      <c r="B521" s="263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</row>
    <row r="522">
      <c r="A522" s="174"/>
      <c r="B522" s="263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</row>
    <row r="523">
      <c r="A523" s="174"/>
      <c r="B523" s="263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</row>
    <row r="524">
      <c r="A524" s="174"/>
      <c r="B524" s="263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</row>
    <row r="525">
      <c r="A525" s="174"/>
      <c r="B525" s="263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</row>
    <row r="526">
      <c r="A526" s="174"/>
      <c r="B526" s="263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</row>
    <row r="527">
      <c r="A527" s="174"/>
      <c r="B527" s="263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</row>
    <row r="528">
      <c r="A528" s="174"/>
      <c r="B528" s="263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</row>
    <row r="529">
      <c r="A529" s="174"/>
      <c r="B529" s="263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</row>
    <row r="530">
      <c r="A530" s="174"/>
      <c r="B530" s="263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</row>
    <row r="531">
      <c r="A531" s="174"/>
      <c r="B531" s="263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</row>
    <row r="532">
      <c r="A532" s="174"/>
      <c r="B532" s="263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</row>
    <row r="533">
      <c r="A533" s="174"/>
      <c r="B533" s="263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</row>
    <row r="534">
      <c r="A534" s="174"/>
      <c r="B534" s="263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</row>
    <row r="535">
      <c r="A535" s="174"/>
      <c r="B535" s="263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</row>
    <row r="536">
      <c r="A536" s="174"/>
      <c r="B536" s="263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</row>
    <row r="537">
      <c r="A537" s="174"/>
      <c r="B537" s="263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</row>
    <row r="538">
      <c r="A538" s="174"/>
      <c r="B538" s="263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</row>
    <row r="539">
      <c r="A539" s="174"/>
      <c r="B539" s="263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</row>
    <row r="540">
      <c r="A540" s="174"/>
      <c r="B540" s="263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</row>
    <row r="541">
      <c r="A541" s="174"/>
      <c r="B541" s="263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</row>
    <row r="542">
      <c r="A542" s="174"/>
      <c r="B542" s="263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</row>
    <row r="543">
      <c r="A543" s="174"/>
      <c r="B543" s="263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</row>
    <row r="544">
      <c r="A544" s="174"/>
      <c r="B544" s="263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</row>
    <row r="545">
      <c r="A545" s="174"/>
      <c r="B545" s="263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</row>
    <row r="546">
      <c r="A546" s="174"/>
      <c r="B546" s="263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</row>
    <row r="547">
      <c r="A547" s="174"/>
      <c r="B547" s="263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</row>
    <row r="548">
      <c r="A548" s="174"/>
      <c r="B548" s="263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</row>
    <row r="549">
      <c r="A549" s="174"/>
      <c r="B549" s="263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</row>
    <row r="550">
      <c r="A550" s="174"/>
      <c r="B550" s="263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</row>
    <row r="551">
      <c r="A551" s="174"/>
      <c r="B551" s="263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</row>
    <row r="552">
      <c r="A552" s="174"/>
      <c r="B552" s="263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</row>
    <row r="553">
      <c r="A553" s="174"/>
      <c r="B553" s="263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</row>
    <row r="554">
      <c r="A554" s="174"/>
      <c r="B554" s="263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</row>
    <row r="555">
      <c r="A555" s="174"/>
      <c r="B555" s="263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</row>
    <row r="556">
      <c r="A556" s="174"/>
      <c r="B556" s="263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</row>
    <row r="557">
      <c r="A557" s="174"/>
      <c r="B557" s="263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</row>
    <row r="558">
      <c r="A558" s="174"/>
      <c r="B558" s="263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</row>
    <row r="559">
      <c r="A559" s="174"/>
      <c r="B559" s="263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</row>
    <row r="560">
      <c r="A560" s="174"/>
      <c r="B560" s="263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</row>
    <row r="561">
      <c r="A561" s="174"/>
      <c r="B561" s="263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</row>
    <row r="562">
      <c r="A562" s="174"/>
      <c r="B562" s="263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</row>
    <row r="563">
      <c r="A563" s="174"/>
      <c r="B563" s="263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</row>
    <row r="564">
      <c r="A564" s="174"/>
      <c r="B564" s="263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</row>
    <row r="565">
      <c r="A565" s="174"/>
      <c r="B565" s="263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</row>
    <row r="566">
      <c r="A566" s="174"/>
      <c r="B566" s="263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</row>
    <row r="567">
      <c r="A567" s="174"/>
      <c r="B567" s="263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</row>
    <row r="568">
      <c r="A568" s="174"/>
      <c r="B568" s="263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</row>
    <row r="569">
      <c r="A569" s="174"/>
      <c r="B569" s="263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</row>
    <row r="570">
      <c r="A570" s="174"/>
      <c r="B570" s="263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</row>
    <row r="571">
      <c r="A571" s="174"/>
      <c r="B571" s="263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</row>
    <row r="572">
      <c r="A572" s="174"/>
      <c r="B572" s="263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</row>
    <row r="573">
      <c r="A573" s="174"/>
      <c r="B573" s="263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</row>
    <row r="574">
      <c r="A574" s="174"/>
      <c r="B574" s="263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</row>
    <row r="575">
      <c r="A575" s="174"/>
      <c r="B575" s="263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</row>
    <row r="576">
      <c r="A576" s="174"/>
      <c r="B576" s="263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</row>
    <row r="577">
      <c r="A577" s="174"/>
      <c r="B577" s="263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</row>
    <row r="578">
      <c r="A578" s="174"/>
      <c r="B578" s="263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</row>
    <row r="579">
      <c r="A579" s="174"/>
      <c r="B579" s="263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</row>
    <row r="580">
      <c r="A580" s="174"/>
      <c r="B580" s="263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</row>
    <row r="581">
      <c r="A581" s="174"/>
      <c r="B581" s="263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</row>
    <row r="582">
      <c r="A582" s="174"/>
      <c r="B582" s="263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</row>
    <row r="583">
      <c r="A583" s="174"/>
      <c r="B583" s="263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</row>
    <row r="584">
      <c r="A584" s="174"/>
      <c r="B584" s="263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</row>
    <row r="585">
      <c r="A585" s="174"/>
      <c r="B585" s="263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</row>
    <row r="586">
      <c r="A586" s="174"/>
      <c r="B586" s="263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</row>
    <row r="587">
      <c r="A587" s="174"/>
      <c r="B587" s="263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</row>
    <row r="588">
      <c r="A588" s="174"/>
      <c r="B588" s="263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</row>
    <row r="589">
      <c r="A589" s="174"/>
      <c r="B589" s="263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</row>
    <row r="590">
      <c r="A590" s="174"/>
      <c r="B590" s="263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</row>
    <row r="591">
      <c r="A591" s="174"/>
      <c r="B591" s="263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</row>
    <row r="592">
      <c r="A592" s="174"/>
      <c r="B592" s="263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</row>
    <row r="593">
      <c r="A593" s="174"/>
      <c r="B593" s="263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</row>
    <row r="594">
      <c r="A594" s="174"/>
      <c r="B594" s="263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</row>
    <row r="595">
      <c r="A595" s="174"/>
      <c r="B595" s="263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</row>
    <row r="596">
      <c r="A596" s="174"/>
      <c r="B596" s="263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</row>
    <row r="597">
      <c r="A597" s="174"/>
      <c r="B597" s="263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</row>
    <row r="598">
      <c r="A598" s="174"/>
      <c r="B598" s="263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</row>
    <row r="599">
      <c r="A599" s="174"/>
      <c r="B599" s="263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</row>
    <row r="600">
      <c r="A600" s="174"/>
      <c r="B600" s="263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</row>
    <row r="601">
      <c r="A601" s="174"/>
      <c r="B601" s="263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</row>
    <row r="602">
      <c r="A602" s="174"/>
      <c r="B602" s="263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</row>
    <row r="603">
      <c r="A603" s="174"/>
      <c r="B603" s="263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</row>
    <row r="604">
      <c r="A604" s="174"/>
      <c r="B604" s="263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</row>
    <row r="605">
      <c r="A605" s="174"/>
      <c r="B605" s="263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</row>
    <row r="606">
      <c r="A606" s="174"/>
      <c r="B606" s="263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</row>
    <row r="607">
      <c r="A607" s="174"/>
      <c r="B607" s="263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</row>
    <row r="608">
      <c r="A608" s="174"/>
      <c r="B608" s="263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</row>
    <row r="609">
      <c r="A609" s="174"/>
      <c r="B609" s="263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</row>
    <row r="610">
      <c r="A610" s="174"/>
      <c r="B610" s="263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</row>
    <row r="611">
      <c r="A611" s="174"/>
      <c r="B611" s="263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</row>
    <row r="612">
      <c r="A612" s="174"/>
      <c r="B612" s="263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</row>
    <row r="613">
      <c r="A613" s="174"/>
      <c r="B613" s="263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</row>
    <row r="614">
      <c r="A614" s="174"/>
      <c r="B614" s="263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</row>
    <row r="615">
      <c r="A615" s="174"/>
      <c r="B615" s="263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</row>
    <row r="616">
      <c r="A616" s="174"/>
      <c r="B616" s="263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</row>
    <row r="617">
      <c r="A617" s="174"/>
      <c r="B617" s="263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</row>
    <row r="618">
      <c r="A618" s="174"/>
      <c r="B618" s="263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</row>
    <row r="619">
      <c r="A619" s="174"/>
      <c r="B619" s="263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</row>
    <row r="620">
      <c r="A620" s="174"/>
      <c r="B620" s="263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</row>
    <row r="621">
      <c r="A621" s="174"/>
      <c r="B621" s="263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</row>
    <row r="622">
      <c r="A622" s="174"/>
      <c r="B622" s="263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</row>
    <row r="623">
      <c r="A623" s="174"/>
      <c r="B623" s="263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</row>
    <row r="624">
      <c r="A624" s="174"/>
      <c r="B624" s="263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</row>
    <row r="625">
      <c r="A625" s="174"/>
      <c r="B625" s="263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</row>
    <row r="626">
      <c r="A626" s="174"/>
      <c r="B626" s="263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</row>
    <row r="627">
      <c r="A627" s="174"/>
      <c r="B627" s="263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</row>
    <row r="628">
      <c r="A628" s="174"/>
      <c r="B628" s="263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</row>
    <row r="629">
      <c r="A629" s="174"/>
      <c r="B629" s="263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</row>
    <row r="630">
      <c r="A630" s="174"/>
      <c r="B630" s="263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</row>
    <row r="631">
      <c r="A631" s="174"/>
      <c r="B631" s="263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</row>
    <row r="632">
      <c r="A632" s="174"/>
      <c r="B632" s="263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</row>
    <row r="633">
      <c r="A633" s="174"/>
      <c r="B633" s="263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</row>
    <row r="634">
      <c r="A634" s="174"/>
      <c r="B634" s="263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</row>
    <row r="635">
      <c r="A635" s="174"/>
      <c r="B635" s="263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</row>
    <row r="636">
      <c r="A636" s="174"/>
      <c r="B636" s="263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</row>
    <row r="637">
      <c r="A637" s="174"/>
      <c r="B637" s="263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</row>
    <row r="638">
      <c r="A638" s="174"/>
      <c r="B638" s="263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</row>
    <row r="639">
      <c r="A639" s="174"/>
      <c r="B639" s="263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</row>
    <row r="640">
      <c r="A640" s="174"/>
      <c r="B640" s="263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</row>
    <row r="641">
      <c r="A641" s="174"/>
      <c r="B641" s="263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</row>
    <row r="642">
      <c r="A642" s="174"/>
      <c r="B642" s="263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</row>
    <row r="643">
      <c r="A643" s="174"/>
      <c r="B643" s="263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</row>
    <row r="644">
      <c r="A644" s="174"/>
      <c r="B644" s="263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</row>
    <row r="645">
      <c r="A645" s="174"/>
      <c r="B645" s="263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</row>
    <row r="646">
      <c r="A646" s="174"/>
      <c r="B646" s="263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</row>
    <row r="647">
      <c r="A647" s="174"/>
      <c r="B647" s="263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</row>
    <row r="648">
      <c r="A648" s="174"/>
      <c r="B648" s="263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</row>
    <row r="649">
      <c r="A649" s="174"/>
      <c r="B649" s="263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</row>
    <row r="650">
      <c r="A650" s="174"/>
      <c r="B650" s="263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</row>
    <row r="651">
      <c r="A651" s="174"/>
      <c r="B651" s="263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</row>
    <row r="652">
      <c r="A652" s="174"/>
      <c r="B652" s="263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</row>
    <row r="653">
      <c r="A653" s="174"/>
      <c r="B653" s="263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</row>
    <row r="654">
      <c r="A654" s="174"/>
      <c r="B654" s="263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</row>
    <row r="655">
      <c r="A655" s="174"/>
      <c r="B655" s="263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</row>
    <row r="656">
      <c r="A656" s="174"/>
      <c r="B656" s="263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</row>
    <row r="657">
      <c r="A657" s="174"/>
      <c r="B657" s="263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</row>
    <row r="658">
      <c r="A658" s="174"/>
      <c r="B658" s="263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</row>
    <row r="659">
      <c r="A659" s="174"/>
      <c r="B659" s="263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</row>
    <row r="660">
      <c r="A660" s="174"/>
      <c r="B660" s="263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</row>
    <row r="661">
      <c r="A661" s="174"/>
      <c r="B661" s="263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</row>
    <row r="662">
      <c r="A662" s="174"/>
      <c r="B662" s="263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</row>
    <row r="663">
      <c r="A663" s="174"/>
      <c r="B663" s="263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</row>
    <row r="664">
      <c r="A664" s="174"/>
      <c r="B664" s="263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</row>
    <row r="665">
      <c r="A665" s="174"/>
      <c r="B665" s="263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</row>
    <row r="666">
      <c r="A666" s="174"/>
      <c r="B666" s="263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</row>
    <row r="667">
      <c r="A667" s="174"/>
      <c r="B667" s="263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</row>
    <row r="668">
      <c r="A668" s="174"/>
      <c r="B668" s="263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</row>
    <row r="669">
      <c r="A669" s="174"/>
      <c r="B669" s="263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</row>
    <row r="670">
      <c r="A670" s="174"/>
      <c r="B670" s="263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</row>
    <row r="671">
      <c r="A671" s="174"/>
      <c r="B671" s="263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</row>
    <row r="672">
      <c r="A672" s="174"/>
      <c r="B672" s="263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</row>
    <row r="673">
      <c r="A673" s="174"/>
      <c r="B673" s="263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</row>
    <row r="674">
      <c r="A674" s="174"/>
      <c r="B674" s="263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</row>
    <row r="675">
      <c r="A675" s="174"/>
      <c r="B675" s="263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</row>
    <row r="676">
      <c r="A676" s="174"/>
      <c r="B676" s="263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</row>
    <row r="677">
      <c r="A677" s="174"/>
      <c r="B677" s="263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</row>
    <row r="678">
      <c r="A678" s="174"/>
      <c r="B678" s="263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</row>
    <row r="679">
      <c r="A679" s="174"/>
      <c r="B679" s="263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</row>
    <row r="680">
      <c r="A680" s="174"/>
      <c r="B680" s="263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</row>
    <row r="681">
      <c r="A681" s="174"/>
      <c r="B681" s="263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</row>
    <row r="682">
      <c r="A682" s="174"/>
      <c r="B682" s="263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</row>
    <row r="683">
      <c r="A683" s="174"/>
      <c r="B683" s="263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</row>
    <row r="684">
      <c r="A684" s="174"/>
      <c r="B684" s="263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</row>
    <row r="685">
      <c r="A685" s="174"/>
      <c r="B685" s="263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</row>
    <row r="686">
      <c r="A686" s="174"/>
      <c r="B686" s="263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</row>
    <row r="687">
      <c r="A687" s="174"/>
      <c r="B687" s="263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</row>
    <row r="688">
      <c r="A688" s="174"/>
      <c r="B688" s="263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</row>
    <row r="689">
      <c r="A689" s="174"/>
      <c r="B689" s="263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</row>
    <row r="690">
      <c r="A690" s="174"/>
      <c r="B690" s="263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</row>
    <row r="691">
      <c r="A691" s="174"/>
      <c r="B691" s="263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</row>
    <row r="692">
      <c r="A692" s="174"/>
      <c r="B692" s="263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</row>
    <row r="693">
      <c r="A693" s="174"/>
      <c r="B693" s="263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</row>
    <row r="694">
      <c r="A694" s="174"/>
      <c r="B694" s="263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</row>
    <row r="695">
      <c r="A695" s="174"/>
      <c r="B695" s="263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</row>
    <row r="696">
      <c r="A696" s="174"/>
      <c r="B696" s="263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</row>
    <row r="697">
      <c r="A697" s="174"/>
      <c r="B697" s="263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</row>
    <row r="698">
      <c r="A698" s="174"/>
      <c r="B698" s="263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</row>
    <row r="699">
      <c r="A699" s="174"/>
      <c r="B699" s="263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</row>
    <row r="700">
      <c r="A700" s="174"/>
      <c r="B700" s="263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</row>
    <row r="701">
      <c r="A701" s="174"/>
      <c r="B701" s="263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</row>
    <row r="702">
      <c r="A702" s="174"/>
      <c r="B702" s="263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</row>
    <row r="703">
      <c r="A703" s="174"/>
      <c r="B703" s="263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</row>
    <row r="704">
      <c r="A704" s="174"/>
      <c r="B704" s="263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</row>
    <row r="705">
      <c r="A705" s="174"/>
      <c r="B705" s="263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</row>
    <row r="706">
      <c r="A706" s="174"/>
      <c r="B706" s="263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</row>
    <row r="707">
      <c r="A707" s="174"/>
      <c r="B707" s="263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</row>
    <row r="708">
      <c r="A708" s="174"/>
      <c r="B708" s="263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</row>
    <row r="709">
      <c r="A709" s="174"/>
      <c r="B709" s="263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</row>
    <row r="710">
      <c r="A710" s="174"/>
      <c r="B710" s="263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</row>
    <row r="711">
      <c r="A711" s="174"/>
      <c r="B711" s="263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</row>
    <row r="712">
      <c r="A712" s="174"/>
      <c r="B712" s="263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</row>
    <row r="713">
      <c r="A713" s="174"/>
      <c r="B713" s="263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</row>
    <row r="714">
      <c r="A714" s="174"/>
      <c r="B714" s="263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</row>
    <row r="715">
      <c r="A715" s="174"/>
      <c r="B715" s="263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</row>
    <row r="716">
      <c r="A716" s="174"/>
      <c r="B716" s="263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</row>
    <row r="717">
      <c r="A717" s="174"/>
      <c r="B717" s="263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</row>
    <row r="718">
      <c r="A718" s="174"/>
      <c r="B718" s="263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</row>
    <row r="719">
      <c r="A719" s="174"/>
      <c r="B719" s="263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</row>
    <row r="720">
      <c r="A720" s="174"/>
      <c r="B720" s="263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</row>
    <row r="721">
      <c r="A721" s="174"/>
      <c r="B721" s="263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</row>
    <row r="722">
      <c r="A722" s="174"/>
      <c r="B722" s="263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</row>
    <row r="723">
      <c r="A723" s="174"/>
      <c r="B723" s="263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</row>
    <row r="724">
      <c r="A724" s="174"/>
      <c r="B724" s="263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</row>
    <row r="725">
      <c r="A725" s="174"/>
      <c r="B725" s="263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</row>
    <row r="726">
      <c r="A726" s="174"/>
      <c r="B726" s="263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</row>
    <row r="727">
      <c r="A727" s="174"/>
      <c r="B727" s="263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</row>
    <row r="728">
      <c r="A728" s="174"/>
      <c r="B728" s="263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</row>
    <row r="729">
      <c r="A729" s="174"/>
      <c r="B729" s="263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</row>
    <row r="730">
      <c r="A730" s="174"/>
      <c r="B730" s="263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</row>
    <row r="731">
      <c r="A731" s="174"/>
      <c r="B731" s="263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</row>
    <row r="732">
      <c r="A732" s="174"/>
      <c r="B732" s="263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</row>
    <row r="733">
      <c r="A733" s="174"/>
      <c r="B733" s="263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</row>
    <row r="734">
      <c r="A734" s="174"/>
      <c r="B734" s="263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</row>
    <row r="735">
      <c r="A735" s="174"/>
      <c r="B735" s="263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</row>
    <row r="736">
      <c r="A736" s="174"/>
      <c r="B736" s="263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</row>
    <row r="737">
      <c r="A737" s="174"/>
      <c r="B737" s="263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</row>
    <row r="738">
      <c r="A738" s="174"/>
      <c r="B738" s="263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</row>
    <row r="739">
      <c r="A739" s="174"/>
      <c r="B739" s="263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</row>
    <row r="740">
      <c r="A740" s="174"/>
      <c r="B740" s="263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</row>
    <row r="741">
      <c r="A741" s="174"/>
      <c r="B741" s="263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</row>
    <row r="742">
      <c r="A742" s="174"/>
      <c r="B742" s="263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</row>
    <row r="743">
      <c r="A743" s="174"/>
      <c r="B743" s="263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</row>
    <row r="744">
      <c r="A744" s="174"/>
      <c r="B744" s="263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</row>
    <row r="745">
      <c r="A745" s="174"/>
      <c r="B745" s="263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</row>
    <row r="746">
      <c r="A746" s="174"/>
      <c r="B746" s="263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</row>
    <row r="747">
      <c r="A747" s="174"/>
      <c r="B747" s="263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</row>
    <row r="748">
      <c r="A748" s="174"/>
      <c r="B748" s="263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</row>
    <row r="749">
      <c r="A749" s="174"/>
      <c r="B749" s="263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</row>
    <row r="750">
      <c r="A750" s="174"/>
      <c r="B750" s="263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</row>
    <row r="751">
      <c r="A751" s="174"/>
      <c r="B751" s="263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</row>
    <row r="752">
      <c r="A752" s="174"/>
      <c r="B752" s="263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</row>
    <row r="753">
      <c r="A753" s="174"/>
      <c r="B753" s="263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</row>
    <row r="754">
      <c r="A754" s="174"/>
      <c r="B754" s="263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</row>
    <row r="755">
      <c r="A755" s="174"/>
      <c r="B755" s="263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</row>
    <row r="756">
      <c r="A756" s="174"/>
      <c r="B756" s="263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</row>
    <row r="757">
      <c r="A757" s="174"/>
      <c r="B757" s="263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</row>
    <row r="758">
      <c r="A758" s="174"/>
      <c r="B758" s="263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</row>
    <row r="759">
      <c r="A759" s="174"/>
      <c r="B759" s="263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</row>
    <row r="760">
      <c r="A760" s="174"/>
      <c r="B760" s="263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</row>
    <row r="761">
      <c r="A761" s="174"/>
      <c r="B761" s="263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</row>
    <row r="762">
      <c r="A762" s="174"/>
      <c r="B762" s="263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</row>
    <row r="763">
      <c r="A763" s="174"/>
      <c r="B763" s="263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</row>
    <row r="764">
      <c r="A764" s="174"/>
      <c r="B764" s="263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</row>
    <row r="765">
      <c r="A765" s="174"/>
      <c r="B765" s="263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</row>
    <row r="766">
      <c r="A766" s="174"/>
      <c r="B766" s="263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</row>
    <row r="767">
      <c r="A767" s="174"/>
      <c r="B767" s="263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</row>
    <row r="768">
      <c r="A768" s="174"/>
      <c r="B768" s="263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</row>
    <row r="769">
      <c r="A769" s="174"/>
      <c r="B769" s="263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</row>
    <row r="770">
      <c r="A770" s="174"/>
      <c r="B770" s="263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</row>
    <row r="771">
      <c r="A771" s="174"/>
      <c r="B771" s="263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</row>
    <row r="772">
      <c r="A772" s="174"/>
      <c r="B772" s="263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</row>
    <row r="773">
      <c r="A773" s="174"/>
      <c r="B773" s="263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</row>
    <row r="774">
      <c r="A774" s="174"/>
      <c r="B774" s="263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</row>
    <row r="775">
      <c r="A775" s="174"/>
      <c r="B775" s="263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</row>
    <row r="776">
      <c r="A776" s="174"/>
      <c r="B776" s="263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</row>
    <row r="777">
      <c r="A777" s="174"/>
      <c r="B777" s="263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</row>
    <row r="778">
      <c r="A778" s="174"/>
      <c r="B778" s="263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</row>
    <row r="779">
      <c r="A779" s="174"/>
      <c r="B779" s="263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</row>
    <row r="780">
      <c r="A780" s="174"/>
      <c r="B780" s="263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</row>
    <row r="781">
      <c r="A781" s="174"/>
      <c r="B781" s="263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</row>
    <row r="782">
      <c r="A782" s="174"/>
      <c r="B782" s="263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</row>
    <row r="783">
      <c r="A783" s="174"/>
      <c r="B783" s="263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</row>
    <row r="784">
      <c r="A784" s="174"/>
      <c r="B784" s="263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</row>
    <row r="785">
      <c r="A785" s="174"/>
      <c r="B785" s="263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</row>
    <row r="786">
      <c r="A786" s="174"/>
      <c r="B786" s="263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</row>
    <row r="787">
      <c r="A787" s="174"/>
      <c r="B787" s="263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</row>
    <row r="788">
      <c r="A788" s="174"/>
      <c r="B788" s="263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</row>
    <row r="789">
      <c r="A789" s="174"/>
      <c r="B789" s="263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</row>
    <row r="790">
      <c r="A790" s="174"/>
      <c r="B790" s="263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</row>
    <row r="791">
      <c r="A791" s="174"/>
      <c r="B791" s="263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</row>
    <row r="792">
      <c r="A792" s="174"/>
      <c r="B792" s="263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</row>
    <row r="793">
      <c r="A793" s="174"/>
      <c r="B793" s="263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</row>
    <row r="794">
      <c r="A794" s="174"/>
      <c r="B794" s="263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</row>
    <row r="795">
      <c r="A795" s="174"/>
      <c r="B795" s="263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</row>
    <row r="796">
      <c r="A796" s="174"/>
      <c r="B796" s="263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</row>
    <row r="797">
      <c r="A797" s="174"/>
      <c r="B797" s="263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</row>
    <row r="798">
      <c r="A798" s="174"/>
      <c r="B798" s="263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</row>
    <row r="799">
      <c r="A799" s="174"/>
      <c r="B799" s="263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</row>
    <row r="800">
      <c r="A800" s="174"/>
      <c r="B800" s="263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</row>
    <row r="801">
      <c r="A801" s="174"/>
      <c r="B801" s="263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</row>
    <row r="802">
      <c r="A802" s="174"/>
      <c r="B802" s="263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</row>
    <row r="803">
      <c r="A803" s="174"/>
      <c r="B803" s="263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</row>
    <row r="804">
      <c r="A804" s="174"/>
      <c r="B804" s="263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</row>
    <row r="805">
      <c r="A805" s="174"/>
      <c r="B805" s="263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</row>
    <row r="806">
      <c r="A806" s="174"/>
      <c r="B806" s="263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</row>
    <row r="807">
      <c r="A807" s="174"/>
      <c r="B807" s="263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</row>
    <row r="808">
      <c r="A808" s="174"/>
      <c r="B808" s="263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</row>
    <row r="809">
      <c r="A809" s="174"/>
      <c r="B809" s="263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</row>
    <row r="810">
      <c r="A810" s="174"/>
      <c r="B810" s="263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</row>
    <row r="811">
      <c r="A811" s="174"/>
      <c r="B811" s="263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</row>
    <row r="812">
      <c r="A812" s="174"/>
      <c r="B812" s="263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</row>
    <row r="813">
      <c r="A813" s="174"/>
      <c r="B813" s="263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</row>
    <row r="814">
      <c r="A814" s="174"/>
      <c r="B814" s="263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</row>
    <row r="815">
      <c r="A815" s="174"/>
      <c r="B815" s="263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</row>
    <row r="816">
      <c r="A816" s="174"/>
      <c r="B816" s="263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</row>
    <row r="817">
      <c r="A817" s="174"/>
      <c r="B817" s="263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</row>
    <row r="818">
      <c r="A818" s="174"/>
      <c r="B818" s="263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</row>
    <row r="819">
      <c r="A819" s="174"/>
      <c r="B819" s="263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</row>
    <row r="820">
      <c r="A820" s="174"/>
      <c r="B820" s="263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</row>
    <row r="821">
      <c r="A821" s="174"/>
      <c r="B821" s="263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</row>
    <row r="822">
      <c r="A822" s="174"/>
      <c r="B822" s="263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</row>
    <row r="823">
      <c r="A823" s="174"/>
      <c r="B823" s="263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</row>
    <row r="824">
      <c r="A824" s="174"/>
      <c r="B824" s="263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</row>
    <row r="825">
      <c r="A825" s="174"/>
      <c r="B825" s="263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</row>
    <row r="826">
      <c r="A826" s="174"/>
      <c r="B826" s="263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</row>
    <row r="827">
      <c r="A827" s="174"/>
      <c r="B827" s="263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</row>
    <row r="828">
      <c r="A828" s="174"/>
      <c r="B828" s="263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</row>
    <row r="829">
      <c r="A829" s="174"/>
      <c r="B829" s="263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</row>
    <row r="830">
      <c r="A830" s="174"/>
      <c r="B830" s="263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</row>
    <row r="831">
      <c r="A831" s="174"/>
      <c r="B831" s="263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</row>
    <row r="832">
      <c r="A832" s="174"/>
      <c r="B832" s="263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</row>
    <row r="833">
      <c r="A833" s="174"/>
      <c r="B833" s="263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</row>
    <row r="834">
      <c r="A834" s="174"/>
      <c r="B834" s="263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</row>
    <row r="835">
      <c r="A835" s="174"/>
      <c r="B835" s="263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</row>
    <row r="836">
      <c r="A836" s="174"/>
      <c r="B836" s="263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</row>
    <row r="837">
      <c r="A837" s="174"/>
      <c r="B837" s="263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</row>
    <row r="838">
      <c r="A838" s="174"/>
      <c r="B838" s="263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</row>
    <row r="839">
      <c r="A839" s="174"/>
      <c r="B839" s="263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</row>
    <row r="840">
      <c r="A840" s="174"/>
      <c r="B840" s="263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</row>
    <row r="841">
      <c r="A841" s="174"/>
      <c r="B841" s="263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</row>
    <row r="842">
      <c r="A842" s="174"/>
      <c r="B842" s="263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</row>
    <row r="843">
      <c r="A843" s="174"/>
      <c r="B843" s="263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</row>
    <row r="844">
      <c r="A844" s="174"/>
      <c r="B844" s="263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</row>
    <row r="845">
      <c r="A845" s="174"/>
      <c r="B845" s="263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</row>
    <row r="846">
      <c r="A846" s="174"/>
      <c r="B846" s="263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</row>
    <row r="847">
      <c r="A847" s="174"/>
      <c r="B847" s="263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</row>
    <row r="848">
      <c r="A848" s="174"/>
      <c r="B848" s="263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</row>
    <row r="849">
      <c r="A849" s="174"/>
      <c r="B849" s="263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</row>
    <row r="850">
      <c r="A850" s="174"/>
      <c r="B850" s="263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</row>
    <row r="851">
      <c r="A851" s="174"/>
      <c r="B851" s="263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</row>
    <row r="852">
      <c r="A852" s="174"/>
      <c r="B852" s="263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</row>
    <row r="853">
      <c r="A853" s="174"/>
      <c r="B853" s="263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</row>
    <row r="854">
      <c r="A854" s="174"/>
      <c r="B854" s="263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</row>
    <row r="855">
      <c r="A855" s="174"/>
      <c r="B855" s="263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</row>
    <row r="856">
      <c r="A856" s="174"/>
      <c r="B856" s="263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</row>
    <row r="857">
      <c r="A857" s="174"/>
      <c r="B857" s="263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</row>
    <row r="858">
      <c r="A858" s="174"/>
      <c r="B858" s="263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</row>
    <row r="859">
      <c r="A859" s="174"/>
      <c r="B859" s="263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</row>
    <row r="860">
      <c r="A860" s="174"/>
      <c r="B860" s="263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</row>
    <row r="861">
      <c r="A861" s="174"/>
      <c r="B861" s="263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</row>
    <row r="862">
      <c r="A862" s="174"/>
      <c r="B862" s="263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</row>
    <row r="863">
      <c r="A863" s="174"/>
      <c r="B863" s="263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</row>
    <row r="864">
      <c r="A864" s="174"/>
      <c r="B864" s="263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</row>
    <row r="865">
      <c r="A865" s="174"/>
      <c r="B865" s="263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</row>
    <row r="866">
      <c r="A866" s="174"/>
      <c r="B866" s="263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</row>
    <row r="867">
      <c r="A867" s="174"/>
      <c r="B867" s="263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</row>
    <row r="868">
      <c r="A868" s="174"/>
      <c r="B868" s="263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</row>
    <row r="869">
      <c r="A869" s="174"/>
      <c r="B869" s="263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</row>
    <row r="870">
      <c r="A870" s="174"/>
      <c r="B870" s="263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</row>
    <row r="871">
      <c r="A871" s="174"/>
      <c r="B871" s="263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</row>
    <row r="872">
      <c r="A872" s="174"/>
      <c r="B872" s="263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</row>
    <row r="873">
      <c r="A873" s="174"/>
      <c r="B873" s="263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</row>
    <row r="874">
      <c r="A874" s="174"/>
      <c r="B874" s="263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</row>
    <row r="875">
      <c r="A875" s="174"/>
      <c r="B875" s="263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</row>
    <row r="876">
      <c r="A876" s="174"/>
      <c r="B876" s="263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</row>
    <row r="877">
      <c r="A877" s="174"/>
      <c r="B877" s="263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</row>
    <row r="878">
      <c r="A878" s="174"/>
      <c r="B878" s="263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</row>
    <row r="879">
      <c r="A879" s="174"/>
      <c r="B879" s="263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</row>
    <row r="880">
      <c r="A880" s="174"/>
      <c r="B880" s="263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</row>
    <row r="881">
      <c r="A881" s="174"/>
      <c r="B881" s="263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</row>
    <row r="882">
      <c r="A882" s="174"/>
      <c r="B882" s="263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</row>
    <row r="883">
      <c r="A883" s="174"/>
      <c r="B883" s="263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</row>
    <row r="884">
      <c r="A884" s="174"/>
      <c r="B884" s="263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</row>
    <row r="885">
      <c r="A885" s="174"/>
      <c r="B885" s="263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</row>
    <row r="886">
      <c r="A886" s="174"/>
      <c r="B886" s="263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</row>
    <row r="887">
      <c r="A887" s="174"/>
      <c r="B887" s="263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</row>
    <row r="888">
      <c r="A888" s="174"/>
      <c r="B888" s="263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</row>
    <row r="889">
      <c r="A889" s="174"/>
      <c r="B889" s="263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</row>
    <row r="890">
      <c r="A890" s="174"/>
      <c r="B890" s="263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</row>
    <row r="891">
      <c r="A891" s="174"/>
      <c r="B891" s="263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</row>
    <row r="892">
      <c r="A892" s="174"/>
      <c r="B892" s="263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</row>
    <row r="893">
      <c r="A893" s="174"/>
      <c r="B893" s="263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</row>
    <row r="894">
      <c r="A894" s="174"/>
      <c r="B894" s="263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</row>
    <row r="895">
      <c r="A895" s="174"/>
      <c r="B895" s="263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</row>
    <row r="896">
      <c r="A896" s="174"/>
      <c r="B896" s="263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</row>
    <row r="897">
      <c r="A897" s="174"/>
      <c r="B897" s="263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</row>
    <row r="898">
      <c r="A898" s="174"/>
      <c r="B898" s="263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</row>
    <row r="899">
      <c r="A899" s="174"/>
      <c r="B899" s="263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</row>
    <row r="900">
      <c r="A900" s="174"/>
      <c r="B900" s="263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</row>
    <row r="901">
      <c r="A901" s="174"/>
      <c r="B901" s="263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</row>
    <row r="902">
      <c r="A902" s="174"/>
      <c r="B902" s="263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</row>
    <row r="903">
      <c r="A903" s="174"/>
      <c r="B903" s="263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</row>
    <row r="904">
      <c r="A904" s="174"/>
      <c r="B904" s="263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</row>
    <row r="905">
      <c r="A905" s="174"/>
      <c r="B905" s="263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</row>
    <row r="906">
      <c r="A906" s="174"/>
      <c r="B906" s="263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</row>
    <row r="907">
      <c r="A907" s="174"/>
      <c r="B907" s="263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</row>
    <row r="908">
      <c r="A908" s="174"/>
      <c r="B908" s="263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</row>
    <row r="909">
      <c r="A909" s="174"/>
      <c r="B909" s="263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</row>
    <row r="910">
      <c r="A910" s="174"/>
      <c r="B910" s="263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</row>
    <row r="911">
      <c r="A911" s="174"/>
      <c r="B911" s="263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</row>
    <row r="912">
      <c r="A912" s="174"/>
      <c r="B912" s="263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</row>
    <row r="913">
      <c r="A913" s="174"/>
      <c r="B913" s="263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</row>
    <row r="914">
      <c r="A914" s="174"/>
      <c r="B914" s="263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</row>
    <row r="915">
      <c r="A915" s="174"/>
      <c r="B915" s="263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</row>
    <row r="916">
      <c r="A916" s="174"/>
      <c r="B916" s="263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</row>
    <row r="917">
      <c r="A917" s="174"/>
      <c r="B917" s="263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</row>
    <row r="918">
      <c r="A918" s="174"/>
      <c r="B918" s="263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</row>
    <row r="919">
      <c r="A919" s="174"/>
      <c r="B919" s="263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</row>
    <row r="920">
      <c r="A920" s="174"/>
      <c r="B920" s="263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</row>
    <row r="921">
      <c r="A921" s="174"/>
      <c r="B921" s="263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</row>
    <row r="922">
      <c r="A922" s="174"/>
      <c r="B922" s="263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</row>
    <row r="923">
      <c r="A923" s="174"/>
      <c r="B923" s="263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</row>
    <row r="924">
      <c r="A924" s="174"/>
      <c r="B924" s="263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</row>
    <row r="925">
      <c r="A925" s="174"/>
      <c r="B925" s="263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</row>
    <row r="926">
      <c r="A926" s="174"/>
      <c r="B926" s="263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</row>
    <row r="927">
      <c r="A927" s="174"/>
      <c r="B927" s="263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</row>
    <row r="928">
      <c r="A928" s="174"/>
      <c r="B928" s="263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</row>
    <row r="929">
      <c r="A929" s="174"/>
      <c r="B929" s="263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</row>
    <row r="930">
      <c r="A930" s="174"/>
      <c r="B930" s="263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</row>
    <row r="931">
      <c r="A931" s="174"/>
      <c r="B931" s="263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</row>
    <row r="932">
      <c r="A932" s="174"/>
      <c r="B932" s="263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</row>
    <row r="933">
      <c r="A933" s="174"/>
      <c r="B933" s="263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</row>
    <row r="934">
      <c r="A934" s="174"/>
      <c r="B934" s="263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</row>
    <row r="935">
      <c r="A935" s="174"/>
      <c r="B935" s="263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</row>
    <row r="936">
      <c r="A936" s="174"/>
      <c r="B936" s="263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</row>
    <row r="937">
      <c r="A937" s="174"/>
      <c r="B937" s="263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</row>
    <row r="938">
      <c r="A938" s="174"/>
      <c r="B938" s="263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</row>
    <row r="939">
      <c r="A939" s="174"/>
      <c r="B939" s="263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</row>
    <row r="940">
      <c r="A940" s="174"/>
      <c r="B940" s="263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</row>
    <row r="941">
      <c r="A941" s="174"/>
      <c r="B941" s="263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</row>
    <row r="942">
      <c r="A942" s="174"/>
      <c r="B942" s="263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</row>
    <row r="943">
      <c r="A943" s="174"/>
      <c r="B943" s="263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</row>
    <row r="944">
      <c r="A944" s="174"/>
      <c r="B944" s="263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</row>
    <row r="945">
      <c r="A945" s="174"/>
      <c r="B945" s="263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</row>
    <row r="946">
      <c r="A946" s="174"/>
      <c r="B946" s="263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</row>
    <row r="947">
      <c r="A947" s="174"/>
      <c r="B947" s="263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</row>
    <row r="948">
      <c r="A948" s="174"/>
      <c r="B948" s="263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</row>
    <row r="949">
      <c r="A949" s="174"/>
      <c r="B949" s="263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</row>
    <row r="950">
      <c r="A950" s="174"/>
      <c r="B950" s="263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</row>
    <row r="951">
      <c r="A951" s="174"/>
      <c r="B951" s="263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</row>
    <row r="952">
      <c r="A952" s="174"/>
      <c r="B952" s="263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</row>
    <row r="953">
      <c r="A953" s="174"/>
      <c r="B953" s="263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</row>
    <row r="954">
      <c r="A954" s="174"/>
      <c r="B954" s="263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</row>
    <row r="955">
      <c r="A955" s="174"/>
      <c r="B955" s="263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</row>
    <row r="956">
      <c r="A956" s="174"/>
      <c r="B956" s="263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</row>
    <row r="957">
      <c r="A957" s="174"/>
      <c r="B957" s="263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</row>
    <row r="958">
      <c r="A958" s="174"/>
      <c r="B958" s="263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</row>
    <row r="959">
      <c r="A959" s="174"/>
      <c r="B959" s="263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</row>
    <row r="960">
      <c r="A960" s="174"/>
      <c r="B960" s="263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</row>
    <row r="961">
      <c r="A961" s="174"/>
      <c r="B961" s="263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</row>
    <row r="962">
      <c r="A962" s="174"/>
      <c r="B962" s="263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</row>
    <row r="963">
      <c r="A963" s="174"/>
      <c r="B963" s="263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</row>
    <row r="964">
      <c r="A964" s="174"/>
      <c r="B964" s="263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</row>
    <row r="965">
      <c r="A965" s="174"/>
      <c r="B965" s="263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</row>
    <row r="966">
      <c r="A966" s="174"/>
      <c r="B966" s="263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</row>
    <row r="967">
      <c r="A967" s="174"/>
      <c r="B967" s="263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</row>
    <row r="968">
      <c r="A968" s="174"/>
      <c r="B968" s="263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</row>
    <row r="969">
      <c r="A969" s="174"/>
      <c r="B969" s="263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</row>
    <row r="970">
      <c r="A970" s="174"/>
      <c r="B970" s="263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</row>
    <row r="971">
      <c r="A971" s="174"/>
      <c r="B971" s="263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</row>
    <row r="972">
      <c r="A972" s="174"/>
      <c r="B972" s="263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</row>
    <row r="973">
      <c r="A973" s="174"/>
      <c r="B973" s="263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</row>
    <row r="974">
      <c r="A974" s="174"/>
      <c r="B974" s="263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</row>
    <row r="975">
      <c r="A975" s="174"/>
      <c r="B975" s="263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</row>
    <row r="976">
      <c r="A976" s="174"/>
      <c r="B976" s="263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</row>
    <row r="977">
      <c r="A977" s="174"/>
      <c r="B977" s="263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</row>
    <row r="978">
      <c r="A978" s="174"/>
      <c r="B978" s="263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</row>
    <row r="979">
      <c r="A979" s="174"/>
      <c r="B979" s="263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</row>
    <row r="980">
      <c r="A980" s="174"/>
      <c r="B980" s="263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</row>
    <row r="981">
      <c r="A981" s="174"/>
      <c r="B981" s="263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</row>
    <row r="982">
      <c r="A982" s="174"/>
      <c r="B982" s="263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</row>
    <row r="983">
      <c r="A983" s="174"/>
      <c r="B983" s="263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</row>
    <row r="984">
      <c r="A984" s="174"/>
      <c r="B984" s="263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</row>
    <row r="985">
      <c r="A985" s="174"/>
      <c r="B985" s="263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</row>
    <row r="986">
      <c r="A986" s="174"/>
      <c r="B986" s="263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</row>
    <row r="987">
      <c r="A987" s="174"/>
      <c r="B987" s="263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</row>
    <row r="988">
      <c r="A988" s="174"/>
      <c r="B988" s="263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</row>
    <row r="989">
      <c r="A989" s="174"/>
      <c r="B989" s="263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</row>
    <row r="990">
      <c r="A990" s="174"/>
      <c r="B990" s="263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</row>
    <row r="991">
      <c r="A991" s="174"/>
      <c r="B991" s="263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</row>
    <row r="992">
      <c r="A992" s="174"/>
      <c r="B992" s="263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</row>
    <row r="993">
      <c r="A993" s="174"/>
      <c r="B993" s="263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</row>
    <row r="994">
      <c r="A994" s="174"/>
      <c r="B994" s="263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</row>
    <row r="995">
      <c r="A995" s="174"/>
      <c r="B995" s="263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</row>
    <row r="996">
      <c r="A996" s="174"/>
      <c r="B996" s="263"/>
      <c r="C996" s="174"/>
      <c r="D996" s="174"/>
      <c r="E996" s="174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</row>
    <row r="997">
      <c r="A997" s="174"/>
      <c r="B997" s="263"/>
      <c r="C997" s="174"/>
      <c r="D997" s="174"/>
      <c r="E997" s="174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</row>
    <row r="998">
      <c r="A998" s="174"/>
      <c r="B998" s="263"/>
      <c r="C998" s="174"/>
      <c r="D998" s="174"/>
      <c r="E998" s="174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</row>
    <row r="999">
      <c r="A999" s="174"/>
      <c r="B999" s="263"/>
      <c r="C999" s="174"/>
      <c r="D999" s="174"/>
      <c r="E999" s="174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</row>
    <row r="1000">
      <c r="A1000" s="174"/>
      <c r="B1000" s="263"/>
      <c r="C1000" s="174"/>
      <c r="D1000" s="174"/>
      <c r="E1000" s="174"/>
      <c r="F1000" s="174"/>
      <c r="G1000" s="174"/>
      <c r="H1000" s="174"/>
      <c r="I1000" s="174"/>
      <c r="J1000" s="174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</row>
  </sheetData>
  <mergeCells count="3">
    <mergeCell ref="J1:K1"/>
    <mergeCell ref="L1:M1"/>
    <mergeCell ref="N1:O1"/>
  </mergeCells>
  <dataValidations>
    <dataValidation type="list" allowBlank="1" showErrorMessage="1" sqref="I37 I39">
      <formula1>Data!$I$2:$I1000</formula1>
    </dataValidation>
  </dataValidations>
  <hyperlinks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D22"/>
    <hyperlink r:id="rId24" ref="A23"/>
    <hyperlink r:id="rId25" ref="A24"/>
    <hyperlink r:id="rId26" ref="A25"/>
    <hyperlink r:id="rId27" ref="A26"/>
    <hyperlink r:id="rId28" ref="D26"/>
    <hyperlink r:id="rId29" ref="A27"/>
    <hyperlink r:id="rId30" ref="A28"/>
    <hyperlink r:id="rId31" ref="A29"/>
    <hyperlink r:id="rId32" ref="A30"/>
    <hyperlink r:id="rId33" ref="A31"/>
    <hyperlink r:id="rId34" ref="D31"/>
    <hyperlink r:id="rId35" ref="A32"/>
    <hyperlink r:id="rId36" ref="A33"/>
    <hyperlink r:id="rId37" ref="A34"/>
    <hyperlink r:id="rId38" ref="A35"/>
    <hyperlink r:id="rId39" ref="A36"/>
    <hyperlink r:id="rId40" ref="A37"/>
    <hyperlink r:id="rId41" ref="A38"/>
    <hyperlink r:id="rId42" ref="A39"/>
    <hyperlink r:id="rId43" ref="A40"/>
    <hyperlink r:id="rId44" ref="A41"/>
    <hyperlink r:id="rId45" ref="A42"/>
    <hyperlink r:id="rId46" ref="A43"/>
    <hyperlink r:id="rId47" ref="A44"/>
    <hyperlink r:id="rId48" ref="A45"/>
    <hyperlink r:id="rId49" ref="A46"/>
    <hyperlink r:id="rId50" ref="A47"/>
    <hyperlink r:id="rId51" ref="A48"/>
    <hyperlink r:id="rId52" ref="A49"/>
    <hyperlink r:id="rId53" ref="A50"/>
    <hyperlink r:id="rId54" ref="A51"/>
    <hyperlink r:id="rId55" ref="A52"/>
    <hyperlink r:id="rId56" ref="A53"/>
    <hyperlink r:id="rId57" ref="A54"/>
    <hyperlink r:id="rId58" ref="A55"/>
    <hyperlink r:id="rId59" ref="A56"/>
    <hyperlink r:id="rId60" ref="A57"/>
    <hyperlink r:id="rId61" ref="A58"/>
    <hyperlink r:id="rId62" ref="A59"/>
    <hyperlink r:id="rId63" ref="A60"/>
    <hyperlink r:id="rId64" ref="A61"/>
    <hyperlink r:id="rId65" ref="A62"/>
    <hyperlink r:id="rId66" ref="A63"/>
    <hyperlink r:id="rId67" ref="A64"/>
    <hyperlink r:id="rId68" ref="A65"/>
    <hyperlink r:id="rId69" ref="A66"/>
    <hyperlink r:id="rId70" ref="A67"/>
    <hyperlink r:id="rId71" ref="A68"/>
    <hyperlink r:id="rId72" ref="A69"/>
    <hyperlink r:id="rId73" ref="A70"/>
    <hyperlink r:id="rId74" ref="A71"/>
    <hyperlink r:id="rId75" ref="A72"/>
    <hyperlink r:id="rId76" ref="A73"/>
    <hyperlink r:id="rId77" ref="A74"/>
    <hyperlink r:id="rId78" ref="A75"/>
    <hyperlink r:id="rId79" ref="A76"/>
    <hyperlink r:id="rId80" ref="A77"/>
    <hyperlink r:id="rId81" ref="A78"/>
    <hyperlink r:id="rId82" ref="A79"/>
    <hyperlink r:id="rId83" ref="A80"/>
    <hyperlink r:id="rId84" ref="A81"/>
    <hyperlink r:id="rId85" ref="A82"/>
    <hyperlink r:id="rId86" ref="A83"/>
    <hyperlink r:id="rId87" ref="A84"/>
    <hyperlink r:id="rId88" ref="A85"/>
    <hyperlink r:id="rId89" ref="A86"/>
    <hyperlink r:id="rId90" ref="A87"/>
    <hyperlink r:id="rId91" ref="A88"/>
    <hyperlink r:id="rId92" ref="A89"/>
    <hyperlink r:id="rId93" ref="A90"/>
    <hyperlink r:id="rId94" ref="A91"/>
    <hyperlink r:id="rId95" ref="A92"/>
    <hyperlink r:id="rId96" ref="A93"/>
    <hyperlink r:id="rId97" ref="A94"/>
    <hyperlink r:id="rId98" ref="A95"/>
    <hyperlink r:id="rId99" ref="A96"/>
    <hyperlink r:id="rId100" ref="A97"/>
    <hyperlink r:id="rId101" ref="A98"/>
    <hyperlink r:id="rId102" ref="A99"/>
    <hyperlink r:id="rId103" ref="A100"/>
    <hyperlink r:id="rId104" ref="A101"/>
    <hyperlink r:id="rId105" ref="A102"/>
    <hyperlink r:id="rId106" ref="A103"/>
    <hyperlink r:id="rId107" ref="A104"/>
    <hyperlink r:id="rId108" ref="A105"/>
    <hyperlink r:id="rId109" ref="A106"/>
    <hyperlink r:id="rId110" ref="A107"/>
    <hyperlink r:id="rId111" ref="A108"/>
    <hyperlink r:id="rId112" ref="A109"/>
    <hyperlink r:id="rId113" ref="A110"/>
    <hyperlink r:id="rId114" ref="A111"/>
    <hyperlink r:id="rId115" ref="A112"/>
    <hyperlink r:id="rId116" ref="A113"/>
    <hyperlink r:id="rId117" ref="A114"/>
    <hyperlink r:id="rId118" ref="A115"/>
    <hyperlink r:id="rId119" ref="A116"/>
    <hyperlink r:id="rId120" ref="A117"/>
    <hyperlink r:id="rId121" ref="A118"/>
    <hyperlink r:id="rId122" ref="A119"/>
    <hyperlink r:id="rId123" ref="A120"/>
    <hyperlink r:id="rId124" ref="A121"/>
    <hyperlink r:id="rId125" ref="A122"/>
    <hyperlink r:id="rId126" ref="A123"/>
    <hyperlink r:id="rId127" ref="A124"/>
    <hyperlink r:id="rId128" ref="A125"/>
    <hyperlink r:id="rId129" ref="A126"/>
    <hyperlink r:id="rId130" ref="A127"/>
    <hyperlink r:id="rId131" ref="A128"/>
    <hyperlink r:id="rId132" ref="A129"/>
    <hyperlink r:id="rId133" ref="A130"/>
    <hyperlink r:id="rId134" ref="A131"/>
    <hyperlink r:id="rId135" ref="A132"/>
    <hyperlink r:id="rId136" ref="A133"/>
    <hyperlink r:id="rId137" ref="A134"/>
    <hyperlink r:id="rId138" ref="A135"/>
    <hyperlink r:id="rId139" ref="A136"/>
    <hyperlink r:id="rId140" ref="A137"/>
    <hyperlink r:id="rId141" ref="A138"/>
    <hyperlink r:id="rId142" ref="A139"/>
    <hyperlink r:id="rId143" ref="A140"/>
    <hyperlink r:id="rId144" ref="A141"/>
    <hyperlink r:id="rId145" ref="A142"/>
    <hyperlink r:id="rId146" ref="A143"/>
    <hyperlink r:id="rId147" ref="A144"/>
    <hyperlink r:id="rId148" ref="A145"/>
    <hyperlink r:id="rId149" ref="A146"/>
    <hyperlink r:id="rId150" ref="A147"/>
    <hyperlink r:id="rId151" ref="A148"/>
    <hyperlink r:id="rId152" ref="A149"/>
    <hyperlink r:id="rId153" ref="A150"/>
    <hyperlink r:id="rId154" ref="A151"/>
    <hyperlink r:id="rId155" ref="A152"/>
    <hyperlink r:id="rId156" ref="A153"/>
    <hyperlink r:id="rId157" ref="A154"/>
    <hyperlink r:id="rId158" ref="A155"/>
    <hyperlink r:id="rId159" ref="A156"/>
    <hyperlink r:id="rId160" ref="A157"/>
    <hyperlink r:id="rId161" ref="A158"/>
    <hyperlink r:id="rId162" ref="A159"/>
    <hyperlink r:id="rId163" ref="A160"/>
    <hyperlink r:id="rId164" ref="A161"/>
    <hyperlink r:id="rId165" ref="A162"/>
    <hyperlink r:id="rId166" ref="A163"/>
    <hyperlink r:id="rId167" ref="A164"/>
    <hyperlink r:id="rId168" ref="A165"/>
    <hyperlink r:id="rId169" ref="A166"/>
    <hyperlink r:id="rId170" ref="A167"/>
    <hyperlink r:id="rId171" ref="A168"/>
    <hyperlink r:id="rId172" ref="A169"/>
    <hyperlink r:id="rId173" ref="A170"/>
    <hyperlink r:id="rId174" ref="A171"/>
    <hyperlink r:id="rId175" ref="A172"/>
    <hyperlink r:id="rId176" ref="A173"/>
    <hyperlink r:id="rId177" ref="A174"/>
    <hyperlink r:id="rId178" ref="A175"/>
    <hyperlink r:id="rId179" ref="A176"/>
    <hyperlink r:id="rId180" ref="A177"/>
    <hyperlink r:id="rId181" ref="A178"/>
    <hyperlink r:id="rId182" ref="A179"/>
    <hyperlink r:id="rId183" ref="A180"/>
    <hyperlink r:id="rId184" ref="A181"/>
    <hyperlink r:id="rId185" ref="A182"/>
    <hyperlink r:id="rId186" ref="A183"/>
    <hyperlink r:id="rId187" ref="A184"/>
    <hyperlink r:id="rId188" ref="A185"/>
    <hyperlink r:id="rId189" ref="A186"/>
    <hyperlink r:id="rId190" ref="A187"/>
    <hyperlink r:id="rId191" ref="A188"/>
    <hyperlink r:id="rId192" ref="A189"/>
    <hyperlink r:id="rId193" ref="A190"/>
    <hyperlink r:id="rId194" ref="A191"/>
    <hyperlink r:id="rId195" ref="A192"/>
    <hyperlink r:id="rId196" ref="A193"/>
    <hyperlink r:id="rId197" ref="A194"/>
    <hyperlink r:id="rId198" ref="A195"/>
    <hyperlink r:id="rId199" ref="A196"/>
    <hyperlink r:id="rId200" ref="A197"/>
    <hyperlink r:id="rId201" ref="A198"/>
    <hyperlink r:id="rId202" ref="A199"/>
    <hyperlink r:id="rId203" ref="A200"/>
    <hyperlink r:id="rId204" ref="A201"/>
    <hyperlink r:id="rId205" ref="A202"/>
    <hyperlink r:id="rId206" ref="A203"/>
    <hyperlink r:id="rId207" ref="A204"/>
    <hyperlink r:id="rId208" ref="A205"/>
    <hyperlink r:id="rId209" ref="A206"/>
    <hyperlink r:id="rId210" ref="A207"/>
    <hyperlink r:id="rId211" ref="A208"/>
    <hyperlink r:id="rId212" ref="A209"/>
    <hyperlink r:id="rId213" ref="A210"/>
    <hyperlink r:id="rId214" ref="A211"/>
    <hyperlink r:id="rId215" ref="A212"/>
    <hyperlink r:id="rId216" ref="A213"/>
    <hyperlink r:id="rId217" ref="A214"/>
    <hyperlink r:id="rId218" ref="A215"/>
    <hyperlink r:id="rId219" ref="A216"/>
    <hyperlink r:id="rId220" ref="A217"/>
    <hyperlink r:id="rId221" ref="A218"/>
    <hyperlink r:id="rId222" ref="A219"/>
    <hyperlink r:id="rId223" ref="A220"/>
    <hyperlink r:id="rId224" ref="A221"/>
    <hyperlink r:id="rId225" ref="A222"/>
    <hyperlink r:id="rId226" ref="A223"/>
    <hyperlink r:id="rId227" ref="A224"/>
    <hyperlink r:id="rId228" ref="A225"/>
    <hyperlink r:id="rId229" ref="A226"/>
    <hyperlink r:id="rId230" ref="A227"/>
    <hyperlink r:id="rId231" ref="A228"/>
    <hyperlink r:id="rId232" ref="A229"/>
    <hyperlink r:id="rId233" ref="A230"/>
    <hyperlink r:id="rId234" ref="A231"/>
    <hyperlink r:id="rId235" ref="A232"/>
    <hyperlink r:id="rId236" ref="A233"/>
    <hyperlink r:id="rId237" ref="A234"/>
    <hyperlink r:id="rId238" ref="A235"/>
    <hyperlink r:id="rId239" ref="A236"/>
    <hyperlink r:id="rId240" ref="A237"/>
    <hyperlink r:id="rId241" ref="A238"/>
    <hyperlink r:id="rId242" ref="A239"/>
    <hyperlink r:id="rId243" ref="A240"/>
    <hyperlink r:id="rId244" ref="A241"/>
    <hyperlink r:id="rId245" ref="A242"/>
    <hyperlink r:id="rId246" ref="A243"/>
    <hyperlink r:id="rId247" ref="A244"/>
    <hyperlink r:id="rId248" ref="A245"/>
    <hyperlink r:id="rId249" ref="A246"/>
    <hyperlink r:id="rId250" ref="A247"/>
    <hyperlink r:id="rId251" ref="A248"/>
    <hyperlink r:id="rId252" ref="A249"/>
    <hyperlink r:id="rId253" ref="A250"/>
    <hyperlink r:id="rId254" ref="A251"/>
    <hyperlink r:id="rId255" ref="A252"/>
    <hyperlink r:id="rId256" ref="A253"/>
    <hyperlink r:id="rId257" ref="A254"/>
    <hyperlink r:id="rId258" ref="A255"/>
    <hyperlink r:id="rId259" ref="A256"/>
    <hyperlink r:id="rId260" ref="A257"/>
    <hyperlink r:id="rId261" ref="A258"/>
    <hyperlink r:id="rId262" ref="A259"/>
    <hyperlink r:id="rId263" ref="A260"/>
    <hyperlink r:id="rId264" ref="A261"/>
    <hyperlink r:id="rId265" ref="A262"/>
    <hyperlink r:id="rId266" ref="A263"/>
    <hyperlink r:id="rId267" ref="A264"/>
    <hyperlink r:id="rId268" ref="A265"/>
    <hyperlink r:id="rId269" ref="A266"/>
    <hyperlink r:id="rId270" ref="A267"/>
    <hyperlink r:id="rId271" ref="A268"/>
    <hyperlink r:id="rId272" ref="A269"/>
    <hyperlink r:id="rId273" ref="A270"/>
    <hyperlink r:id="rId274" ref="A271"/>
    <hyperlink r:id="rId275" ref="A272"/>
    <hyperlink r:id="rId276" ref="A273"/>
    <hyperlink r:id="rId277" ref="A274"/>
    <hyperlink r:id="rId278" ref="A275"/>
    <hyperlink r:id="rId279" ref="A276"/>
    <hyperlink r:id="rId280" ref="A277"/>
    <hyperlink r:id="rId281" ref="A278"/>
    <hyperlink r:id="rId282" ref="A279"/>
    <hyperlink r:id="rId283" ref="A280"/>
    <hyperlink r:id="rId284" ref="A281"/>
    <hyperlink r:id="rId285" ref="A282"/>
    <hyperlink r:id="rId286" ref="A283"/>
    <hyperlink r:id="rId287" ref="A284"/>
    <hyperlink r:id="rId288" ref="A285"/>
    <hyperlink r:id="rId289" ref="A286"/>
    <hyperlink r:id="rId290" ref="A287"/>
    <hyperlink r:id="rId291" ref="A288"/>
    <hyperlink r:id="rId292" ref="A289"/>
    <hyperlink r:id="rId293" ref="A290"/>
    <hyperlink r:id="rId294" ref="A291"/>
  </hyperlinks>
  <drawing r:id="rId295"/>
  <legacyDrawing r:id="rId296"/>
</worksheet>
</file>